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o\Downloads\"/>
    </mc:Choice>
  </mc:AlternateContent>
  <xr:revisionPtr revIDLastSave="0" documentId="13_ncr:1_{2F08A4DD-7070-448A-B592-D303E1232C6C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A2" i="1"/>
  <c r="D12" i="1"/>
  <c r="A12" i="1"/>
  <c r="D13" i="1"/>
  <c r="A13" i="1"/>
  <c r="D5" i="1"/>
  <c r="A5" i="1"/>
  <c r="D13793" i="1"/>
  <c r="A13793" i="1"/>
  <c r="D14" i="1"/>
  <c r="A14" i="1"/>
  <c r="D6" i="1"/>
  <c r="A6" i="1"/>
  <c r="D8" i="1"/>
  <c r="A8" i="1"/>
  <c r="D9" i="1"/>
  <c r="A9" i="1"/>
  <c r="D18" i="1"/>
  <c r="A18" i="1"/>
  <c r="D4" i="1"/>
  <c r="A4" i="1"/>
  <c r="D7" i="1"/>
  <c r="A7" i="1"/>
  <c r="D1224" i="1"/>
  <c r="A1224" i="1"/>
  <c r="D11" i="1"/>
  <c r="A11" i="1"/>
  <c r="D78" i="1"/>
  <c r="A78" i="1"/>
  <c r="D3" i="1"/>
  <c r="A3" i="1"/>
  <c r="D17" i="1"/>
  <c r="A17" i="1"/>
  <c r="D13767" i="1"/>
  <c r="A13767" i="1"/>
  <c r="D13766" i="1"/>
  <c r="A13766" i="1"/>
  <c r="D13765" i="1"/>
  <c r="A13765" i="1"/>
  <c r="D13764" i="1"/>
  <c r="A13764" i="1"/>
  <c r="D13763" i="1"/>
  <c r="A13763" i="1"/>
  <c r="D5832" i="1"/>
  <c r="A5832" i="1"/>
  <c r="D13762" i="1"/>
  <c r="A13762" i="1"/>
  <c r="D13761" i="1"/>
  <c r="A13761" i="1"/>
  <c r="D13760" i="1"/>
  <c r="A13760" i="1"/>
  <c r="D5831" i="1"/>
  <c r="A5831" i="1"/>
  <c r="D5830" i="1"/>
  <c r="A5830" i="1"/>
  <c r="D13759" i="1"/>
  <c r="A13759" i="1"/>
  <c r="D13758" i="1"/>
  <c r="A13758" i="1"/>
  <c r="D13757" i="1"/>
  <c r="A13757" i="1"/>
  <c r="D77" i="1"/>
  <c r="A77" i="1"/>
  <c r="D13756" i="1"/>
  <c r="A13756" i="1"/>
  <c r="D13755" i="1"/>
  <c r="A13755" i="1"/>
  <c r="D13754" i="1"/>
  <c r="A13754" i="1"/>
  <c r="D13753" i="1"/>
  <c r="A13753" i="1"/>
  <c r="D13752" i="1"/>
  <c r="A13752" i="1"/>
  <c r="D13751" i="1"/>
  <c r="A13751" i="1"/>
  <c r="D13750" i="1"/>
  <c r="A13750" i="1"/>
  <c r="D5829" i="1"/>
  <c r="A5829" i="1"/>
  <c r="D5828" i="1"/>
  <c r="A5828" i="1"/>
  <c r="D13749" i="1"/>
  <c r="A13749" i="1"/>
  <c r="D5827" i="1"/>
  <c r="A5827" i="1"/>
  <c r="D5826" i="1"/>
  <c r="A5826" i="1"/>
  <c r="D13748" i="1"/>
  <c r="A13748" i="1"/>
  <c r="D13747" i="1"/>
  <c r="A13747" i="1"/>
  <c r="D5825" i="1"/>
  <c r="A5825" i="1"/>
  <c r="D13746" i="1"/>
  <c r="A13746" i="1"/>
  <c r="D13745" i="1"/>
  <c r="A13745" i="1"/>
  <c r="D13744" i="1"/>
  <c r="A13744" i="1"/>
  <c r="D13743" i="1"/>
  <c r="A13743" i="1"/>
  <c r="D13742" i="1"/>
  <c r="A13742" i="1"/>
  <c r="D13741" i="1"/>
  <c r="A13741" i="1"/>
  <c r="D13740" i="1"/>
  <c r="A13740" i="1"/>
  <c r="D13739" i="1"/>
  <c r="A13739" i="1"/>
  <c r="D13738" i="1"/>
  <c r="A13738" i="1"/>
  <c r="D1223" i="1"/>
  <c r="A1223" i="1"/>
  <c r="D13737" i="1"/>
  <c r="A13737" i="1"/>
  <c r="D13736" i="1"/>
  <c r="A13736" i="1"/>
  <c r="D13735" i="1"/>
  <c r="A13735" i="1"/>
  <c r="D13734" i="1"/>
  <c r="A13734" i="1"/>
  <c r="D13733" i="1"/>
  <c r="A13733" i="1"/>
  <c r="D13732" i="1"/>
  <c r="A13732" i="1"/>
  <c r="D13731" i="1"/>
  <c r="A13731" i="1"/>
  <c r="D5824" i="1"/>
  <c r="A5824" i="1"/>
  <c r="D13730" i="1"/>
  <c r="A13730" i="1"/>
  <c r="D13729" i="1"/>
  <c r="A13729" i="1"/>
  <c r="D5823" i="1"/>
  <c r="A5823" i="1"/>
  <c r="D13728" i="1"/>
  <c r="A13728" i="1"/>
  <c r="D13727" i="1"/>
  <c r="A13727" i="1"/>
  <c r="D13726" i="1"/>
  <c r="A13726" i="1"/>
  <c r="D13725" i="1"/>
  <c r="A13725" i="1"/>
  <c r="D5822" i="1"/>
  <c r="A5822" i="1"/>
  <c r="D5821" i="1"/>
  <c r="A5821" i="1"/>
  <c r="D5820" i="1"/>
  <c r="A5820" i="1"/>
  <c r="D1222" i="1"/>
  <c r="A1222" i="1"/>
  <c r="D13724" i="1"/>
  <c r="A13724" i="1"/>
  <c r="D5819" i="1"/>
  <c r="A5819" i="1"/>
  <c r="D13723" i="1"/>
  <c r="A13723" i="1"/>
  <c r="D13722" i="1"/>
  <c r="A13722" i="1"/>
  <c r="D13721" i="1"/>
  <c r="A13721" i="1"/>
  <c r="D13720" i="1"/>
  <c r="A13720" i="1"/>
  <c r="D13719" i="1"/>
  <c r="A13719" i="1"/>
  <c r="D13718" i="1"/>
  <c r="A13718" i="1"/>
  <c r="D13717" i="1"/>
  <c r="A13717" i="1"/>
  <c r="D13716" i="1"/>
  <c r="A13716" i="1"/>
  <c r="D13715" i="1"/>
  <c r="A13715" i="1"/>
  <c r="D13714" i="1"/>
  <c r="A13714" i="1"/>
  <c r="D13713" i="1"/>
  <c r="A13713" i="1"/>
  <c r="D13712" i="1"/>
  <c r="A13712" i="1"/>
  <c r="D13711" i="1"/>
  <c r="A13711" i="1"/>
  <c r="D13710" i="1"/>
  <c r="A13710" i="1"/>
  <c r="D13709" i="1"/>
  <c r="A13709" i="1"/>
  <c r="D5818" i="1"/>
  <c r="A5818" i="1"/>
  <c r="D13708" i="1"/>
  <c r="A13708" i="1"/>
  <c r="D13707" i="1"/>
  <c r="A13707" i="1"/>
  <c r="D13706" i="1"/>
  <c r="A13706" i="1"/>
  <c r="D5817" i="1"/>
  <c r="A5817" i="1"/>
  <c r="D13705" i="1"/>
  <c r="A13705" i="1"/>
  <c r="D13704" i="1"/>
  <c r="A13704" i="1"/>
  <c r="D13703" i="1"/>
  <c r="A13703" i="1"/>
  <c r="D13702" i="1"/>
  <c r="A13702" i="1"/>
  <c r="D5816" i="1"/>
  <c r="A5816" i="1"/>
  <c r="D13701" i="1"/>
  <c r="A13701" i="1"/>
  <c r="D13700" i="1"/>
  <c r="A13700" i="1"/>
  <c r="D13699" i="1"/>
  <c r="A13699" i="1"/>
  <c r="D13698" i="1"/>
  <c r="A13698" i="1"/>
  <c r="D13697" i="1"/>
  <c r="A13697" i="1"/>
  <c r="D13696" i="1"/>
  <c r="A13696" i="1"/>
  <c r="D13695" i="1"/>
  <c r="A13695" i="1"/>
  <c r="D13694" i="1"/>
  <c r="A13694" i="1"/>
  <c r="D13693" i="1"/>
  <c r="A13693" i="1"/>
  <c r="D13692" i="1"/>
  <c r="A13692" i="1"/>
  <c r="D13691" i="1"/>
  <c r="A13691" i="1"/>
  <c r="D5815" i="1"/>
  <c r="A5815" i="1"/>
  <c r="D5814" i="1"/>
  <c r="A5814" i="1"/>
  <c r="D5813" i="1"/>
  <c r="A5813" i="1"/>
  <c r="D728" i="1"/>
  <c r="A728" i="1"/>
  <c r="D13690" i="1"/>
  <c r="A13690" i="1"/>
  <c r="D13689" i="1"/>
  <c r="A13689" i="1"/>
  <c r="D1221" i="1"/>
  <c r="A1221" i="1"/>
  <c r="D5812" i="1"/>
  <c r="A5812" i="1"/>
  <c r="D13688" i="1"/>
  <c r="A13688" i="1"/>
  <c r="D5811" i="1"/>
  <c r="A5811" i="1"/>
  <c r="D13687" i="1"/>
  <c r="A13687" i="1"/>
  <c r="D13686" i="1"/>
  <c r="A13686" i="1"/>
  <c r="D13685" i="1"/>
  <c r="A13685" i="1"/>
  <c r="D13684" i="1"/>
  <c r="A13684" i="1"/>
  <c r="D13683" i="1"/>
  <c r="A13683" i="1"/>
  <c r="D13682" i="1"/>
  <c r="A13682" i="1"/>
  <c r="D13681" i="1"/>
  <c r="A13681" i="1"/>
  <c r="D13680" i="1"/>
  <c r="A13680" i="1"/>
  <c r="D13679" i="1"/>
  <c r="A13679" i="1"/>
  <c r="D13678" i="1"/>
  <c r="A13678" i="1"/>
  <c r="D5810" i="1"/>
  <c r="A5810" i="1"/>
  <c r="D13677" i="1"/>
  <c r="A13677" i="1"/>
  <c r="D13676" i="1"/>
  <c r="A13676" i="1"/>
  <c r="D5809" i="1"/>
  <c r="A5809" i="1"/>
  <c r="D5808" i="1"/>
  <c r="A5808" i="1"/>
  <c r="D727" i="1"/>
  <c r="A727" i="1"/>
  <c r="D13675" i="1"/>
  <c r="A13675" i="1"/>
  <c r="D13674" i="1"/>
  <c r="A13674" i="1"/>
  <c r="D13673" i="1"/>
  <c r="A13673" i="1"/>
  <c r="D13672" i="1"/>
  <c r="A13672" i="1"/>
  <c r="D13671" i="1"/>
  <c r="A13671" i="1"/>
  <c r="D1220" i="1"/>
  <c r="A1220" i="1"/>
  <c r="D13670" i="1"/>
  <c r="A13670" i="1"/>
  <c r="D13669" i="1"/>
  <c r="A13669" i="1"/>
  <c r="D13668" i="1"/>
  <c r="A13668" i="1"/>
  <c r="D13667" i="1"/>
  <c r="A13667" i="1"/>
  <c r="D13666" i="1"/>
  <c r="A13666" i="1"/>
  <c r="D13665" i="1"/>
  <c r="A13665" i="1"/>
  <c r="D13664" i="1"/>
  <c r="A13664" i="1"/>
  <c r="D13663" i="1"/>
  <c r="A13663" i="1"/>
  <c r="D13662" i="1"/>
  <c r="A13662" i="1"/>
  <c r="D13661" i="1"/>
  <c r="A13661" i="1"/>
  <c r="D5807" i="1"/>
  <c r="A5807" i="1"/>
  <c r="D13660" i="1"/>
  <c r="A13660" i="1"/>
  <c r="D13659" i="1"/>
  <c r="A13659" i="1"/>
  <c r="D13658" i="1"/>
  <c r="A13658" i="1"/>
  <c r="D726" i="1"/>
  <c r="A726" i="1"/>
  <c r="D13657" i="1"/>
  <c r="A13657" i="1"/>
  <c r="D13656" i="1"/>
  <c r="A13656" i="1"/>
  <c r="D5806" i="1"/>
  <c r="A5806" i="1"/>
  <c r="D13655" i="1"/>
  <c r="A13655" i="1"/>
  <c r="D13654" i="1"/>
  <c r="A13654" i="1"/>
  <c r="D13653" i="1"/>
  <c r="A13653" i="1"/>
  <c r="D13652" i="1"/>
  <c r="A13652" i="1"/>
  <c r="D13651" i="1"/>
  <c r="A13651" i="1"/>
  <c r="D13650" i="1"/>
  <c r="A13650" i="1"/>
  <c r="D13649" i="1"/>
  <c r="A13649" i="1"/>
  <c r="D13648" i="1"/>
  <c r="A13648" i="1"/>
  <c r="D13647" i="1"/>
  <c r="A13647" i="1"/>
  <c r="D13646" i="1"/>
  <c r="A13646" i="1"/>
  <c r="D5805" i="1"/>
  <c r="A5805" i="1"/>
  <c r="D13645" i="1"/>
  <c r="A13645" i="1"/>
  <c r="D13644" i="1"/>
  <c r="A13644" i="1"/>
  <c r="D5804" i="1"/>
  <c r="A5804" i="1"/>
  <c r="D13643" i="1"/>
  <c r="A13643" i="1"/>
  <c r="D5803" i="1"/>
  <c r="A5803" i="1"/>
  <c r="D13642" i="1"/>
  <c r="A13642" i="1"/>
  <c r="D13641" i="1"/>
  <c r="A13641" i="1"/>
  <c r="D13640" i="1"/>
  <c r="A13640" i="1"/>
  <c r="D1219" i="1"/>
  <c r="A1219" i="1"/>
  <c r="D13639" i="1"/>
  <c r="A13639" i="1"/>
  <c r="D13638" i="1"/>
  <c r="A13638" i="1"/>
  <c r="D13637" i="1"/>
  <c r="A13637" i="1"/>
  <c r="D1218" i="1"/>
  <c r="A1218" i="1"/>
  <c r="D13636" i="1"/>
  <c r="A13636" i="1"/>
  <c r="D13635" i="1"/>
  <c r="A13635" i="1"/>
  <c r="D13634" i="1"/>
  <c r="A13634" i="1"/>
  <c r="D13633" i="1"/>
  <c r="A13633" i="1"/>
  <c r="D5802" i="1"/>
  <c r="A5802" i="1"/>
  <c r="D13632" i="1"/>
  <c r="A13632" i="1"/>
  <c r="D13631" i="1"/>
  <c r="A13631" i="1"/>
  <c r="D13630" i="1"/>
  <c r="A13630" i="1"/>
  <c r="D5801" i="1"/>
  <c r="A5801" i="1"/>
  <c r="D5800" i="1"/>
  <c r="A5800" i="1"/>
  <c r="D5799" i="1"/>
  <c r="A5799" i="1"/>
  <c r="D5798" i="1"/>
  <c r="A5798" i="1"/>
  <c r="D5797" i="1"/>
  <c r="A5797" i="1"/>
  <c r="D5796" i="1"/>
  <c r="A5796" i="1"/>
  <c r="D13629" i="1"/>
  <c r="A13629" i="1"/>
  <c r="D13628" i="1"/>
  <c r="A13628" i="1"/>
  <c r="D13627" i="1"/>
  <c r="A13627" i="1"/>
  <c r="D5795" i="1"/>
  <c r="A5795" i="1"/>
  <c r="D13626" i="1"/>
  <c r="A13626" i="1"/>
  <c r="D13625" i="1"/>
  <c r="A13625" i="1"/>
  <c r="D13624" i="1"/>
  <c r="A13624" i="1"/>
  <c r="D5794" i="1"/>
  <c r="A5794" i="1"/>
  <c r="D13623" i="1"/>
  <c r="A13623" i="1"/>
  <c r="D13622" i="1"/>
  <c r="A13622" i="1"/>
  <c r="D13621" i="1"/>
  <c r="A13621" i="1"/>
  <c r="D13620" i="1"/>
  <c r="A13620" i="1"/>
  <c r="D13619" i="1"/>
  <c r="A13619" i="1"/>
  <c r="D1217" i="1"/>
  <c r="A1217" i="1"/>
  <c r="D5793" i="1"/>
  <c r="A5793" i="1"/>
  <c r="D1216" i="1"/>
  <c r="A1216" i="1"/>
  <c r="D1215" i="1"/>
  <c r="A1215" i="1"/>
  <c r="D1214" i="1"/>
  <c r="A1214" i="1"/>
  <c r="D13618" i="1"/>
  <c r="A13618" i="1"/>
  <c r="D13617" i="1"/>
  <c r="A13617" i="1"/>
  <c r="D5792" i="1"/>
  <c r="A5792" i="1"/>
  <c r="D13616" i="1"/>
  <c r="A13616" i="1"/>
  <c r="D13615" i="1"/>
  <c r="A13615" i="1"/>
  <c r="D5791" i="1"/>
  <c r="A5791" i="1"/>
  <c r="D5790" i="1"/>
  <c r="A5790" i="1"/>
  <c r="D13614" i="1"/>
  <c r="A13614" i="1"/>
  <c r="D13613" i="1"/>
  <c r="A13613" i="1"/>
  <c r="D13612" i="1"/>
  <c r="A13612" i="1"/>
  <c r="D13611" i="1"/>
  <c r="A13611" i="1"/>
  <c r="D13610" i="1"/>
  <c r="A13610" i="1"/>
  <c r="D13609" i="1"/>
  <c r="A13609" i="1"/>
  <c r="D13608" i="1"/>
  <c r="A13608" i="1"/>
  <c r="D13607" i="1"/>
  <c r="A13607" i="1"/>
  <c r="D13606" i="1"/>
  <c r="A13606" i="1"/>
  <c r="D5789" i="1"/>
  <c r="A5789" i="1"/>
  <c r="D13605" i="1"/>
  <c r="A13605" i="1"/>
  <c r="D13604" i="1"/>
  <c r="A13604" i="1"/>
  <c r="D13603" i="1"/>
  <c r="A13603" i="1"/>
  <c r="D13602" i="1"/>
  <c r="A13602" i="1"/>
  <c r="D13601" i="1"/>
  <c r="A13601" i="1"/>
  <c r="D5788" i="1"/>
  <c r="A5788" i="1"/>
  <c r="D13600" i="1"/>
  <c r="A13600" i="1"/>
  <c r="D13599" i="1"/>
  <c r="A13599" i="1"/>
  <c r="D13598" i="1"/>
  <c r="A13598" i="1"/>
  <c r="D5787" i="1"/>
  <c r="A5787" i="1"/>
  <c r="D5786" i="1"/>
  <c r="A5786" i="1"/>
  <c r="D5785" i="1"/>
  <c r="A5785" i="1"/>
  <c r="D5784" i="1"/>
  <c r="A5784" i="1"/>
  <c r="D5783" i="1"/>
  <c r="A5783" i="1"/>
  <c r="D13597" i="1"/>
  <c r="A13597" i="1"/>
  <c r="D126" i="1"/>
  <c r="A126" i="1"/>
  <c r="D5782" i="1"/>
  <c r="A5782" i="1"/>
  <c r="D5781" i="1"/>
  <c r="A5781" i="1"/>
  <c r="D13596" i="1"/>
  <c r="A13596" i="1"/>
  <c r="D13595" i="1"/>
  <c r="A13595" i="1"/>
  <c r="D13594" i="1"/>
  <c r="A13594" i="1"/>
  <c r="D13593" i="1"/>
  <c r="A13593" i="1"/>
  <c r="D13592" i="1"/>
  <c r="A13592" i="1"/>
  <c r="D5780" i="1"/>
  <c r="A5780" i="1"/>
  <c r="D13591" i="1"/>
  <c r="A13591" i="1"/>
  <c r="D13590" i="1"/>
  <c r="A13590" i="1"/>
  <c r="D13589" i="1"/>
  <c r="A13589" i="1"/>
  <c r="D13588" i="1"/>
  <c r="A13588" i="1"/>
  <c r="D5779" i="1"/>
  <c r="A5779" i="1"/>
  <c r="D13587" i="1"/>
  <c r="A13587" i="1"/>
  <c r="D13586" i="1"/>
  <c r="A13586" i="1"/>
  <c r="D13585" i="1"/>
  <c r="A13585" i="1"/>
  <c r="D13584" i="1"/>
  <c r="A13584" i="1"/>
  <c r="D13583" i="1"/>
  <c r="A13583" i="1"/>
  <c r="D13582" i="1"/>
  <c r="A13582" i="1"/>
  <c r="D13581" i="1"/>
  <c r="A13581" i="1"/>
  <c r="D13580" i="1"/>
  <c r="A13580" i="1"/>
  <c r="D5778" i="1"/>
  <c r="A5778" i="1"/>
  <c r="D1213" i="1"/>
  <c r="A1213" i="1"/>
  <c r="D725" i="1"/>
  <c r="A725" i="1"/>
  <c r="D13579" i="1"/>
  <c r="A13579" i="1"/>
  <c r="D13578" i="1"/>
  <c r="A13578" i="1"/>
  <c r="D5777" i="1"/>
  <c r="A5777" i="1"/>
  <c r="D5776" i="1"/>
  <c r="A5776" i="1"/>
  <c r="D13577" i="1"/>
  <c r="A13577" i="1"/>
  <c r="D13576" i="1"/>
  <c r="A13576" i="1"/>
  <c r="D13575" i="1"/>
  <c r="A13575" i="1"/>
  <c r="D13574" i="1"/>
  <c r="A13574" i="1"/>
  <c r="D5775" i="1"/>
  <c r="A5775" i="1"/>
  <c r="D5774" i="1"/>
  <c r="A5774" i="1"/>
  <c r="D13573" i="1"/>
  <c r="A13573" i="1"/>
  <c r="D13572" i="1"/>
  <c r="A13572" i="1"/>
  <c r="D13571" i="1"/>
  <c r="A13571" i="1"/>
  <c r="D13570" i="1"/>
  <c r="A13570" i="1"/>
  <c r="D13569" i="1"/>
  <c r="A13569" i="1"/>
  <c r="D13568" i="1"/>
  <c r="A13568" i="1"/>
  <c r="D13567" i="1"/>
  <c r="A13567" i="1"/>
  <c r="D13566" i="1"/>
  <c r="A13566" i="1"/>
  <c r="D5773" i="1"/>
  <c r="A5773" i="1"/>
  <c r="D13565" i="1"/>
  <c r="A13565" i="1"/>
  <c r="D13564" i="1"/>
  <c r="A13564" i="1"/>
  <c r="D13563" i="1"/>
  <c r="A13563" i="1"/>
  <c r="D13562" i="1"/>
  <c r="A13562" i="1"/>
  <c r="D13561" i="1"/>
  <c r="A13561" i="1"/>
  <c r="D13560" i="1"/>
  <c r="A13560" i="1"/>
  <c r="D5772" i="1"/>
  <c r="A5772" i="1"/>
  <c r="D5771" i="1"/>
  <c r="A5771" i="1"/>
  <c r="D5770" i="1"/>
  <c r="A5770" i="1"/>
  <c r="D5769" i="1"/>
  <c r="A5769" i="1"/>
  <c r="D13559" i="1"/>
  <c r="A13559" i="1"/>
  <c r="D13558" i="1"/>
  <c r="A13558" i="1"/>
  <c r="D13557" i="1"/>
  <c r="A13557" i="1"/>
  <c r="D5768" i="1"/>
  <c r="A5768" i="1"/>
  <c r="D13556" i="1"/>
  <c r="A13556" i="1"/>
  <c r="D5767" i="1"/>
  <c r="A5767" i="1"/>
  <c r="D5766" i="1"/>
  <c r="A5766" i="1"/>
  <c r="D13555" i="1"/>
  <c r="A13555" i="1"/>
  <c r="D13554" i="1"/>
  <c r="A13554" i="1"/>
  <c r="D5765" i="1"/>
  <c r="A5765" i="1"/>
  <c r="D724" i="1"/>
  <c r="A724" i="1"/>
  <c r="D13553" i="1"/>
  <c r="A13553" i="1"/>
  <c r="D13552" i="1"/>
  <c r="A13552" i="1"/>
  <c r="D13551" i="1"/>
  <c r="A13551" i="1"/>
  <c r="D13550" i="1"/>
  <c r="A13550" i="1"/>
  <c r="D13549" i="1"/>
  <c r="A13549" i="1"/>
  <c r="D13548" i="1"/>
  <c r="A13548" i="1"/>
  <c r="D5764" i="1"/>
  <c r="A5764" i="1"/>
  <c r="D13547" i="1"/>
  <c r="A13547" i="1"/>
  <c r="D5763" i="1"/>
  <c r="A5763" i="1"/>
  <c r="D723" i="1"/>
  <c r="A723" i="1"/>
  <c r="D5762" i="1"/>
  <c r="A5762" i="1"/>
  <c r="D5761" i="1"/>
  <c r="A5761" i="1"/>
  <c r="D5760" i="1"/>
  <c r="A5760" i="1"/>
  <c r="D125" i="1"/>
  <c r="A125" i="1"/>
  <c r="D13546" i="1"/>
  <c r="A13546" i="1"/>
  <c r="D13545" i="1"/>
  <c r="A13545" i="1"/>
  <c r="D13544" i="1"/>
  <c r="A13544" i="1"/>
  <c r="D13543" i="1"/>
  <c r="A13543" i="1"/>
  <c r="D13542" i="1"/>
  <c r="A13542" i="1"/>
  <c r="D13541" i="1"/>
  <c r="A13541" i="1"/>
  <c r="D13540" i="1"/>
  <c r="A13540" i="1"/>
  <c r="D13539" i="1"/>
  <c r="A13539" i="1"/>
  <c r="D13538" i="1"/>
  <c r="A13538" i="1"/>
  <c r="D13537" i="1"/>
  <c r="A13537" i="1"/>
  <c r="D32" i="1"/>
  <c r="A32" i="1"/>
  <c r="D13536" i="1"/>
  <c r="A13536" i="1"/>
  <c r="D53" i="1"/>
  <c r="A53" i="1"/>
  <c r="D13535" i="1"/>
  <c r="A13535" i="1"/>
  <c r="D13534" i="1"/>
  <c r="A13534" i="1"/>
  <c r="D13533" i="1"/>
  <c r="A13533" i="1"/>
  <c r="D5759" i="1"/>
  <c r="A5759" i="1"/>
  <c r="D13532" i="1"/>
  <c r="A13532" i="1"/>
  <c r="D13531" i="1"/>
  <c r="A13531" i="1"/>
  <c r="D37" i="1"/>
  <c r="A37" i="1"/>
  <c r="D13530" i="1"/>
  <c r="A13530" i="1"/>
  <c r="D13529" i="1"/>
  <c r="A13529" i="1"/>
  <c r="D13528" i="1"/>
  <c r="A13528" i="1"/>
  <c r="D13527" i="1"/>
  <c r="A13527" i="1"/>
  <c r="D13526" i="1"/>
  <c r="A13526" i="1"/>
  <c r="D13525" i="1"/>
  <c r="A13525" i="1"/>
  <c r="D13524" i="1"/>
  <c r="A13524" i="1"/>
  <c r="D13523" i="1"/>
  <c r="A13523" i="1"/>
  <c r="D5758" i="1"/>
  <c r="A5758" i="1"/>
  <c r="D5757" i="1"/>
  <c r="A5757" i="1"/>
  <c r="D5756" i="1"/>
  <c r="A5756" i="1"/>
  <c r="D13522" i="1"/>
  <c r="A13522" i="1"/>
  <c r="D13521" i="1"/>
  <c r="A13521" i="1"/>
  <c r="D5755" i="1"/>
  <c r="A5755" i="1"/>
  <c r="D13520" i="1"/>
  <c r="A13520" i="1"/>
  <c r="D1212" i="1"/>
  <c r="A1212" i="1"/>
  <c r="D5754" i="1"/>
  <c r="A5754" i="1"/>
  <c r="D13519" i="1"/>
  <c r="A13519" i="1"/>
  <c r="D13518" i="1"/>
  <c r="A13518" i="1"/>
  <c r="D5753" i="1"/>
  <c r="A5753" i="1"/>
  <c r="D13517" i="1"/>
  <c r="A13517" i="1"/>
  <c r="D13516" i="1"/>
  <c r="A13516" i="1"/>
  <c r="D13515" i="1"/>
  <c r="A13515" i="1"/>
  <c r="D5752" i="1"/>
  <c r="A5752" i="1"/>
  <c r="D5751" i="1"/>
  <c r="A5751" i="1"/>
  <c r="D13514" i="1"/>
  <c r="A13514" i="1"/>
  <c r="D13513" i="1"/>
  <c r="A13513" i="1"/>
  <c r="D5750" i="1"/>
  <c r="A5750" i="1"/>
  <c r="D13512" i="1"/>
  <c r="A13512" i="1"/>
  <c r="D13511" i="1"/>
  <c r="A13511" i="1"/>
  <c r="D13510" i="1"/>
  <c r="A13510" i="1"/>
  <c r="D13509" i="1"/>
  <c r="A13509" i="1"/>
  <c r="D13508" i="1"/>
  <c r="A13508" i="1"/>
  <c r="D13507" i="1"/>
  <c r="A13507" i="1"/>
  <c r="D13506" i="1"/>
  <c r="A13506" i="1"/>
  <c r="D5749" i="1"/>
  <c r="A5749" i="1"/>
  <c r="D5748" i="1"/>
  <c r="A5748" i="1"/>
  <c r="D5747" i="1"/>
  <c r="A5747" i="1"/>
  <c r="D5746" i="1"/>
  <c r="A5746" i="1"/>
  <c r="D1211" i="1"/>
  <c r="A1211" i="1"/>
  <c r="D13505" i="1"/>
  <c r="A13505" i="1"/>
  <c r="D13504" i="1"/>
  <c r="A13504" i="1"/>
  <c r="D13503" i="1"/>
  <c r="A13503" i="1"/>
  <c r="D13502" i="1"/>
  <c r="A13502" i="1"/>
  <c r="D13501" i="1"/>
  <c r="A13501" i="1"/>
  <c r="D13500" i="1"/>
  <c r="A13500" i="1"/>
  <c r="D13499" i="1"/>
  <c r="A13499" i="1"/>
  <c r="D13498" i="1"/>
  <c r="A13498" i="1"/>
  <c r="D5745" i="1"/>
  <c r="A5745" i="1"/>
  <c r="D5744" i="1"/>
  <c r="A5744" i="1"/>
  <c r="D13497" i="1"/>
  <c r="A13497" i="1"/>
  <c r="D5743" i="1"/>
  <c r="A5743" i="1"/>
  <c r="D13496" i="1"/>
  <c r="A13496" i="1"/>
  <c r="D13495" i="1"/>
  <c r="A13495" i="1"/>
  <c r="D5742" i="1"/>
  <c r="A5742" i="1"/>
  <c r="D13494" i="1"/>
  <c r="A13494" i="1"/>
  <c r="D13493" i="1"/>
  <c r="A13493" i="1"/>
  <c r="D5741" i="1"/>
  <c r="A5741" i="1"/>
  <c r="D5740" i="1"/>
  <c r="A5740" i="1"/>
  <c r="D13492" i="1"/>
  <c r="A13492" i="1"/>
  <c r="D13491" i="1"/>
  <c r="A13491" i="1"/>
  <c r="D5739" i="1"/>
  <c r="A5739" i="1"/>
  <c r="D13490" i="1"/>
  <c r="A13490" i="1"/>
  <c r="D13489" i="1"/>
  <c r="A13489" i="1"/>
  <c r="D13488" i="1"/>
  <c r="A13488" i="1"/>
  <c r="D13487" i="1"/>
  <c r="A13487" i="1"/>
  <c r="D13486" i="1"/>
  <c r="A13486" i="1"/>
  <c r="D5738" i="1"/>
  <c r="A5738" i="1"/>
  <c r="D13485" i="1"/>
  <c r="A13485" i="1"/>
  <c r="D5737" i="1"/>
  <c r="A5737" i="1"/>
  <c r="D13484" i="1"/>
  <c r="A13484" i="1"/>
  <c r="D13483" i="1"/>
  <c r="A13483" i="1"/>
  <c r="D13482" i="1"/>
  <c r="A13482" i="1"/>
  <c r="D13481" i="1"/>
  <c r="A13481" i="1"/>
  <c r="D13480" i="1"/>
  <c r="A13480" i="1"/>
  <c r="D13479" i="1"/>
  <c r="A13479" i="1"/>
  <c r="D13478" i="1"/>
  <c r="A13478" i="1"/>
  <c r="D13477" i="1"/>
  <c r="A13477" i="1"/>
  <c r="D13476" i="1"/>
  <c r="A13476" i="1"/>
  <c r="D5736" i="1"/>
  <c r="A5736" i="1"/>
  <c r="D5735" i="1"/>
  <c r="A5735" i="1"/>
  <c r="D5734" i="1"/>
  <c r="A5734" i="1"/>
  <c r="D13475" i="1"/>
  <c r="A13475" i="1"/>
  <c r="D13474" i="1"/>
  <c r="A13474" i="1"/>
  <c r="D13473" i="1"/>
  <c r="A13473" i="1"/>
  <c r="D5733" i="1"/>
  <c r="A5733" i="1"/>
  <c r="D5732" i="1"/>
  <c r="A5732" i="1"/>
  <c r="D5731" i="1"/>
  <c r="A5731" i="1"/>
  <c r="D13472" i="1"/>
  <c r="A13472" i="1"/>
  <c r="D13471" i="1"/>
  <c r="A13471" i="1"/>
  <c r="D13470" i="1"/>
  <c r="A13470" i="1"/>
  <c r="D13469" i="1"/>
  <c r="A13469" i="1"/>
  <c r="D13468" i="1"/>
  <c r="A13468" i="1"/>
  <c r="D13467" i="1"/>
  <c r="A13467" i="1"/>
  <c r="D13466" i="1"/>
  <c r="A13466" i="1"/>
  <c r="D13465" i="1"/>
  <c r="A13465" i="1"/>
  <c r="D5730" i="1"/>
  <c r="A5730" i="1"/>
  <c r="D76" i="1"/>
  <c r="A76" i="1"/>
  <c r="D13464" i="1"/>
  <c r="A13464" i="1"/>
  <c r="D75" i="1"/>
  <c r="A75" i="1"/>
  <c r="D13463" i="1"/>
  <c r="A13463" i="1"/>
  <c r="D5729" i="1"/>
  <c r="A5729" i="1"/>
  <c r="D13462" i="1"/>
  <c r="A13462" i="1"/>
  <c r="D5728" i="1"/>
  <c r="A5728" i="1"/>
  <c r="D5727" i="1"/>
  <c r="A5727" i="1"/>
  <c r="D13461" i="1"/>
  <c r="A13461" i="1"/>
  <c r="D13460" i="1"/>
  <c r="A13460" i="1"/>
  <c r="D5726" i="1"/>
  <c r="A5726" i="1"/>
  <c r="D13459" i="1"/>
  <c r="A13459" i="1"/>
  <c r="D13458" i="1"/>
  <c r="A13458" i="1"/>
  <c r="D13457" i="1"/>
  <c r="A13457" i="1"/>
  <c r="D13456" i="1"/>
  <c r="A13456" i="1"/>
  <c r="D13455" i="1"/>
  <c r="A13455" i="1"/>
  <c r="D13454" i="1"/>
  <c r="A13454" i="1"/>
  <c r="D5725" i="1"/>
  <c r="A5725" i="1"/>
  <c r="D13453" i="1"/>
  <c r="A13453" i="1"/>
  <c r="D13452" i="1"/>
  <c r="A13452" i="1"/>
  <c r="D13451" i="1"/>
  <c r="A13451" i="1"/>
  <c r="D13450" i="1"/>
  <c r="A13450" i="1"/>
  <c r="D13449" i="1"/>
  <c r="A13449" i="1"/>
  <c r="D5724" i="1"/>
  <c r="A5724" i="1"/>
  <c r="D5723" i="1"/>
  <c r="A5723" i="1"/>
  <c r="D5722" i="1"/>
  <c r="A5722" i="1"/>
  <c r="D5721" i="1"/>
  <c r="A5721" i="1"/>
  <c r="D5720" i="1"/>
  <c r="A5720" i="1"/>
  <c r="D13448" i="1"/>
  <c r="A13448" i="1"/>
  <c r="D13447" i="1"/>
  <c r="A13447" i="1"/>
  <c r="D13446" i="1"/>
  <c r="A13446" i="1"/>
  <c r="D13445" i="1"/>
  <c r="A13445" i="1"/>
  <c r="D13444" i="1"/>
  <c r="A13444" i="1"/>
  <c r="D13443" i="1"/>
  <c r="A13443" i="1"/>
  <c r="D5719" i="1"/>
  <c r="A5719" i="1"/>
  <c r="D13442" i="1"/>
  <c r="A13442" i="1"/>
  <c r="D5718" i="1"/>
  <c r="A5718" i="1"/>
  <c r="D13441" i="1"/>
  <c r="A13441" i="1"/>
  <c r="D13440" i="1"/>
  <c r="A13440" i="1"/>
  <c r="D13439" i="1"/>
  <c r="A13439" i="1"/>
  <c r="D5717" i="1"/>
  <c r="A5717" i="1"/>
  <c r="D5716" i="1"/>
  <c r="A5716" i="1"/>
  <c r="D13438" i="1"/>
  <c r="A13438" i="1"/>
  <c r="D13437" i="1"/>
  <c r="A13437" i="1"/>
  <c r="D13436" i="1"/>
  <c r="A13436" i="1"/>
  <c r="D5715" i="1"/>
  <c r="A5715" i="1"/>
  <c r="D5714" i="1"/>
  <c r="A5714" i="1"/>
  <c r="D5713" i="1"/>
  <c r="A5713" i="1"/>
  <c r="D13435" i="1"/>
  <c r="A13435" i="1"/>
  <c r="D5712" i="1"/>
  <c r="A5712" i="1"/>
  <c r="D5711" i="1"/>
  <c r="A5711" i="1"/>
  <c r="D13434" i="1"/>
  <c r="A13434" i="1"/>
  <c r="D13433" i="1"/>
  <c r="A13433" i="1"/>
  <c r="D1210" i="1"/>
  <c r="A1210" i="1"/>
  <c r="D13432" i="1"/>
  <c r="A13432" i="1"/>
  <c r="D13431" i="1"/>
  <c r="A13431" i="1"/>
  <c r="D5710" i="1"/>
  <c r="A5710" i="1"/>
  <c r="D13430" i="1"/>
  <c r="A13430" i="1"/>
  <c r="D5709" i="1"/>
  <c r="A5709" i="1"/>
  <c r="D13429" i="1"/>
  <c r="A13429" i="1"/>
  <c r="D13428" i="1"/>
  <c r="A13428" i="1"/>
  <c r="D13427" i="1"/>
  <c r="A13427" i="1"/>
  <c r="D13426" i="1"/>
  <c r="A13426" i="1"/>
  <c r="D13425" i="1"/>
  <c r="A13425" i="1"/>
  <c r="D1209" i="1"/>
  <c r="A1209" i="1"/>
  <c r="D13424" i="1"/>
  <c r="A13424" i="1"/>
  <c r="D13423" i="1"/>
  <c r="A13423" i="1"/>
  <c r="D13422" i="1"/>
  <c r="A13422" i="1"/>
  <c r="D13421" i="1"/>
  <c r="A13421" i="1"/>
  <c r="D13420" i="1"/>
  <c r="A13420" i="1"/>
  <c r="D13419" i="1"/>
  <c r="A13419" i="1"/>
  <c r="D13418" i="1"/>
  <c r="A13418" i="1"/>
  <c r="D13417" i="1"/>
  <c r="A13417" i="1"/>
  <c r="D5708" i="1"/>
  <c r="A5708" i="1"/>
  <c r="D13416" i="1"/>
  <c r="A13416" i="1"/>
  <c r="D13415" i="1"/>
  <c r="A13415" i="1"/>
  <c r="D13414" i="1"/>
  <c r="A13414" i="1"/>
  <c r="D13413" i="1"/>
  <c r="A13413" i="1"/>
  <c r="D13412" i="1"/>
  <c r="A13412" i="1"/>
  <c r="D13411" i="1"/>
  <c r="A13411" i="1"/>
  <c r="D13410" i="1"/>
  <c r="A13410" i="1"/>
  <c r="D13409" i="1"/>
  <c r="A13409" i="1"/>
  <c r="D13408" i="1"/>
  <c r="A13408" i="1"/>
  <c r="D13407" i="1"/>
  <c r="A13407" i="1"/>
  <c r="D13406" i="1"/>
  <c r="A13406" i="1"/>
  <c r="D13405" i="1"/>
  <c r="A13405" i="1"/>
  <c r="D13404" i="1"/>
  <c r="A13404" i="1"/>
  <c r="D13403" i="1"/>
  <c r="A13403" i="1"/>
  <c r="D13402" i="1"/>
  <c r="A13402" i="1"/>
  <c r="D5707" i="1"/>
  <c r="A5707" i="1"/>
  <c r="D5706" i="1"/>
  <c r="A5706" i="1"/>
  <c r="D13401" i="1"/>
  <c r="A13401" i="1"/>
  <c r="D13400" i="1"/>
  <c r="A13400" i="1"/>
  <c r="D13399" i="1"/>
  <c r="A13399" i="1"/>
  <c r="D13398" i="1"/>
  <c r="A13398" i="1"/>
  <c r="D13397" i="1"/>
  <c r="A13397" i="1"/>
  <c r="D5705" i="1"/>
  <c r="A5705" i="1"/>
  <c r="D5704" i="1"/>
  <c r="A5704" i="1"/>
  <c r="D13396" i="1"/>
  <c r="A13396" i="1"/>
  <c r="D13395" i="1"/>
  <c r="A13395" i="1"/>
  <c r="D13394" i="1"/>
  <c r="A13394" i="1"/>
  <c r="D13393" i="1"/>
  <c r="A13393" i="1"/>
  <c r="D13392" i="1"/>
  <c r="A13392" i="1"/>
  <c r="D5703" i="1"/>
  <c r="A5703" i="1"/>
  <c r="D13391" i="1"/>
  <c r="A13391" i="1"/>
  <c r="D5702" i="1"/>
  <c r="A5702" i="1"/>
  <c r="D5701" i="1"/>
  <c r="A5701" i="1"/>
  <c r="D13390" i="1"/>
  <c r="A13390" i="1"/>
  <c r="D13389" i="1"/>
  <c r="A13389" i="1"/>
  <c r="D13388" i="1"/>
  <c r="A13388" i="1"/>
  <c r="D13387" i="1"/>
  <c r="A13387" i="1"/>
  <c r="D5700" i="1"/>
  <c r="A5700" i="1"/>
  <c r="D13386" i="1"/>
  <c r="A13386" i="1"/>
  <c r="D13385" i="1"/>
  <c r="A13385" i="1"/>
  <c r="D13384" i="1"/>
  <c r="A13384" i="1"/>
  <c r="D13383" i="1"/>
  <c r="A13383" i="1"/>
  <c r="D5699" i="1"/>
  <c r="A5699" i="1"/>
  <c r="D13382" i="1"/>
  <c r="A13382" i="1"/>
  <c r="D5698" i="1"/>
  <c r="A5698" i="1"/>
  <c r="D13381" i="1"/>
  <c r="A13381" i="1"/>
  <c r="D13380" i="1"/>
  <c r="A13380" i="1"/>
  <c r="D13379" i="1"/>
  <c r="A13379" i="1"/>
  <c r="D722" i="1"/>
  <c r="A722" i="1"/>
  <c r="D13378" i="1"/>
  <c r="A13378" i="1"/>
  <c r="D13377" i="1"/>
  <c r="A13377" i="1"/>
  <c r="D13376" i="1"/>
  <c r="A13376" i="1"/>
  <c r="D13375" i="1"/>
  <c r="A13375" i="1"/>
  <c r="D13374" i="1"/>
  <c r="A13374" i="1"/>
  <c r="D13373" i="1"/>
  <c r="A13373" i="1"/>
  <c r="D13372" i="1"/>
  <c r="A13372" i="1"/>
  <c r="D13371" i="1"/>
  <c r="A13371" i="1"/>
  <c r="D5697" i="1"/>
  <c r="A5697" i="1"/>
  <c r="D5696" i="1"/>
  <c r="A5696" i="1"/>
  <c r="D13370" i="1"/>
  <c r="A13370" i="1"/>
  <c r="D13369" i="1"/>
  <c r="A13369" i="1"/>
  <c r="D13368" i="1"/>
  <c r="A13368" i="1"/>
  <c r="D5695" i="1"/>
  <c r="A5695" i="1"/>
  <c r="D74" i="1"/>
  <c r="A74" i="1"/>
  <c r="D13367" i="1"/>
  <c r="A13367" i="1"/>
  <c r="D13366" i="1"/>
  <c r="A13366" i="1"/>
  <c r="D13365" i="1"/>
  <c r="A13365" i="1"/>
  <c r="D13364" i="1"/>
  <c r="A13364" i="1"/>
  <c r="D5694" i="1"/>
  <c r="A5694" i="1"/>
  <c r="D13363" i="1"/>
  <c r="A13363" i="1"/>
  <c r="D13362" i="1"/>
  <c r="A13362" i="1"/>
  <c r="D13361" i="1"/>
  <c r="A13361" i="1"/>
  <c r="D13360" i="1"/>
  <c r="A13360" i="1"/>
  <c r="D13359" i="1"/>
  <c r="A13359" i="1"/>
  <c r="D13358" i="1"/>
  <c r="A13358" i="1"/>
  <c r="D13357" i="1"/>
  <c r="A13357" i="1"/>
  <c r="D13356" i="1"/>
  <c r="A13356" i="1"/>
  <c r="D5693" i="1"/>
  <c r="A5693" i="1"/>
  <c r="D13355" i="1"/>
  <c r="A13355" i="1"/>
  <c r="D13354" i="1"/>
  <c r="A13354" i="1"/>
  <c r="D1208" i="1"/>
  <c r="A1208" i="1"/>
  <c r="D13353" i="1"/>
  <c r="A13353" i="1"/>
  <c r="D13352" i="1"/>
  <c r="A13352" i="1"/>
  <c r="D5692" i="1"/>
  <c r="A5692" i="1"/>
  <c r="D13351" i="1"/>
  <c r="A13351" i="1"/>
  <c r="D13350" i="1"/>
  <c r="A13350" i="1"/>
  <c r="D13349" i="1"/>
  <c r="A13349" i="1"/>
  <c r="D5691" i="1"/>
  <c r="A5691" i="1"/>
  <c r="D13348" i="1"/>
  <c r="A13348" i="1"/>
  <c r="D13347" i="1"/>
  <c r="A13347" i="1"/>
  <c r="D13346" i="1"/>
  <c r="A13346" i="1"/>
  <c r="D5690" i="1"/>
  <c r="A5690" i="1"/>
  <c r="D13345" i="1"/>
  <c r="A13345" i="1"/>
  <c r="D13344" i="1"/>
  <c r="A13344" i="1"/>
  <c r="D13343" i="1"/>
  <c r="A13343" i="1"/>
  <c r="D13342" i="1"/>
  <c r="A13342" i="1"/>
  <c r="D5689" i="1"/>
  <c r="A5689" i="1"/>
  <c r="D13341" i="1"/>
  <c r="A13341" i="1"/>
  <c r="D5688" i="1"/>
  <c r="A5688" i="1"/>
  <c r="D5687" i="1"/>
  <c r="A5687" i="1"/>
  <c r="D5686" i="1"/>
  <c r="A5686" i="1"/>
  <c r="D5685" i="1"/>
  <c r="A5685" i="1"/>
  <c r="D13340" i="1"/>
  <c r="A13340" i="1"/>
  <c r="D13339" i="1"/>
  <c r="A13339" i="1"/>
  <c r="D13338" i="1"/>
  <c r="A13338" i="1"/>
  <c r="D13337" i="1"/>
  <c r="A13337" i="1"/>
  <c r="D13336" i="1"/>
  <c r="A13336" i="1"/>
  <c r="D13335" i="1"/>
  <c r="A13335" i="1"/>
  <c r="D13334" i="1"/>
  <c r="A13334" i="1"/>
  <c r="D1207" i="1"/>
  <c r="A1207" i="1"/>
  <c r="D5684" i="1"/>
  <c r="A5684" i="1"/>
  <c r="D13333" i="1"/>
  <c r="A13333" i="1"/>
  <c r="D13332" i="1"/>
  <c r="A13332" i="1"/>
  <c r="D5683" i="1"/>
  <c r="A5683" i="1"/>
  <c r="D13331" i="1"/>
  <c r="A13331" i="1"/>
  <c r="D5682" i="1"/>
  <c r="A5682" i="1"/>
  <c r="D5681" i="1"/>
  <c r="A5681" i="1"/>
  <c r="D5680" i="1"/>
  <c r="A5680" i="1"/>
  <c r="D13330" i="1"/>
  <c r="A13330" i="1"/>
  <c r="D5679" i="1"/>
  <c r="A5679" i="1"/>
  <c r="D13329" i="1"/>
  <c r="A13329" i="1"/>
  <c r="D13328" i="1"/>
  <c r="A13328" i="1"/>
  <c r="D13327" i="1"/>
  <c r="A13327" i="1"/>
  <c r="D13326" i="1"/>
  <c r="A13326" i="1"/>
  <c r="D13325" i="1"/>
  <c r="A13325" i="1"/>
  <c r="D13324" i="1"/>
  <c r="A13324" i="1"/>
  <c r="D721" i="1"/>
  <c r="A721" i="1"/>
  <c r="D13323" i="1"/>
  <c r="A13323" i="1"/>
  <c r="D5678" i="1"/>
  <c r="A5678" i="1"/>
  <c r="D13322" i="1"/>
  <c r="A13322" i="1"/>
  <c r="D13321" i="1"/>
  <c r="A13321" i="1"/>
  <c r="D5677" i="1"/>
  <c r="A5677" i="1"/>
  <c r="D5676" i="1"/>
  <c r="A5676" i="1"/>
  <c r="D13320" i="1"/>
  <c r="A13320" i="1"/>
  <c r="D13319" i="1"/>
  <c r="A13319" i="1"/>
  <c r="D13318" i="1"/>
  <c r="A13318" i="1"/>
  <c r="D13317" i="1"/>
  <c r="A13317" i="1"/>
  <c r="D13316" i="1"/>
  <c r="A13316" i="1"/>
  <c r="D13315" i="1"/>
  <c r="A13315" i="1"/>
  <c r="D13314" i="1"/>
  <c r="A13314" i="1"/>
  <c r="D13313" i="1"/>
  <c r="A13313" i="1"/>
  <c r="D13312" i="1"/>
  <c r="A13312" i="1"/>
  <c r="D13311" i="1"/>
  <c r="A13311" i="1"/>
  <c r="D13310" i="1"/>
  <c r="A13310" i="1"/>
  <c r="D13309" i="1"/>
  <c r="A13309" i="1"/>
  <c r="D13308" i="1"/>
  <c r="A13308" i="1"/>
  <c r="D13307" i="1"/>
  <c r="A13307" i="1"/>
  <c r="D5675" i="1"/>
  <c r="A5675" i="1"/>
  <c r="D5674" i="1"/>
  <c r="A5674" i="1"/>
  <c r="D13306" i="1"/>
  <c r="A13306" i="1"/>
  <c r="D5673" i="1"/>
  <c r="A5673" i="1"/>
  <c r="D13305" i="1"/>
  <c r="A13305" i="1"/>
  <c r="D13304" i="1"/>
  <c r="A13304" i="1"/>
  <c r="D13303" i="1"/>
  <c r="A13303" i="1"/>
  <c r="D13302" i="1"/>
  <c r="A13302" i="1"/>
  <c r="D13301" i="1"/>
  <c r="A13301" i="1"/>
  <c r="D13300" i="1"/>
  <c r="A13300" i="1"/>
  <c r="D13299" i="1"/>
  <c r="A13299" i="1"/>
  <c r="D13298" i="1"/>
  <c r="A13298" i="1"/>
  <c r="D13297" i="1"/>
  <c r="A13297" i="1"/>
  <c r="D13296" i="1"/>
  <c r="A13296" i="1"/>
  <c r="D5672" i="1"/>
  <c r="A5672" i="1"/>
  <c r="D5671" i="1"/>
  <c r="A5671" i="1"/>
  <c r="D5670" i="1"/>
  <c r="A5670" i="1"/>
  <c r="D13295" i="1"/>
  <c r="A13295" i="1"/>
  <c r="D13294" i="1"/>
  <c r="A13294" i="1"/>
  <c r="D13293" i="1"/>
  <c r="A13293" i="1"/>
  <c r="D5669" i="1"/>
  <c r="A5669" i="1"/>
  <c r="D13292" i="1"/>
  <c r="A13292" i="1"/>
  <c r="D5668" i="1"/>
  <c r="A5668" i="1"/>
  <c r="D13291" i="1"/>
  <c r="A13291" i="1"/>
  <c r="D5667" i="1"/>
  <c r="A5667" i="1"/>
  <c r="D13290" i="1"/>
  <c r="A13290" i="1"/>
  <c r="D5666" i="1"/>
  <c r="A5666" i="1"/>
  <c r="D13289" i="1"/>
  <c r="A13289" i="1"/>
  <c r="D13288" i="1"/>
  <c r="A13288" i="1"/>
  <c r="D13287" i="1"/>
  <c r="A13287" i="1"/>
  <c r="D13286" i="1"/>
  <c r="A13286" i="1"/>
  <c r="D1206" i="1"/>
  <c r="A1206" i="1"/>
  <c r="D13285" i="1"/>
  <c r="A13285" i="1"/>
  <c r="D13284" i="1"/>
  <c r="A13284" i="1"/>
  <c r="D13283" i="1"/>
  <c r="A13283" i="1"/>
  <c r="D5665" i="1"/>
  <c r="A5665" i="1"/>
  <c r="D5664" i="1"/>
  <c r="A5664" i="1"/>
  <c r="D13282" i="1"/>
  <c r="A13282" i="1"/>
  <c r="D13281" i="1"/>
  <c r="A13281" i="1"/>
  <c r="D13280" i="1"/>
  <c r="A13280" i="1"/>
  <c r="D13279" i="1"/>
  <c r="A13279" i="1"/>
  <c r="D13278" i="1"/>
  <c r="A13278" i="1"/>
  <c r="D13277" i="1"/>
  <c r="A13277" i="1"/>
  <c r="D13276" i="1"/>
  <c r="A13276" i="1"/>
  <c r="D13275" i="1"/>
  <c r="A13275" i="1"/>
  <c r="D13274" i="1"/>
  <c r="A13274" i="1"/>
  <c r="D13273" i="1"/>
  <c r="A13273" i="1"/>
  <c r="D13272" i="1"/>
  <c r="A13272" i="1"/>
  <c r="D13271" i="1"/>
  <c r="A13271" i="1"/>
  <c r="D13270" i="1"/>
  <c r="A13270" i="1"/>
  <c r="D13269" i="1"/>
  <c r="A13269" i="1"/>
  <c r="D13268" i="1"/>
  <c r="A13268" i="1"/>
  <c r="D13267" i="1"/>
  <c r="A13267" i="1"/>
  <c r="D13266" i="1"/>
  <c r="A13266" i="1"/>
  <c r="D13265" i="1"/>
  <c r="A13265" i="1"/>
  <c r="D13264" i="1"/>
  <c r="A13264" i="1"/>
  <c r="D13263" i="1"/>
  <c r="A13263" i="1"/>
  <c r="D13262" i="1"/>
  <c r="A13262" i="1"/>
  <c r="D5663" i="1"/>
  <c r="A5663" i="1"/>
  <c r="D13261" i="1"/>
  <c r="A13261" i="1"/>
  <c r="D13260" i="1"/>
  <c r="A13260" i="1"/>
  <c r="D13259" i="1"/>
  <c r="A13259" i="1"/>
  <c r="D13258" i="1"/>
  <c r="A13258" i="1"/>
  <c r="D720" i="1"/>
  <c r="A720" i="1"/>
  <c r="D13257" i="1"/>
  <c r="A13257" i="1"/>
  <c r="D13256" i="1"/>
  <c r="A13256" i="1"/>
  <c r="D13255" i="1"/>
  <c r="A13255" i="1"/>
  <c r="D13254" i="1"/>
  <c r="A13254" i="1"/>
  <c r="D13253" i="1"/>
  <c r="A13253" i="1"/>
  <c r="D5662" i="1"/>
  <c r="A5662" i="1"/>
  <c r="D13252" i="1"/>
  <c r="A13252" i="1"/>
  <c r="D13251" i="1"/>
  <c r="A13251" i="1"/>
  <c r="D13250" i="1"/>
  <c r="A13250" i="1"/>
  <c r="D13249" i="1"/>
  <c r="A13249" i="1"/>
  <c r="D5661" i="1"/>
  <c r="A5661" i="1"/>
  <c r="D13248" i="1"/>
  <c r="A13248" i="1"/>
  <c r="D5660" i="1"/>
  <c r="A5660" i="1"/>
  <c r="D13247" i="1"/>
  <c r="A13247" i="1"/>
  <c r="D13246" i="1"/>
  <c r="A13246" i="1"/>
  <c r="D13245" i="1"/>
  <c r="A13245" i="1"/>
  <c r="D13244" i="1"/>
  <c r="A13244" i="1"/>
  <c r="D13243" i="1"/>
  <c r="A13243" i="1"/>
  <c r="D13242" i="1"/>
  <c r="A13242" i="1"/>
  <c r="D5659" i="1"/>
  <c r="A5659" i="1"/>
  <c r="D13241" i="1"/>
  <c r="A13241" i="1"/>
  <c r="D13240" i="1"/>
  <c r="A13240" i="1"/>
  <c r="D5658" i="1"/>
  <c r="A5658" i="1"/>
  <c r="D5657" i="1"/>
  <c r="A5657" i="1"/>
  <c r="D13239" i="1"/>
  <c r="A13239" i="1"/>
  <c r="D13238" i="1"/>
  <c r="A13238" i="1"/>
  <c r="D5656" i="1"/>
  <c r="A5656" i="1"/>
  <c r="D5655" i="1"/>
  <c r="A5655" i="1"/>
  <c r="D1205" i="1"/>
  <c r="A1205" i="1"/>
  <c r="D13237" i="1"/>
  <c r="A13237" i="1"/>
  <c r="D13236" i="1"/>
  <c r="A13236" i="1"/>
  <c r="D13235" i="1"/>
  <c r="A13235" i="1"/>
  <c r="D13234" i="1"/>
  <c r="A13234" i="1"/>
  <c r="D13233" i="1"/>
  <c r="A13233" i="1"/>
  <c r="D13232" i="1"/>
  <c r="A13232" i="1"/>
  <c r="D13231" i="1"/>
  <c r="A13231" i="1"/>
  <c r="D13230" i="1"/>
  <c r="A13230" i="1"/>
  <c r="D13229" i="1"/>
  <c r="A13229" i="1"/>
  <c r="D13228" i="1"/>
  <c r="A13228" i="1"/>
  <c r="D13227" i="1"/>
  <c r="A13227" i="1"/>
  <c r="D13226" i="1"/>
  <c r="A13226" i="1"/>
  <c r="D13225" i="1"/>
  <c r="A13225" i="1"/>
  <c r="D13224" i="1"/>
  <c r="A13224" i="1"/>
  <c r="D5654" i="1"/>
  <c r="A5654" i="1"/>
  <c r="D5653" i="1"/>
  <c r="A5653" i="1"/>
  <c r="D13223" i="1"/>
  <c r="A13223" i="1"/>
  <c r="D5652" i="1"/>
  <c r="A5652" i="1"/>
  <c r="D5651" i="1"/>
  <c r="A5651" i="1"/>
  <c r="D13222" i="1"/>
  <c r="A13222" i="1"/>
  <c r="D13221" i="1"/>
  <c r="A13221" i="1"/>
  <c r="D5650" i="1"/>
  <c r="A5650" i="1"/>
  <c r="D13220" i="1"/>
  <c r="A13220" i="1"/>
  <c r="D5649" i="1"/>
  <c r="A5649" i="1"/>
  <c r="D5648" i="1"/>
  <c r="A5648" i="1"/>
  <c r="D5647" i="1"/>
  <c r="A5647" i="1"/>
  <c r="D35" i="1"/>
  <c r="A35" i="1"/>
  <c r="D13219" i="1"/>
  <c r="A13219" i="1"/>
  <c r="D5646" i="1"/>
  <c r="A5646" i="1"/>
  <c r="D13218" i="1"/>
  <c r="A13218" i="1"/>
  <c r="D13217" i="1"/>
  <c r="A13217" i="1"/>
  <c r="D13216" i="1"/>
  <c r="A13216" i="1"/>
  <c r="D13215" i="1"/>
  <c r="A13215" i="1"/>
  <c r="D5645" i="1"/>
  <c r="A5645" i="1"/>
  <c r="D5644" i="1"/>
  <c r="A5644" i="1"/>
  <c r="D13214" i="1"/>
  <c r="A13214" i="1"/>
  <c r="D13213" i="1"/>
  <c r="A13213" i="1"/>
  <c r="D13212" i="1"/>
  <c r="A13212" i="1"/>
  <c r="D1204" i="1"/>
  <c r="A1204" i="1"/>
  <c r="D13211" i="1"/>
  <c r="A13211" i="1"/>
  <c r="D13210" i="1"/>
  <c r="A13210" i="1"/>
  <c r="D13209" i="1"/>
  <c r="A13209" i="1"/>
  <c r="D13208" i="1"/>
  <c r="A13208" i="1"/>
  <c r="D13207" i="1"/>
  <c r="A13207" i="1"/>
  <c r="D13206" i="1"/>
  <c r="A13206" i="1"/>
  <c r="D13205" i="1"/>
  <c r="A13205" i="1"/>
  <c r="D13204" i="1"/>
  <c r="A13204" i="1"/>
  <c r="D5643" i="1"/>
  <c r="A5643" i="1"/>
  <c r="D13203" i="1"/>
  <c r="A13203" i="1"/>
  <c r="D1203" i="1"/>
  <c r="A1203" i="1"/>
  <c r="D13202" i="1"/>
  <c r="A13202" i="1"/>
  <c r="D13201" i="1"/>
  <c r="A13201" i="1"/>
  <c r="D13200" i="1"/>
  <c r="A13200" i="1"/>
  <c r="D13199" i="1"/>
  <c r="A13199" i="1"/>
  <c r="D13198" i="1"/>
  <c r="A13198" i="1"/>
  <c r="D13197" i="1"/>
  <c r="A13197" i="1"/>
  <c r="D13196" i="1"/>
  <c r="A13196" i="1"/>
  <c r="D13195" i="1"/>
  <c r="A13195" i="1"/>
  <c r="D13194" i="1"/>
  <c r="A13194" i="1"/>
  <c r="D5642" i="1"/>
  <c r="A5642" i="1"/>
  <c r="D13193" i="1"/>
  <c r="A13193" i="1"/>
  <c r="D13192" i="1"/>
  <c r="A13192" i="1"/>
  <c r="D13191" i="1"/>
  <c r="A13191" i="1"/>
  <c r="D13190" i="1"/>
  <c r="A13190" i="1"/>
  <c r="D13189" i="1"/>
  <c r="A13189" i="1"/>
  <c r="D13188" i="1"/>
  <c r="A13188" i="1"/>
  <c r="D13187" i="1"/>
  <c r="A13187" i="1"/>
  <c r="D13186" i="1"/>
  <c r="A13186" i="1"/>
  <c r="D13185" i="1"/>
  <c r="A13185" i="1"/>
  <c r="D13184" i="1"/>
  <c r="A13184" i="1"/>
  <c r="D13183" i="1"/>
  <c r="A13183" i="1"/>
  <c r="D13182" i="1"/>
  <c r="A13182" i="1"/>
  <c r="D13181" i="1"/>
  <c r="A13181" i="1"/>
  <c r="D13180" i="1"/>
  <c r="A13180" i="1"/>
  <c r="D5641" i="1"/>
  <c r="A5641" i="1"/>
  <c r="D5640" i="1"/>
  <c r="A5640" i="1"/>
  <c r="D13179" i="1"/>
  <c r="A13179" i="1"/>
  <c r="D5639" i="1"/>
  <c r="A5639" i="1"/>
  <c r="D13178" i="1"/>
  <c r="A13178" i="1"/>
  <c r="D13177" i="1"/>
  <c r="A13177" i="1"/>
  <c r="D13176" i="1"/>
  <c r="A13176" i="1"/>
  <c r="D13175" i="1"/>
  <c r="A13175" i="1"/>
  <c r="D13174" i="1"/>
  <c r="A13174" i="1"/>
  <c r="D13173" i="1"/>
  <c r="A13173" i="1"/>
  <c r="D5638" i="1"/>
  <c r="A5638" i="1"/>
  <c r="D13172" i="1"/>
  <c r="A13172" i="1"/>
  <c r="D5637" i="1"/>
  <c r="A5637" i="1"/>
  <c r="D5636" i="1"/>
  <c r="A5636" i="1"/>
  <c r="D13171" i="1"/>
  <c r="A13171" i="1"/>
  <c r="D13170" i="1"/>
  <c r="A13170" i="1"/>
  <c r="D13169" i="1"/>
  <c r="A13169" i="1"/>
  <c r="D719" i="1"/>
  <c r="A719" i="1"/>
  <c r="D13168" i="1"/>
  <c r="A13168" i="1"/>
  <c r="D13167" i="1"/>
  <c r="A13167" i="1"/>
  <c r="D13166" i="1"/>
  <c r="A13166" i="1"/>
  <c r="D13165" i="1"/>
  <c r="A13165" i="1"/>
  <c r="D5635" i="1"/>
  <c r="A5635" i="1"/>
  <c r="D13164" i="1"/>
  <c r="A13164" i="1"/>
  <c r="D5634" i="1"/>
  <c r="A5634" i="1"/>
  <c r="D13163" i="1"/>
  <c r="A13163" i="1"/>
  <c r="D13162" i="1"/>
  <c r="A13162" i="1"/>
  <c r="D5633" i="1"/>
  <c r="A5633" i="1"/>
  <c r="D13161" i="1"/>
  <c r="A13161" i="1"/>
  <c r="D13160" i="1"/>
  <c r="A13160" i="1"/>
  <c r="D13159" i="1"/>
  <c r="A13159" i="1"/>
  <c r="D13158" i="1"/>
  <c r="A13158" i="1"/>
  <c r="D13157" i="1"/>
  <c r="A13157" i="1"/>
  <c r="D5632" i="1"/>
  <c r="A5632" i="1"/>
  <c r="D13156" i="1"/>
  <c r="A13156" i="1"/>
  <c r="D13155" i="1"/>
  <c r="A13155" i="1"/>
  <c r="D1202" i="1"/>
  <c r="A1202" i="1"/>
  <c r="D1201" i="1"/>
  <c r="A1201" i="1"/>
  <c r="D1200" i="1"/>
  <c r="A1200" i="1"/>
  <c r="D1199" i="1"/>
  <c r="A1199" i="1"/>
  <c r="D13154" i="1"/>
  <c r="A13154" i="1"/>
  <c r="D13153" i="1"/>
  <c r="A13153" i="1"/>
  <c r="D5631" i="1"/>
  <c r="A5631" i="1"/>
  <c r="D13152" i="1"/>
  <c r="A13152" i="1"/>
  <c r="D13151" i="1"/>
  <c r="A13151" i="1"/>
  <c r="D13150" i="1"/>
  <c r="A13150" i="1"/>
  <c r="D5630" i="1"/>
  <c r="A5630" i="1"/>
  <c r="D13149" i="1"/>
  <c r="A13149" i="1"/>
  <c r="D5629" i="1"/>
  <c r="A5629" i="1"/>
  <c r="D5628" i="1"/>
  <c r="A5628" i="1"/>
  <c r="D5627" i="1"/>
  <c r="A5627" i="1"/>
  <c r="D5626" i="1"/>
  <c r="A5626" i="1"/>
  <c r="D5625" i="1"/>
  <c r="A5625" i="1"/>
  <c r="D13148" i="1"/>
  <c r="A13148" i="1"/>
  <c r="D13147" i="1"/>
  <c r="A13147" i="1"/>
  <c r="D13146" i="1"/>
  <c r="A13146" i="1"/>
  <c r="D13145" i="1"/>
  <c r="A13145" i="1"/>
  <c r="D13144" i="1"/>
  <c r="A13144" i="1"/>
  <c r="D5624" i="1"/>
  <c r="A5624" i="1"/>
  <c r="D13143" i="1"/>
  <c r="A13143" i="1"/>
  <c r="D13142" i="1"/>
  <c r="A13142" i="1"/>
  <c r="D5623" i="1"/>
  <c r="A5623" i="1"/>
  <c r="D13141" i="1"/>
  <c r="A13141" i="1"/>
  <c r="D13140" i="1"/>
  <c r="A13140" i="1"/>
  <c r="D5622" i="1"/>
  <c r="A5622" i="1"/>
  <c r="D13139" i="1"/>
  <c r="A13139" i="1"/>
  <c r="D13138" i="1"/>
  <c r="A13138" i="1"/>
  <c r="D13137" i="1"/>
  <c r="A13137" i="1"/>
  <c r="D5621" i="1"/>
  <c r="A5621" i="1"/>
  <c r="D13136" i="1"/>
  <c r="A13136" i="1"/>
  <c r="D13135" i="1"/>
  <c r="A13135" i="1"/>
  <c r="D13134" i="1"/>
  <c r="A13134" i="1"/>
  <c r="D13133" i="1"/>
  <c r="A13133" i="1"/>
  <c r="D13132" i="1"/>
  <c r="A13132" i="1"/>
  <c r="D13131" i="1"/>
  <c r="A13131" i="1"/>
  <c r="D5620" i="1"/>
  <c r="A5620" i="1"/>
  <c r="D13130" i="1"/>
  <c r="A13130" i="1"/>
  <c r="D13129" i="1"/>
  <c r="A13129" i="1"/>
  <c r="D13128" i="1"/>
  <c r="A13128" i="1"/>
  <c r="D13127" i="1"/>
  <c r="A13127" i="1"/>
  <c r="D13126" i="1"/>
  <c r="A13126" i="1"/>
  <c r="D13125" i="1"/>
  <c r="A13125" i="1"/>
  <c r="D13124" i="1"/>
  <c r="A13124" i="1"/>
  <c r="D13123" i="1"/>
  <c r="A13123" i="1"/>
  <c r="D13122" i="1"/>
  <c r="A13122" i="1"/>
  <c r="D13121" i="1"/>
  <c r="A13121" i="1"/>
  <c r="D13120" i="1"/>
  <c r="A13120" i="1"/>
  <c r="D5619" i="1"/>
  <c r="A5619" i="1"/>
  <c r="D5618" i="1"/>
  <c r="A5618" i="1"/>
  <c r="D13119" i="1"/>
  <c r="A13119" i="1"/>
  <c r="D13118" i="1"/>
  <c r="A13118" i="1"/>
  <c r="D5617" i="1"/>
  <c r="A5617" i="1"/>
  <c r="D13117" i="1"/>
  <c r="A13117" i="1"/>
  <c r="D13116" i="1"/>
  <c r="A13116" i="1"/>
  <c r="D5616" i="1"/>
  <c r="A5616" i="1"/>
  <c r="D13115" i="1"/>
  <c r="A13115" i="1"/>
  <c r="D13114" i="1"/>
  <c r="A13114" i="1"/>
  <c r="D13113" i="1"/>
  <c r="A13113" i="1"/>
  <c r="D13112" i="1"/>
  <c r="A13112" i="1"/>
  <c r="D13111" i="1"/>
  <c r="A13111" i="1"/>
  <c r="D13110" i="1"/>
  <c r="A13110" i="1"/>
  <c r="D5615" i="1"/>
  <c r="A5615" i="1"/>
  <c r="D1198" i="1"/>
  <c r="A1198" i="1"/>
  <c r="D5614" i="1"/>
  <c r="A5614" i="1"/>
  <c r="D5613" i="1"/>
  <c r="A5613" i="1"/>
  <c r="D5612" i="1"/>
  <c r="A5612" i="1"/>
  <c r="D13109" i="1"/>
  <c r="A13109" i="1"/>
  <c r="D13108" i="1"/>
  <c r="A13108" i="1"/>
  <c r="D13107" i="1"/>
  <c r="A13107" i="1"/>
  <c r="D13106" i="1"/>
  <c r="A13106" i="1"/>
  <c r="D13105" i="1"/>
  <c r="A13105" i="1"/>
  <c r="D5611" i="1"/>
  <c r="A5611" i="1"/>
  <c r="D5610" i="1"/>
  <c r="A5610" i="1"/>
  <c r="D13104" i="1"/>
  <c r="A13104" i="1"/>
  <c r="D13103" i="1"/>
  <c r="A13103" i="1"/>
  <c r="D13102" i="1"/>
  <c r="A13102" i="1"/>
  <c r="D5609" i="1"/>
  <c r="A5609" i="1"/>
  <c r="D13101" i="1"/>
  <c r="A13101" i="1"/>
  <c r="D13100" i="1"/>
  <c r="A13100" i="1"/>
  <c r="D13099" i="1"/>
  <c r="A13099" i="1"/>
  <c r="D13098" i="1"/>
  <c r="A13098" i="1"/>
  <c r="D13097" i="1"/>
  <c r="A13097" i="1"/>
  <c r="D13096" i="1"/>
  <c r="A13096" i="1"/>
  <c r="D13095" i="1"/>
  <c r="A13095" i="1"/>
  <c r="D13094" i="1"/>
  <c r="A13094" i="1"/>
  <c r="D5608" i="1"/>
  <c r="A5608" i="1"/>
  <c r="D13093" i="1"/>
  <c r="A13093" i="1"/>
  <c r="D13092" i="1"/>
  <c r="A13092" i="1"/>
  <c r="D13091" i="1"/>
  <c r="A13091" i="1"/>
  <c r="D5607" i="1"/>
  <c r="A5607" i="1"/>
  <c r="D13090" i="1"/>
  <c r="A13090" i="1"/>
  <c r="D13089" i="1"/>
  <c r="A13089" i="1"/>
  <c r="D13088" i="1"/>
  <c r="A13088" i="1"/>
  <c r="D13087" i="1"/>
  <c r="A13087" i="1"/>
  <c r="D13086" i="1"/>
  <c r="A13086" i="1"/>
  <c r="D13085" i="1"/>
  <c r="A13085" i="1"/>
  <c r="D5606" i="1"/>
  <c r="A5606" i="1"/>
  <c r="D13084" i="1"/>
  <c r="A13084" i="1"/>
  <c r="D13083" i="1"/>
  <c r="A13083" i="1"/>
  <c r="D13082" i="1"/>
  <c r="A13082" i="1"/>
  <c r="D13081" i="1"/>
  <c r="A13081" i="1"/>
  <c r="D13080" i="1"/>
  <c r="A13080" i="1"/>
  <c r="D13079" i="1"/>
  <c r="A13079" i="1"/>
  <c r="D13078" i="1"/>
  <c r="A13078" i="1"/>
  <c r="D13077" i="1"/>
  <c r="A13077" i="1"/>
  <c r="D13076" i="1"/>
  <c r="A13076" i="1"/>
  <c r="D13075" i="1"/>
  <c r="A13075" i="1"/>
  <c r="D13074" i="1"/>
  <c r="A13074" i="1"/>
  <c r="D13073" i="1"/>
  <c r="A13073" i="1"/>
  <c r="D5605" i="1"/>
  <c r="A5605" i="1"/>
  <c r="D13072" i="1"/>
  <c r="A13072" i="1"/>
  <c r="D13071" i="1"/>
  <c r="A13071" i="1"/>
  <c r="D5604" i="1"/>
  <c r="A5604" i="1"/>
  <c r="D13070" i="1"/>
  <c r="A13070" i="1"/>
  <c r="D5603" i="1"/>
  <c r="A5603" i="1"/>
  <c r="D13069" i="1"/>
  <c r="A13069" i="1"/>
  <c r="D1197" i="1"/>
  <c r="A1197" i="1"/>
  <c r="D5602" i="1"/>
  <c r="A5602" i="1"/>
  <c r="D13068" i="1"/>
  <c r="A13068" i="1"/>
  <c r="D13067" i="1"/>
  <c r="A13067" i="1"/>
  <c r="D13066" i="1"/>
  <c r="A13066" i="1"/>
  <c r="D13065" i="1"/>
  <c r="A13065" i="1"/>
  <c r="D13064" i="1"/>
  <c r="A13064" i="1"/>
  <c r="D5601" i="1"/>
  <c r="A5601" i="1"/>
  <c r="D13063" i="1"/>
  <c r="A13063" i="1"/>
  <c r="D13062" i="1"/>
  <c r="A13062" i="1"/>
  <c r="D13061" i="1"/>
  <c r="A13061" i="1"/>
  <c r="D13060" i="1"/>
  <c r="A13060" i="1"/>
  <c r="D5600" i="1"/>
  <c r="A5600" i="1"/>
  <c r="D13059" i="1"/>
  <c r="A13059" i="1"/>
  <c r="D5599" i="1"/>
  <c r="A5599" i="1"/>
  <c r="D13058" i="1"/>
  <c r="A13058" i="1"/>
  <c r="D5598" i="1"/>
  <c r="A5598" i="1"/>
  <c r="D5597" i="1"/>
  <c r="A5597" i="1"/>
  <c r="D13057" i="1"/>
  <c r="A13057" i="1"/>
  <c r="D5596" i="1"/>
  <c r="A5596" i="1"/>
  <c r="D13056" i="1"/>
  <c r="A13056" i="1"/>
  <c r="D13055" i="1"/>
  <c r="A13055" i="1"/>
  <c r="D5595" i="1"/>
  <c r="A5595" i="1"/>
  <c r="D5594" i="1"/>
  <c r="A5594" i="1"/>
  <c r="D13054" i="1"/>
  <c r="A13054" i="1"/>
  <c r="D13053" i="1"/>
  <c r="A13053" i="1"/>
  <c r="D1196" i="1"/>
  <c r="A1196" i="1"/>
  <c r="D13052" i="1"/>
  <c r="A13052" i="1"/>
  <c r="D13051" i="1"/>
  <c r="A13051" i="1"/>
  <c r="D13050" i="1"/>
  <c r="A13050" i="1"/>
  <c r="D5593" i="1"/>
  <c r="A5593" i="1"/>
  <c r="D13049" i="1"/>
  <c r="A13049" i="1"/>
  <c r="D13048" i="1"/>
  <c r="A13048" i="1"/>
  <c r="D13047" i="1"/>
  <c r="A13047" i="1"/>
  <c r="D13046" i="1"/>
  <c r="A13046" i="1"/>
  <c r="D13045" i="1"/>
  <c r="A13045" i="1"/>
  <c r="D13044" i="1"/>
  <c r="A13044" i="1"/>
  <c r="D13043" i="1"/>
  <c r="A13043" i="1"/>
  <c r="D13042" i="1"/>
  <c r="A13042" i="1"/>
  <c r="D13041" i="1"/>
  <c r="A13041" i="1"/>
  <c r="D13040" i="1"/>
  <c r="A13040" i="1"/>
  <c r="D5592" i="1"/>
  <c r="A5592" i="1"/>
  <c r="D5591" i="1"/>
  <c r="A5591" i="1"/>
  <c r="D5590" i="1"/>
  <c r="A5590" i="1"/>
  <c r="D13039" i="1"/>
  <c r="A13039" i="1"/>
  <c r="D13038" i="1"/>
  <c r="A13038" i="1"/>
  <c r="D13037" i="1"/>
  <c r="A13037" i="1"/>
  <c r="D24" i="1"/>
  <c r="A24" i="1"/>
  <c r="D13036" i="1"/>
  <c r="A13036" i="1"/>
  <c r="D5589" i="1"/>
  <c r="A5589" i="1"/>
  <c r="D13035" i="1"/>
  <c r="A13035" i="1"/>
  <c r="D13034" i="1"/>
  <c r="A13034" i="1"/>
  <c r="D13033" i="1"/>
  <c r="A13033" i="1"/>
  <c r="D13032" i="1"/>
  <c r="A13032" i="1"/>
  <c r="D5588" i="1"/>
  <c r="A5588" i="1"/>
  <c r="D13031" i="1"/>
  <c r="A13031" i="1"/>
  <c r="D13030" i="1"/>
  <c r="A13030" i="1"/>
  <c r="D13029" i="1"/>
  <c r="A13029" i="1"/>
  <c r="D13028" i="1"/>
  <c r="A13028" i="1"/>
  <c r="D13027" i="1"/>
  <c r="A13027" i="1"/>
  <c r="D13026" i="1"/>
  <c r="A13026" i="1"/>
  <c r="D13025" i="1"/>
  <c r="A13025" i="1"/>
  <c r="D13024" i="1"/>
  <c r="A13024" i="1"/>
  <c r="D13023" i="1"/>
  <c r="A13023" i="1"/>
  <c r="D13022" i="1"/>
  <c r="A13022" i="1"/>
  <c r="D1195" i="1"/>
  <c r="A1195" i="1"/>
  <c r="D13021" i="1"/>
  <c r="A13021" i="1"/>
  <c r="D13020" i="1"/>
  <c r="A13020" i="1"/>
  <c r="D13019" i="1"/>
  <c r="A13019" i="1"/>
  <c r="D13018" i="1"/>
  <c r="A13018" i="1"/>
  <c r="D13017" i="1"/>
  <c r="A13017" i="1"/>
  <c r="D13016" i="1"/>
  <c r="A13016" i="1"/>
  <c r="D13015" i="1"/>
  <c r="A13015" i="1"/>
  <c r="D13014" i="1"/>
  <c r="A13014" i="1"/>
  <c r="D5587" i="1"/>
  <c r="A5587" i="1"/>
  <c r="D13013" i="1"/>
  <c r="A13013" i="1"/>
  <c r="D13012" i="1"/>
  <c r="A13012" i="1"/>
  <c r="D5586" i="1"/>
  <c r="A5586" i="1"/>
  <c r="D13011" i="1"/>
  <c r="A13011" i="1"/>
  <c r="D13010" i="1"/>
  <c r="A13010" i="1"/>
  <c r="D13009" i="1"/>
  <c r="A13009" i="1"/>
  <c r="D13008" i="1"/>
  <c r="A13008" i="1"/>
  <c r="D13007" i="1"/>
  <c r="A13007" i="1"/>
  <c r="D13006" i="1"/>
  <c r="A13006" i="1"/>
  <c r="D13005" i="1"/>
  <c r="A13005" i="1"/>
  <c r="D13004" i="1"/>
  <c r="A13004" i="1"/>
  <c r="D1194" i="1"/>
  <c r="A1194" i="1"/>
  <c r="D13003" i="1"/>
  <c r="A13003" i="1"/>
  <c r="D1193" i="1"/>
  <c r="A1193" i="1"/>
  <c r="D13002" i="1"/>
  <c r="A13002" i="1"/>
  <c r="D5585" i="1"/>
  <c r="A5585" i="1"/>
  <c r="D13001" i="1"/>
  <c r="A13001" i="1"/>
  <c r="D13000" i="1"/>
  <c r="A13000" i="1"/>
  <c r="D12999" i="1"/>
  <c r="A12999" i="1"/>
  <c r="D5584" i="1"/>
  <c r="A5584" i="1"/>
  <c r="D12998" i="1"/>
  <c r="A12998" i="1"/>
  <c r="D12997" i="1"/>
  <c r="A12997" i="1"/>
  <c r="D5583" i="1"/>
  <c r="A5583" i="1"/>
  <c r="D12996" i="1"/>
  <c r="A12996" i="1"/>
  <c r="D12995" i="1"/>
  <c r="A12995" i="1"/>
  <c r="D5582" i="1"/>
  <c r="A5582" i="1"/>
  <c r="D12994" i="1"/>
  <c r="A12994" i="1"/>
  <c r="D12993" i="1"/>
  <c r="A12993" i="1"/>
  <c r="D12992" i="1"/>
  <c r="A12992" i="1"/>
  <c r="D12991" i="1"/>
  <c r="A12991" i="1"/>
  <c r="D12990" i="1"/>
  <c r="A12990" i="1"/>
  <c r="D12989" i="1"/>
  <c r="A12989" i="1"/>
  <c r="D12988" i="1"/>
  <c r="A12988" i="1"/>
  <c r="D12987" i="1"/>
  <c r="A12987" i="1"/>
  <c r="D12986" i="1"/>
  <c r="A12986" i="1"/>
  <c r="D12985" i="1"/>
  <c r="A12985" i="1"/>
  <c r="D12984" i="1"/>
  <c r="A12984" i="1"/>
  <c r="D12983" i="1"/>
  <c r="A12983" i="1"/>
  <c r="D12982" i="1"/>
  <c r="A12982" i="1"/>
  <c r="D12981" i="1"/>
  <c r="A12981" i="1"/>
  <c r="D12980" i="1"/>
  <c r="A12980" i="1"/>
  <c r="D12979" i="1"/>
  <c r="A12979" i="1"/>
  <c r="D12978" i="1"/>
  <c r="A12978" i="1"/>
  <c r="D12977" i="1"/>
  <c r="A12977" i="1"/>
  <c r="D12976" i="1"/>
  <c r="A12976" i="1"/>
  <c r="D12975" i="1"/>
  <c r="A12975" i="1"/>
  <c r="D12974" i="1"/>
  <c r="A12974" i="1"/>
  <c r="D5581" i="1"/>
  <c r="A5581" i="1"/>
  <c r="D1192" i="1"/>
  <c r="A1192" i="1"/>
  <c r="D5580" i="1"/>
  <c r="A5580" i="1"/>
  <c r="D12973" i="1"/>
  <c r="A12973" i="1"/>
  <c r="D12972" i="1"/>
  <c r="A12972" i="1"/>
  <c r="D12971" i="1"/>
  <c r="A12971" i="1"/>
  <c r="D1191" i="1"/>
  <c r="A1191" i="1"/>
  <c r="D12970" i="1"/>
  <c r="A12970" i="1"/>
  <c r="D12969" i="1"/>
  <c r="A12969" i="1"/>
  <c r="D12968" i="1"/>
  <c r="A12968" i="1"/>
  <c r="D12967" i="1"/>
  <c r="A12967" i="1"/>
  <c r="D12966" i="1"/>
  <c r="A12966" i="1"/>
  <c r="D12965" i="1"/>
  <c r="A12965" i="1"/>
  <c r="D5579" i="1"/>
  <c r="A5579" i="1"/>
  <c r="D12964" i="1"/>
  <c r="A12964" i="1"/>
  <c r="D1190" i="1"/>
  <c r="A1190" i="1"/>
  <c r="D12963" i="1"/>
  <c r="A12963" i="1"/>
  <c r="D12962" i="1"/>
  <c r="A12962" i="1"/>
  <c r="D5578" i="1"/>
  <c r="A5578" i="1"/>
  <c r="D12961" i="1"/>
  <c r="A12961" i="1"/>
  <c r="D12960" i="1"/>
  <c r="A12960" i="1"/>
  <c r="D12959" i="1"/>
  <c r="A12959" i="1"/>
  <c r="D12958" i="1"/>
  <c r="A12958" i="1"/>
  <c r="D12957" i="1"/>
  <c r="A12957" i="1"/>
  <c r="D5577" i="1"/>
  <c r="A5577" i="1"/>
  <c r="D12956" i="1"/>
  <c r="A12956" i="1"/>
  <c r="D12955" i="1"/>
  <c r="A12955" i="1"/>
  <c r="D12954" i="1"/>
  <c r="A12954" i="1"/>
  <c r="D12953" i="1"/>
  <c r="A12953" i="1"/>
  <c r="D12952" i="1"/>
  <c r="A12952" i="1"/>
  <c r="D12951" i="1"/>
  <c r="A12951" i="1"/>
  <c r="D5576" i="1"/>
  <c r="A5576" i="1"/>
  <c r="D12950" i="1"/>
  <c r="A12950" i="1"/>
  <c r="D12949" i="1"/>
  <c r="A12949" i="1"/>
  <c r="D12948" i="1"/>
  <c r="A12948" i="1"/>
  <c r="D12947" i="1"/>
  <c r="A12947" i="1"/>
  <c r="D5575" i="1"/>
  <c r="A5575" i="1"/>
  <c r="D5574" i="1"/>
  <c r="A5574" i="1"/>
  <c r="D12946" i="1"/>
  <c r="A12946" i="1"/>
  <c r="D12945" i="1"/>
  <c r="A12945" i="1"/>
  <c r="D12944" i="1"/>
  <c r="A12944" i="1"/>
  <c r="D12943" i="1"/>
  <c r="A12943" i="1"/>
  <c r="D12942" i="1"/>
  <c r="A12942" i="1"/>
  <c r="D12941" i="1"/>
  <c r="A12941" i="1"/>
  <c r="D12940" i="1"/>
  <c r="A12940" i="1"/>
  <c r="D5573" i="1"/>
  <c r="A5573" i="1"/>
  <c r="D12939" i="1"/>
  <c r="A12939" i="1"/>
  <c r="D12938" i="1"/>
  <c r="A12938" i="1"/>
  <c r="D12937" i="1"/>
  <c r="A12937" i="1"/>
  <c r="D12936" i="1"/>
  <c r="A12936" i="1"/>
  <c r="D5572" i="1"/>
  <c r="A5572" i="1"/>
  <c r="D12935" i="1"/>
  <c r="A12935" i="1"/>
  <c r="D5571" i="1"/>
  <c r="A5571" i="1"/>
  <c r="D12934" i="1"/>
  <c r="A12934" i="1"/>
  <c r="D12933" i="1"/>
  <c r="A12933" i="1"/>
  <c r="D12932" i="1"/>
  <c r="A12932" i="1"/>
  <c r="D5570" i="1"/>
  <c r="A5570" i="1"/>
  <c r="D12931" i="1"/>
  <c r="A12931" i="1"/>
  <c r="D12930" i="1"/>
  <c r="A12930" i="1"/>
  <c r="D12929" i="1"/>
  <c r="A12929" i="1"/>
  <c r="D12928" i="1"/>
  <c r="A12928" i="1"/>
  <c r="D12927" i="1"/>
  <c r="A12927" i="1"/>
  <c r="D12926" i="1"/>
  <c r="A12926" i="1"/>
  <c r="D12925" i="1"/>
  <c r="A12925" i="1"/>
  <c r="D12924" i="1"/>
  <c r="A12924" i="1"/>
  <c r="D12923" i="1"/>
  <c r="A12923" i="1"/>
  <c r="D12922" i="1"/>
  <c r="A12922" i="1"/>
  <c r="D5569" i="1"/>
  <c r="A5569" i="1"/>
  <c r="D12921" i="1"/>
  <c r="A12921" i="1"/>
  <c r="D5568" i="1"/>
  <c r="A5568" i="1"/>
  <c r="D12920" i="1"/>
  <c r="A12920" i="1"/>
  <c r="D12919" i="1"/>
  <c r="A12919" i="1"/>
  <c r="D12918" i="1"/>
  <c r="A12918" i="1"/>
  <c r="D5567" i="1"/>
  <c r="A5567" i="1"/>
  <c r="D12917" i="1"/>
  <c r="A12917" i="1"/>
  <c r="D12916" i="1"/>
  <c r="A12916" i="1"/>
  <c r="D5566" i="1"/>
  <c r="A5566" i="1"/>
  <c r="D12915" i="1"/>
  <c r="A12915" i="1"/>
  <c r="D12914" i="1"/>
  <c r="A12914" i="1"/>
  <c r="D12913" i="1"/>
  <c r="A12913" i="1"/>
  <c r="D12912" i="1"/>
  <c r="A12912" i="1"/>
  <c r="D12911" i="1"/>
  <c r="A12911" i="1"/>
  <c r="D12910" i="1"/>
  <c r="A12910" i="1"/>
  <c r="D12909" i="1"/>
  <c r="A12909" i="1"/>
  <c r="D12908" i="1"/>
  <c r="A12908" i="1"/>
  <c r="D5565" i="1"/>
  <c r="A5565" i="1"/>
  <c r="D12907" i="1"/>
  <c r="A12907" i="1"/>
  <c r="D12906" i="1"/>
  <c r="A12906" i="1"/>
  <c r="D12905" i="1"/>
  <c r="A12905" i="1"/>
  <c r="D5564" i="1"/>
  <c r="A5564" i="1"/>
  <c r="D12904" i="1"/>
  <c r="A12904" i="1"/>
  <c r="D12903" i="1"/>
  <c r="A12903" i="1"/>
  <c r="D12902" i="1"/>
  <c r="A12902" i="1"/>
  <c r="D12901" i="1"/>
  <c r="A12901" i="1"/>
  <c r="D12900" i="1"/>
  <c r="A12900" i="1"/>
  <c r="D12899" i="1"/>
  <c r="A12899" i="1"/>
  <c r="D12898" i="1"/>
  <c r="A12898" i="1"/>
  <c r="D12897" i="1"/>
  <c r="A12897" i="1"/>
  <c r="D12896" i="1"/>
  <c r="A12896" i="1"/>
  <c r="D12895" i="1"/>
  <c r="A12895" i="1"/>
  <c r="D12894" i="1"/>
  <c r="A12894" i="1"/>
  <c r="D1189" i="1"/>
  <c r="A1189" i="1"/>
  <c r="D12893" i="1"/>
  <c r="A12893" i="1"/>
  <c r="D73" i="1"/>
  <c r="A73" i="1"/>
  <c r="D5563" i="1"/>
  <c r="A5563" i="1"/>
  <c r="D12892" i="1"/>
  <c r="A12892" i="1"/>
  <c r="D5562" i="1"/>
  <c r="A5562" i="1"/>
  <c r="D12891" i="1"/>
  <c r="A12891" i="1"/>
  <c r="D5561" i="1"/>
  <c r="A5561" i="1"/>
  <c r="D12890" i="1"/>
  <c r="A12890" i="1"/>
  <c r="D1188" i="1"/>
  <c r="A1188" i="1"/>
  <c r="D5560" i="1"/>
  <c r="A5560" i="1"/>
  <c r="D5559" i="1"/>
  <c r="A5559" i="1"/>
  <c r="D5558" i="1"/>
  <c r="A5558" i="1"/>
  <c r="D12889" i="1"/>
  <c r="A12889" i="1"/>
  <c r="D12888" i="1"/>
  <c r="A12888" i="1"/>
  <c r="D5557" i="1"/>
  <c r="A5557" i="1"/>
  <c r="D12887" i="1"/>
  <c r="A12887" i="1"/>
  <c r="D5556" i="1"/>
  <c r="A5556" i="1"/>
  <c r="D5555" i="1"/>
  <c r="A5555" i="1"/>
  <c r="D12886" i="1"/>
  <c r="A12886" i="1"/>
  <c r="D12885" i="1"/>
  <c r="A12885" i="1"/>
  <c r="D12884" i="1"/>
  <c r="A12884" i="1"/>
  <c r="D12883" i="1"/>
  <c r="A12883" i="1"/>
  <c r="D5554" i="1"/>
  <c r="A5554" i="1"/>
  <c r="D5553" i="1"/>
  <c r="A5553" i="1"/>
  <c r="D12882" i="1"/>
  <c r="A12882" i="1"/>
  <c r="D12881" i="1"/>
  <c r="A12881" i="1"/>
  <c r="D12880" i="1"/>
  <c r="A12880" i="1"/>
  <c r="D12879" i="1"/>
  <c r="A12879" i="1"/>
  <c r="D12878" i="1"/>
  <c r="A12878" i="1"/>
  <c r="D12877" i="1"/>
  <c r="A12877" i="1"/>
  <c r="D1187" i="1"/>
  <c r="A1187" i="1"/>
  <c r="D5552" i="1"/>
  <c r="A5552" i="1"/>
  <c r="D12876" i="1"/>
  <c r="A12876" i="1"/>
  <c r="D12875" i="1"/>
  <c r="A12875" i="1"/>
  <c r="D12874" i="1"/>
  <c r="A12874" i="1"/>
  <c r="D5551" i="1"/>
  <c r="A5551" i="1"/>
  <c r="D1186" i="1"/>
  <c r="A1186" i="1"/>
  <c r="D12873" i="1"/>
  <c r="A12873" i="1"/>
  <c r="D12872" i="1"/>
  <c r="A12872" i="1"/>
  <c r="D1185" i="1"/>
  <c r="A1185" i="1"/>
  <c r="D12871" i="1"/>
  <c r="A12871" i="1"/>
  <c r="D5550" i="1"/>
  <c r="A5550" i="1"/>
  <c r="D12870" i="1"/>
  <c r="A12870" i="1"/>
  <c r="D12869" i="1"/>
  <c r="A12869" i="1"/>
  <c r="D5549" i="1"/>
  <c r="A5549" i="1"/>
  <c r="D12868" i="1"/>
  <c r="A12868" i="1"/>
  <c r="D12867" i="1"/>
  <c r="A12867" i="1"/>
  <c r="D12866" i="1"/>
  <c r="A12866" i="1"/>
  <c r="D12865" i="1"/>
  <c r="A12865" i="1"/>
  <c r="D12864" i="1"/>
  <c r="A12864" i="1"/>
  <c r="D12863" i="1"/>
  <c r="A12863" i="1"/>
  <c r="D12862" i="1"/>
  <c r="A12862" i="1"/>
  <c r="D12861" i="1"/>
  <c r="A12861" i="1"/>
  <c r="D12860" i="1"/>
  <c r="A12860" i="1"/>
  <c r="D5548" i="1"/>
  <c r="A5548" i="1"/>
  <c r="D12859" i="1"/>
  <c r="A12859" i="1"/>
  <c r="D12858" i="1"/>
  <c r="A12858" i="1"/>
  <c r="D12857" i="1"/>
  <c r="A12857" i="1"/>
  <c r="D5547" i="1"/>
  <c r="A5547" i="1"/>
  <c r="D12856" i="1"/>
  <c r="A12856" i="1"/>
  <c r="D5546" i="1"/>
  <c r="A5546" i="1"/>
  <c r="D5545" i="1"/>
  <c r="A5545" i="1"/>
  <c r="D5544" i="1"/>
  <c r="A5544" i="1"/>
  <c r="D5543" i="1"/>
  <c r="A5543" i="1"/>
  <c r="D12855" i="1"/>
  <c r="A12855" i="1"/>
  <c r="D12854" i="1"/>
  <c r="A12854" i="1"/>
  <c r="D12853" i="1"/>
  <c r="A12853" i="1"/>
  <c r="D12852" i="1"/>
  <c r="A12852" i="1"/>
  <c r="D12851" i="1"/>
  <c r="A12851" i="1"/>
  <c r="D12850" i="1"/>
  <c r="A12850" i="1"/>
  <c r="D12849" i="1"/>
  <c r="A12849" i="1"/>
  <c r="D12848" i="1"/>
  <c r="A12848" i="1"/>
  <c r="D12847" i="1"/>
  <c r="A12847" i="1"/>
  <c r="D12846" i="1"/>
  <c r="A12846" i="1"/>
  <c r="D12845" i="1"/>
  <c r="A12845" i="1"/>
  <c r="D12844" i="1"/>
  <c r="A12844" i="1"/>
  <c r="D12843" i="1"/>
  <c r="A12843" i="1"/>
  <c r="D12842" i="1"/>
  <c r="A12842" i="1"/>
  <c r="D12841" i="1"/>
  <c r="A12841" i="1"/>
  <c r="D12840" i="1"/>
  <c r="A12840" i="1"/>
  <c r="D12839" i="1"/>
  <c r="A12839" i="1"/>
  <c r="D12838" i="1"/>
  <c r="A12838" i="1"/>
  <c r="D12837" i="1"/>
  <c r="A12837" i="1"/>
  <c r="D12836" i="1"/>
  <c r="A12836" i="1"/>
  <c r="D12835" i="1"/>
  <c r="A12835" i="1"/>
  <c r="D12834" i="1"/>
  <c r="A12834" i="1"/>
  <c r="D12833" i="1"/>
  <c r="A12833" i="1"/>
  <c r="D5542" i="1"/>
  <c r="A5542" i="1"/>
  <c r="D12832" i="1"/>
  <c r="A12832" i="1"/>
  <c r="D12831" i="1"/>
  <c r="A12831" i="1"/>
  <c r="D12830" i="1"/>
  <c r="A12830" i="1"/>
  <c r="D12829" i="1"/>
  <c r="A12829" i="1"/>
  <c r="D5541" i="1"/>
  <c r="A5541" i="1"/>
  <c r="D12828" i="1"/>
  <c r="A12828" i="1"/>
  <c r="D5540" i="1"/>
  <c r="A5540" i="1"/>
  <c r="D5539" i="1"/>
  <c r="A5539" i="1"/>
  <c r="D5538" i="1"/>
  <c r="A5538" i="1"/>
  <c r="D5537" i="1"/>
  <c r="A5537" i="1"/>
  <c r="D5536" i="1"/>
  <c r="A5536" i="1"/>
  <c r="D12827" i="1"/>
  <c r="A12827" i="1"/>
  <c r="D5535" i="1"/>
  <c r="A5535" i="1"/>
  <c r="D5534" i="1"/>
  <c r="A5534" i="1"/>
  <c r="D12826" i="1"/>
  <c r="A12826" i="1"/>
  <c r="D12825" i="1"/>
  <c r="A12825" i="1"/>
  <c r="D12824" i="1"/>
  <c r="A12824" i="1"/>
  <c r="D12823" i="1"/>
  <c r="A12823" i="1"/>
  <c r="D5533" i="1"/>
  <c r="A5533" i="1"/>
  <c r="D12822" i="1"/>
  <c r="A12822" i="1"/>
  <c r="D12821" i="1"/>
  <c r="A12821" i="1"/>
  <c r="D12820" i="1"/>
  <c r="A12820" i="1"/>
  <c r="D12819" i="1"/>
  <c r="A12819" i="1"/>
  <c r="D1184" i="1"/>
  <c r="A1184" i="1"/>
  <c r="D12818" i="1"/>
  <c r="A12818" i="1"/>
  <c r="D12817" i="1"/>
  <c r="A12817" i="1"/>
  <c r="D12816" i="1"/>
  <c r="A12816" i="1"/>
  <c r="D12815" i="1"/>
  <c r="A12815" i="1"/>
  <c r="D12814" i="1"/>
  <c r="A12814" i="1"/>
  <c r="D12813" i="1"/>
  <c r="A12813" i="1"/>
  <c r="D12812" i="1"/>
  <c r="A12812" i="1"/>
  <c r="D12811" i="1"/>
  <c r="A12811" i="1"/>
  <c r="D12810" i="1"/>
  <c r="A12810" i="1"/>
  <c r="D5532" i="1"/>
  <c r="A5532" i="1"/>
  <c r="D12809" i="1"/>
  <c r="A12809" i="1"/>
  <c r="D12808" i="1"/>
  <c r="A12808" i="1"/>
  <c r="D12807" i="1"/>
  <c r="A12807" i="1"/>
  <c r="D12806" i="1"/>
  <c r="A12806" i="1"/>
  <c r="D5531" i="1"/>
  <c r="A5531" i="1"/>
  <c r="D12805" i="1"/>
  <c r="A12805" i="1"/>
  <c r="D12804" i="1"/>
  <c r="A12804" i="1"/>
  <c r="D12803" i="1"/>
  <c r="A12803" i="1"/>
  <c r="D12802" i="1"/>
  <c r="A12802" i="1"/>
  <c r="D5530" i="1"/>
  <c r="A5530" i="1"/>
  <c r="D12801" i="1"/>
  <c r="A12801" i="1"/>
  <c r="D12800" i="1"/>
  <c r="A12800" i="1"/>
  <c r="D12799" i="1"/>
  <c r="A12799" i="1"/>
  <c r="D5529" i="1"/>
  <c r="A5529" i="1"/>
  <c r="D12798" i="1"/>
  <c r="A12798" i="1"/>
  <c r="D12797" i="1"/>
  <c r="A12797" i="1"/>
  <c r="D5528" i="1"/>
  <c r="A5528" i="1"/>
  <c r="D12796" i="1"/>
  <c r="A12796" i="1"/>
  <c r="D5527" i="1"/>
  <c r="A5527" i="1"/>
  <c r="D12795" i="1"/>
  <c r="A12795" i="1"/>
  <c r="D12794" i="1"/>
  <c r="A12794" i="1"/>
  <c r="D12793" i="1"/>
  <c r="A12793" i="1"/>
  <c r="D5526" i="1"/>
  <c r="A5526" i="1"/>
  <c r="D5525" i="1"/>
  <c r="A5525" i="1"/>
  <c r="D12792" i="1"/>
  <c r="A12792" i="1"/>
  <c r="D1183" i="1"/>
  <c r="A1183" i="1"/>
  <c r="D12791" i="1"/>
  <c r="A12791" i="1"/>
  <c r="D12790" i="1"/>
  <c r="A12790" i="1"/>
  <c r="D12789" i="1"/>
  <c r="A12789" i="1"/>
  <c r="D12788" i="1"/>
  <c r="A12788" i="1"/>
  <c r="D12787" i="1"/>
  <c r="A12787" i="1"/>
  <c r="D12786" i="1"/>
  <c r="A12786" i="1"/>
  <c r="D12785" i="1"/>
  <c r="A12785" i="1"/>
  <c r="D12784" i="1"/>
  <c r="A12784" i="1"/>
  <c r="D28" i="1"/>
  <c r="A28" i="1"/>
  <c r="D12783" i="1"/>
  <c r="A12783" i="1"/>
  <c r="D12782" i="1"/>
  <c r="A12782" i="1"/>
  <c r="D12781" i="1"/>
  <c r="A12781" i="1"/>
  <c r="D12780" i="1"/>
  <c r="A12780" i="1"/>
  <c r="D12779" i="1"/>
  <c r="A12779" i="1"/>
  <c r="D12778" i="1"/>
  <c r="A12778" i="1"/>
  <c r="D5524" i="1"/>
  <c r="A5524" i="1"/>
  <c r="D12777" i="1"/>
  <c r="A12777" i="1"/>
  <c r="D5523" i="1"/>
  <c r="A5523" i="1"/>
  <c r="D12776" i="1"/>
  <c r="A12776" i="1"/>
  <c r="D12775" i="1"/>
  <c r="A12775" i="1"/>
  <c r="D12774" i="1"/>
  <c r="A12774" i="1"/>
  <c r="D1182" i="1"/>
  <c r="A1182" i="1"/>
  <c r="D12773" i="1"/>
  <c r="A12773" i="1"/>
  <c r="D12772" i="1"/>
  <c r="A12772" i="1"/>
  <c r="D12771" i="1"/>
  <c r="A12771" i="1"/>
  <c r="D12770" i="1"/>
  <c r="A12770" i="1"/>
  <c r="D5522" i="1"/>
  <c r="A5522" i="1"/>
  <c r="D12769" i="1"/>
  <c r="A12769" i="1"/>
  <c r="D12768" i="1"/>
  <c r="A12768" i="1"/>
  <c r="D12767" i="1"/>
  <c r="A12767" i="1"/>
  <c r="D12766" i="1"/>
  <c r="A12766" i="1"/>
  <c r="D12765" i="1"/>
  <c r="A12765" i="1"/>
  <c r="D12764" i="1"/>
  <c r="A12764" i="1"/>
  <c r="D5521" i="1"/>
  <c r="A5521" i="1"/>
  <c r="D12763" i="1"/>
  <c r="A12763" i="1"/>
  <c r="D5520" i="1"/>
  <c r="A5520" i="1"/>
  <c r="D12762" i="1"/>
  <c r="A12762" i="1"/>
  <c r="D12761" i="1"/>
  <c r="A12761" i="1"/>
  <c r="D12760" i="1"/>
  <c r="A12760" i="1"/>
  <c r="D12759" i="1"/>
  <c r="A12759" i="1"/>
  <c r="D5519" i="1"/>
  <c r="A5519" i="1"/>
  <c r="D12758" i="1"/>
  <c r="A12758" i="1"/>
  <c r="D5518" i="1"/>
  <c r="A5518" i="1"/>
  <c r="D5517" i="1"/>
  <c r="A5517" i="1"/>
  <c r="D12757" i="1"/>
  <c r="A12757" i="1"/>
  <c r="D12756" i="1"/>
  <c r="A12756" i="1"/>
  <c r="D12755" i="1"/>
  <c r="A12755" i="1"/>
  <c r="D12754" i="1"/>
  <c r="A12754" i="1"/>
  <c r="D12753" i="1"/>
  <c r="A12753" i="1"/>
  <c r="D12752" i="1"/>
  <c r="A12752" i="1"/>
  <c r="D12751" i="1"/>
  <c r="A12751" i="1"/>
  <c r="D5516" i="1"/>
  <c r="A5516" i="1"/>
  <c r="D12750" i="1"/>
  <c r="A12750" i="1"/>
  <c r="D5515" i="1"/>
  <c r="A5515" i="1"/>
  <c r="D12749" i="1"/>
  <c r="A12749" i="1"/>
  <c r="D12748" i="1"/>
  <c r="A12748" i="1"/>
  <c r="D5514" i="1"/>
  <c r="A5514" i="1"/>
  <c r="D12747" i="1"/>
  <c r="A12747" i="1"/>
  <c r="D12746" i="1"/>
  <c r="A12746" i="1"/>
  <c r="D5513" i="1"/>
  <c r="A5513" i="1"/>
  <c r="D12745" i="1"/>
  <c r="A12745" i="1"/>
  <c r="D12744" i="1"/>
  <c r="A12744" i="1"/>
  <c r="D12743" i="1"/>
  <c r="A12743" i="1"/>
  <c r="D12742" i="1"/>
  <c r="A12742" i="1"/>
  <c r="D12741" i="1"/>
  <c r="A12741" i="1"/>
  <c r="D12740" i="1"/>
  <c r="A12740" i="1"/>
  <c r="D5512" i="1"/>
  <c r="A5512" i="1"/>
  <c r="D12739" i="1"/>
  <c r="A12739" i="1"/>
  <c r="D52" i="1"/>
  <c r="A52" i="1"/>
  <c r="D12738" i="1"/>
  <c r="A12738" i="1"/>
  <c r="D12737" i="1"/>
  <c r="A12737" i="1"/>
  <c r="D12736" i="1"/>
  <c r="A12736" i="1"/>
  <c r="D12735" i="1"/>
  <c r="A12735" i="1"/>
  <c r="D5511" i="1"/>
  <c r="A5511" i="1"/>
  <c r="D12734" i="1"/>
  <c r="A12734" i="1"/>
  <c r="D12733" i="1"/>
  <c r="A12733" i="1"/>
  <c r="D12732" i="1"/>
  <c r="A12732" i="1"/>
  <c r="D1181" i="1"/>
  <c r="A1181" i="1"/>
  <c r="D12731" i="1"/>
  <c r="A12731" i="1"/>
  <c r="D12730" i="1"/>
  <c r="A12730" i="1"/>
  <c r="D12729" i="1"/>
  <c r="A12729" i="1"/>
  <c r="D1180" i="1"/>
  <c r="A1180" i="1"/>
  <c r="D12728" i="1"/>
  <c r="A12728" i="1"/>
  <c r="D12727" i="1"/>
  <c r="A12727" i="1"/>
  <c r="D12726" i="1"/>
  <c r="A12726" i="1"/>
  <c r="D12725" i="1"/>
  <c r="A12725" i="1"/>
  <c r="D12724" i="1"/>
  <c r="A12724" i="1"/>
  <c r="D1179" i="1"/>
  <c r="A1179" i="1"/>
  <c r="D12723" i="1"/>
  <c r="A12723" i="1"/>
  <c r="D12722" i="1"/>
  <c r="A12722" i="1"/>
  <c r="D12721" i="1"/>
  <c r="A12721" i="1"/>
  <c r="D5510" i="1"/>
  <c r="A5510" i="1"/>
  <c r="D12720" i="1"/>
  <c r="A12720" i="1"/>
  <c r="D12719" i="1"/>
  <c r="A12719" i="1"/>
  <c r="D12718" i="1"/>
  <c r="A12718" i="1"/>
  <c r="D12717" i="1"/>
  <c r="A12717" i="1"/>
  <c r="D12716" i="1"/>
  <c r="A12716" i="1"/>
  <c r="D12715" i="1"/>
  <c r="A12715" i="1"/>
  <c r="D124" i="1"/>
  <c r="A124" i="1"/>
  <c r="D5509" i="1"/>
  <c r="A5509" i="1"/>
  <c r="D12714" i="1"/>
  <c r="A12714" i="1"/>
  <c r="D12713" i="1"/>
  <c r="A12713" i="1"/>
  <c r="D12712" i="1"/>
  <c r="A12712" i="1"/>
  <c r="D12711" i="1"/>
  <c r="A12711" i="1"/>
  <c r="D5508" i="1"/>
  <c r="A5508" i="1"/>
  <c r="D12710" i="1"/>
  <c r="A12710" i="1"/>
  <c r="D5507" i="1"/>
  <c r="A5507" i="1"/>
  <c r="D12709" i="1"/>
  <c r="A12709" i="1"/>
  <c r="D12708" i="1"/>
  <c r="A12708" i="1"/>
  <c r="D12707" i="1"/>
  <c r="A12707" i="1"/>
  <c r="D12706" i="1"/>
  <c r="A12706" i="1"/>
  <c r="D5506" i="1"/>
  <c r="A5506" i="1"/>
  <c r="D12705" i="1"/>
  <c r="A12705" i="1"/>
  <c r="D12704" i="1"/>
  <c r="A12704" i="1"/>
  <c r="D12703" i="1"/>
  <c r="A12703" i="1"/>
  <c r="D12702" i="1"/>
  <c r="A12702" i="1"/>
  <c r="D12701" i="1"/>
  <c r="A12701" i="1"/>
  <c r="D5505" i="1"/>
  <c r="A5505" i="1"/>
  <c r="D5504" i="1"/>
  <c r="A5504" i="1"/>
  <c r="D12700" i="1"/>
  <c r="A12700" i="1"/>
  <c r="D12699" i="1"/>
  <c r="A12699" i="1"/>
  <c r="D12698" i="1"/>
  <c r="A12698" i="1"/>
  <c r="D12697" i="1"/>
  <c r="A12697" i="1"/>
  <c r="D12696" i="1"/>
  <c r="A12696" i="1"/>
  <c r="D12695" i="1"/>
  <c r="A12695" i="1"/>
  <c r="D12694" i="1"/>
  <c r="A12694" i="1"/>
  <c r="D12693" i="1"/>
  <c r="A12693" i="1"/>
  <c r="D5503" i="1"/>
  <c r="A5503" i="1"/>
  <c r="D5502" i="1"/>
  <c r="A5502" i="1"/>
  <c r="D1178" i="1"/>
  <c r="A1178" i="1"/>
  <c r="D12692" i="1"/>
  <c r="A12692" i="1"/>
  <c r="D5501" i="1"/>
  <c r="A5501" i="1"/>
  <c r="D5500" i="1"/>
  <c r="A5500" i="1"/>
  <c r="D12691" i="1"/>
  <c r="A12691" i="1"/>
  <c r="D12690" i="1"/>
  <c r="A12690" i="1"/>
  <c r="D12689" i="1"/>
  <c r="A12689" i="1"/>
  <c r="D12688" i="1"/>
  <c r="A12688" i="1"/>
  <c r="D5499" i="1"/>
  <c r="A5499" i="1"/>
  <c r="D5498" i="1"/>
  <c r="A5498" i="1"/>
  <c r="D5497" i="1"/>
  <c r="A5497" i="1"/>
  <c r="D12687" i="1"/>
  <c r="A12687" i="1"/>
  <c r="D12686" i="1"/>
  <c r="A12686" i="1"/>
  <c r="D12685" i="1"/>
  <c r="A12685" i="1"/>
  <c r="D12684" i="1"/>
  <c r="A12684" i="1"/>
  <c r="D12683" i="1"/>
  <c r="A12683" i="1"/>
  <c r="D12682" i="1"/>
  <c r="A12682" i="1"/>
  <c r="D12681" i="1"/>
  <c r="A12681" i="1"/>
  <c r="D12680" i="1"/>
  <c r="A12680" i="1"/>
  <c r="D12679" i="1"/>
  <c r="A12679" i="1"/>
  <c r="D12678" i="1"/>
  <c r="A12678" i="1"/>
  <c r="D5496" i="1"/>
  <c r="A5496" i="1"/>
  <c r="D12677" i="1"/>
  <c r="A12677" i="1"/>
  <c r="D5495" i="1"/>
  <c r="A5495" i="1"/>
  <c r="D12676" i="1"/>
  <c r="A12676" i="1"/>
  <c r="D12675" i="1"/>
  <c r="A12675" i="1"/>
  <c r="D12674" i="1"/>
  <c r="A12674" i="1"/>
  <c r="D12673" i="1"/>
  <c r="A12673" i="1"/>
  <c r="D12672" i="1"/>
  <c r="A12672" i="1"/>
  <c r="D12671" i="1"/>
  <c r="A12671" i="1"/>
  <c r="D5494" i="1"/>
  <c r="A5494" i="1"/>
  <c r="D12670" i="1"/>
  <c r="A12670" i="1"/>
  <c r="D12669" i="1"/>
  <c r="A12669" i="1"/>
  <c r="D12668" i="1"/>
  <c r="A12668" i="1"/>
  <c r="D12667" i="1"/>
  <c r="A12667" i="1"/>
  <c r="D12666" i="1"/>
  <c r="A12666" i="1"/>
  <c r="D12665" i="1"/>
  <c r="A12665" i="1"/>
  <c r="D5493" i="1"/>
  <c r="A5493" i="1"/>
  <c r="D12664" i="1"/>
  <c r="A12664" i="1"/>
  <c r="D12663" i="1"/>
  <c r="A12663" i="1"/>
  <c r="D12662" i="1"/>
  <c r="A12662" i="1"/>
  <c r="D5492" i="1"/>
  <c r="A5492" i="1"/>
  <c r="D5491" i="1"/>
  <c r="A5491" i="1"/>
  <c r="D12661" i="1"/>
  <c r="A12661" i="1"/>
  <c r="D12660" i="1"/>
  <c r="A12660" i="1"/>
  <c r="D5490" i="1"/>
  <c r="A5490" i="1"/>
  <c r="D12659" i="1"/>
  <c r="A12659" i="1"/>
  <c r="D12658" i="1"/>
  <c r="A12658" i="1"/>
  <c r="D12657" i="1"/>
  <c r="A12657" i="1"/>
  <c r="D12656" i="1"/>
  <c r="A12656" i="1"/>
  <c r="D12655" i="1"/>
  <c r="A12655" i="1"/>
  <c r="D12654" i="1"/>
  <c r="A12654" i="1"/>
  <c r="D12653" i="1"/>
  <c r="A12653" i="1"/>
  <c r="D12652" i="1"/>
  <c r="A12652" i="1"/>
  <c r="D12651" i="1"/>
  <c r="A12651" i="1"/>
  <c r="D12650" i="1"/>
  <c r="A12650" i="1"/>
  <c r="D12649" i="1"/>
  <c r="A12649" i="1"/>
  <c r="D12648" i="1"/>
  <c r="A12648" i="1"/>
  <c r="D12647" i="1"/>
  <c r="A12647" i="1"/>
  <c r="D12646" i="1"/>
  <c r="A12646" i="1"/>
  <c r="D5489" i="1"/>
  <c r="A5489" i="1"/>
  <c r="D12645" i="1"/>
  <c r="A12645" i="1"/>
  <c r="D5488" i="1"/>
  <c r="A5488" i="1"/>
  <c r="D12644" i="1"/>
  <c r="A12644" i="1"/>
  <c r="D12643" i="1"/>
  <c r="A12643" i="1"/>
  <c r="D12642" i="1"/>
  <c r="A12642" i="1"/>
  <c r="D12641" i="1"/>
  <c r="A12641" i="1"/>
  <c r="D12640" i="1"/>
  <c r="A12640" i="1"/>
  <c r="D12639" i="1"/>
  <c r="A12639" i="1"/>
  <c r="D12638" i="1"/>
  <c r="A12638" i="1"/>
  <c r="D12637" i="1"/>
  <c r="A12637" i="1"/>
  <c r="D718" i="1"/>
  <c r="A718" i="1"/>
  <c r="D12636" i="1"/>
  <c r="A12636" i="1"/>
  <c r="D5487" i="1"/>
  <c r="A5487" i="1"/>
  <c r="D12635" i="1"/>
  <c r="A12635" i="1"/>
  <c r="D12634" i="1"/>
  <c r="A12634" i="1"/>
  <c r="D12633" i="1"/>
  <c r="A12633" i="1"/>
  <c r="D12632" i="1"/>
  <c r="A12632" i="1"/>
  <c r="D12631" i="1"/>
  <c r="A12631" i="1"/>
  <c r="D12630" i="1"/>
  <c r="A12630" i="1"/>
  <c r="D12629" i="1"/>
  <c r="A12629" i="1"/>
  <c r="D12628" i="1"/>
  <c r="A12628" i="1"/>
  <c r="D12627" i="1"/>
  <c r="A12627" i="1"/>
  <c r="D12626" i="1"/>
  <c r="A12626" i="1"/>
  <c r="D12625" i="1"/>
  <c r="A12625" i="1"/>
  <c r="D12624" i="1"/>
  <c r="A12624" i="1"/>
  <c r="D12623" i="1"/>
  <c r="A12623" i="1"/>
  <c r="D12622" i="1"/>
  <c r="A12622" i="1"/>
  <c r="D12621" i="1"/>
  <c r="A12621" i="1"/>
  <c r="D5486" i="1"/>
  <c r="A5486" i="1"/>
  <c r="D5485" i="1"/>
  <c r="A5485" i="1"/>
  <c r="D12620" i="1"/>
  <c r="A12620" i="1"/>
  <c r="D5484" i="1"/>
  <c r="A5484" i="1"/>
  <c r="D12619" i="1"/>
  <c r="A12619" i="1"/>
  <c r="D12618" i="1"/>
  <c r="A12618" i="1"/>
  <c r="D12617" i="1"/>
  <c r="A12617" i="1"/>
  <c r="D12616" i="1"/>
  <c r="A12616" i="1"/>
  <c r="D12615" i="1"/>
  <c r="A12615" i="1"/>
  <c r="D5483" i="1"/>
  <c r="A5483" i="1"/>
  <c r="D12614" i="1"/>
  <c r="A12614" i="1"/>
  <c r="D12613" i="1"/>
  <c r="A12613" i="1"/>
  <c r="D1177" i="1"/>
  <c r="A1177" i="1"/>
  <c r="D12612" i="1"/>
  <c r="A12612" i="1"/>
  <c r="D5482" i="1"/>
  <c r="A5482" i="1"/>
  <c r="D12611" i="1"/>
  <c r="A12611" i="1"/>
  <c r="D12610" i="1"/>
  <c r="A12610" i="1"/>
  <c r="D12609" i="1"/>
  <c r="A12609" i="1"/>
  <c r="D12608" i="1"/>
  <c r="A12608" i="1"/>
  <c r="D5481" i="1"/>
  <c r="A5481" i="1"/>
  <c r="D1176" i="1"/>
  <c r="A1176" i="1"/>
  <c r="D12607" i="1"/>
  <c r="A12607" i="1"/>
  <c r="D12606" i="1"/>
  <c r="A12606" i="1"/>
  <c r="D1175" i="1"/>
  <c r="A1175" i="1"/>
  <c r="D5480" i="1"/>
  <c r="A5480" i="1"/>
  <c r="D12605" i="1"/>
  <c r="A12605" i="1"/>
  <c r="D5479" i="1"/>
  <c r="A5479" i="1"/>
  <c r="D12604" i="1"/>
  <c r="A12604" i="1"/>
  <c r="D12603" i="1"/>
  <c r="A12603" i="1"/>
  <c r="D12602" i="1"/>
  <c r="A12602" i="1"/>
  <c r="D5478" i="1"/>
  <c r="A5478" i="1"/>
  <c r="D12601" i="1"/>
  <c r="A12601" i="1"/>
  <c r="D5477" i="1"/>
  <c r="A5477" i="1"/>
  <c r="D12600" i="1"/>
  <c r="A12600" i="1"/>
  <c r="D12599" i="1"/>
  <c r="A12599" i="1"/>
  <c r="D12598" i="1"/>
  <c r="A12598" i="1"/>
  <c r="D12597" i="1"/>
  <c r="A12597" i="1"/>
  <c r="D12596" i="1"/>
  <c r="A12596" i="1"/>
  <c r="D5476" i="1"/>
  <c r="A5476" i="1"/>
  <c r="D5475" i="1"/>
  <c r="A5475" i="1"/>
  <c r="D5474" i="1"/>
  <c r="A5474" i="1"/>
  <c r="D12595" i="1"/>
  <c r="A12595" i="1"/>
  <c r="D12594" i="1"/>
  <c r="A12594" i="1"/>
  <c r="D12593" i="1"/>
  <c r="A12593" i="1"/>
  <c r="D5473" i="1"/>
  <c r="A5473" i="1"/>
  <c r="D12592" i="1"/>
  <c r="A12592" i="1"/>
  <c r="D12591" i="1"/>
  <c r="A12591" i="1"/>
  <c r="D12590" i="1"/>
  <c r="A12590" i="1"/>
  <c r="D12589" i="1"/>
  <c r="A12589" i="1"/>
  <c r="D12588" i="1"/>
  <c r="A12588" i="1"/>
  <c r="D5472" i="1"/>
  <c r="A5472" i="1"/>
  <c r="D12587" i="1"/>
  <c r="A12587" i="1"/>
  <c r="D12586" i="1"/>
  <c r="A12586" i="1"/>
  <c r="D12585" i="1"/>
  <c r="A12585" i="1"/>
  <c r="D1174" i="1"/>
  <c r="A1174" i="1"/>
  <c r="D12584" i="1"/>
  <c r="A12584" i="1"/>
  <c r="D1173" i="1"/>
  <c r="A1173" i="1"/>
  <c r="D12583" i="1"/>
  <c r="A12583" i="1"/>
  <c r="D5471" i="1"/>
  <c r="A5471" i="1"/>
  <c r="D12582" i="1"/>
  <c r="A12582" i="1"/>
  <c r="D12581" i="1"/>
  <c r="A12581" i="1"/>
  <c r="D12580" i="1"/>
  <c r="A12580" i="1"/>
  <c r="D12579" i="1"/>
  <c r="A12579" i="1"/>
  <c r="D12578" i="1"/>
  <c r="A12578" i="1"/>
  <c r="D12577" i="1"/>
  <c r="A12577" i="1"/>
  <c r="D12576" i="1"/>
  <c r="A12576" i="1"/>
  <c r="D12575" i="1"/>
  <c r="A12575" i="1"/>
  <c r="D12574" i="1"/>
  <c r="A12574" i="1"/>
  <c r="D12573" i="1"/>
  <c r="A12573" i="1"/>
  <c r="D12572" i="1"/>
  <c r="A12572" i="1"/>
  <c r="D12571" i="1"/>
  <c r="A12571" i="1"/>
  <c r="D12570" i="1"/>
  <c r="A12570" i="1"/>
  <c r="D12569" i="1"/>
  <c r="A12569" i="1"/>
  <c r="D5470" i="1"/>
  <c r="A5470" i="1"/>
  <c r="D12568" i="1"/>
  <c r="A12568" i="1"/>
  <c r="D12567" i="1"/>
  <c r="A12567" i="1"/>
  <c r="D12566" i="1"/>
  <c r="A12566" i="1"/>
  <c r="D12565" i="1"/>
  <c r="A12565" i="1"/>
  <c r="D5469" i="1"/>
  <c r="A5469" i="1"/>
  <c r="D12564" i="1"/>
  <c r="A12564" i="1"/>
  <c r="D12563" i="1"/>
  <c r="A12563" i="1"/>
  <c r="D12562" i="1"/>
  <c r="A12562" i="1"/>
  <c r="D12561" i="1"/>
  <c r="A12561" i="1"/>
  <c r="D12560" i="1"/>
  <c r="A12560" i="1"/>
  <c r="D51" i="1"/>
  <c r="A51" i="1"/>
  <c r="D12559" i="1"/>
  <c r="A12559" i="1"/>
  <c r="D12558" i="1"/>
  <c r="A12558" i="1"/>
  <c r="D12557" i="1"/>
  <c r="A12557" i="1"/>
  <c r="D12556" i="1"/>
  <c r="A12556" i="1"/>
  <c r="D12555" i="1"/>
  <c r="A12555" i="1"/>
  <c r="D12554" i="1"/>
  <c r="A12554" i="1"/>
  <c r="D5468" i="1"/>
  <c r="A5468" i="1"/>
  <c r="D12553" i="1"/>
  <c r="A12553" i="1"/>
  <c r="D12552" i="1"/>
  <c r="A12552" i="1"/>
  <c r="D12551" i="1"/>
  <c r="A12551" i="1"/>
  <c r="D12550" i="1"/>
  <c r="A12550" i="1"/>
  <c r="D12549" i="1"/>
  <c r="A12549" i="1"/>
  <c r="D12548" i="1"/>
  <c r="A12548" i="1"/>
  <c r="D12547" i="1"/>
  <c r="A12547" i="1"/>
  <c r="D1172" i="1"/>
  <c r="A1172" i="1"/>
  <c r="D12546" i="1"/>
  <c r="A12546" i="1"/>
  <c r="D12545" i="1"/>
  <c r="A12545" i="1"/>
  <c r="D12544" i="1"/>
  <c r="A12544" i="1"/>
  <c r="D12543" i="1"/>
  <c r="A12543" i="1"/>
  <c r="D12542" i="1"/>
  <c r="A12542" i="1"/>
  <c r="D12541" i="1"/>
  <c r="A12541" i="1"/>
  <c r="D5467" i="1"/>
  <c r="A5467" i="1"/>
  <c r="D5466" i="1"/>
  <c r="A5466" i="1"/>
  <c r="D12540" i="1"/>
  <c r="A12540" i="1"/>
  <c r="D1171" i="1"/>
  <c r="A1171" i="1"/>
  <c r="D12539" i="1"/>
  <c r="A12539" i="1"/>
  <c r="D5465" i="1"/>
  <c r="A5465" i="1"/>
  <c r="D12538" i="1"/>
  <c r="A12538" i="1"/>
  <c r="D12537" i="1"/>
  <c r="A12537" i="1"/>
  <c r="D12536" i="1"/>
  <c r="A12536" i="1"/>
  <c r="D12535" i="1"/>
  <c r="A12535" i="1"/>
  <c r="D12534" i="1"/>
  <c r="A12534" i="1"/>
  <c r="D5464" i="1"/>
  <c r="A5464" i="1"/>
  <c r="D5463" i="1"/>
  <c r="A5463" i="1"/>
  <c r="D5462" i="1"/>
  <c r="A5462" i="1"/>
  <c r="D5461" i="1"/>
  <c r="A5461" i="1"/>
  <c r="D12533" i="1"/>
  <c r="A12533" i="1"/>
  <c r="D5460" i="1"/>
  <c r="A5460" i="1"/>
  <c r="D5459" i="1"/>
  <c r="A5459" i="1"/>
  <c r="D12532" i="1"/>
  <c r="A12532" i="1"/>
  <c r="D12531" i="1"/>
  <c r="A12531" i="1"/>
  <c r="D12530" i="1"/>
  <c r="A12530" i="1"/>
  <c r="D12529" i="1"/>
  <c r="A12529" i="1"/>
  <c r="D12528" i="1"/>
  <c r="A12528" i="1"/>
  <c r="D12527" i="1"/>
  <c r="A12527" i="1"/>
  <c r="D12526" i="1"/>
  <c r="A12526" i="1"/>
  <c r="D12525" i="1"/>
  <c r="A12525" i="1"/>
  <c r="D12524" i="1"/>
  <c r="A12524" i="1"/>
  <c r="D12523" i="1"/>
  <c r="A12523" i="1"/>
  <c r="D5458" i="1"/>
  <c r="A5458" i="1"/>
  <c r="D12522" i="1"/>
  <c r="A12522" i="1"/>
  <c r="D12521" i="1"/>
  <c r="A12521" i="1"/>
  <c r="D12520" i="1"/>
  <c r="A12520" i="1"/>
  <c r="D12519" i="1"/>
  <c r="A12519" i="1"/>
  <c r="D5457" i="1"/>
  <c r="A5457" i="1"/>
  <c r="D5456" i="1"/>
  <c r="A5456" i="1"/>
  <c r="D12518" i="1"/>
  <c r="A12518" i="1"/>
  <c r="D12517" i="1"/>
  <c r="A12517" i="1"/>
  <c r="D5455" i="1"/>
  <c r="A5455" i="1"/>
  <c r="D5454" i="1"/>
  <c r="A5454" i="1"/>
  <c r="D12516" i="1"/>
  <c r="A12516" i="1"/>
  <c r="D12515" i="1"/>
  <c r="A12515" i="1"/>
  <c r="D12514" i="1"/>
  <c r="A12514" i="1"/>
  <c r="D5453" i="1"/>
  <c r="A5453" i="1"/>
  <c r="D12513" i="1"/>
  <c r="A12513" i="1"/>
  <c r="D12512" i="1"/>
  <c r="A12512" i="1"/>
  <c r="D12511" i="1"/>
  <c r="A12511" i="1"/>
  <c r="D5452" i="1"/>
  <c r="A5452" i="1"/>
  <c r="D12510" i="1"/>
  <c r="A12510" i="1"/>
  <c r="D1170" i="1"/>
  <c r="A1170" i="1"/>
  <c r="D12509" i="1"/>
  <c r="A12509" i="1"/>
  <c r="D12508" i="1"/>
  <c r="A12508" i="1"/>
  <c r="D12507" i="1"/>
  <c r="A12507" i="1"/>
  <c r="D12506" i="1"/>
  <c r="A12506" i="1"/>
  <c r="D12505" i="1"/>
  <c r="A12505" i="1"/>
  <c r="D12504" i="1"/>
  <c r="A12504" i="1"/>
  <c r="D12503" i="1"/>
  <c r="A12503" i="1"/>
  <c r="D12502" i="1"/>
  <c r="A12502" i="1"/>
  <c r="D1169" i="1"/>
  <c r="A1169" i="1"/>
  <c r="D12501" i="1"/>
  <c r="A12501" i="1"/>
  <c r="D12500" i="1"/>
  <c r="A12500" i="1"/>
  <c r="D5451" i="1"/>
  <c r="A5451" i="1"/>
  <c r="D5450" i="1"/>
  <c r="A5450" i="1"/>
  <c r="D5449" i="1"/>
  <c r="A5449" i="1"/>
  <c r="D12499" i="1"/>
  <c r="A12499" i="1"/>
  <c r="D12498" i="1"/>
  <c r="A12498" i="1"/>
  <c r="D12497" i="1"/>
  <c r="A12497" i="1"/>
  <c r="D12496" i="1"/>
  <c r="A12496" i="1"/>
  <c r="D12495" i="1"/>
  <c r="A12495" i="1"/>
  <c r="D12494" i="1"/>
  <c r="A12494" i="1"/>
  <c r="D1168" i="1"/>
  <c r="A1168" i="1"/>
  <c r="D12493" i="1"/>
  <c r="A12493" i="1"/>
  <c r="D12492" i="1"/>
  <c r="A12492" i="1"/>
  <c r="D1167" i="1"/>
  <c r="A1167" i="1"/>
  <c r="D12491" i="1"/>
  <c r="A12491" i="1"/>
  <c r="D12490" i="1"/>
  <c r="A12490" i="1"/>
  <c r="D12489" i="1"/>
  <c r="A12489" i="1"/>
  <c r="D12488" i="1"/>
  <c r="A12488" i="1"/>
  <c r="D5448" i="1"/>
  <c r="A5448" i="1"/>
  <c r="D5447" i="1"/>
  <c r="A5447" i="1"/>
  <c r="D5446" i="1"/>
  <c r="A5446" i="1"/>
  <c r="D12487" i="1"/>
  <c r="A12487" i="1"/>
  <c r="D12486" i="1"/>
  <c r="A12486" i="1"/>
  <c r="D12485" i="1"/>
  <c r="A12485" i="1"/>
  <c r="D12484" i="1"/>
  <c r="A12484" i="1"/>
  <c r="D12483" i="1"/>
  <c r="A12483" i="1"/>
  <c r="D5445" i="1"/>
  <c r="A5445" i="1"/>
  <c r="D12482" i="1"/>
  <c r="A12482" i="1"/>
  <c r="D12481" i="1"/>
  <c r="A12481" i="1"/>
  <c r="D12480" i="1"/>
  <c r="A12480" i="1"/>
  <c r="D12479" i="1"/>
  <c r="A12479" i="1"/>
  <c r="D12478" i="1"/>
  <c r="A12478" i="1"/>
  <c r="D12477" i="1"/>
  <c r="A12477" i="1"/>
  <c r="D1166" i="1"/>
  <c r="A1166" i="1"/>
  <c r="D12476" i="1"/>
  <c r="A12476" i="1"/>
  <c r="D12475" i="1"/>
  <c r="A12475" i="1"/>
  <c r="D12474" i="1"/>
  <c r="A12474" i="1"/>
  <c r="D12473" i="1"/>
  <c r="A12473" i="1"/>
  <c r="D12472" i="1"/>
  <c r="A12472" i="1"/>
  <c r="D5444" i="1"/>
  <c r="A5444" i="1"/>
  <c r="D1165" i="1"/>
  <c r="A1165" i="1"/>
  <c r="D12471" i="1"/>
  <c r="A12471" i="1"/>
  <c r="D5443" i="1"/>
  <c r="A5443" i="1"/>
  <c r="D12470" i="1"/>
  <c r="A12470" i="1"/>
  <c r="D12469" i="1"/>
  <c r="A12469" i="1"/>
  <c r="D12468" i="1"/>
  <c r="A12468" i="1"/>
  <c r="D12467" i="1"/>
  <c r="A12467" i="1"/>
  <c r="D12466" i="1"/>
  <c r="A12466" i="1"/>
  <c r="D12465" i="1"/>
  <c r="A12465" i="1"/>
  <c r="D12464" i="1"/>
  <c r="A12464" i="1"/>
  <c r="D12463" i="1"/>
  <c r="A12463" i="1"/>
  <c r="D12462" i="1"/>
  <c r="A12462" i="1"/>
  <c r="D12461" i="1"/>
  <c r="A12461" i="1"/>
  <c r="D12460" i="1"/>
  <c r="A12460" i="1"/>
  <c r="D12459" i="1"/>
  <c r="A12459" i="1"/>
  <c r="D12458" i="1"/>
  <c r="A12458" i="1"/>
  <c r="D12457" i="1"/>
  <c r="A12457" i="1"/>
  <c r="D12456" i="1"/>
  <c r="A12456" i="1"/>
  <c r="D12455" i="1"/>
  <c r="A12455" i="1"/>
  <c r="D12454" i="1"/>
  <c r="A12454" i="1"/>
  <c r="D12453" i="1"/>
  <c r="A12453" i="1"/>
  <c r="D12452" i="1"/>
  <c r="A12452" i="1"/>
  <c r="D12451" i="1"/>
  <c r="A12451" i="1"/>
  <c r="D12450" i="1"/>
  <c r="A12450" i="1"/>
  <c r="D12449" i="1"/>
  <c r="A12449" i="1"/>
  <c r="D12448" i="1"/>
  <c r="A12448" i="1"/>
  <c r="D12447" i="1"/>
  <c r="A12447" i="1"/>
  <c r="D12446" i="1"/>
  <c r="A12446" i="1"/>
  <c r="D5442" i="1"/>
  <c r="A5442" i="1"/>
  <c r="D12445" i="1"/>
  <c r="A12445" i="1"/>
  <c r="D1164" i="1"/>
  <c r="A1164" i="1"/>
  <c r="D12444" i="1"/>
  <c r="A12444" i="1"/>
  <c r="D12443" i="1"/>
  <c r="A12443" i="1"/>
  <c r="D12442" i="1"/>
  <c r="A12442" i="1"/>
  <c r="D12441" i="1"/>
  <c r="A12441" i="1"/>
  <c r="D12440" i="1"/>
  <c r="A12440" i="1"/>
  <c r="D12439" i="1"/>
  <c r="A12439" i="1"/>
  <c r="D12438" i="1"/>
  <c r="A12438" i="1"/>
  <c r="D12437" i="1"/>
  <c r="A12437" i="1"/>
  <c r="D12436" i="1"/>
  <c r="A12436" i="1"/>
  <c r="D12435" i="1"/>
  <c r="A12435" i="1"/>
  <c r="D12434" i="1"/>
  <c r="A12434" i="1"/>
  <c r="D12433" i="1"/>
  <c r="A12433" i="1"/>
  <c r="D12432" i="1"/>
  <c r="A12432" i="1"/>
  <c r="D12431" i="1"/>
  <c r="A12431" i="1"/>
  <c r="D12430" i="1"/>
  <c r="A12430" i="1"/>
  <c r="D5441" i="1"/>
  <c r="A5441" i="1"/>
  <c r="D12429" i="1"/>
  <c r="A12429" i="1"/>
  <c r="D12428" i="1"/>
  <c r="A12428" i="1"/>
  <c r="D5440" i="1"/>
  <c r="A5440" i="1"/>
  <c r="D12427" i="1"/>
  <c r="A12427" i="1"/>
  <c r="D12426" i="1"/>
  <c r="A12426" i="1"/>
  <c r="D5439" i="1"/>
  <c r="A5439" i="1"/>
  <c r="D12425" i="1"/>
  <c r="A12425" i="1"/>
  <c r="D5438" i="1"/>
  <c r="A5438" i="1"/>
  <c r="D5437" i="1"/>
  <c r="A5437" i="1"/>
  <c r="D12424" i="1"/>
  <c r="A12424" i="1"/>
  <c r="D12423" i="1"/>
  <c r="A12423" i="1"/>
  <c r="D5436" i="1"/>
  <c r="A5436" i="1"/>
  <c r="D12422" i="1"/>
  <c r="A12422" i="1"/>
  <c r="D12421" i="1"/>
  <c r="A12421" i="1"/>
  <c r="D5435" i="1"/>
  <c r="A5435" i="1"/>
  <c r="D12420" i="1"/>
  <c r="A12420" i="1"/>
  <c r="D12419" i="1"/>
  <c r="A12419" i="1"/>
  <c r="D12418" i="1"/>
  <c r="A12418" i="1"/>
  <c r="D12417" i="1"/>
  <c r="A12417" i="1"/>
  <c r="D12416" i="1"/>
  <c r="A12416" i="1"/>
  <c r="D12415" i="1"/>
  <c r="A12415" i="1"/>
  <c r="D12414" i="1"/>
  <c r="A12414" i="1"/>
  <c r="D12413" i="1"/>
  <c r="A12413" i="1"/>
  <c r="D5434" i="1"/>
  <c r="A5434" i="1"/>
  <c r="D12412" i="1"/>
  <c r="A12412" i="1"/>
  <c r="D12411" i="1"/>
  <c r="A12411" i="1"/>
  <c r="D12410" i="1"/>
  <c r="A12410" i="1"/>
  <c r="D12409" i="1"/>
  <c r="A12409" i="1"/>
  <c r="D12408" i="1"/>
  <c r="A12408" i="1"/>
  <c r="D12407" i="1"/>
  <c r="A12407" i="1"/>
  <c r="D12406" i="1"/>
  <c r="A12406" i="1"/>
  <c r="D12405" i="1"/>
  <c r="A12405" i="1"/>
  <c r="D12404" i="1"/>
  <c r="A12404" i="1"/>
  <c r="D12403" i="1"/>
  <c r="A12403" i="1"/>
  <c r="D12402" i="1"/>
  <c r="A12402" i="1"/>
  <c r="D12401" i="1"/>
  <c r="A12401" i="1"/>
  <c r="D12400" i="1"/>
  <c r="A12400" i="1"/>
  <c r="D12399" i="1"/>
  <c r="A12399" i="1"/>
  <c r="D12398" i="1"/>
  <c r="A12398" i="1"/>
  <c r="D5433" i="1"/>
  <c r="A5433" i="1"/>
  <c r="D5432" i="1"/>
  <c r="A5432" i="1"/>
  <c r="D12397" i="1"/>
  <c r="A12397" i="1"/>
  <c r="D12396" i="1"/>
  <c r="A12396" i="1"/>
  <c r="D5431" i="1"/>
  <c r="A5431" i="1"/>
  <c r="D5430" i="1"/>
  <c r="A5430" i="1"/>
  <c r="D12395" i="1"/>
  <c r="A12395" i="1"/>
  <c r="D12394" i="1"/>
  <c r="A12394" i="1"/>
  <c r="D12393" i="1"/>
  <c r="A12393" i="1"/>
  <c r="D12392" i="1"/>
  <c r="A12392" i="1"/>
  <c r="D5429" i="1"/>
  <c r="A5429" i="1"/>
  <c r="D12391" i="1"/>
  <c r="A12391" i="1"/>
  <c r="D5428" i="1"/>
  <c r="A5428" i="1"/>
  <c r="D12390" i="1"/>
  <c r="A12390" i="1"/>
  <c r="D12389" i="1"/>
  <c r="A12389" i="1"/>
  <c r="D12388" i="1"/>
  <c r="A12388" i="1"/>
  <c r="D12387" i="1"/>
  <c r="A12387" i="1"/>
  <c r="D1163" i="1"/>
  <c r="A1163" i="1"/>
  <c r="D12386" i="1"/>
  <c r="A12386" i="1"/>
  <c r="D12385" i="1"/>
  <c r="A12385" i="1"/>
  <c r="D5427" i="1"/>
  <c r="A5427" i="1"/>
  <c r="D5426" i="1"/>
  <c r="A5426" i="1"/>
  <c r="D12384" i="1"/>
  <c r="A12384" i="1"/>
  <c r="D5425" i="1"/>
  <c r="A5425" i="1"/>
  <c r="D12383" i="1"/>
  <c r="A12383" i="1"/>
  <c r="D12382" i="1"/>
  <c r="A12382" i="1"/>
  <c r="D5424" i="1"/>
  <c r="A5424" i="1"/>
  <c r="D5423" i="1"/>
  <c r="A5423" i="1"/>
  <c r="D5422" i="1"/>
  <c r="A5422" i="1"/>
  <c r="D12381" i="1"/>
  <c r="A12381" i="1"/>
  <c r="D12380" i="1"/>
  <c r="A12380" i="1"/>
  <c r="D12379" i="1"/>
  <c r="A12379" i="1"/>
  <c r="D12378" i="1"/>
  <c r="A12378" i="1"/>
  <c r="D12377" i="1"/>
  <c r="A12377" i="1"/>
  <c r="D5421" i="1"/>
  <c r="A5421" i="1"/>
  <c r="D12376" i="1"/>
  <c r="A12376" i="1"/>
  <c r="D5420" i="1"/>
  <c r="A5420" i="1"/>
  <c r="D12375" i="1"/>
  <c r="A12375" i="1"/>
  <c r="D12374" i="1"/>
  <c r="A12374" i="1"/>
  <c r="D5419" i="1"/>
  <c r="A5419" i="1"/>
  <c r="D12373" i="1"/>
  <c r="A12373" i="1"/>
  <c r="D12372" i="1"/>
  <c r="A12372" i="1"/>
  <c r="D12371" i="1"/>
  <c r="A12371" i="1"/>
  <c r="D12370" i="1"/>
  <c r="A12370" i="1"/>
  <c r="D12369" i="1"/>
  <c r="A12369" i="1"/>
  <c r="D12368" i="1"/>
  <c r="A12368" i="1"/>
  <c r="D5418" i="1"/>
  <c r="A5418" i="1"/>
  <c r="D5417" i="1"/>
  <c r="A5417" i="1"/>
  <c r="D5416" i="1"/>
  <c r="A5416" i="1"/>
  <c r="D12367" i="1"/>
  <c r="A12367" i="1"/>
  <c r="D12366" i="1"/>
  <c r="A12366" i="1"/>
  <c r="D12365" i="1"/>
  <c r="A12365" i="1"/>
  <c r="D12364" i="1"/>
  <c r="A12364" i="1"/>
  <c r="D12363" i="1"/>
  <c r="A12363" i="1"/>
  <c r="D12362" i="1"/>
  <c r="A12362" i="1"/>
  <c r="D5415" i="1"/>
  <c r="A5415" i="1"/>
  <c r="D5414" i="1"/>
  <c r="A5414" i="1"/>
  <c r="D12361" i="1"/>
  <c r="A12361" i="1"/>
  <c r="D12360" i="1"/>
  <c r="A12360" i="1"/>
  <c r="D5413" i="1"/>
  <c r="A5413" i="1"/>
  <c r="D5412" i="1"/>
  <c r="A5412" i="1"/>
  <c r="D12359" i="1"/>
  <c r="A12359" i="1"/>
  <c r="D12358" i="1"/>
  <c r="A12358" i="1"/>
  <c r="D12357" i="1"/>
  <c r="A12357" i="1"/>
  <c r="D12356" i="1"/>
  <c r="A12356" i="1"/>
  <c r="D12355" i="1"/>
  <c r="A12355" i="1"/>
  <c r="D12354" i="1"/>
  <c r="A12354" i="1"/>
  <c r="D12353" i="1"/>
  <c r="A12353" i="1"/>
  <c r="D12352" i="1"/>
  <c r="A12352" i="1"/>
  <c r="D12351" i="1"/>
  <c r="A12351" i="1"/>
  <c r="D12350" i="1"/>
  <c r="A12350" i="1"/>
  <c r="D12349" i="1"/>
  <c r="A12349" i="1"/>
  <c r="D12348" i="1"/>
  <c r="A12348" i="1"/>
  <c r="D12347" i="1"/>
  <c r="A12347" i="1"/>
  <c r="D12346" i="1"/>
  <c r="A12346" i="1"/>
  <c r="D12345" i="1"/>
  <c r="A12345" i="1"/>
  <c r="D1162" i="1"/>
  <c r="A1162" i="1"/>
  <c r="D5411" i="1"/>
  <c r="A5411" i="1"/>
  <c r="D5410" i="1"/>
  <c r="A5410" i="1"/>
  <c r="D5409" i="1"/>
  <c r="A5409" i="1"/>
  <c r="D12344" i="1"/>
  <c r="A12344" i="1"/>
  <c r="D34" i="1"/>
  <c r="A34" i="1"/>
  <c r="D5408" i="1"/>
  <c r="A5408" i="1"/>
  <c r="D12343" i="1"/>
  <c r="A12343" i="1"/>
  <c r="D12342" i="1"/>
  <c r="A12342" i="1"/>
  <c r="D12341" i="1"/>
  <c r="A12341" i="1"/>
  <c r="D12340" i="1"/>
  <c r="A12340" i="1"/>
  <c r="D12339" i="1"/>
  <c r="A12339" i="1"/>
  <c r="D12338" i="1"/>
  <c r="A12338" i="1"/>
  <c r="D12337" i="1"/>
  <c r="A12337" i="1"/>
  <c r="D12336" i="1"/>
  <c r="A12336" i="1"/>
  <c r="D12335" i="1"/>
  <c r="A12335" i="1"/>
  <c r="D12334" i="1"/>
  <c r="A12334" i="1"/>
  <c r="D12333" i="1"/>
  <c r="A12333" i="1"/>
  <c r="D5407" i="1"/>
  <c r="A5407" i="1"/>
  <c r="D12332" i="1"/>
  <c r="A12332" i="1"/>
  <c r="D12331" i="1"/>
  <c r="A12331" i="1"/>
  <c r="D5406" i="1"/>
  <c r="A5406" i="1"/>
  <c r="D12330" i="1"/>
  <c r="A12330" i="1"/>
  <c r="D12329" i="1"/>
  <c r="A12329" i="1"/>
  <c r="D5405" i="1"/>
  <c r="A5405" i="1"/>
  <c r="D12328" i="1"/>
  <c r="A12328" i="1"/>
  <c r="D12327" i="1"/>
  <c r="A12327" i="1"/>
  <c r="D12326" i="1"/>
  <c r="A12326" i="1"/>
  <c r="D5404" i="1"/>
  <c r="A5404" i="1"/>
  <c r="D1161" i="1"/>
  <c r="A1161" i="1"/>
  <c r="D5403" i="1"/>
  <c r="A5403" i="1"/>
  <c r="D12325" i="1"/>
  <c r="A12325" i="1"/>
  <c r="D12324" i="1"/>
  <c r="A12324" i="1"/>
  <c r="D12323" i="1"/>
  <c r="A12323" i="1"/>
  <c r="D5402" i="1"/>
  <c r="A5402" i="1"/>
  <c r="D5401" i="1"/>
  <c r="A5401" i="1"/>
  <c r="D12322" i="1"/>
  <c r="A12322" i="1"/>
  <c r="D12321" i="1"/>
  <c r="A12321" i="1"/>
  <c r="D12320" i="1"/>
  <c r="A12320" i="1"/>
  <c r="D5400" i="1"/>
  <c r="A5400" i="1"/>
  <c r="D5399" i="1"/>
  <c r="A5399" i="1"/>
  <c r="D5398" i="1"/>
  <c r="A5398" i="1"/>
  <c r="D12319" i="1"/>
  <c r="A12319" i="1"/>
  <c r="D5397" i="1"/>
  <c r="A5397" i="1"/>
  <c r="D12318" i="1"/>
  <c r="A12318" i="1"/>
  <c r="D5396" i="1"/>
  <c r="A5396" i="1"/>
  <c r="D5395" i="1"/>
  <c r="A5395" i="1"/>
  <c r="D12317" i="1"/>
  <c r="A12317" i="1"/>
  <c r="D12316" i="1"/>
  <c r="A12316" i="1"/>
  <c r="D12315" i="1"/>
  <c r="A12315" i="1"/>
  <c r="D5394" i="1"/>
  <c r="A5394" i="1"/>
  <c r="D12314" i="1"/>
  <c r="A12314" i="1"/>
  <c r="D5393" i="1"/>
  <c r="A5393" i="1"/>
  <c r="D5392" i="1"/>
  <c r="A5392" i="1"/>
  <c r="D12313" i="1"/>
  <c r="A12313" i="1"/>
  <c r="D5391" i="1"/>
  <c r="A5391" i="1"/>
  <c r="D12312" i="1"/>
  <c r="A12312" i="1"/>
  <c r="D5390" i="1"/>
  <c r="A5390" i="1"/>
  <c r="D12311" i="1"/>
  <c r="A12311" i="1"/>
  <c r="D5389" i="1"/>
  <c r="A5389" i="1"/>
  <c r="D5388" i="1"/>
  <c r="A5388" i="1"/>
  <c r="D12310" i="1"/>
  <c r="A12310" i="1"/>
  <c r="D12309" i="1"/>
  <c r="A12309" i="1"/>
  <c r="D12308" i="1"/>
  <c r="A12308" i="1"/>
  <c r="D12307" i="1"/>
  <c r="A12307" i="1"/>
  <c r="D12306" i="1"/>
  <c r="A12306" i="1"/>
  <c r="D5387" i="1"/>
  <c r="A5387" i="1"/>
  <c r="D12305" i="1"/>
  <c r="A12305" i="1"/>
  <c r="D5386" i="1"/>
  <c r="A5386" i="1"/>
  <c r="D5385" i="1"/>
  <c r="A5385" i="1"/>
  <c r="D12304" i="1"/>
  <c r="A12304" i="1"/>
  <c r="D12303" i="1"/>
  <c r="A12303" i="1"/>
  <c r="D12302" i="1"/>
  <c r="A12302" i="1"/>
  <c r="D5384" i="1"/>
  <c r="A5384" i="1"/>
  <c r="D12301" i="1"/>
  <c r="A12301" i="1"/>
  <c r="D5383" i="1"/>
  <c r="A5383" i="1"/>
  <c r="D12300" i="1"/>
  <c r="A12300" i="1"/>
  <c r="D12299" i="1"/>
  <c r="A12299" i="1"/>
  <c r="D12298" i="1"/>
  <c r="A12298" i="1"/>
  <c r="D12297" i="1"/>
  <c r="A12297" i="1"/>
  <c r="D12296" i="1"/>
  <c r="A12296" i="1"/>
  <c r="D12295" i="1"/>
  <c r="A12295" i="1"/>
  <c r="D12294" i="1"/>
  <c r="A12294" i="1"/>
  <c r="D12293" i="1"/>
  <c r="A12293" i="1"/>
  <c r="D12292" i="1"/>
  <c r="A12292" i="1"/>
  <c r="D12291" i="1"/>
  <c r="A12291" i="1"/>
  <c r="D12290" i="1"/>
  <c r="A12290" i="1"/>
  <c r="D5382" i="1"/>
  <c r="A5382" i="1"/>
  <c r="D12289" i="1"/>
  <c r="A12289" i="1"/>
  <c r="D5381" i="1"/>
  <c r="A5381" i="1"/>
  <c r="D12288" i="1"/>
  <c r="A12288" i="1"/>
  <c r="D12287" i="1"/>
  <c r="A12287" i="1"/>
  <c r="D12286" i="1"/>
  <c r="A12286" i="1"/>
  <c r="D12285" i="1"/>
  <c r="A12285" i="1"/>
  <c r="D12284" i="1"/>
  <c r="A12284" i="1"/>
  <c r="D5380" i="1"/>
  <c r="A5380" i="1"/>
  <c r="D12283" i="1"/>
  <c r="A12283" i="1"/>
  <c r="D12282" i="1"/>
  <c r="A12282" i="1"/>
  <c r="D5379" i="1"/>
  <c r="A5379" i="1"/>
  <c r="D12281" i="1"/>
  <c r="A12281" i="1"/>
  <c r="D12280" i="1"/>
  <c r="A12280" i="1"/>
  <c r="D12279" i="1"/>
  <c r="A12279" i="1"/>
  <c r="D12278" i="1"/>
  <c r="A12278" i="1"/>
  <c r="D12277" i="1"/>
  <c r="A12277" i="1"/>
  <c r="D5378" i="1"/>
  <c r="A5378" i="1"/>
  <c r="D12276" i="1"/>
  <c r="A12276" i="1"/>
  <c r="D12275" i="1"/>
  <c r="A12275" i="1"/>
  <c r="D5377" i="1"/>
  <c r="A5377" i="1"/>
  <c r="D5376" i="1"/>
  <c r="A5376" i="1"/>
  <c r="D12274" i="1"/>
  <c r="A12274" i="1"/>
  <c r="D12273" i="1"/>
  <c r="A12273" i="1"/>
  <c r="D12272" i="1"/>
  <c r="A12272" i="1"/>
  <c r="D12271" i="1"/>
  <c r="A12271" i="1"/>
  <c r="D12270" i="1"/>
  <c r="A12270" i="1"/>
  <c r="D12269" i="1"/>
  <c r="A12269" i="1"/>
  <c r="D12268" i="1"/>
  <c r="A12268" i="1"/>
  <c r="D12267" i="1"/>
  <c r="A12267" i="1"/>
  <c r="D5375" i="1"/>
  <c r="A5375" i="1"/>
  <c r="D5374" i="1"/>
  <c r="A5374" i="1"/>
  <c r="D123" i="1"/>
  <c r="A123" i="1"/>
  <c r="D12266" i="1"/>
  <c r="A12266" i="1"/>
  <c r="D717" i="1"/>
  <c r="A717" i="1"/>
  <c r="D12265" i="1"/>
  <c r="A12265" i="1"/>
  <c r="D12264" i="1"/>
  <c r="A12264" i="1"/>
  <c r="D12263" i="1"/>
  <c r="A12263" i="1"/>
  <c r="D12262" i="1"/>
  <c r="A12262" i="1"/>
  <c r="D12261" i="1"/>
  <c r="A12261" i="1"/>
  <c r="D5373" i="1"/>
  <c r="A5373" i="1"/>
  <c r="D5372" i="1"/>
  <c r="A5372" i="1"/>
  <c r="D12260" i="1"/>
  <c r="A12260" i="1"/>
  <c r="D12259" i="1"/>
  <c r="A12259" i="1"/>
  <c r="D1160" i="1"/>
  <c r="A1160" i="1"/>
  <c r="D12258" i="1"/>
  <c r="A12258" i="1"/>
  <c r="D12257" i="1"/>
  <c r="A12257" i="1"/>
  <c r="D12256" i="1"/>
  <c r="A12256" i="1"/>
  <c r="D12255" i="1"/>
  <c r="A12255" i="1"/>
  <c r="D12254" i="1"/>
  <c r="A12254" i="1"/>
  <c r="D12253" i="1"/>
  <c r="A12253" i="1"/>
  <c r="D12252" i="1"/>
  <c r="A12252" i="1"/>
  <c r="D12251" i="1"/>
  <c r="A12251" i="1"/>
  <c r="D12250" i="1"/>
  <c r="A12250" i="1"/>
  <c r="D12249" i="1"/>
  <c r="A12249" i="1"/>
  <c r="D12248" i="1"/>
  <c r="A12248" i="1"/>
  <c r="D12247" i="1"/>
  <c r="A12247" i="1"/>
  <c r="D12246" i="1"/>
  <c r="A12246" i="1"/>
  <c r="D12245" i="1"/>
  <c r="A12245" i="1"/>
  <c r="D5371" i="1"/>
  <c r="A5371" i="1"/>
  <c r="D12244" i="1"/>
  <c r="A12244" i="1"/>
  <c r="D12243" i="1"/>
  <c r="A12243" i="1"/>
  <c r="D12242" i="1"/>
  <c r="A12242" i="1"/>
  <c r="D5370" i="1"/>
  <c r="A5370" i="1"/>
  <c r="D12241" i="1"/>
  <c r="A12241" i="1"/>
  <c r="D12240" i="1"/>
  <c r="A12240" i="1"/>
  <c r="D12239" i="1"/>
  <c r="A12239" i="1"/>
  <c r="D12238" i="1"/>
  <c r="A12238" i="1"/>
  <c r="D12237" i="1"/>
  <c r="A12237" i="1"/>
  <c r="D12236" i="1"/>
  <c r="A12236" i="1"/>
  <c r="D12235" i="1"/>
  <c r="A12235" i="1"/>
  <c r="D12234" i="1"/>
  <c r="A12234" i="1"/>
  <c r="D12233" i="1"/>
  <c r="A12233" i="1"/>
  <c r="D12232" i="1"/>
  <c r="A12232" i="1"/>
  <c r="D12231" i="1"/>
  <c r="A12231" i="1"/>
  <c r="D5369" i="1"/>
  <c r="A5369" i="1"/>
  <c r="D12230" i="1"/>
  <c r="A12230" i="1"/>
  <c r="D12229" i="1"/>
  <c r="A12229" i="1"/>
  <c r="D12228" i="1"/>
  <c r="A12228" i="1"/>
  <c r="D12227" i="1"/>
  <c r="A12227" i="1"/>
  <c r="D5368" i="1"/>
  <c r="A5368" i="1"/>
  <c r="D5367" i="1"/>
  <c r="A5367" i="1"/>
  <c r="D12226" i="1"/>
  <c r="A12226" i="1"/>
  <c r="D12225" i="1"/>
  <c r="A12225" i="1"/>
  <c r="D12224" i="1"/>
  <c r="A12224" i="1"/>
  <c r="D12223" i="1"/>
  <c r="A12223" i="1"/>
  <c r="D5366" i="1"/>
  <c r="A5366" i="1"/>
  <c r="D12222" i="1"/>
  <c r="A12222" i="1"/>
  <c r="D12221" i="1"/>
  <c r="A12221" i="1"/>
  <c r="D5365" i="1"/>
  <c r="A5365" i="1"/>
  <c r="D12220" i="1"/>
  <c r="A12220" i="1"/>
  <c r="D12219" i="1"/>
  <c r="A12219" i="1"/>
  <c r="D12218" i="1"/>
  <c r="A12218" i="1"/>
  <c r="D12217" i="1"/>
  <c r="A12217" i="1"/>
  <c r="D12216" i="1"/>
  <c r="A12216" i="1"/>
  <c r="D5364" i="1"/>
  <c r="A5364" i="1"/>
  <c r="D5363" i="1"/>
  <c r="A5363" i="1"/>
  <c r="D5362" i="1"/>
  <c r="A5362" i="1"/>
  <c r="D5361" i="1"/>
  <c r="A5361" i="1"/>
  <c r="D5360" i="1"/>
  <c r="A5360" i="1"/>
  <c r="D12215" i="1"/>
  <c r="A12215" i="1"/>
  <c r="D5359" i="1"/>
  <c r="A5359" i="1"/>
  <c r="D5358" i="1"/>
  <c r="A5358" i="1"/>
  <c r="D5357" i="1"/>
  <c r="A5357" i="1"/>
  <c r="D12214" i="1"/>
  <c r="A12214" i="1"/>
  <c r="D12213" i="1"/>
  <c r="A12213" i="1"/>
  <c r="D12212" i="1"/>
  <c r="A12212" i="1"/>
  <c r="D12211" i="1"/>
  <c r="A12211" i="1"/>
  <c r="D12210" i="1"/>
  <c r="A12210" i="1"/>
  <c r="D5356" i="1"/>
  <c r="A5356" i="1"/>
  <c r="D12209" i="1"/>
  <c r="A12209" i="1"/>
  <c r="D12208" i="1"/>
  <c r="A12208" i="1"/>
  <c r="D5355" i="1"/>
  <c r="A5355" i="1"/>
  <c r="D12207" i="1"/>
  <c r="A12207" i="1"/>
  <c r="D12206" i="1"/>
  <c r="A12206" i="1"/>
  <c r="D12205" i="1"/>
  <c r="A12205" i="1"/>
  <c r="D12204" i="1"/>
  <c r="A12204" i="1"/>
  <c r="D1159" i="1"/>
  <c r="A1159" i="1"/>
  <c r="D12203" i="1"/>
  <c r="A12203" i="1"/>
  <c r="D12202" i="1"/>
  <c r="A12202" i="1"/>
  <c r="D12201" i="1"/>
  <c r="A12201" i="1"/>
  <c r="D12200" i="1"/>
  <c r="A12200" i="1"/>
  <c r="D5354" i="1"/>
  <c r="A5354" i="1"/>
  <c r="D12199" i="1"/>
  <c r="A12199" i="1"/>
  <c r="D5353" i="1"/>
  <c r="A5353" i="1"/>
  <c r="D5352" i="1"/>
  <c r="A5352" i="1"/>
  <c r="D12198" i="1"/>
  <c r="A12198" i="1"/>
  <c r="D12197" i="1"/>
  <c r="A12197" i="1"/>
  <c r="D5351" i="1"/>
  <c r="A5351" i="1"/>
  <c r="D12196" i="1"/>
  <c r="A12196" i="1"/>
  <c r="D5350" i="1"/>
  <c r="A5350" i="1"/>
  <c r="D12195" i="1"/>
  <c r="A12195" i="1"/>
  <c r="D5349" i="1"/>
  <c r="A5349" i="1"/>
  <c r="D1158" i="1"/>
  <c r="A1158" i="1"/>
  <c r="D12194" i="1"/>
  <c r="A12194" i="1"/>
  <c r="D12193" i="1"/>
  <c r="A12193" i="1"/>
  <c r="D5348" i="1"/>
  <c r="A5348" i="1"/>
  <c r="D12192" i="1"/>
  <c r="A12192" i="1"/>
  <c r="D12191" i="1"/>
  <c r="A12191" i="1"/>
  <c r="D12190" i="1"/>
  <c r="A12190" i="1"/>
  <c r="D12189" i="1"/>
  <c r="A12189" i="1"/>
  <c r="D12188" i="1"/>
  <c r="A12188" i="1"/>
  <c r="D5347" i="1"/>
  <c r="A5347" i="1"/>
  <c r="D12187" i="1"/>
  <c r="A12187" i="1"/>
  <c r="D5346" i="1"/>
  <c r="A5346" i="1"/>
  <c r="D5345" i="1"/>
  <c r="A5345" i="1"/>
  <c r="D5344" i="1"/>
  <c r="A5344" i="1"/>
  <c r="D12186" i="1"/>
  <c r="A12186" i="1"/>
  <c r="D12185" i="1"/>
  <c r="A12185" i="1"/>
  <c r="D1157" i="1"/>
  <c r="A1157" i="1"/>
  <c r="D12184" i="1"/>
  <c r="A12184" i="1"/>
  <c r="D12183" i="1"/>
  <c r="A12183" i="1"/>
  <c r="D12182" i="1"/>
  <c r="A12182" i="1"/>
  <c r="D12181" i="1"/>
  <c r="A12181" i="1"/>
  <c r="D12180" i="1"/>
  <c r="A12180" i="1"/>
  <c r="D1156" i="1"/>
  <c r="A1156" i="1"/>
  <c r="D12179" i="1"/>
  <c r="A12179" i="1"/>
  <c r="D12178" i="1"/>
  <c r="A12178" i="1"/>
  <c r="D12177" i="1"/>
  <c r="A12177" i="1"/>
  <c r="D12176" i="1"/>
  <c r="A12176" i="1"/>
  <c r="D12175" i="1"/>
  <c r="A12175" i="1"/>
  <c r="D12174" i="1"/>
  <c r="A12174" i="1"/>
  <c r="D12173" i="1"/>
  <c r="A12173" i="1"/>
  <c r="D12172" i="1"/>
  <c r="A12172" i="1"/>
  <c r="D12171" i="1"/>
  <c r="A12171" i="1"/>
  <c r="D5343" i="1"/>
  <c r="A5343" i="1"/>
  <c r="D12170" i="1"/>
  <c r="A12170" i="1"/>
  <c r="D12169" i="1"/>
  <c r="A12169" i="1"/>
  <c r="D5342" i="1"/>
  <c r="A5342" i="1"/>
  <c r="D5341" i="1"/>
  <c r="A5341" i="1"/>
  <c r="D5340" i="1"/>
  <c r="A5340" i="1"/>
  <c r="D12168" i="1"/>
  <c r="A12168" i="1"/>
  <c r="D5339" i="1"/>
  <c r="A5339" i="1"/>
  <c r="D12167" i="1"/>
  <c r="A12167" i="1"/>
  <c r="D5338" i="1"/>
  <c r="A5338" i="1"/>
  <c r="D12166" i="1"/>
  <c r="A12166" i="1"/>
  <c r="D5337" i="1"/>
  <c r="A5337" i="1"/>
  <c r="D12165" i="1"/>
  <c r="A12165" i="1"/>
  <c r="D12164" i="1"/>
  <c r="A12164" i="1"/>
  <c r="D12163" i="1"/>
  <c r="A12163" i="1"/>
  <c r="D12162" i="1"/>
  <c r="A12162" i="1"/>
  <c r="D12161" i="1"/>
  <c r="A12161" i="1"/>
  <c r="D12160" i="1"/>
  <c r="A12160" i="1"/>
  <c r="D5336" i="1"/>
  <c r="A5336" i="1"/>
  <c r="D12159" i="1"/>
  <c r="A12159" i="1"/>
  <c r="D12158" i="1"/>
  <c r="A12158" i="1"/>
  <c r="D12157" i="1"/>
  <c r="A12157" i="1"/>
  <c r="D12156" i="1"/>
  <c r="A12156" i="1"/>
  <c r="D12155" i="1"/>
  <c r="A12155" i="1"/>
  <c r="D12154" i="1"/>
  <c r="A12154" i="1"/>
  <c r="D5335" i="1"/>
  <c r="A5335" i="1"/>
  <c r="D12153" i="1"/>
  <c r="A12153" i="1"/>
  <c r="D12152" i="1"/>
  <c r="A12152" i="1"/>
  <c r="D5334" i="1"/>
  <c r="A5334" i="1"/>
  <c r="D12151" i="1"/>
  <c r="A12151" i="1"/>
  <c r="D12150" i="1"/>
  <c r="A12150" i="1"/>
  <c r="D12149" i="1"/>
  <c r="A12149" i="1"/>
  <c r="D12148" i="1"/>
  <c r="A12148" i="1"/>
  <c r="D12147" i="1"/>
  <c r="A12147" i="1"/>
  <c r="D12146" i="1"/>
  <c r="A12146" i="1"/>
  <c r="D12145" i="1"/>
  <c r="A12145" i="1"/>
  <c r="D5333" i="1"/>
  <c r="A5333" i="1"/>
  <c r="D12144" i="1"/>
  <c r="A12144" i="1"/>
  <c r="D5332" i="1"/>
  <c r="A5332" i="1"/>
  <c r="D12143" i="1"/>
  <c r="A12143" i="1"/>
  <c r="D12142" i="1"/>
  <c r="A12142" i="1"/>
  <c r="D12141" i="1"/>
  <c r="A12141" i="1"/>
  <c r="D5331" i="1"/>
  <c r="A5331" i="1"/>
  <c r="D12140" i="1"/>
  <c r="A12140" i="1"/>
  <c r="D12139" i="1"/>
  <c r="A12139" i="1"/>
  <c r="D12138" i="1"/>
  <c r="A12138" i="1"/>
  <c r="D12137" i="1"/>
  <c r="A12137" i="1"/>
  <c r="D12136" i="1"/>
  <c r="A12136" i="1"/>
  <c r="D12135" i="1"/>
  <c r="A12135" i="1"/>
  <c r="D12134" i="1"/>
  <c r="A12134" i="1"/>
  <c r="D12133" i="1"/>
  <c r="A12133" i="1"/>
  <c r="D13792" i="1"/>
  <c r="A13792" i="1"/>
  <c r="D12132" i="1"/>
  <c r="A12132" i="1"/>
  <c r="D12131" i="1"/>
  <c r="A12131" i="1"/>
  <c r="D12130" i="1"/>
  <c r="A12130" i="1"/>
  <c r="D12129" i="1"/>
  <c r="A12129" i="1"/>
  <c r="D12128" i="1"/>
  <c r="A12128" i="1"/>
  <c r="D5330" i="1"/>
  <c r="A5330" i="1"/>
  <c r="D5329" i="1"/>
  <c r="A5329" i="1"/>
  <c r="D12127" i="1"/>
  <c r="A12127" i="1"/>
  <c r="D5328" i="1"/>
  <c r="A5328" i="1"/>
  <c r="D12126" i="1"/>
  <c r="A12126" i="1"/>
  <c r="D12125" i="1"/>
  <c r="A12125" i="1"/>
  <c r="D12124" i="1"/>
  <c r="A12124" i="1"/>
  <c r="D12123" i="1"/>
  <c r="A12123" i="1"/>
  <c r="D12122" i="1"/>
  <c r="A12122" i="1"/>
  <c r="D12121" i="1"/>
  <c r="A12121" i="1"/>
  <c r="D12120" i="1"/>
  <c r="A12120" i="1"/>
  <c r="D12119" i="1"/>
  <c r="A12119" i="1"/>
  <c r="D12118" i="1"/>
  <c r="A12118" i="1"/>
  <c r="D12117" i="1"/>
  <c r="A12117" i="1"/>
  <c r="D12116" i="1"/>
  <c r="A12116" i="1"/>
  <c r="D12115" i="1"/>
  <c r="A12115" i="1"/>
  <c r="D12114" i="1"/>
  <c r="A12114" i="1"/>
  <c r="D12113" i="1"/>
  <c r="A12113" i="1"/>
  <c r="D12112" i="1"/>
  <c r="A12112" i="1"/>
  <c r="D716" i="1"/>
  <c r="A716" i="1"/>
  <c r="D12111" i="1"/>
  <c r="A12111" i="1"/>
  <c r="D12110" i="1"/>
  <c r="A12110" i="1"/>
  <c r="D12109" i="1"/>
  <c r="A12109" i="1"/>
  <c r="D12108" i="1"/>
  <c r="A12108" i="1"/>
  <c r="D5327" i="1"/>
  <c r="A5327" i="1"/>
  <c r="D12107" i="1"/>
  <c r="A12107" i="1"/>
  <c r="D12106" i="1"/>
  <c r="A12106" i="1"/>
  <c r="D12105" i="1"/>
  <c r="A12105" i="1"/>
  <c r="D12104" i="1"/>
  <c r="A12104" i="1"/>
  <c r="D12103" i="1"/>
  <c r="A12103" i="1"/>
  <c r="D12102" i="1"/>
  <c r="A12102" i="1"/>
  <c r="D12101" i="1"/>
  <c r="A12101" i="1"/>
  <c r="D12100" i="1"/>
  <c r="A12100" i="1"/>
  <c r="D12099" i="1"/>
  <c r="A12099" i="1"/>
  <c r="D12098" i="1"/>
  <c r="A12098" i="1"/>
  <c r="D12097" i="1"/>
  <c r="A12097" i="1"/>
  <c r="D12096" i="1"/>
  <c r="A12096" i="1"/>
  <c r="D12095" i="1"/>
  <c r="A12095" i="1"/>
  <c r="D12094" i="1"/>
  <c r="A12094" i="1"/>
  <c r="D12093" i="1"/>
  <c r="A12093" i="1"/>
  <c r="D12092" i="1"/>
  <c r="A12092" i="1"/>
  <c r="D12091" i="1"/>
  <c r="A12091" i="1"/>
  <c r="D12090" i="1"/>
  <c r="A12090" i="1"/>
  <c r="D12089" i="1"/>
  <c r="A12089" i="1"/>
  <c r="D12088" i="1"/>
  <c r="A12088" i="1"/>
  <c r="D5326" i="1"/>
  <c r="A5326" i="1"/>
  <c r="D12087" i="1"/>
  <c r="A12087" i="1"/>
  <c r="D12086" i="1"/>
  <c r="A12086" i="1"/>
  <c r="D12085" i="1"/>
  <c r="A12085" i="1"/>
  <c r="D12084" i="1"/>
  <c r="A12084" i="1"/>
  <c r="D12083" i="1"/>
  <c r="A12083" i="1"/>
  <c r="D12082" i="1"/>
  <c r="A12082" i="1"/>
  <c r="D12081" i="1"/>
  <c r="A12081" i="1"/>
  <c r="D12080" i="1"/>
  <c r="A12080" i="1"/>
  <c r="D5325" i="1"/>
  <c r="A5325" i="1"/>
  <c r="D12079" i="1"/>
  <c r="A12079" i="1"/>
  <c r="D715" i="1"/>
  <c r="A715" i="1"/>
  <c r="D12078" i="1"/>
  <c r="A12078" i="1"/>
  <c r="D5324" i="1"/>
  <c r="A5324" i="1"/>
  <c r="D1155" i="1"/>
  <c r="A1155" i="1"/>
  <c r="D12077" i="1"/>
  <c r="A12077" i="1"/>
  <c r="D12076" i="1"/>
  <c r="A12076" i="1"/>
  <c r="D12075" i="1"/>
  <c r="A12075" i="1"/>
  <c r="D12074" i="1"/>
  <c r="A12074" i="1"/>
  <c r="D12073" i="1"/>
  <c r="A12073" i="1"/>
  <c r="D12072" i="1"/>
  <c r="A12072" i="1"/>
  <c r="D12071" i="1"/>
  <c r="A12071" i="1"/>
  <c r="D12070" i="1"/>
  <c r="A12070" i="1"/>
  <c r="D12069" i="1"/>
  <c r="A12069" i="1"/>
  <c r="D12068" i="1"/>
  <c r="A12068" i="1"/>
  <c r="D12067" i="1"/>
  <c r="A12067" i="1"/>
  <c r="D12066" i="1"/>
  <c r="A12066" i="1"/>
  <c r="D12065" i="1"/>
  <c r="A12065" i="1"/>
  <c r="D12064" i="1"/>
  <c r="A12064" i="1"/>
  <c r="D12063" i="1"/>
  <c r="A12063" i="1"/>
  <c r="D5323" i="1"/>
  <c r="A5323" i="1"/>
  <c r="D12062" i="1"/>
  <c r="A12062" i="1"/>
  <c r="D12061" i="1"/>
  <c r="A12061" i="1"/>
  <c r="D12060" i="1"/>
  <c r="A12060" i="1"/>
  <c r="D12059" i="1"/>
  <c r="A12059" i="1"/>
  <c r="D12058" i="1"/>
  <c r="A12058" i="1"/>
  <c r="D12057" i="1"/>
  <c r="A12057" i="1"/>
  <c r="D12056" i="1"/>
  <c r="A12056" i="1"/>
  <c r="D5322" i="1"/>
  <c r="A5322" i="1"/>
  <c r="D5321" i="1"/>
  <c r="A5321" i="1"/>
  <c r="D5320" i="1"/>
  <c r="A5320" i="1"/>
  <c r="D12055" i="1"/>
  <c r="A12055" i="1"/>
  <c r="D12054" i="1"/>
  <c r="A12054" i="1"/>
  <c r="D12053" i="1"/>
  <c r="A12053" i="1"/>
  <c r="D12052" i="1"/>
  <c r="A12052" i="1"/>
  <c r="D12051" i="1"/>
  <c r="A12051" i="1"/>
  <c r="D12050" i="1"/>
  <c r="A12050" i="1"/>
  <c r="D12049" i="1"/>
  <c r="A12049" i="1"/>
  <c r="D1154" i="1"/>
  <c r="A1154" i="1"/>
  <c r="D12048" i="1"/>
  <c r="A12048" i="1"/>
  <c r="D12047" i="1"/>
  <c r="A12047" i="1"/>
  <c r="D5319" i="1"/>
  <c r="A5319" i="1"/>
  <c r="D12046" i="1"/>
  <c r="A12046" i="1"/>
  <c r="D12045" i="1"/>
  <c r="A12045" i="1"/>
  <c r="D12044" i="1"/>
  <c r="A12044" i="1"/>
  <c r="D12043" i="1"/>
  <c r="A12043" i="1"/>
  <c r="D12042" i="1"/>
  <c r="A12042" i="1"/>
  <c r="D12041" i="1"/>
  <c r="A12041" i="1"/>
  <c r="D12040" i="1"/>
  <c r="A12040" i="1"/>
  <c r="D12039" i="1"/>
  <c r="A12039" i="1"/>
  <c r="D12038" i="1"/>
  <c r="A12038" i="1"/>
  <c r="D12037" i="1"/>
  <c r="A12037" i="1"/>
  <c r="D12036" i="1"/>
  <c r="A12036" i="1"/>
  <c r="D12035" i="1"/>
  <c r="A12035" i="1"/>
  <c r="D12034" i="1"/>
  <c r="A12034" i="1"/>
  <c r="D12033" i="1"/>
  <c r="A12033" i="1"/>
  <c r="D12032" i="1"/>
  <c r="A12032" i="1"/>
  <c r="D12031" i="1"/>
  <c r="A12031" i="1"/>
  <c r="D12030" i="1"/>
  <c r="A12030" i="1"/>
  <c r="D12029" i="1"/>
  <c r="A12029" i="1"/>
  <c r="D12028" i="1"/>
  <c r="A12028" i="1"/>
  <c r="D12027" i="1"/>
  <c r="A12027" i="1"/>
  <c r="D12026" i="1"/>
  <c r="A12026" i="1"/>
  <c r="D12025" i="1"/>
  <c r="A12025" i="1"/>
  <c r="D5318" i="1"/>
  <c r="A5318" i="1"/>
  <c r="D12024" i="1"/>
  <c r="A12024" i="1"/>
  <c r="D12023" i="1"/>
  <c r="A12023" i="1"/>
  <c r="D12022" i="1"/>
  <c r="A12022" i="1"/>
  <c r="D12021" i="1"/>
  <c r="A12021" i="1"/>
  <c r="D12020" i="1"/>
  <c r="A12020" i="1"/>
  <c r="D5317" i="1"/>
  <c r="A5317" i="1"/>
  <c r="D12019" i="1"/>
  <c r="A12019" i="1"/>
  <c r="D12018" i="1"/>
  <c r="A12018" i="1"/>
  <c r="D72" i="1"/>
  <c r="A72" i="1"/>
  <c r="D12017" i="1"/>
  <c r="A12017" i="1"/>
  <c r="D12016" i="1"/>
  <c r="A12016" i="1"/>
  <c r="D12015" i="1"/>
  <c r="A12015" i="1"/>
  <c r="D12014" i="1"/>
  <c r="A12014" i="1"/>
  <c r="D12013" i="1"/>
  <c r="A12013" i="1"/>
  <c r="D12012" i="1"/>
  <c r="A12012" i="1"/>
  <c r="D12011" i="1"/>
  <c r="A12011" i="1"/>
  <c r="D12010" i="1"/>
  <c r="A12010" i="1"/>
  <c r="D714" i="1"/>
  <c r="A714" i="1"/>
  <c r="D5316" i="1"/>
  <c r="A5316" i="1"/>
  <c r="D12009" i="1"/>
  <c r="A12009" i="1"/>
  <c r="D5315" i="1"/>
  <c r="A5315" i="1"/>
  <c r="D5314" i="1"/>
  <c r="A5314" i="1"/>
  <c r="D12008" i="1"/>
  <c r="A12008" i="1"/>
  <c r="D12007" i="1"/>
  <c r="A12007" i="1"/>
  <c r="D5313" i="1"/>
  <c r="A5313" i="1"/>
  <c r="D12006" i="1"/>
  <c r="A12006" i="1"/>
  <c r="D12005" i="1"/>
  <c r="A12005" i="1"/>
  <c r="D5312" i="1"/>
  <c r="A5312" i="1"/>
  <c r="D12004" i="1"/>
  <c r="A12004" i="1"/>
  <c r="D12003" i="1"/>
  <c r="A12003" i="1"/>
  <c r="D1153" i="1"/>
  <c r="A1153" i="1"/>
  <c r="D12002" i="1"/>
  <c r="A12002" i="1"/>
  <c r="D12001" i="1"/>
  <c r="A12001" i="1"/>
  <c r="D713" i="1"/>
  <c r="A713" i="1"/>
  <c r="D5311" i="1"/>
  <c r="A5311" i="1"/>
  <c r="D122" i="1"/>
  <c r="A122" i="1"/>
  <c r="D5310" i="1"/>
  <c r="A5310" i="1"/>
  <c r="D12000" i="1"/>
  <c r="A12000" i="1"/>
  <c r="D11999" i="1"/>
  <c r="A11999" i="1"/>
  <c r="D11998" i="1"/>
  <c r="A11998" i="1"/>
  <c r="D11997" i="1"/>
  <c r="A11997" i="1"/>
  <c r="D11996" i="1"/>
  <c r="A11996" i="1"/>
  <c r="D5309" i="1"/>
  <c r="A5309" i="1"/>
  <c r="D11995" i="1"/>
  <c r="A11995" i="1"/>
  <c r="D11994" i="1"/>
  <c r="A11994" i="1"/>
  <c r="D11993" i="1"/>
  <c r="A11993" i="1"/>
  <c r="D11992" i="1"/>
  <c r="A11992" i="1"/>
  <c r="D11991" i="1"/>
  <c r="A11991" i="1"/>
  <c r="D5308" i="1"/>
  <c r="A5308" i="1"/>
  <c r="D11990" i="1"/>
  <c r="A11990" i="1"/>
  <c r="D11989" i="1"/>
  <c r="A11989" i="1"/>
  <c r="D10" i="1"/>
  <c r="A10" i="1"/>
  <c r="D11988" i="1"/>
  <c r="A11988" i="1"/>
  <c r="D11987" i="1"/>
  <c r="A11987" i="1"/>
  <c r="D11986" i="1"/>
  <c r="A11986" i="1"/>
  <c r="D11985" i="1"/>
  <c r="A11985" i="1"/>
  <c r="D121" i="1"/>
  <c r="A121" i="1"/>
  <c r="D5307" i="1"/>
  <c r="A5307" i="1"/>
  <c r="D11984" i="1"/>
  <c r="A11984" i="1"/>
  <c r="D5306" i="1"/>
  <c r="A5306" i="1"/>
  <c r="D5305" i="1"/>
  <c r="A5305" i="1"/>
  <c r="D11983" i="1"/>
  <c r="A11983" i="1"/>
  <c r="D1152" i="1"/>
  <c r="A1152" i="1"/>
  <c r="D11982" i="1"/>
  <c r="A11982" i="1"/>
  <c r="D11981" i="1"/>
  <c r="A11981" i="1"/>
  <c r="D712" i="1"/>
  <c r="A712" i="1"/>
  <c r="D5304" i="1"/>
  <c r="A5304" i="1"/>
  <c r="D5303" i="1"/>
  <c r="A5303" i="1"/>
  <c r="D5302" i="1"/>
  <c r="A5302" i="1"/>
  <c r="D11980" i="1"/>
  <c r="A11980" i="1"/>
  <c r="D11979" i="1"/>
  <c r="A11979" i="1"/>
  <c r="D11978" i="1"/>
  <c r="A11978" i="1"/>
  <c r="D11977" i="1"/>
  <c r="A11977" i="1"/>
  <c r="D11976" i="1"/>
  <c r="A11976" i="1"/>
  <c r="D5301" i="1"/>
  <c r="A5301" i="1"/>
  <c r="D11975" i="1"/>
  <c r="A11975" i="1"/>
  <c r="D5300" i="1"/>
  <c r="A5300" i="1"/>
  <c r="D11974" i="1"/>
  <c r="A11974" i="1"/>
  <c r="D11973" i="1"/>
  <c r="A11973" i="1"/>
  <c r="D711" i="1"/>
  <c r="A711" i="1"/>
  <c r="D11972" i="1"/>
  <c r="A11972" i="1"/>
  <c r="D11971" i="1"/>
  <c r="A11971" i="1"/>
  <c r="D5299" i="1"/>
  <c r="A5299" i="1"/>
  <c r="D11970" i="1"/>
  <c r="A11970" i="1"/>
  <c r="D11969" i="1"/>
  <c r="A11969" i="1"/>
  <c r="D11968" i="1"/>
  <c r="A11968" i="1"/>
  <c r="D5298" i="1"/>
  <c r="A5298" i="1"/>
  <c r="D11967" i="1"/>
  <c r="A11967" i="1"/>
  <c r="D11966" i="1"/>
  <c r="A11966" i="1"/>
  <c r="D11965" i="1"/>
  <c r="A11965" i="1"/>
  <c r="D11964" i="1"/>
  <c r="A11964" i="1"/>
  <c r="D5297" i="1"/>
  <c r="A5297" i="1"/>
  <c r="D11963" i="1"/>
  <c r="A11963" i="1"/>
  <c r="D5296" i="1"/>
  <c r="A5296" i="1"/>
  <c r="D5295" i="1"/>
  <c r="A5295" i="1"/>
  <c r="D11962" i="1"/>
  <c r="A11962" i="1"/>
  <c r="D710" i="1"/>
  <c r="A710" i="1"/>
  <c r="D11961" i="1"/>
  <c r="A11961" i="1"/>
  <c r="D11960" i="1"/>
  <c r="A11960" i="1"/>
  <c r="D11959" i="1"/>
  <c r="A11959" i="1"/>
  <c r="D11958" i="1"/>
  <c r="A11958" i="1"/>
  <c r="D11957" i="1"/>
  <c r="A11957" i="1"/>
  <c r="D11956" i="1"/>
  <c r="A11956" i="1"/>
  <c r="D120" i="1"/>
  <c r="A120" i="1"/>
  <c r="D11955" i="1"/>
  <c r="A11955" i="1"/>
  <c r="D119" i="1"/>
  <c r="A119" i="1"/>
  <c r="D11954" i="1"/>
  <c r="A11954" i="1"/>
  <c r="D5294" i="1"/>
  <c r="A5294" i="1"/>
  <c r="D11953" i="1"/>
  <c r="A11953" i="1"/>
  <c r="D11952" i="1"/>
  <c r="A11952" i="1"/>
  <c r="D11951" i="1"/>
  <c r="A11951" i="1"/>
  <c r="D11950" i="1"/>
  <c r="A11950" i="1"/>
  <c r="D11949" i="1"/>
  <c r="A11949" i="1"/>
  <c r="D11948" i="1"/>
  <c r="A11948" i="1"/>
  <c r="D11947" i="1"/>
  <c r="A11947" i="1"/>
  <c r="D11946" i="1"/>
  <c r="A11946" i="1"/>
  <c r="D11945" i="1"/>
  <c r="A11945" i="1"/>
  <c r="D5293" i="1"/>
  <c r="A5293" i="1"/>
  <c r="D11944" i="1"/>
  <c r="A11944" i="1"/>
  <c r="D11943" i="1"/>
  <c r="A11943" i="1"/>
  <c r="D11942" i="1"/>
  <c r="A11942" i="1"/>
  <c r="D5292" i="1"/>
  <c r="A5292" i="1"/>
  <c r="D11941" i="1"/>
  <c r="A11941" i="1"/>
  <c r="D709" i="1"/>
  <c r="A709" i="1"/>
  <c r="D5291" i="1"/>
  <c r="A5291" i="1"/>
  <c r="D5290" i="1"/>
  <c r="A5290" i="1"/>
  <c r="D5289" i="1"/>
  <c r="A5289" i="1"/>
  <c r="D11940" i="1"/>
  <c r="A11940" i="1"/>
  <c r="D5288" i="1"/>
  <c r="A5288" i="1"/>
  <c r="D11939" i="1"/>
  <c r="A11939" i="1"/>
  <c r="D1151" i="1"/>
  <c r="A1151" i="1"/>
  <c r="D11938" i="1"/>
  <c r="A11938" i="1"/>
  <c r="D11937" i="1"/>
  <c r="A11937" i="1"/>
  <c r="D11936" i="1"/>
  <c r="A11936" i="1"/>
  <c r="D11935" i="1"/>
  <c r="A11935" i="1"/>
  <c r="D11934" i="1"/>
  <c r="A11934" i="1"/>
  <c r="D708" i="1"/>
  <c r="A708" i="1"/>
  <c r="D5287" i="1"/>
  <c r="A5287" i="1"/>
  <c r="D11933" i="1"/>
  <c r="A11933" i="1"/>
  <c r="D11932" i="1"/>
  <c r="A11932" i="1"/>
  <c r="D11931" i="1"/>
  <c r="A11931" i="1"/>
  <c r="D11930" i="1"/>
  <c r="A11930" i="1"/>
  <c r="D11929" i="1"/>
  <c r="A11929" i="1"/>
  <c r="D11928" i="1"/>
  <c r="A11928" i="1"/>
  <c r="D5286" i="1"/>
  <c r="A5286" i="1"/>
  <c r="D11927" i="1"/>
  <c r="A11927" i="1"/>
  <c r="D11926" i="1"/>
  <c r="A11926" i="1"/>
  <c r="D11925" i="1"/>
  <c r="A11925" i="1"/>
  <c r="D11924" i="1"/>
  <c r="A11924" i="1"/>
  <c r="D5285" i="1"/>
  <c r="A5285" i="1"/>
  <c r="D11923" i="1"/>
  <c r="A11923" i="1"/>
  <c r="D11922" i="1"/>
  <c r="A11922" i="1"/>
  <c r="D11921" i="1"/>
  <c r="A11921" i="1"/>
  <c r="D11920" i="1"/>
  <c r="A11920" i="1"/>
  <c r="D11919" i="1"/>
  <c r="A11919" i="1"/>
  <c r="D11918" i="1"/>
  <c r="A11918" i="1"/>
  <c r="D5284" i="1"/>
  <c r="A5284" i="1"/>
  <c r="D5283" i="1"/>
  <c r="A5283" i="1"/>
  <c r="D5282" i="1"/>
  <c r="A5282" i="1"/>
  <c r="D5281" i="1"/>
  <c r="A5281" i="1"/>
  <c r="D11917" i="1"/>
  <c r="A11917" i="1"/>
  <c r="D5280" i="1"/>
  <c r="A5280" i="1"/>
  <c r="D5279" i="1"/>
  <c r="A5279" i="1"/>
  <c r="D11916" i="1"/>
  <c r="A11916" i="1"/>
  <c r="D11915" i="1"/>
  <c r="A11915" i="1"/>
  <c r="D5278" i="1"/>
  <c r="A5278" i="1"/>
  <c r="D5277" i="1"/>
  <c r="A5277" i="1"/>
  <c r="D11914" i="1"/>
  <c r="A11914" i="1"/>
  <c r="D5276" i="1"/>
  <c r="A5276" i="1"/>
  <c r="D5275" i="1"/>
  <c r="A5275" i="1"/>
  <c r="D11913" i="1"/>
  <c r="A11913" i="1"/>
  <c r="D5274" i="1"/>
  <c r="A5274" i="1"/>
  <c r="D11912" i="1"/>
  <c r="A11912" i="1"/>
  <c r="D11911" i="1"/>
  <c r="A11911" i="1"/>
  <c r="D11910" i="1"/>
  <c r="A11910" i="1"/>
  <c r="D11909" i="1"/>
  <c r="A11909" i="1"/>
  <c r="D11908" i="1"/>
  <c r="A11908" i="1"/>
  <c r="D11907" i="1"/>
  <c r="A11907" i="1"/>
  <c r="D5273" i="1"/>
  <c r="A5273" i="1"/>
  <c r="D11906" i="1"/>
  <c r="A11906" i="1"/>
  <c r="D5272" i="1"/>
  <c r="A5272" i="1"/>
  <c r="D5271" i="1"/>
  <c r="A5271" i="1"/>
  <c r="D11905" i="1"/>
  <c r="A11905" i="1"/>
  <c r="D11904" i="1"/>
  <c r="A11904" i="1"/>
  <c r="D11903" i="1"/>
  <c r="A11903" i="1"/>
  <c r="D11902" i="1"/>
  <c r="A11902" i="1"/>
  <c r="D11901" i="1"/>
  <c r="A11901" i="1"/>
  <c r="D5270" i="1"/>
  <c r="A5270" i="1"/>
  <c r="D5269" i="1"/>
  <c r="A5269" i="1"/>
  <c r="D11900" i="1"/>
  <c r="A11900" i="1"/>
  <c r="D11899" i="1"/>
  <c r="A11899" i="1"/>
  <c r="D11898" i="1"/>
  <c r="A11898" i="1"/>
  <c r="D11897" i="1"/>
  <c r="A11897" i="1"/>
  <c r="D11896" i="1"/>
  <c r="A11896" i="1"/>
  <c r="D707" i="1"/>
  <c r="A707" i="1"/>
  <c r="D11895" i="1"/>
  <c r="A11895" i="1"/>
  <c r="D11894" i="1"/>
  <c r="A11894" i="1"/>
  <c r="D11893" i="1"/>
  <c r="A11893" i="1"/>
  <c r="D11892" i="1"/>
  <c r="A11892" i="1"/>
  <c r="D11891" i="1"/>
  <c r="A11891" i="1"/>
  <c r="D11890" i="1"/>
  <c r="A11890" i="1"/>
  <c r="D11889" i="1"/>
  <c r="A11889" i="1"/>
  <c r="D11888" i="1"/>
  <c r="A11888" i="1"/>
  <c r="D11887" i="1"/>
  <c r="A11887" i="1"/>
  <c r="D5268" i="1"/>
  <c r="A5268" i="1"/>
  <c r="D11886" i="1"/>
  <c r="A11886" i="1"/>
  <c r="D11885" i="1"/>
  <c r="A11885" i="1"/>
  <c r="D11884" i="1"/>
  <c r="A11884" i="1"/>
  <c r="D11883" i="1"/>
  <c r="A11883" i="1"/>
  <c r="D11882" i="1"/>
  <c r="A11882" i="1"/>
  <c r="D11881" i="1"/>
  <c r="A11881" i="1"/>
  <c r="D11880" i="1"/>
  <c r="A11880" i="1"/>
  <c r="D11879" i="1"/>
  <c r="A11879" i="1"/>
  <c r="D11878" i="1"/>
  <c r="A11878" i="1"/>
  <c r="D11877" i="1"/>
  <c r="A11877" i="1"/>
  <c r="D11876" i="1"/>
  <c r="A11876" i="1"/>
  <c r="D11875" i="1"/>
  <c r="A11875" i="1"/>
  <c r="D11874" i="1"/>
  <c r="A11874" i="1"/>
  <c r="D11873" i="1"/>
  <c r="A11873" i="1"/>
  <c r="D11872" i="1"/>
  <c r="A11872" i="1"/>
  <c r="D11871" i="1"/>
  <c r="A11871" i="1"/>
  <c r="D11870" i="1"/>
  <c r="A11870" i="1"/>
  <c r="D11869" i="1"/>
  <c r="A11869" i="1"/>
  <c r="D11868" i="1"/>
  <c r="A11868" i="1"/>
  <c r="D11867" i="1"/>
  <c r="A11867" i="1"/>
  <c r="D5267" i="1"/>
  <c r="A5267" i="1"/>
  <c r="D11866" i="1"/>
  <c r="A11866" i="1"/>
  <c r="D11865" i="1"/>
  <c r="A11865" i="1"/>
  <c r="D11864" i="1"/>
  <c r="A11864" i="1"/>
  <c r="D5266" i="1"/>
  <c r="A5266" i="1"/>
  <c r="D5265" i="1"/>
  <c r="A5265" i="1"/>
  <c r="D11863" i="1"/>
  <c r="A11863" i="1"/>
  <c r="D11862" i="1"/>
  <c r="A11862" i="1"/>
  <c r="D11861" i="1"/>
  <c r="A11861" i="1"/>
  <c r="D11860" i="1"/>
  <c r="A11860" i="1"/>
  <c r="D11859" i="1"/>
  <c r="A11859" i="1"/>
  <c r="D11858" i="1"/>
  <c r="A11858" i="1"/>
  <c r="D11857" i="1"/>
  <c r="A11857" i="1"/>
  <c r="D11856" i="1"/>
  <c r="A11856" i="1"/>
  <c r="D11855" i="1"/>
  <c r="A11855" i="1"/>
  <c r="D5264" i="1"/>
  <c r="A5264" i="1"/>
  <c r="D11854" i="1"/>
  <c r="A11854" i="1"/>
  <c r="D11853" i="1"/>
  <c r="A11853" i="1"/>
  <c r="D11852" i="1"/>
  <c r="A11852" i="1"/>
  <c r="D11851" i="1"/>
  <c r="A11851" i="1"/>
  <c r="D11850" i="1"/>
  <c r="A11850" i="1"/>
  <c r="D11849" i="1"/>
  <c r="A11849" i="1"/>
  <c r="D11848" i="1"/>
  <c r="A11848" i="1"/>
  <c r="D11847" i="1"/>
  <c r="A11847" i="1"/>
  <c r="D5263" i="1"/>
  <c r="A5263" i="1"/>
  <c r="D11846" i="1"/>
  <c r="A11846" i="1"/>
  <c r="D11845" i="1"/>
  <c r="A11845" i="1"/>
  <c r="D11844" i="1"/>
  <c r="A11844" i="1"/>
  <c r="D11843" i="1"/>
  <c r="A11843" i="1"/>
  <c r="D11842" i="1"/>
  <c r="A11842" i="1"/>
  <c r="D11841" i="1"/>
  <c r="A11841" i="1"/>
  <c r="D5262" i="1"/>
  <c r="A5262" i="1"/>
  <c r="D5261" i="1"/>
  <c r="A5261" i="1"/>
  <c r="D11840" i="1"/>
  <c r="A11840" i="1"/>
  <c r="D11839" i="1"/>
  <c r="A11839" i="1"/>
  <c r="D11838" i="1"/>
  <c r="A11838" i="1"/>
  <c r="D5260" i="1"/>
  <c r="A5260" i="1"/>
  <c r="D11837" i="1"/>
  <c r="A11837" i="1"/>
  <c r="D11836" i="1"/>
  <c r="A11836" i="1"/>
  <c r="D5259" i="1"/>
  <c r="A5259" i="1"/>
  <c r="D11835" i="1"/>
  <c r="A11835" i="1"/>
  <c r="D11834" i="1"/>
  <c r="A11834" i="1"/>
  <c r="D5258" i="1"/>
  <c r="A5258" i="1"/>
  <c r="D11833" i="1"/>
  <c r="A11833" i="1"/>
  <c r="D11832" i="1"/>
  <c r="A11832" i="1"/>
  <c r="D11831" i="1"/>
  <c r="A11831" i="1"/>
  <c r="D5257" i="1"/>
  <c r="A5257" i="1"/>
  <c r="D11830" i="1"/>
  <c r="A11830" i="1"/>
  <c r="D706" i="1"/>
  <c r="A706" i="1"/>
  <c r="D5256" i="1"/>
  <c r="A5256" i="1"/>
  <c r="D11829" i="1"/>
  <c r="A11829" i="1"/>
  <c r="D11828" i="1"/>
  <c r="A11828" i="1"/>
  <c r="D11827" i="1"/>
  <c r="A11827" i="1"/>
  <c r="D11826" i="1"/>
  <c r="A11826" i="1"/>
  <c r="D11825" i="1"/>
  <c r="A11825" i="1"/>
  <c r="D11824" i="1"/>
  <c r="A11824" i="1"/>
  <c r="D11823" i="1"/>
  <c r="A11823" i="1"/>
  <c r="D11822" i="1"/>
  <c r="A11822" i="1"/>
  <c r="D11821" i="1"/>
  <c r="A11821" i="1"/>
  <c r="D11820" i="1"/>
  <c r="A11820" i="1"/>
  <c r="D5255" i="1"/>
  <c r="A5255" i="1"/>
  <c r="D5254" i="1"/>
  <c r="A5254" i="1"/>
  <c r="D11819" i="1"/>
  <c r="A11819" i="1"/>
  <c r="D5253" i="1"/>
  <c r="A5253" i="1"/>
  <c r="D5252" i="1"/>
  <c r="A5252" i="1"/>
  <c r="D11818" i="1"/>
  <c r="A11818" i="1"/>
  <c r="D11817" i="1"/>
  <c r="A11817" i="1"/>
  <c r="D11816" i="1"/>
  <c r="A11816" i="1"/>
  <c r="D118" i="1"/>
  <c r="A118" i="1"/>
  <c r="D5251" i="1"/>
  <c r="A5251" i="1"/>
  <c r="D11815" i="1"/>
  <c r="A11815" i="1"/>
  <c r="D11814" i="1"/>
  <c r="A11814" i="1"/>
  <c r="D11813" i="1"/>
  <c r="A11813" i="1"/>
  <c r="D11812" i="1"/>
  <c r="A11812" i="1"/>
  <c r="D705" i="1"/>
  <c r="A705" i="1"/>
  <c r="D11811" i="1"/>
  <c r="A11811" i="1"/>
  <c r="D11810" i="1"/>
  <c r="A11810" i="1"/>
  <c r="D11809" i="1"/>
  <c r="A11809" i="1"/>
  <c r="D5250" i="1"/>
  <c r="A5250" i="1"/>
  <c r="D11808" i="1"/>
  <c r="A11808" i="1"/>
  <c r="D11807" i="1"/>
  <c r="A11807" i="1"/>
  <c r="D11806" i="1"/>
  <c r="A11806" i="1"/>
  <c r="D11805" i="1"/>
  <c r="A11805" i="1"/>
  <c r="D11804" i="1"/>
  <c r="A11804" i="1"/>
  <c r="D11803" i="1"/>
  <c r="A11803" i="1"/>
  <c r="D704" i="1"/>
  <c r="A704" i="1"/>
  <c r="D5249" i="1"/>
  <c r="A5249" i="1"/>
  <c r="D5248" i="1"/>
  <c r="A5248" i="1"/>
  <c r="D11802" i="1"/>
  <c r="A11802" i="1"/>
  <c r="D11801" i="1"/>
  <c r="A11801" i="1"/>
  <c r="D11800" i="1"/>
  <c r="A11800" i="1"/>
  <c r="D11799" i="1"/>
  <c r="A11799" i="1"/>
  <c r="D11798" i="1"/>
  <c r="A11798" i="1"/>
  <c r="D11797" i="1"/>
  <c r="A11797" i="1"/>
  <c r="D11796" i="1"/>
  <c r="A11796" i="1"/>
  <c r="D5247" i="1"/>
  <c r="A5247" i="1"/>
  <c r="D11795" i="1"/>
  <c r="A11795" i="1"/>
  <c r="D5246" i="1"/>
  <c r="A5246" i="1"/>
  <c r="D11794" i="1"/>
  <c r="A11794" i="1"/>
  <c r="D11793" i="1"/>
  <c r="A11793" i="1"/>
  <c r="D11792" i="1"/>
  <c r="A11792" i="1"/>
  <c r="D11791" i="1"/>
  <c r="A11791" i="1"/>
  <c r="D11790" i="1"/>
  <c r="A11790" i="1"/>
  <c r="D11789" i="1"/>
  <c r="A11789" i="1"/>
  <c r="D11788" i="1"/>
  <c r="A11788" i="1"/>
  <c r="D5245" i="1"/>
  <c r="A5245" i="1"/>
  <c r="D703" i="1"/>
  <c r="A703" i="1"/>
  <c r="D11787" i="1"/>
  <c r="A11787" i="1"/>
  <c r="D11786" i="1"/>
  <c r="A11786" i="1"/>
  <c r="D5244" i="1"/>
  <c r="A5244" i="1"/>
  <c r="D11785" i="1"/>
  <c r="A11785" i="1"/>
  <c r="D5243" i="1"/>
  <c r="A5243" i="1"/>
  <c r="D11784" i="1"/>
  <c r="A11784" i="1"/>
  <c r="D5242" i="1"/>
  <c r="A5242" i="1"/>
  <c r="D11783" i="1"/>
  <c r="A11783" i="1"/>
  <c r="D5241" i="1"/>
  <c r="A5241" i="1"/>
  <c r="D11782" i="1"/>
  <c r="A11782" i="1"/>
  <c r="D11781" i="1"/>
  <c r="A11781" i="1"/>
  <c r="D11780" i="1"/>
  <c r="A11780" i="1"/>
  <c r="D11779" i="1"/>
  <c r="A11779" i="1"/>
  <c r="D5240" i="1"/>
  <c r="A5240" i="1"/>
  <c r="D11778" i="1"/>
  <c r="A11778" i="1"/>
  <c r="D11777" i="1"/>
  <c r="A11777" i="1"/>
  <c r="D11776" i="1"/>
  <c r="A11776" i="1"/>
  <c r="D11775" i="1"/>
  <c r="A11775" i="1"/>
  <c r="D11774" i="1"/>
  <c r="A11774" i="1"/>
  <c r="D11773" i="1"/>
  <c r="A11773" i="1"/>
  <c r="D702" i="1"/>
  <c r="A702" i="1"/>
  <c r="D11772" i="1"/>
  <c r="A11772" i="1"/>
  <c r="D11771" i="1"/>
  <c r="A11771" i="1"/>
  <c r="D5239" i="1"/>
  <c r="A5239" i="1"/>
  <c r="D11770" i="1"/>
  <c r="A11770" i="1"/>
  <c r="D11769" i="1"/>
  <c r="A11769" i="1"/>
  <c r="D11768" i="1"/>
  <c r="A11768" i="1"/>
  <c r="D5238" i="1"/>
  <c r="A5238" i="1"/>
  <c r="D5237" i="1"/>
  <c r="A5237" i="1"/>
  <c r="D11767" i="1"/>
  <c r="A11767" i="1"/>
  <c r="D5236" i="1"/>
  <c r="A5236" i="1"/>
  <c r="D11766" i="1"/>
  <c r="A11766" i="1"/>
  <c r="D11765" i="1"/>
  <c r="A11765" i="1"/>
  <c r="D11764" i="1"/>
  <c r="A11764" i="1"/>
  <c r="D701" i="1"/>
  <c r="A701" i="1"/>
  <c r="D11763" i="1"/>
  <c r="A11763" i="1"/>
  <c r="D5235" i="1"/>
  <c r="A5235" i="1"/>
  <c r="D11762" i="1"/>
  <c r="A11762" i="1"/>
  <c r="D11761" i="1"/>
  <c r="A11761" i="1"/>
  <c r="D11760" i="1"/>
  <c r="A11760" i="1"/>
  <c r="D11759" i="1"/>
  <c r="A11759" i="1"/>
  <c r="D11758" i="1"/>
  <c r="A11758" i="1"/>
  <c r="D5234" i="1"/>
  <c r="A5234" i="1"/>
  <c r="D5233" i="1"/>
  <c r="A5233" i="1"/>
  <c r="D11757" i="1"/>
  <c r="A11757" i="1"/>
  <c r="D11756" i="1"/>
  <c r="A11756" i="1"/>
  <c r="D11755" i="1"/>
  <c r="A11755" i="1"/>
  <c r="D11754" i="1"/>
  <c r="A11754" i="1"/>
  <c r="D11753" i="1"/>
  <c r="A11753" i="1"/>
  <c r="D11752" i="1"/>
  <c r="A11752" i="1"/>
  <c r="D11751" i="1"/>
  <c r="A11751" i="1"/>
  <c r="D11750" i="1"/>
  <c r="A11750" i="1"/>
  <c r="D11749" i="1"/>
  <c r="A11749" i="1"/>
  <c r="D11748" i="1"/>
  <c r="A11748" i="1"/>
  <c r="D11747" i="1"/>
  <c r="A11747" i="1"/>
  <c r="D11746" i="1"/>
  <c r="A11746" i="1"/>
  <c r="D11745" i="1"/>
  <c r="A11745" i="1"/>
  <c r="D5232" i="1"/>
  <c r="A5232" i="1"/>
  <c r="D11744" i="1"/>
  <c r="A11744" i="1"/>
  <c r="D11743" i="1"/>
  <c r="A11743" i="1"/>
  <c r="D11742" i="1"/>
  <c r="A11742" i="1"/>
  <c r="D11741" i="1"/>
  <c r="A11741" i="1"/>
  <c r="D11740" i="1"/>
  <c r="A11740" i="1"/>
  <c r="D700" i="1"/>
  <c r="A700" i="1"/>
  <c r="D11739" i="1"/>
  <c r="A11739" i="1"/>
  <c r="D11738" i="1"/>
  <c r="A11738" i="1"/>
  <c r="D11737" i="1"/>
  <c r="A11737" i="1"/>
  <c r="D699" i="1"/>
  <c r="A699" i="1"/>
  <c r="D698" i="1"/>
  <c r="A698" i="1"/>
  <c r="D11736" i="1"/>
  <c r="A11736" i="1"/>
  <c r="D11735" i="1"/>
  <c r="A11735" i="1"/>
  <c r="D11734" i="1"/>
  <c r="A11734" i="1"/>
  <c r="D11733" i="1"/>
  <c r="A11733" i="1"/>
  <c r="D11732" i="1"/>
  <c r="A11732" i="1"/>
  <c r="D11731" i="1"/>
  <c r="A11731" i="1"/>
  <c r="D11730" i="1"/>
  <c r="A11730" i="1"/>
  <c r="D11729" i="1"/>
  <c r="A11729" i="1"/>
  <c r="D697" i="1"/>
  <c r="A697" i="1"/>
  <c r="D11728" i="1"/>
  <c r="A11728" i="1"/>
  <c r="D11727" i="1"/>
  <c r="A11727" i="1"/>
  <c r="D11726" i="1"/>
  <c r="A11726" i="1"/>
  <c r="D11725" i="1"/>
  <c r="A11725" i="1"/>
  <c r="D5231" i="1"/>
  <c r="A5231" i="1"/>
  <c r="D11724" i="1"/>
  <c r="A11724" i="1"/>
  <c r="D11723" i="1"/>
  <c r="A11723" i="1"/>
  <c r="D11722" i="1"/>
  <c r="A11722" i="1"/>
  <c r="D11721" i="1"/>
  <c r="A11721" i="1"/>
  <c r="D5230" i="1"/>
  <c r="A5230" i="1"/>
  <c r="D11720" i="1"/>
  <c r="A11720" i="1"/>
  <c r="D11719" i="1"/>
  <c r="A11719" i="1"/>
  <c r="D11718" i="1"/>
  <c r="A11718" i="1"/>
  <c r="D11717" i="1"/>
  <c r="A11717" i="1"/>
  <c r="D11716" i="1"/>
  <c r="A11716" i="1"/>
  <c r="D5229" i="1"/>
  <c r="A5229" i="1"/>
  <c r="D11715" i="1"/>
  <c r="A11715" i="1"/>
  <c r="D11714" i="1"/>
  <c r="A11714" i="1"/>
  <c r="D11713" i="1"/>
  <c r="A11713" i="1"/>
  <c r="D11712" i="1"/>
  <c r="A11712" i="1"/>
  <c r="D11711" i="1"/>
  <c r="A11711" i="1"/>
  <c r="D11710" i="1"/>
  <c r="A11710" i="1"/>
  <c r="D5228" i="1"/>
  <c r="A5228" i="1"/>
  <c r="D11709" i="1"/>
  <c r="A11709" i="1"/>
  <c r="D5227" i="1"/>
  <c r="A5227" i="1"/>
  <c r="D5226" i="1"/>
  <c r="A5226" i="1"/>
  <c r="D11708" i="1"/>
  <c r="A11708" i="1"/>
  <c r="D11707" i="1"/>
  <c r="A11707" i="1"/>
  <c r="D5225" i="1"/>
  <c r="A5225" i="1"/>
  <c r="D5224" i="1"/>
  <c r="A5224" i="1"/>
  <c r="D5223" i="1"/>
  <c r="A5223" i="1"/>
  <c r="D11706" i="1"/>
  <c r="A11706" i="1"/>
  <c r="D5222" i="1"/>
  <c r="A5222" i="1"/>
  <c r="D11705" i="1"/>
  <c r="A11705" i="1"/>
  <c r="D11704" i="1"/>
  <c r="A11704" i="1"/>
  <c r="D11703" i="1"/>
  <c r="A11703" i="1"/>
  <c r="D11702" i="1"/>
  <c r="A11702" i="1"/>
  <c r="D11701" i="1"/>
  <c r="A11701" i="1"/>
  <c r="D11700" i="1"/>
  <c r="A11700" i="1"/>
  <c r="D11699" i="1"/>
  <c r="A11699" i="1"/>
  <c r="D11698" i="1"/>
  <c r="A11698" i="1"/>
  <c r="D696" i="1"/>
  <c r="A696" i="1"/>
  <c r="D11697" i="1"/>
  <c r="A11697" i="1"/>
  <c r="D11696" i="1"/>
  <c r="A11696" i="1"/>
  <c r="D11695" i="1"/>
  <c r="A11695" i="1"/>
  <c r="D695" i="1"/>
  <c r="A695" i="1"/>
  <c r="D11694" i="1"/>
  <c r="A11694" i="1"/>
  <c r="D11693" i="1"/>
  <c r="A11693" i="1"/>
  <c r="D11692" i="1"/>
  <c r="A11692" i="1"/>
  <c r="D5221" i="1"/>
  <c r="A5221" i="1"/>
  <c r="D11691" i="1"/>
  <c r="A11691" i="1"/>
  <c r="D11690" i="1"/>
  <c r="A11690" i="1"/>
  <c r="D11689" i="1"/>
  <c r="A11689" i="1"/>
  <c r="D11688" i="1"/>
  <c r="A11688" i="1"/>
  <c r="D11687" i="1"/>
  <c r="A11687" i="1"/>
  <c r="D11686" i="1"/>
  <c r="A11686" i="1"/>
  <c r="D11685" i="1"/>
  <c r="A11685" i="1"/>
  <c r="D11684" i="1"/>
  <c r="A11684" i="1"/>
  <c r="D11683" i="1"/>
  <c r="A11683" i="1"/>
  <c r="D11682" i="1"/>
  <c r="A11682" i="1"/>
  <c r="D11681" i="1"/>
  <c r="A11681" i="1"/>
  <c r="D11680" i="1"/>
  <c r="A11680" i="1"/>
  <c r="D11679" i="1"/>
  <c r="A11679" i="1"/>
  <c r="D11678" i="1"/>
  <c r="A11678" i="1"/>
  <c r="D11677" i="1"/>
  <c r="A11677" i="1"/>
  <c r="D11676" i="1"/>
  <c r="A11676" i="1"/>
  <c r="D11675" i="1"/>
  <c r="A11675" i="1"/>
  <c r="D11674" i="1"/>
  <c r="A11674" i="1"/>
  <c r="D11673" i="1"/>
  <c r="A11673" i="1"/>
  <c r="D11672" i="1"/>
  <c r="A11672" i="1"/>
  <c r="D11671" i="1"/>
  <c r="A11671" i="1"/>
  <c r="D11670" i="1"/>
  <c r="A11670" i="1"/>
  <c r="D11669" i="1"/>
  <c r="A11669" i="1"/>
  <c r="D11668" i="1"/>
  <c r="A11668" i="1"/>
  <c r="D11667" i="1"/>
  <c r="A11667" i="1"/>
  <c r="D11666" i="1"/>
  <c r="A11666" i="1"/>
  <c r="D11665" i="1"/>
  <c r="A11665" i="1"/>
  <c r="D11664" i="1"/>
  <c r="A11664" i="1"/>
  <c r="D5220" i="1"/>
  <c r="A5220" i="1"/>
  <c r="D11663" i="1"/>
  <c r="A11663" i="1"/>
  <c r="D11662" i="1"/>
  <c r="A11662" i="1"/>
  <c r="D11661" i="1"/>
  <c r="A11661" i="1"/>
  <c r="D11660" i="1"/>
  <c r="A11660" i="1"/>
  <c r="D5219" i="1"/>
  <c r="A5219" i="1"/>
  <c r="D11659" i="1"/>
  <c r="A11659" i="1"/>
  <c r="D11658" i="1"/>
  <c r="A11658" i="1"/>
  <c r="D11657" i="1"/>
  <c r="A11657" i="1"/>
  <c r="D5218" i="1"/>
  <c r="A5218" i="1"/>
  <c r="D694" i="1"/>
  <c r="A694" i="1"/>
  <c r="D11656" i="1"/>
  <c r="A11656" i="1"/>
  <c r="D11655" i="1"/>
  <c r="A11655" i="1"/>
  <c r="D11654" i="1"/>
  <c r="A11654" i="1"/>
  <c r="D11653" i="1"/>
  <c r="A11653" i="1"/>
  <c r="D11652" i="1"/>
  <c r="A11652" i="1"/>
  <c r="D11651" i="1"/>
  <c r="A11651" i="1"/>
  <c r="D11650" i="1"/>
  <c r="A11650" i="1"/>
  <c r="D11649" i="1"/>
  <c r="A11649" i="1"/>
  <c r="D11648" i="1"/>
  <c r="A11648" i="1"/>
  <c r="D5217" i="1"/>
  <c r="A5217" i="1"/>
  <c r="D11647" i="1"/>
  <c r="A11647" i="1"/>
  <c r="D5216" i="1"/>
  <c r="A5216" i="1"/>
  <c r="D5215" i="1"/>
  <c r="A5215" i="1"/>
  <c r="D11646" i="1"/>
  <c r="A11646" i="1"/>
  <c r="D11645" i="1"/>
  <c r="A11645" i="1"/>
  <c r="D11644" i="1"/>
  <c r="A11644" i="1"/>
  <c r="D11643" i="1"/>
  <c r="A11643" i="1"/>
  <c r="D11642" i="1"/>
  <c r="A11642" i="1"/>
  <c r="D11641" i="1"/>
  <c r="A11641" i="1"/>
  <c r="D11640" i="1"/>
  <c r="A11640" i="1"/>
  <c r="D11639" i="1"/>
  <c r="A11639" i="1"/>
  <c r="D11638" i="1"/>
  <c r="A11638" i="1"/>
  <c r="D11637" i="1"/>
  <c r="A11637" i="1"/>
  <c r="D11636" i="1"/>
  <c r="A11636" i="1"/>
  <c r="D11635" i="1"/>
  <c r="A11635" i="1"/>
  <c r="D11634" i="1"/>
  <c r="A11634" i="1"/>
  <c r="D11633" i="1"/>
  <c r="A11633" i="1"/>
  <c r="D11632" i="1"/>
  <c r="A11632" i="1"/>
  <c r="D11631" i="1"/>
  <c r="A11631" i="1"/>
  <c r="D5214" i="1"/>
  <c r="A5214" i="1"/>
  <c r="D11630" i="1"/>
  <c r="A11630" i="1"/>
  <c r="D1150" i="1"/>
  <c r="A1150" i="1"/>
  <c r="D5213" i="1"/>
  <c r="A5213" i="1"/>
  <c r="D11629" i="1"/>
  <c r="A11629" i="1"/>
  <c r="D11628" i="1"/>
  <c r="A11628" i="1"/>
  <c r="D11627" i="1"/>
  <c r="A11627" i="1"/>
  <c r="D5212" i="1"/>
  <c r="A5212" i="1"/>
  <c r="D5211" i="1"/>
  <c r="A5211" i="1"/>
  <c r="D11626" i="1"/>
  <c r="A11626" i="1"/>
  <c r="D5210" i="1"/>
  <c r="A5210" i="1"/>
  <c r="D11625" i="1"/>
  <c r="A11625" i="1"/>
  <c r="D5209" i="1"/>
  <c r="A5209" i="1"/>
  <c r="D11624" i="1"/>
  <c r="A11624" i="1"/>
  <c r="D11623" i="1"/>
  <c r="A11623" i="1"/>
  <c r="D11622" i="1"/>
  <c r="A11622" i="1"/>
  <c r="D11621" i="1"/>
  <c r="A11621" i="1"/>
  <c r="D5208" i="1"/>
  <c r="A5208" i="1"/>
  <c r="D11620" i="1"/>
  <c r="A11620" i="1"/>
  <c r="D11619" i="1"/>
  <c r="A11619" i="1"/>
  <c r="D11618" i="1"/>
  <c r="A11618" i="1"/>
  <c r="D11617" i="1"/>
  <c r="A11617" i="1"/>
  <c r="D5207" i="1"/>
  <c r="A5207" i="1"/>
  <c r="D5206" i="1"/>
  <c r="A5206" i="1"/>
  <c r="D5205" i="1"/>
  <c r="A5205" i="1"/>
  <c r="D11616" i="1"/>
  <c r="A11616" i="1"/>
  <c r="D11615" i="1"/>
  <c r="A11615" i="1"/>
  <c r="D11614" i="1"/>
  <c r="A11614" i="1"/>
  <c r="D11613" i="1"/>
  <c r="A11613" i="1"/>
  <c r="D11612" i="1"/>
  <c r="A11612" i="1"/>
  <c r="D11611" i="1"/>
  <c r="A11611" i="1"/>
  <c r="D11610" i="1"/>
  <c r="A11610" i="1"/>
  <c r="D11609" i="1"/>
  <c r="A11609" i="1"/>
  <c r="D11608" i="1"/>
  <c r="A11608" i="1"/>
  <c r="D11607" i="1"/>
  <c r="A11607" i="1"/>
  <c r="D11606" i="1"/>
  <c r="A11606" i="1"/>
  <c r="D11605" i="1"/>
  <c r="A11605" i="1"/>
  <c r="D5204" i="1"/>
  <c r="A5204" i="1"/>
  <c r="D11604" i="1"/>
  <c r="A11604" i="1"/>
  <c r="D11603" i="1"/>
  <c r="A11603" i="1"/>
  <c r="D11602" i="1"/>
  <c r="A11602" i="1"/>
  <c r="D11601" i="1"/>
  <c r="A11601" i="1"/>
  <c r="D11600" i="1"/>
  <c r="A11600" i="1"/>
  <c r="D11599" i="1"/>
  <c r="A11599" i="1"/>
  <c r="D11598" i="1"/>
  <c r="A11598" i="1"/>
  <c r="D11597" i="1"/>
  <c r="A11597" i="1"/>
  <c r="D693" i="1"/>
  <c r="A693" i="1"/>
  <c r="D692" i="1"/>
  <c r="A692" i="1"/>
  <c r="D11596" i="1"/>
  <c r="A11596" i="1"/>
  <c r="D11595" i="1"/>
  <c r="A11595" i="1"/>
  <c r="D11594" i="1"/>
  <c r="A11594" i="1"/>
  <c r="D11593" i="1"/>
  <c r="A11593" i="1"/>
  <c r="D11592" i="1"/>
  <c r="A11592" i="1"/>
  <c r="D11591" i="1"/>
  <c r="A11591" i="1"/>
  <c r="D5203" i="1"/>
  <c r="A5203" i="1"/>
  <c r="D11590" i="1"/>
  <c r="A11590" i="1"/>
  <c r="D11589" i="1"/>
  <c r="A11589" i="1"/>
  <c r="D11588" i="1"/>
  <c r="A11588" i="1"/>
  <c r="D5202" i="1"/>
  <c r="A5202" i="1"/>
  <c r="D11587" i="1"/>
  <c r="A11587" i="1"/>
  <c r="D11586" i="1"/>
  <c r="A11586" i="1"/>
  <c r="D11585" i="1"/>
  <c r="A11585" i="1"/>
  <c r="D11584" i="1"/>
  <c r="A11584" i="1"/>
  <c r="D11583" i="1"/>
  <c r="A11583" i="1"/>
  <c r="D11582" i="1"/>
  <c r="A11582" i="1"/>
  <c r="D11581" i="1"/>
  <c r="A11581" i="1"/>
  <c r="D11580" i="1"/>
  <c r="A11580" i="1"/>
  <c r="D11579" i="1"/>
  <c r="A11579" i="1"/>
  <c r="D11578" i="1"/>
  <c r="A11578" i="1"/>
  <c r="D691" i="1"/>
  <c r="A691" i="1"/>
  <c r="D11577" i="1"/>
  <c r="A11577" i="1"/>
  <c r="D11576" i="1"/>
  <c r="A11576" i="1"/>
  <c r="D11575" i="1"/>
  <c r="A11575" i="1"/>
  <c r="D11574" i="1"/>
  <c r="A11574" i="1"/>
  <c r="D11573" i="1"/>
  <c r="A11573" i="1"/>
  <c r="D11572" i="1"/>
  <c r="A11572" i="1"/>
  <c r="D11571" i="1"/>
  <c r="A11571" i="1"/>
  <c r="D11570" i="1"/>
  <c r="A11570" i="1"/>
  <c r="D11569" i="1"/>
  <c r="A11569" i="1"/>
  <c r="D5201" i="1"/>
  <c r="A5201" i="1"/>
  <c r="D11568" i="1"/>
  <c r="A11568" i="1"/>
  <c r="D11567" i="1"/>
  <c r="A11567" i="1"/>
  <c r="D11566" i="1"/>
  <c r="A11566" i="1"/>
  <c r="D11565" i="1"/>
  <c r="A11565" i="1"/>
  <c r="D11564" i="1"/>
  <c r="A11564" i="1"/>
  <c r="D11563" i="1"/>
  <c r="A11563" i="1"/>
  <c r="D11562" i="1"/>
  <c r="A11562" i="1"/>
  <c r="D5200" i="1"/>
  <c r="A5200" i="1"/>
  <c r="D11561" i="1"/>
  <c r="A11561" i="1"/>
  <c r="D11560" i="1"/>
  <c r="A11560" i="1"/>
  <c r="D11559" i="1"/>
  <c r="A11559" i="1"/>
  <c r="D11558" i="1"/>
  <c r="A11558" i="1"/>
  <c r="D11557" i="1"/>
  <c r="A11557" i="1"/>
  <c r="D11556" i="1"/>
  <c r="A11556" i="1"/>
  <c r="D11555" i="1"/>
  <c r="A11555" i="1"/>
  <c r="D11554" i="1"/>
  <c r="A11554" i="1"/>
  <c r="D11553" i="1"/>
  <c r="A11553" i="1"/>
  <c r="D11552" i="1"/>
  <c r="A11552" i="1"/>
  <c r="D11551" i="1"/>
  <c r="A11551" i="1"/>
  <c r="D11550" i="1"/>
  <c r="A11550" i="1"/>
  <c r="D11549" i="1"/>
  <c r="A11549" i="1"/>
  <c r="D11548" i="1"/>
  <c r="A11548" i="1"/>
  <c r="D11547" i="1"/>
  <c r="A11547" i="1"/>
  <c r="D11546" i="1"/>
  <c r="A11546" i="1"/>
  <c r="D11545" i="1"/>
  <c r="A11545" i="1"/>
  <c r="D11544" i="1"/>
  <c r="A11544" i="1"/>
  <c r="D11543" i="1"/>
  <c r="A11543" i="1"/>
  <c r="D11542" i="1"/>
  <c r="A11542" i="1"/>
  <c r="D11541" i="1"/>
  <c r="A11541" i="1"/>
  <c r="D1149" i="1"/>
  <c r="A1149" i="1"/>
  <c r="D690" i="1"/>
  <c r="A690" i="1"/>
  <c r="D11540" i="1"/>
  <c r="A11540" i="1"/>
  <c r="D11539" i="1"/>
  <c r="A11539" i="1"/>
  <c r="D11538" i="1"/>
  <c r="A11538" i="1"/>
  <c r="D11537" i="1"/>
  <c r="A11537" i="1"/>
  <c r="D11536" i="1"/>
  <c r="A11536" i="1"/>
  <c r="D11535" i="1"/>
  <c r="A11535" i="1"/>
  <c r="D11534" i="1"/>
  <c r="A11534" i="1"/>
  <c r="D11533" i="1"/>
  <c r="A11533" i="1"/>
  <c r="D5199" i="1"/>
  <c r="A5199" i="1"/>
  <c r="D11532" i="1"/>
  <c r="A11532" i="1"/>
  <c r="D11531" i="1"/>
  <c r="A11531" i="1"/>
  <c r="D5198" i="1"/>
  <c r="A5198" i="1"/>
  <c r="D11530" i="1"/>
  <c r="A11530" i="1"/>
  <c r="D5197" i="1"/>
  <c r="A5197" i="1"/>
  <c r="D11529" i="1"/>
  <c r="A11529" i="1"/>
  <c r="D11528" i="1"/>
  <c r="A11528" i="1"/>
  <c r="D11527" i="1"/>
  <c r="A11527" i="1"/>
  <c r="D11526" i="1"/>
  <c r="A11526" i="1"/>
  <c r="D11525" i="1"/>
  <c r="A11525" i="1"/>
  <c r="D11524" i="1"/>
  <c r="A11524" i="1"/>
  <c r="D11523" i="1"/>
  <c r="A11523" i="1"/>
  <c r="D11522" i="1"/>
  <c r="A11522" i="1"/>
  <c r="D5196" i="1"/>
  <c r="A5196" i="1"/>
  <c r="D11521" i="1"/>
  <c r="A11521" i="1"/>
  <c r="D11520" i="1"/>
  <c r="A11520" i="1"/>
  <c r="D11519" i="1"/>
  <c r="A11519" i="1"/>
  <c r="D11518" i="1"/>
  <c r="A11518" i="1"/>
  <c r="D11517" i="1"/>
  <c r="A11517" i="1"/>
  <c r="D11516" i="1"/>
  <c r="A11516" i="1"/>
  <c r="D11515" i="1"/>
  <c r="A11515" i="1"/>
  <c r="D11514" i="1"/>
  <c r="A11514" i="1"/>
  <c r="D11513" i="1"/>
  <c r="A11513" i="1"/>
  <c r="D11512" i="1"/>
  <c r="A11512" i="1"/>
  <c r="D11511" i="1"/>
  <c r="A11511" i="1"/>
  <c r="D5195" i="1"/>
  <c r="A5195" i="1"/>
  <c r="D5194" i="1"/>
  <c r="A5194" i="1"/>
  <c r="D5193" i="1"/>
  <c r="A5193" i="1"/>
  <c r="D11510" i="1"/>
  <c r="A11510" i="1"/>
  <c r="D11509" i="1"/>
  <c r="A11509" i="1"/>
  <c r="D11508" i="1"/>
  <c r="A11508" i="1"/>
  <c r="D11507" i="1"/>
  <c r="A11507" i="1"/>
  <c r="D5192" i="1"/>
  <c r="A5192" i="1"/>
  <c r="D5191" i="1"/>
  <c r="A5191" i="1"/>
  <c r="D11506" i="1"/>
  <c r="A11506" i="1"/>
  <c r="D11505" i="1"/>
  <c r="A11505" i="1"/>
  <c r="D689" i="1"/>
  <c r="A689" i="1"/>
  <c r="D5190" i="1"/>
  <c r="A5190" i="1"/>
  <c r="D11504" i="1"/>
  <c r="A11504" i="1"/>
  <c r="D11503" i="1"/>
  <c r="A11503" i="1"/>
  <c r="D11502" i="1"/>
  <c r="A11502" i="1"/>
  <c r="D11501" i="1"/>
  <c r="A11501" i="1"/>
  <c r="D11500" i="1"/>
  <c r="A11500" i="1"/>
  <c r="D5189" i="1"/>
  <c r="A5189" i="1"/>
  <c r="D11499" i="1"/>
  <c r="A11499" i="1"/>
  <c r="D688" i="1"/>
  <c r="A688" i="1"/>
  <c r="D11498" i="1"/>
  <c r="A11498" i="1"/>
  <c r="D11497" i="1"/>
  <c r="A11497" i="1"/>
  <c r="D5188" i="1"/>
  <c r="A5188" i="1"/>
  <c r="D11496" i="1"/>
  <c r="A11496" i="1"/>
  <c r="D687" i="1"/>
  <c r="A687" i="1"/>
  <c r="D11495" i="1"/>
  <c r="A11495" i="1"/>
  <c r="D11494" i="1"/>
  <c r="A11494" i="1"/>
  <c r="D11493" i="1"/>
  <c r="A11493" i="1"/>
  <c r="D11492" i="1"/>
  <c r="A11492" i="1"/>
  <c r="D11491" i="1"/>
  <c r="A11491" i="1"/>
  <c r="D11490" i="1"/>
  <c r="A11490" i="1"/>
  <c r="D11489" i="1"/>
  <c r="A11489" i="1"/>
  <c r="D11488" i="1"/>
  <c r="A11488" i="1"/>
  <c r="D11487" i="1"/>
  <c r="A11487" i="1"/>
  <c r="D11486" i="1"/>
  <c r="A11486" i="1"/>
  <c r="D11485" i="1"/>
  <c r="A11485" i="1"/>
  <c r="D11484" i="1"/>
  <c r="A11484" i="1"/>
  <c r="D11483" i="1"/>
  <c r="A11483" i="1"/>
  <c r="D11482" i="1"/>
  <c r="A11482" i="1"/>
  <c r="D11481" i="1"/>
  <c r="A11481" i="1"/>
  <c r="D11480" i="1"/>
  <c r="A11480" i="1"/>
  <c r="D11479" i="1"/>
  <c r="A11479" i="1"/>
  <c r="D11478" i="1"/>
  <c r="A11478" i="1"/>
  <c r="D11477" i="1"/>
  <c r="A11477" i="1"/>
  <c r="D11476" i="1"/>
  <c r="A11476" i="1"/>
  <c r="D5187" i="1"/>
  <c r="A5187" i="1"/>
  <c r="D11475" i="1"/>
  <c r="A11475" i="1"/>
  <c r="D5186" i="1"/>
  <c r="A5186" i="1"/>
  <c r="D11474" i="1"/>
  <c r="A11474" i="1"/>
  <c r="D686" i="1"/>
  <c r="A686" i="1"/>
  <c r="D11473" i="1"/>
  <c r="A11473" i="1"/>
  <c r="D11472" i="1"/>
  <c r="A11472" i="1"/>
  <c r="D11471" i="1"/>
  <c r="A11471" i="1"/>
  <c r="D11470" i="1"/>
  <c r="A11470" i="1"/>
  <c r="D11469" i="1"/>
  <c r="A11469" i="1"/>
  <c r="D11468" i="1"/>
  <c r="A11468" i="1"/>
  <c r="D11467" i="1"/>
  <c r="A11467" i="1"/>
  <c r="D11466" i="1"/>
  <c r="A11466" i="1"/>
  <c r="D11465" i="1"/>
  <c r="A11465" i="1"/>
  <c r="D5185" i="1"/>
  <c r="A5185" i="1"/>
  <c r="D11464" i="1"/>
  <c r="A11464" i="1"/>
  <c r="D11463" i="1"/>
  <c r="A11463" i="1"/>
  <c r="D11462" i="1"/>
  <c r="A11462" i="1"/>
  <c r="D5184" i="1"/>
  <c r="A5184" i="1"/>
  <c r="D11461" i="1"/>
  <c r="A11461" i="1"/>
  <c r="D11460" i="1"/>
  <c r="A11460" i="1"/>
  <c r="D11459" i="1"/>
  <c r="A11459" i="1"/>
  <c r="D11458" i="1"/>
  <c r="A11458" i="1"/>
  <c r="D11457" i="1"/>
  <c r="A11457" i="1"/>
  <c r="D5183" i="1"/>
  <c r="A5183" i="1"/>
  <c r="D11456" i="1"/>
  <c r="A11456" i="1"/>
  <c r="D11455" i="1"/>
  <c r="A11455" i="1"/>
  <c r="D11454" i="1"/>
  <c r="A11454" i="1"/>
  <c r="D11453" i="1"/>
  <c r="A11453" i="1"/>
  <c r="D11452" i="1"/>
  <c r="A11452" i="1"/>
  <c r="D11451" i="1"/>
  <c r="A11451" i="1"/>
  <c r="D11450" i="1"/>
  <c r="A11450" i="1"/>
  <c r="D11449" i="1"/>
  <c r="A11449" i="1"/>
  <c r="D11448" i="1"/>
  <c r="A11448" i="1"/>
  <c r="D5182" i="1"/>
  <c r="A5182" i="1"/>
  <c r="D11447" i="1"/>
  <c r="A11447" i="1"/>
  <c r="D5181" i="1"/>
  <c r="A5181" i="1"/>
  <c r="D11446" i="1"/>
  <c r="A11446" i="1"/>
  <c r="D5180" i="1"/>
  <c r="A5180" i="1"/>
  <c r="D11445" i="1"/>
  <c r="A11445" i="1"/>
  <c r="D11444" i="1"/>
  <c r="A11444" i="1"/>
  <c r="D5179" i="1"/>
  <c r="A5179" i="1"/>
  <c r="D11443" i="1"/>
  <c r="A11443" i="1"/>
  <c r="D685" i="1"/>
  <c r="A685" i="1"/>
  <c r="D11442" i="1"/>
  <c r="A11442" i="1"/>
  <c r="D11441" i="1"/>
  <c r="A11441" i="1"/>
  <c r="D11440" i="1"/>
  <c r="A11440" i="1"/>
  <c r="D11439" i="1"/>
  <c r="A11439" i="1"/>
  <c r="D11438" i="1"/>
  <c r="A11438" i="1"/>
  <c r="D11437" i="1"/>
  <c r="A11437" i="1"/>
  <c r="D11436" i="1"/>
  <c r="A11436" i="1"/>
  <c r="D11435" i="1"/>
  <c r="A11435" i="1"/>
  <c r="D11434" i="1"/>
  <c r="A11434" i="1"/>
  <c r="D11433" i="1"/>
  <c r="A11433" i="1"/>
  <c r="D11432" i="1"/>
  <c r="A11432" i="1"/>
  <c r="D11431" i="1"/>
  <c r="A11431" i="1"/>
  <c r="D11430" i="1"/>
  <c r="A11430" i="1"/>
  <c r="D5178" i="1"/>
  <c r="A5178" i="1"/>
  <c r="D11429" i="1"/>
  <c r="A11429" i="1"/>
  <c r="D684" i="1"/>
  <c r="A684" i="1"/>
  <c r="D11428" i="1"/>
  <c r="A11428" i="1"/>
  <c r="D683" i="1"/>
  <c r="A683" i="1"/>
  <c r="D11427" i="1"/>
  <c r="A11427" i="1"/>
  <c r="D11426" i="1"/>
  <c r="A11426" i="1"/>
  <c r="D11425" i="1"/>
  <c r="A11425" i="1"/>
  <c r="D11424" i="1"/>
  <c r="A11424" i="1"/>
  <c r="D11423" i="1"/>
  <c r="A11423" i="1"/>
  <c r="D11422" i="1"/>
  <c r="A11422" i="1"/>
  <c r="D11421" i="1"/>
  <c r="A11421" i="1"/>
  <c r="D11420" i="1"/>
  <c r="A11420" i="1"/>
  <c r="D682" i="1"/>
  <c r="A682" i="1"/>
  <c r="D11419" i="1"/>
  <c r="A11419" i="1"/>
  <c r="D11418" i="1"/>
  <c r="A11418" i="1"/>
  <c r="D11417" i="1"/>
  <c r="A11417" i="1"/>
  <c r="D11416" i="1"/>
  <c r="A11416" i="1"/>
  <c r="D11415" i="1"/>
  <c r="A11415" i="1"/>
  <c r="D11414" i="1"/>
  <c r="A11414" i="1"/>
  <c r="D11413" i="1"/>
  <c r="A11413" i="1"/>
  <c r="D11412" i="1"/>
  <c r="A11412" i="1"/>
  <c r="D11411" i="1"/>
  <c r="A11411" i="1"/>
  <c r="D11410" i="1"/>
  <c r="A11410" i="1"/>
  <c r="D11409" i="1"/>
  <c r="A11409" i="1"/>
  <c r="D11408" i="1"/>
  <c r="A11408" i="1"/>
  <c r="D11407" i="1"/>
  <c r="A11407" i="1"/>
  <c r="D5177" i="1"/>
  <c r="A5177" i="1"/>
  <c r="D11406" i="1"/>
  <c r="A11406" i="1"/>
  <c r="D11405" i="1"/>
  <c r="A11405" i="1"/>
  <c r="D11404" i="1"/>
  <c r="A11404" i="1"/>
  <c r="D11403" i="1"/>
  <c r="A11403" i="1"/>
  <c r="D11402" i="1"/>
  <c r="A11402" i="1"/>
  <c r="D11401" i="1"/>
  <c r="A11401" i="1"/>
  <c r="D11400" i="1"/>
  <c r="A11400" i="1"/>
  <c r="D5176" i="1"/>
  <c r="A5176" i="1"/>
  <c r="D11399" i="1"/>
  <c r="A11399" i="1"/>
  <c r="D5175" i="1"/>
  <c r="A5175" i="1"/>
  <c r="D681" i="1"/>
  <c r="A681" i="1"/>
  <c r="D5174" i="1"/>
  <c r="A5174" i="1"/>
  <c r="D11398" i="1"/>
  <c r="A11398" i="1"/>
  <c r="D11397" i="1"/>
  <c r="A11397" i="1"/>
  <c r="D11396" i="1"/>
  <c r="A11396" i="1"/>
  <c r="D11395" i="1"/>
  <c r="A11395" i="1"/>
  <c r="D11394" i="1"/>
  <c r="A11394" i="1"/>
  <c r="D11393" i="1"/>
  <c r="A11393" i="1"/>
  <c r="D5173" i="1"/>
  <c r="A5173" i="1"/>
  <c r="D11392" i="1"/>
  <c r="A11392" i="1"/>
  <c r="D11391" i="1"/>
  <c r="A11391" i="1"/>
  <c r="D11390" i="1"/>
  <c r="A11390" i="1"/>
  <c r="D11389" i="1"/>
  <c r="A11389" i="1"/>
  <c r="D5172" i="1"/>
  <c r="A5172" i="1"/>
  <c r="D11388" i="1"/>
  <c r="A11388" i="1"/>
  <c r="D5171" i="1"/>
  <c r="A5171" i="1"/>
  <c r="D11387" i="1"/>
  <c r="A11387" i="1"/>
  <c r="D11386" i="1"/>
  <c r="A11386" i="1"/>
  <c r="D11385" i="1"/>
  <c r="A11385" i="1"/>
  <c r="D11384" i="1"/>
  <c r="A11384" i="1"/>
  <c r="D11383" i="1"/>
  <c r="A11383" i="1"/>
  <c r="D5170" i="1"/>
  <c r="A5170" i="1"/>
  <c r="D11382" i="1"/>
  <c r="A11382" i="1"/>
  <c r="D11381" i="1"/>
  <c r="A11381" i="1"/>
  <c r="D5169" i="1"/>
  <c r="A5169" i="1"/>
  <c r="D11380" i="1"/>
  <c r="A11380" i="1"/>
  <c r="D11379" i="1"/>
  <c r="A11379" i="1"/>
  <c r="D11378" i="1"/>
  <c r="A11378" i="1"/>
  <c r="D5168" i="1"/>
  <c r="A5168" i="1"/>
  <c r="D680" i="1"/>
  <c r="A680" i="1"/>
  <c r="D11377" i="1"/>
  <c r="A11377" i="1"/>
  <c r="D11376" i="1"/>
  <c r="A11376" i="1"/>
  <c r="D11375" i="1"/>
  <c r="A11375" i="1"/>
  <c r="D11374" i="1"/>
  <c r="A11374" i="1"/>
  <c r="D11373" i="1"/>
  <c r="A11373" i="1"/>
  <c r="D11372" i="1"/>
  <c r="A11372" i="1"/>
  <c r="D679" i="1"/>
  <c r="A679" i="1"/>
  <c r="D678" i="1"/>
  <c r="A678" i="1"/>
  <c r="D11371" i="1"/>
  <c r="A11371" i="1"/>
  <c r="D11370" i="1"/>
  <c r="A11370" i="1"/>
  <c r="D11369" i="1"/>
  <c r="A11369" i="1"/>
  <c r="D11368" i="1"/>
  <c r="A11368" i="1"/>
  <c r="D11367" i="1"/>
  <c r="A11367" i="1"/>
  <c r="D11366" i="1"/>
  <c r="A11366" i="1"/>
  <c r="D11365" i="1"/>
  <c r="A11365" i="1"/>
  <c r="D11364" i="1"/>
  <c r="A11364" i="1"/>
  <c r="D11363" i="1"/>
  <c r="A11363" i="1"/>
  <c r="D11362" i="1"/>
  <c r="A11362" i="1"/>
  <c r="D11361" i="1"/>
  <c r="A11361" i="1"/>
  <c r="D11360" i="1"/>
  <c r="A11360" i="1"/>
  <c r="D11359" i="1"/>
  <c r="A11359" i="1"/>
  <c r="D5167" i="1"/>
  <c r="A5167" i="1"/>
  <c r="D11358" i="1"/>
  <c r="A11358" i="1"/>
  <c r="D5166" i="1"/>
  <c r="A5166" i="1"/>
  <c r="D11357" i="1"/>
  <c r="A11357" i="1"/>
  <c r="D11356" i="1"/>
  <c r="A11356" i="1"/>
  <c r="D11355" i="1"/>
  <c r="A11355" i="1"/>
  <c r="D11354" i="1"/>
  <c r="A11354" i="1"/>
  <c r="D11353" i="1"/>
  <c r="A11353" i="1"/>
  <c r="D677" i="1"/>
  <c r="A677" i="1"/>
  <c r="D11352" i="1"/>
  <c r="A11352" i="1"/>
  <c r="D11351" i="1"/>
  <c r="A11351" i="1"/>
  <c r="D11350" i="1"/>
  <c r="A11350" i="1"/>
  <c r="D11349" i="1"/>
  <c r="A11349" i="1"/>
  <c r="D11348" i="1"/>
  <c r="A11348" i="1"/>
  <c r="D11347" i="1"/>
  <c r="A11347" i="1"/>
  <c r="D11346" i="1"/>
  <c r="A11346" i="1"/>
  <c r="D11345" i="1"/>
  <c r="A11345" i="1"/>
  <c r="D11344" i="1"/>
  <c r="A11344" i="1"/>
  <c r="D11343" i="1"/>
  <c r="A11343" i="1"/>
  <c r="D11342" i="1"/>
  <c r="A11342" i="1"/>
  <c r="D11341" i="1"/>
  <c r="A11341" i="1"/>
  <c r="D11340" i="1"/>
  <c r="A11340" i="1"/>
  <c r="D11339" i="1"/>
  <c r="A11339" i="1"/>
  <c r="D11338" i="1"/>
  <c r="A11338" i="1"/>
  <c r="D11337" i="1"/>
  <c r="A11337" i="1"/>
  <c r="D11336" i="1"/>
  <c r="A11336" i="1"/>
  <c r="D11335" i="1"/>
  <c r="A11335" i="1"/>
  <c r="D11334" i="1"/>
  <c r="A11334" i="1"/>
  <c r="D11333" i="1"/>
  <c r="A11333" i="1"/>
  <c r="D11332" i="1"/>
  <c r="A11332" i="1"/>
  <c r="D11331" i="1"/>
  <c r="A11331" i="1"/>
  <c r="D11330" i="1"/>
  <c r="A11330" i="1"/>
  <c r="D5165" i="1"/>
  <c r="A5165" i="1"/>
  <c r="D676" i="1"/>
  <c r="A676" i="1"/>
  <c r="D11329" i="1"/>
  <c r="A11329" i="1"/>
  <c r="D11328" i="1"/>
  <c r="A11328" i="1"/>
  <c r="D11327" i="1"/>
  <c r="A11327" i="1"/>
  <c r="D11326" i="1"/>
  <c r="A11326" i="1"/>
  <c r="D11325" i="1"/>
  <c r="A11325" i="1"/>
  <c r="D11324" i="1"/>
  <c r="A11324" i="1"/>
  <c r="D11323" i="1"/>
  <c r="A11323" i="1"/>
  <c r="D11322" i="1"/>
  <c r="A11322" i="1"/>
  <c r="D11321" i="1"/>
  <c r="A11321" i="1"/>
  <c r="D11320" i="1"/>
  <c r="A11320" i="1"/>
  <c r="D11319" i="1"/>
  <c r="A11319" i="1"/>
  <c r="D11318" i="1"/>
  <c r="A11318" i="1"/>
  <c r="D11317" i="1"/>
  <c r="A11317" i="1"/>
  <c r="D11316" i="1"/>
  <c r="A11316" i="1"/>
  <c r="D11315" i="1"/>
  <c r="A11315" i="1"/>
  <c r="D1148" i="1"/>
  <c r="A1148" i="1"/>
  <c r="D11314" i="1"/>
  <c r="A11314" i="1"/>
  <c r="D11313" i="1"/>
  <c r="A11313" i="1"/>
  <c r="D11312" i="1"/>
  <c r="A11312" i="1"/>
  <c r="D11311" i="1"/>
  <c r="A11311" i="1"/>
  <c r="D11310" i="1"/>
  <c r="A11310" i="1"/>
  <c r="D11309" i="1"/>
  <c r="A11309" i="1"/>
  <c r="D11308" i="1"/>
  <c r="A11308" i="1"/>
  <c r="D5164" i="1"/>
  <c r="A5164" i="1"/>
  <c r="D11307" i="1"/>
  <c r="A11307" i="1"/>
  <c r="D5163" i="1"/>
  <c r="A5163" i="1"/>
  <c r="D11306" i="1"/>
  <c r="A11306" i="1"/>
  <c r="D11305" i="1"/>
  <c r="A11305" i="1"/>
  <c r="D11304" i="1"/>
  <c r="A11304" i="1"/>
  <c r="D5162" i="1"/>
  <c r="A5162" i="1"/>
  <c r="D11303" i="1"/>
  <c r="A11303" i="1"/>
  <c r="D11302" i="1"/>
  <c r="A11302" i="1"/>
  <c r="D11301" i="1"/>
  <c r="A11301" i="1"/>
  <c r="D11300" i="1"/>
  <c r="A11300" i="1"/>
  <c r="D11299" i="1"/>
  <c r="A11299" i="1"/>
  <c r="D5161" i="1"/>
  <c r="A5161" i="1"/>
  <c r="D11298" i="1"/>
  <c r="A11298" i="1"/>
  <c r="D11297" i="1"/>
  <c r="A11297" i="1"/>
  <c r="D11296" i="1"/>
  <c r="A11296" i="1"/>
  <c r="D11295" i="1"/>
  <c r="A11295" i="1"/>
  <c r="D11294" i="1"/>
  <c r="A11294" i="1"/>
  <c r="D11293" i="1"/>
  <c r="A11293" i="1"/>
  <c r="D11292" i="1"/>
  <c r="A11292" i="1"/>
  <c r="D11291" i="1"/>
  <c r="A11291" i="1"/>
  <c r="D11290" i="1"/>
  <c r="A11290" i="1"/>
  <c r="D11289" i="1"/>
  <c r="A11289" i="1"/>
  <c r="D11288" i="1"/>
  <c r="A11288" i="1"/>
  <c r="D11287" i="1"/>
  <c r="A11287" i="1"/>
  <c r="D11286" i="1"/>
  <c r="A11286" i="1"/>
  <c r="D11285" i="1"/>
  <c r="A11285" i="1"/>
  <c r="D11284" i="1"/>
  <c r="A11284" i="1"/>
  <c r="D11283" i="1"/>
  <c r="A11283" i="1"/>
  <c r="D11282" i="1"/>
  <c r="A11282" i="1"/>
  <c r="D11281" i="1"/>
  <c r="A11281" i="1"/>
  <c r="D11280" i="1"/>
  <c r="A11280" i="1"/>
  <c r="D11279" i="1"/>
  <c r="A11279" i="1"/>
  <c r="D11278" i="1"/>
  <c r="A11278" i="1"/>
  <c r="D11277" i="1"/>
  <c r="A11277" i="1"/>
  <c r="D675" i="1"/>
  <c r="A675" i="1"/>
  <c r="D11276" i="1"/>
  <c r="A11276" i="1"/>
  <c r="D674" i="1"/>
  <c r="A674" i="1"/>
  <c r="D11275" i="1"/>
  <c r="A11275" i="1"/>
  <c r="D5160" i="1"/>
  <c r="A5160" i="1"/>
  <c r="D11274" i="1"/>
  <c r="A11274" i="1"/>
  <c r="D11273" i="1"/>
  <c r="A11273" i="1"/>
  <c r="D11272" i="1"/>
  <c r="A11272" i="1"/>
  <c r="D11271" i="1"/>
  <c r="A11271" i="1"/>
  <c r="D11270" i="1"/>
  <c r="A11270" i="1"/>
  <c r="D5159" i="1"/>
  <c r="A5159" i="1"/>
  <c r="D5158" i="1"/>
  <c r="A5158" i="1"/>
  <c r="D11269" i="1"/>
  <c r="A11269" i="1"/>
  <c r="D11268" i="1"/>
  <c r="A11268" i="1"/>
  <c r="D11267" i="1"/>
  <c r="A11267" i="1"/>
  <c r="D11266" i="1"/>
  <c r="A11266" i="1"/>
  <c r="D11265" i="1"/>
  <c r="A11265" i="1"/>
  <c r="D11264" i="1"/>
  <c r="A11264" i="1"/>
  <c r="D5157" i="1"/>
  <c r="A5157" i="1"/>
  <c r="D11263" i="1"/>
  <c r="A11263" i="1"/>
  <c r="D11262" i="1"/>
  <c r="A11262" i="1"/>
  <c r="D11261" i="1"/>
  <c r="A11261" i="1"/>
  <c r="D11260" i="1"/>
  <c r="A11260" i="1"/>
  <c r="D11259" i="1"/>
  <c r="A11259" i="1"/>
  <c r="D11258" i="1"/>
  <c r="A11258" i="1"/>
  <c r="D5156" i="1"/>
  <c r="A5156" i="1"/>
  <c r="D11257" i="1"/>
  <c r="A11257" i="1"/>
  <c r="D5155" i="1"/>
  <c r="A5155" i="1"/>
  <c r="D5154" i="1"/>
  <c r="A5154" i="1"/>
  <c r="D5153" i="1"/>
  <c r="A5153" i="1"/>
  <c r="D11256" i="1"/>
  <c r="A11256" i="1"/>
  <c r="D11255" i="1"/>
  <c r="A11255" i="1"/>
  <c r="D11254" i="1"/>
  <c r="A11254" i="1"/>
  <c r="D11253" i="1"/>
  <c r="A11253" i="1"/>
  <c r="D11252" i="1"/>
  <c r="A11252" i="1"/>
  <c r="D11251" i="1"/>
  <c r="A11251" i="1"/>
  <c r="D11250" i="1"/>
  <c r="A11250" i="1"/>
  <c r="D11249" i="1"/>
  <c r="A11249" i="1"/>
  <c r="D11248" i="1"/>
  <c r="A11248" i="1"/>
  <c r="D11247" i="1"/>
  <c r="A11247" i="1"/>
  <c r="D11246" i="1"/>
  <c r="A11246" i="1"/>
  <c r="D11245" i="1"/>
  <c r="A11245" i="1"/>
  <c r="D11244" i="1"/>
  <c r="A11244" i="1"/>
  <c r="D11243" i="1"/>
  <c r="A11243" i="1"/>
  <c r="D5152" i="1"/>
  <c r="A5152" i="1"/>
  <c r="D5151" i="1"/>
  <c r="A5151" i="1"/>
  <c r="D11242" i="1"/>
  <c r="A11242" i="1"/>
  <c r="D13788" i="1"/>
  <c r="A13788" i="1"/>
  <c r="D5150" i="1"/>
  <c r="A5150" i="1"/>
  <c r="D11241" i="1"/>
  <c r="A11241" i="1"/>
  <c r="D11240" i="1"/>
  <c r="A11240" i="1"/>
  <c r="D11239" i="1"/>
  <c r="A11239" i="1"/>
  <c r="D11238" i="1"/>
  <c r="A11238" i="1"/>
  <c r="D5149" i="1"/>
  <c r="A5149" i="1"/>
  <c r="D5148" i="1"/>
  <c r="A5148" i="1"/>
  <c r="D11237" i="1"/>
  <c r="A11237" i="1"/>
  <c r="D11236" i="1"/>
  <c r="A11236" i="1"/>
  <c r="D11235" i="1"/>
  <c r="A11235" i="1"/>
  <c r="D5147" i="1"/>
  <c r="A5147" i="1"/>
  <c r="D11234" i="1"/>
  <c r="A11234" i="1"/>
  <c r="D11233" i="1"/>
  <c r="A11233" i="1"/>
  <c r="D11232" i="1"/>
  <c r="A11232" i="1"/>
  <c r="D11231" i="1"/>
  <c r="A11231" i="1"/>
  <c r="D5146" i="1"/>
  <c r="A5146" i="1"/>
  <c r="D11230" i="1"/>
  <c r="A11230" i="1"/>
  <c r="D673" i="1"/>
  <c r="A673" i="1"/>
  <c r="D672" i="1"/>
  <c r="A672" i="1"/>
  <c r="D11229" i="1"/>
  <c r="A11229" i="1"/>
  <c r="D11228" i="1"/>
  <c r="A11228" i="1"/>
  <c r="D11227" i="1"/>
  <c r="A11227" i="1"/>
  <c r="D11226" i="1"/>
  <c r="A11226" i="1"/>
  <c r="D11225" i="1"/>
  <c r="A11225" i="1"/>
  <c r="D5145" i="1"/>
  <c r="A5145" i="1"/>
  <c r="D11224" i="1"/>
  <c r="A11224" i="1"/>
  <c r="D11223" i="1"/>
  <c r="A11223" i="1"/>
  <c r="D671" i="1"/>
  <c r="A671" i="1"/>
  <c r="D11222" i="1"/>
  <c r="A11222" i="1"/>
  <c r="D11221" i="1"/>
  <c r="A11221" i="1"/>
  <c r="D5144" i="1"/>
  <c r="A5144" i="1"/>
  <c r="D5143" i="1"/>
  <c r="A5143" i="1"/>
  <c r="D5142" i="1"/>
  <c r="A5142" i="1"/>
  <c r="D11220" i="1"/>
  <c r="A11220" i="1"/>
  <c r="D11219" i="1"/>
  <c r="A11219" i="1"/>
  <c r="D11218" i="1"/>
  <c r="A11218" i="1"/>
  <c r="D11217" i="1"/>
  <c r="A11217" i="1"/>
  <c r="D11216" i="1"/>
  <c r="A11216" i="1"/>
  <c r="D11215" i="1"/>
  <c r="A11215" i="1"/>
  <c r="D11214" i="1"/>
  <c r="A11214" i="1"/>
  <c r="D11213" i="1"/>
  <c r="A11213" i="1"/>
  <c r="D11212" i="1"/>
  <c r="A11212" i="1"/>
  <c r="D5141" i="1"/>
  <c r="A5141" i="1"/>
  <c r="D5140" i="1"/>
  <c r="A5140" i="1"/>
  <c r="D11211" i="1"/>
  <c r="A11211" i="1"/>
  <c r="D11210" i="1"/>
  <c r="A11210" i="1"/>
  <c r="D11209" i="1"/>
  <c r="A11209" i="1"/>
  <c r="D5139" i="1"/>
  <c r="A5139" i="1"/>
  <c r="D11208" i="1"/>
  <c r="A11208" i="1"/>
  <c r="D11207" i="1"/>
  <c r="A11207" i="1"/>
  <c r="D11206" i="1"/>
  <c r="A11206" i="1"/>
  <c r="D11205" i="1"/>
  <c r="A11205" i="1"/>
  <c r="D11204" i="1"/>
  <c r="A11204" i="1"/>
  <c r="D11203" i="1"/>
  <c r="A11203" i="1"/>
  <c r="D11202" i="1"/>
  <c r="A11202" i="1"/>
  <c r="D11201" i="1"/>
  <c r="A11201" i="1"/>
  <c r="D11200" i="1"/>
  <c r="A11200" i="1"/>
  <c r="D11199" i="1"/>
  <c r="A11199" i="1"/>
  <c r="D5138" i="1"/>
  <c r="A5138" i="1"/>
  <c r="D11198" i="1"/>
  <c r="A11198" i="1"/>
  <c r="D11197" i="1"/>
  <c r="A11197" i="1"/>
  <c r="D11196" i="1"/>
  <c r="A11196" i="1"/>
  <c r="D11195" i="1"/>
  <c r="A11195" i="1"/>
  <c r="D11194" i="1"/>
  <c r="A11194" i="1"/>
  <c r="D11193" i="1"/>
  <c r="A11193" i="1"/>
  <c r="D11192" i="1"/>
  <c r="A11192" i="1"/>
  <c r="D11191" i="1"/>
  <c r="A11191" i="1"/>
  <c r="D11190" i="1"/>
  <c r="A11190" i="1"/>
  <c r="D11189" i="1"/>
  <c r="A11189" i="1"/>
  <c r="D11188" i="1"/>
  <c r="A11188" i="1"/>
  <c r="D11187" i="1"/>
  <c r="A11187" i="1"/>
  <c r="D11186" i="1"/>
  <c r="A11186" i="1"/>
  <c r="D11185" i="1"/>
  <c r="A11185" i="1"/>
  <c r="D11184" i="1"/>
  <c r="A11184" i="1"/>
  <c r="D11183" i="1"/>
  <c r="A11183" i="1"/>
  <c r="D11182" i="1"/>
  <c r="A11182" i="1"/>
  <c r="D11181" i="1"/>
  <c r="A11181" i="1"/>
  <c r="D670" i="1"/>
  <c r="A670" i="1"/>
  <c r="D11180" i="1"/>
  <c r="A11180" i="1"/>
  <c r="D11179" i="1"/>
  <c r="A11179" i="1"/>
  <c r="D11178" i="1"/>
  <c r="A11178" i="1"/>
  <c r="D669" i="1"/>
  <c r="A669" i="1"/>
  <c r="D5137" i="1"/>
  <c r="A5137" i="1"/>
  <c r="D5136" i="1"/>
  <c r="A5136" i="1"/>
  <c r="D11177" i="1"/>
  <c r="A11177" i="1"/>
  <c r="D668" i="1"/>
  <c r="A668" i="1"/>
  <c r="D11176" i="1"/>
  <c r="A11176" i="1"/>
  <c r="D11175" i="1"/>
  <c r="A11175" i="1"/>
  <c r="D11174" i="1"/>
  <c r="A11174" i="1"/>
  <c r="D11173" i="1"/>
  <c r="A11173" i="1"/>
  <c r="D11172" i="1"/>
  <c r="A11172" i="1"/>
  <c r="D11171" i="1"/>
  <c r="A11171" i="1"/>
  <c r="D11170" i="1"/>
  <c r="A11170" i="1"/>
  <c r="D11169" i="1"/>
  <c r="A11169" i="1"/>
  <c r="D11168" i="1"/>
  <c r="A11168" i="1"/>
  <c r="D11167" i="1"/>
  <c r="A11167" i="1"/>
  <c r="D11166" i="1"/>
  <c r="A11166" i="1"/>
  <c r="D11165" i="1"/>
  <c r="A11165" i="1"/>
  <c r="D11164" i="1"/>
  <c r="A11164" i="1"/>
  <c r="D11163" i="1"/>
  <c r="A11163" i="1"/>
  <c r="D11162" i="1"/>
  <c r="A11162" i="1"/>
  <c r="D5135" i="1"/>
  <c r="A5135" i="1"/>
  <c r="D1147" i="1"/>
  <c r="A1147" i="1"/>
  <c r="D11161" i="1"/>
  <c r="A11161" i="1"/>
  <c r="D11160" i="1"/>
  <c r="A11160" i="1"/>
  <c r="D11159" i="1"/>
  <c r="A11159" i="1"/>
  <c r="D5134" i="1"/>
  <c r="A5134" i="1"/>
  <c r="D11158" i="1"/>
  <c r="A11158" i="1"/>
  <c r="D11157" i="1"/>
  <c r="A11157" i="1"/>
  <c r="D11156" i="1"/>
  <c r="A11156" i="1"/>
  <c r="D11155" i="1"/>
  <c r="A11155" i="1"/>
  <c r="D11154" i="1"/>
  <c r="A11154" i="1"/>
  <c r="D11153" i="1"/>
  <c r="A11153" i="1"/>
  <c r="D11152" i="1"/>
  <c r="A11152" i="1"/>
  <c r="D11151" i="1"/>
  <c r="A11151" i="1"/>
  <c r="D11150" i="1"/>
  <c r="A11150" i="1"/>
  <c r="D11149" i="1"/>
  <c r="A11149" i="1"/>
  <c r="D11148" i="1"/>
  <c r="A11148" i="1"/>
  <c r="D11147" i="1"/>
  <c r="A11147" i="1"/>
  <c r="D5133" i="1"/>
  <c r="A5133" i="1"/>
  <c r="D5132" i="1"/>
  <c r="A5132" i="1"/>
  <c r="D11146" i="1"/>
  <c r="A11146" i="1"/>
  <c r="D11145" i="1"/>
  <c r="A11145" i="1"/>
  <c r="D11144" i="1"/>
  <c r="A11144" i="1"/>
  <c r="D11143" i="1"/>
  <c r="A11143" i="1"/>
  <c r="D11142" i="1"/>
  <c r="A11142" i="1"/>
  <c r="D11141" i="1"/>
  <c r="A11141" i="1"/>
  <c r="D667" i="1"/>
  <c r="A667" i="1"/>
  <c r="D11140" i="1"/>
  <c r="A11140" i="1"/>
  <c r="D11139" i="1"/>
  <c r="A11139" i="1"/>
  <c r="D11138" i="1"/>
  <c r="A11138" i="1"/>
  <c r="D11137" i="1"/>
  <c r="A11137" i="1"/>
  <c r="D11136" i="1"/>
  <c r="A11136" i="1"/>
  <c r="D11135" i="1"/>
  <c r="A11135" i="1"/>
  <c r="D11134" i="1"/>
  <c r="A11134" i="1"/>
  <c r="D11133" i="1"/>
  <c r="A11133" i="1"/>
  <c r="D11132" i="1"/>
  <c r="A11132" i="1"/>
  <c r="D11131" i="1"/>
  <c r="A11131" i="1"/>
  <c r="D11130" i="1"/>
  <c r="A11130" i="1"/>
  <c r="D11129" i="1"/>
  <c r="A11129" i="1"/>
  <c r="D11128" i="1"/>
  <c r="A11128" i="1"/>
  <c r="D11127" i="1"/>
  <c r="A11127" i="1"/>
  <c r="D11126" i="1"/>
  <c r="A11126" i="1"/>
  <c r="D11125" i="1"/>
  <c r="A11125" i="1"/>
  <c r="D11124" i="1"/>
  <c r="A11124" i="1"/>
  <c r="D11123" i="1"/>
  <c r="A11123" i="1"/>
  <c r="D11122" i="1"/>
  <c r="A11122" i="1"/>
  <c r="D11121" i="1"/>
  <c r="A11121" i="1"/>
  <c r="D11120" i="1"/>
  <c r="A11120" i="1"/>
  <c r="D5131" i="1"/>
  <c r="A5131" i="1"/>
  <c r="D11119" i="1"/>
  <c r="A11119" i="1"/>
  <c r="D11118" i="1"/>
  <c r="A11118" i="1"/>
  <c r="D11117" i="1"/>
  <c r="A11117" i="1"/>
  <c r="D11116" i="1"/>
  <c r="A11116" i="1"/>
  <c r="D11115" i="1"/>
  <c r="A11115" i="1"/>
  <c r="D11114" i="1"/>
  <c r="A11114" i="1"/>
  <c r="D11113" i="1"/>
  <c r="A11113" i="1"/>
  <c r="D11112" i="1"/>
  <c r="A11112" i="1"/>
  <c r="D11111" i="1"/>
  <c r="A11111" i="1"/>
  <c r="D11110" i="1"/>
  <c r="A11110" i="1"/>
  <c r="D11109" i="1"/>
  <c r="A11109" i="1"/>
  <c r="D11108" i="1"/>
  <c r="A11108" i="1"/>
  <c r="D11107" i="1"/>
  <c r="A11107" i="1"/>
  <c r="D11106" i="1"/>
  <c r="A11106" i="1"/>
  <c r="D11105" i="1"/>
  <c r="A11105" i="1"/>
  <c r="D5130" i="1"/>
  <c r="A5130" i="1"/>
  <c r="D11104" i="1"/>
  <c r="A11104" i="1"/>
  <c r="D11103" i="1"/>
  <c r="A11103" i="1"/>
  <c r="D11102" i="1"/>
  <c r="A11102" i="1"/>
  <c r="D11101" i="1"/>
  <c r="A11101" i="1"/>
  <c r="D11100" i="1"/>
  <c r="A11100" i="1"/>
  <c r="D11099" i="1"/>
  <c r="A11099" i="1"/>
  <c r="D666" i="1"/>
  <c r="A666" i="1"/>
  <c r="D11098" i="1"/>
  <c r="A11098" i="1"/>
  <c r="D5129" i="1"/>
  <c r="A5129" i="1"/>
  <c r="D11097" i="1"/>
  <c r="A11097" i="1"/>
  <c r="D11096" i="1"/>
  <c r="A11096" i="1"/>
  <c r="D11095" i="1"/>
  <c r="A11095" i="1"/>
  <c r="D11094" i="1"/>
  <c r="A11094" i="1"/>
  <c r="D11093" i="1"/>
  <c r="A11093" i="1"/>
  <c r="D665" i="1"/>
  <c r="A665" i="1"/>
  <c r="D11092" i="1"/>
  <c r="A11092" i="1"/>
  <c r="D11091" i="1"/>
  <c r="A11091" i="1"/>
  <c r="D11090" i="1"/>
  <c r="A11090" i="1"/>
  <c r="D11089" i="1"/>
  <c r="A11089" i="1"/>
  <c r="D11088" i="1"/>
  <c r="A11088" i="1"/>
  <c r="D11087" i="1"/>
  <c r="A11087" i="1"/>
  <c r="D11086" i="1"/>
  <c r="A11086" i="1"/>
  <c r="D11085" i="1"/>
  <c r="A11085" i="1"/>
  <c r="D5128" i="1"/>
  <c r="A5128" i="1"/>
  <c r="D11084" i="1"/>
  <c r="A11084" i="1"/>
  <c r="D11083" i="1"/>
  <c r="A11083" i="1"/>
  <c r="D11082" i="1"/>
  <c r="A11082" i="1"/>
  <c r="D11081" i="1"/>
  <c r="A11081" i="1"/>
  <c r="D11080" i="1"/>
  <c r="A11080" i="1"/>
  <c r="D11079" i="1"/>
  <c r="A11079" i="1"/>
  <c r="D11078" i="1"/>
  <c r="A11078" i="1"/>
  <c r="D11077" i="1"/>
  <c r="A11077" i="1"/>
  <c r="D11076" i="1"/>
  <c r="A11076" i="1"/>
  <c r="D11075" i="1"/>
  <c r="A11075" i="1"/>
  <c r="D11074" i="1"/>
  <c r="A11074" i="1"/>
  <c r="D5127" i="1"/>
  <c r="A5127" i="1"/>
  <c r="D11073" i="1"/>
  <c r="A11073" i="1"/>
  <c r="D11072" i="1"/>
  <c r="A11072" i="1"/>
  <c r="D11071" i="1"/>
  <c r="A11071" i="1"/>
  <c r="D11070" i="1"/>
  <c r="A11070" i="1"/>
  <c r="D11069" i="1"/>
  <c r="A11069" i="1"/>
  <c r="D11068" i="1"/>
  <c r="A11068" i="1"/>
  <c r="D11067" i="1"/>
  <c r="A11067" i="1"/>
  <c r="D11066" i="1"/>
  <c r="A11066" i="1"/>
  <c r="D11065" i="1"/>
  <c r="A11065" i="1"/>
  <c r="D11064" i="1"/>
  <c r="A11064" i="1"/>
  <c r="D11063" i="1"/>
  <c r="A11063" i="1"/>
  <c r="D11062" i="1"/>
  <c r="A11062" i="1"/>
  <c r="D11061" i="1"/>
  <c r="A11061" i="1"/>
  <c r="D11060" i="1"/>
  <c r="A11060" i="1"/>
  <c r="D11059" i="1"/>
  <c r="A11059" i="1"/>
  <c r="D11058" i="1"/>
  <c r="A11058" i="1"/>
  <c r="D11057" i="1"/>
  <c r="A11057" i="1"/>
  <c r="D11056" i="1"/>
  <c r="A11056" i="1"/>
  <c r="D11055" i="1"/>
  <c r="A11055" i="1"/>
  <c r="D11054" i="1"/>
  <c r="A11054" i="1"/>
  <c r="D11053" i="1"/>
  <c r="A11053" i="1"/>
  <c r="D11052" i="1"/>
  <c r="A11052" i="1"/>
  <c r="D11051" i="1"/>
  <c r="A11051" i="1"/>
  <c r="D5126" i="1"/>
  <c r="A5126" i="1"/>
  <c r="D11050" i="1"/>
  <c r="A11050" i="1"/>
  <c r="D11049" i="1"/>
  <c r="A11049" i="1"/>
  <c r="D11048" i="1"/>
  <c r="A11048" i="1"/>
  <c r="D11047" i="1"/>
  <c r="A11047" i="1"/>
  <c r="D11046" i="1"/>
  <c r="A11046" i="1"/>
  <c r="D11045" i="1"/>
  <c r="A11045" i="1"/>
  <c r="D11044" i="1"/>
  <c r="A11044" i="1"/>
  <c r="D11043" i="1"/>
  <c r="A11043" i="1"/>
  <c r="D11042" i="1"/>
  <c r="A11042" i="1"/>
  <c r="D11041" i="1"/>
  <c r="A11041" i="1"/>
  <c r="D664" i="1"/>
  <c r="A664" i="1"/>
  <c r="D5125" i="1"/>
  <c r="A5125" i="1"/>
  <c r="D11040" i="1"/>
  <c r="A11040" i="1"/>
  <c r="D11039" i="1"/>
  <c r="A11039" i="1"/>
  <c r="D11038" i="1"/>
  <c r="A11038" i="1"/>
  <c r="D11037" i="1"/>
  <c r="A11037" i="1"/>
  <c r="D117" i="1"/>
  <c r="A117" i="1"/>
  <c r="D11036" i="1"/>
  <c r="A11036" i="1"/>
  <c r="D11035" i="1"/>
  <c r="A11035" i="1"/>
  <c r="D11034" i="1"/>
  <c r="A11034" i="1"/>
  <c r="D11033" i="1"/>
  <c r="A11033" i="1"/>
  <c r="D5124" i="1"/>
  <c r="A5124" i="1"/>
  <c r="D11032" i="1"/>
  <c r="A11032" i="1"/>
  <c r="D11031" i="1"/>
  <c r="A11031" i="1"/>
  <c r="D11030" i="1"/>
  <c r="A11030" i="1"/>
  <c r="D5123" i="1"/>
  <c r="A5123" i="1"/>
  <c r="D11029" i="1"/>
  <c r="A11029" i="1"/>
  <c r="D11028" i="1"/>
  <c r="A11028" i="1"/>
  <c r="D5122" i="1"/>
  <c r="A5122" i="1"/>
  <c r="D11027" i="1"/>
  <c r="A11027" i="1"/>
  <c r="D11026" i="1"/>
  <c r="A11026" i="1"/>
  <c r="D663" i="1"/>
  <c r="A663" i="1"/>
  <c r="D11025" i="1"/>
  <c r="A11025" i="1"/>
  <c r="D11024" i="1"/>
  <c r="A11024" i="1"/>
  <c r="D11023" i="1"/>
  <c r="A11023" i="1"/>
  <c r="D11022" i="1"/>
  <c r="A11022" i="1"/>
  <c r="D5121" i="1"/>
  <c r="A5121" i="1"/>
  <c r="D5120" i="1"/>
  <c r="A5120" i="1"/>
  <c r="D5119" i="1"/>
  <c r="A5119" i="1"/>
  <c r="D5118" i="1"/>
  <c r="A5118" i="1"/>
  <c r="D11021" i="1"/>
  <c r="A11021" i="1"/>
  <c r="D11020" i="1"/>
  <c r="A11020" i="1"/>
  <c r="D5117" i="1"/>
  <c r="A5117" i="1"/>
  <c r="D5116" i="1"/>
  <c r="A5116" i="1"/>
  <c r="D5115" i="1"/>
  <c r="A5115" i="1"/>
  <c r="D5114" i="1"/>
  <c r="A5114" i="1"/>
  <c r="D11019" i="1"/>
  <c r="A11019" i="1"/>
  <c r="D11018" i="1"/>
  <c r="A11018" i="1"/>
  <c r="D11017" i="1"/>
  <c r="A11017" i="1"/>
  <c r="D11016" i="1"/>
  <c r="A11016" i="1"/>
  <c r="D662" i="1"/>
  <c r="A662" i="1"/>
  <c r="D11015" i="1"/>
  <c r="A11015" i="1"/>
  <c r="D1146" i="1"/>
  <c r="A1146" i="1"/>
  <c r="D11014" i="1"/>
  <c r="A11014" i="1"/>
  <c r="D11013" i="1"/>
  <c r="A11013" i="1"/>
  <c r="D11012" i="1"/>
  <c r="A11012" i="1"/>
  <c r="D5113" i="1"/>
  <c r="A5113" i="1"/>
  <c r="D11011" i="1"/>
  <c r="A11011" i="1"/>
  <c r="D11010" i="1"/>
  <c r="A11010" i="1"/>
  <c r="D661" i="1"/>
  <c r="A661" i="1"/>
  <c r="D71" i="1"/>
  <c r="A71" i="1"/>
  <c r="D11009" i="1"/>
  <c r="A11009" i="1"/>
  <c r="D11008" i="1"/>
  <c r="A11008" i="1"/>
  <c r="D11007" i="1"/>
  <c r="A11007" i="1"/>
  <c r="D1145" i="1"/>
  <c r="A1145" i="1"/>
  <c r="D11006" i="1"/>
  <c r="A11006" i="1"/>
  <c r="D660" i="1"/>
  <c r="A660" i="1"/>
  <c r="D5112" i="1"/>
  <c r="A5112" i="1"/>
  <c r="D5111" i="1"/>
  <c r="A5111" i="1"/>
  <c r="D11005" i="1"/>
  <c r="A11005" i="1"/>
  <c r="D5110" i="1"/>
  <c r="A5110" i="1"/>
  <c r="D11004" i="1"/>
  <c r="A11004" i="1"/>
  <c r="D11003" i="1"/>
  <c r="A11003" i="1"/>
  <c r="D11002" i="1"/>
  <c r="A11002" i="1"/>
  <c r="D5109" i="1"/>
  <c r="A5109" i="1"/>
  <c r="D11001" i="1"/>
  <c r="A11001" i="1"/>
  <c r="D11000" i="1"/>
  <c r="A11000" i="1"/>
  <c r="D5108" i="1"/>
  <c r="A5108" i="1"/>
  <c r="D10999" i="1"/>
  <c r="A10999" i="1"/>
  <c r="D10998" i="1"/>
  <c r="A10998" i="1"/>
  <c r="D5107" i="1"/>
  <c r="A5107" i="1"/>
  <c r="D10997" i="1"/>
  <c r="A10997" i="1"/>
  <c r="D10996" i="1"/>
  <c r="A10996" i="1"/>
  <c r="D10995" i="1"/>
  <c r="A10995" i="1"/>
  <c r="D10994" i="1"/>
  <c r="A10994" i="1"/>
  <c r="D10993" i="1"/>
  <c r="A10993" i="1"/>
  <c r="D5106" i="1"/>
  <c r="A5106" i="1"/>
  <c r="D5105" i="1"/>
  <c r="A5105" i="1"/>
  <c r="D10992" i="1"/>
  <c r="A10992" i="1"/>
  <c r="D10991" i="1"/>
  <c r="A10991" i="1"/>
  <c r="D10990" i="1"/>
  <c r="A10990" i="1"/>
  <c r="D10989" i="1"/>
  <c r="A10989" i="1"/>
  <c r="D10988" i="1"/>
  <c r="A10988" i="1"/>
  <c r="D5104" i="1"/>
  <c r="A5104" i="1"/>
  <c r="D5103" i="1"/>
  <c r="A5103" i="1"/>
  <c r="D659" i="1"/>
  <c r="A659" i="1"/>
  <c r="D10987" i="1"/>
  <c r="A10987" i="1"/>
  <c r="D10986" i="1"/>
  <c r="A10986" i="1"/>
  <c r="D10985" i="1"/>
  <c r="A10985" i="1"/>
  <c r="D10984" i="1"/>
  <c r="A10984" i="1"/>
  <c r="D10983" i="1"/>
  <c r="A10983" i="1"/>
  <c r="D10982" i="1"/>
  <c r="A10982" i="1"/>
  <c r="D5102" i="1"/>
  <c r="A5102" i="1"/>
  <c r="D10981" i="1"/>
  <c r="A10981" i="1"/>
  <c r="D5101" i="1"/>
  <c r="A5101" i="1"/>
  <c r="D5100" i="1"/>
  <c r="A5100" i="1"/>
  <c r="D10980" i="1"/>
  <c r="A10980" i="1"/>
  <c r="D10979" i="1"/>
  <c r="A10979" i="1"/>
  <c r="D10978" i="1"/>
  <c r="A10978" i="1"/>
  <c r="D5099" i="1"/>
  <c r="A5099" i="1"/>
  <c r="D5098" i="1"/>
  <c r="A5098" i="1"/>
  <c r="D10977" i="1"/>
  <c r="A10977" i="1"/>
  <c r="D10976" i="1"/>
  <c r="A10976" i="1"/>
  <c r="D10975" i="1"/>
  <c r="A10975" i="1"/>
  <c r="D10974" i="1"/>
  <c r="A10974" i="1"/>
  <c r="D10973" i="1"/>
  <c r="A10973" i="1"/>
  <c r="D13787" i="1"/>
  <c r="A13787" i="1"/>
  <c r="D10972" i="1"/>
  <c r="A10972" i="1"/>
  <c r="D5097" i="1"/>
  <c r="A5097" i="1"/>
  <c r="D10971" i="1"/>
  <c r="A10971" i="1"/>
  <c r="D5096" i="1"/>
  <c r="A5096" i="1"/>
  <c r="D10970" i="1"/>
  <c r="A10970" i="1"/>
  <c r="D5095" i="1"/>
  <c r="A5095" i="1"/>
  <c r="D5094" i="1"/>
  <c r="A5094" i="1"/>
  <c r="D5093" i="1"/>
  <c r="A5093" i="1"/>
  <c r="D5092" i="1"/>
  <c r="A5092" i="1"/>
  <c r="D5091" i="1"/>
  <c r="A5091" i="1"/>
  <c r="D5090" i="1"/>
  <c r="A5090" i="1"/>
  <c r="D10969" i="1"/>
  <c r="A10969" i="1"/>
  <c r="D5089" i="1"/>
  <c r="A5089" i="1"/>
  <c r="D5088" i="1"/>
  <c r="A5088" i="1"/>
  <c r="D10968" i="1"/>
  <c r="A10968" i="1"/>
  <c r="D5087" i="1"/>
  <c r="A5087" i="1"/>
  <c r="D10967" i="1"/>
  <c r="A10967" i="1"/>
  <c r="D5086" i="1"/>
  <c r="A5086" i="1"/>
  <c r="D10966" i="1"/>
  <c r="A10966" i="1"/>
  <c r="D5085" i="1"/>
  <c r="A5085" i="1"/>
  <c r="D10965" i="1"/>
  <c r="A10965" i="1"/>
  <c r="D10964" i="1"/>
  <c r="A10964" i="1"/>
  <c r="D5084" i="1"/>
  <c r="A5084" i="1"/>
  <c r="D5083" i="1"/>
  <c r="A5083" i="1"/>
  <c r="D10963" i="1"/>
  <c r="A10963" i="1"/>
  <c r="D5082" i="1"/>
  <c r="A5082" i="1"/>
  <c r="D10962" i="1"/>
  <c r="A10962" i="1"/>
  <c r="D10961" i="1"/>
  <c r="A10961" i="1"/>
  <c r="D10960" i="1"/>
  <c r="A10960" i="1"/>
  <c r="D1144" i="1"/>
  <c r="A1144" i="1"/>
  <c r="D5081" i="1"/>
  <c r="A5081" i="1"/>
  <c r="D10959" i="1"/>
  <c r="A10959" i="1"/>
  <c r="D10958" i="1"/>
  <c r="A10958" i="1"/>
  <c r="D10957" i="1"/>
  <c r="A10957" i="1"/>
  <c r="D10956" i="1"/>
  <c r="A10956" i="1"/>
  <c r="D10955" i="1"/>
  <c r="A10955" i="1"/>
  <c r="D10954" i="1"/>
  <c r="A10954" i="1"/>
  <c r="D5080" i="1"/>
  <c r="A5080" i="1"/>
  <c r="D10953" i="1"/>
  <c r="A10953" i="1"/>
  <c r="D5079" i="1"/>
  <c r="A5079" i="1"/>
  <c r="D5078" i="1"/>
  <c r="A5078" i="1"/>
  <c r="D5077" i="1"/>
  <c r="A5077" i="1"/>
  <c r="D10952" i="1"/>
  <c r="A10952" i="1"/>
  <c r="D10951" i="1"/>
  <c r="A10951" i="1"/>
  <c r="D10950" i="1"/>
  <c r="A10950" i="1"/>
  <c r="D10949" i="1"/>
  <c r="A10949" i="1"/>
  <c r="D10948" i="1"/>
  <c r="A10948" i="1"/>
  <c r="D10947" i="1"/>
  <c r="A10947" i="1"/>
  <c r="D10946" i="1"/>
  <c r="A10946" i="1"/>
  <c r="D10945" i="1"/>
  <c r="A10945" i="1"/>
  <c r="D10944" i="1"/>
  <c r="A10944" i="1"/>
  <c r="D5076" i="1"/>
  <c r="A5076" i="1"/>
  <c r="D5075" i="1"/>
  <c r="A5075" i="1"/>
  <c r="D10943" i="1"/>
  <c r="A10943" i="1"/>
  <c r="D10942" i="1"/>
  <c r="A10942" i="1"/>
  <c r="D10941" i="1"/>
  <c r="A10941" i="1"/>
  <c r="D10940" i="1"/>
  <c r="A10940" i="1"/>
  <c r="D10939" i="1"/>
  <c r="A10939" i="1"/>
  <c r="D5074" i="1"/>
  <c r="A5074" i="1"/>
  <c r="D10938" i="1"/>
  <c r="A10938" i="1"/>
  <c r="D10937" i="1"/>
  <c r="A10937" i="1"/>
  <c r="D10936" i="1"/>
  <c r="A10936" i="1"/>
  <c r="D1143" i="1"/>
  <c r="A1143" i="1"/>
  <c r="D10935" i="1"/>
  <c r="A10935" i="1"/>
  <c r="D10934" i="1"/>
  <c r="A10934" i="1"/>
  <c r="D10933" i="1"/>
  <c r="A10933" i="1"/>
  <c r="D10932" i="1"/>
  <c r="A10932" i="1"/>
  <c r="D10931" i="1"/>
  <c r="A10931" i="1"/>
  <c r="D10930" i="1"/>
  <c r="A10930" i="1"/>
  <c r="D10929" i="1"/>
  <c r="A10929" i="1"/>
  <c r="D10928" i="1"/>
  <c r="A10928" i="1"/>
  <c r="D10927" i="1"/>
  <c r="A10927" i="1"/>
  <c r="D10926" i="1"/>
  <c r="A10926" i="1"/>
  <c r="D10925" i="1"/>
  <c r="A10925" i="1"/>
  <c r="D10924" i="1"/>
  <c r="A10924" i="1"/>
  <c r="D10923" i="1"/>
  <c r="A10923" i="1"/>
  <c r="D5073" i="1"/>
  <c r="A5073" i="1"/>
  <c r="D10922" i="1"/>
  <c r="A10922" i="1"/>
  <c r="D10921" i="1"/>
  <c r="A10921" i="1"/>
  <c r="D10920" i="1"/>
  <c r="A10920" i="1"/>
  <c r="D10919" i="1"/>
  <c r="A10919" i="1"/>
  <c r="D5072" i="1"/>
  <c r="A5072" i="1"/>
  <c r="D10918" i="1"/>
  <c r="A10918" i="1"/>
  <c r="D5071" i="1"/>
  <c r="A5071" i="1"/>
  <c r="D10917" i="1"/>
  <c r="A10917" i="1"/>
  <c r="D10916" i="1"/>
  <c r="A10916" i="1"/>
  <c r="D10915" i="1"/>
  <c r="A10915" i="1"/>
  <c r="D10914" i="1"/>
  <c r="A10914" i="1"/>
  <c r="D116" i="1"/>
  <c r="A116" i="1"/>
  <c r="D10913" i="1"/>
  <c r="A10913" i="1"/>
  <c r="D10912" i="1"/>
  <c r="A10912" i="1"/>
  <c r="D10911" i="1"/>
  <c r="A10911" i="1"/>
  <c r="D10910" i="1"/>
  <c r="A10910" i="1"/>
  <c r="D5070" i="1"/>
  <c r="A5070" i="1"/>
  <c r="D5069" i="1"/>
  <c r="A5069" i="1"/>
  <c r="D5068" i="1"/>
  <c r="A5068" i="1"/>
  <c r="D5067" i="1"/>
  <c r="A5067" i="1"/>
  <c r="D1142" i="1"/>
  <c r="A1142" i="1"/>
  <c r="D10909" i="1"/>
  <c r="A10909" i="1"/>
  <c r="D10908" i="1"/>
  <c r="A10908" i="1"/>
  <c r="D5066" i="1"/>
  <c r="A5066" i="1"/>
  <c r="D10907" i="1"/>
  <c r="A10907" i="1"/>
  <c r="D5065" i="1"/>
  <c r="A5065" i="1"/>
  <c r="D5064" i="1"/>
  <c r="A5064" i="1"/>
  <c r="D10906" i="1"/>
  <c r="A10906" i="1"/>
  <c r="D5063" i="1"/>
  <c r="A5063" i="1"/>
  <c r="D10905" i="1"/>
  <c r="A10905" i="1"/>
  <c r="D1141" i="1"/>
  <c r="A1141" i="1"/>
  <c r="D1140" i="1"/>
  <c r="A1140" i="1"/>
  <c r="D10904" i="1"/>
  <c r="A10904" i="1"/>
  <c r="D5062" i="1"/>
  <c r="A5062" i="1"/>
  <c r="D10903" i="1"/>
  <c r="A10903" i="1"/>
  <c r="D658" i="1"/>
  <c r="A658" i="1"/>
  <c r="D5061" i="1"/>
  <c r="A5061" i="1"/>
  <c r="D10902" i="1"/>
  <c r="A10902" i="1"/>
  <c r="D10901" i="1"/>
  <c r="A10901" i="1"/>
  <c r="D5060" i="1"/>
  <c r="A5060" i="1"/>
  <c r="D5059" i="1"/>
  <c r="A5059" i="1"/>
  <c r="D5058" i="1"/>
  <c r="A5058" i="1"/>
  <c r="D10900" i="1"/>
  <c r="A10900" i="1"/>
  <c r="D10899" i="1"/>
  <c r="A10899" i="1"/>
  <c r="D10898" i="1"/>
  <c r="A10898" i="1"/>
  <c r="D10897" i="1"/>
  <c r="A10897" i="1"/>
  <c r="D10896" i="1"/>
  <c r="A10896" i="1"/>
  <c r="D5057" i="1"/>
  <c r="A5057" i="1"/>
  <c r="D5056" i="1"/>
  <c r="A5056" i="1"/>
  <c r="D10895" i="1"/>
  <c r="A10895" i="1"/>
  <c r="D10894" i="1"/>
  <c r="A10894" i="1"/>
  <c r="D5055" i="1"/>
  <c r="A5055" i="1"/>
  <c r="D10893" i="1"/>
  <c r="A10893" i="1"/>
  <c r="D1139" i="1"/>
  <c r="A1139" i="1"/>
  <c r="D1138" i="1"/>
  <c r="A1138" i="1"/>
  <c r="D5054" i="1"/>
  <c r="A5054" i="1"/>
  <c r="D10892" i="1"/>
  <c r="A10892" i="1"/>
  <c r="D10891" i="1"/>
  <c r="A10891" i="1"/>
  <c r="D5053" i="1"/>
  <c r="A5053" i="1"/>
  <c r="D10890" i="1"/>
  <c r="A10890" i="1"/>
  <c r="D1137" i="1"/>
  <c r="A1137" i="1"/>
  <c r="D5052" i="1"/>
  <c r="A5052" i="1"/>
  <c r="D10889" i="1"/>
  <c r="A10889" i="1"/>
  <c r="D5051" i="1"/>
  <c r="A5051" i="1"/>
  <c r="D10888" i="1"/>
  <c r="A10888" i="1"/>
  <c r="D10887" i="1"/>
  <c r="A10887" i="1"/>
  <c r="D10886" i="1"/>
  <c r="A10886" i="1"/>
  <c r="D10885" i="1"/>
  <c r="A10885" i="1"/>
  <c r="D657" i="1"/>
  <c r="A657" i="1"/>
  <c r="D10884" i="1"/>
  <c r="A10884" i="1"/>
  <c r="D5050" i="1"/>
  <c r="A5050" i="1"/>
  <c r="D10883" i="1"/>
  <c r="A10883" i="1"/>
  <c r="D5049" i="1"/>
  <c r="A5049" i="1"/>
  <c r="D10882" i="1"/>
  <c r="A10882" i="1"/>
  <c r="D5048" i="1"/>
  <c r="A5048" i="1"/>
  <c r="D10881" i="1"/>
  <c r="A10881" i="1"/>
  <c r="D10880" i="1"/>
  <c r="A10880" i="1"/>
  <c r="D10879" i="1"/>
  <c r="A10879" i="1"/>
  <c r="D10878" i="1"/>
  <c r="A10878" i="1"/>
  <c r="D5047" i="1"/>
  <c r="A5047" i="1"/>
  <c r="D10877" i="1"/>
  <c r="A10877" i="1"/>
  <c r="D10876" i="1"/>
  <c r="A10876" i="1"/>
  <c r="D5046" i="1"/>
  <c r="A5046" i="1"/>
  <c r="D10875" i="1"/>
  <c r="A10875" i="1"/>
  <c r="D10874" i="1"/>
  <c r="A10874" i="1"/>
  <c r="D10873" i="1"/>
  <c r="A10873" i="1"/>
  <c r="D10872" i="1"/>
  <c r="A10872" i="1"/>
  <c r="D10871" i="1"/>
  <c r="A10871" i="1"/>
  <c r="D656" i="1"/>
  <c r="A656" i="1"/>
  <c r="D10870" i="1"/>
  <c r="A10870" i="1"/>
  <c r="D5045" i="1"/>
  <c r="A5045" i="1"/>
  <c r="D1136" i="1"/>
  <c r="A1136" i="1"/>
  <c r="D10869" i="1"/>
  <c r="A10869" i="1"/>
  <c r="D10868" i="1"/>
  <c r="A10868" i="1"/>
  <c r="D5044" i="1"/>
  <c r="A5044" i="1"/>
  <c r="D655" i="1"/>
  <c r="A655" i="1"/>
  <c r="D10867" i="1"/>
  <c r="A10867" i="1"/>
  <c r="D10866" i="1"/>
  <c r="A10866" i="1"/>
  <c r="D10865" i="1"/>
  <c r="A10865" i="1"/>
  <c r="D5043" i="1"/>
  <c r="A5043" i="1"/>
  <c r="D10864" i="1"/>
  <c r="A10864" i="1"/>
  <c r="D10863" i="1"/>
  <c r="A10863" i="1"/>
  <c r="D5042" i="1"/>
  <c r="A5042" i="1"/>
  <c r="D10862" i="1"/>
  <c r="A10862" i="1"/>
  <c r="D10861" i="1"/>
  <c r="A10861" i="1"/>
  <c r="D10860" i="1"/>
  <c r="A10860" i="1"/>
  <c r="D5041" i="1"/>
  <c r="A5041" i="1"/>
  <c r="D5040" i="1"/>
  <c r="A5040" i="1"/>
  <c r="D10859" i="1"/>
  <c r="A10859" i="1"/>
  <c r="D10858" i="1"/>
  <c r="A10858" i="1"/>
  <c r="D10857" i="1"/>
  <c r="A10857" i="1"/>
  <c r="D10856" i="1"/>
  <c r="A10856" i="1"/>
  <c r="D1135" i="1"/>
  <c r="A1135" i="1"/>
  <c r="D10855" i="1"/>
  <c r="A10855" i="1"/>
  <c r="D10854" i="1"/>
  <c r="A10854" i="1"/>
  <c r="D1134" i="1"/>
  <c r="A1134" i="1"/>
  <c r="D10853" i="1"/>
  <c r="A10853" i="1"/>
  <c r="D5039" i="1"/>
  <c r="A5039" i="1"/>
  <c r="D5038" i="1"/>
  <c r="A5038" i="1"/>
  <c r="D10852" i="1"/>
  <c r="A10852" i="1"/>
  <c r="D10851" i="1"/>
  <c r="A10851" i="1"/>
  <c r="D10850" i="1"/>
  <c r="A10850" i="1"/>
  <c r="D10849" i="1"/>
  <c r="A10849" i="1"/>
  <c r="D10848" i="1"/>
  <c r="A10848" i="1"/>
  <c r="D10847" i="1"/>
  <c r="A10847" i="1"/>
  <c r="D10846" i="1"/>
  <c r="A10846" i="1"/>
  <c r="D10845" i="1"/>
  <c r="A10845" i="1"/>
  <c r="D10844" i="1"/>
  <c r="A10844" i="1"/>
  <c r="D5037" i="1"/>
  <c r="A5037" i="1"/>
  <c r="D5036" i="1"/>
  <c r="A5036" i="1"/>
  <c r="D10843" i="1"/>
  <c r="A10843" i="1"/>
  <c r="D10842" i="1"/>
  <c r="A10842" i="1"/>
  <c r="D10841" i="1"/>
  <c r="A10841" i="1"/>
  <c r="D10840" i="1"/>
  <c r="A10840" i="1"/>
  <c r="D10839" i="1"/>
  <c r="A10839" i="1"/>
  <c r="D10838" i="1"/>
  <c r="A10838" i="1"/>
  <c r="D10837" i="1"/>
  <c r="A10837" i="1"/>
  <c r="D10836" i="1"/>
  <c r="A10836" i="1"/>
  <c r="D5035" i="1"/>
  <c r="A5035" i="1"/>
  <c r="D5034" i="1"/>
  <c r="A5034" i="1"/>
  <c r="D5033" i="1"/>
  <c r="A5033" i="1"/>
  <c r="D10835" i="1"/>
  <c r="A10835" i="1"/>
  <c r="D10834" i="1"/>
  <c r="A10834" i="1"/>
  <c r="D10833" i="1"/>
  <c r="A10833" i="1"/>
  <c r="D10832" i="1"/>
  <c r="A10832" i="1"/>
  <c r="D10831" i="1"/>
  <c r="A10831" i="1"/>
  <c r="D10830" i="1"/>
  <c r="A10830" i="1"/>
  <c r="D1133" i="1"/>
  <c r="A1133" i="1"/>
  <c r="D10829" i="1"/>
  <c r="A10829" i="1"/>
  <c r="D10828" i="1"/>
  <c r="A10828" i="1"/>
  <c r="D654" i="1"/>
  <c r="A654" i="1"/>
  <c r="D10827" i="1"/>
  <c r="A10827" i="1"/>
  <c r="D10826" i="1"/>
  <c r="A10826" i="1"/>
  <c r="D10825" i="1"/>
  <c r="A10825" i="1"/>
  <c r="D10824" i="1"/>
  <c r="A10824" i="1"/>
  <c r="D5032" i="1"/>
  <c r="A5032" i="1"/>
  <c r="D5031" i="1"/>
  <c r="A5031" i="1"/>
  <c r="D5030" i="1"/>
  <c r="A5030" i="1"/>
  <c r="D10823" i="1"/>
  <c r="A10823" i="1"/>
  <c r="D5029" i="1"/>
  <c r="A5029" i="1"/>
  <c r="D5028" i="1"/>
  <c r="A5028" i="1"/>
  <c r="D5027" i="1"/>
  <c r="A5027" i="1"/>
  <c r="D10822" i="1"/>
  <c r="A10822" i="1"/>
  <c r="D5026" i="1"/>
  <c r="A5026" i="1"/>
  <c r="D5025" i="1"/>
  <c r="A5025" i="1"/>
  <c r="D10821" i="1"/>
  <c r="A10821" i="1"/>
  <c r="D10820" i="1"/>
  <c r="A10820" i="1"/>
  <c r="D10819" i="1"/>
  <c r="A10819" i="1"/>
  <c r="D10818" i="1"/>
  <c r="A10818" i="1"/>
  <c r="D10817" i="1"/>
  <c r="A10817" i="1"/>
  <c r="D10816" i="1"/>
  <c r="A10816" i="1"/>
  <c r="D10815" i="1"/>
  <c r="A10815" i="1"/>
  <c r="D10814" i="1"/>
  <c r="A10814" i="1"/>
  <c r="D10813" i="1"/>
  <c r="A10813" i="1"/>
  <c r="D10812" i="1"/>
  <c r="A10812" i="1"/>
  <c r="D10811" i="1"/>
  <c r="A10811" i="1"/>
  <c r="D10810" i="1"/>
  <c r="A10810" i="1"/>
  <c r="D10809" i="1"/>
  <c r="A10809" i="1"/>
  <c r="D10808" i="1"/>
  <c r="A10808" i="1"/>
  <c r="D5024" i="1"/>
  <c r="A5024" i="1"/>
  <c r="D10807" i="1"/>
  <c r="A10807" i="1"/>
  <c r="D10806" i="1"/>
  <c r="A10806" i="1"/>
  <c r="D5023" i="1"/>
  <c r="A5023" i="1"/>
  <c r="D10805" i="1"/>
  <c r="A10805" i="1"/>
  <c r="D5022" i="1"/>
  <c r="A5022" i="1"/>
  <c r="D10804" i="1"/>
  <c r="A10804" i="1"/>
  <c r="D10803" i="1"/>
  <c r="A10803" i="1"/>
  <c r="D1132" i="1"/>
  <c r="A1132" i="1"/>
  <c r="D10802" i="1"/>
  <c r="A10802" i="1"/>
  <c r="D10801" i="1"/>
  <c r="A10801" i="1"/>
  <c r="D653" i="1"/>
  <c r="A653" i="1"/>
  <c r="D5021" i="1"/>
  <c r="A5021" i="1"/>
  <c r="D5020" i="1"/>
  <c r="A5020" i="1"/>
  <c r="D10800" i="1"/>
  <c r="A10800" i="1"/>
  <c r="D10799" i="1"/>
  <c r="A10799" i="1"/>
  <c r="D10798" i="1"/>
  <c r="A10798" i="1"/>
  <c r="D10797" i="1"/>
  <c r="A10797" i="1"/>
  <c r="D10796" i="1"/>
  <c r="A10796" i="1"/>
  <c r="D5019" i="1"/>
  <c r="A5019" i="1"/>
  <c r="D5018" i="1"/>
  <c r="A5018" i="1"/>
  <c r="D5017" i="1"/>
  <c r="A5017" i="1"/>
  <c r="D10795" i="1"/>
  <c r="A10795" i="1"/>
  <c r="D10794" i="1"/>
  <c r="A10794" i="1"/>
  <c r="D5016" i="1"/>
  <c r="A5016" i="1"/>
  <c r="D10793" i="1"/>
  <c r="A10793" i="1"/>
  <c r="D5015" i="1"/>
  <c r="A5015" i="1"/>
  <c r="D10792" i="1"/>
  <c r="A10792" i="1"/>
  <c r="D10791" i="1"/>
  <c r="A10791" i="1"/>
  <c r="D5014" i="1"/>
  <c r="A5014" i="1"/>
  <c r="D652" i="1"/>
  <c r="A652" i="1"/>
  <c r="D10790" i="1"/>
  <c r="A10790" i="1"/>
  <c r="D10789" i="1"/>
  <c r="A10789" i="1"/>
  <c r="D5013" i="1"/>
  <c r="A5013" i="1"/>
  <c r="D10788" i="1"/>
  <c r="A10788" i="1"/>
  <c r="D10787" i="1"/>
  <c r="A10787" i="1"/>
  <c r="D10786" i="1"/>
  <c r="A10786" i="1"/>
  <c r="D10785" i="1"/>
  <c r="A10785" i="1"/>
  <c r="D1131" i="1"/>
  <c r="A1131" i="1"/>
  <c r="D10784" i="1"/>
  <c r="A10784" i="1"/>
  <c r="D5012" i="1"/>
  <c r="A5012" i="1"/>
  <c r="D5011" i="1"/>
  <c r="A5011" i="1"/>
  <c r="D651" i="1"/>
  <c r="A651" i="1"/>
  <c r="D1130" i="1"/>
  <c r="A1130" i="1"/>
  <c r="D5010" i="1"/>
  <c r="A5010" i="1"/>
  <c r="D5009" i="1"/>
  <c r="A5009" i="1"/>
  <c r="D10783" i="1"/>
  <c r="A10783" i="1"/>
  <c r="D5008" i="1"/>
  <c r="A5008" i="1"/>
  <c r="D10782" i="1"/>
  <c r="A10782" i="1"/>
  <c r="D5007" i="1"/>
  <c r="A5007" i="1"/>
  <c r="D5006" i="1"/>
  <c r="A5006" i="1"/>
  <c r="D10781" i="1"/>
  <c r="A10781" i="1"/>
  <c r="D10780" i="1"/>
  <c r="A10780" i="1"/>
  <c r="D5005" i="1"/>
  <c r="A5005" i="1"/>
  <c r="D10779" i="1"/>
  <c r="A10779" i="1"/>
  <c r="D10778" i="1"/>
  <c r="A10778" i="1"/>
  <c r="D5004" i="1"/>
  <c r="A5004" i="1"/>
  <c r="D10777" i="1"/>
  <c r="A10777" i="1"/>
  <c r="D1129" i="1"/>
  <c r="A1129" i="1"/>
  <c r="D10776" i="1"/>
  <c r="A10776" i="1"/>
  <c r="D10775" i="1"/>
  <c r="A10775" i="1"/>
  <c r="D5003" i="1"/>
  <c r="A5003" i="1"/>
  <c r="D10774" i="1"/>
  <c r="A10774" i="1"/>
  <c r="D10773" i="1"/>
  <c r="A10773" i="1"/>
  <c r="D10772" i="1"/>
  <c r="A10772" i="1"/>
  <c r="D10771" i="1"/>
  <c r="A10771" i="1"/>
  <c r="D10770" i="1"/>
  <c r="A10770" i="1"/>
  <c r="D10769" i="1"/>
  <c r="A10769" i="1"/>
  <c r="D10768" i="1"/>
  <c r="A10768" i="1"/>
  <c r="D10767" i="1"/>
  <c r="A10767" i="1"/>
  <c r="D1128" i="1"/>
  <c r="A1128" i="1"/>
  <c r="D10766" i="1"/>
  <c r="A10766" i="1"/>
  <c r="D10765" i="1"/>
  <c r="A10765" i="1"/>
  <c r="D5002" i="1"/>
  <c r="A5002" i="1"/>
  <c r="D10764" i="1"/>
  <c r="A10764" i="1"/>
  <c r="D10763" i="1"/>
  <c r="A10763" i="1"/>
  <c r="D10762" i="1"/>
  <c r="A10762" i="1"/>
  <c r="D10761" i="1"/>
  <c r="A10761" i="1"/>
  <c r="D10760" i="1"/>
  <c r="A10760" i="1"/>
  <c r="D10759" i="1"/>
  <c r="A10759" i="1"/>
  <c r="D650" i="1"/>
  <c r="A650" i="1"/>
  <c r="D1127" i="1"/>
  <c r="A1127" i="1"/>
  <c r="D649" i="1"/>
  <c r="A649" i="1"/>
  <c r="D10758" i="1"/>
  <c r="A10758" i="1"/>
  <c r="D10757" i="1"/>
  <c r="A10757" i="1"/>
  <c r="D648" i="1"/>
  <c r="A648" i="1"/>
  <c r="D647" i="1"/>
  <c r="A647" i="1"/>
  <c r="D646" i="1"/>
  <c r="A646" i="1"/>
  <c r="D10756" i="1"/>
  <c r="A10756" i="1"/>
  <c r="D10755" i="1"/>
  <c r="A10755" i="1"/>
  <c r="D5001" i="1"/>
  <c r="A5001" i="1"/>
  <c r="D10754" i="1"/>
  <c r="A10754" i="1"/>
  <c r="D10753" i="1"/>
  <c r="A10753" i="1"/>
  <c r="D10752" i="1"/>
  <c r="A10752" i="1"/>
  <c r="D5000" i="1"/>
  <c r="A5000" i="1"/>
  <c r="D10751" i="1"/>
  <c r="A10751" i="1"/>
  <c r="D10750" i="1"/>
  <c r="A10750" i="1"/>
  <c r="D4999" i="1"/>
  <c r="A4999" i="1"/>
  <c r="D10749" i="1"/>
  <c r="A10749" i="1"/>
  <c r="D4998" i="1"/>
  <c r="A4998" i="1"/>
  <c r="D10748" i="1"/>
  <c r="A10748" i="1"/>
  <c r="D4997" i="1"/>
  <c r="A4997" i="1"/>
  <c r="D10747" i="1"/>
  <c r="A10747" i="1"/>
  <c r="D10746" i="1"/>
  <c r="A10746" i="1"/>
  <c r="D10745" i="1"/>
  <c r="A10745" i="1"/>
  <c r="D10744" i="1"/>
  <c r="A10744" i="1"/>
  <c r="D10743" i="1"/>
  <c r="A10743" i="1"/>
  <c r="D10742" i="1"/>
  <c r="A10742" i="1"/>
  <c r="D4996" i="1"/>
  <c r="A4996" i="1"/>
  <c r="D4995" i="1"/>
  <c r="A4995" i="1"/>
  <c r="D10741" i="1"/>
  <c r="A10741" i="1"/>
  <c r="D645" i="1"/>
  <c r="A645" i="1"/>
  <c r="D10740" i="1"/>
  <c r="A10740" i="1"/>
  <c r="D10739" i="1"/>
  <c r="A10739" i="1"/>
  <c r="D10738" i="1"/>
  <c r="A10738" i="1"/>
  <c r="D4994" i="1"/>
  <c r="A4994" i="1"/>
  <c r="D10737" i="1"/>
  <c r="A10737" i="1"/>
  <c r="D10736" i="1"/>
  <c r="A10736" i="1"/>
  <c r="D4993" i="1"/>
  <c r="A4993" i="1"/>
  <c r="D10735" i="1"/>
  <c r="A10735" i="1"/>
  <c r="D10734" i="1"/>
  <c r="A10734" i="1"/>
  <c r="D10733" i="1"/>
  <c r="A10733" i="1"/>
  <c r="D4992" i="1"/>
  <c r="A4992" i="1"/>
  <c r="D10732" i="1"/>
  <c r="A10732" i="1"/>
  <c r="D4991" i="1"/>
  <c r="A4991" i="1"/>
  <c r="D10731" i="1"/>
  <c r="A10731" i="1"/>
  <c r="D10730" i="1"/>
  <c r="A10730" i="1"/>
  <c r="D10729" i="1"/>
  <c r="A10729" i="1"/>
  <c r="D4990" i="1"/>
  <c r="A4990" i="1"/>
  <c r="D10728" i="1"/>
  <c r="A10728" i="1"/>
  <c r="D10727" i="1"/>
  <c r="A10727" i="1"/>
  <c r="D10726" i="1"/>
  <c r="A10726" i="1"/>
  <c r="D10725" i="1"/>
  <c r="A10725" i="1"/>
  <c r="D10724" i="1"/>
  <c r="A10724" i="1"/>
  <c r="D10723" i="1"/>
  <c r="A10723" i="1"/>
  <c r="D644" i="1"/>
  <c r="A644" i="1"/>
  <c r="D10722" i="1"/>
  <c r="A10722" i="1"/>
  <c r="D10721" i="1"/>
  <c r="A10721" i="1"/>
  <c r="D10720" i="1"/>
  <c r="A10720" i="1"/>
  <c r="D4989" i="1"/>
  <c r="A4989" i="1"/>
  <c r="D4988" i="1"/>
  <c r="A4988" i="1"/>
  <c r="D10719" i="1"/>
  <c r="A10719" i="1"/>
  <c r="D10718" i="1"/>
  <c r="A10718" i="1"/>
  <c r="D10717" i="1"/>
  <c r="A10717" i="1"/>
  <c r="D10716" i="1"/>
  <c r="A10716" i="1"/>
  <c r="D10715" i="1"/>
  <c r="A10715" i="1"/>
  <c r="D10714" i="1"/>
  <c r="A10714" i="1"/>
  <c r="D10713" i="1"/>
  <c r="A10713" i="1"/>
  <c r="D10712" i="1"/>
  <c r="A10712" i="1"/>
  <c r="D10711" i="1"/>
  <c r="A10711" i="1"/>
  <c r="D10710" i="1"/>
  <c r="A10710" i="1"/>
  <c r="D4987" i="1"/>
  <c r="A4987" i="1"/>
  <c r="D10709" i="1"/>
  <c r="A10709" i="1"/>
  <c r="D10708" i="1"/>
  <c r="A10708" i="1"/>
  <c r="D10707" i="1"/>
  <c r="A10707" i="1"/>
  <c r="D10706" i="1"/>
  <c r="A10706" i="1"/>
  <c r="D4986" i="1"/>
  <c r="A4986" i="1"/>
  <c r="D10705" i="1"/>
  <c r="A10705" i="1"/>
  <c r="D10704" i="1"/>
  <c r="A10704" i="1"/>
  <c r="D10703" i="1"/>
  <c r="A10703" i="1"/>
  <c r="D10702" i="1"/>
  <c r="A10702" i="1"/>
  <c r="D10701" i="1"/>
  <c r="A10701" i="1"/>
  <c r="D10700" i="1"/>
  <c r="A10700" i="1"/>
  <c r="D10699" i="1"/>
  <c r="A10699" i="1"/>
  <c r="D10698" i="1"/>
  <c r="A10698" i="1"/>
  <c r="D10697" i="1"/>
  <c r="A10697" i="1"/>
  <c r="D10696" i="1"/>
  <c r="A10696" i="1"/>
  <c r="D10695" i="1"/>
  <c r="A10695" i="1"/>
  <c r="D10694" i="1"/>
  <c r="A10694" i="1"/>
  <c r="D10693" i="1"/>
  <c r="A10693" i="1"/>
  <c r="D10692" i="1"/>
  <c r="A10692" i="1"/>
  <c r="D10691" i="1"/>
  <c r="A10691" i="1"/>
  <c r="D1126" i="1"/>
  <c r="A1126" i="1"/>
  <c r="D10690" i="1"/>
  <c r="A10690" i="1"/>
  <c r="D10689" i="1"/>
  <c r="A10689" i="1"/>
  <c r="D10688" i="1"/>
  <c r="A10688" i="1"/>
  <c r="D10687" i="1"/>
  <c r="A10687" i="1"/>
  <c r="D10686" i="1"/>
  <c r="A10686" i="1"/>
  <c r="D10685" i="1"/>
  <c r="A10685" i="1"/>
  <c r="D4985" i="1"/>
  <c r="A4985" i="1"/>
  <c r="D4984" i="1"/>
  <c r="A4984" i="1"/>
  <c r="D10684" i="1"/>
  <c r="A10684" i="1"/>
  <c r="D10683" i="1"/>
  <c r="A10683" i="1"/>
  <c r="D10682" i="1"/>
  <c r="A10682" i="1"/>
  <c r="D10681" i="1"/>
  <c r="A10681" i="1"/>
  <c r="D10680" i="1"/>
  <c r="A10680" i="1"/>
  <c r="D10679" i="1"/>
  <c r="A10679" i="1"/>
  <c r="D10678" i="1"/>
  <c r="A10678" i="1"/>
  <c r="D10677" i="1"/>
  <c r="A10677" i="1"/>
  <c r="D10676" i="1"/>
  <c r="A10676" i="1"/>
  <c r="D10675" i="1"/>
  <c r="A10675" i="1"/>
  <c r="D4983" i="1"/>
  <c r="A4983" i="1"/>
  <c r="D643" i="1"/>
  <c r="A643" i="1"/>
  <c r="D4982" i="1"/>
  <c r="A4982" i="1"/>
  <c r="D4981" i="1"/>
  <c r="A4981" i="1"/>
  <c r="D10674" i="1"/>
  <c r="A10674" i="1"/>
  <c r="D4980" i="1"/>
  <c r="A4980" i="1"/>
  <c r="D4979" i="1"/>
  <c r="A4979" i="1"/>
  <c r="D4978" i="1"/>
  <c r="A4978" i="1"/>
  <c r="D4977" i="1"/>
  <c r="A4977" i="1"/>
  <c r="D4976" i="1"/>
  <c r="A4976" i="1"/>
  <c r="D10673" i="1"/>
  <c r="A10673" i="1"/>
  <c r="D10672" i="1"/>
  <c r="A10672" i="1"/>
  <c r="D4975" i="1"/>
  <c r="A4975" i="1"/>
  <c r="D10671" i="1"/>
  <c r="A10671" i="1"/>
  <c r="D10670" i="1"/>
  <c r="A10670" i="1"/>
  <c r="D4974" i="1"/>
  <c r="A4974" i="1"/>
  <c r="D1125" i="1"/>
  <c r="A1125" i="1"/>
  <c r="D10669" i="1"/>
  <c r="A10669" i="1"/>
  <c r="D10668" i="1"/>
  <c r="A10668" i="1"/>
  <c r="D10667" i="1"/>
  <c r="A10667" i="1"/>
  <c r="D10666" i="1"/>
  <c r="A10666" i="1"/>
  <c r="D4973" i="1"/>
  <c r="A4973" i="1"/>
  <c r="D10665" i="1"/>
  <c r="A10665" i="1"/>
  <c r="D642" i="1"/>
  <c r="A642" i="1"/>
  <c r="D10664" i="1"/>
  <c r="A10664" i="1"/>
  <c r="D641" i="1"/>
  <c r="A641" i="1"/>
  <c r="D640" i="1"/>
  <c r="A640" i="1"/>
  <c r="D1124" i="1"/>
  <c r="A1124" i="1"/>
  <c r="D10663" i="1"/>
  <c r="A10663" i="1"/>
  <c r="D4972" i="1"/>
  <c r="A4972" i="1"/>
  <c r="D4971" i="1"/>
  <c r="A4971" i="1"/>
  <c r="D10662" i="1"/>
  <c r="A10662" i="1"/>
  <c r="D10661" i="1"/>
  <c r="A10661" i="1"/>
  <c r="D639" i="1"/>
  <c r="A639" i="1"/>
  <c r="D115" i="1"/>
  <c r="A115" i="1"/>
  <c r="D10660" i="1"/>
  <c r="A10660" i="1"/>
  <c r="D4970" i="1"/>
  <c r="A4970" i="1"/>
  <c r="D10659" i="1"/>
  <c r="A10659" i="1"/>
  <c r="D10658" i="1"/>
  <c r="A10658" i="1"/>
  <c r="D4969" i="1"/>
  <c r="A4969" i="1"/>
  <c r="D638" i="1"/>
  <c r="A638" i="1"/>
  <c r="D4968" i="1"/>
  <c r="A4968" i="1"/>
  <c r="D10657" i="1"/>
  <c r="A10657" i="1"/>
  <c r="D10656" i="1"/>
  <c r="A10656" i="1"/>
  <c r="D4967" i="1"/>
  <c r="A4967" i="1"/>
  <c r="D10655" i="1"/>
  <c r="A10655" i="1"/>
  <c r="D10654" i="1"/>
  <c r="A10654" i="1"/>
  <c r="D4966" i="1"/>
  <c r="A4966" i="1"/>
  <c r="D4965" i="1"/>
  <c r="A4965" i="1"/>
  <c r="D10653" i="1"/>
  <c r="A10653" i="1"/>
  <c r="D10652" i="1"/>
  <c r="A10652" i="1"/>
  <c r="D10651" i="1"/>
  <c r="A10651" i="1"/>
  <c r="D4964" i="1"/>
  <c r="A4964" i="1"/>
  <c r="D10650" i="1"/>
  <c r="A10650" i="1"/>
  <c r="D10649" i="1"/>
  <c r="A10649" i="1"/>
  <c r="D10648" i="1"/>
  <c r="A10648" i="1"/>
  <c r="D4963" i="1"/>
  <c r="A4963" i="1"/>
  <c r="D10647" i="1"/>
  <c r="A10647" i="1"/>
  <c r="D4962" i="1"/>
  <c r="A4962" i="1"/>
  <c r="D4961" i="1"/>
  <c r="A4961" i="1"/>
  <c r="D4960" i="1"/>
  <c r="A4960" i="1"/>
  <c r="D10646" i="1"/>
  <c r="A10646" i="1"/>
  <c r="D4959" i="1"/>
  <c r="A4959" i="1"/>
  <c r="D10645" i="1"/>
  <c r="A10645" i="1"/>
  <c r="D4958" i="1"/>
  <c r="A4958" i="1"/>
  <c r="D10644" i="1"/>
  <c r="A10644" i="1"/>
  <c r="D10643" i="1"/>
  <c r="A10643" i="1"/>
  <c r="D10642" i="1"/>
  <c r="A10642" i="1"/>
  <c r="D4957" i="1"/>
  <c r="A4957" i="1"/>
  <c r="D10641" i="1"/>
  <c r="A10641" i="1"/>
  <c r="D4956" i="1"/>
  <c r="A4956" i="1"/>
  <c r="D10640" i="1"/>
  <c r="A10640" i="1"/>
  <c r="D10639" i="1"/>
  <c r="A10639" i="1"/>
  <c r="D637" i="1"/>
  <c r="A637" i="1"/>
  <c r="D10638" i="1"/>
  <c r="A10638" i="1"/>
  <c r="D10637" i="1"/>
  <c r="A10637" i="1"/>
  <c r="D10636" i="1"/>
  <c r="A10636" i="1"/>
  <c r="D10635" i="1"/>
  <c r="A10635" i="1"/>
  <c r="D10634" i="1"/>
  <c r="A10634" i="1"/>
  <c r="D10633" i="1"/>
  <c r="A10633" i="1"/>
  <c r="D10632" i="1"/>
  <c r="A10632" i="1"/>
  <c r="D4955" i="1"/>
  <c r="A4955" i="1"/>
  <c r="D4954" i="1"/>
  <c r="A4954" i="1"/>
  <c r="D10631" i="1"/>
  <c r="A10631" i="1"/>
  <c r="D10630" i="1"/>
  <c r="A10630" i="1"/>
  <c r="D10629" i="1"/>
  <c r="A10629" i="1"/>
  <c r="D10628" i="1"/>
  <c r="A10628" i="1"/>
  <c r="D10627" i="1"/>
  <c r="A10627" i="1"/>
  <c r="D10626" i="1"/>
  <c r="A10626" i="1"/>
  <c r="D10625" i="1"/>
  <c r="A10625" i="1"/>
  <c r="D636" i="1"/>
  <c r="A636" i="1"/>
  <c r="D10624" i="1"/>
  <c r="A10624" i="1"/>
  <c r="D10623" i="1"/>
  <c r="A10623" i="1"/>
  <c r="D10622" i="1"/>
  <c r="A10622" i="1"/>
  <c r="D10621" i="1"/>
  <c r="A10621" i="1"/>
  <c r="D10620" i="1"/>
  <c r="A10620" i="1"/>
  <c r="D10619" i="1"/>
  <c r="A10619" i="1"/>
  <c r="D4953" i="1"/>
  <c r="A4953" i="1"/>
  <c r="D635" i="1"/>
  <c r="A635" i="1"/>
  <c r="D10618" i="1"/>
  <c r="A10618" i="1"/>
  <c r="D10617" i="1"/>
  <c r="A10617" i="1"/>
  <c r="D4952" i="1"/>
  <c r="A4952" i="1"/>
  <c r="D4951" i="1"/>
  <c r="A4951" i="1"/>
  <c r="D10616" i="1"/>
  <c r="A10616" i="1"/>
  <c r="D1123" i="1"/>
  <c r="A1123" i="1"/>
  <c r="D4950" i="1"/>
  <c r="A4950" i="1"/>
  <c r="D4949" i="1"/>
  <c r="A4949" i="1"/>
  <c r="D10615" i="1"/>
  <c r="A10615" i="1"/>
  <c r="D10614" i="1"/>
  <c r="A10614" i="1"/>
  <c r="D4948" i="1"/>
  <c r="A4948" i="1"/>
  <c r="D10613" i="1"/>
  <c r="A10613" i="1"/>
  <c r="D10612" i="1"/>
  <c r="A10612" i="1"/>
  <c r="D10611" i="1"/>
  <c r="A10611" i="1"/>
  <c r="D10610" i="1"/>
  <c r="A10610" i="1"/>
  <c r="D10609" i="1"/>
  <c r="A10609" i="1"/>
  <c r="D10608" i="1"/>
  <c r="A10608" i="1"/>
  <c r="D10607" i="1"/>
  <c r="A10607" i="1"/>
  <c r="D10606" i="1"/>
  <c r="A10606" i="1"/>
  <c r="D10605" i="1"/>
  <c r="A10605" i="1"/>
  <c r="D10604" i="1"/>
  <c r="A10604" i="1"/>
  <c r="D10603" i="1"/>
  <c r="A10603" i="1"/>
  <c r="D4947" i="1"/>
  <c r="A4947" i="1"/>
  <c r="D10602" i="1"/>
  <c r="A10602" i="1"/>
  <c r="D10601" i="1"/>
  <c r="A10601" i="1"/>
  <c r="D4946" i="1"/>
  <c r="A4946" i="1"/>
  <c r="D10600" i="1"/>
  <c r="A10600" i="1"/>
  <c r="D4945" i="1"/>
  <c r="A4945" i="1"/>
  <c r="D10599" i="1"/>
  <c r="A10599" i="1"/>
  <c r="D10598" i="1"/>
  <c r="A10598" i="1"/>
  <c r="D4944" i="1"/>
  <c r="A4944" i="1"/>
  <c r="D4943" i="1"/>
  <c r="A4943" i="1"/>
  <c r="D10597" i="1"/>
  <c r="A10597" i="1"/>
  <c r="D4942" i="1"/>
  <c r="A4942" i="1"/>
  <c r="D4941" i="1"/>
  <c r="A4941" i="1"/>
  <c r="D10596" i="1"/>
  <c r="A10596" i="1"/>
  <c r="D10595" i="1"/>
  <c r="A10595" i="1"/>
  <c r="D4940" i="1"/>
  <c r="A4940" i="1"/>
  <c r="D10594" i="1"/>
  <c r="A10594" i="1"/>
  <c r="D10593" i="1"/>
  <c r="A10593" i="1"/>
  <c r="D4939" i="1"/>
  <c r="A4939" i="1"/>
  <c r="D10592" i="1"/>
  <c r="A10592" i="1"/>
  <c r="D4938" i="1"/>
  <c r="A4938" i="1"/>
  <c r="D10591" i="1"/>
  <c r="A10591" i="1"/>
  <c r="D4937" i="1"/>
  <c r="A4937" i="1"/>
  <c r="D10590" i="1"/>
  <c r="A10590" i="1"/>
  <c r="D10589" i="1"/>
  <c r="A10589" i="1"/>
  <c r="D10588" i="1"/>
  <c r="A10588" i="1"/>
  <c r="D4936" i="1"/>
  <c r="A4936" i="1"/>
  <c r="D4935" i="1"/>
  <c r="A4935" i="1"/>
  <c r="D4934" i="1"/>
  <c r="A4934" i="1"/>
  <c r="D10587" i="1"/>
  <c r="A10587" i="1"/>
  <c r="D4933" i="1"/>
  <c r="A4933" i="1"/>
  <c r="D4932" i="1"/>
  <c r="A4932" i="1"/>
  <c r="D10586" i="1"/>
  <c r="A10586" i="1"/>
  <c r="D10585" i="1"/>
  <c r="A10585" i="1"/>
  <c r="D4931" i="1"/>
  <c r="A4931" i="1"/>
  <c r="D4930" i="1"/>
  <c r="A4930" i="1"/>
  <c r="D10584" i="1"/>
  <c r="A10584" i="1"/>
  <c r="D634" i="1"/>
  <c r="A634" i="1"/>
  <c r="D4929" i="1"/>
  <c r="A4929" i="1"/>
  <c r="D10583" i="1"/>
  <c r="A10583" i="1"/>
  <c r="D4928" i="1"/>
  <c r="A4928" i="1"/>
  <c r="D10582" i="1"/>
  <c r="A10582" i="1"/>
  <c r="D633" i="1"/>
  <c r="A633" i="1"/>
  <c r="D10581" i="1"/>
  <c r="A10581" i="1"/>
  <c r="D10580" i="1"/>
  <c r="A10580" i="1"/>
  <c r="D10579" i="1"/>
  <c r="A10579" i="1"/>
  <c r="D10578" i="1"/>
  <c r="A10578" i="1"/>
  <c r="D10577" i="1"/>
  <c r="A10577" i="1"/>
  <c r="D10576" i="1"/>
  <c r="A10576" i="1"/>
  <c r="D10575" i="1"/>
  <c r="A10575" i="1"/>
  <c r="D10574" i="1"/>
  <c r="A10574" i="1"/>
  <c r="D10573" i="1"/>
  <c r="A10573" i="1"/>
  <c r="D632" i="1"/>
  <c r="A632" i="1"/>
  <c r="D10572" i="1"/>
  <c r="A10572" i="1"/>
  <c r="D10571" i="1"/>
  <c r="A10571" i="1"/>
  <c r="D10570" i="1"/>
  <c r="A10570" i="1"/>
  <c r="D10569" i="1"/>
  <c r="A10569" i="1"/>
  <c r="D10568" i="1"/>
  <c r="A10568" i="1"/>
  <c r="D10567" i="1"/>
  <c r="A10567" i="1"/>
  <c r="D10566" i="1"/>
  <c r="A10566" i="1"/>
  <c r="D4927" i="1"/>
  <c r="A4927" i="1"/>
  <c r="D4926" i="1"/>
  <c r="A4926" i="1"/>
  <c r="D4925" i="1"/>
  <c r="A4925" i="1"/>
  <c r="D10565" i="1"/>
  <c r="A10565" i="1"/>
  <c r="D10564" i="1"/>
  <c r="A10564" i="1"/>
  <c r="D10563" i="1"/>
  <c r="A10563" i="1"/>
  <c r="D10562" i="1"/>
  <c r="A10562" i="1"/>
  <c r="D10561" i="1"/>
  <c r="A10561" i="1"/>
  <c r="D10560" i="1"/>
  <c r="A10560" i="1"/>
  <c r="D10559" i="1"/>
  <c r="A10559" i="1"/>
  <c r="D10558" i="1"/>
  <c r="A10558" i="1"/>
  <c r="D10557" i="1"/>
  <c r="A10557" i="1"/>
  <c r="D10556" i="1"/>
  <c r="A10556" i="1"/>
  <c r="D10555" i="1"/>
  <c r="A10555" i="1"/>
  <c r="D10554" i="1"/>
  <c r="A10554" i="1"/>
  <c r="D10553" i="1"/>
  <c r="A10553" i="1"/>
  <c r="D631" i="1"/>
  <c r="A631" i="1"/>
  <c r="D4924" i="1"/>
  <c r="A4924" i="1"/>
  <c r="D10552" i="1"/>
  <c r="A10552" i="1"/>
  <c r="D4923" i="1"/>
  <c r="A4923" i="1"/>
  <c r="D10551" i="1"/>
  <c r="A10551" i="1"/>
  <c r="D4922" i="1"/>
  <c r="A4922" i="1"/>
  <c r="D4921" i="1"/>
  <c r="A4921" i="1"/>
  <c r="D10550" i="1"/>
  <c r="A10550" i="1"/>
  <c r="D10549" i="1"/>
  <c r="A10549" i="1"/>
  <c r="D630" i="1"/>
  <c r="A630" i="1"/>
  <c r="D10548" i="1"/>
  <c r="A10548" i="1"/>
  <c r="D4920" i="1"/>
  <c r="A4920" i="1"/>
  <c r="D10547" i="1"/>
  <c r="A10547" i="1"/>
  <c r="D4919" i="1"/>
  <c r="A4919" i="1"/>
  <c r="D4918" i="1"/>
  <c r="A4918" i="1"/>
  <c r="D4917" i="1"/>
  <c r="A4917" i="1"/>
  <c r="D10546" i="1"/>
  <c r="A10546" i="1"/>
  <c r="D4916" i="1"/>
  <c r="A4916" i="1"/>
  <c r="D4915" i="1"/>
  <c r="A4915" i="1"/>
  <c r="D4914" i="1"/>
  <c r="A4914" i="1"/>
  <c r="D10545" i="1"/>
  <c r="A10545" i="1"/>
  <c r="D10544" i="1"/>
  <c r="A10544" i="1"/>
  <c r="D10543" i="1"/>
  <c r="A10543" i="1"/>
  <c r="D10542" i="1"/>
  <c r="A10542" i="1"/>
  <c r="D10541" i="1"/>
  <c r="A10541" i="1"/>
  <c r="D4913" i="1"/>
  <c r="A4913" i="1"/>
  <c r="D4912" i="1"/>
  <c r="A4912" i="1"/>
  <c r="D10540" i="1"/>
  <c r="A10540" i="1"/>
  <c r="D10539" i="1"/>
  <c r="A10539" i="1"/>
  <c r="D10538" i="1"/>
  <c r="A10538" i="1"/>
  <c r="D10537" i="1"/>
  <c r="A10537" i="1"/>
  <c r="D1122" i="1"/>
  <c r="A1122" i="1"/>
  <c r="D1121" i="1"/>
  <c r="A1121" i="1"/>
  <c r="D4911" i="1"/>
  <c r="A4911" i="1"/>
  <c r="D4910" i="1"/>
  <c r="A4910" i="1"/>
  <c r="D10536" i="1"/>
  <c r="A10536" i="1"/>
  <c r="D10535" i="1"/>
  <c r="A10535" i="1"/>
  <c r="D4909" i="1"/>
  <c r="A4909" i="1"/>
  <c r="D4908" i="1"/>
  <c r="A4908" i="1"/>
  <c r="D10534" i="1"/>
  <c r="A10534" i="1"/>
  <c r="D10533" i="1"/>
  <c r="A10533" i="1"/>
  <c r="D10532" i="1"/>
  <c r="A10532" i="1"/>
  <c r="D4907" i="1"/>
  <c r="A4907" i="1"/>
  <c r="D10531" i="1"/>
  <c r="A10531" i="1"/>
  <c r="D629" i="1"/>
  <c r="A629" i="1"/>
  <c r="D10530" i="1"/>
  <c r="A10530" i="1"/>
  <c r="D10529" i="1"/>
  <c r="A10529" i="1"/>
  <c r="D4906" i="1"/>
  <c r="A4906" i="1"/>
  <c r="D4905" i="1"/>
  <c r="A4905" i="1"/>
  <c r="D10528" i="1"/>
  <c r="A10528" i="1"/>
  <c r="D628" i="1"/>
  <c r="A628" i="1"/>
  <c r="D10527" i="1"/>
  <c r="A10527" i="1"/>
  <c r="D10526" i="1"/>
  <c r="A10526" i="1"/>
  <c r="D10525" i="1"/>
  <c r="A10525" i="1"/>
  <c r="D1120" i="1"/>
  <c r="A1120" i="1"/>
  <c r="D10524" i="1"/>
  <c r="A10524" i="1"/>
  <c r="D1119" i="1"/>
  <c r="A1119" i="1"/>
  <c r="D10523" i="1"/>
  <c r="A10523" i="1"/>
  <c r="D10522" i="1"/>
  <c r="A10522" i="1"/>
  <c r="D10521" i="1"/>
  <c r="A10521" i="1"/>
  <c r="D10520" i="1"/>
  <c r="A10520" i="1"/>
  <c r="D10519" i="1"/>
  <c r="A10519" i="1"/>
  <c r="D10518" i="1"/>
  <c r="A10518" i="1"/>
  <c r="D10517" i="1"/>
  <c r="A10517" i="1"/>
  <c r="D10516" i="1"/>
  <c r="A10516" i="1"/>
  <c r="D10515" i="1"/>
  <c r="A10515" i="1"/>
  <c r="D10514" i="1"/>
  <c r="A10514" i="1"/>
  <c r="D4904" i="1"/>
  <c r="A4904" i="1"/>
  <c r="D10513" i="1"/>
  <c r="A10513" i="1"/>
  <c r="D10512" i="1"/>
  <c r="A10512" i="1"/>
  <c r="D10511" i="1"/>
  <c r="A10511" i="1"/>
  <c r="D10510" i="1"/>
  <c r="A10510" i="1"/>
  <c r="D10509" i="1"/>
  <c r="A10509" i="1"/>
  <c r="D4903" i="1"/>
  <c r="A4903" i="1"/>
  <c r="D10508" i="1"/>
  <c r="A10508" i="1"/>
  <c r="D627" i="1"/>
  <c r="A627" i="1"/>
  <c r="D10507" i="1"/>
  <c r="A10507" i="1"/>
  <c r="D4902" i="1"/>
  <c r="A4902" i="1"/>
  <c r="D10506" i="1"/>
  <c r="A10506" i="1"/>
  <c r="D13786" i="1"/>
  <c r="A13786" i="1"/>
  <c r="D4901" i="1"/>
  <c r="A4901" i="1"/>
  <c r="D10505" i="1"/>
  <c r="A10505" i="1"/>
  <c r="D10504" i="1"/>
  <c r="A10504" i="1"/>
  <c r="D4900" i="1"/>
  <c r="A4900" i="1"/>
  <c r="D4899" i="1"/>
  <c r="A4899" i="1"/>
  <c r="D10503" i="1"/>
  <c r="A10503" i="1"/>
  <c r="D10502" i="1"/>
  <c r="A10502" i="1"/>
  <c r="D4898" i="1"/>
  <c r="A4898" i="1"/>
  <c r="D10501" i="1"/>
  <c r="A10501" i="1"/>
  <c r="D10500" i="1"/>
  <c r="A10500" i="1"/>
  <c r="D10499" i="1"/>
  <c r="A10499" i="1"/>
  <c r="D626" i="1"/>
  <c r="A626" i="1"/>
  <c r="D10498" i="1"/>
  <c r="A10498" i="1"/>
  <c r="D4897" i="1"/>
  <c r="A4897" i="1"/>
  <c r="D10497" i="1"/>
  <c r="A10497" i="1"/>
  <c r="D10496" i="1"/>
  <c r="A10496" i="1"/>
  <c r="D4896" i="1"/>
  <c r="A4896" i="1"/>
  <c r="D10495" i="1"/>
  <c r="A10495" i="1"/>
  <c r="D10494" i="1"/>
  <c r="A10494" i="1"/>
  <c r="D10493" i="1"/>
  <c r="A10493" i="1"/>
  <c r="D4895" i="1"/>
  <c r="A4895" i="1"/>
  <c r="D1118" i="1"/>
  <c r="A1118" i="1"/>
  <c r="D10492" i="1"/>
  <c r="A10492" i="1"/>
  <c r="D10491" i="1"/>
  <c r="A10491" i="1"/>
  <c r="D10490" i="1"/>
  <c r="A10490" i="1"/>
  <c r="D10489" i="1"/>
  <c r="A10489" i="1"/>
  <c r="D10488" i="1"/>
  <c r="A10488" i="1"/>
  <c r="D10487" i="1"/>
  <c r="A10487" i="1"/>
  <c r="D4894" i="1"/>
  <c r="A4894" i="1"/>
  <c r="D4893" i="1"/>
  <c r="A4893" i="1"/>
  <c r="D4892" i="1"/>
  <c r="A4892" i="1"/>
  <c r="D10486" i="1"/>
  <c r="A10486" i="1"/>
  <c r="D4891" i="1"/>
  <c r="A4891" i="1"/>
  <c r="D10485" i="1"/>
  <c r="A10485" i="1"/>
  <c r="D10484" i="1"/>
  <c r="A10484" i="1"/>
  <c r="D10483" i="1"/>
  <c r="A10483" i="1"/>
  <c r="D4890" i="1"/>
  <c r="A4890" i="1"/>
  <c r="D4889" i="1"/>
  <c r="A4889" i="1"/>
  <c r="D10482" i="1"/>
  <c r="A10482" i="1"/>
  <c r="D10481" i="1"/>
  <c r="A10481" i="1"/>
  <c r="D10480" i="1"/>
  <c r="A10480" i="1"/>
  <c r="D10479" i="1"/>
  <c r="A10479" i="1"/>
  <c r="D10478" i="1"/>
  <c r="A10478" i="1"/>
  <c r="D10477" i="1"/>
  <c r="A10477" i="1"/>
  <c r="D10476" i="1"/>
  <c r="A10476" i="1"/>
  <c r="D10475" i="1"/>
  <c r="A10475" i="1"/>
  <c r="D10474" i="1"/>
  <c r="A10474" i="1"/>
  <c r="D10473" i="1"/>
  <c r="A10473" i="1"/>
  <c r="D10472" i="1"/>
  <c r="A10472" i="1"/>
  <c r="D10471" i="1"/>
  <c r="A10471" i="1"/>
  <c r="D10470" i="1"/>
  <c r="A10470" i="1"/>
  <c r="D10469" i="1"/>
  <c r="A10469" i="1"/>
  <c r="D1117" i="1"/>
  <c r="A1117" i="1"/>
  <c r="D10468" i="1"/>
  <c r="A10468" i="1"/>
  <c r="D10467" i="1"/>
  <c r="A10467" i="1"/>
  <c r="D10466" i="1"/>
  <c r="A10466" i="1"/>
  <c r="D10465" i="1"/>
  <c r="A10465" i="1"/>
  <c r="D10464" i="1"/>
  <c r="A10464" i="1"/>
  <c r="D4888" i="1"/>
  <c r="A4888" i="1"/>
  <c r="D10463" i="1"/>
  <c r="A10463" i="1"/>
  <c r="D4887" i="1"/>
  <c r="A4887" i="1"/>
  <c r="D10462" i="1"/>
  <c r="A10462" i="1"/>
  <c r="D4886" i="1"/>
  <c r="A4886" i="1"/>
  <c r="D10461" i="1"/>
  <c r="A10461" i="1"/>
  <c r="D4885" i="1"/>
  <c r="A4885" i="1"/>
  <c r="D4884" i="1"/>
  <c r="A4884" i="1"/>
  <c r="D1116" i="1"/>
  <c r="A1116" i="1"/>
  <c r="D1115" i="1"/>
  <c r="A1115" i="1"/>
  <c r="D10460" i="1"/>
  <c r="A10460" i="1"/>
  <c r="D4883" i="1"/>
  <c r="A4883" i="1"/>
  <c r="D10459" i="1"/>
  <c r="A10459" i="1"/>
  <c r="D10458" i="1"/>
  <c r="A10458" i="1"/>
  <c r="D10457" i="1"/>
  <c r="A10457" i="1"/>
  <c r="D10456" i="1"/>
  <c r="A10456" i="1"/>
  <c r="D10455" i="1"/>
  <c r="A10455" i="1"/>
  <c r="D4882" i="1"/>
  <c r="A4882" i="1"/>
  <c r="D10454" i="1"/>
  <c r="A10454" i="1"/>
  <c r="D10453" i="1"/>
  <c r="A10453" i="1"/>
  <c r="D10452" i="1"/>
  <c r="A10452" i="1"/>
  <c r="D10451" i="1"/>
  <c r="A10451" i="1"/>
  <c r="D10450" i="1"/>
  <c r="A10450" i="1"/>
  <c r="D10449" i="1"/>
  <c r="A10449" i="1"/>
  <c r="D10448" i="1"/>
  <c r="A10448" i="1"/>
  <c r="D10447" i="1"/>
  <c r="A10447" i="1"/>
  <c r="D4881" i="1"/>
  <c r="A4881" i="1"/>
  <c r="D10446" i="1"/>
  <c r="A10446" i="1"/>
  <c r="D10445" i="1"/>
  <c r="A10445" i="1"/>
  <c r="D10444" i="1"/>
  <c r="A10444" i="1"/>
  <c r="D10443" i="1"/>
  <c r="A10443" i="1"/>
  <c r="D10442" i="1"/>
  <c r="A10442" i="1"/>
  <c r="D4880" i="1"/>
  <c r="A4880" i="1"/>
  <c r="D4879" i="1"/>
  <c r="A4879" i="1"/>
  <c r="D10441" i="1"/>
  <c r="A10441" i="1"/>
  <c r="D4878" i="1"/>
  <c r="A4878" i="1"/>
  <c r="D10440" i="1"/>
  <c r="A10440" i="1"/>
  <c r="D4877" i="1"/>
  <c r="A4877" i="1"/>
  <c r="D4876" i="1"/>
  <c r="A4876" i="1"/>
  <c r="D10439" i="1"/>
  <c r="A10439" i="1"/>
  <c r="D625" i="1"/>
  <c r="A625" i="1"/>
  <c r="D10438" i="1"/>
  <c r="A10438" i="1"/>
  <c r="D10437" i="1"/>
  <c r="A10437" i="1"/>
  <c r="D10436" i="1"/>
  <c r="A10436" i="1"/>
  <c r="D10435" i="1"/>
  <c r="A10435" i="1"/>
  <c r="D10434" i="1"/>
  <c r="A10434" i="1"/>
  <c r="D10433" i="1"/>
  <c r="A10433" i="1"/>
  <c r="D10432" i="1"/>
  <c r="A10432" i="1"/>
  <c r="D10431" i="1"/>
  <c r="A10431" i="1"/>
  <c r="D10430" i="1"/>
  <c r="A10430" i="1"/>
  <c r="D10429" i="1"/>
  <c r="A10429" i="1"/>
  <c r="D10428" i="1"/>
  <c r="A10428" i="1"/>
  <c r="D4875" i="1"/>
  <c r="A4875" i="1"/>
  <c r="D10427" i="1"/>
  <c r="A10427" i="1"/>
  <c r="D10426" i="1"/>
  <c r="A10426" i="1"/>
  <c r="D4874" i="1"/>
  <c r="A4874" i="1"/>
  <c r="D1114" i="1"/>
  <c r="A1114" i="1"/>
  <c r="D4873" i="1"/>
  <c r="A4873" i="1"/>
  <c r="D4872" i="1"/>
  <c r="A4872" i="1"/>
  <c r="D4871" i="1"/>
  <c r="A4871" i="1"/>
  <c r="D10425" i="1"/>
  <c r="A10425" i="1"/>
  <c r="D4870" i="1"/>
  <c r="A4870" i="1"/>
  <c r="D4869" i="1"/>
  <c r="A4869" i="1"/>
  <c r="D4868" i="1"/>
  <c r="A4868" i="1"/>
  <c r="D10424" i="1"/>
  <c r="A10424" i="1"/>
  <c r="D4867" i="1"/>
  <c r="A4867" i="1"/>
  <c r="D10423" i="1"/>
  <c r="A10423" i="1"/>
  <c r="D10422" i="1"/>
  <c r="A10422" i="1"/>
  <c r="D10421" i="1"/>
  <c r="A10421" i="1"/>
  <c r="D10420" i="1"/>
  <c r="A10420" i="1"/>
  <c r="D624" i="1"/>
  <c r="A624" i="1"/>
  <c r="D10419" i="1"/>
  <c r="A10419" i="1"/>
  <c r="D10418" i="1"/>
  <c r="A10418" i="1"/>
  <c r="D1113" i="1"/>
  <c r="A1113" i="1"/>
  <c r="D10417" i="1"/>
  <c r="A10417" i="1"/>
  <c r="D10416" i="1"/>
  <c r="A10416" i="1"/>
  <c r="D10415" i="1"/>
  <c r="A10415" i="1"/>
  <c r="D4866" i="1"/>
  <c r="A4866" i="1"/>
  <c r="D10414" i="1"/>
  <c r="A10414" i="1"/>
  <c r="D10413" i="1"/>
  <c r="A10413" i="1"/>
  <c r="D10412" i="1"/>
  <c r="A10412" i="1"/>
  <c r="D10411" i="1"/>
  <c r="A10411" i="1"/>
  <c r="D10410" i="1"/>
  <c r="A10410" i="1"/>
  <c r="D10409" i="1"/>
  <c r="A10409" i="1"/>
  <c r="D114" i="1"/>
  <c r="A114" i="1"/>
  <c r="D10408" i="1"/>
  <c r="A10408" i="1"/>
  <c r="D10407" i="1"/>
  <c r="A10407" i="1"/>
  <c r="D10406" i="1"/>
  <c r="A10406" i="1"/>
  <c r="D10405" i="1"/>
  <c r="A10405" i="1"/>
  <c r="D10404" i="1"/>
  <c r="A10404" i="1"/>
  <c r="D623" i="1"/>
  <c r="A623" i="1"/>
  <c r="D10403" i="1"/>
  <c r="A10403" i="1"/>
  <c r="D10402" i="1"/>
  <c r="A10402" i="1"/>
  <c r="D10401" i="1"/>
  <c r="A10401" i="1"/>
  <c r="D10400" i="1"/>
  <c r="A10400" i="1"/>
  <c r="D10399" i="1"/>
  <c r="A10399" i="1"/>
  <c r="D10398" i="1"/>
  <c r="A10398" i="1"/>
  <c r="D10397" i="1"/>
  <c r="A10397" i="1"/>
  <c r="D10396" i="1"/>
  <c r="A10396" i="1"/>
  <c r="D10395" i="1"/>
  <c r="A10395" i="1"/>
  <c r="D10394" i="1"/>
  <c r="A10394" i="1"/>
  <c r="D1112" i="1"/>
  <c r="A1112" i="1"/>
  <c r="D10393" i="1"/>
  <c r="A10393" i="1"/>
  <c r="D622" i="1"/>
  <c r="A622" i="1"/>
  <c r="D10392" i="1"/>
  <c r="A10392" i="1"/>
  <c r="D10391" i="1"/>
  <c r="A10391" i="1"/>
  <c r="D10390" i="1"/>
  <c r="A10390" i="1"/>
  <c r="D10389" i="1"/>
  <c r="A10389" i="1"/>
  <c r="D10388" i="1"/>
  <c r="A10388" i="1"/>
  <c r="D10387" i="1"/>
  <c r="A10387" i="1"/>
  <c r="D4865" i="1"/>
  <c r="A4865" i="1"/>
  <c r="D10386" i="1"/>
  <c r="A10386" i="1"/>
  <c r="D4864" i="1"/>
  <c r="A4864" i="1"/>
  <c r="D1111" i="1"/>
  <c r="A1111" i="1"/>
  <c r="D10385" i="1"/>
  <c r="A10385" i="1"/>
  <c r="D10384" i="1"/>
  <c r="A10384" i="1"/>
  <c r="D10383" i="1"/>
  <c r="A10383" i="1"/>
  <c r="D4863" i="1"/>
  <c r="A4863" i="1"/>
  <c r="D4862" i="1"/>
  <c r="A4862" i="1"/>
  <c r="D10382" i="1"/>
  <c r="A10382" i="1"/>
  <c r="D10381" i="1"/>
  <c r="A10381" i="1"/>
  <c r="D10380" i="1"/>
  <c r="A10380" i="1"/>
  <c r="D10379" i="1"/>
  <c r="A10379" i="1"/>
  <c r="D4861" i="1"/>
  <c r="A4861" i="1"/>
  <c r="D4860" i="1"/>
  <c r="A4860" i="1"/>
  <c r="D1110" i="1"/>
  <c r="A1110" i="1"/>
  <c r="D10378" i="1"/>
  <c r="A10378" i="1"/>
  <c r="D1109" i="1"/>
  <c r="A1109" i="1"/>
  <c r="D10377" i="1"/>
  <c r="A10377" i="1"/>
  <c r="D4859" i="1"/>
  <c r="A4859" i="1"/>
  <c r="D4858" i="1"/>
  <c r="A4858" i="1"/>
  <c r="D10376" i="1"/>
  <c r="A10376" i="1"/>
  <c r="D10375" i="1"/>
  <c r="A10375" i="1"/>
  <c r="D10374" i="1"/>
  <c r="A10374" i="1"/>
  <c r="D10373" i="1"/>
  <c r="A10373" i="1"/>
  <c r="D10372" i="1"/>
  <c r="A10372" i="1"/>
  <c r="D621" i="1"/>
  <c r="A621" i="1"/>
  <c r="D4857" i="1"/>
  <c r="A4857" i="1"/>
  <c r="D10371" i="1"/>
  <c r="A10371" i="1"/>
  <c r="D10370" i="1"/>
  <c r="A10370" i="1"/>
  <c r="D10369" i="1"/>
  <c r="A10369" i="1"/>
  <c r="D10368" i="1"/>
  <c r="A10368" i="1"/>
  <c r="D10367" i="1"/>
  <c r="A10367" i="1"/>
  <c r="D10366" i="1"/>
  <c r="A10366" i="1"/>
  <c r="D10365" i="1"/>
  <c r="A10365" i="1"/>
  <c r="D4856" i="1"/>
  <c r="A4856" i="1"/>
  <c r="D10364" i="1"/>
  <c r="A10364" i="1"/>
  <c r="D10363" i="1"/>
  <c r="A10363" i="1"/>
  <c r="D4855" i="1"/>
  <c r="A4855" i="1"/>
  <c r="D10362" i="1"/>
  <c r="A10362" i="1"/>
  <c r="D10361" i="1"/>
  <c r="A10361" i="1"/>
  <c r="D10360" i="1"/>
  <c r="A10360" i="1"/>
  <c r="D10359" i="1"/>
  <c r="A10359" i="1"/>
  <c r="D4854" i="1"/>
  <c r="A4854" i="1"/>
  <c r="D4853" i="1"/>
  <c r="A4853" i="1"/>
  <c r="D10358" i="1"/>
  <c r="A10358" i="1"/>
  <c r="D10357" i="1"/>
  <c r="A10357" i="1"/>
  <c r="D10356" i="1"/>
  <c r="A10356" i="1"/>
  <c r="D10355" i="1"/>
  <c r="A10355" i="1"/>
  <c r="D10354" i="1"/>
  <c r="A10354" i="1"/>
  <c r="D4852" i="1"/>
  <c r="A4852" i="1"/>
  <c r="D10353" i="1"/>
  <c r="A10353" i="1"/>
  <c r="D10352" i="1"/>
  <c r="A10352" i="1"/>
  <c r="D10351" i="1"/>
  <c r="A10351" i="1"/>
  <c r="D10350" i="1"/>
  <c r="A10350" i="1"/>
  <c r="D10349" i="1"/>
  <c r="A10349" i="1"/>
  <c r="D10348" i="1"/>
  <c r="A10348" i="1"/>
  <c r="D10347" i="1"/>
  <c r="A10347" i="1"/>
  <c r="D10346" i="1"/>
  <c r="A10346" i="1"/>
  <c r="D10345" i="1"/>
  <c r="A10345" i="1"/>
  <c r="D10344" i="1"/>
  <c r="A10344" i="1"/>
  <c r="D4851" i="1"/>
  <c r="A4851" i="1"/>
  <c r="D10343" i="1"/>
  <c r="A10343" i="1"/>
  <c r="D10342" i="1"/>
  <c r="A10342" i="1"/>
  <c r="D4850" i="1"/>
  <c r="A4850" i="1"/>
  <c r="D4849" i="1"/>
  <c r="A4849" i="1"/>
  <c r="D10341" i="1"/>
  <c r="A10341" i="1"/>
  <c r="D4848" i="1"/>
  <c r="A4848" i="1"/>
  <c r="D10340" i="1"/>
  <c r="A10340" i="1"/>
  <c r="D1108" i="1"/>
  <c r="A1108" i="1"/>
  <c r="D10339" i="1"/>
  <c r="A10339" i="1"/>
  <c r="D620" i="1"/>
  <c r="A620" i="1"/>
  <c r="D1107" i="1"/>
  <c r="A1107" i="1"/>
  <c r="D4847" i="1"/>
  <c r="A4847" i="1"/>
  <c r="D10338" i="1"/>
  <c r="A10338" i="1"/>
  <c r="D10337" i="1"/>
  <c r="A10337" i="1"/>
  <c r="D1106" i="1"/>
  <c r="A1106" i="1"/>
  <c r="D4846" i="1"/>
  <c r="A4846" i="1"/>
  <c r="D10336" i="1"/>
  <c r="A10336" i="1"/>
  <c r="D10335" i="1"/>
  <c r="A10335" i="1"/>
  <c r="D4845" i="1"/>
  <c r="A4845" i="1"/>
  <c r="D10334" i="1"/>
  <c r="A10334" i="1"/>
  <c r="D4844" i="1"/>
  <c r="A4844" i="1"/>
  <c r="D10333" i="1"/>
  <c r="A10333" i="1"/>
  <c r="D4843" i="1"/>
  <c r="A4843" i="1"/>
  <c r="D4842" i="1"/>
  <c r="A4842" i="1"/>
  <c r="D4841" i="1"/>
  <c r="A4841" i="1"/>
  <c r="D10332" i="1"/>
  <c r="A10332" i="1"/>
  <c r="D4840" i="1"/>
  <c r="A4840" i="1"/>
  <c r="D4839" i="1"/>
  <c r="A4839" i="1"/>
  <c r="D10331" i="1"/>
  <c r="A10331" i="1"/>
  <c r="D619" i="1"/>
  <c r="A619" i="1"/>
  <c r="D1105" i="1"/>
  <c r="A1105" i="1"/>
  <c r="D4838" i="1"/>
  <c r="A4838" i="1"/>
  <c r="D4837" i="1"/>
  <c r="A4837" i="1"/>
  <c r="D10330" i="1"/>
  <c r="A10330" i="1"/>
  <c r="D10329" i="1"/>
  <c r="A10329" i="1"/>
  <c r="D10328" i="1"/>
  <c r="A10328" i="1"/>
  <c r="D10327" i="1"/>
  <c r="A10327" i="1"/>
  <c r="D10326" i="1"/>
  <c r="A10326" i="1"/>
  <c r="D10325" i="1"/>
  <c r="A10325" i="1"/>
  <c r="D10324" i="1"/>
  <c r="A10324" i="1"/>
  <c r="D10323" i="1"/>
  <c r="A10323" i="1"/>
  <c r="D10322" i="1"/>
  <c r="A10322" i="1"/>
  <c r="D1104" i="1"/>
  <c r="A1104" i="1"/>
  <c r="D4836" i="1"/>
  <c r="A4836" i="1"/>
  <c r="D10321" i="1"/>
  <c r="A10321" i="1"/>
  <c r="D1103" i="1"/>
  <c r="A1103" i="1"/>
  <c r="D10320" i="1"/>
  <c r="A10320" i="1"/>
  <c r="D10319" i="1"/>
  <c r="A10319" i="1"/>
  <c r="D10318" i="1"/>
  <c r="A10318" i="1"/>
  <c r="D10317" i="1"/>
  <c r="A10317" i="1"/>
  <c r="D10316" i="1"/>
  <c r="A10316" i="1"/>
  <c r="D4835" i="1"/>
  <c r="A4835" i="1"/>
  <c r="D10315" i="1"/>
  <c r="A10315" i="1"/>
  <c r="D10314" i="1"/>
  <c r="A10314" i="1"/>
  <c r="D4834" i="1"/>
  <c r="A4834" i="1"/>
  <c r="D4833" i="1"/>
  <c r="A4833" i="1"/>
  <c r="D10313" i="1"/>
  <c r="A10313" i="1"/>
  <c r="D10312" i="1"/>
  <c r="A10312" i="1"/>
  <c r="D10311" i="1"/>
  <c r="A10311" i="1"/>
  <c r="D10310" i="1"/>
  <c r="A10310" i="1"/>
  <c r="D10309" i="1"/>
  <c r="A10309" i="1"/>
  <c r="D10308" i="1"/>
  <c r="A10308" i="1"/>
  <c r="D618" i="1"/>
  <c r="A618" i="1"/>
  <c r="D10307" i="1"/>
  <c r="A10307" i="1"/>
  <c r="D10306" i="1"/>
  <c r="A10306" i="1"/>
  <c r="D10305" i="1"/>
  <c r="A10305" i="1"/>
  <c r="D10304" i="1"/>
  <c r="A10304" i="1"/>
  <c r="D10303" i="1"/>
  <c r="A10303" i="1"/>
  <c r="D10302" i="1"/>
  <c r="A10302" i="1"/>
  <c r="D1102" i="1"/>
  <c r="A1102" i="1"/>
  <c r="D10301" i="1"/>
  <c r="A10301" i="1"/>
  <c r="D10300" i="1"/>
  <c r="A10300" i="1"/>
  <c r="D1101" i="1"/>
  <c r="A1101" i="1"/>
  <c r="D4832" i="1"/>
  <c r="A4832" i="1"/>
  <c r="D10299" i="1"/>
  <c r="A10299" i="1"/>
  <c r="D10298" i="1"/>
  <c r="A10298" i="1"/>
  <c r="D10297" i="1"/>
  <c r="A10297" i="1"/>
  <c r="D617" i="1"/>
  <c r="A617" i="1"/>
  <c r="D10296" i="1"/>
  <c r="A10296" i="1"/>
  <c r="D10295" i="1"/>
  <c r="A10295" i="1"/>
  <c r="D10294" i="1"/>
  <c r="A10294" i="1"/>
  <c r="D10293" i="1"/>
  <c r="A10293" i="1"/>
  <c r="D10292" i="1"/>
  <c r="A10292" i="1"/>
  <c r="D4831" i="1"/>
  <c r="A4831" i="1"/>
  <c r="D10291" i="1"/>
  <c r="A10291" i="1"/>
  <c r="D4830" i="1"/>
  <c r="A4830" i="1"/>
  <c r="D4829" i="1"/>
  <c r="A4829" i="1"/>
  <c r="D616" i="1"/>
  <c r="A616" i="1"/>
  <c r="D10290" i="1"/>
  <c r="A10290" i="1"/>
  <c r="D10289" i="1"/>
  <c r="A10289" i="1"/>
  <c r="D10288" i="1"/>
  <c r="A10288" i="1"/>
  <c r="D10287" i="1"/>
  <c r="A10287" i="1"/>
  <c r="D4828" i="1"/>
  <c r="A4828" i="1"/>
  <c r="D4827" i="1"/>
  <c r="A4827" i="1"/>
  <c r="D4826" i="1"/>
  <c r="A4826" i="1"/>
  <c r="D10286" i="1"/>
  <c r="A10286" i="1"/>
  <c r="D10285" i="1"/>
  <c r="A10285" i="1"/>
  <c r="D10284" i="1"/>
  <c r="A10284" i="1"/>
  <c r="D10283" i="1"/>
  <c r="A10283" i="1"/>
  <c r="D10282" i="1"/>
  <c r="A10282" i="1"/>
  <c r="D10281" i="1"/>
  <c r="A10281" i="1"/>
  <c r="D10280" i="1"/>
  <c r="A10280" i="1"/>
  <c r="D10279" i="1"/>
  <c r="A10279" i="1"/>
  <c r="D10278" i="1"/>
  <c r="A10278" i="1"/>
  <c r="D1100" i="1"/>
  <c r="A1100" i="1"/>
  <c r="D4825" i="1"/>
  <c r="A4825" i="1"/>
  <c r="D10277" i="1"/>
  <c r="A10277" i="1"/>
  <c r="D10276" i="1"/>
  <c r="A10276" i="1"/>
  <c r="D10275" i="1"/>
  <c r="A10275" i="1"/>
  <c r="D10274" i="1"/>
  <c r="A10274" i="1"/>
  <c r="D10273" i="1"/>
  <c r="A10273" i="1"/>
  <c r="D10272" i="1"/>
  <c r="A10272" i="1"/>
  <c r="D10271" i="1"/>
  <c r="A10271" i="1"/>
  <c r="D10270" i="1"/>
  <c r="A10270" i="1"/>
  <c r="D10269" i="1"/>
  <c r="A10269" i="1"/>
  <c r="D10268" i="1"/>
  <c r="A10268" i="1"/>
  <c r="D10267" i="1"/>
  <c r="A10267" i="1"/>
  <c r="D10266" i="1"/>
  <c r="A10266" i="1"/>
  <c r="D10265" i="1"/>
  <c r="A10265" i="1"/>
  <c r="D10264" i="1"/>
  <c r="A10264" i="1"/>
  <c r="D10263" i="1"/>
  <c r="A10263" i="1"/>
  <c r="D1099" i="1"/>
  <c r="A1099" i="1"/>
  <c r="D10262" i="1"/>
  <c r="A10262" i="1"/>
  <c r="D10261" i="1"/>
  <c r="A10261" i="1"/>
  <c r="D4824" i="1"/>
  <c r="A4824" i="1"/>
  <c r="D10260" i="1"/>
  <c r="A10260" i="1"/>
  <c r="D10259" i="1"/>
  <c r="A10259" i="1"/>
  <c r="D10258" i="1"/>
  <c r="A10258" i="1"/>
  <c r="D10257" i="1"/>
  <c r="A10257" i="1"/>
  <c r="D10256" i="1"/>
  <c r="A10256" i="1"/>
  <c r="D10255" i="1"/>
  <c r="A10255" i="1"/>
  <c r="D4823" i="1"/>
  <c r="A4823" i="1"/>
  <c r="D4822" i="1"/>
  <c r="A4822" i="1"/>
  <c r="D1098" i="1"/>
  <c r="A1098" i="1"/>
  <c r="D10254" i="1"/>
  <c r="A10254" i="1"/>
  <c r="D10253" i="1"/>
  <c r="A10253" i="1"/>
  <c r="D615" i="1"/>
  <c r="A615" i="1"/>
  <c r="D4821" i="1"/>
  <c r="A4821" i="1"/>
  <c r="D10252" i="1"/>
  <c r="A10252" i="1"/>
  <c r="D10251" i="1"/>
  <c r="A10251" i="1"/>
  <c r="D10250" i="1"/>
  <c r="A10250" i="1"/>
  <c r="D10249" i="1"/>
  <c r="A10249" i="1"/>
  <c r="D4820" i="1"/>
  <c r="A4820" i="1"/>
  <c r="D10248" i="1"/>
  <c r="A10248" i="1"/>
  <c r="D10247" i="1"/>
  <c r="A10247" i="1"/>
  <c r="D4819" i="1"/>
  <c r="A4819" i="1"/>
  <c r="D4818" i="1"/>
  <c r="A4818" i="1"/>
  <c r="D1097" i="1"/>
  <c r="A1097" i="1"/>
  <c r="D4817" i="1"/>
  <c r="A4817" i="1"/>
  <c r="D4816" i="1"/>
  <c r="A4816" i="1"/>
  <c r="D10246" i="1"/>
  <c r="A10246" i="1"/>
  <c r="D10245" i="1"/>
  <c r="A10245" i="1"/>
  <c r="D4815" i="1"/>
  <c r="A4815" i="1"/>
  <c r="D10244" i="1"/>
  <c r="A10244" i="1"/>
  <c r="D4814" i="1"/>
  <c r="A4814" i="1"/>
  <c r="D4813" i="1"/>
  <c r="A4813" i="1"/>
  <c r="D614" i="1"/>
  <c r="A614" i="1"/>
  <c r="D10243" i="1"/>
  <c r="A10243" i="1"/>
  <c r="D10242" i="1"/>
  <c r="A10242" i="1"/>
  <c r="D10241" i="1"/>
  <c r="A10241" i="1"/>
  <c r="D613" i="1"/>
  <c r="A613" i="1"/>
  <c r="D10240" i="1"/>
  <c r="A10240" i="1"/>
  <c r="D10239" i="1"/>
  <c r="A10239" i="1"/>
  <c r="D10238" i="1"/>
  <c r="A10238" i="1"/>
  <c r="D612" i="1"/>
  <c r="A612" i="1"/>
  <c r="D10237" i="1"/>
  <c r="A10237" i="1"/>
  <c r="D10236" i="1"/>
  <c r="A10236" i="1"/>
  <c r="D10235" i="1"/>
  <c r="A10235" i="1"/>
  <c r="D10234" i="1"/>
  <c r="A10234" i="1"/>
  <c r="D4812" i="1"/>
  <c r="A4812" i="1"/>
  <c r="D10233" i="1"/>
  <c r="A10233" i="1"/>
  <c r="D4811" i="1"/>
  <c r="A4811" i="1"/>
  <c r="D10232" i="1"/>
  <c r="A10232" i="1"/>
  <c r="D4810" i="1"/>
  <c r="A4810" i="1"/>
  <c r="D4809" i="1"/>
  <c r="A4809" i="1"/>
  <c r="D10231" i="1"/>
  <c r="A10231" i="1"/>
  <c r="D4808" i="1"/>
  <c r="A4808" i="1"/>
  <c r="D10230" i="1"/>
  <c r="A10230" i="1"/>
  <c r="D10229" i="1"/>
  <c r="A10229" i="1"/>
  <c r="D10228" i="1"/>
  <c r="A10228" i="1"/>
  <c r="D10227" i="1"/>
  <c r="A10227" i="1"/>
  <c r="D10226" i="1"/>
  <c r="A10226" i="1"/>
  <c r="D10225" i="1"/>
  <c r="A10225" i="1"/>
  <c r="D10224" i="1"/>
  <c r="A10224" i="1"/>
  <c r="D4807" i="1"/>
  <c r="A4807" i="1"/>
  <c r="D10223" i="1"/>
  <c r="A10223" i="1"/>
  <c r="D10222" i="1"/>
  <c r="A10222" i="1"/>
  <c r="D4806" i="1"/>
  <c r="A4806" i="1"/>
  <c r="D10221" i="1"/>
  <c r="A10221" i="1"/>
  <c r="D4805" i="1"/>
  <c r="A4805" i="1"/>
  <c r="D10220" i="1"/>
  <c r="A10220" i="1"/>
  <c r="D10219" i="1"/>
  <c r="A10219" i="1"/>
  <c r="D10218" i="1"/>
  <c r="A10218" i="1"/>
  <c r="D4804" i="1"/>
  <c r="A4804" i="1"/>
  <c r="D10217" i="1"/>
  <c r="A10217" i="1"/>
  <c r="D611" i="1"/>
  <c r="A611" i="1"/>
  <c r="D1096" i="1"/>
  <c r="A1096" i="1"/>
  <c r="D4803" i="1"/>
  <c r="A4803" i="1"/>
  <c r="D10216" i="1"/>
  <c r="A10216" i="1"/>
  <c r="D610" i="1"/>
  <c r="A610" i="1"/>
  <c r="D609" i="1"/>
  <c r="A609" i="1"/>
  <c r="D4802" i="1"/>
  <c r="A4802" i="1"/>
  <c r="D10215" i="1"/>
  <c r="A10215" i="1"/>
  <c r="D10214" i="1"/>
  <c r="A10214" i="1"/>
  <c r="D4801" i="1"/>
  <c r="A4801" i="1"/>
  <c r="D10213" i="1"/>
  <c r="A10213" i="1"/>
  <c r="D10212" i="1"/>
  <c r="A10212" i="1"/>
  <c r="D10211" i="1"/>
  <c r="A10211" i="1"/>
  <c r="D10210" i="1"/>
  <c r="A10210" i="1"/>
  <c r="D10209" i="1"/>
  <c r="A10209" i="1"/>
  <c r="D10208" i="1"/>
  <c r="A10208" i="1"/>
  <c r="D10207" i="1"/>
  <c r="A10207" i="1"/>
  <c r="D10206" i="1"/>
  <c r="A10206" i="1"/>
  <c r="D10205" i="1"/>
  <c r="A10205" i="1"/>
  <c r="D10204" i="1"/>
  <c r="A10204" i="1"/>
  <c r="D10203" i="1"/>
  <c r="A10203" i="1"/>
  <c r="D4800" i="1"/>
  <c r="A4800" i="1"/>
  <c r="D4799" i="1"/>
  <c r="A4799" i="1"/>
  <c r="D10202" i="1"/>
  <c r="A10202" i="1"/>
  <c r="D10201" i="1"/>
  <c r="A10201" i="1"/>
  <c r="D10200" i="1"/>
  <c r="A10200" i="1"/>
  <c r="D10199" i="1"/>
  <c r="A10199" i="1"/>
  <c r="D10198" i="1"/>
  <c r="A10198" i="1"/>
  <c r="D4798" i="1"/>
  <c r="A4798" i="1"/>
  <c r="D10197" i="1"/>
  <c r="A10197" i="1"/>
  <c r="D4797" i="1"/>
  <c r="A4797" i="1"/>
  <c r="D4796" i="1"/>
  <c r="A4796" i="1"/>
  <c r="D10196" i="1"/>
  <c r="A10196" i="1"/>
  <c r="D10195" i="1"/>
  <c r="A10195" i="1"/>
  <c r="D10194" i="1"/>
  <c r="A10194" i="1"/>
  <c r="D10193" i="1"/>
  <c r="A10193" i="1"/>
  <c r="D10192" i="1"/>
  <c r="A10192" i="1"/>
  <c r="D10191" i="1"/>
  <c r="A10191" i="1"/>
  <c r="D608" i="1"/>
  <c r="A608" i="1"/>
  <c r="D10190" i="1"/>
  <c r="A10190" i="1"/>
  <c r="D4795" i="1"/>
  <c r="A4795" i="1"/>
  <c r="D4794" i="1"/>
  <c r="A4794" i="1"/>
  <c r="D4793" i="1"/>
  <c r="A4793" i="1"/>
  <c r="D10189" i="1"/>
  <c r="A10189" i="1"/>
  <c r="D10188" i="1"/>
  <c r="A10188" i="1"/>
  <c r="D4792" i="1"/>
  <c r="A4792" i="1"/>
  <c r="D10187" i="1"/>
  <c r="A10187" i="1"/>
  <c r="D10186" i="1"/>
  <c r="A10186" i="1"/>
  <c r="D10185" i="1"/>
  <c r="A10185" i="1"/>
  <c r="D4791" i="1"/>
  <c r="A4791" i="1"/>
  <c r="D10184" i="1"/>
  <c r="A10184" i="1"/>
  <c r="D10183" i="1"/>
  <c r="A10183" i="1"/>
  <c r="D10182" i="1"/>
  <c r="A10182" i="1"/>
  <c r="D10181" i="1"/>
  <c r="A10181" i="1"/>
  <c r="D4790" i="1"/>
  <c r="A4790" i="1"/>
  <c r="D4789" i="1"/>
  <c r="A4789" i="1"/>
  <c r="D10180" i="1"/>
  <c r="A10180" i="1"/>
  <c r="D4788" i="1"/>
  <c r="A4788" i="1"/>
  <c r="D10179" i="1"/>
  <c r="A10179" i="1"/>
  <c r="D4787" i="1"/>
  <c r="A4787" i="1"/>
  <c r="D607" i="1"/>
  <c r="A607" i="1"/>
  <c r="D10178" i="1"/>
  <c r="A10178" i="1"/>
  <c r="D10177" i="1"/>
  <c r="A10177" i="1"/>
  <c r="D10176" i="1"/>
  <c r="A10176" i="1"/>
  <c r="D606" i="1"/>
  <c r="A606" i="1"/>
  <c r="D1095" i="1"/>
  <c r="A1095" i="1"/>
  <c r="D10175" i="1"/>
  <c r="A10175" i="1"/>
  <c r="D4786" i="1"/>
  <c r="A4786" i="1"/>
  <c r="D10174" i="1"/>
  <c r="A10174" i="1"/>
  <c r="D10173" i="1"/>
  <c r="A10173" i="1"/>
  <c r="D10172" i="1"/>
  <c r="A10172" i="1"/>
  <c r="D10171" i="1"/>
  <c r="A10171" i="1"/>
  <c r="D10170" i="1"/>
  <c r="A10170" i="1"/>
  <c r="D10169" i="1"/>
  <c r="A10169" i="1"/>
  <c r="D10168" i="1"/>
  <c r="A10168" i="1"/>
  <c r="D10167" i="1"/>
  <c r="A10167" i="1"/>
  <c r="D4785" i="1"/>
  <c r="A4785" i="1"/>
  <c r="D10166" i="1"/>
  <c r="A10166" i="1"/>
  <c r="D10165" i="1"/>
  <c r="A10165" i="1"/>
  <c r="D10164" i="1"/>
  <c r="A10164" i="1"/>
  <c r="D10163" i="1"/>
  <c r="A10163" i="1"/>
  <c r="D10162" i="1"/>
  <c r="A10162" i="1"/>
  <c r="D16" i="1"/>
  <c r="A16" i="1"/>
  <c r="D605" i="1"/>
  <c r="A605" i="1"/>
  <c r="D10161" i="1"/>
  <c r="A10161" i="1"/>
  <c r="D10160" i="1"/>
  <c r="A10160" i="1"/>
  <c r="D10159" i="1"/>
  <c r="A10159" i="1"/>
  <c r="D10158" i="1"/>
  <c r="A10158" i="1"/>
  <c r="D10157" i="1"/>
  <c r="A10157" i="1"/>
  <c r="D604" i="1"/>
  <c r="A604" i="1"/>
  <c r="D31" i="1"/>
  <c r="A31" i="1"/>
  <c r="D10156" i="1"/>
  <c r="A10156" i="1"/>
  <c r="D10155" i="1"/>
  <c r="A10155" i="1"/>
  <c r="D4784" i="1"/>
  <c r="A4784" i="1"/>
  <c r="D10154" i="1"/>
  <c r="A10154" i="1"/>
  <c r="D4783" i="1"/>
  <c r="A4783" i="1"/>
  <c r="D10153" i="1"/>
  <c r="A10153" i="1"/>
  <c r="D4782" i="1"/>
  <c r="A4782" i="1"/>
  <c r="D4781" i="1"/>
  <c r="A4781" i="1"/>
  <c r="D30" i="1"/>
  <c r="A30" i="1"/>
  <c r="D10152" i="1"/>
  <c r="A10152" i="1"/>
  <c r="D4780" i="1"/>
  <c r="A4780" i="1"/>
  <c r="D10151" i="1"/>
  <c r="A10151" i="1"/>
  <c r="D10150" i="1"/>
  <c r="A10150" i="1"/>
  <c r="D10149" i="1"/>
  <c r="A10149" i="1"/>
  <c r="D4779" i="1"/>
  <c r="A4779" i="1"/>
  <c r="D4778" i="1"/>
  <c r="A4778" i="1"/>
  <c r="D4777" i="1"/>
  <c r="A4777" i="1"/>
  <c r="D10148" i="1"/>
  <c r="A10148" i="1"/>
  <c r="D10147" i="1"/>
  <c r="A10147" i="1"/>
  <c r="D10146" i="1"/>
  <c r="A10146" i="1"/>
  <c r="D10145" i="1"/>
  <c r="A10145" i="1"/>
  <c r="D1094" i="1"/>
  <c r="A1094" i="1"/>
  <c r="D10144" i="1"/>
  <c r="A10144" i="1"/>
  <c r="D10143" i="1"/>
  <c r="A10143" i="1"/>
  <c r="D10142" i="1"/>
  <c r="A10142" i="1"/>
  <c r="D10141" i="1"/>
  <c r="A10141" i="1"/>
  <c r="D10140" i="1"/>
  <c r="A10140" i="1"/>
  <c r="D10139" i="1"/>
  <c r="A10139" i="1"/>
  <c r="D10138" i="1"/>
  <c r="A10138" i="1"/>
  <c r="D4776" i="1"/>
  <c r="A4776" i="1"/>
  <c r="D4775" i="1"/>
  <c r="A4775" i="1"/>
  <c r="D10137" i="1"/>
  <c r="A10137" i="1"/>
  <c r="D10136" i="1"/>
  <c r="A10136" i="1"/>
  <c r="D10135" i="1"/>
  <c r="A10135" i="1"/>
  <c r="D10134" i="1"/>
  <c r="A10134" i="1"/>
  <c r="D10133" i="1"/>
  <c r="A10133" i="1"/>
  <c r="D10132" i="1"/>
  <c r="A10132" i="1"/>
  <c r="D10131" i="1"/>
  <c r="A10131" i="1"/>
  <c r="D4774" i="1"/>
  <c r="A4774" i="1"/>
  <c r="D4773" i="1"/>
  <c r="A4773" i="1"/>
  <c r="D4772" i="1"/>
  <c r="A4772" i="1"/>
  <c r="D4771" i="1"/>
  <c r="A4771" i="1"/>
  <c r="D10130" i="1"/>
  <c r="A10130" i="1"/>
  <c r="D4770" i="1"/>
  <c r="A4770" i="1"/>
  <c r="D10129" i="1"/>
  <c r="A10129" i="1"/>
  <c r="D10128" i="1"/>
  <c r="A10128" i="1"/>
  <c r="D10127" i="1"/>
  <c r="A10127" i="1"/>
  <c r="D4769" i="1"/>
  <c r="A4769" i="1"/>
  <c r="D603" i="1"/>
  <c r="A603" i="1"/>
  <c r="D10126" i="1"/>
  <c r="A10126" i="1"/>
  <c r="D10125" i="1"/>
  <c r="A10125" i="1"/>
  <c r="D10124" i="1"/>
  <c r="A10124" i="1"/>
  <c r="D10123" i="1"/>
  <c r="A10123" i="1"/>
  <c r="D10122" i="1"/>
  <c r="A10122" i="1"/>
  <c r="D10121" i="1"/>
  <c r="A10121" i="1"/>
  <c r="D10120" i="1"/>
  <c r="A10120" i="1"/>
  <c r="D10119" i="1"/>
  <c r="A10119" i="1"/>
  <c r="D10118" i="1"/>
  <c r="A10118" i="1"/>
  <c r="D10117" i="1"/>
  <c r="A10117" i="1"/>
  <c r="D10116" i="1"/>
  <c r="A10116" i="1"/>
  <c r="D10115" i="1"/>
  <c r="A10115" i="1"/>
  <c r="D10114" i="1"/>
  <c r="A10114" i="1"/>
  <c r="D10113" i="1"/>
  <c r="A10113" i="1"/>
  <c r="D10112" i="1"/>
  <c r="A10112" i="1"/>
  <c r="D10111" i="1"/>
  <c r="A10111" i="1"/>
  <c r="D10110" i="1"/>
  <c r="A10110" i="1"/>
  <c r="D10109" i="1"/>
  <c r="A10109" i="1"/>
  <c r="D10108" i="1"/>
  <c r="A10108" i="1"/>
  <c r="D4768" i="1"/>
  <c r="A4768" i="1"/>
  <c r="D4767" i="1"/>
  <c r="A4767" i="1"/>
  <c r="D10107" i="1"/>
  <c r="A10107" i="1"/>
  <c r="D1093" i="1"/>
  <c r="A1093" i="1"/>
  <c r="D10106" i="1"/>
  <c r="A10106" i="1"/>
  <c r="D10105" i="1"/>
  <c r="A10105" i="1"/>
  <c r="D10104" i="1"/>
  <c r="A10104" i="1"/>
  <c r="D10103" i="1"/>
  <c r="A10103" i="1"/>
  <c r="D10102" i="1"/>
  <c r="A10102" i="1"/>
  <c r="D602" i="1"/>
  <c r="A602" i="1"/>
  <c r="D10101" i="1"/>
  <c r="A10101" i="1"/>
  <c r="D1092" i="1"/>
  <c r="A1092" i="1"/>
  <c r="D10100" i="1"/>
  <c r="A10100" i="1"/>
  <c r="D10099" i="1"/>
  <c r="A10099" i="1"/>
  <c r="D10098" i="1"/>
  <c r="A10098" i="1"/>
  <c r="D4766" i="1"/>
  <c r="A4766" i="1"/>
  <c r="D601" i="1"/>
  <c r="A601" i="1"/>
  <c r="D10097" i="1"/>
  <c r="A10097" i="1"/>
  <c r="D10096" i="1"/>
  <c r="A10096" i="1"/>
  <c r="D10095" i="1"/>
  <c r="A10095" i="1"/>
  <c r="D4765" i="1"/>
  <c r="A4765" i="1"/>
  <c r="D10094" i="1"/>
  <c r="A10094" i="1"/>
  <c r="D10093" i="1"/>
  <c r="A10093" i="1"/>
  <c r="D10092" i="1"/>
  <c r="A10092" i="1"/>
  <c r="D10091" i="1"/>
  <c r="A10091" i="1"/>
  <c r="D1091" i="1"/>
  <c r="A1091" i="1"/>
  <c r="D4764" i="1"/>
  <c r="A4764" i="1"/>
  <c r="D4763" i="1"/>
  <c r="A4763" i="1"/>
  <c r="D10090" i="1"/>
  <c r="A10090" i="1"/>
  <c r="D4762" i="1"/>
  <c r="A4762" i="1"/>
  <c r="D4761" i="1"/>
  <c r="A4761" i="1"/>
  <c r="D10089" i="1"/>
  <c r="A10089" i="1"/>
  <c r="D10088" i="1"/>
  <c r="A10088" i="1"/>
  <c r="D4760" i="1"/>
  <c r="A4760" i="1"/>
  <c r="D4759" i="1"/>
  <c r="A4759" i="1"/>
  <c r="D10087" i="1"/>
  <c r="A10087" i="1"/>
  <c r="D10086" i="1"/>
  <c r="A10086" i="1"/>
  <c r="D4758" i="1"/>
  <c r="A4758" i="1"/>
  <c r="D10085" i="1"/>
  <c r="A10085" i="1"/>
  <c r="D600" i="1"/>
  <c r="A600" i="1"/>
  <c r="D10084" i="1"/>
  <c r="A10084" i="1"/>
  <c r="D4757" i="1"/>
  <c r="A4757" i="1"/>
  <c r="D10083" i="1"/>
  <c r="A10083" i="1"/>
  <c r="D10082" i="1"/>
  <c r="A10082" i="1"/>
  <c r="D10081" i="1"/>
  <c r="A10081" i="1"/>
  <c r="D10080" i="1"/>
  <c r="A10080" i="1"/>
  <c r="D10079" i="1"/>
  <c r="A10079" i="1"/>
  <c r="D10078" i="1"/>
  <c r="A10078" i="1"/>
  <c r="D4756" i="1"/>
  <c r="A4756" i="1"/>
  <c r="D4755" i="1"/>
  <c r="A4755" i="1"/>
  <c r="D4754" i="1"/>
  <c r="A4754" i="1"/>
  <c r="D1090" i="1"/>
  <c r="A1090" i="1"/>
  <c r="D10077" i="1"/>
  <c r="A10077" i="1"/>
  <c r="D10076" i="1"/>
  <c r="A10076" i="1"/>
  <c r="D4753" i="1"/>
  <c r="A4753" i="1"/>
  <c r="D1089" i="1"/>
  <c r="A1089" i="1"/>
  <c r="D10075" i="1"/>
  <c r="A10075" i="1"/>
  <c r="D4752" i="1"/>
  <c r="A4752" i="1"/>
  <c r="D599" i="1"/>
  <c r="A599" i="1"/>
  <c r="D10074" i="1"/>
  <c r="A10074" i="1"/>
  <c r="D4751" i="1"/>
  <c r="A4751" i="1"/>
  <c r="D4750" i="1"/>
  <c r="A4750" i="1"/>
  <c r="D10073" i="1"/>
  <c r="A10073" i="1"/>
  <c r="D10072" i="1"/>
  <c r="A10072" i="1"/>
  <c r="D4749" i="1"/>
  <c r="A4749" i="1"/>
  <c r="D10071" i="1"/>
  <c r="A10071" i="1"/>
  <c r="D10070" i="1"/>
  <c r="A10070" i="1"/>
  <c r="D10069" i="1"/>
  <c r="A10069" i="1"/>
  <c r="D10068" i="1"/>
  <c r="A10068" i="1"/>
  <c r="D10067" i="1"/>
  <c r="A10067" i="1"/>
  <c r="D10066" i="1"/>
  <c r="A10066" i="1"/>
  <c r="D10065" i="1"/>
  <c r="A10065" i="1"/>
  <c r="D10064" i="1"/>
  <c r="A10064" i="1"/>
  <c r="D10063" i="1"/>
  <c r="A10063" i="1"/>
  <c r="D4748" i="1"/>
  <c r="A4748" i="1"/>
  <c r="D10062" i="1"/>
  <c r="A10062" i="1"/>
  <c r="D10061" i="1"/>
  <c r="A10061" i="1"/>
  <c r="D4747" i="1"/>
  <c r="A4747" i="1"/>
  <c r="D10060" i="1"/>
  <c r="A10060" i="1"/>
  <c r="D4746" i="1"/>
  <c r="A4746" i="1"/>
  <c r="D4745" i="1"/>
  <c r="A4745" i="1"/>
  <c r="D1088" i="1"/>
  <c r="A1088" i="1"/>
  <c r="D10059" i="1"/>
  <c r="A10059" i="1"/>
  <c r="D10058" i="1"/>
  <c r="A10058" i="1"/>
  <c r="D10057" i="1"/>
  <c r="A10057" i="1"/>
  <c r="D10056" i="1"/>
  <c r="A10056" i="1"/>
  <c r="D4744" i="1"/>
  <c r="A4744" i="1"/>
  <c r="D10055" i="1"/>
  <c r="A10055" i="1"/>
  <c r="D10054" i="1"/>
  <c r="A10054" i="1"/>
  <c r="D10053" i="1"/>
  <c r="A10053" i="1"/>
  <c r="D10052" i="1"/>
  <c r="A10052" i="1"/>
  <c r="D4743" i="1"/>
  <c r="A4743" i="1"/>
  <c r="D10051" i="1"/>
  <c r="A10051" i="1"/>
  <c r="D10050" i="1"/>
  <c r="A10050" i="1"/>
  <c r="D10049" i="1"/>
  <c r="A10049" i="1"/>
  <c r="D4742" i="1"/>
  <c r="A4742" i="1"/>
  <c r="D10048" i="1"/>
  <c r="A10048" i="1"/>
  <c r="D10047" i="1"/>
  <c r="A10047" i="1"/>
  <c r="D10046" i="1"/>
  <c r="A10046" i="1"/>
  <c r="D10045" i="1"/>
  <c r="A10045" i="1"/>
  <c r="D10044" i="1"/>
  <c r="A10044" i="1"/>
  <c r="D10043" i="1"/>
  <c r="A10043" i="1"/>
  <c r="D10042" i="1"/>
  <c r="A10042" i="1"/>
  <c r="D10041" i="1"/>
  <c r="A10041" i="1"/>
  <c r="D10040" i="1"/>
  <c r="A10040" i="1"/>
  <c r="D10039" i="1"/>
  <c r="A10039" i="1"/>
  <c r="D10038" i="1"/>
  <c r="A10038" i="1"/>
  <c r="D10037" i="1"/>
  <c r="A10037" i="1"/>
  <c r="D10036" i="1"/>
  <c r="A10036" i="1"/>
  <c r="D10035" i="1"/>
  <c r="A10035" i="1"/>
  <c r="D598" i="1"/>
  <c r="A598" i="1"/>
  <c r="D10034" i="1"/>
  <c r="A10034" i="1"/>
  <c r="D10033" i="1"/>
  <c r="A10033" i="1"/>
  <c r="D4741" i="1"/>
  <c r="A4741" i="1"/>
  <c r="D10032" i="1"/>
  <c r="A10032" i="1"/>
  <c r="D10031" i="1"/>
  <c r="A10031" i="1"/>
  <c r="D4740" i="1"/>
  <c r="A4740" i="1"/>
  <c r="D10030" i="1"/>
  <c r="A10030" i="1"/>
  <c r="D10029" i="1"/>
  <c r="A10029" i="1"/>
  <c r="D10028" i="1"/>
  <c r="A10028" i="1"/>
  <c r="D10027" i="1"/>
  <c r="A10027" i="1"/>
  <c r="D10026" i="1"/>
  <c r="A10026" i="1"/>
  <c r="D10025" i="1"/>
  <c r="A10025" i="1"/>
  <c r="D10024" i="1"/>
  <c r="A10024" i="1"/>
  <c r="D10023" i="1"/>
  <c r="A10023" i="1"/>
  <c r="D10022" i="1"/>
  <c r="A10022" i="1"/>
  <c r="D10021" i="1"/>
  <c r="A10021" i="1"/>
  <c r="D597" i="1"/>
  <c r="A597" i="1"/>
  <c r="D10020" i="1"/>
  <c r="A10020" i="1"/>
  <c r="D4739" i="1"/>
  <c r="A4739" i="1"/>
  <c r="D10019" i="1"/>
  <c r="A10019" i="1"/>
  <c r="D10018" i="1"/>
  <c r="A10018" i="1"/>
  <c r="D4738" i="1"/>
  <c r="A4738" i="1"/>
  <c r="D10017" i="1"/>
  <c r="A10017" i="1"/>
  <c r="D13791" i="1"/>
  <c r="A13791" i="1"/>
  <c r="D10016" i="1"/>
  <c r="A10016" i="1"/>
  <c r="D10015" i="1"/>
  <c r="A10015" i="1"/>
  <c r="D10014" i="1"/>
  <c r="A10014" i="1"/>
  <c r="D4737" i="1"/>
  <c r="A4737" i="1"/>
  <c r="D10013" i="1"/>
  <c r="A10013" i="1"/>
  <c r="D10012" i="1"/>
  <c r="A10012" i="1"/>
  <c r="D10011" i="1"/>
  <c r="A10011" i="1"/>
  <c r="D10010" i="1"/>
  <c r="A10010" i="1"/>
  <c r="D10009" i="1"/>
  <c r="A10009" i="1"/>
  <c r="D10008" i="1"/>
  <c r="A10008" i="1"/>
  <c r="D10007" i="1"/>
  <c r="A10007" i="1"/>
  <c r="D10006" i="1"/>
  <c r="A10006" i="1"/>
  <c r="D10005" i="1"/>
  <c r="A10005" i="1"/>
  <c r="D4736" i="1"/>
  <c r="A4736" i="1"/>
  <c r="D10004" i="1"/>
  <c r="A10004" i="1"/>
  <c r="D10003" i="1"/>
  <c r="A10003" i="1"/>
  <c r="D596" i="1"/>
  <c r="A596" i="1"/>
  <c r="D10002" i="1"/>
  <c r="A10002" i="1"/>
  <c r="D10001" i="1"/>
  <c r="A10001" i="1"/>
  <c r="D4735" i="1"/>
  <c r="A4735" i="1"/>
  <c r="D4734" i="1"/>
  <c r="A4734" i="1"/>
  <c r="D4733" i="1"/>
  <c r="A4733" i="1"/>
  <c r="D10000" i="1"/>
  <c r="A10000" i="1"/>
  <c r="D9999" i="1"/>
  <c r="A9999" i="1"/>
  <c r="D9998" i="1"/>
  <c r="A9998" i="1"/>
  <c r="D4732" i="1"/>
  <c r="A4732" i="1"/>
  <c r="D9997" i="1"/>
  <c r="A9997" i="1"/>
  <c r="D9996" i="1"/>
  <c r="A9996" i="1"/>
  <c r="D4731" i="1"/>
  <c r="A4731" i="1"/>
  <c r="D4730" i="1"/>
  <c r="A4730" i="1"/>
  <c r="D9995" i="1"/>
  <c r="A9995" i="1"/>
  <c r="D9994" i="1"/>
  <c r="A9994" i="1"/>
  <c r="D9993" i="1"/>
  <c r="A9993" i="1"/>
  <c r="D9992" i="1"/>
  <c r="A9992" i="1"/>
  <c r="D9991" i="1"/>
  <c r="A9991" i="1"/>
  <c r="D4729" i="1"/>
  <c r="A4729" i="1"/>
  <c r="D9990" i="1"/>
  <c r="A9990" i="1"/>
  <c r="D9989" i="1"/>
  <c r="A9989" i="1"/>
  <c r="D9988" i="1"/>
  <c r="A9988" i="1"/>
  <c r="D9987" i="1"/>
  <c r="A9987" i="1"/>
  <c r="D4728" i="1"/>
  <c r="A4728" i="1"/>
  <c r="D4727" i="1"/>
  <c r="A4727" i="1"/>
  <c r="D9986" i="1"/>
  <c r="A9986" i="1"/>
  <c r="D9985" i="1"/>
  <c r="A9985" i="1"/>
  <c r="D9984" i="1"/>
  <c r="A9984" i="1"/>
  <c r="D9983" i="1"/>
  <c r="A9983" i="1"/>
  <c r="D4726" i="1"/>
  <c r="A4726" i="1"/>
  <c r="D9982" i="1"/>
  <c r="A9982" i="1"/>
  <c r="D9981" i="1"/>
  <c r="A9981" i="1"/>
  <c r="D9980" i="1"/>
  <c r="A9980" i="1"/>
  <c r="D9979" i="1"/>
  <c r="A9979" i="1"/>
  <c r="D4725" i="1"/>
  <c r="A4725" i="1"/>
  <c r="D9978" i="1"/>
  <c r="A9978" i="1"/>
  <c r="D9977" i="1"/>
  <c r="A9977" i="1"/>
  <c r="D9976" i="1"/>
  <c r="A9976" i="1"/>
  <c r="D9975" i="1"/>
  <c r="A9975" i="1"/>
  <c r="D9974" i="1"/>
  <c r="A9974" i="1"/>
  <c r="D9973" i="1"/>
  <c r="A9973" i="1"/>
  <c r="D9972" i="1"/>
  <c r="A9972" i="1"/>
  <c r="D9971" i="1"/>
  <c r="A9971" i="1"/>
  <c r="D9970" i="1"/>
  <c r="A9970" i="1"/>
  <c r="D9969" i="1"/>
  <c r="A9969" i="1"/>
  <c r="D9968" i="1"/>
  <c r="A9968" i="1"/>
  <c r="D9967" i="1"/>
  <c r="A9967" i="1"/>
  <c r="D9966" i="1"/>
  <c r="A9966" i="1"/>
  <c r="D9965" i="1"/>
  <c r="A9965" i="1"/>
  <c r="D9964" i="1"/>
  <c r="A9964" i="1"/>
  <c r="D4724" i="1"/>
  <c r="A4724" i="1"/>
  <c r="D9963" i="1"/>
  <c r="A9963" i="1"/>
  <c r="D9962" i="1"/>
  <c r="A9962" i="1"/>
  <c r="D9961" i="1"/>
  <c r="A9961" i="1"/>
  <c r="D9960" i="1"/>
  <c r="A9960" i="1"/>
  <c r="D9959" i="1"/>
  <c r="A9959" i="1"/>
  <c r="D9958" i="1"/>
  <c r="A9958" i="1"/>
  <c r="D9957" i="1"/>
  <c r="A9957" i="1"/>
  <c r="D9956" i="1"/>
  <c r="A9956" i="1"/>
  <c r="D9955" i="1"/>
  <c r="A9955" i="1"/>
  <c r="D9954" i="1"/>
  <c r="A9954" i="1"/>
  <c r="D4723" i="1"/>
  <c r="A4723" i="1"/>
  <c r="D9953" i="1"/>
  <c r="A9953" i="1"/>
  <c r="D9952" i="1"/>
  <c r="A9952" i="1"/>
  <c r="D9951" i="1"/>
  <c r="A9951" i="1"/>
  <c r="D9950" i="1"/>
  <c r="A9950" i="1"/>
  <c r="D9949" i="1"/>
  <c r="A9949" i="1"/>
  <c r="D9948" i="1"/>
  <c r="A9948" i="1"/>
  <c r="D9947" i="1"/>
  <c r="A9947" i="1"/>
  <c r="D9946" i="1"/>
  <c r="A9946" i="1"/>
  <c r="D4722" i="1"/>
  <c r="A4722" i="1"/>
  <c r="D4721" i="1"/>
  <c r="A4721" i="1"/>
  <c r="D595" i="1"/>
  <c r="A595" i="1"/>
  <c r="D9945" i="1"/>
  <c r="A9945" i="1"/>
  <c r="D9944" i="1"/>
  <c r="A9944" i="1"/>
  <c r="D9943" i="1"/>
  <c r="A9943" i="1"/>
  <c r="D9942" i="1"/>
  <c r="A9942" i="1"/>
  <c r="D4720" i="1"/>
  <c r="A4720" i="1"/>
  <c r="D4719" i="1"/>
  <c r="A4719" i="1"/>
  <c r="D9941" i="1"/>
  <c r="A9941" i="1"/>
  <c r="D9940" i="1"/>
  <c r="A9940" i="1"/>
  <c r="D9939" i="1"/>
  <c r="A9939" i="1"/>
  <c r="D4718" i="1"/>
  <c r="A4718" i="1"/>
  <c r="D4717" i="1"/>
  <c r="A4717" i="1"/>
  <c r="D9938" i="1"/>
  <c r="A9938" i="1"/>
  <c r="D9937" i="1"/>
  <c r="A9937" i="1"/>
  <c r="D4716" i="1"/>
  <c r="A4716" i="1"/>
  <c r="D9936" i="1"/>
  <c r="A9936" i="1"/>
  <c r="D9935" i="1"/>
  <c r="A9935" i="1"/>
  <c r="D9934" i="1"/>
  <c r="A9934" i="1"/>
  <c r="D9933" i="1"/>
  <c r="A9933" i="1"/>
  <c r="D9932" i="1"/>
  <c r="A9932" i="1"/>
  <c r="D9931" i="1"/>
  <c r="A9931" i="1"/>
  <c r="D4715" i="1"/>
  <c r="A4715" i="1"/>
  <c r="D4714" i="1"/>
  <c r="A4714" i="1"/>
  <c r="D9930" i="1"/>
  <c r="A9930" i="1"/>
  <c r="D4713" i="1"/>
  <c r="A4713" i="1"/>
  <c r="D9929" i="1"/>
  <c r="A9929" i="1"/>
  <c r="D9928" i="1"/>
  <c r="A9928" i="1"/>
  <c r="D9927" i="1"/>
  <c r="A9927" i="1"/>
  <c r="D9926" i="1"/>
  <c r="A9926" i="1"/>
  <c r="D9925" i="1"/>
  <c r="A9925" i="1"/>
  <c r="D4712" i="1"/>
  <c r="A4712" i="1"/>
  <c r="D9924" i="1"/>
  <c r="A9924" i="1"/>
  <c r="D9923" i="1"/>
  <c r="A9923" i="1"/>
  <c r="D9922" i="1"/>
  <c r="A9922" i="1"/>
  <c r="D9921" i="1"/>
  <c r="A9921" i="1"/>
  <c r="D9920" i="1"/>
  <c r="A9920" i="1"/>
  <c r="D9919" i="1"/>
  <c r="A9919" i="1"/>
  <c r="D4711" i="1"/>
  <c r="A4711" i="1"/>
  <c r="D9918" i="1"/>
  <c r="A9918" i="1"/>
  <c r="D9917" i="1"/>
  <c r="A9917" i="1"/>
  <c r="D9916" i="1"/>
  <c r="A9916" i="1"/>
  <c r="D9915" i="1"/>
  <c r="A9915" i="1"/>
  <c r="D9914" i="1"/>
  <c r="A9914" i="1"/>
  <c r="D9913" i="1"/>
  <c r="A9913" i="1"/>
  <c r="D594" i="1"/>
  <c r="A594" i="1"/>
  <c r="D9912" i="1"/>
  <c r="A9912" i="1"/>
  <c r="D9911" i="1"/>
  <c r="A9911" i="1"/>
  <c r="D4710" i="1"/>
  <c r="A4710" i="1"/>
  <c r="D9910" i="1"/>
  <c r="A9910" i="1"/>
  <c r="D4709" i="1"/>
  <c r="A4709" i="1"/>
  <c r="D9909" i="1"/>
  <c r="A9909" i="1"/>
  <c r="D9908" i="1"/>
  <c r="A9908" i="1"/>
  <c r="D9907" i="1"/>
  <c r="A9907" i="1"/>
  <c r="D9906" i="1"/>
  <c r="A9906" i="1"/>
  <c r="D9905" i="1"/>
  <c r="A9905" i="1"/>
  <c r="D9904" i="1"/>
  <c r="A9904" i="1"/>
  <c r="D1087" i="1"/>
  <c r="A1087" i="1"/>
  <c r="D1086" i="1"/>
  <c r="A1086" i="1"/>
  <c r="D9903" i="1"/>
  <c r="A9903" i="1"/>
  <c r="D4708" i="1"/>
  <c r="A4708" i="1"/>
  <c r="D4707" i="1"/>
  <c r="A4707" i="1"/>
  <c r="D9902" i="1"/>
  <c r="A9902" i="1"/>
  <c r="D4706" i="1"/>
  <c r="A4706" i="1"/>
  <c r="D9901" i="1"/>
  <c r="A9901" i="1"/>
  <c r="D9900" i="1"/>
  <c r="A9900" i="1"/>
  <c r="D9899" i="1"/>
  <c r="A9899" i="1"/>
  <c r="D9898" i="1"/>
  <c r="A9898" i="1"/>
  <c r="D4705" i="1"/>
  <c r="A4705" i="1"/>
  <c r="D1085" i="1"/>
  <c r="A1085" i="1"/>
  <c r="D9897" i="1"/>
  <c r="A9897" i="1"/>
  <c r="D9896" i="1"/>
  <c r="A9896" i="1"/>
  <c r="D9895" i="1"/>
  <c r="A9895" i="1"/>
  <c r="D4704" i="1"/>
  <c r="A4704" i="1"/>
  <c r="D13790" i="1"/>
  <c r="A13790" i="1"/>
  <c r="D9894" i="1"/>
  <c r="A9894" i="1"/>
  <c r="D9893" i="1"/>
  <c r="A9893" i="1"/>
  <c r="D4703" i="1"/>
  <c r="A4703" i="1"/>
  <c r="D9892" i="1"/>
  <c r="A9892" i="1"/>
  <c r="D4702" i="1"/>
  <c r="A4702" i="1"/>
  <c r="D9891" i="1"/>
  <c r="A9891" i="1"/>
  <c r="D9890" i="1"/>
  <c r="A9890" i="1"/>
  <c r="D4701" i="1"/>
  <c r="A4701" i="1"/>
  <c r="D9889" i="1"/>
  <c r="A9889" i="1"/>
  <c r="D4700" i="1"/>
  <c r="A4700" i="1"/>
  <c r="D9888" i="1"/>
  <c r="A9888" i="1"/>
  <c r="D9887" i="1"/>
  <c r="A9887" i="1"/>
  <c r="D9886" i="1"/>
  <c r="A9886" i="1"/>
  <c r="D9885" i="1"/>
  <c r="A9885" i="1"/>
  <c r="D9884" i="1"/>
  <c r="A9884" i="1"/>
  <c r="D9883" i="1"/>
  <c r="A9883" i="1"/>
  <c r="D9882" i="1"/>
  <c r="A9882" i="1"/>
  <c r="D9881" i="1"/>
  <c r="A9881" i="1"/>
  <c r="D9880" i="1"/>
  <c r="A9880" i="1"/>
  <c r="D9879" i="1"/>
  <c r="A9879" i="1"/>
  <c r="D593" i="1"/>
  <c r="A593" i="1"/>
  <c r="D4699" i="1"/>
  <c r="A4699" i="1"/>
  <c r="D9878" i="1"/>
  <c r="A9878" i="1"/>
  <c r="D9877" i="1"/>
  <c r="A9877" i="1"/>
  <c r="D4698" i="1"/>
  <c r="A4698" i="1"/>
  <c r="D1084" i="1"/>
  <c r="A1084" i="1"/>
  <c r="D9876" i="1"/>
  <c r="A9876" i="1"/>
  <c r="D9875" i="1"/>
  <c r="A9875" i="1"/>
  <c r="D9874" i="1"/>
  <c r="A9874" i="1"/>
  <c r="D9873" i="1"/>
  <c r="A9873" i="1"/>
  <c r="D4697" i="1"/>
  <c r="A4697" i="1"/>
  <c r="D9872" i="1"/>
  <c r="A9872" i="1"/>
  <c r="D9871" i="1"/>
  <c r="A9871" i="1"/>
  <c r="D9870" i="1"/>
  <c r="A9870" i="1"/>
  <c r="D9869" i="1"/>
  <c r="A9869" i="1"/>
  <c r="D9868" i="1"/>
  <c r="A9868" i="1"/>
  <c r="D9867" i="1"/>
  <c r="A9867" i="1"/>
  <c r="D9866" i="1"/>
  <c r="A9866" i="1"/>
  <c r="D4696" i="1"/>
  <c r="A4696" i="1"/>
  <c r="D9865" i="1"/>
  <c r="A9865" i="1"/>
  <c r="D9864" i="1"/>
  <c r="A9864" i="1"/>
  <c r="D9863" i="1"/>
  <c r="A9863" i="1"/>
  <c r="D9862" i="1"/>
  <c r="A9862" i="1"/>
  <c r="D4695" i="1"/>
  <c r="A4695" i="1"/>
  <c r="D9861" i="1"/>
  <c r="A9861" i="1"/>
  <c r="D70" i="1"/>
  <c r="A70" i="1"/>
  <c r="D4694" i="1"/>
  <c r="A4694" i="1"/>
  <c r="D4693" i="1"/>
  <c r="A4693" i="1"/>
  <c r="D9860" i="1"/>
  <c r="A9860" i="1"/>
  <c r="D9859" i="1"/>
  <c r="A9859" i="1"/>
  <c r="D9858" i="1"/>
  <c r="A9858" i="1"/>
  <c r="D9857" i="1"/>
  <c r="A9857" i="1"/>
  <c r="D9856" i="1"/>
  <c r="A9856" i="1"/>
  <c r="D4692" i="1"/>
  <c r="A4692" i="1"/>
  <c r="D9855" i="1"/>
  <c r="A9855" i="1"/>
  <c r="D9854" i="1"/>
  <c r="A9854" i="1"/>
  <c r="D9853" i="1"/>
  <c r="A9853" i="1"/>
  <c r="D9852" i="1"/>
  <c r="A9852" i="1"/>
  <c r="D9851" i="1"/>
  <c r="A9851" i="1"/>
  <c r="D4691" i="1"/>
  <c r="A4691" i="1"/>
  <c r="D9850" i="1"/>
  <c r="A9850" i="1"/>
  <c r="D4690" i="1"/>
  <c r="A4690" i="1"/>
  <c r="D9849" i="1"/>
  <c r="A9849" i="1"/>
  <c r="D9848" i="1"/>
  <c r="A9848" i="1"/>
  <c r="D4689" i="1"/>
  <c r="A4689" i="1"/>
  <c r="D9847" i="1"/>
  <c r="A9847" i="1"/>
  <c r="D9846" i="1"/>
  <c r="A9846" i="1"/>
  <c r="D9845" i="1"/>
  <c r="A9845" i="1"/>
  <c r="D9844" i="1"/>
  <c r="A9844" i="1"/>
  <c r="D9843" i="1"/>
  <c r="A9843" i="1"/>
  <c r="D9842" i="1"/>
  <c r="A9842" i="1"/>
  <c r="D1083" i="1"/>
  <c r="A1083" i="1"/>
  <c r="D9841" i="1"/>
  <c r="A9841" i="1"/>
  <c r="D9840" i="1"/>
  <c r="A9840" i="1"/>
  <c r="D9839" i="1"/>
  <c r="A9839" i="1"/>
  <c r="D9838" i="1"/>
  <c r="A9838" i="1"/>
  <c r="D9837" i="1"/>
  <c r="A9837" i="1"/>
  <c r="D9836" i="1"/>
  <c r="A9836" i="1"/>
  <c r="D9835" i="1"/>
  <c r="A9835" i="1"/>
  <c r="D9834" i="1"/>
  <c r="A9834" i="1"/>
  <c r="D9833" i="1"/>
  <c r="A9833" i="1"/>
  <c r="D9832" i="1"/>
  <c r="A9832" i="1"/>
  <c r="D4688" i="1"/>
  <c r="A4688" i="1"/>
  <c r="D9831" i="1"/>
  <c r="A9831" i="1"/>
  <c r="D9830" i="1"/>
  <c r="A9830" i="1"/>
  <c r="D9829" i="1"/>
  <c r="A9829" i="1"/>
  <c r="D9828" i="1"/>
  <c r="A9828" i="1"/>
  <c r="D4687" i="1"/>
  <c r="A4687" i="1"/>
  <c r="D4686" i="1"/>
  <c r="A4686" i="1"/>
  <c r="D9827" i="1"/>
  <c r="A9827" i="1"/>
  <c r="D9826" i="1"/>
  <c r="A9826" i="1"/>
  <c r="D9825" i="1"/>
  <c r="A9825" i="1"/>
  <c r="D9824" i="1"/>
  <c r="A9824" i="1"/>
  <c r="D9823" i="1"/>
  <c r="A9823" i="1"/>
  <c r="D592" i="1"/>
  <c r="A592" i="1"/>
  <c r="D4685" i="1"/>
  <c r="A4685" i="1"/>
  <c r="D9822" i="1"/>
  <c r="A9822" i="1"/>
  <c r="D9821" i="1"/>
  <c r="A9821" i="1"/>
  <c r="D1082" i="1"/>
  <c r="A1082" i="1"/>
  <c r="D9820" i="1"/>
  <c r="A9820" i="1"/>
  <c r="D4684" i="1"/>
  <c r="A4684" i="1"/>
  <c r="D9819" i="1"/>
  <c r="A9819" i="1"/>
  <c r="D9818" i="1"/>
  <c r="A9818" i="1"/>
  <c r="D9817" i="1"/>
  <c r="A9817" i="1"/>
  <c r="D9816" i="1"/>
  <c r="A9816" i="1"/>
  <c r="D9815" i="1"/>
  <c r="A9815" i="1"/>
  <c r="D9814" i="1"/>
  <c r="A9814" i="1"/>
  <c r="D9813" i="1"/>
  <c r="A9813" i="1"/>
  <c r="D9812" i="1"/>
  <c r="A9812" i="1"/>
  <c r="D9811" i="1"/>
  <c r="A9811" i="1"/>
  <c r="D4683" i="1"/>
  <c r="A4683" i="1"/>
  <c r="D9810" i="1"/>
  <c r="A9810" i="1"/>
  <c r="D9809" i="1"/>
  <c r="A9809" i="1"/>
  <c r="D4682" i="1"/>
  <c r="A4682" i="1"/>
  <c r="D4681" i="1"/>
  <c r="A4681" i="1"/>
  <c r="D9808" i="1"/>
  <c r="A9808" i="1"/>
  <c r="D9807" i="1"/>
  <c r="A9807" i="1"/>
  <c r="D9806" i="1"/>
  <c r="A9806" i="1"/>
  <c r="D9805" i="1"/>
  <c r="A9805" i="1"/>
  <c r="D9804" i="1"/>
  <c r="A9804" i="1"/>
  <c r="D4680" i="1"/>
  <c r="A4680" i="1"/>
  <c r="D4679" i="1"/>
  <c r="A4679" i="1"/>
  <c r="D9803" i="1"/>
  <c r="A9803" i="1"/>
  <c r="D9802" i="1"/>
  <c r="A9802" i="1"/>
  <c r="D9801" i="1"/>
  <c r="A9801" i="1"/>
  <c r="D9800" i="1"/>
  <c r="A9800" i="1"/>
  <c r="D9799" i="1"/>
  <c r="A9799" i="1"/>
  <c r="D9798" i="1"/>
  <c r="A9798" i="1"/>
  <c r="D9797" i="1"/>
  <c r="A9797" i="1"/>
  <c r="D4678" i="1"/>
  <c r="A4678" i="1"/>
  <c r="D4677" i="1"/>
  <c r="A4677" i="1"/>
  <c r="D4676" i="1"/>
  <c r="A4676" i="1"/>
  <c r="D9796" i="1"/>
  <c r="A9796" i="1"/>
  <c r="D9795" i="1"/>
  <c r="A9795" i="1"/>
  <c r="D9794" i="1"/>
  <c r="A9794" i="1"/>
  <c r="D4675" i="1"/>
  <c r="A4675" i="1"/>
  <c r="D4674" i="1"/>
  <c r="A4674" i="1"/>
  <c r="D9793" i="1"/>
  <c r="A9793" i="1"/>
  <c r="D9792" i="1"/>
  <c r="A9792" i="1"/>
  <c r="D9791" i="1"/>
  <c r="A9791" i="1"/>
  <c r="D9790" i="1"/>
  <c r="A9790" i="1"/>
  <c r="D9789" i="1"/>
  <c r="A9789" i="1"/>
  <c r="D9788" i="1"/>
  <c r="A9788" i="1"/>
  <c r="D113" i="1"/>
  <c r="A113" i="1"/>
  <c r="D9787" i="1"/>
  <c r="A9787" i="1"/>
  <c r="D9786" i="1"/>
  <c r="A9786" i="1"/>
  <c r="D4673" i="1"/>
  <c r="A4673" i="1"/>
  <c r="D9785" i="1"/>
  <c r="A9785" i="1"/>
  <c r="D9784" i="1"/>
  <c r="A9784" i="1"/>
  <c r="D591" i="1"/>
  <c r="A591" i="1"/>
  <c r="D9783" i="1"/>
  <c r="A9783" i="1"/>
  <c r="D9782" i="1"/>
  <c r="A9782" i="1"/>
  <c r="D590" i="1"/>
  <c r="A590" i="1"/>
  <c r="D9781" i="1"/>
  <c r="A9781" i="1"/>
  <c r="D9780" i="1"/>
  <c r="A9780" i="1"/>
  <c r="D9779" i="1"/>
  <c r="A9779" i="1"/>
  <c r="D589" i="1"/>
  <c r="A589" i="1"/>
  <c r="D9778" i="1"/>
  <c r="A9778" i="1"/>
  <c r="D4672" i="1"/>
  <c r="A4672" i="1"/>
  <c r="D9777" i="1"/>
  <c r="A9777" i="1"/>
  <c r="D9776" i="1"/>
  <c r="A9776" i="1"/>
  <c r="D9775" i="1"/>
  <c r="A9775" i="1"/>
  <c r="D588" i="1"/>
  <c r="A588" i="1"/>
  <c r="D9774" i="1"/>
  <c r="A9774" i="1"/>
  <c r="D9773" i="1"/>
  <c r="A9773" i="1"/>
  <c r="D9772" i="1"/>
  <c r="A9772" i="1"/>
  <c r="D587" i="1"/>
  <c r="A587" i="1"/>
  <c r="D4671" i="1"/>
  <c r="A4671" i="1"/>
  <c r="D9771" i="1"/>
  <c r="A9771" i="1"/>
  <c r="D1081" i="1"/>
  <c r="A1081" i="1"/>
  <c r="D4670" i="1"/>
  <c r="A4670" i="1"/>
  <c r="D9770" i="1"/>
  <c r="A9770" i="1"/>
  <c r="D586" i="1"/>
  <c r="A586" i="1"/>
  <c r="D9769" i="1"/>
  <c r="A9769" i="1"/>
  <c r="D9768" i="1"/>
  <c r="A9768" i="1"/>
  <c r="D9767" i="1"/>
  <c r="A9767" i="1"/>
  <c r="D1080" i="1"/>
  <c r="A1080" i="1"/>
  <c r="D4669" i="1"/>
  <c r="A4669" i="1"/>
  <c r="D4668" i="1"/>
  <c r="A4668" i="1"/>
  <c r="D9766" i="1"/>
  <c r="A9766" i="1"/>
  <c r="D4667" i="1"/>
  <c r="A4667" i="1"/>
  <c r="D9765" i="1"/>
  <c r="A9765" i="1"/>
  <c r="D9764" i="1"/>
  <c r="A9764" i="1"/>
  <c r="D4666" i="1"/>
  <c r="A4666" i="1"/>
  <c r="D9763" i="1"/>
  <c r="A9763" i="1"/>
  <c r="D9762" i="1"/>
  <c r="A9762" i="1"/>
  <c r="D4665" i="1"/>
  <c r="A4665" i="1"/>
  <c r="D9761" i="1"/>
  <c r="A9761" i="1"/>
  <c r="D4664" i="1"/>
  <c r="A4664" i="1"/>
  <c r="D4663" i="1"/>
  <c r="A4663" i="1"/>
  <c r="D4662" i="1"/>
  <c r="A4662" i="1"/>
  <c r="D585" i="1"/>
  <c r="A585" i="1"/>
  <c r="D9760" i="1"/>
  <c r="A9760" i="1"/>
  <c r="D4661" i="1"/>
  <c r="A4661" i="1"/>
  <c r="D9759" i="1"/>
  <c r="A9759" i="1"/>
  <c r="D9758" i="1"/>
  <c r="A9758" i="1"/>
  <c r="D9757" i="1"/>
  <c r="A9757" i="1"/>
  <c r="D9756" i="1"/>
  <c r="A9756" i="1"/>
  <c r="D9755" i="1"/>
  <c r="A9755" i="1"/>
  <c r="D4660" i="1"/>
  <c r="A4660" i="1"/>
  <c r="D4659" i="1"/>
  <c r="A4659" i="1"/>
  <c r="D9754" i="1"/>
  <c r="A9754" i="1"/>
  <c r="D9753" i="1"/>
  <c r="A9753" i="1"/>
  <c r="D9752" i="1"/>
  <c r="A9752" i="1"/>
  <c r="D9751" i="1"/>
  <c r="A9751" i="1"/>
  <c r="D4658" i="1"/>
  <c r="A4658" i="1"/>
  <c r="D9750" i="1"/>
  <c r="A9750" i="1"/>
  <c r="D9749" i="1"/>
  <c r="A9749" i="1"/>
  <c r="D9748" i="1"/>
  <c r="A9748" i="1"/>
  <c r="D4657" i="1"/>
  <c r="A4657" i="1"/>
  <c r="D9747" i="1"/>
  <c r="A9747" i="1"/>
  <c r="D1079" i="1"/>
  <c r="A1079" i="1"/>
  <c r="D9746" i="1"/>
  <c r="A9746" i="1"/>
  <c r="D9745" i="1"/>
  <c r="A9745" i="1"/>
  <c r="D4656" i="1"/>
  <c r="A4656" i="1"/>
  <c r="D9744" i="1"/>
  <c r="A9744" i="1"/>
  <c r="D9743" i="1"/>
  <c r="A9743" i="1"/>
  <c r="D9742" i="1"/>
  <c r="A9742" i="1"/>
  <c r="D9741" i="1"/>
  <c r="A9741" i="1"/>
  <c r="D9740" i="1"/>
  <c r="A9740" i="1"/>
  <c r="D9739" i="1"/>
  <c r="A9739" i="1"/>
  <c r="D9738" i="1"/>
  <c r="A9738" i="1"/>
  <c r="D9737" i="1"/>
  <c r="A9737" i="1"/>
  <c r="D4655" i="1"/>
  <c r="A4655" i="1"/>
  <c r="D9736" i="1"/>
  <c r="A9736" i="1"/>
  <c r="D50" i="1"/>
  <c r="A50" i="1"/>
  <c r="D9735" i="1"/>
  <c r="A9735" i="1"/>
  <c r="D9734" i="1"/>
  <c r="A9734" i="1"/>
  <c r="D9733" i="1"/>
  <c r="A9733" i="1"/>
  <c r="D9732" i="1"/>
  <c r="A9732" i="1"/>
  <c r="D9731" i="1"/>
  <c r="A9731" i="1"/>
  <c r="D9730" i="1"/>
  <c r="A9730" i="1"/>
  <c r="D9729" i="1"/>
  <c r="A9729" i="1"/>
  <c r="D4654" i="1"/>
  <c r="A4654" i="1"/>
  <c r="D9728" i="1"/>
  <c r="A9728" i="1"/>
  <c r="D4653" i="1"/>
  <c r="A4653" i="1"/>
  <c r="D4652" i="1"/>
  <c r="A4652" i="1"/>
  <c r="D9727" i="1"/>
  <c r="A9727" i="1"/>
  <c r="D9726" i="1"/>
  <c r="A9726" i="1"/>
  <c r="D9725" i="1"/>
  <c r="A9725" i="1"/>
  <c r="D9724" i="1"/>
  <c r="A9724" i="1"/>
  <c r="D584" i="1"/>
  <c r="A584" i="1"/>
  <c r="D583" i="1"/>
  <c r="A583" i="1"/>
  <c r="D9723" i="1"/>
  <c r="A9723" i="1"/>
  <c r="D9722" i="1"/>
  <c r="A9722" i="1"/>
  <c r="D4651" i="1"/>
  <c r="A4651" i="1"/>
  <c r="D4650" i="1"/>
  <c r="A4650" i="1"/>
  <c r="D9721" i="1"/>
  <c r="A9721" i="1"/>
  <c r="D4649" i="1"/>
  <c r="A4649" i="1"/>
  <c r="D9720" i="1"/>
  <c r="A9720" i="1"/>
  <c r="D4648" i="1"/>
  <c r="A4648" i="1"/>
  <c r="D9719" i="1"/>
  <c r="A9719" i="1"/>
  <c r="D1078" i="1"/>
  <c r="A1078" i="1"/>
  <c r="D9718" i="1"/>
  <c r="A9718" i="1"/>
  <c r="D9717" i="1"/>
  <c r="A9717" i="1"/>
  <c r="D4647" i="1"/>
  <c r="A4647" i="1"/>
  <c r="D4646" i="1"/>
  <c r="A4646" i="1"/>
  <c r="D4645" i="1"/>
  <c r="A4645" i="1"/>
  <c r="D9716" i="1"/>
  <c r="A9716" i="1"/>
  <c r="D9715" i="1"/>
  <c r="A9715" i="1"/>
  <c r="D9714" i="1"/>
  <c r="A9714" i="1"/>
  <c r="D9713" i="1"/>
  <c r="A9713" i="1"/>
  <c r="D9712" i="1"/>
  <c r="A9712" i="1"/>
  <c r="D4644" i="1"/>
  <c r="A4644" i="1"/>
  <c r="D1077" i="1"/>
  <c r="A1077" i="1"/>
  <c r="D9711" i="1"/>
  <c r="A9711" i="1"/>
  <c r="D9710" i="1"/>
  <c r="A9710" i="1"/>
  <c r="D4643" i="1"/>
  <c r="A4643" i="1"/>
  <c r="D9709" i="1"/>
  <c r="A9709" i="1"/>
  <c r="D9708" i="1"/>
  <c r="A9708" i="1"/>
  <c r="D9707" i="1"/>
  <c r="A9707" i="1"/>
  <c r="D9706" i="1"/>
  <c r="A9706" i="1"/>
  <c r="D9705" i="1"/>
  <c r="A9705" i="1"/>
  <c r="D1076" i="1"/>
  <c r="A1076" i="1"/>
  <c r="D9704" i="1"/>
  <c r="A9704" i="1"/>
  <c r="D9703" i="1"/>
  <c r="A9703" i="1"/>
  <c r="D9702" i="1"/>
  <c r="A9702" i="1"/>
  <c r="D9701" i="1"/>
  <c r="A9701" i="1"/>
  <c r="D9700" i="1"/>
  <c r="A9700" i="1"/>
  <c r="D9699" i="1"/>
  <c r="A9699" i="1"/>
  <c r="D9698" i="1"/>
  <c r="A9698" i="1"/>
  <c r="D9697" i="1"/>
  <c r="A9697" i="1"/>
  <c r="D582" i="1"/>
  <c r="A582" i="1"/>
  <c r="D9696" i="1"/>
  <c r="A9696" i="1"/>
  <c r="D9695" i="1"/>
  <c r="A9695" i="1"/>
  <c r="D581" i="1"/>
  <c r="A581" i="1"/>
  <c r="D9694" i="1"/>
  <c r="A9694" i="1"/>
  <c r="D9693" i="1"/>
  <c r="A9693" i="1"/>
  <c r="D9692" i="1"/>
  <c r="A9692" i="1"/>
  <c r="D9691" i="1"/>
  <c r="A9691" i="1"/>
  <c r="D9690" i="1"/>
  <c r="A9690" i="1"/>
  <c r="D1075" i="1"/>
  <c r="A1075" i="1"/>
  <c r="D9689" i="1"/>
  <c r="A9689" i="1"/>
  <c r="D9688" i="1"/>
  <c r="A9688" i="1"/>
  <c r="D9687" i="1"/>
  <c r="A9687" i="1"/>
  <c r="D9686" i="1"/>
  <c r="A9686" i="1"/>
  <c r="D9685" i="1"/>
  <c r="A9685" i="1"/>
  <c r="D4642" i="1"/>
  <c r="A4642" i="1"/>
  <c r="D9684" i="1"/>
  <c r="A9684" i="1"/>
  <c r="D9683" i="1"/>
  <c r="A9683" i="1"/>
  <c r="D9682" i="1"/>
  <c r="A9682" i="1"/>
  <c r="D9681" i="1"/>
  <c r="A9681" i="1"/>
  <c r="D9680" i="1"/>
  <c r="A9680" i="1"/>
  <c r="D9679" i="1"/>
  <c r="A9679" i="1"/>
  <c r="D9678" i="1"/>
  <c r="A9678" i="1"/>
  <c r="D4641" i="1"/>
  <c r="A4641" i="1"/>
  <c r="D4640" i="1"/>
  <c r="A4640" i="1"/>
  <c r="D4639" i="1"/>
  <c r="A4639" i="1"/>
  <c r="D9677" i="1"/>
  <c r="A9677" i="1"/>
  <c r="D9676" i="1"/>
  <c r="A9676" i="1"/>
  <c r="D9675" i="1"/>
  <c r="A9675" i="1"/>
  <c r="D1074" i="1"/>
  <c r="A1074" i="1"/>
  <c r="D9674" i="1"/>
  <c r="A9674" i="1"/>
  <c r="D4638" i="1"/>
  <c r="A4638" i="1"/>
  <c r="D4637" i="1"/>
  <c r="A4637" i="1"/>
  <c r="D4636" i="1"/>
  <c r="A4636" i="1"/>
  <c r="D9673" i="1"/>
  <c r="A9673" i="1"/>
  <c r="D13785" i="1"/>
  <c r="A13785" i="1"/>
  <c r="D9672" i="1"/>
  <c r="A9672" i="1"/>
  <c r="D9671" i="1"/>
  <c r="A9671" i="1"/>
  <c r="D112" i="1"/>
  <c r="A112" i="1"/>
  <c r="D4635" i="1"/>
  <c r="A4635" i="1"/>
  <c r="D9670" i="1"/>
  <c r="A9670" i="1"/>
  <c r="D9669" i="1"/>
  <c r="A9669" i="1"/>
  <c r="D9668" i="1"/>
  <c r="A9668" i="1"/>
  <c r="D9667" i="1"/>
  <c r="A9667" i="1"/>
  <c r="D9666" i="1"/>
  <c r="A9666" i="1"/>
  <c r="D9665" i="1"/>
  <c r="A9665" i="1"/>
  <c r="D9664" i="1"/>
  <c r="A9664" i="1"/>
  <c r="D4634" i="1"/>
  <c r="A4634" i="1"/>
  <c r="D4633" i="1"/>
  <c r="A4633" i="1"/>
  <c r="D580" i="1"/>
  <c r="A580" i="1"/>
  <c r="D579" i="1"/>
  <c r="A579" i="1"/>
  <c r="D9663" i="1"/>
  <c r="A9663" i="1"/>
  <c r="D4632" i="1"/>
  <c r="A4632" i="1"/>
  <c r="D4631" i="1"/>
  <c r="A4631" i="1"/>
  <c r="D9662" i="1"/>
  <c r="A9662" i="1"/>
  <c r="D9661" i="1"/>
  <c r="A9661" i="1"/>
  <c r="D9660" i="1"/>
  <c r="A9660" i="1"/>
  <c r="D9659" i="1"/>
  <c r="A9659" i="1"/>
  <c r="D578" i="1"/>
  <c r="A578" i="1"/>
  <c r="D577" i="1"/>
  <c r="A577" i="1"/>
  <c r="D576" i="1"/>
  <c r="A576" i="1"/>
  <c r="D575" i="1"/>
  <c r="A575" i="1"/>
  <c r="D9658" i="1"/>
  <c r="A9658" i="1"/>
  <c r="D574" i="1"/>
  <c r="A574" i="1"/>
  <c r="D573" i="1"/>
  <c r="A573" i="1"/>
  <c r="D572" i="1"/>
  <c r="A572" i="1"/>
  <c r="D571" i="1"/>
  <c r="A571" i="1"/>
  <c r="D570" i="1"/>
  <c r="A570" i="1"/>
  <c r="D569" i="1"/>
  <c r="A569" i="1"/>
  <c r="D568" i="1"/>
  <c r="A568" i="1"/>
  <c r="D9657" i="1"/>
  <c r="A9657" i="1"/>
  <c r="D567" i="1"/>
  <c r="A567" i="1"/>
  <c r="D566" i="1"/>
  <c r="A566" i="1"/>
  <c r="D565" i="1"/>
  <c r="A565" i="1"/>
  <c r="D9656" i="1"/>
  <c r="A9656" i="1"/>
  <c r="D9655" i="1"/>
  <c r="A9655" i="1"/>
  <c r="D9654" i="1"/>
  <c r="A9654" i="1"/>
  <c r="D9653" i="1"/>
  <c r="A9653" i="1"/>
  <c r="D9652" i="1"/>
  <c r="A9652" i="1"/>
  <c r="D4630" i="1"/>
  <c r="A4630" i="1"/>
  <c r="D9651" i="1"/>
  <c r="A9651" i="1"/>
  <c r="D9650" i="1"/>
  <c r="A9650" i="1"/>
  <c r="D9649" i="1"/>
  <c r="A9649" i="1"/>
  <c r="D9648" i="1"/>
  <c r="A9648" i="1"/>
  <c r="D1073" i="1"/>
  <c r="A1073" i="1"/>
  <c r="D9647" i="1"/>
  <c r="A9647" i="1"/>
  <c r="D9646" i="1"/>
  <c r="A9646" i="1"/>
  <c r="D9645" i="1"/>
  <c r="A9645" i="1"/>
  <c r="D9644" i="1"/>
  <c r="A9644" i="1"/>
  <c r="D9643" i="1"/>
  <c r="A9643" i="1"/>
  <c r="D9642" i="1"/>
  <c r="A9642" i="1"/>
  <c r="D9641" i="1"/>
  <c r="A9641" i="1"/>
  <c r="D9640" i="1"/>
  <c r="A9640" i="1"/>
  <c r="D9639" i="1"/>
  <c r="A9639" i="1"/>
  <c r="D9638" i="1"/>
  <c r="A9638" i="1"/>
  <c r="D9637" i="1"/>
  <c r="A9637" i="1"/>
  <c r="D9636" i="1"/>
  <c r="A9636" i="1"/>
  <c r="D9635" i="1"/>
  <c r="A9635" i="1"/>
  <c r="D9634" i="1"/>
  <c r="A9634" i="1"/>
  <c r="D9633" i="1"/>
  <c r="A9633" i="1"/>
  <c r="D9632" i="1"/>
  <c r="A9632" i="1"/>
  <c r="D9631" i="1"/>
  <c r="A9631" i="1"/>
  <c r="D9630" i="1"/>
  <c r="A9630" i="1"/>
  <c r="D9629" i="1"/>
  <c r="A9629" i="1"/>
  <c r="D9628" i="1"/>
  <c r="A9628" i="1"/>
  <c r="D9627" i="1"/>
  <c r="A9627" i="1"/>
  <c r="D9626" i="1"/>
  <c r="A9626" i="1"/>
  <c r="D1072" i="1"/>
  <c r="A1072" i="1"/>
  <c r="D4629" i="1"/>
  <c r="A4629" i="1"/>
  <c r="D9625" i="1"/>
  <c r="A9625" i="1"/>
  <c r="D9624" i="1"/>
  <c r="A9624" i="1"/>
  <c r="D9623" i="1"/>
  <c r="A9623" i="1"/>
  <c r="D4628" i="1"/>
  <c r="A4628" i="1"/>
  <c r="D9622" i="1"/>
  <c r="A9622" i="1"/>
  <c r="D4627" i="1"/>
  <c r="A4627" i="1"/>
  <c r="D9621" i="1"/>
  <c r="A9621" i="1"/>
  <c r="D9620" i="1"/>
  <c r="A9620" i="1"/>
  <c r="D4626" i="1"/>
  <c r="A4626" i="1"/>
  <c r="D9619" i="1"/>
  <c r="A9619" i="1"/>
  <c r="D9618" i="1"/>
  <c r="A9618" i="1"/>
  <c r="D9617" i="1"/>
  <c r="A9617" i="1"/>
  <c r="D69" i="1"/>
  <c r="A69" i="1"/>
  <c r="D13784" i="1"/>
  <c r="A13784" i="1"/>
  <c r="D9616" i="1"/>
  <c r="A9616" i="1"/>
  <c r="D9615" i="1"/>
  <c r="A9615" i="1"/>
  <c r="D4625" i="1"/>
  <c r="A4625" i="1"/>
  <c r="D9614" i="1"/>
  <c r="A9614" i="1"/>
  <c r="D9613" i="1"/>
  <c r="A9613" i="1"/>
  <c r="D4624" i="1"/>
  <c r="A4624" i="1"/>
  <c r="D4623" i="1"/>
  <c r="A4623" i="1"/>
  <c r="D9612" i="1"/>
  <c r="A9612" i="1"/>
  <c r="D9611" i="1"/>
  <c r="A9611" i="1"/>
  <c r="D4622" i="1"/>
  <c r="A4622" i="1"/>
  <c r="D4621" i="1"/>
  <c r="A4621" i="1"/>
  <c r="D9610" i="1"/>
  <c r="A9610" i="1"/>
  <c r="D9609" i="1"/>
  <c r="A9609" i="1"/>
  <c r="D564" i="1"/>
  <c r="A564" i="1"/>
  <c r="D9608" i="1"/>
  <c r="A9608" i="1"/>
  <c r="D9607" i="1"/>
  <c r="A9607" i="1"/>
  <c r="D9606" i="1"/>
  <c r="A9606" i="1"/>
  <c r="D9605" i="1"/>
  <c r="A9605" i="1"/>
  <c r="D9604" i="1"/>
  <c r="A9604" i="1"/>
  <c r="D9603" i="1"/>
  <c r="A9603" i="1"/>
  <c r="D4620" i="1"/>
  <c r="A4620" i="1"/>
  <c r="D9602" i="1"/>
  <c r="A9602" i="1"/>
  <c r="D563" i="1"/>
  <c r="A563" i="1"/>
  <c r="D9601" i="1"/>
  <c r="A9601" i="1"/>
  <c r="D9600" i="1"/>
  <c r="A9600" i="1"/>
  <c r="D4619" i="1"/>
  <c r="A4619" i="1"/>
  <c r="D68" i="1"/>
  <c r="A68" i="1"/>
  <c r="D9599" i="1"/>
  <c r="A9599" i="1"/>
  <c r="D9598" i="1"/>
  <c r="A9598" i="1"/>
  <c r="D9597" i="1"/>
  <c r="A9597" i="1"/>
  <c r="D9596" i="1"/>
  <c r="A9596" i="1"/>
  <c r="D9595" i="1"/>
  <c r="A9595" i="1"/>
  <c r="D9594" i="1"/>
  <c r="A9594" i="1"/>
  <c r="D9593" i="1"/>
  <c r="A9593" i="1"/>
  <c r="D4618" i="1"/>
  <c r="A4618" i="1"/>
  <c r="D9592" i="1"/>
  <c r="A9592" i="1"/>
  <c r="D9591" i="1"/>
  <c r="A9591" i="1"/>
  <c r="D9590" i="1"/>
  <c r="A9590" i="1"/>
  <c r="D9589" i="1"/>
  <c r="A9589" i="1"/>
  <c r="D9588" i="1"/>
  <c r="A9588" i="1"/>
  <c r="D9587" i="1"/>
  <c r="A9587" i="1"/>
  <c r="D4617" i="1"/>
  <c r="A4617" i="1"/>
  <c r="D9586" i="1"/>
  <c r="A9586" i="1"/>
  <c r="D562" i="1"/>
  <c r="A562" i="1"/>
  <c r="D9585" i="1"/>
  <c r="A9585" i="1"/>
  <c r="D9584" i="1"/>
  <c r="A9584" i="1"/>
  <c r="D9583" i="1"/>
  <c r="A9583" i="1"/>
  <c r="D9582" i="1"/>
  <c r="A9582" i="1"/>
  <c r="D9581" i="1"/>
  <c r="A9581" i="1"/>
  <c r="D4616" i="1"/>
  <c r="A4616" i="1"/>
  <c r="D9580" i="1"/>
  <c r="A9580" i="1"/>
  <c r="D4615" i="1"/>
  <c r="A4615" i="1"/>
  <c r="D561" i="1"/>
  <c r="A561" i="1"/>
  <c r="D9579" i="1"/>
  <c r="A9579" i="1"/>
  <c r="D560" i="1"/>
  <c r="A560" i="1"/>
  <c r="D9578" i="1"/>
  <c r="A9578" i="1"/>
  <c r="D9577" i="1"/>
  <c r="A9577" i="1"/>
  <c r="D4614" i="1"/>
  <c r="A4614" i="1"/>
  <c r="D9576" i="1"/>
  <c r="A9576" i="1"/>
  <c r="D9575" i="1"/>
  <c r="A9575" i="1"/>
  <c r="D9574" i="1"/>
  <c r="A9574" i="1"/>
  <c r="D9573" i="1"/>
  <c r="A9573" i="1"/>
  <c r="D4613" i="1"/>
  <c r="A4613" i="1"/>
  <c r="D4612" i="1"/>
  <c r="A4612" i="1"/>
  <c r="D1071" i="1"/>
  <c r="A1071" i="1"/>
  <c r="D9572" i="1"/>
  <c r="A9572" i="1"/>
  <c r="D4611" i="1"/>
  <c r="A4611" i="1"/>
  <c r="D4610" i="1"/>
  <c r="A4610" i="1"/>
  <c r="D9571" i="1"/>
  <c r="A9571" i="1"/>
  <c r="D9570" i="1"/>
  <c r="A9570" i="1"/>
  <c r="D4609" i="1"/>
  <c r="A4609" i="1"/>
  <c r="D9569" i="1"/>
  <c r="A9569" i="1"/>
  <c r="D9568" i="1"/>
  <c r="A9568" i="1"/>
  <c r="D4608" i="1"/>
  <c r="A4608" i="1"/>
  <c r="D9567" i="1"/>
  <c r="A9567" i="1"/>
  <c r="D4607" i="1"/>
  <c r="A4607" i="1"/>
  <c r="D9566" i="1"/>
  <c r="A9566" i="1"/>
  <c r="D9565" i="1"/>
  <c r="A9565" i="1"/>
  <c r="D4606" i="1"/>
  <c r="A4606" i="1"/>
  <c r="D9564" i="1"/>
  <c r="A9564" i="1"/>
  <c r="D9563" i="1"/>
  <c r="A9563" i="1"/>
  <c r="D9562" i="1"/>
  <c r="A9562" i="1"/>
  <c r="D9561" i="1"/>
  <c r="A9561" i="1"/>
  <c r="D9560" i="1"/>
  <c r="A9560" i="1"/>
  <c r="D9559" i="1"/>
  <c r="A9559" i="1"/>
  <c r="D9558" i="1"/>
  <c r="A9558" i="1"/>
  <c r="D9557" i="1"/>
  <c r="A9557" i="1"/>
  <c r="D9556" i="1"/>
  <c r="A9556" i="1"/>
  <c r="D4605" i="1"/>
  <c r="A4605" i="1"/>
  <c r="D9555" i="1"/>
  <c r="A9555" i="1"/>
  <c r="D9554" i="1"/>
  <c r="A9554" i="1"/>
  <c r="D9553" i="1"/>
  <c r="A9553" i="1"/>
  <c r="D9552" i="1"/>
  <c r="A9552" i="1"/>
  <c r="D9551" i="1"/>
  <c r="A9551" i="1"/>
  <c r="D4604" i="1"/>
  <c r="A4604" i="1"/>
  <c r="D9550" i="1"/>
  <c r="A9550" i="1"/>
  <c r="D9549" i="1"/>
  <c r="A9549" i="1"/>
  <c r="D9548" i="1"/>
  <c r="A9548" i="1"/>
  <c r="D9547" i="1"/>
  <c r="A9547" i="1"/>
  <c r="D9546" i="1"/>
  <c r="A9546" i="1"/>
  <c r="D9545" i="1"/>
  <c r="A9545" i="1"/>
  <c r="D9544" i="1"/>
  <c r="A9544" i="1"/>
  <c r="D4603" i="1"/>
  <c r="A4603" i="1"/>
  <c r="D9543" i="1"/>
  <c r="A9543" i="1"/>
  <c r="D9542" i="1"/>
  <c r="A9542" i="1"/>
  <c r="D9541" i="1"/>
  <c r="A9541" i="1"/>
  <c r="D9540" i="1"/>
  <c r="A9540" i="1"/>
  <c r="D9539" i="1"/>
  <c r="A9539" i="1"/>
  <c r="D9538" i="1"/>
  <c r="A9538" i="1"/>
  <c r="D9537" i="1"/>
  <c r="A9537" i="1"/>
  <c r="D4602" i="1"/>
  <c r="A4602" i="1"/>
  <c r="D9536" i="1"/>
  <c r="A9536" i="1"/>
  <c r="D9535" i="1"/>
  <c r="A9535" i="1"/>
  <c r="D9534" i="1"/>
  <c r="A9534" i="1"/>
  <c r="D9533" i="1"/>
  <c r="A9533" i="1"/>
  <c r="D9532" i="1"/>
  <c r="A9532" i="1"/>
  <c r="D4601" i="1"/>
  <c r="A4601" i="1"/>
  <c r="D9531" i="1"/>
  <c r="A9531" i="1"/>
  <c r="D9530" i="1"/>
  <c r="A9530" i="1"/>
  <c r="D9529" i="1"/>
  <c r="A9529" i="1"/>
  <c r="D4600" i="1"/>
  <c r="A4600" i="1"/>
  <c r="D9528" i="1"/>
  <c r="A9528" i="1"/>
  <c r="D9527" i="1"/>
  <c r="A9527" i="1"/>
  <c r="D4599" i="1"/>
  <c r="A4599" i="1"/>
  <c r="D9526" i="1"/>
  <c r="A9526" i="1"/>
  <c r="D4598" i="1"/>
  <c r="A4598" i="1"/>
  <c r="D9525" i="1"/>
  <c r="A9525" i="1"/>
  <c r="D9524" i="1"/>
  <c r="A9524" i="1"/>
  <c r="D4597" i="1"/>
  <c r="A4597" i="1"/>
  <c r="D4596" i="1"/>
  <c r="A4596" i="1"/>
  <c r="D9523" i="1"/>
  <c r="A9523" i="1"/>
  <c r="D9522" i="1"/>
  <c r="A9522" i="1"/>
  <c r="D9521" i="1"/>
  <c r="A9521" i="1"/>
  <c r="D9520" i="1"/>
  <c r="A9520" i="1"/>
  <c r="D4595" i="1"/>
  <c r="A4595" i="1"/>
  <c r="D9519" i="1"/>
  <c r="A9519" i="1"/>
  <c r="D559" i="1"/>
  <c r="A559" i="1"/>
  <c r="D9518" i="1"/>
  <c r="A9518" i="1"/>
  <c r="D9517" i="1"/>
  <c r="A9517" i="1"/>
  <c r="D9516" i="1"/>
  <c r="A9516" i="1"/>
  <c r="D4594" i="1"/>
  <c r="A4594" i="1"/>
  <c r="D9515" i="1"/>
  <c r="A9515" i="1"/>
  <c r="D9514" i="1"/>
  <c r="A9514" i="1"/>
  <c r="D9513" i="1"/>
  <c r="A9513" i="1"/>
  <c r="D9512" i="1"/>
  <c r="A9512" i="1"/>
  <c r="D9511" i="1"/>
  <c r="A9511" i="1"/>
  <c r="D4593" i="1"/>
  <c r="A4593" i="1"/>
  <c r="D9510" i="1"/>
  <c r="A9510" i="1"/>
  <c r="D9509" i="1"/>
  <c r="A9509" i="1"/>
  <c r="D558" i="1"/>
  <c r="A558" i="1"/>
  <c r="D9508" i="1"/>
  <c r="A9508" i="1"/>
  <c r="D557" i="1"/>
  <c r="A557" i="1"/>
  <c r="D36" i="1"/>
  <c r="A36" i="1"/>
  <c r="D9507" i="1"/>
  <c r="A9507" i="1"/>
  <c r="D9506" i="1"/>
  <c r="A9506" i="1"/>
  <c r="D556" i="1"/>
  <c r="A556" i="1"/>
  <c r="D9505" i="1"/>
  <c r="A9505" i="1"/>
  <c r="D9504" i="1"/>
  <c r="A9504" i="1"/>
  <c r="D9503" i="1"/>
  <c r="A9503" i="1"/>
  <c r="D9502" i="1"/>
  <c r="A9502" i="1"/>
  <c r="D9501" i="1"/>
  <c r="A9501" i="1"/>
  <c r="D4592" i="1"/>
  <c r="A4592" i="1"/>
  <c r="D1070" i="1"/>
  <c r="A1070" i="1"/>
  <c r="D9500" i="1"/>
  <c r="A9500" i="1"/>
  <c r="D9499" i="1"/>
  <c r="A9499" i="1"/>
  <c r="D9498" i="1"/>
  <c r="A9498" i="1"/>
  <c r="D4591" i="1"/>
  <c r="A4591" i="1"/>
  <c r="D9497" i="1"/>
  <c r="A9497" i="1"/>
  <c r="D9496" i="1"/>
  <c r="A9496" i="1"/>
  <c r="D555" i="1"/>
  <c r="A555" i="1"/>
  <c r="D9495" i="1"/>
  <c r="A9495" i="1"/>
  <c r="D9494" i="1"/>
  <c r="A9494" i="1"/>
  <c r="D9493" i="1"/>
  <c r="A9493" i="1"/>
  <c r="D9492" i="1"/>
  <c r="A9492" i="1"/>
  <c r="D9491" i="1"/>
  <c r="A9491" i="1"/>
  <c r="D9490" i="1"/>
  <c r="A9490" i="1"/>
  <c r="D1069" i="1"/>
  <c r="A1069" i="1"/>
  <c r="D9489" i="1"/>
  <c r="A9489" i="1"/>
  <c r="D9488" i="1"/>
  <c r="A9488" i="1"/>
  <c r="D4590" i="1"/>
  <c r="A4590" i="1"/>
  <c r="D9487" i="1"/>
  <c r="A9487" i="1"/>
  <c r="D9486" i="1"/>
  <c r="A9486" i="1"/>
  <c r="D9485" i="1"/>
  <c r="A9485" i="1"/>
  <c r="D9484" i="1"/>
  <c r="A9484" i="1"/>
  <c r="D9483" i="1"/>
  <c r="A9483" i="1"/>
  <c r="D4589" i="1"/>
  <c r="A4589" i="1"/>
  <c r="D9482" i="1"/>
  <c r="A9482" i="1"/>
  <c r="D4588" i="1"/>
  <c r="A4588" i="1"/>
  <c r="D9481" i="1"/>
  <c r="A9481" i="1"/>
  <c r="D4587" i="1"/>
  <c r="A4587" i="1"/>
  <c r="D9480" i="1"/>
  <c r="A9480" i="1"/>
  <c r="D4586" i="1"/>
  <c r="A4586" i="1"/>
  <c r="D9479" i="1"/>
  <c r="A9479" i="1"/>
  <c r="D9478" i="1"/>
  <c r="A9478" i="1"/>
  <c r="D9477" i="1"/>
  <c r="A9477" i="1"/>
  <c r="D9476" i="1"/>
  <c r="A9476" i="1"/>
  <c r="D554" i="1"/>
  <c r="A554" i="1"/>
  <c r="D4585" i="1"/>
  <c r="A4585" i="1"/>
  <c r="D9475" i="1"/>
  <c r="A9475" i="1"/>
  <c r="D553" i="1"/>
  <c r="A553" i="1"/>
  <c r="D9474" i="1"/>
  <c r="A9474" i="1"/>
  <c r="D552" i="1"/>
  <c r="A552" i="1"/>
  <c r="D9473" i="1"/>
  <c r="A9473" i="1"/>
  <c r="D9472" i="1"/>
  <c r="A9472" i="1"/>
  <c r="D9471" i="1"/>
  <c r="A9471" i="1"/>
  <c r="D9470" i="1"/>
  <c r="A9470" i="1"/>
  <c r="D4584" i="1"/>
  <c r="A4584" i="1"/>
  <c r="D4583" i="1"/>
  <c r="A4583" i="1"/>
  <c r="D4582" i="1"/>
  <c r="A4582" i="1"/>
  <c r="D4581" i="1"/>
  <c r="A4581" i="1"/>
  <c r="D9469" i="1"/>
  <c r="A9469" i="1"/>
  <c r="D9468" i="1"/>
  <c r="A9468" i="1"/>
  <c r="D9467" i="1"/>
  <c r="A9467" i="1"/>
  <c r="D9466" i="1"/>
  <c r="A9466" i="1"/>
  <c r="D9465" i="1"/>
  <c r="A9465" i="1"/>
  <c r="D9464" i="1"/>
  <c r="A9464" i="1"/>
  <c r="D9463" i="1"/>
  <c r="A9463" i="1"/>
  <c r="D4580" i="1"/>
  <c r="A4580" i="1"/>
  <c r="D9462" i="1"/>
  <c r="A9462" i="1"/>
  <c r="D9461" i="1"/>
  <c r="A9461" i="1"/>
  <c r="D9460" i="1"/>
  <c r="A9460" i="1"/>
  <c r="D9459" i="1"/>
  <c r="A9459" i="1"/>
  <c r="D9458" i="1"/>
  <c r="A9458" i="1"/>
  <c r="D9457" i="1"/>
  <c r="A9457" i="1"/>
  <c r="D9456" i="1"/>
  <c r="A9456" i="1"/>
  <c r="D9455" i="1"/>
  <c r="A9455" i="1"/>
  <c r="D9454" i="1"/>
  <c r="A9454" i="1"/>
  <c r="D9453" i="1"/>
  <c r="A9453" i="1"/>
  <c r="D9452" i="1"/>
  <c r="A9452" i="1"/>
  <c r="D4579" i="1"/>
  <c r="A4579" i="1"/>
  <c r="D4578" i="1"/>
  <c r="A4578" i="1"/>
  <c r="D9451" i="1"/>
  <c r="A9451" i="1"/>
  <c r="D9450" i="1"/>
  <c r="A9450" i="1"/>
  <c r="D4577" i="1"/>
  <c r="A4577" i="1"/>
  <c r="D9449" i="1"/>
  <c r="A9449" i="1"/>
  <c r="D4576" i="1"/>
  <c r="A4576" i="1"/>
  <c r="D4575" i="1"/>
  <c r="A4575" i="1"/>
  <c r="D9448" i="1"/>
  <c r="A9448" i="1"/>
  <c r="D4574" i="1"/>
  <c r="A4574" i="1"/>
  <c r="D9447" i="1"/>
  <c r="A9447" i="1"/>
  <c r="D9446" i="1"/>
  <c r="A9446" i="1"/>
  <c r="D9445" i="1"/>
  <c r="A9445" i="1"/>
  <c r="D9444" i="1"/>
  <c r="A9444" i="1"/>
  <c r="D9443" i="1"/>
  <c r="A9443" i="1"/>
  <c r="D4573" i="1"/>
  <c r="A4573" i="1"/>
  <c r="D9442" i="1"/>
  <c r="A9442" i="1"/>
  <c r="D1068" i="1"/>
  <c r="A1068" i="1"/>
  <c r="D4572" i="1"/>
  <c r="A4572" i="1"/>
  <c r="D4571" i="1"/>
  <c r="A4571" i="1"/>
  <c r="D4570" i="1"/>
  <c r="A4570" i="1"/>
  <c r="D4569" i="1"/>
  <c r="A4569" i="1"/>
  <c r="D9441" i="1"/>
  <c r="A9441" i="1"/>
  <c r="D4568" i="1"/>
  <c r="A4568" i="1"/>
  <c r="D9440" i="1"/>
  <c r="A9440" i="1"/>
  <c r="D9439" i="1"/>
  <c r="A9439" i="1"/>
  <c r="D9438" i="1"/>
  <c r="A9438" i="1"/>
  <c r="D9437" i="1"/>
  <c r="A9437" i="1"/>
  <c r="D9436" i="1"/>
  <c r="A9436" i="1"/>
  <c r="D9435" i="1"/>
  <c r="A9435" i="1"/>
  <c r="D9434" i="1"/>
  <c r="A9434" i="1"/>
  <c r="D9433" i="1"/>
  <c r="A9433" i="1"/>
  <c r="D9432" i="1"/>
  <c r="A9432" i="1"/>
  <c r="D9431" i="1"/>
  <c r="A9431" i="1"/>
  <c r="D9430" i="1"/>
  <c r="A9430" i="1"/>
  <c r="D9429" i="1"/>
  <c r="A9429" i="1"/>
  <c r="D9428" i="1"/>
  <c r="A9428" i="1"/>
  <c r="D9427" i="1"/>
  <c r="A9427" i="1"/>
  <c r="D9426" i="1"/>
  <c r="A9426" i="1"/>
  <c r="D4567" i="1"/>
  <c r="A4567" i="1"/>
  <c r="D9425" i="1"/>
  <c r="A9425" i="1"/>
  <c r="D9424" i="1"/>
  <c r="A9424" i="1"/>
  <c r="D4566" i="1"/>
  <c r="A4566" i="1"/>
  <c r="D9423" i="1"/>
  <c r="A9423" i="1"/>
  <c r="D9422" i="1"/>
  <c r="A9422" i="1"/>
  <c r="D9421" i="1"/>
  <c r="A9421" i="1"/>
  <c r="D9420" i="1"/>
  <c r="A9420" i="1"/>
  <c r="D4565" i="1"/>
  <c r="A4565" i="1"/>
  <c r="D9419" i="1"/>
  <c r="A9419" i="1"/>
  <c r="D9418" i="1"/>
  <c r="A9418" i="1"/>
  <c r="D551" i="1"/>
  <c r="A551" i="1"/>
  <c r="D4564" i="1"/>
  <c r="A4564" i="1"/>
  <c r="D9417" i="1"/>
  <c r="A9417" i="1"/>
  <c r="D9416" i="1"/>
  <c r="A9416" i="1"/>
  <c r="D4563" i="1"/>
  <c r="A4563" i="1"/>
  <c r="D9415" i="1"/>
  <c r="A9415" i="1"/>
  <c r="D4562" i="1"/>
  <c r="A4562" i="1"/>
  <c r="D9414" i="1"/>
  <c r="A9414" i="1"/>
  <c r="D4561" i="1"/>
  <c r="A4561" i="1"/>
  <c r="D9413" i="1"/>
  <c r="A9413" i="1"/>
  <c r="D9412" i="1"/>
  <c r="A9412" i="1"/>
  <c r="D4560" i="1"/>
  <c r="A4560" i="1"/>
  <c r="D9411" i="1"/>
  <c r="A9411" i="1"/>
  <c r="D9410" i="1"/>
  <c r="A9410" i="1"/>
  <c r="D9409" i="1"/>
  <c r="A9409" i="1"/>
  <c r="D9408" i="1"/>
  <c r="A9408" i="1"/>
  <c r="D9407" i="1"/>
  <c r="A9407" i="1"/>
  <c r="D4559" i="1"/>
  <c r="A4559" i="1"/>
  <c r="D4558" i="1"/>
  <c r="A4558" i="1"/>
  <c r="D4557" i="1"/>
  <c r="A4557" i="1"/>
  <c r="D9406" i="1"/>
  <c r="A9406" i="1"/>
  <c r="D9405" i="1"/>
  <c r="A9405" i="1"/>
  <c r="D9404" i="1"/>
  <c r="A9404" i="1"/>
  <c r="D1067" i="1"/>
  <c r="A1067" i="1"/>
  <c r="D9403" i="1"/>
  <c r="A9403" i="1"/>
  <c r="D9402" i="1"/>
  <c r="A9402" i="1"/>
  <c r="D9401" i="1"/>
  <c r="A9401" i="1"/>
  <c r="D9400" i="1"/>
  <c r="A9400" i="1"/>
  <c r="D9399" i="1"/>
  <c r="A9399" i="1"/>
  <c r="D9398" i="1"/>
  <c r="A9398" i="1"/>
  <c r="D9397" i="1"/>
  <c r="A9397" i="1"/>
  <c r="D9396" i="1"/>
  <c r="A9396" i="1"/>
  <c r="D9395" i="1"/>
  <c r="A9395" i="1"/>
  <c r="D9394" i="1"/>
  <c r="A9394" i="1"/>
  <c r="D9393" i="1"/>
  <c r="A9393" i="1"/>
  <c r="D9392" i="1"/>
  <c r="A9392" i="1"/>
  <c r="D9391" i="1"/>
  <c r="A9391" i="1"/>
  <c r="D9390" i="1"/>
  <c r="A9390" i="1"/>
  <c r="D9389" i="1"/>
  <c r="A9389" i="1"/>
  <c r="D9388" i="1"/>
  <c r="A9388" i="1"/>
  <c r="D4556" i="1"/>
  <c r="A4556" i="1"/>
  <c r="D9387" i="1"/>
  <c r="A9387" i="1"/>
  <c r="D4555" i="1"/>
  <c r="A4555" i="1"/>
  <c r="D9386" i="1"/>
  <c r="A9386" i="1"/>
  <c r="D550" i="1"/>
  <c r="A550" i="1"/>
  <c r="D549" i="1"/>
  <c r="A549" i="1"/>
  <c r="D9385" i="1"/>
  <c r="A9385" i="1"/>
  <c r="D548" i="1"/>
  <c r="A548" i="1"/>
  <c r="D9384" i="1"/>
  <c r="A9384" i="1"/>
  <c r="D4554" i="1"/>
  <c r="A4554" i="1"/>
  <c r="D9383" i="1"/>
  <c r="A9383" i="1"/>
  <c r="D1066" i="1"/>
  <c r="A1066" i="1"/>
  <c r="D9382" i="1"/>
  <c r="A9382" i="1"/>
  <c r="D9381" i="1"/>
  <c r="A9381" i="1"/>
  <c r="D9380" i="1"/>
  <c r="A9380" i="1"/>
  <c r="D4553" i="1"/>
  <c r="A4553" i="1"/>
  <c r="D9379" i="1"/>
  <c r="A9379" i="1"/>
  <c r="D4552" i="1"/>
  <c r="A4552" i="1"/>
  <c r="D9378" i="1"/>
  <c r="A9378" i="1"/>
  <c r="D4551" i="1"/>
  <c r="A4551" i="1"/>
  <c r="D4550" i="1"/>
  <c r="A4550" i="1"/>
  <c r="D9377" i="1"/>
  <c r="A9377" i="1"/>
  <c r="D9376" i="1"/>
  <c r="A9376" i="1"/>
  <c r="D4549" i="1"/>
  <c r="A4549" i="1"/>
  <c r="D9375" i="1"/>
  <c r="A9375" i="1"/>
  <c r="D547" i="1"/>
  <c r="A547" i="1"/>
  <c r="D9374" i="1"/>
  <c r="A9374" i="1"/>
  <c r="D9373" i="1"/>
  <c r="A9373" i="1"/>
  <c r="D9372" i="1"/>
  <c r="A9372" i="1"/>
  <c r="D9371" i="1"/>
  <c r="A9371" i="1"/>
  <c r="D9370" i="1"/>
  <c r="A9370" i="1"/>
  <c r="D9369" i="1"/>
  <c r="A9369" i="1"/>
  <c r="D9368" i="1"/>
  <c r="A9368" i="1"/>
  <c r="D9367" i="1"/>
  <c r="A9367" i="1"/>
  <c r="D9366" i="1"/>
  <c r="A9366" i="1"/>
  <c r="D4548" i="1"/>
  <c r="A4548" i="1"/>
  <c r="D9365" i="1"/>
  <c r="A9365" i="1"/>
  <c r="D9364" i="1"/>
  <c r="A9364" i="1"/>
  <c r="D9363" i="1"/>
  <c r="A9363" i="1"/>
  <c r="D9362" i="1"/>
  <c r="A9362" i="1"/>
  <c r="D9361" i="1"/>
  <c r="A9361" i="1"/>
  <c r="D4547" i="1"/>
  <c r="A4547" i="1"/>
  <c r="D546" i="1"/>
  <c r="A546" i="1"/>
  <c r="D9360" i="1"/>
  <c r="A9360" i="1"/>
  <c r="D9359" i="1"/>
  <c r="A9359" i="1"/>
  <c r="D9358" i="1"/>
  <c r="A9358" i="1"/>
  <c r="D9357" i="1"/>
  <c r="A9357" i="1"/>
  <c r="D1065" i="1"/>
  <c r="A1065" i="1"/>
  <c r="D1064" i="1"/>
  <c r="A1064" i="1"/>
  <c r="D1063" i="1"/>
  <c r="A1063" i="1"/>
  <c r="D9356" i="1"/>
  <c r="A9356" i="1"/>
  <c r="D9355" i="1"/>
  <c r="A9355" i="1"/>
  <c r="D9354" i="1"/>
  <c r="A9354" i="1"/>
  <c r="D9353" i="1"/>
  <c r="A9353" i="1"/>
  <c r="D4546" i="1"/>
  <c r="A4546" i="1"/>
  <c r="D9352" i="1"/>
  <c r="A9352" i="1"/>
  <c r="D111" i="1"/>
  <c r="A111" i="1"/>
  <c r="D9351" i="1"/>
  <c r="A9351" i="1"/>
  <c r="D9350" i="1"/>
  <c r="A9350" i="1"/>
  <c r="D9349" i="1"/>
  <c r="A9349" i="1"/>
  <c r="D9348" i="1"/>
  <c r="A9348" i="1"/>
  <c r="D4545" i="1"/>
  <c r="A4545" i="1"/>
  <c r="D9347" i="1"/>
  <c r="A9347" i="1"/>
  <c r="D9346" i="1"/>
  <c r="A9346" i="1"/>
  <c r="D9345" i="1"/>
  <c r="A9345" i="1"/>
  <c r="D9344" i="1"/>
  <c r="A9344" i="1"/>
  <c r="D9343" i="1"/>
  <c r="A9343" i="1"/>
  <c r="D545" i="1"/>
  <c r="A545" i="1"/>
  <c r="D9342" i="1"/>
  <c r="A9342" i="1"/>
  <c r="D9341" i="1"/>
  <c r="A9341" i="1"/>
  <c r="D9340" i="1"/>
  <c r="A9340" i="1"/>
  <c r="D9339" i="1"/>
  <c r="A9339" i="1"/>
  <c r="D9338" i="1"/>
  <c r="A9338" i="1"/>
  <c r="D9337" i="1"/>
  <c r="A9337" i="1"/>
  <c r="D9336" i="1"/>
  <c r="A9336" i="1"/>
  <c r="D67" i="1"/>
  <c r="A67" i="1"/>
  <c r="D9335" i="1"/>
  <c r="A9335" i="1"/>
  <c r="D9334" i="1"/>
  <c r="A9334" i="1"/>
  <c r="D544" i="1"/>
  <c r="A544" i="1"/>
  <c r="D4544" i="1"/>
  <c r="A4544" i="1"/>
  <c r="D543" i="1"/>
  <c r="A543" i="1"/>
  <c r="D9333" i="1"/>
  <c r="A9333" i="1"/>
  <c r="D9332" i="1"/>
  <c r="A9332" i="1"/>
  <c r="D9331" i="1"/>
  <c r="A9331" i="1"/>
  <c r="D9330" i="1"/>
  <c r="A9330" i="1"/>
  <c r="D542" i="1"/>
  <c r="A542" i="1"/>
  <c r="D541" i="1"/>
  <c r="A541" i="1"/>
  <c r="D9329" i="1"/>
  <c r="A9329" i="1"/>
  <c r="D9328" i="1"/>
  <c r="A9328" i="1"/>
  <c r="D9327" i="1"/>
  <c r="A9327" i="1"/>
  <c r="D4543" i="1"/>
  <c r="A4543" i="1"/>
  <c r="D4542" i="1"/>
  <c r="A4542" i="1"/>
  <c r="D9326" i="1"/>
  <c r="A9326" i="1"/>
  <c r="D4541" i="1"/>
  <c r="A4541" i="1"/>
  <c r="D9325" i="1"/>
  <c r="A9325" i="1"/>
  <c r="D9324" i="1"/>
  <c r="A9324" i="1"/>
  <c r="D9323" i="1"/>
  <c r="A9323" i="1"/>
  <c r="D9322" i="1"/>
  <c r="A9322" i="1"/>
  <c r="D9321" i="1"/>
  <c r="A9321" i="1"/>
  <c r="D9320" i="1"/>
  <c r="A9320" i="1"/>
  <c r="D4540" i="1"/>
  <c r="A4540" i="1"/>
  <c r="D9319" i="1"/>
  <c r="A9319" i="1"/>
  <c r="D9318" i="1"/>
  <c r="A9318" i="1"/>
  <c r="D9317" i="1"/>
  <c r="A9317" i="1"/>
  <c r="D9316" i="1"/>
  <c r="A9316" i="1"/>
  <c r="D9315" i="1"/>
  <c r="A9315" i="1"/>
  <c r="D9314" i="1"/>
  <c r="A9314" i="1"/>
  <c r="D9313" i="1"/>
  <c r="A9313" i="1"/>
  <c r="D9312" i="1"/>
  <c r="A9312" i="1"/>
  <c r="D4539" i="1"/>
  <c r="A4539" i="1"/>
  <c r="D4538" i="1"/>
  <c r="A4538" i="1"/>
  <c r="D4537" i="1"/>
  <c r="A4537" i="1"/>
  <c r="D9311" i="1"/>
  <c r="A9311" i="1"/>
  <c r="D9310" i="1"/>
  <c r="A9310" i="1"/>
  <c r="D4536" i="1"/>
  <c r="A4536" i="1"/>
  <c r="D4535" i="1"/>
  <c r="A4535" i="1"/>
  <c r="D9309" i="1"/>
  <c r="A9309" i="1"/>
  <c r="D4534" i="1"/>
  <c r="A4534" i="1"/>
  <c r="D4533" i="1"/>
  <c r="A4533" i="1"/>
  <c r="D9308" i="1"/>
  <c r="A9308" i="1"/>
  <c r="D9307" i="1"/>
  <c r="A9307" i="1"/>
  <c r="D9306" i="1"/>
  <c r="A9306" i="1"/>
  <c r="D4532" i="1"/>
  <c r="A4532" i="1"/>
  <c r="D9305" i="1"/>
  <c r="A9305" i="1"/>
  <c r="D9304" i="1"/>
  <c r="A9304" i="1"/>
  <c r="D9303" i="1"/>
  <c r="A9303" i="1"/>
  <c r="D9302" i="1"/>
  <c r="A9302" i="1"/>
  <c r="D9301" i="1"/>
  <c r="A9301" i="1"/>
  <c r="D9300" i="1"/>
  <c r="A9300" i="1"/>
  <c r="D9299" i="1"/>
  <c r="A9299" i="1"/>
  <c r="D9298" i="1"/>
  <c r="A9298" i="1"/>
  <c r="D9297" i="1"/>
  <c r="A9297" i="1"/>
  <c r="D9296" i="1"/>
  <c r="A9296" i="1"/>
  <c r="D9295" i="1"/>
  <c r="A9295" i="1"/>
  <c r="D9294" i="1"/>
  <c r="A9294" i="1"/>
  <c r="D9293" i="1"/>
  <c r="A9293" i="1"/>
  <c r="D9292" i="1"/>
  <c r="A9292" i="1"/>
  <c r="D9291" i="1"/>
  <c r="A9291" i="1"/>
  <c r="D9290" i="1"/>
  <c r="A9290" i="1"/>
  <c r="D9289" i="1"/>
  <c r="A9289" i="1"/>
  <c r="D9288" i="1"/>
  <c r="A9288" i="1"/>
  <c r="D9287" i="1"/>
  <c r="A9287" i="1"/>
  <c r="D9286" i="1"/>
  <c r="A9286" i="1"/>
  <c r="D9285" i="1"/>
  <c r="A9285" i="1"/>
  <c r="D4531" i="1"/>
  <c r="A4531" i="1"/>
  <c r="D9284" i="1"/>
  <c r="A9284" i="1"/>
  <c r="D9283" i="1"/>
  <c r="A9283" i="1"/>
  <c r="D9282" i="1"/>
  <c r="A9282" i="1"/>
  <c r="D9281" i="1"/>
  <c r="A9281" i="1"/>
  <c r="D9280" i="1"/>
  <c r="A9280" i="1"/>
  <c r="D540" i="1"/>
  <c r="A540" i="1"/>
  <c r="D9279" i="1"/>
  <c r="A9279" i="1"/>
  <c r="D9278" i="1"/>
  <c r="A9278" i="1"/>
  <c r="D4530" i="1"/>
  <c r="A4530" i="1"/>
  <c r="D9277" i="1"/>
  <c r="A9277" i="1"/>
  <c r="D9276" i="1"/>
  <c r="A9276" i="1"/>
  <c r="D4529" i="1"/>
  <c r="A4529" i="1"/>
  <c r="D9275" i="1"/>
  <c r="A9275" i="1"/>
  <c r="D9274" i="1"/>
  <c r="A9274" i="1"/>
  <c r="D9273" i="1"/>
  <c r="A9273" i="1"/>
  <c r="D9272" i="1"/>
  <c r="A9272" i="1"/>
  <c r="D9271" i="1"/>
  <c r="A9271" i="1"/>
  <c r="D9270" i="1"/>
  <c r="A9270" i="1"/>
  <c r="D9269" i="1"/>
  <c r="A9269" i="1"/>
  <c r="D9268" i="1"/>
  <c r="A9268" i="1"/>
  <c r="D4528" i="1"/>
  <c r="A4528" i="1"/>
  <c r="D9267" i="1"/>
  <c r="A9267" i="1"/>
  <c r="D9266" i="1"/>
  <c r="A9266" i="1"/>
  <c r="D4527" i="1"/>
  <c r="A4527" i="1"/>
  <c r="D4526" i="1"/>
  <c r="A4526" i="1"/>
  <c r="D9265" i="1"/>
  <c r="A9265" i="1"/>
  <c r="D9264" i="1"/>
  <c r="A9264" i="1"/>
  <c r="D4525" i="1"/>
  <c r="A4525" i="1"/>
  <c r="D4524" i="1"/>
  <c r="A4524" i="1"/>
  <c r="D4523" i="1"/>
  <c r="A4523" i="1"/>
  <c r="D9263" i="1"/>
  <c r="A9263" i="1"/>
  <c r="D4522" i="1"/>
  <c r="A4522" i="1"/>
  <c r="D9262" i="1"/>
  <c r="A9262" i="1"/>
  <c r="D4521" i="1"/>
  <c r="A4521" i="1"/>
  <c r="D9261" i="1"/>
  <c r="A9261" i="1"/>
  <c r="D9260" i="1"/>
  <c r="A9260" i="1"/>
  <c r="D9259" i="1"/>
  <c r="A9259" i="1"/>
  <c r="D9258" i="1"/>
  <c r="A9258" i="1"/>
  <c r="D1062" i="1"/>
  <c r="A1062" i="1"/>
  <c r="D9257" i="1"/>
  <c r="A9257" i="1"/>
  <c r="D9256" i="1"/>
  <c r="A9256" i="1"/>
  <c r="D9255" i="1"/>
  <c r="A9255" i="1"/>
  <c r="D4520" i="1"/>
  <c r="A4520" i="1"/>
  <c r="D9254" i="1"/>
  <c r="A9254" i="1"/>
  <c r="D9253" i="1"/>
  <c r="A9253" i="1"/>
  <c r="D4519" i="1"/>
  <c r="A4519" i="1"/>
  <c r="D539" i="1"/>
  <c r="A539" i="1"/>
  <c r="D9252" i="1"/>
  <c r="A9252" i="1"/>
  <c r="D9251" i="1"/>
  <c r="A9251" i="1"/>
  <c r="D9250" i="1"/>
  <c r="A9250" i="1"/>
  <c r="D9249" i="1"/>
  <c r="A9249" i="1"/>
  <c r="D9248" i="1"/>
  <c r="A9248" i="1"/>
  <c r="D4518" i="1"/>
  <c r="A4518" i="1"/>
  <c r="D9247" i="1"/>
  <c r="A9247" i="1"/>
  <c r="D9246" i="1"/>
  <c r="A9246" i="1"/>
  <c r="D4517" i="1"/>
  <c r="A4517" i="1"/>
  <c r="D9245" i="1"/>
  <c r="A9245" i="1"/>
  <c r="D9244" i="1"/>
  <c r="A9244" i="1"/>
  <c r="D9243" i="1"/>
  <c r="A9243" i="1"/>
  <c r="D4516" i="1"/>
  <c r="A4516" i="1"/>
  <c r="D9242" i="1"/>
  <c r="A9242" i="1"/>
  <c r="D4515" i="1"/>
  <c r="A4515" i="1"/>
  <c r="D9241" i="1"/>
  <c r="A9241" i="1"/>
  <c r="D9240" i="1"/>
  <c r="A9240" i="1"/>
  <c r="D9239" i="1"/>
  <c r="A9239" i="1"/>
  <c r="D9238" i="1"/>
  <c r="A9238" i="1"/>
  <c r="D9237" i="1"/>
  <c r="A9237" i="1"/>
  <c r="D9236" i="1"/>
  <c r="A9236" i="1"/>
  <c r="D4514" i="1"/>
  <c r="A4514" i="1"/>
  <c r="D4513" i="1"/>
  <c r="A4513" i="1"/>
  <c r="D9235" i="1"/>
  <c r="A9235" i="1"/>
  <c r="D9234" i="1"/>
  <c r="A9234" i="1"/>
  <c r="D4512" i="1"/>
  <c r="A4512" i="1"/>
  <c r="D9233" i="1"/>
  <c r="A9233" i="1"/>
  <c r="D9232" i="1"/>
  <c r="A9232" i="1"/>
  <c r="D9231" i="1"/>
  <c r="A9231" i="1"/>
  <c r="D4511" i="1"/>
  <c r="A4511" i="1"/>
  <c r="D9230" i="1"/>
  <c r="A9230" i="1"/>
  <c r="D9229" i="1"/>
  <c r="A9229" i="1"/>
  <c r="D9228" i="1"/>
  <c r="A9228" i="1"/>
  <c r="D9227" i="1"/>
  <c r="A9227" i="1"/>
  <c r="D9226" i="1"/>
  <c r="A9226" i="1"/>
  <c r="D9225" i="1"/>
  <c r="A9225" i="1"/>
  <c r="D4510" i="1"/>
  <c r="A4510" i="1"/>
  <c r="D9224" i="1"/>
  <c r="A9224" i="1"/>
  <c r="D9223" i="1"/>
  <c r="A9223" i="1"/>
  <c r="D4509" i="1"/>
  <c r="A4509" i="1"/>
  <c r="D9222" i="1"/>
  <c r="A9222" i="1"/>
  <c r="D9221" i="1"/>
  <c r="A9221" i="1"/>
  <c r="D9220" i="1"/>
  <c r="A9220" i="1"/>
  <c r="D9219" i="1"/>
  <c r="A9219" i="1"/>
  <c r="D538" i="1"/>
  <c r="A538" i="1"/>
  <c r="D9218" i="1"/>
  <c r="A9218" i="1"/>
  <c r="D4508" i="1"/>
  <c r="A4508" i="1"/>
  <c r="D9217" i="1"/>
  <c r="A9217" i="1"/>
  <c r="D9216" i="1"/>
  <c r="A9216" i="1"/>
  <c r="D9215" i="1"/>
  <c r="A9215" i="1"/>
  <c r="D537" i="1"/>
  <c r="A537" i="1"/>
  <c r="D9214" i="1"/>
  <c r="A9214" i="1"/>
  <c r="D9213" i="1"/>
  <c r="A9213" i="1"/>
  <c r="D4507" i="1"/>
  <c r="A4507" i="1"/>
  <c r="D4506" i="1"/>
  <c r="A4506" i="1"/>
  <c r="D9212" i="1"/>
  <c r="A9212" i="1"/>
  <c r="D9211" i="1"/>
  <c r="A9211" i="1"/>
  <c r="D9210" i="1"/>
  <c r="A9210" i="1"/>
  <c r="D9209" i="1"/>
  <c r="A9209" i="1"/>
  <c r="D9208" i="1"/>
  <c r="A9208" i="1"/>
  <c r="D4505" i="1"/>
  <c r="A4505" i="1"/>
  <c r="D4504" i="1"/>
  <c r="A4504" i="1"/>
  <c r="D9207" i="1"/>
  <c r="A9207" i="1"/>
  <c r="D9206" i="1"/>
  <c r="A9206" i="1"/>
  <c r="D9205" i="1"/>
  <c r="A9205" i="1"/>
  <c r="D4503" i="1"/>
  <c r="A4503" i="1"/>
  <c r="D9204" i="1"/>
  <c r="A9204" i="1"/>
  <c r="D9203" i="1"/>
  <c r="A9203" i="1"/>
  <c r="D9202" i="1"/>
  <c r="A9202" i="1"/>
  <c r="D9201" i="1"/>
  <c r="A9201" i="1"/>
  <c r="D9200" i="1"/>
  <c r="A9200" i="1"/>
  <c r="D9199" i="1"/>
  <c r="A9199" i="1"/>
  <c r="D9198" i="1"/>
  <c r="A9198" i="1"/>
  <c r="D4502" i="1"/>
  <c r="A4502" i="1"/>
  <c r="D9197" i="1"/>
  <c r="A9197" i="1"/>
  <c r="D4501" i="1"/>
  <c r="A4501" i="1"/>
  <c r="D9196" i="1"/>
  <c r="A9196" i="1"/>
  <c r="D9195" i="1"/>
  <c r="A9195" i="1"/>
  <c r="D9194" i="1"/>
  <c r="A9194" i="1"/>
  <c r="D9193" i="1"/>
  <c r="A9193" i="1"/>
  <c r="D9192" i="1"/>
  <c r="A9192" i="1"/>
  <c r="D4500" i="1"/>
  <c r="A4500" i="1"/>
  <c r="D9191" i="1"/>
  <c r="A9191" i="1"/>
  <c r="D4499" i="1"/>
  <c r="A4499" i="1"/>
  <c r="D9190" i="1"/>
  <c r="A9190" i="1"/>
  <c r="D9189" i="1"/>
  <c r="A9189" i="1"/>
  <c r="D4498" i="1"/>
  <c r="A4498" i="1"/>
  <c r="D9188" i="1"/>
  <c r="A9188" i="1"/>
  <c r="D9187" i="1"/>
  <c r="A9187" i="1"/>
  <c r="D9186" i="1"/>
  <c r="A9186" i="1"/>
  <c r="D9185" i="1"/>
  <c r="A9185" i="1"/>
  <c r="D9184" i="1"/>
  <c r="A9184" i="1"/>
  <c r="D9183" i="1"/>
  <c r="A9183" i="1"/>
  <c r="D4497" i="1"/>
  <c r="A4497" i="1"/>
  <c r="D9182" i="1"/>
  <c r="A9182" i="1"/>
  <c r="D9181" i="1"/>
  <c r="A9181" i="1"/>
  <c r="D9180" i="1"/>
  <c r="A9180" i="1"/>
  <c r="D4496" i="1"/>
  <c r="A4496" i="1"/>
  <c r="D9179" i="1"/>
  <c r="A9179" i="1"/>
  <c r="D4495" i="1"/>
  <c r="A4495" i="1"/>
  <c r="D4494" i="1"/>
  <c r="A4494" i="1"/>
  <c r="D1061" i="1"/>
  <c r="A1061" i="1"/>
  <c r="D9178" i="1"/>
  <c r="A9178" i="1"/>
  <c r="D9177" i="1"/>
  <c r="A9177" i="1"/>
  <c r="D4493" i="1"/>
  <c r="A4493" i="1"/>
  <c r="D9176" i="1"/>
  <c r="A9176" i="1"/>
  <c r="D9175" i="1"/>
  <c r="A9175" i="1"/>
  <c r="D9174" i="1"/>
  <c r="A9174" i="1"/>
  <c r="D9173" i="1"/>
  <c r="A9173" i="1"/>
  <c r="D9172" i="1"/>
  <c r="A9172" i="1"/>
  <c r="D9171" i="1"/>
  <c r="A9171" i="1"/>
  <c r="D4492" i="1"/>
  <c r="A4492" i="1"/>
  <c r="D9170" i="1"/>
  <c r="A9170" i="1"/>
  <c r="D4491" i="1"/>
  <c r="A4491" i="1"/>
  <c r="D9169" i="1"/>
  <c r="A9169" i="1"/>
  <c r="D9168" i="1"/>
  <c r="A9168" i="1"/>
  <c r="D9167" i="1"/>
  <c r="A9167" i="1"/>
  <c r="D9166" i="1"/>
  <c r="A9166" i="1"/>
  <c r="D9165" i="1"/>
  <c r="A9165" i="1"/>
  <c r="D9164" i="1"/>
  <c r="A9164" i="1"/>
  <c r="D9163" i="1"/>
  <c r="A9163" i="1"/>
  <c r="D9162" i="1"/>
  <c r="A9162" i="1"/>
  <c r="D9161" i="1"/>
  <c r="A9161" i="1"/>
  <c r="D9160" i="1"/>
  <c r="A9160" i="1"/>
  <c r="D9159" i="1"/>
  <c r="A9159" i="1"/>
  <c r="D9158" i="1"/>
  <c r="A9158" i="1"/>
  <c r="D9157" i="1"/>
  <c r="A9157" i="1"/>
  <c r="D9156" i="1"/>
  <c r="A9156" i="1"/>
  <c r="D9155" i="1"/>
  <c r="A9155" i="1"/>
  <c r="D9154" i="1"/>
  <c r="A9154" i="1"/>
  <c r="D4490" i="1"/>
  <c r="A4490" i="1"/>
  <c r="D9153" i="1"/>
  <c r="A9153" i="1"/>
  <c r="D9152" i="1"/>
  <c r="A9152" i="1"/>
  <c r="D9151" i="1"/>
  <c r="A9151" i="1"/>
  <c r="D9150" i="1"/>
  <c r="A9150" i="1"/>
  <c r="D9149" i="1"/>
  <c r="A9149" i="1"/>
  <c r="D9148" i="1"/>
  <c r="A9148" i="1"/>
  <c r="D536" i="1"/>
  <c r="A536" i="1"/>
  <c r="D9147" i="1"/>
  <c r="A9147" i="1"/>
  <c r="D4489" i="1"/>
  <c r="A4489" i="1"/>
  <c r="D4488" i="1"/>
  <c r="A4488" i="1"/>
  <c r="D9146" i="1"/>
  <c r="A9146" i="1"/>
  <c r="D9145" i="1"/>
  <c r="A9145" i="1"/>
  <c r="D9144" i="1"/>
  <c r="A9144" i="1"/>
  <c r="D9143" i="1"/>
  <c r="A9143" i="1"/>
  <c r="D9142" i="1"/>
  <c r="A9142" i="1"/>
  <c r="D9141" i="1"/>
  <c r="A9141" i="1"/>
  <c r="D9140" i="1"/>
  <c r="A9140" i="1"/>
  <c r="D4487" i="1"/>
  <c r="A4487" i="1"/>
  <c r="D9139" i="1"/>
  <c r="A9139" i="1"/>
  <c r="D9138" i="1"/>
  <c r="A9138" i="1"/>
  <c r="D9137" i="1"/>
  <c r="A9137" i="1"/>
  <c r="D9136" i="1"/>
  <c r="A9136" i="1"/>
  <c r="D9135" i="1"/>
  <c r="A9135" i="1"/>
  <c r="D9134" i="1"/>
  <c r="A9134" i="1"/>
  <c r="D9133" i="1"/>
  <c r="A9133" i="1"/>
  <c r="D1060" i="1"/>
  <c r="A1060" i="1"/>
  <c r="D1059" i="1"/>
  <c r="A1059" i="1"/>
  <c r="D9132" i="1"/>
  <c r="A9132" i="1"/>
  <c r="D535" i="1"/>
  <c r="A535" i="1"/>
  <c r="D9131" i="1"/>
  <c r="A9131" i="1"/>
  <c r="D9130" i="1"/>
  <c r="A9130" i="1"/>
  <c r="D9129" i="1"/>
  <c r="A9129" i="1"/>
  <c r="D9128" i="1"/>
  <c r="A9128" i="1"/>
  <c r="D4486" i="1"/>
  <c r="A4486" i="1"/>
  <c r="D4485" i="1"/>
  <c r="A4485" i="1"/>
  <c r="D4484" i="1"/>
  <c r="A4484" i="1"/>
  <c r="D9127" i="1"/>
  <c r="A9127" i="1"/>
  <c r="D9126" i="1"/>
  <c r="A9126" i="1"/>
  <c r="D9125" i="1"/>
  <c r="A9125" i="1"/>
  <c r="D9124" i="1"/>
  <c r="A9124" i="1"/>
  <c r="D9123" i="1"/>
  <c r="A9123" i="1"/>
  <c r="D9122" i="1"/>
  <c r="A9122" i="1"/>
  <c r="D9121" i="1"/>
  <c r="A9121" i="1"/>
  <c r="D9120" i="1"/>
  <c r="A9120" i="1"/>
  <c r="D9119" i="1"/>
  <c r="A9119" i="1"/>
  <c r="D9118" i="1"/>
  <c r="A9118" i="1"/>
  <c r="D9117" i="1"/>
  <c r="A9117" i="1"/>
  <c r="D9116" i="1"/>
  <c r="A9116" i="1"/>
  <c r="D9115" i="1"/>
  <c r="A9115" i="1"/>
  <c r="D534" i="1"/>
  <c r="A534" i="1"/>
  <c r="D1058" i="1"/>
  <c r="A1058" i="1"/>
  <c r="D9114" i="1"/>
  <c r="A9114" i="1"/>
  <c r="D4483" i="1"/>
  <c r="A4483" i="1"/>
  <c r="D9113" i="1"/>
  <c r="A9113" i="1"/>
  <c r="D9112" i="1"/>
  <c r="A9112" i="1"/>
  <c r="D9111" i="1"/>
  <c r="A9111" i="1"/>
  <c r="D9110" i="1"/>
  <c r="A9110" i="1"/>
  <c r="D9109" i="1"/>
  <c r="A9109" i="1"/>
  <c r="D9108" i="1"/>
  <c r="A9108" i="1"/>
  <c r="D9107" i="1"/>
  <c r="A9107" i="1"/>
  <c r="D9106" i="1"/>
  <c r="A9106" i="1"/>
  <c r="D9105" i="1"/>
  <c r="A9105" i="1"/>
  <c r="D9104" i="1"/>
  <c r="A9104" i="1"/>
  <c r="D9103" i="1"/>
  <c r="A9103" i="1"/>
  <c r="D4482" i="1"/>
  <c r="A4482" i="1"/>
  <c r="D9102" i="1"/>
  <c r="A9102" i="1"/>
  <c r="D9101" i="1"/>
  <c r="A9101" i="1"/>
  <c r="D9100" i="1"/>
  <c r="A9100" i="1"/>
  <c r="D9099" i="1"/>
  <c r="A9099" i="1"/>
  <c r="D4481" i="1"/>
  <c r="A4481" i="1"/>
  <c r="D9098" i="1"/>
  <c r="A9098" i="1"/>
  <c r="D9097" i="1"/>
  <c r="A9097" i="1"/>
  <c r="D9096" i="1"/>
  <c r="A9096" i="1"/>
  <c r="D9095" i="1"/>
  <c r="A9095" i="1"/>
  <c r="D9094" i="1"/>
  <c r="A9094" i="1"/>
  <c r="D9093" i="1"/>
  <c r="A9093" i="1"/>
  <c r="D9092" i="1"/>
  <c r="A9092" i="1"/>
  <c r="D9091" i="1"/>
  <c r="A9091" i="1"/>
  <c r="D533" i="1"/>
  <c r="A533" i="1"/>
  <c r="D9090" i="1"/>
  <c r="A9090" i="1"/>
  <c r="D9089" i="1"/>
  <c r="A9089" i="1"/>
  <c r="D9088" i="1"/>
  <c r="A9088" i="1"/>
  <c r="D9087" i="1"/>
  <c r="A9087" i="1"/>
  <c r="D4480" i="1"/>
  <c r="A4480" i="1"/>
  <c r="D9086" i="1"/>
  <c r="A9086" i="1"/>
  <c r="D9085" i="1"/>
  <c r="A9085" i="1"/>
  <c r="D9084" i="1"/>
  <c r="A9084" i="1"/>
  <c r="D4479" i="1"/>
  <c r="A4479" i="1"/>
  <c r="D9083" i="1"/>
  <c r="A9083" i="1"/>
  <c r="D9082" i="1"/>
  <c r="A9082" i="1"/>
  <c r="D9081" i="1"/>
  <c r="A9081" i="1"/>
  <c r="D9080" i="1"/>
  <c r="A9080" i="1"/>
  <c r="D9079" i="1"/>
  <c r="A9079" i="1"/>
  <c r="D4478" i="1"/>
  <c r="A4478" i="1"/>
  <c r="D9078" i="1"/>
  <c r="A9078" i="1"/>
  <c r="D9077" i="1"/>
  <c r="A9077" i="1"/>
  <c r="D9076" i="1"/>
  <c r="A9076" i="1"/>
  <c r="D9075" i="1"/>
  <c r="A9075" i="1"/>
  <c r="D9074" i="1"/>
  <c r="A9074" i="1"/>
  <c r="D9073" i="1"/>
  <c r="A9073" i="1"/>
  <c r="D4477" i="1"/>
  <c r="A4477" i="1"/>
  <c r="D4476" i="1"/>
  <c r="A4476" i="1"/>
  <c r="D9072" i="1"/>
  <c r="A9072" i="1"/>
  <c r="D9071" i="1"/>
  <c r="A9071" i="1"/>
  <c r="D9070" i="1"/>
  <c r="A9070" i="1"/>
  <c r="D1057" i="1"/>
  <c r="A1057" i="1"/>
  <c r="D4475" i="1"/>
  <c r="A4475" i="1"/>
  <c r="D4474" i="1"/>
  <c r="A4474" i="1"/>
  <c r="D9069" i="1"/>
  <c r="A9069" i="1"/>
  <c r="D9068" i="1"/>
  <c r="A9068" i="1"/>
  <c r="D9067" i="1"/>
  <c r="A9067" i="1"/>
  <c r="D9066" i="1"/>
  <c r="A9066" i="1"/>
  <c r="D9065" i="1"/>
  <c r="A9065" i="1"/>
  <c r="D9064" i="1"/>
  <c r="A9064" i="1"/>
  <c r="D532" i="1"/>
  <c r="A532" i="1"/>
  <c r="D9063" i="1"/>
  <c r="A9063" i="1"/>
  <c r="D9062" i="1"/>
  <c r="A9062" i="1"/>
  <c r="D9061" i="1"/>
  <c r="A9061" i="1"/>
  <c r="D9060" i="1"/>
  <c r="A9060" i="1"/>
  <c r="D9059" i="1"/>
  <c r="A9059" i="1"/>
  <c r="D4473" i="1"/>
  <c r="A4473" i="1"/>
  <c r="D9058" i="1"/>
  <c r="A9058" i="1"/>
  <c r="D9057" i="1"/>
  <c r="A9057" i="1"/>
  <c r="D9056" i="1"/>
  <c r="A9056" i="1"/>
  <c r="D9055" i="1"/>
  <c r="A9055" i="1"/>
  <c r="D9054" i="1"/>
  <c r="A9054" i="1"/>
  <c r="D9053" i="1"/>
  <c r="A9053" i="1"/>
  <c r="D9052" i="1"/>
  <c r="A9052" i="1"/>
  <c r="D9051" i="1"/>
  <c r="A9051" i="1"/>
  <c r="D9050" i="1"/>
  <c r="A9050" i="1"/>
  <c r="D9049" i="1"/>
  <c r="A9049" i="1"/>
  <c r="D9048" i="1"/>
  <c r="A9048" i="1"/>
  <c r="D9047" i="1"/>
  <c r="A9047" i="1"/>
  <c r="D4472" i="1"/>
  <c r="A4472" i="1"/>
  <c r="D9046" i="1"/>
  <c r="A9046" i="1"/>
  <c r="D9045" i="1"/>
  <c r="A9045" i="1"/>
  <c r="D9044" i="1"/>
  <c r="A9044" i="1"/>
  <c r="D9043" i="1"/>
  <c r="A9043" i="1"/>
  <c r="D9042" i="1"/>
  <c r="A9042" i="1"/>
  <c r="D9041" i="1"/>
  <c r="A9041" i="1"/>
  <c r="D9040" i="1"/>
  <c r="A9040" i="1"/>
  <c r="D4471" i="1"/>
  <c r="A4471" i="1"/>
  <c r="D9039" i="1"/>
  <c r="A9039" i="1"/>
  <c r="D4470" i="1"/>
  <c r="A4470" i="1"/>
  <c r="D9038" i="1"/>
  <c r="A9038" i="1"/>
  <c r="D4469" i="1"/>
  <c r="A4469" i="1"/>
  <c r="D9037" i="1"/>
  <c r="A9037" i="1"/>
  <c r="D9036" i="1"/>
  <c r="A9036" i="1"/>
  <c r="D9035" i="1"/>
  <c r="A9035" i="1"/>
  <c r="D9034" i="1"/>
  <c r="A9034" i="1"/>
  <c r="D9033" i="1"/>
  <c r="A9033" i="1"/>
  <c r="D9032" i="1"/>
  <c r="A9032" i="1"/>
  <c r="D9031" i="1"/>
  <c r="A9031" i="1"/>
  <c r="D9030" i="1"/>
  <c r="A9030" i="1"/>
  <c r="D9029" i="1"/>
  <c r="A9029" i="1"/>
  <c r="D9028" i="1"/>
  <c r="A9028" i="1"/>
  <c r="D9027" i="1"/>
  <c r="A9027" i="1"/>
  <c r="D9026" i="1"/>
  <c r="A9026" i="1"/>
  <c r="D9025" i="1"/>
  <c r="A9025" i="1"/>
  <c r="D9024" i="1"/>
  <c r="A9024" i="1"/>
  <c r="D4468" i="1"/>
  <c r="A4468" i="1"/>
  <c r="D9023" i="1"/>
  <c r="A9023" i="1"/>
  <c r="D9022" i="1"/>
  <c r="A9022" i="1"/>
  <c r="D9021" i="1"/>
  <c r="A9021" i="1"/>
  <c r="D1056" i="1"/>
  <c r="A1056" i="1"/>
  <c r="D9020" i="1"/>
  <c r="A9020" i="1"/>
  <c r="D9019" i="1"/>
  <c r="A9019" i="1"/>
  <c r="D9018" i="1"/>
  <c r="A9018" i="1"/>
  <c r="D9017" i="1"/>
  <c r="A9017" i="1"/>
  <c r="D9016" i="1"/>
  <c r="A9016" i="1"/>
  <c r="D9015" i="1"/>
  <c r="A9015" i="1"/>
  <c r="D9014" i="1"/>
  <c r="A9014" i="1"/>
  <c r="D9013" i="1"/>
  <c r="A9013" i="1"/>
  <c r="D13783" i="1"/>
  <c r="A13783" i="1"/>
  <c r="D9012" i="1"/>
  <c r="A9012" i="1"/>
  <c r="D9011" i="1"/>
  <c r="A9011" i="1"/>
  <c r="D9010" i="1"/>
  <c r="A9010" i="1"/>
  <c r="D9009" i="1"/>
  <c r="A9009" i="1"/>
  <c r="D9008" i="1"/>
  <c r="A9008" i="1"/>
  <c r="D9007" i="1"/>
  <c r="A9007" i="1"/>
  <c r="D9006" i="1"/>
  <c r="A9006" i="1"/>
  <c r="D9005" i="1"/>
  <c r="A9005" i="1"/>
  <c r="D9004" i="1"/>
  <c r="A9004" i="1"/>
  <c r="D9003" i="1"/>
  <c r="A9003" i="1"/>
  <c r="D9002" i="1"/>
  <c r="A9002" i="1"/>
  <c r="D9001" i="1"/>
  <c r="A9001" i="1"/>
  <c r="D9000" i="1"/>
  <c r="A9000" i="1"/>
  <c r="D1055" i="1"/>
  <c r="A1055" i="1"/>
  <c r="D8999" i="1"/>
  <c r="A8999" i="1"/>
  <c r="D531" i="1"/>
  <c r="A531" i="1"/>
  <c r="D8998" i="1"/>
  <c r="A8998" i="1"/>
  <c r="D8997" i="1"/>
  <c r="A8997" i="1"/>
  <c r="D8996" i="1"/>
  <c r="A8996" i="1"/>
  <c r="D8995" i="1"/>
  <c r="A8995" i="1"/>
  <c r="D8994" i="1"/>
  <c r="A8994" i="1"/>
  <c r="D8993" i="1"/>
  <c r="A8993" i="1"/>
  <c r="D8992" i="1"/>
  <c r="A8992" i="1"/>
  <c r="D8991" i="1"/>
  <c r="A8991" i="1"/>
  <c r="D8990" i="1"/>
  <c r="A8990" i="1"/>
  <c r="D8989" i="1"/>
  <c r="A8989" i="1"/>
  <c r="D8988" i="1"/>
  <c r="A8988" i="1"/>
  <c r="D4467" i="1"/>
  <c r="A4467" i="1"/>
  <c r="D8987" i="1"/>
  <c r="A8987" i="1"/>
  <c r="D8986" i="1"/>
  <c r="A8986" i="1"/>
  <c r="D8985" i="1"/>
  <c r="A8985" i="1"/>
  <c r="D8984" i="1"/>
  <c r="A8984" i="1"/>
  <c r="D8983" i="1"/>
  <c r="A8983" i="1"/>
  <c r="D8982" i="1"/>
  <c r="A8982" i="1"/>
  <c r="D8981" i="1"/>
  <c r="A8981" i="1"/>
  <c r="D8980" i="1"/>
  <c r="A8980" i="1"/>
  <c r="D8979" i="1"/>
  <c r="A8979" i="1"/>
  <c r="D8978" i="1"/>
  <c r="A8978" i="1"/>
  <c r="D8977" i="1"/>
  <c r="A8977" i="1"/>
  <c r="D8976" i="1"/>
  <c r="A8976" i="1"/>
  <c r="D8975" i="1"/>
  <c r="A8975" i="1"/>
  <c r="D8974" i="1"/>
  <c r="A8974" i="1"/>
  <c r="D8973" i="1"/>
  <c r="A8973" i="1"/>
  <c r="D8972" i="1"/>
  <c r="A8972" i="1"/>
  <c r="D8971" i="1"/>
  <c r="A8971" i="1"/>
  <c r="D8970" i="1"/>
  <c r="A8970" i="1"/>
  <c r="D8969" i="1"/>
  <c r="A8969" i="1"/>
  <c r="D8968" i="1"/>
  <c r="A8968" i="1"/>
  <c r="D8967" i="1"/>
  <c r="A8967" i="1"/>
  <c r="D8966" i="1"/>
  <c r="A8966" i="1"/>
  <c r="D4466" i="1"/>
  <c r="A4466" i="1"/>
  <c r="D8965" i="1"/>
  <c r="A8965" i="1"/>
  <c r="D8964" i="1"/>
  <c r="A8964" i="1"/>
  <c r="D8963" i="1"/>
  <c r="A8963" i="1"/>
  <c r="D8962" i="1"/>
  <c r="A8962" i="1"/>
  <c r="D8961" i="1"/>
  <c r="A8961" i="1"/>
  <c r="D8960" i="1"/>
  <c r="A8960" i="1"/>
  <c r="D4465" i="1"/>
  <c r="A4465" i="1"/>
  <c r="D8959" i="1"/>
  <c r="A8959" i="1"/>
  <c r="D8958" i="1"/>
  <c r="A8958" i="1"/>
  <c r="D8957" i="1"/>
  <c r="A8957" i="1"/>
  <c r="D8956" i="1"/>
  <c r="A8956" i="1"/>
  <c r="D8955" i="1"/>
  <c r="A8955" i="1"/>
  <c r="D8954" i="1"/>
  <c r="A8954" i="1"/>
  <c r="D4464" i="1"/>
  <c r="A4464" i="1"/>
  <c r="D8953" i="1"/>
  <c r="A8953" i="1"/>
  <c r="D8952" i="1"/>
  <c r="A8952" i="1"/>
  <c r="D8951" i="1"/>
  <c r="A8951" i="1"/>
  <c r="D4463" i="1"/>
  <c r="A4463" i="1"/>
  <c r="D8950" i="1"/>
  <c r="A8950" i="1"/>
  <c r="D530" i="1"/>
  <c r="A530" i="1"/>
  <c r="D8949" i="1"/>
  <c r="A8949" i="1"/>
  <c r="D8948" i="1"/>
  <c r="A8948" i="1"/>
  <c r="D8947" i="1"/>
  <c r="A8947" i="1"/>
  <c r="D8946" i="1"/>
  <c r="A8946" i="1"/>
  <c r="D8945" i="1"/>
  <c r="A8945" i="1"/>
  <c r="D8944" i="1"/>
  <c r="A8944" i="1"/>
  <c r="D529" i="1"/>
  <c r="A529" i="1"/>
  <c r="D8943" i="1"/>
  <c r="A8943" i="1"/>
  <c r="D4462" i="1"/>
  <c r="A4462" i="1"/>
  <c r="D8942" i="1"/>
  <c r="A8942" i="1"/>
  <c r="D528" i="1"/>
  <c r="A528" i="1"/>
  <c r="D527" i="1"/>
  <c r="A527" i="1"/>
  <c r="D526" i="1"/>
  <c r="A526" i="1"/>
  <c r="D8941" i="1"/>
  <c r="A8941" i="1"/>
  <c r="D8940" i="1"/>
  <c r="A8940" i="1"/>
  <c r="D8939" i="1"/>
  <c r="A8939" i="1"/>
  <c r="D8938" i="1"/>
  <c r="A8938" i="1"/>
  <c r="D8937" i="1"/>
  <c r="A8937" i="1"/>
  <c r="D8936" i="1"/>
  <c r="A8936" i="1"/>
  <c r="D8935" i="1"/>
  <c r="A8935" i="1"/>
  <c r="D8934" i="1"/>
  <c r="A8934" i="1"/>
  <c r="D4461" i="1"/>
  <c r="A4461" i="1"/>
  <c r="D8933" i="1"/>
  <c r="A8933" i="1"/>
  <c r="D8932" i="1"/>
  <c r="A8932" i="1"/>
  <c r="D8931" i="1"/>
  <c r="A8931" i="1"/>
  <c r="D8930" i="1"/>
  <c r="A8930" i="1"/>
  <c r="D8929" i="1"/>
  <c r="A8929" i="1"/>
  <c r="D8928" i="1"/>
  <c r="A8928" i="1"/>
  <c r="D8927" i="1"/>
  <c r="A8927" i="1"/>
  <c r="D8926" i="1"/>
  <c r="A8926" i="1"/>
  <c r="D8925" i="1"/>
  <c r="A8925" i="1"/>
  <c r="D4460" i="1"/>
  <c r="A4460" i="1"/>
  <c r="D8924" i="1"/>
  <c r="A8924" i="1"/>
  <c r="D8923" i="1"/>
  <c r="A8923" i="1"/>
  <c r="D8922" i="1"/>
  <c r="A8922" i="1"/>
  <c r="D4459" i="1"/>
  <c r="A4459" i="1"/>
  <c r="D8921" i="1"/>
  <c r="A8921" i="1"/>
  <c r="D4458" i="1"/>
  <c r="A4458" i="1"/>
  <c r="D8920" i="1"/>
  <c r="A8920" i="1"/>
  <c r="D8919" i="1"/>
  <c r="A8919" i="1"/>
  <c r="D8918" i="1"/>
  <c r="A8918" i="1"/>
  <c r="D8917" i="1"/>
  <c r="A8917" i="1"/>
  <c r="D8916" i="1"/>
  <c r="A8916" i="1"/>
  <c r="D8915" i="1"/>
  <c r="A8915" i="1"/>
  <c r="D8914" i="1"/>
  <c r="A8914" i="1"/>
  <c r="D8913" i="1"/>
  <c r="A8913" i="1"/>
  <c r="D8912" i="1"/>
  <c r="A8912" i="1"/>
  <c r="D8911" i="1"/>
  <c r="A8911" i="1"/>
  <c r="D8910" i="1"/>
  <c r="A8910" i="1"/>
  <c r="D8909" i="1"/>
  <c r="A8909" i="1"/>
  <c r="D8908" i="1"/>
  <c r="A8908" i="1"/>
  <c r="D8907" i="1"/>
  <c r="A8907" i="1"/>
  <c r="D8906" i="1"/>
  <c r="A8906" i="1"/>
  <c r="D8905" i="1"/>
  <c r="A8905" i="1"/>
  <c r="D8904" i="1"/>
  <c r="A8904" i="1"/>
  <c r="D8903" i="1"/>
  <c r="A8903" i="1"/>
  <c r="D8902" i="1"/>
  <c r="A8902" i="1"/>
  <c r="D8901" i="1"/>
  <c r="A8901" i="1"/>
  <c r="D8900" i="1"/>
  <c r="A8900" i="1"/>
  <c r="D8899" i="1"/>
  <c r="A8899" i="1"/>
  <c r="D4457" i="1"/>
  <c r="A4457" i="1"/>
  <c r="D8898" i="1"/>
  <c r="A8898" i="1"/>
  <c r="D8897" i="1"/>
  <c r="A8897" i="1"/>
  <c r="D8896" i="1"/>
  <c r="A8896" i="1"/>
  <c r="D525" i="1"/>
  <c r="A525" i="1"/>
  <c r="D4456" i="1"/>
  <c r="A4456" i="1"/>
  <c r="D8895" i="1"/>
  <c r="A8895" i="1"/>
  <c r="D8894" i="1"/>
  <c r="A8894" i="1"/>
  <c r="D8893" i="1"/>
  <c r="A8893" i="1"/>
  <c r="D8892" i="1"/>
  <c r="A8892" i="1"/>
  <c r="D8891" i="1"/>
  <c r="A8891" i="1"/>
  <c r="D8890" i="1"/>
  <c r="A8890" i="1"/>
  <c r="D8889" i="1"/>
  <c r="A8889" i="1"/>
  <c r="D8888" i="1"/>
  <c r="A8888" i="1"/>
  <c r="D8887" i="1"/>
  <c r="A8887" i="1"/>
  <c r="D8886" i="1"/>
  <c r="A8886" i="1"/>
  <c r="D4455" i="1"/>
  <c r="A4455" i="1"/>
  <c r="D524" i="1"/>
  <c r="A524" i="1"/>
  <c r="D8885" i="1"/>
  <c r="A8885" i="1"/>
  <c r="D8884" i="1"/>
  <c r="A8884" i="1"/>
  <c r="D4454" i="1"/>
  <c r="A4454" i="1"/>
  <c r="D523" i="1"/>
  <c r="A523" i="1"/>
  <c r="D8883" i="1"/>
  <c r="A8883" i="1"/>
  <c r="D8882" i="1"/>
  <c r="A8882" i="1"/>
  <c r="D8881" i="1"/>
  <c r="A8881" i="1"/>
  <c r="D8880" i="1"/>
  <c r="A8880" i="1"/>
  <c r="D4453" i="1"/>
  <c r="A4453" i="1"/>
  <c r="D8879" i="1"/>
  <c r="A8879" i="1"/>
  <c r="D8878" i="1"/>
  <c r="A8878" i="1"/>
  <c r="D8877" i="1"/>
  <c r="A8877" i="1"/>
  <c r="D8876" i="1"/>
  <c r="A8876" i="1"/>
  <c r="D4452" i="1"/>
  <c r="A4452" i="1"/>
  <c r="D8875" i="1"/>
  <c r="A8875" i="1"/>
  <c r="D8874" i="1"/>
  <c r="A8874" i="1"/>
  <c r="D8873" i="1"/>
  <c r="A8873" i="1"/>
  <c r="D8872" i="1"/>
  <c r="A8872" i="1"/>
  <c r="D4451" i="1"/>
  <c r="A4451" i="1"/>
  <c r="D4450" i="1"/>
  <c r="A4450" i="1"/>
  <c r="D8871" i="1"/>
  <c r="A8871" i="1"/>
  <c r="D8870" i="1"/>
  <c r="A8870" i="1"/>
  <c r="D8869" i="1"/>
  <c r="A8869" i="1"/>
  <c r="D8868" i="1"/>
  <c r="A8868" i="1"/>
  <c r="D8867" i="1"/>
  <c r="A8867" i="1"/>
  <c r="D8866" i="1"/>
  <c r="A8866" i="1"/>
  <c r="D4449" i="1"/>
  <c r="A4449" i="1"/>
  <c r="D8865" i="1"/>
  <c r="A8865" i="1"/>
  <c r="D8864" i="1"/>
  <c r="A8864" i="1"/>
  <c r="D8863" i="1"/>
  <c r="A8863" i="1"/>
  <c r="D8862" i="1"/>
  <c r="A8862" i="1"/>
  <c r="D8861" i="1"/>
  <c r="A8861" i="1"/>
  <c r="D8860" i="1"/>
  <c r="A8860" i="1"/>
  <c r="D4448" i="1"/>
  <c r="A4448" i="1"/>
  <c r="D4447" i="1"/>
  <c r="A4447" i="1"/>
  <c r="D8859" i="1"/>
  <c r="A8859" i="1"/>
  <c r="D8858" i="1"/>
  <c r="A8858" i="1"/>
  <c r="D4446" i="1"/>
  <c r="A4446" i="1"/>
  <c r="D4445" i="1"/>
  <c r="A4445" i="1"/>
  <c r="D8857" i="1"/>
  <c r="A8857" i="1"/>
  <c r="D8856" i="1"/>
  <c r="A8856" i="1"/>
  <c r="D8855" i="1"/>
  <c r="A8855" i="1"/>
  <c r="D8854" i="1"/>
  <c r="A8854" i="1"/>
  <c r="D8853" i="1"/>
  <c r="A8853" i="1"/>
  <c r="D522" i="1"/>
  <c r="A522" i="1"/>
  <c r="D8852" i="1"/>
  <c r="A8852" i="1"/>
  <c r="D8851" i="1"/>
  <c r="A8851" i="1"/>
  <c r="D8850" i="1"/>
  <c r="A8850" i="1"/>
  <c r="D8849" i="1"/>
  <c r="A8849" i="1"/>
  <c r="D8848" i="1"/>
  <c r="A8848" i="1"/>
  <c r="D8847" i="1"/>
  <c r="A8847" i="1"/>
  <c r="D4444" i="1"/>
  <c r="A4444" i="1"/>
  <c r="D521" i="1"/>
  <c r="A521" i="1"/>
  <c r="D520" i="1"/>
  <c r="A520" i="1"/>
  <c r="D4443" i="1"/>
  <c r="A4443" i="1"/>
  <c r="D8846" i="1"/>
  <c r="A8846" i="1"/>
  <c r="D8845" i="1"/>
  <c r="A8845" i="1"/>
  <c r="D8844" i="1"/>
  <c r="A8844" i="1"/>
  <c r="D4442" i="1"/>
  <c r="A4442" i="1"/>
  <c r="D8843" i="1"/>
  <c r="A8843" i="1"/>
  <c r="D4441" i="1"/>
  <c r="A4441" i="1"/>
  <c r="D23" i="1"/>
  <c r="A23" i="1"/>
  <c r="D22" i="1"/>
  <c r="A22" i="1"/>
  <c r="D8842" i="1"/>
  <c r="A8842" i="1"/>
  <c r="D8841" i="1"/>
  <c r="A8841" i="1"/>
  <c r="D8840" i="1"/>
  <c r="A8840" i="1"/>
  <c r="D4440" i="1"/>
  <c r="A4440" i="1"/>
  <c r="D519" i="1"/>
  <c r="A519" i="1"/>
  <c r="D4439" i="1"/>
  <c r="A4439" i="1"/>
  <c r="D8839" i="1"/>
  <c r="A8839" i="1"/>
  <c r="D4438" i="1"/>
  <c r="A4438" i="1"/>
  <c r="D8838" i="1"/>
  <c r="A8838" i="1"/>
  <c r="D8837" i="1"/>
  <c r="A8837" i="1"/>
  <c r="D8836" i="1"/>
  <c r="A8836" i="1"/>
  <c r="D8835" i="1"/>
  <c r="A8835" i="1"/>
  <c r="D8834" i="1"/>
  <c r="A8834" i="1"/>
  <c r="D8833" i="1"/>
  <c r="A8833" i="1"/>
  <c r="D8832" i="1"/>
  <c r="A8832" i="1"/>
  <c r="D8831" i="1"/>
  <c r="A8831" i="1"/>
  <c r="D8830" i="1"/>
  <c r="A8830" i="1"/>
  <c r="D1054" i="1"/>
  <c r="A1054" i="1"/>
  <c r="D8829" i="1"/>
  <c r="A8829" i="1"/>
  <c r="D8828" i="1"/>
  <c r="A8828" i="1"/>
  <c r="D8827" i="1"/>
  <c r="A8827" i="1"/>
  <c r="D8826" i="1"/>
  <c r="A8826" i="1"/>
  <c r="D4437" i="1"/>
  <c r="A4437" i="1"/>
  <c r="D8825" i="1"/>
  <c r="A8825" i="1"/>
  <c r="D8824" i="1"/>
  <c r="A8824" i="1"/>
  <c r="D8823" i="1"/>
  <c r="A8823" i="1"/>
  <c r="D4436" i="1"/>
  <c r="A4436" i="1"/>
  <c r="D4435" i="1"/>
  <c r="A4435" i="1"/>
  <c r="D8822" i="1"/>
  <c r="A8822" i="1"/>
  <c r="D8821" i="1"/>
  <c r="A8821" i="1"/>
  <c r="D4434" i="1"/>
  <c r="A4434" i="1"/>
  <c r="D4433" i="1"/>
  <c r="A4433" i="1"/>
  <c r="D8820" i="1"/>
  <c r="A8820" i="1"/>
  <c r="D8819" i="1"/>
  <c r="A8819" i="1"/>
  <c r="D8818" i="1"/>
  <c r="A8818" i="1"/>
  <c r="D8817" i="1"/>
  <c r="A8817" i="1"/>
  <c r="D8816" i="1"/>
  <c r="A8816" i="1"/>
  <c r="D8815" i="1"/>
  <c r="A8815" i="1"/>
  <c r="D8814" i="1"/>
  <c r="A8814" i="1"/>
  <c r="D8813" i="1"/>
  <c r="A8813" i="1"/>
  <c r="D8812" i="1"/>
  <c r="A8812" i="1"/>
  <c r="D8811" i="1"/>
  <c r="A8811" i="1"/>
  <c r="D8810" i="1"/>
  <c r="A8810" i="1"/>
  <c r="D8809" i="1"/>
  <c r="A8809" i="1"/>
  <c r="D4432" i="1"/>
  <c r="A4432" i="1"/>
  <c r="D8808" i="1"/>
  <c r="A8808" i="1"/>
  <c r="D4431" i="1"/>
  <c r="A4431" i="1"/>
  <c r="D8807" i="1"/>
  <c r="A8807" i="1"/>
  <c r="D8806" i="1"/>
  <c r="A8806" i="1"/>
  <c r="D8805" i="1"/>
  <c r="A8805" i="1"/>
  <c r="D8804" i="1"/>
  <c r="A8804" i="1"/>
  <c r="D8803" i="1"/>
  <c r="A8803" i="1"/>
  <c r="D8802" i="1"/>
  <c r="A8802" i="1"/>
  <c r="D8801" i="1"/>
  <c r="A8801" i="1"/>
  <c r="D8800" i="1"/>
  <c r="A8800" i="1"/>
  <c r="D8799" i="1"/>
  <c r="A8799" i="1"/>
  <c r="D4430" i="1"/>
  <c r="A4430" i="1"/>
  <c r="D8798" i="1"/>
  <c r="A8798" i="1"/>
  <c r="D8797" i="1"/>
  <c r="A8797" i="1"/>
  <c r="D8796" i="1"/>
  <c r="A8796" i="1"/>
  <c r="D8795" i="1"/>
  <c r="A8795" i="1"/>
  <c r="D4429" i="1"/>
  <c r="A4429" i="1"/>
  <c r="D1053" i="1"/>
  <c r="A1053" i="1"/>
  <c r="D8794" i="1"/>
  <c r="A8794" i="1"/>
  <c r="D8793" i="1"/>
  <c r="A8793" i="1"/>
  <c r="D8792" i="1"/>
  <c r="A8792" i="1"/>
  <c r="D8791" i="1"/>
  <c r="A8791" i="1"/>
  <c r="D8790" i="1"/>
  <c r="A8790" i="1"/>
  <c r="D8789" i="1"/>
  <c r="A8789" i="1"/>
  <c r="D8788" i="1"/>
  <c r="A8788" i="1"/>
  <c r="D4428" i="1"/>
  <c r="A4428" i="1"/>
  <c r="D8787" i="1"/>
  <c r="A8787" i="1"/>
  <c r="D4427" i="1"/>
  <c r="A4427" i="1"/>
  <c r="D8786" i="1"/>
  <c r="A8786" i="1"/>
  <c r="D8785" i="1"/>
  <c r="A8785" i="1"/>
  <c r="D8784" i="1"/>
  <c r="A8784" i="1"/>
  <c r="D8783" i="1"/>
  <c r="A8783" i="1"/>
  <c r="D8782" i="1"/>
  <c r="A8782" i="1"/>
  <c r="D4426" i="1"/>
  <c r="A4426" i="1"/>
  <c r="D8781" i="1"/>
  <c r="A8781" i="1"/>
  <c r="D8780" i="1"/>
  <c r="A8780" i="1"/>
  <c r="D8779" i="1"/>
  <c r="A8779" i="1"/>
  <c r="D8778" i="1"/>
  <c r="A8778" i="1"/>
  <c r="D8777" i="1"/>
  <c r="A8777" i="1"/>
  <c r="D8776" i="1"/>
  <c r="A8776" i="1"/>
  <c r="D8775" i="1"/>
  <c r="A8775" i="1"/>
  <c r="D8774" i="1"/>
  <c r="A8774" i="1"/>
  <c r="D8773" i="1"/>
  <c r="A8773" i="1"/>
  <c r="D8772" i="1"/>
  <c r="A8772" i="1"/>
  <c r="D4425" i="1"/>
  <c r="A4425" i="1"/>
  <c r="D8771" i="1"/>
  <c r="A8771" i="1"/>
  <c r="D8770" i="1"/>
  <c r="A8770" i="1"/>
  <c r="D8769" i="1"/>
  <c r="A8769" i="1"/>
  <c r="D4424" i="1"/>
  <c r="A4424" i="1"/>
  <c r="D8768" i="1"/>
  <c r="A8768" i="1"/>
  <c r="D4423" i="1"/>
  <c r="A4423" i="1"/>
  <c r="D8767" i="1"/>
  <c r="A8767" i="1"/>
  <c r="D8766" i="1"/>
  <c r="A8766" i="1"/>
  <c r="D4422" i="1"/>
  <c r="A4422" i="1"/>
  <c r="D8765" i="1"/>
  <c r="A8765" i="1"/>
  <c r="D8764" i="1"/>
  <c r="A8764" i="1"/>
  <c r="D8763" i="1"/>
  <c r="A8763" i="1"/>
  <c r="D8762" i="1"/>
  <c r="A8762" i="1"/>
  <c r="D4421" i="1"/>
  <c r="A4421" i="1"/>
  <c r="D8761" i="1"/>
  <c r="A8761" i="1"/>
  <c r="D8760" i="1"/>
  <c r="A8760" i="1"/>
  <c r="D8759" i="1"/>
  <c r="A8759" i="1"/>
  <c r="D8758" i="1"/>
  <c r="A8758" i="1"/>
  <c r="D4420" i="1"/>
  <c r="A4420" i="1"/>
  <c r="D8757" i="1"/>
  <c r="A8757" i="1"/>
  <c r="D8756" i="1"/>
  <c r="A8756" i="1"/>
  <c r="D8755" i="1"/>
  <c r="A8755" i="1"/>
  <c r="D8754" i="1"/>
  <c r="A8754" i="1"/>
  <c r="D8753" i="1"/>
  <c r="A8753" i="1"/>
  <c r="D8752" i="1"/>
  <c r="A8752" i="1"/>
  <c r="D8751" i="1"/>
  <c r="A8751" i="1"/>
  <c r="D8750" i="1"/>
  <c r="A8750" i="1"/>
  <c r="D8749" i="1"/>
  <c r="A8749" i="1"/>
  <c r="D4419" i="1"/>
  <c r="A4419" i="1"/>
  <c r="D4418" i="1"/>
  <c r="A4418" i="1"/>
  <c r="D518" i="1"/>
  <c r="A518" i="1"/>
  <c r="D8748" i="1"/>
  <c r="A8748" i="1"/>
  <c r="D4417" i="1"/>
  <c r="A4417" i="1"/>
  <c r="D517" i="1"/>
  <c r="A517" i="1"/>
  <c r="D4416" i="1"/>
  <c r="A4416" i="1"/>
  <c r="D8747" i="1"/>
  <c r="A8747" i="1"/>
  <c r="D8746" i="1"/>
  <c r="A8746" i="1"/>
  <c r="D8745" i="1"/>
  <c r="A8745" i="1"/>
  <c r="D8744" i="1"/>
  <c r="A8744" i="1"/>
  <c r="D8743" i="1"/>
  <c r="A8743" i="1"/>
  <c r="D8742" i="1"/>
  <c r="A8742" i="1"/>
  <c r="D8741" i="1"/>
  <c r="A8741" i="1"/>
  <c r="D8740" i="1"/>
  <c r="A8740" i="1"/>
  <c r="D8739" i="1"/>
  <c r="A8739" i="1"/>
  <c r="D8738" i="1"/>
  <c r="A8738" i="1"/>
  <c r="D8737" i="1"/>
  <c r="A8737" i="1"/>
  <c r="D8736" i="1"/>
  <c r="A8736" i="1"/>
  <c r="D4415" i="1"/>
  <c r="A4415" i="1"/>
  <c r="D8735" i="1"/>
  <c r="A8735" i="1"/>
  <c r="D4414" i="1"/>
  <c r="A4414" i="1"/>
  <c r="D8734" i="1"/>
  <c r="A8734" i="1"/>
  <c r="D8733" i="1"/>
  <c r="A8733" i="1"/>
  <c r="D8732" i="1"/>
  <c r="A8732" i="1"/>
  <c r="D8731" i="1"/>
  <c r="A8731" i="1"/>
  <c r="D4413" i="1"/>
  <c r="A4413" i="1"/>
  <c r="D4412" i="1"/>
  <c r="A4412" i="1"/>
  <c r="D4411" i="1"/>
  <c r="A4411" i="1"/>
  <c r="D8730" i="1"/>
  <c r="A8730" i="1"/>
  <c r="D8729" i="1"/>
  <c r="A8729" i="1"/>
  <c r="D8728" i="1"/>
  <c r="A8728" i="1"/>
  <c r="D4410" i="1"/>
  <c r="A4410" i="1"/>
  <c r="D4409" i="1"/>
  <c r="A4409" i="1"/>
  <c r="D8727" i="1"/>
  <c r="A8727" i="1"/>
  <c r="D8726" i="1"/>
  <c r="A8726" i="1"/>
  <c r="D4408" i="1"/>
  <c r="A4408" i="1"/>
  <c r="D4407" i="1"/>
  <c r="A4407" i="1"/>
  <c r="D8725" i="1"/>
  <c r="A8725" i="1"/>
  <c r="D8724" i="1"/>
  <c r="A8724" i="1"/>
  <c r="D8723" i="1"/>
  <c r="A8723" i="1"/>
  <c r="D8722" i="1"/>
  <c r="A8722" i="1"/>
  <c r="D8721" i="1"/>
  <c r="A8721" i="1"/>
  <c r="D8720" i="1"/>
  <c r="A8720" i="1"/>
  <c r="D4406" i="1"/>
  <c r="A4406" i="1"/>
  <c r="D8719" i="1"/>
  <c r="A8719" i="1"/>
  <c r="D8718" i="1"/>
  <c r="A8718" i="1"/>
  <c r="D8717" i="1"/>
  <c r="A8717" i="1"/>
  <c r="D8716" i="1"/>
  <c r="A8716" i="1"/>
  <c r="D4405" i="1"/>
  <c r="A4405" i="1"/>
  <c r="D8715" i="1"/>
  <c r="A8715" i="1"/>
  <c r="D4404" i="1"/>
  <c r="A4404" i="1"/>
  <c r="D4403" i="1"/>
  <c r="A4403" i="1"/>
  <c r="D4402" i="1"/>
  <c r="A4402" i="1"/>
  <c r="D4401" i="1"/>
  <c r="A4401" i="1"/>
  <c r="D8714" i="1"/>
  <c r="A8714" i="1"/>
  <c r="D516" i="1"/>
  <c r="A516" i="1"/>
  <c r="D8713" i="1"/>
  <c r="A8713" i="1"/>
  <c r="D515" i="1"/>
  <c r="A515" i="1"/>
  <c r="D8712" i="1"/>
  <c r="A8712" i="1"/>
  <c r="D8711" i="1"/>
  <c r="A8711" i="1"/>
  <c r="D8710" i="1"/>
  <c r="A8710" i="1"/>
  <c r="D8709" i="1"/>
  <c r="A8709" i="1"/>
  <c r="D4400" i="1"/>
  <c r="A4400" i="1"/>
  <c r="D8708" i="1"/>
  <c r="A8708" i="1"/>
  <c r="D4399" i="1"/>
  <c r="A4399" i="1"/>
  <c r="D4398" i="1"/>
  <c r="A4398" i="1"/>
  <c r="D4397" i="1"/>
  <c r="A4397" i="1"/>
  <c r="D4396" i="1"/>
  <c r="A4396" i="1"/>
  <c r="D8707" i="1"/>
  <c r="A8707" i="1"/>
  <c r="D8706" i="1"/>
  <c r="A8706" i="1"/>
  <c r="D8705" i="1"/>
  <c r="A8705" i="1"/>
  <c r="D8704" i="1"/>
  <c r="A8704" i="1"/>
  <c r="D8703" i="1"/>
  <c r="A8703" i="1"/>
  <c r="D4395" i="1"/>
  <c r="A4395" i="1"/>
  <c r="D8702" i="1"/>
  <c r="A8702" i="1"/>
  <c r="D8701" i="1"/>
  <c r="A8701" i="1"/>
  <c r="D4394" i="1"/>
  <c r="A4394" i="1"/>
  <c r="D8700" i="1"/>
  <c r="A8700" i="1"/>
  <c r="D8699" i="1"/>
  <c r="A8699" i="1"/>
  <c r="D8698" i="1"/>
  <c r="A8698" i="1"/>
  <c r="D8697" i="1"/>
  <c r="A8697" i="1"/>
  <c r="D8696" i="1"/>
  <c r="A8696" i="1"/>
  <c r="D8695" i="1"/>
  <c r="A8695" i="1"/>
  <c r="D8694" i="1"/>
  <c r="A8694" i="1"/>
  <c r="D4393" i="1"/>
  <c r="A4393" i="1"/>
  <c r="D8693" i="1"/>
  <c r="A8693" i="1"/>
  <c r="D514" i="1"/>
  <c r="A514" i="1"/>
  <c r="D8692" i="1"/>
  <c r="A8692" i="1"/>
  <c r="D8691" i="1"/>
  <c r="A8691" i="1"/>
  <c r="D8690" i="1"/>
  <c r="A8690" i="1"/>
  <c r="D8689" i="1"/>
  <c r="A8689" i="1"/>
  <c r="D8688" i="1"/>
  <c r="A8688" i="1"/>
  <c r="D8687" i="1"/>
  <c r="A8687" i="1"/>
  <c r="D8686" i="1"/>
  <c r="A8686" i="1"/>
  <c r="D513" i="1"/>
  <c r="A513" i="1"/>
  <c r="D8685" i="1"/>
  <c r="A8685" i="1"/>
  <c r="D8684" i="1"/>
  <c r="A8684" i="1"/>
  <c r="D8683" i="1"/>
  <c r="A8683" i="1"/>
  <c r="D8682" i="1"/>
  <c r="A8682" i="1"/>
  <c r="D8681" i="1"/>
  <c r="A8681" i="1"/>
  <c r="D8680" i="1"/>
  <c r="A8680" i="1"/>
  <c r="D8679" i="1"/>
  <c r="A8679" i="1"/>
  <c r="D8678" i="1"/>
  <c r="A8678" i="1"/>
  <c r="D8677" i="1"/>
  <c r="A8677" i="1"/>
  <c r="D8676" i="1"/>
  <c r="A8676" i="1"/>
  <c r="D8675" i="1"/>
  <c r="A8675" i="1"/>
  <c r="D4392" i="1"/>
  <c r="A4392" i="1"/>
  <c r="D8674" i="1"/>
  <c r="A8674" i="1"/>
  <c r="D4391" i="1"/>
  <c r="A4391" i="1"/>
  <c r="D8673" i="1"/>
  <c r="A8673" i="1"/>
  <c r="D8672" i="1"/>
  <c r="A8672" i="1"/>
  <c r="D8671" i="1"/>
  <c r="A8671" i="1"/>
  <c r="D8670" i="1"/>
  <c r="A8670" i="1"/>
  <c r="D8669" i="1"/>
  <c r="A8669" i="1"/>
  <c r="D8668" i="1"/>
  <c r="A8668" i="1"/>
  <c r="D8667" i="1"/>
  <c r="A8667" i="1"/>
  <c r="D8666" i="1"/>
  <c r="A8666" i="1"/>
  <c r="D8665" i="1"/>
  <c r="A8665" i="1"/>
  <c r="D8664" i="1"/>
  <c r="A8664" i="1"/>
  <c r="D4390" i="1"/>
  <c r="A4390" i="1"/>
  <c r="D8663" i="1"/>
  <c r="A8663" i="1"/>
  <c r="D8662" i="1"/>
  <c r="A8662" i="1"/>
  <c r="D8661" i="1"/>
  <c r="A8661" i="1"/>
  <c r="D8660" i="1"/>
  <c r="A8660" i="1"/>
  <c r="D8659" i="1"/>
  <c r="A8659" i="1"/>
  <c r="D8658" i="1"/>
  <c r="A8658" i="1"/>
  <c r="D8657" i="1"/>
  <c r="A8657" i="1"/>
  <c r="D8656" i="1"/>
  <c r="A8656" i="1"/>
  <c r="D8655" i="1"/>
  <c r="A8655" i="1"/>
  <c r="D8654" i="1"/>
  <c r="A8654" i="1"/>
  <c r="D8653" i="1"/>
  <c r="A8653" i="1"/>
  <c r="D4389" i="1"/>
  <c r="A4389" i="1"/>
  <c r="D8652" i="1"/>
  <c r="A8652" i="1"/>
  <c r="D512" i="1"/>
  <c r="A512" i="1"/>
  <c r="D8651" i="1"/>
  <c r="A8651" i="1"/>
  <c r="D4388" i="1"/>
  <c r="A4388" i="1"/>
  <c r="D8650" i="1"/>
  <c r="A8650" i="1"/>
  <c r="D8649" i="1"/>
  <c r="A8649" i="1"/>
  <c r="D8648" i="1"/>
  <c r="A8648" i="1"/>
  <c r="D511" i="1"/>
  <c r="A511" i="1"/>
  <c r="D8647" i="1"/>
  <c r="A8647" i="1"/>
  <c r="D8646" i="1"/>
  <c r="A8646" i="1"/>
  <c r="D4387" i="1"/>
  <c r="A4387" i="1"/>
  <c r="D8645" i="1"/>
  <c r="A8645" i="1"/>
  <c r="D8644" i="1"/>
  <c r="A8644" i="1"/>
  <c r="D8643" i="1"/>
  <c r="A8643" i="1"/>
  <c r="D4386" i="1"/>
  <c r="A4386" i="1"/>
  <c r="D510" i="1"/>
  <c r="A510" i="1"/>
  <c r="D509" i="1"/>
  <c r="A509" i="1"/>
  <c r="D8642" i="1"/>
  <c r="A8642" i="1"/>
  <c r="D8641" i="1"/>
  <c r="A8641" i="1"/>
  <c r="D8640" i="1"/>
  <c r="A8640" i="1"/>
  <c r="D8639" i="1"/>
  <c r="A8639" i="1"/>
  <c r="D4385" i="1"/>
  <c r="A4385" i="1"/>
  <c r="D8638" i="1"/>
  <c r="A8638" i="1"/>
  <c r="D4384" i="1"/>
  <c r="A4384" i="1"/>
  <c r="D8637" i="1"/>
  <c r="A8637" i="1"/>
  <c r="D8636" i="1"/>
  <c r="A8636" i="1"/>
  <c r="D8635" i="1"/>
  <c r="A8635" i="1"/>
  <c r="D1052" i="1"/>
  <c r="A1052" i="1"/>
  <c r="D8634" i="1"/>
  <c r="A8634" i="1"/>
  <c r="D8633" i="1"/>
  <c r="A8633" i="1"/>
  <c r="D4383" i="1"/>
  <c r="A4383" i="1"/>
  <c r="D4382" i="1"/>
  <c r="A4382" i="1"/>
  <c r="D4381" i="1"/>
  <c r="A4381" i="1"/>
  <c r="D8632" i="1"/>
  <c r="A8632" i="1"/>
  <c r="D4380" i="1"/>
  <c r="A4380" i="1"/>
  <c r="D8631" i="1"/>
  <c r="A8631" i="1"/>
  <c r="D8630" i="1"/>
  <c r="A8630" i="1"/>
  <c r="D4379" i="1"/>
  <c r="A4379" i="1"/>
  <c r="D8629" i="1"/>
  <c r="A8629" i="1"/>
  <c r="D8628" i="1"/>
  <c r="A8628" i="1"/>
  <c r="D8627" i="1"/>
  <c r="A8627" i="1"/>
  <c r="D8626" i="1"/>
  <c r="A8626" i="1"/>
  <c r="D508" i="1"/>
  <c r="A508" i="1"/>
  <c r="D4378" i="1"/>
  <c r="A4378" i="1"/>
  <c r="D8625" i="1"/>
  <c r="A8625" i="1"/>
  <c r="D8624" i="1"/>
  <c r="A8624" i="1"/>
  <c r="D8623" i="1"/>
  <c r="A8623" i="1"/>
  <c r="D4377" i="1"/>
  <c r="A4377" i="1"/>
  <c r="D8622" i="1"/>
  <c r="A8622" i="1"/>
  <c r="D8621" i="1"/>
  <c r="A8621" i="1"/>
  <c r="D4376" i="1"/>
  <c r="A4376" i="1"/>
  <c r="D8620" i="1"/>
  <c r="A8620" i="1"/>
  <c r="D8619" i="1"/>
  <c r="A8619" i="1"/>
  <c r="D4375" i="1"/>
  <c r="A4375" i="1"/>
  <c r="D4374" i="1"/>
  <c r="A4374" i="1"/>
  <c r="D8618" i="1"/>
  <c r="A8618" i="1"/>
  <c r="D4373" i="1"/>
  <c r="A4373" i="1"/>
  <c r="D4372" i="1"/>
  <c r="A4372" i="1"/>
  <c r="D8617" i="1"/>
  <c r="A8617" i="1"/>
  <c r="D507" i="1"/>
  <c r="A507" i="1"/>
  <c r="D8616" i="1"/>
  <c r="A8616" i="1"/>
  <c r="D8615" i="1"/>
  <c r="A8615" i="1"/>
  <c r="D8614" i="1"/>
  <c r="A8614" i="1"/>
  <c r="D4371" i="1"/>
  <c r="A4371" i="1"/>
  <c r="D4370" i="1"/>
  <c r="A4370" i="1"/>
  <c r="D8613" i="1"/>
  <c r="A8613" i="1"/>
  <c r="D8612" i="1"/>
  <c r="A8612" i="1"/>
  <c r="D4369" i="1"/>
  <c r="A4369" i="1"/>
  <c r="D8611" i="1"/>
  <c r="A8611" i="1"/>
  <c r="D8610" i="1"/>
  <c r="A8610" i="1"/>
  <c r="D4368" i="1"/>
  <c r="A4368" i="1"/>
  <c r="D8609" i="1"/>
  <c r="A8609" i="1"/>
  <c r="D8608" i="1"/>
  <c r="A8608" i="1"/>
  <c r="D1051" i="1"/>
  <c r="A1051" i="1"/>
  <c r="D4367" i="1"/>
  <c r="A4367" i="1"/>
  <c r="D4366" i="1"/>
  <c r="A4366" i="1"/>
  <c r="D506" i="1"/>
  <c r="A506" i="1"/>
  <c r="D8607" i="1"/>
  <c r="A8607" i="1"/>
  <c r="D8606" i="1"/>
  <c r="A8606" i="1"/>
  <c r="D4365" i="1"/>
  <c r="A4365" i="1"/>
  <c r="D505" i="1"/>
  <c r="A505" i="1"/>
  <c r="D4364" i="1"/>
  <c r="A4364" i="1"/>
  <c r="D8605" i="1"/>
  <c r="A8605" i="1"/>
  <c r="D1050" i="1"/>
  <c r="A1050" i="1"/>
  <c r="D8604" i="1"/>
  <c r="A8604" i="1"/>
  <c r="D8603" i="1"/>
  <c r="A8603" i="1"/>
  <c r="D504" i="1"/>
  <c r="A504" i="1"/>
  <c r="D1049" i="1"/>
  <c r="A1049" i="1"/>
  <c r="D8602" i="1"/>
  <c r="A8602" i="1"/>
  <c r="D8601" i="1"/>
  <c r="A8601" i="1"/>
  <c r="D8600" i="1"/>
  <c r="A8600" i="1"/>
  <c r="D8599" i="1"/>
  <c r="A8599" i="1"/>
  <c r="D4363" i="1"/>
  <c r="A4363" i="1"/>
  <c r="D8598" i="1"/>
  <c r="A8598" i="1"/>
  <c r="D503" i="1"/>
  <c r="A503" i="1"/>
  <c r="D4362" i="1"/>
  <c r="A4362" i="1"/>
  <c r="D8597" i="1"/>
  <c r="A8597" i="1"/>
  <c r="D8596" i="1"/>
  <c r="A8596" i="1"/>
  <c r="D8595" i="1"/>
  <c r="A8595" i="1"/>
  <c r="D8594" i="1"/>
  <c r="A8594" i="1"/>
  <c r="D4361" i="1"/>
  <c r="A4361" i="1"/>
  <c r="D8593" i="1"/>
  <c r="A8593" i="1"/>
  <c r="D4360" i="1"/>
  <c r="A4360" i="1"/>
  <c r="D4359" i="1"/>
  <c r="A4359" i="1"/>
  <c r="D4358" i="1"/>
  <c r="A4358" i="1"/>
  <c r="D8592" i="1"/>
  <c r="A8592" i="1"/>
  <c r="D8591" i="1"/>
  <c r="A8591" i="1"/>
  <c r="D8590" i="1"/>
  <c r="A8590" i="1"/>
  <c r="D8589" i="1"/>
  <c r="A8589" i="1"/>
  <c r="D8588" i="1"/>
  <c r="A8588" i="1"/>
  <c r="D8587" i="1"/>
  <c r="A8587" i="1"/>
  <c r="D8586" i="1"/>
  <c r="A8586" i="1"/>
  <c r="D8585" i="1"/>
  <c r="A8585" i="1"/>
  <c r="D8584" i="1"/>
  <c r="A8584" i="1"/>
  <c r="D8583" i="1"/>
  <c r="A8583" i="1"/>
  <c r="D8582" i="1"/>
  <c r="A8582" i="1"/>
  <c r="D8581" i="1"/>
  <c r="A8581" i="1"/>
  <c r="D8580" i="1"/>
  <c r="A8580" i="1"/>
  <c r="D8579" i="1"/>
  <c r="A8579" i="1"/>
  <c r="D8578" i="1"/>
  <c r="A8578" i="1"/>
  <c r="D4357" i="1"/>
  <c r="A4357" i="1"/>
  <c r="D8577" i="1"/>
  <c r="A8577" i="1"/>
  <c r="D8576" i="1"/>
  <c r="A8576" i="1"/>
  <c r="D8575" i="1"/>
  <c r="A8575" i="1"/>
  <c r="D8574" i="1"/>
  <c r="A8574" i="1"/>
  <c r="D8573" i="1"/>
  <c r="A8573" i="1"/>
  <c r="D8572" i="1"/>
  <c r="A8572" i="1"/>
  <c r="D8571" i="1"/>
  <c r="A8571" i="1"/>
  <c r="D8570" i="1"/>
  <c r="A8570" i="1"/>
  <c r="D4356" i="1"/>
  <c r="A4356" i="1"/>
  <c r="D8569" i="1"/>
  <c r="A8569" i="1"/>
  <c r="D4355" i="1"/>
  <c r="A4355" i="1"/>
  <c r="D8568" i="1"/>
  <c r="A8568" i="1"/>
  <c r="D8567" i="1"/>
  <c r="A8567" i="1"/>
  <c r="D4354" i="1"/>
  <c r="A4354" i="1"/>
  <c r="D8566" i="1"/>
  <c r="A8566" i="1"/>
  <c r="D502" i="1"/>
  <c r="A502" i="1"/>
  <c r="D8565" i="1"/>
  <c r="A8565" i="1"/>
  <c r="D8564" i="1"/>
  <c r="A8564" i="1"/>
  <c r="D8563" i="1"/>
  <c r="A8563" i="1"/>
  <c r="D8562" i="1"/>
  <c r="A8562" i="1"/>
  <c r="D8561" i="1"/>
  <c r="A8561" i="1"/>
  <c r="D8560" i="1"/>
  <c r="A8560" i="1"/>
  <c r="D8559" i="1"/>
  <c r="A8559" i="1"/>
  <c r="D8558" i="1"/>
  <c r="A8558" i="1"/>
  <c r="D8557" i="1"/>
  <c r="A8557" i="1"/>
  <c r="D8556" i="1"/>
  <c r="A8556" i="1"/>
  <c r="D4353" i="1"/>
  <c r="A4353" i="1"/>
  <c r="D8555" i="1"/>
  <c r="A8555" i="1"/>
  <c r="D8554" i="1"/>
  <c r="A8554" i="1"/>
  <c r="D8553" i="1"/>
  <c r="A8553" i="1"/>
  <c r="D8552" i="1"/>
  <c r="A8552" i="1"/>
  <c r="D8551" i="1"/>
  <c r="A8551" i="1"/>
  <c r="D8550" i="1"/>
  <c r="A8550" i="1"/>
  <c r="D4352" i="1"/>
  <c r="A4352" i="1"/>
  <c r="D8549" i="1"/>
  <c r="A8549" i="1"/>
  <c r="D4351" i="1"/>
  <c r="A4351" i="1"/>
  <c r="D8548" i="1"/>
  <c r="A8548" i="1"/>
  <c r="D1048" i="1"/>
  <c r="A1048" i="1"/>
  <c r="D8547" i="1"/>
  <c r="A8547" i="1"/>
  <c r="D4350" i="1"/>
  <c r="A4350" i="1"/>
  <c r="D8546" i="1"/>
  <c r="A8546" i="1"/>
  <c r="D8545" i="1"/>
  <c r="A8545" i="1"/>
  <c r="D4349" i="1"/>
  <c r="A4349" i="1"/>
  <c r="D8544" i="1"/>
  <c r="A8544" i="1"/>
  <c r="D8543" i="1"/>
  <c r="A8543" i="1"/>
  <c r="D8542" i="1"/>
  <c r="A8542" i="1"/>
  <c r="D4348" i="1"/>
  <c r="A4348" i="1"/>
  <c r="D8541" i="1"/>
  <c r="A8541" i="1"/>
  <c r="D8540" i="1"/>
  <c r="A8540" i="1"/>
  <c r="D8539" i="1"/>
  <c r="A8539" i="1"/>
  <c r="D4347" i="1"/>
  <c r="A4347" i="1"/>
  <c r="D4346" i="1"/>
  <c r="A4346" i="1"/>
  <c r="D501" i="1"/>
  <c r="A501" i="1"/>
  <c r="D4345" i="1"/>
  <c r="A4345" i="1"/>
  <c r="D8538" i="1"/>
  <c r="A8538" i="1"/>
  <c r="D8537" i="1"/>
  <c r="A8537" i="1"/>
  <c r="D8536" i="1"/>
  <c r="A8536" i="1"/>
  <c r="D8535" i="1"/>
  <c r="A8535" i="1"/>
  <c r="D1047" i="1"/>
  <c r="A1047" i="1"/>
  <c r="D8534" i="1"/>
  <c r="A8534" i="1"/>
  <c r="D8533" i="1"/>
  <c r="A8533" i="1"/>
  <c r="D8532" i="1"/>
  <c r="A8532" i="1"/>
  <c r="D8531" i="1"/>
  <c r="A8531" i="1"/>
  <c r="D4344" i="1"/>
  <c r="A4344" i="1"/>
  <c r="D4343" i="1"/>
  <c r="A4343" i="1"/>
  <c r="D4342" i="1"/>
  <c r="A4342" i="1"/>
  <c r="D66" i="1"/>
  <c r="A66" i="1"/>
  <c r="D8530" i="1"/>
  <c r="A8530" i="1"/>
  <c r="D8529" i="1"/>
  <c r="A8529" i="1"/>
  <c r="D8528" i="1"/>
  <c r="A8528" i="1"/>
  <c r="D8527" i="1"/>
  <c r="A8527" i="1"/>
  <c r="D8526" i="1"/>
  <c r="A8526" i="1"/>
  <c r="D8525" i="1"/>
  <c r="A8525" i="1"/>
  <c r="D500" i="1"/>
  <c r="A500" i="1"/>
  <c r="D8524" i="1"/>
  <c r="A8524" i="1"/>
  <c r="D4341" i="1"/>
  <c r="A4341" i="1"/>
  <c r="D499" i="1"/>
  <c r="A499" i="1"/>
  <c r="D8523" i="1"/>
  <c r="A8523" i="1"/>
  <c r="D8522" i="1"/>
  <c r="A8522" i="1"/>
  <c r="D4340" i="1"/>
  <c r="A4340" i="1"/>
  <c r="D4339" i="1"/>
  <c r="A4339" i="1"/>
  <c r="D4338" i="1"/>
  <c r="A4338" i="1"/>
  <c r="D4337" i="1"/>
  <c r="A4337" i="1"/>
  <c r="D4336" i="1"/>
  <c r="A4336" i="1"/>
  <c r="D8521" i="1"/>
  <c r="A8521" i="1"/>
  <c r="D8520" i="1"/>
  <c r="A8520" i="1"/>
  <c r="D8519" i="1"/>
  <c r="A8519" i="1"/>
  <c r="D4335" i="1"/>
  <c r="A4335" i="1"/>
  <c r="D4334" i="1"/>
  <c r="A4334" i="1"/>
  <c r="D4333" i="1"/>
  <c r="A4333" i="1"/>
  <c r="D8518" i="1"/>
  <c r="A8518" i="1"/>
  <c r="D4332" i="1"/>
  <c r="A4332" i="1"/>
  <c r="D8517" i="1"/>
  <c r="A8517" i="1"/>
  <c r="D8516" i="1"/>
  <c r="A8516" i="1"/>
  <c r="D4331" i="1"/>
  <c r="A4331" i="1"/>
  <c r="D8515" i="1"/>
  <c r="A8515" i="1"/>
  <c r="D4330" i="1"/>
  <c r="A4330" i="1"/>
  <c r="D4329" i="1"/>
  <c r="A4329" i="1"/>
  <c r="D8514" i="1"/>
  <c r="A8514" i="1"/>
  <c r="D4328" i="1"/>
  <c r="A4328" i="1"/>
  <c r="D4327" i="1"/>
  <c r="A4327" i="1"/>
  <c r="D8513" i="1"/>
  <c r="A8513" i="1"/>
  <c r="D8512" i="1"/>
  <c r="A8512" i="1"/>
  <c r="D8511" i="1"/>
  <c r="A8511" i="1"/>
  <c r="D8510" i="1"/>
  <c r="A8510" i="1"/>
  <c r="D8509" i="1"/>
  <c r="A8509" i="1"/>
  <c r="D4326" i="1"/>
  <c r="A4326" i="1"/>
  <c r="D8508" i="1"/>
  <c r="A8508" i="1"/>
  <c r="D8507" i="1"/>
  <c r="A8507" i="1"/>
  <c r="D8506" i="1"/>
  <c r="A8506" i="1"/>
  <c r="D8505" i="1"/>
  <c r="A8505" i="1"/>
  <c r="D8504" i="1"/>
  <c r="A8504" i="1"/>
  <c r="D8503" i="1"/>
  <c r="A8503" i="1"/>
  <c r="D8502" i="1"/>
  <c r="A8502" i="1"/>
  <c r="D4325" i="1"/>
  <c r="A4325" i="1"/>
  <c r="D8501" i="1"/>
  <c r="A8501" i="1"/>
  <c r="D8500" i="1"/>
  <c r="A8500" i="1"/>
  <c r="D8499" i="1"/>
  <c r="A8499" i="1"/>
  <c r="D8498" i="1"/>
  <c r="A8498" i="1"/>
  <c r="D498" i="1"/>
  <c r="A498" i="1"/>
  <c r="D8497" i="1"/>
  <c r="A8497" i="1"/>
  <c r="D4324" i="1"/>
  <c r="A4324" i="1"/>
  <c r="D8496" i="1"/>
  <c r="A8496" i="1"/>
  <c r="D8495" i="1"/>
  <c r="A8495" i="1"/>
  <c r="D8494" i="1"/>
  <c r="A8494" i="1"/>
  <c r="D8493" i="1"/>
  <c r="A8493" i="1"/>
  <c r="D4323" i="1"/>
  <c r="A4323" i="1"/>
  <c r="D8492" i="1"/>
  <c r="A8492" i="1"/>
  <c r="D4322" i="1"/>
  <c r="A4322" i="1"/>
  <c r="D8491" i="1"/>
  <c r="A8491" i="1"/>
  <c r="D4321" i="1"/>
  <c r="A4321" i="1"/>
  <c r="D8490" i="1"/>
  <c r="A8490" i="1"/>
  <c r="D4320" i="1"/>
  <c r="A4320" i="1"/>
  <c r="D8489" i="1"/>
  <c r="A8489" i="1"/>
  <c r="D8488" i="1"/>
  <c r="A8488" i="1"/>
  <c r="D8487" i="1"/>
  <c r="A8487" i="1"/>
  <c r="D13782" i="1"/>
  <c r="A13782" i="1"/>
  <c r="D8486" i="1"/>
  <c r="A8486" i="1"/>
  <c r="D497" i="1"/>
  <c r="A497" i="1"/>
  <c r="D8485" i="1"/>
  <c r="A8485" i="1"/>
  <c r="D8484" i="1"/>
  <c r="A8484" i="1"/>
  <c r="D8483" i="1"/>
  <c r="A8483" i="1"/>
  <c r="D8482" i="1"/>
  <c r="A8482" i="1"/>
  <c r="D8481" i="1"/>
  <c r="A8481" i="1"/>
  <c r="D8480" i="1"/>
  <c r="A8480" i="1"/>
  <c r="D8479" i="1"/>
  <c r="A8479" i="1"/>
  <c r="D8478" i="1"/>
  <c r="A8478" i="1"/>
  <c r="D4319" i="1"/>
  <c r="A4319" i="1"/>
  <c r="D8477" i="1"/>
  <c r="A8477" i="1"/>
  <c r="D8476" i="1"/>
  <c r="A8476" i="1"/>
  <c r="D4318" i="1"/>
  <c r="A4318" i="1"/>
  <c r="D4317" i="1"/>
  <c r="A4317" i="1"/>
  <c r="D8475" i="1"/>
  <c r="A8475" i="1"/>
  <c r="D496" i="1"/>
  <c r="A496" i="1"/>
  <c r="D8474" i="1"/>
  <c r="A8474" i="1"/>
  <c r="D4316" i="1"/>
  <c r="A4316" i="1"/>
  <c r="D8473" i="1"/>
  <c r="A8473" i="1"/>
  <c r="D8472" i="1"/>
  <c r="A8472" i="1"/>
  <c r="D8471" i="1"/>
  <c r="A8471" i="1"/>
  <c r="D8470" i="1"/>
  <c r="A8470" i="1"/>
  <c r="D495" i="1"/>
  <c r="A495" i="1"/>
  <c r="D4315" i="1"/>
  <c r="A4315" i="1"/>
  <c r="D8469" i="1"/>
  <c r="A8469" i="1"/>
  <c r="D8468" i="1"/>
  <c r="A8468" i="1"/>
  <c r="D8467" i="1"/>
  <c r="A8467" i="1"/>
  <c r="D13781" i="1"/>
  <c r="A13781" i="1"/>
  <c r="D8466" i="1"/>
  <c r="A8466" i="1"/>
  <c r="D8465" i="1"/>
  <c r="A8465" i="1"/>
  <c r="D8464" i="1"/>
  <c r="A8464" i="1"/>
  <c r="D8463" i="1"/>
  <c r="A8463" i="1"/>
  <c r="D4314" i="1"/>
  <c r="A4314" i="1"/>
  <c r="D8462" i="1"/>
  <c r="A8462" i="1"/>
  <c r="D8461" i="1"/>
  <c r="A8461" i="1"/>
  <c r="D8460" i="1"/>
  <c r="A8460" i="1"/>
  <c r="D8459" i="1"/>
  <c r="A8459" i="1"/>
  <c r="D8458" i="1"/>
  <c r="A8458" i="1"/>
  <c r="D8457" i="1"/>
  <c r="A8457" i="1"/>
  <c r="D494" i="1"/>
  <c r="A494" i="1"/>
  <c r="D493" i="1"/>
  <c r="A493" i="1"/>
  <c r="D492" i="1"/>
  <c r="A492" i="1"/>
  <c r="D8456" i="1"/>
  <c r="A8456" i="1"/>
  <c r="D8455" i="1"/>
  <c r="A8455" i="1"/>
  <c r="D8454" i="1"/>
  <c r="A8454" i="1"/>
  <c r="D4313" i="1"/>
  <c r="A4313" i="1"/>
  <c r="D8453" i="1"/>
  <c r="A8453" i="1"/>
  <c r="D4312" i="1"/>
  <c r="A4312" i="1"/>
  <c r="D8452" i="1"/>
  <c r="A8452" i="1"/>
  <c r="D8451" i="1"/>
  <c r="A8451" i="1"/>
  <c r="D8450" i="1"/>
  <c r="A8450" i="1"/>
  <c r="D4311" i="1"/>
  <c r="A4311" i="1"/>
  <c r="D4310" i="1"/>
  <c r="A4310" i="1"/>
  <c r="D8449" i="1"/>
  <c r="A8449" i="1"/>
  <c r="D4309" i="1"/>
  <c r="A4309" i="1"/>
  <c r="D8448" i="1"/>
  <c r="A8448" i="1"/>
  <c r="D8447" i="1"/>
  <c r="A8447" i="1"/>
  <c r="D8446" i="1"/>
  <c r="A8446" i="1"/>
  <c r="D4308" i="1"/>
  <c r="A4308" i="1"/>
  <c r="D8445" i="1"/>
  <c r="A8445" i="1"/>
  <c r="D8444" i="1"/>
  <c r="A8444" i="1"/>
  <c r="D8443" i="1"/>
  <c r="A8443" i="1"/>
  <c r="D1046" i="1"/>
  <c r="A1046" i="1"/>
  <c r="D491" i="1"/>
  <c r="A491" i="1"/>
  <c r="D4307" i="1"/>
  <c r="A4307" i="1"/>
  <c r="D8442" i="1"/>
  <c r="A8442" i="1"/>
  <c r="D4306" i="1"/>
  <c r="A4306" i="1"/>
  <c r="D490" i="1"/>
  <c r="A490" i="1"/>
  <c r="D8441" i="1"/>
  <c r="A8441" i="1"/>
  <c r="D8440" i="1"/>
  <c r="A8440" i="1"/>
  <c r="D8439" i="1"/>
  <c r="A8439" i="1"/>
  <c r="D8438" i="1"/>
  <c r="A8438" i="1"/>
  <c r="D1045" i="1"/>
  <c r="A1045" i="1"/>
  <c r="D65" i="1"/>
  <c r="A65" i="1"/>
  <c r="D8437" i="1"/>
  <c r="A8437" i="1"/>
  <c r="D8436" i="1"/>
  <c r="A8436" i="1"/>
  <c r="D4305" i="1"/>
  <c r="A4305" i="1"/>
  <c r="D8435" i="1"/>
  <c r="A8435" i="1"/>
  <c r="D489" i="1"/>
  <c r="A489" i="1"/>
  <c r="D8434" i="1"/>
  <c r="A8434" i="1"/>
  <c r="D8433" i="1"/>
  <c r="A8433" i="1"/>
  <c r="D4304" i="1"/>
  <c r="A4304" i="1"/>
  <c r="D8432" i="1"/>
  <c r="A8432" i="1"/>
  <c r="D4303" i="1"/>
  <c r="A4303" i="1"/>
  <c r="D1044" i="1"/>
  <c r="A1044" i="1"/>
  <c r="D8431" i="1"/>
  <c r="A8431" i="1"/>
  <c r="D4302" i="1"/>
  <c r="A4302" i="1"/>
  <c r="D8430" i="1"/>
  <c r="A8430" i="1"/>
  <c r="D4301" i="1"/>
  <c r="A4301" i="1"/>
  <c r="D4300" i="1"/>
  <c r="A4300" i="1"/>
  <c r="D4299" i="1"/>
  <c r="A4299" i="1"/>
  <c r="D4298" i="1"/>
  <c r="A4298" i="1"/>
  <c r="D8429" i="1"/>
  <c r="A8429" i="1"/>
  <c r="D488" i="1"/>
  <c r="A488" i="1"/>
  <c r="D4297" i="1"/>
  <c r="A4297" i="1"/>
  <c r="D8428" i="1"/>
  <c r="A8428" i="1"/>
  <c r="D4296" i="1"/>
  <c r="A4296" i="1"/>
  <c r="D8427" i="1"/>
  <c r="A8427" i="1"/>
  <c r="D4295" i="1"/>
  <c r="A4295" i="1"/>
  <c r="D8426" i="1"/>
  <c r="A8426" i="1"/>
  <c r="D4294" i="1"/>
  <c r="A4294" i="1"/>
  <c r="D4293" i="1"/>
  <c r="A4293" i="1"/>
  <c r="D8425" i="1"/>
  <c r="A8425" i="1"/>
  <c r="D1043" i="1"/>
  <c r="A1043" i="1"/>
  <c r="D487" i="1"/>
  <c r="A487" i="1"/>
  <c r="D49" i="1"/>
  <c r="A49" i="1"/>
  <c r="D8424" i="1"/>
  <c r="A8424" i="1"/>
  <c r="D8423" i="1"/>
  <c r="A8423" i="1"/>
  <c r="D8422" i="1"/>
  <c r="A8422" i="1"/>
  <c r="D8421" i="1"/>
  <c r="A8421" i="1"/>
  <c r="D8420" i="1"/>
  <c r="A8420" i="1"/>
  <c r="D4292" i="1"/>
  <c r="A4292" i="1"/>
  <c r="D8419" i="1"/>
  <c r="A8419" i="1"/>
  <c r="D110" i="1"/>
  <c r="A110" i="1"/>
  <c r="D8418" i="1"/>
  <c r="A8418" i="1"/>
  <c r="D8417" i="1"/>
  <c r="A8417" i="1"/>
  <c r="D1042" i="1"/>
  <c r="A1042" i="1"/>
  <c r="D8416" i="1"/>
  <c r="A8416" i="1"/>
  <c r="D1041" i="1"/>
  <c r="A1041" i="1"/>
  <c r="D4291" i="1"/>
  <c r="A4291" i="1"/>
  <c r="D4290" i="1"/>
  <c r="A4290" i="1"/>
  <c r="D4289" i="1"/>
  <c r="A4289" i="1"/>
  <c r="D8415" i="1"/>
  <c r="A8415" i="1"/>
  <c r="D4288" i="1"/>
  <c r="A4288" i="1"/>
  <c r="D4287" i="1"/>
  <c r="A4287" i="1"/>
  <c r="D4286" i="1"/>
  <c r="A4286" i="1"/>
  <c r="D4285" i="1"/>
  <c r="A4285" i="1"/>
  <c r="D4284" i="1"/>
  <c r="A4284" i="1"/>
  <c r="D8414" i="1"/>
  <c r="A8414" i="1"/>
  <c r="D8413" i="1"/>
  <c r="A8413" i="1"/>
  <c r="D4283" i="1"/>
  <c r="A4283" i="1"/>
  <c r="D4282" i="1"/>
  <c r="A4282" i="1"/>
  <c r="D4281" i="1"/>
  <c r="A4281" i="1"/>
  <c r="D8412" i="1"/>
  <c r="A8412" i="1"/>
  <c r="D8411" i="1"/>
  <c r="A8411" i="1"/>
  <c r="D8410" i="1"/>
  <c r="A8410" i="1"/>
  <c r="D8409" i="1"/>
  <c r="A8409" i="1"/>
  <c r="D8408" i="1"/>
  <c r="A8408" i="1"/>
  <c r="D8407" i="1"/>
  <c r="A8407" i="1"/>
  <c r="D8406" i="1"/>
  <c r="A8406" i="1"/>
  <c r="D4280" i="1"/>
  <c r="A4280" i="1"/>
  <c r="D8405" i="1"/>
  <c r="A8405" i="1"/>
  <c r="D8404" i="1"/>
  <c r="A8404" i="1"/>
  <c r="D8403" i="1"/>
  <c r="A8403" i="1"/>
  <c r="D4279" i="1"/>
  <c r="A4279" i="1"/>
  <c r="D4278" i="1"/>
  <c r="A4278" i="1"/>
  <c r="D8402" i="1"/>
  <c r="A8402" i="1"/>
  <c r="D4277" i="1"/>
  <c r="A4277" i="1"/>
  <c r="D8401" i="1"/>
  <c r="A8401" i="1"/>
  <c r="D8400" i="1"/>
  <c r="A8400" i="1"/>
  <c r="D8399" i="1"/>
  <c r="A8399" i="1"/>
  <c r="D8398" i="1"/>
  <c r="A8398" i="1"/>
  <c r="D8397" i="1"/>
  <c r="A8397" i="1"/>
  <c r="D8396" i="1"/>
  <c r="A8396" i="1"/>
  <c r="D4276" i="1"/>
  <c r="A4276" i="1"/>
  <c r="D1040" i="1"/>
  <c r="A1040" i="1"/>
  <c r="D1039" i="1"/>
  <c r="A1039" i="1"/>
  <c r="D8395" i="1"/>
  <c r="A8395" i="1"/>
  <c r="D4275" i="1"/>
  <c r="A4275" i="1"/>
  <c r="D8394" i="1"/>
  <c r="A8394" i="1"/>
  <c r="D4274" i="1"/>
  <c r="A4274" i="1"/>
  <c r="D8393" i="1"/>
  <c r="A8393" i="1"/>
  <c r="D8392" i="1"/>
  <c r="A8392" i="1"/>
  <c r="D4273" i="1"/>
  <c r="A4273" i="1"/>
  <c r="D8391" i="1"/>
  <c r="A8391" i="1"/>
  <c r="D8390" i="1"/>
  <c r="A8390" i="1"/>
  <c r="D8389" i="1"/>
  <c r="A8389" i="1"/>
  <c r="D486" i="1"/>
  <c r="A486" i="1"/>
  <c r="D4272" i="1"/>
  <c r="A4272" i="1"/>
  <c r="D8388" i="1"/>
  <c r="A8388" i="1"/>
  <c r="D8387" i="1"/>
  <c r="A8387" i="1"/>
  <c r="D8386" i="1"/>
  <c r="A8386" i="1"/>
  <c r="D8385" i="1"/>
  <c r="A8385" i="1"/>
  <c r="D8384" i="1"/>
  <c r="A8384" i="1"/>
  <c r="D4271" i="1"/>
  <c r="A4271" i="1"/>
  <c r="D8383" i="1"/>
  <c r="A8383" i="1"/>
  <c r="D64" i="1"/>
  <c r="A64" i="1"/>
  <c r="D485" i="1"/>
  <c r="A485" i="1"/>
  <c r="D8382" i="1"/>
  <c r="A8382" i="1"/>
  <c r="D8381" i="1"/>
  <c r="A8381" i="1"/>
  <c r="D8380" i="1"/>
  <c r="A8380" i="1"/>
  <c r="D8379" i="1"/>
  <c r="A8379" i="1"/>
  <c r="D4270" i="1"/>
  <c r="A4270" i="1"/>
  <c r="D63" i="1"/>
  <c r="A63" i="1"/>
  <c r="D4269" i="1"/>
  <c r="A4269" i="1"/>
  <c r="D4268" i="1"/>
  <c r="A4268" i="1"/>
  <c r="D8378" i="1"/>
  <c r="A8378" i="1"/>
  <c r="D4267" i="1"/>
  <c r="A4267" i="1"/>
  <c r="D484" i="1"/>
  <c r="A484" i="1"/>
  <c r="D4266" i="1"/>
  <c r="A4266" i="1"/>
  <c r="D8377" i="1"/>
  <c r="A8377" i="1"/>
  <c r="D8376" i="1"/>
  <c r="A8376" i="1"/>
  <c r="D483" i="1"/>
  <c r="A483" i="1"/>
  <c r="D4265" i="1"/>
  <c r="A4265" i="1"/>
  <c r="D8375" i="1"/>
  <c r="A8375" i="1"/>
  <c r="D8374" i="1"/>
  <c r="A8374" i="1"/>
  <c r="D8373" i="1"/>
  <c r="A8373" i="1"/>
  <c r="D8372" i="1"/>
  <c r="A8372" i="1"/>
  <c r="D8371" i="1"/>
  <c r="A8371" i="1"/>
  <c r="D8370" i="1"/>
  <c r="A8370" i="1"/>
  <c r="D8369" i="1"/>
  <c r="A8369" i="1"/>
  <c r="D4264" i="1"/>
  <c r="A4264" i="1"/>
  <c r="D8368" i="1"/>
  <c r="A8368" i="1"/>
  <c r="D8367" i="1"/>
  <c r="A8367" i="1"/>
  <c r="D482" i="1"/>
  <c r="A482" i="1"/>
  <c r="D8366" i="1"/>
  <c r="A8366" i="1"/>
  <c r="D8365" i="1"/>
  <c r="A8365" i="1"/>
  <c r="D8364" i="1"/>
  <c r="A8364" i="1"/>
  <c r="D8363" i="1"/>
  <c r="A8363" i="1"/>
  <c r="D8362" i="1"/>
  <c r="A8362" i="1"/>
  <c r="D8361" i="1"/>
  <c r="A8361" i="1"/>
  <c r="D481" i="1"/>
  <c r="A481" i="1"/>
  <c r="D8360" i="1"/>
  <c r="A8360" i="1"/>
  <c r="D8359" i="1"/>
  <c r="A8359" i="1"/>
  <c r="D8358" i="1"/>
  <c r="A8358" i="1"/>
  <c r="D4263" i="1"/>
  <c r="A4263" i="1"/>
  <c r="D8357" i="1"/>
  <c r="A8357" i="1"/>
  <c r="D4262" i="1"/>
  <c r="A4262" i="1"/>
  <c r="D4261" i="1"/>
  <c r="A4261" i="1"/>
  <c r="D4260" i="1"/>
  <c r="A4260" i="1"/>
  <c r="D4259" i="1"/>
  <c r="A4259" i="1"/>
  <c r="D4258" i="1"/>
  <c r="A4258" i="1"/>
  <c r="D8356" i="1"/>
  <c r="A8356" i="1"/>
  <c r="D4257" i="1"/>
  <c r="A4257" i="1"/>
  <c r="D8355" i="1"/>
  <c r="A8355" i="1"/>
  <c r="D8354" i="1"/>
  <c r="A8354" i="1"/>
  <c r="D4256" i="1"/>
  <c r="A4256" i="1"/>
  <c r="D4255" i="1"/>
  <c r="A4255" i="1"/>
  <c r="D109" i="1"/>
  <c r="A109" i="1"/>
  <c r="D8353" i="1"/>
  <c r="A8353" i="1"/>
  <c r="D4254" i="1"/>
  <c r="A4254" i="1"/>
  <c r="D1038" i="1"/>
  <c r="A1038" i="1"/>
  <c r="D4253" i="1"/>
  <c r="A4253" i="1"/>
  <c r="D4252" i="1"/>
  <c r="A4252" i="1"/>
  <c r="D4251" i="1"/>
  <c r="A4251" i="1"/>
  <c r="D8352" i="1"/>
  <c r="A8352" i="1"/>
  <c r="D8351" i="1"/>
  <c r="A8351" i="1"/>
  <c r="D4250" i="1"/>
  <c r="A4250" i="1"/>
  <c r="D8350" i="1"/>
  <c r="A8350" i="1"/>
  <c r="D4249" i="1"/>
  <c r="A4249" i="1"/>
  <c r="D8349" i="1"/>
  <c r="A8349" i="1"/>
  <c r="D8348" i="1"/>
  <c r="A8348" i="1"/>
  <c r="D8347" i="1"/>
  <c r="A8347" i="1"/>
  <c r="D480" i="1"/>
  <c r="A480" i="1"/>
  <c r="D8346" i="1"/>
  <c r="A8346" i="1"/>
  <c r="D8345" i="1"/>
  <c r="A8345" i="1"/>
  <c r="D4248" i="1"/>
  <c r="A4248" i="1"/>
  <c r="D8344" i="1"/>
  <c r="A8344" i="1"/>
  <c r="D8343" i="1"/>
  <c r="A8343" i="1"/>
  <c r="D8342" i="1"/>
  <c r="A8342" i="1"/>
  <c r="D8341" i="1"/>
  <c r="A8341" i="1"/>
  <c r="D479" i="1"/>
  <c r="A479" i="1"/>
  <c r="D8340" i="1"/>
  <c r="A8340" i="1"/>
  <c r="D1037" i="1"/>
  <c r="A1037" i="1"/>
  <c r="D8339" i="1"/>
  <c r="A8339" i="1"/>
  <c r="D8338" i="1"/>
  <c r="A8338" i="1"/>
  <c r="D4247" i="1"/>
  <c r="A4247" i="1"/>
  <c r="D8337" i="1"/>
  <c r="A8337" i="1"/>
  <c r="D8336" i="1"/>
  <c r="A8336" i="1"/>
  <c r="D8335" i="1"/>
  <c r="A8335" i="1"/>
  <c r="D8334" i="1"/>
  <c r="A8334" i="1"/>
  <c r="D8333" i="1"/>
  <c r="A8333" i="1"/>
  <c r="D8332" i="1"/>
  <c r="A8332" i="1"/>
  <c r="D4246" i="1"/>
  <c r="A4246" i="1"/>
  <c r="D4245" i="1"/>
  <c r="A4245" i="1"/>
  <c r="D478" i="1"/>
  <c r="A478" i="1"/>
  <c r="D4244" i="1"/>
  <c r="A4244" i="1"/>
  <c r="D4243" i="1"/>
  <c r="A4243" i="1"/>
  <c r="D4242" i="1"/>
  <c r="A4242" i="1"/>
  <c r="D4241" i="1"/>
  <c r="A4241" i="1"/>
  <c r="D8331" i="1"/>
  <c r="A8331" i="1"/>
  <c r="D477" i="1"/>
  <c r="A477" i="1"/>
  <c r="D4240" i="1"/>
  <c r="A4240" i="1"/>
  <c r="D476" i="1"/>
  <c r="A476" i="1"/>
  <c r="D8330" i="1"/>
  <c r="A8330" i="1"/>
  <c r="D4239" i="1"/>
  <c r="A4239" i="1"/>
  <c r="D4238" i="1"/>
  <c r="A4238" i="1"/>
  <c r="D8329" i="1"/>
  <c r="A8329" i="1"/>
  <c r="D4237" i="1"/>
  <c r="A4237" i="1"/>
  <c r="D4236" i="1"/>
  <c r="A4236" i="1"/>
  <c r="D4235" i="1"/>
  <c r="A4235" i="1"/>
  <c r="D8328" i="1"/>
  <c r="A8328" i="1"/>
  <c r="D4234" i="1"/>
  <c r="A4234" i="1"/>
  <c r="D8327" i="1"/>
  <c r="A8327" i="1"/>
  <c r="D4233" i="1"/>
  <c r="A4233" i="1"/>
  <c r="D8326" i="1"/>
  <c r="A8326" i="1"/>
  <c r="D4232" i="1"/>
  <c r="A4232" i="1"/>
  <c r="D8325" i="1"/>
  <c r="A8325" i="1"/>
  <c r="D4231" i="1"/>
  <c r="A4231" i="1"/>
  <c r="D8324" i="1"/>
  <c r="A8324" i="1"/>
  <c r="D48" i="1"/>
  <c r="A48" i="1"/>
  <c r="D1036" i="1"/>
  <c r="A1036" i="1"/>
  <c r="D8323" i="1"/>
  <c r="A8323" i="1"/>
  <c r="D4230" i="1"/>
  <c r="A4230" i="1"/>
  <c r="D8322" i="1"/>
  <c r="A8322" i="1"/>
  <c r="D4229" i="1"/>
  <c r="A4229" i="1"/>
  <c r="D4228" i="1"/>
  <c r="A4228" i="1"/>
  <c r="D4227" i="1"/>
  <c r="A4227" i="1"/>
  <c r="D8321" i="1"/>
  <c r="A8321" i="1"/>
  <c r="D4226" i="1"/>
  <c r="A4226" i="1"/>
  <c r="D8320" i="1"/>
  <c r="A8320" i="1"/>
  <c r="D8319" i="1"/>
  <c r="A8319" i="1"/>
  <c r="D4225" i="1"/>
  <c r="A4225" i="1"/>
  <c r="D8318" i="1"/>
  <c r="A8318" i="1"/>
  <c r="D4224" i="1"/>
  <c r="A4224" i="1"/>
  <c r="D4223" i="1"/>
  <c r="A4223" i="1"/>
  <c r="D8317" i="1"/>
  <c r="A8317" i="1"/>
  <c r="D475" i="1"/>
  <c r="A475" i="1"/>
  <c r="D8316" i="1"/>
  <c r="A8316" i="1"/>
  <c r="D4222" i="1"/>
  <c r="A4222" i="1"/>
  <c r="D4221" i="1"/>
  <c r="A4221" i="1"/>
  <c r="D4220" i="1"/>
  <c r="A4220" i="1"/>
  <c r="D8315" i="1"/>
  <c r="A8315" i="1"/>
  <c r="D4219" i="1"/>
  <c r="A4219" i="1"/>
  <c r="D4218" i="1"/>
  <c r="A4218" i="1"/>
  <c r="D4217" i="1"/>
  <c r="A4217" i="1"/>
  <c r="D4216" i="1"/>
  <c r="A4216" i="1"/>
  <c r="D8314" i="1"/>
  <c r="A8314" i="1"/>
  <c r="D4215" i="1"/>
  <c r="A4215" i="1"/>
  <c r="D8313" i="1"/>
  <c r="A8313" i="1"/>
  <c r="D8312" i="1"/>
  <c r="A8312" i="1"/>
  <c r="D4214" i="1"/>
  <c r="A4214" i="1"/>
  <c r="D8311" i="1"/>
  <c r="A8311" i="1"/>
  <c r="D8310" i="1"/>
  <c r="A8310" i="1"/>
  <c r="D4213" i="1"/>
  <c r="A4213" i="1"/>
  <c r="D8309" i="1"/>
  <c r="A8309" i="1"/>
  <c r="D8308" i="1"/>
  <c r="A8308" i="1"/>
  <c r="D8307" i="1"/>
  <c r="A8307" i="1"/>
  <c r="D4212" i="1"/>
  <c r="A4212" i="1"/>
  <c r="D4211" i="1"/>
  <c r="A4211" i="1"/>
  <c r="D8306" i="1"/>
  <c r="A8306" i="1"/>
  <c r="D8305" i="1"/>
  <c r="A8305" i="1"/>
  <c r="D8304" i="1"/>
  <c r="A8304" i="1"/>
  <c r="D4210" i="1"/>
  <c r="A4210" i="1"/>
  <c r="D8303" i="1"/>
  <c r="A8303" i="1"/>
  <c r="D8302" i="1"/>
  <c r="A8302" i="1"/>
  <c r="D8301" i="1"/>
  <c r="A8301" i="1"/>
  <c r="D4209" i="1"/>
  <c r="A4209" i="1"/>
  <c r="D4208" i="1"/>
  <c r="A4208" i="1"/>
  <c r="D8300" i="1"/>
  <c r="A8300" i="1"/>
  <c r="D4207" i="1"/>
  <c r="A4207" i="1"/>
  <c r="D8299" i="1"/>
  <c r="A8299" i="1"/>
  <c r="D8298" i="1"/>
  <c r="A8298" i="1"/>
  <c r="D8297" i="1"/>
  <c r="A8297" i="1"/>
  <c r="D4206" i="1"/>
  <c r="A4206" i="1"/>
  <c r="D8296" i="1"/>
  <c r="A8296" i="1"/>
  <c r="D4205" i="1"/>
  <c r="A4205" i="1"/>
  <c r="D8295" i="1"/>
  <c r="A8295" i="1"/>
  <c r="D1035" i="1"/>
  <c r="A1035" i="1"/>
  <c r="D4204" i="1"/>
  <c r="A4204" i="1"/>
  <c r="D8294" i="1"/>
  <c r="A8294" i="1"/>
  <c r="D8293" i="1"/>
  <c r="A8293" i="1"/>
  <c r="D8292" i="1"/>
  <c r="A8292" i="1"/>
  <c r="D8291" i="1"/>
  <c r="A8291" i="1"/>
  <c r="D4203" i="1"/>
  <c r="A4203" i="1"/>
  <c r="D4202" i="1"/>
  <c r="A4202" i="1"/>
  <c r="D4201" i="1"/>
  <c r="A4201" i="1"/>
  <c r="D8290" i="1"/>
  <c r="A8290" i="1"/>
  <c r="D8289" i="1"/>
  <c r="A8289" i="1"/>
  <c r="D4200" i="1"/>
  <c r="A4200" i="1"/>
  <c r="D8288" i="1"/>
  <c r="A8288" i="1"/>
  <c r="D4199" i="1"/>
  <c r="A4199" i="1"/>
  <c r="D8287" i="1"/>
  <c r="A8287" i="1"/>
  <c r="D8286" i="1"/>
  <c r="A8286" i="1"/>
  <c r="D8285" i="1"/>
  <c r="A8285" i="1"/>
  <c r="D8284" i="1"/>
  <c r="A8284" i="1"/>
  <c r="D8283" i="1"/>
  <c r="A8283" i="1"/>
  <c r="D474" i="1"/>
  <c r="A474" i="1"/>
  <c r="D8282" i="1"/>
  <c r="A8282" i="1"/>
  <c r="D8281" i="1"/>
  <c r="A8281" i="1"/>
  <c r="D4198" i="1"/>
  <c r="A4198" i="1"/>
  <c r="D4197" i="1"/>
  <c r="A4197" i="1"/>
  <c r="D8280" i="1"/>
  <c r="A8280" i="1"/>
  <c r="D4196" i="1"/>
  <c r="A4196" i="1"/>
  <c r="D8279" i="1"/>
  <c r="A8279" i="1"/>
  <c r="D4195" i="1"/>
  <c r="A4195" i="1"/>
  <c r="D8278" i="1"/>
  <c r="A8278" i="1"/>
  <c r="D8277" i="1"/>
  <c r="A8277" i="1"/>
  <c r="D4194" i="1"/>
  <c r="A4194" i="1"/>
  <c r="D4193" i="1"/>
  <c r="A4193" i="1"/>
  <c r="D8276" i="1"/>
  <c r="A8276" i="1"/>
  <c r="D4192" i="1"/>
  <c r="A4192" i="1"/>
  <c r="D8275" i="1"/>
  <c r="A8275" i="1"/>
  <c r="D4191" i="1"/>
  <c r="A4191" i="1"/>
  <c r="D8274" i="1"/>
  <c r="A8274" i="1"/>
  <c r="D4190" i="1"/>
  <c r="A4190" i="1"/>
  <c r="D1034" i="1"/>
  <c r="A1034" i="1"/>
  <c r="D4189" i="1"/>
  <c r="A4189" i="1"/>
  <c r="D473" i="1"/>
  <c r="A473" i="1"/>
  <c r="D4188" i="1"/>
  <c r="A4188" i="1"/>
  <c r="D4187" i="1"/>
  <c r="A4187" i="1"/>
  <c r="D472" i="1"/>
  <c r="A472" i="1"/>
  <c r="D8273" i="1"/>
  <c r="A8273" i="1"/>
  <c r="D8272" i="1"/>
  <c r="A8272" i="1"/>
  <c r="D4186" i="1"/>
  <c r="A4186" i="1"/>
  <c r="D8271" i="1"/>
  <c r="A8271" i="1"/>
  <c r="D4185" i="1"/>
  <c r="A4185" i="1"/>
  <c r="D8270" i="1"/>
  <c r="A8270" i="1"/>
  <c r="D8269" i="1"/>
  <c r="A8269" i="1"/>
  <c r="D8268" i="1"/>
  <c r="A8268" i="1"/>
  <c r="D8267" i="1"/>
  <c r="A8267" i="1"/>
  <c r="D4184" i="1"/>
  <c r="A4184" i="1"/>
  <c r="D4183" i="1"/>
  <c r="A4183" i="1"/>
  <c r="D4182" i="1"/>
  <c r="A4182" i="1"/>
  <c r="D4181" i="1"/>
  <c r="A4181" i="1"/>
  <c r="D4180" i="1"/>
  <c r="A4180" i="1"/>
  <c r="D8266" i="1"/>
  <c r="A8266" i="1"/>
  <c r="D4179" i="1"/>
  <c r="A4179" i="1"/>
  <c r="D8265" i="1"/>
  <c r="A8265" i="1"/>
  <c r="D8264" i="1"/>
  <c r="A8264" i="1"/>
  <c r="D4178" i="1"/>
  <c r="A4178" i="1"/>
  <c r="D108" i="1"/>
  <c r="A108" i="1"/>
  <c r="D8263" i="1"/>
  <c r="A8263" i="1"/>
  <c r="D8262" i="1"/>
  <c r="A8262" i="1"/>
  <c r="D8261" i="1"/>
  <c r="A8261" i="1"/>
  <c r="D8260" i="1"/>
  <c r="A8260" i="1"/>
  <c r="D471" i="1"/>
  <c r="A471" i="1"/>
  <c r="D4177" i="1"/>
  <c r="A4177" i="1"/>
  <c r="D4176" i="1"/>
  <c r="A4176" i="1"/>
  <c r="D8259" i="1"/>
  <c r="A8259" i="1"/>
  <c r="D470" i="1"/>
  <c r="A470" i="1"/>
  <c r="D4175" i="1"/>
  <c r="A4175" i="1"/>
  <c r="D8258" i="1"/>
  <c r="A8258" i="1"/>
  <c r="D4174" i="1"/>
  <c r="A4174" i="1"/>
  <c r="D8257" i="1"/>
  <c r="A8257" i="1"/>
  <c r="D4173" i="1"/>
  <c r="A4173" i="1"/>
  <c r="D8256" i="1"/>
  <c r="A8256" i="1"/>
  <c r="D8255" i="1"/>
  <c r="A8255" i="1"/>
  <c r="D8254" i="1"/>
  <c r="A8254" i="1"/>
  <c r="D469" i="1"/>
  <c r="A469" i="1"/>
  <c r="D8253" i="1"/>
  <c r="A8253" i="1"/>
  <c r="D8252" i="1"/>
  <c r="A8252" i="1"/>
  <c r="D8251" i="1"/>
  <c r="A8251" i="1"/>
  <c r="D8250" i="1"/>
  <c r="A8250" i="1"/>
  <c r="D4172" i="1"/>
  <c r="A4172" i="1"/>
  <c r="D8249" i="1"/>
  <c r="A8249" i="1"/>
  <c r="D8248" i="1"/>
  <c r="A8248" i="1"/>
  <c r="D4171" i="1"/>
  <c r="A4171" i="1"/>
  <c r="D4170" i="1"/>
  <c r="A4170" i="1"/>
  <c r="D4169" i="1"/>
  <c r="A4169" i="1"/>
  <c r="D8247" i="1"/>
  <c r="A8247" i="1"/>
  <c r="D4168" i="1"/>
  <c r="A4168" i="1"/>
  <c r="D4167" i="1"/>
  <c r="A4167" i="1"/>
  <c r="D4166" i="1"/>
  <c r="A4166" i="1"/>
  <c r="D8246" i="1"/>
  <c r="A8246" i="1"/>
  <c r="D8245" i="1"/>
  <c r="A8245" i="1"/>
  <c r="D4165" i="1"/>
  <c r="A4165" i="1"/>
  <c r="D4164" i="1"/>
  <c r="A4164" i="1"/>
  <c r="D4163" i="1"/>
  <c r="A4163" i="1"/>
  <c r="D4162" i="1"/>
  <c r="A4162" i="1"/>
  <c r="D8244" i="1"/>
  <c r="A8244" i="1"/>
  <c r="D8243" i="1"/>
  <c r="A8243" i="1"/>
  <c r="D8242" i="1"/>
  <c r="A8242" i="1"/>
  <c r="D4161" i="1"/>
  <c r="A4161" i="1"/>
  <c r="D4160" i="1"/>
  <c r="A4160" i="1"/>
  <c r="D4159" i="1"/>
  <c r="A4159" i="1"/>
  <c r="D4158" i="1"/>
  <c r="A4158" i="1"/>
  <c r="D8241" i="1"/>
  <c r="A8241" i="1"/>
  <c r="D4157" i="1"/>
  <c r="A4157" i="1"/>
  <c r="D8240" i="1"/>
  <c r="A8240" i="1"/>
  <c r="D8239" i="1"/>
  <c r="A8239" i="1"/>
  <c r="D4156" i="1"/>
  <c r="A4156" i="1"/>
  <c r="D4155" i="1"/>
  <c r="A4155" i="1"/>
  <c r="D8238" i="1"/>
  <c r="A8238" i="1"/>
  <c r="D8237" i="1"/>
  <c r="A8237" i="1"/>
  <c r="D4154" i="1"/>
  <c r="A4154" i="1"/>
  <c r="D4153" i="1"/>
  <c r="A4153" i="1"/>
  <c r="D13780" i="1"/>
  <c r="A13780" i="1"/>
  <c r="D4152" i="1"/>
  <c r="A4152" i="1"/>
  <c r="D1033" i="1"/>
  <c r="A1033" i="1"/>
  <c r="D4151" i="1"/>
  <c r="A4151" i="1"/>
  <c r="D4150" i="1"/>
  <c r="A4150" i="1"/>
  <c r="D8236" i="1"/>
  <c r="A8236" i="1"/>
  <c r="D4149" i="1"/>
  <c r="A4149" i="1"/>
  <c r="D8235" i="1"/>
  <c r="A8235" i="1"/>
  <c r="D8234" i="1"/>
  <c r="A8234" i="1"/>
  <c r="D8233" i="1"/>
  <c r="A8233" i="1"/>
  <c r="D8232" i="1"/>
  <c r="A8232" i="1"/>
  <c r="D8231" i="1"/>
  <c r="A8231" i="1"/>
  <c r="D4148" i="1"/>
  <c r="A4148" i="1"/>
  <c r="D4147" i="1"/>
  <c r="A4147" i="1"/>
  <c r="D1032" i="1"/>
  <c r="A1032" i="1"/>
  <c r="D4146" i="1"/>
  <c r="A4146" i="1"/>
  <c r="D8230" i="1"/>
  <c r="A8230" i="1"/>
  <c r="D8229" i="1"/>
  <c r="A8229" i="1"/>
  <c r="D4145" i="1"/>
  <c r="A4145" i="1"/>
  <c r="D4144" i="1"/>
  <c r="A4144" i="1"/>
  <c r="D8228" i="1"/>
  <c r="A8228" i="1"/>
  <c r="D8227" i="1"/>
  <c r="A8227" i="1"/>
  <c r="D8226" i="1"/>
  <c r="A8226" i="1"/>
  <c r="D8225" i="1"/>
  <c r="A8225" i="1"/>
  <c r="D4143" i="1"/>
  <c r="A4143" i="1"/>
  <c r="D8224" i="1"/>
  <c r="A8224" i="1"/>
  <c r="D4142" i="1"/>
  <c r="A4142" i="1"/>
  <c r="D8223" i="1"/>
  <c r="A8223" i="1"/>
  <c r="D4141" i="1"/>
  <c r="A4141" i="1"/>
  <c r="D8222" i="1"/>
  <c r="A8222" i="1"/>
  <c r="D4140" i="1"/>
  <c r="A4140" i="1"/>
  <c r="D8221" i="1"/>
  <c r="A8221" i="1"/>
  <c r="D8220" i="1"/>
  <c r="A8220" i="1"/>
  <c r="D4139" i="1"/>
  <c r="A4139" i="1"/>
  <c r="D4138" i="1"/>
  <c r="A4138" i="1"/>
  <c r="D8219" i="1"/>
  <c r="A8219" i="1"/>
  <c r="D4137" i="1"/>
  <c r="A4137" i="1"/>
  <c r="D8218" i="1"/>
  <c r="A8218" i="1"/>
  <c r="D4136" i="1"/>
  <c r="A4136" i="1"/>
  <c r="D468" i="1"/>
  <c r="A468" i="1"/>
  <c r="D4135" i="1"/>
  <c r="A4135" i="1"/>
  <c r="D8217" i="1"/>
  <c r="A8217" i="1"/>
  <c r="D8216" i="1"/>
  <c r="A8216" i="1"/>
  <c r="D8215" i="1"/>
  <c r="A8215" i="1"/>
  <c r="D4134" i="1"/>
  <c r="A4134" i="1"/>
  <c r="D8214" i="1"/>
  <c r="A8214" i="1"/>
  <c r="D8213" i="1"/>
  <c r="A8213" i="1"/>
  <c r="D8212" i="1"/>
  <c r="A8212" i="1"/>
  <c r="D467" i="1"/>
  <c r="A467" i="1"/>
  <c r="D8211" i="1"/>
  <c r="A8211" i="1"/>
  <c r="D466" i="1"/>
  <c r="A466" i="1"/>
  <c r="D8210" i="1"/>
  <c r="A8210" i="1"/>
  <c r="D4133" i="1"/>
  <c r="A4133" i="1"/>
  <c r="D4132" i="1"/>
  <c r="A4132" i="1"/>
  <c r="D465" i="1"/>
  <c r="A465" i="1"/>
  <c r="D8209" i="1"/>
  <c r="A8209" i="1"/>
  <c r="D4131" i="1"/>
  <c r="A4131" i="1"/>
  <c r="D4130" i="1"/>
  <c r="A4130" i="1"/>
  <c r="D4129" i="1"/>
  <c r="A4129" i="1"/>
  <c r="D1031" i="1"/>
  <c r="A1031" i="1"/>
  <c r="D8208" i="1"/>
  <c r="A8208" i="1"/>
  <c r="D4128" i="1"/>
  <c r="A4128" i="1"/>
  <c r="D4127" i="1"/>
  <c r="A4127" i="1"/>
  <c r="D8207" i="1"/>
  <c r="A8207" i="1"/>
  <c r="D8206" i="1"/>
  <c r="A8206" i="1"/>
  <c r="D8205" i="1"/>
  <c r="A8205" i="1"/>
  <c r="D8204" i="1"/>
  <c r="A8204" i="1"/>
  <c r="D8203" i="1"/>
  <c r="A8203" i="1"/>
  <c r="D4126" i="1"/>
  <c r="A4126" i="1"/>
  <c r="D8202" i="1"/>
  <c r="A8202" i="1"/>
  <c r="D8201" i="1"/>
  <c r="A8201" i="1"/>
  <c r="D8200" i="1"/>
  <c r="A8200" i="1"/>
  <c r="D8199" i="1"/>
  <c r="A8199" i="1"/>
  <c r="D107" i="1"/>
  <c r="A107" i="1"/>
  <c r="D4125" i="1"/>
  <c r="A4125" i="1"/>
  <c r="D8198" i="1"/>
  <c r="A8198" i="1"/>
  <c r="D4124" i="1"/>
  <c r="A4124" i="1"/>
  <c r="D8197" i="1"/>
  <c r="A8197" i="1"/>
  <c r="D8196" i="1"/>
  <c r="A8196" i="1"/>
  <c r="D8195" i="1"/>
  <c r="A8195" i="1"/>
  <c r="D8194" i="1"/>
  <c r="A8194" i="1"/>
  <c r="D4123" i="1"/>
  <c r="A4123" i="1"/>
  <c r="D8193" i="1"/>
  <c r="A8193" i="1"/>
  <c r="D8192" i="1"/>
  <c r="A8192" i="1"/>
  <c r="D8191" i="1"/>
  <c r="A8191" i="1"/>
  <c r="D8190" i="1"/>
  <c r="A8190" i="1"/>
  <c r="D4122" i="1"/>
  <c r="A4122" i="1"/>
  <c r="D4121" i="1"/>
  <c r="A4121" i="1"/>
  <c r="D8189" i="1"/>
  <c r="A8189" i="1"/>
  <c r="D4120" i="1"/>
  <c r="A4120" i="1"/>
  <c r="D8188" i="1"/>
  <c r="A8188" i="1"/>
  <c r="D4119" i="1"/>
  <c r="A4119" i="1"/>
  <c r="D4118" i="1"/>
  <c r="A4118" i="1"/>
  <c r="D4117" i="1"/>
  <c r="A4117" i="1"/>
  <c r="D4116" i="1"/>
  <c r="A4116" i="1"/>
  <c r="D4115" i="1"/>
  <c r="A4115" i="1"/>
  <c r="D8187" i="1"/>
  <c r="A8187" i="1"/>
  <c r="D1030" i="1"/>
  <c r="A1030" i="1"/>
  <c r="D4114" i="1"/>
  <c r="A4114" i="1"/>
  <c r="D1029" i="1"/>
  <c r="A1029" i="1"/>
  <c r="D8186" i="1"/>
  <c r="A8186" i="1"/>
  <c r="D4113" i="1"/>
  <c r="A4113" i="1"/>
  <c r="D8185" i="1"/>
  <c r="A8185" i="1"/>
  <c r="D4112" i="1"/>
  <c r="A4112" i="1"/>
  <c r="D4111" i="1"/>
  <c r="A4111" i="1"/>
  <c r="D4110" i="1"/>
  <c r="A4110" i="1"/>
  <c r="D8184" i="1"/>
  <c r="A8184" i="1"/>
  <c r="D4109" i="1"/>
  <c r="A4109" i="1"/>
  <c r="D4108" i="1"/>
  <c r="A4108" i="1"/>
  <c r="D8183" i="1"/>
  <c r="A8183" i="1"/>
  <c r="D4107" i="1"/>
  <c r="A4107" i="1"/>
  <c r="D8182" i="1"/>
  <c r="A8182" i="1"/>
  <c r="D8181" i="1"/>
  <c r="A8181" i="1"/>
  <c r="D8180" i="1"/>
  <c r="A8180" i="1"/>
  <c r="D4106" i="1"/>
  <c r="A4106" i="1"/>
  <c r="D8179" i="1"/>
  <c r="A8179" i="1"/>
  <c r="D8178" i="1"/>
  <c r="A8178" i="1"/>
  <c r="D8177" i="1"/>
  <c r="A8177" i="1"/>
  <c r="D8176" i="1"/>
  <c r="A8176" i="1"/>
  <c r="D4105" i="1"/>
  <c r="A4105" i="1"/>
  <c r="D8175" i="1"/>
  <c r="A8175" i="1"/>
  <c r="D8174" i="1"/>
  <c r="A8174" i="1"/>
  <c r="D8173" i="1"/>
  <c r="A8173" i="1"/>
  <c r="D8172" i="1"/>
  <c r="A8172" i="1"/>
  <c r="D4104" i="1"/>
  <c r="A4104" i="1"/>
  <c r="D8171" i="1"/>
  <c r="A8171" i="1"/>
  <c r="D8170" i="1"/>
  <c r="A8170" i="1"/>
  <c r="D4103" i="1"/>
  <c r="A4103" i="1"/>
  <c r="D4102" i="1"/>
  <c r="A4102" i="1"/>
  <c r="D464" i="1"/>
  <c r="A464" i="1"/>
  <c r="D4101" i="1"/>
  <c r="A4101" i="1"/>
  <c r="D4100" i="1"/>
  <c r="A4100" i="1"/>
  <c r="D8169" i="1"/>
  <c r="A8169" i="1"/>
  <c r="D8168" i="1"/>
  <c r="A8168" i="1"/>
  <c r="D8167" i="1"/>
  <c r="A8167" i="1"/>
  <c r="D8166" i="1"/>
  <c r="A8166" i="1"/>
  <c r="D4099" i="1"/>
  <c r="A4099" i="1"/>
  <c r="D8165" i="1"/>
  <c r="A8165" i="1"/>
  <c r="D8164" i="1"/>
  <c r="A8164" i="1"/>
  <c r="D4098" i="1"/>
  <c r="A4098" i="1"/>
  <c r="D4097" i="1"/>
  <c r="A4097" i="1"/>
  <c r="D4096" i="1"/>
  <c r="A4096" i="1"/>
  <c r="D8163" i="1"/>
  <c r="A8163" i="1"/>
  <c r="D8162" i="1"/>
  <c r="A8162" i="1"/>
  <c r="D8161" i="1"/>
  <c r="A8161" i="1"/>
  <c r="D8160" i="1"/>
  <c r="A8160" i="1"/>
  <c r="D8159" i="1"/>
  <c r="A8159" i="1"/>
  <c r="D463" i="1"/>
  <c r="A463" i="1"/>
  <c r="D8158" i="1"/>
  <c r="A8158" i="1"/>
  <c r="D1028" i="1"/>
  <c r="A1028" i="1"/>
  <c r="D8157" i="1"/>
  <c r="A8157" i="1"/>
  <c r="D4095" i="1"/>
  <c r="A4095" i="1"/>
  <c r="D462" i="1"/>
  <c r="A462" i="1"/>
  <c r="D1027" i="1"/>
  <c r="A1027" i="1"/>
  <c r="D8156" i="1"/>
  <c r="A8156" i="1"/>
  <c r="D8155" i="1"/>
  <c r="A8155" i="1"/>
  <c r="D4094" i="1"/>
  <c r="A4094" i="1"/>
  <c r="D8154" i="1"/>
  <c r="A8154" i="1"/>
  <c r="D8153" i="1"/>
  <c r="A8153" i="1"/>
  <c r="D8152" i="1"/>
  <c r="A8152" i="1"/>
  <c r="D8151" i="1"/>
  <c r="A8151" i="1"/>
  <c r="D8150" i="1"/>
  <c r="A8150" i="1"/>
  <c r="D8149" i="1"/>
  <c r="A8149" i="1"/>
  <c r="D4093" i="1"/>
  <c r="A4093" i="1"/>
  <c r="D8148" i="1"/>
  <c r="A8148" i="1"/>
  <c r="D8147" i="1"/>
  <c r="A8147" i="1"/>
  <c r="D8146" i="1"/>
  <c r="A8146" i="1"/>
  <c r="D4092" i="1"/>
  <c r="A4092" i="1"/>
  <c r="D8145" i="1"/>
  <c r="A8145" i="1"/>
  <c r="D8144" i="1"/>
  <c r="A8144" i="1"/>
  <c r="D4091" i="1"/>
  <c r="A4091" i="1"/>
  <c r="D8143" i="1"/>
  <c r="A8143" i="1"/>
  <c r="D8142" i="1"/>
  <c r="A8142" i="1"/>
  <c r="D4090" i="1"/>
  <c r="A4090" i="1"/>
  <c r="D8141" i="1"/>
  <c r="A8141" i="1"/>
  <c r="D8140" i="1"/>
  <c r="A8140" i="1"/>
  <c r="D461" i="1"/>
  <c r="A461" i="1"/>
  <c r="D8139" i="1"/>
  <c r="A8139" i="1"/>
  <c r="D8138" i="1"/>
  <c r="A8138" i="1"/>
  <c r="D1026" i="1"/>
  <c r="A1026" i="1"/>
  <c r="D8137" i="1"/>
  <c r="A8137" i="1"/>
  <c r="D8136" i="1"/>
  <c r="A8136" i="1"/>
  <c r="D4089" i="1"/>
  <c r="A4089" i="1"/>
  <c r="D8135" i="1"/>
  <c r="A8135" i="1"/>
  <c r="D4088" i="1"/>
  <c r="A4088" i="1"/>
  <c r="D8134" i="1"/>
  <c r="A8134" i="1"/>
  <c r="D4087" i="1"/>
  <c r="A4087" i="1"/>
  <c r="D8133" i="1"/>
  <c r="A8133" i="1"/>
  <c r="D8132" i="1"/>
  <c r="A8132" i="1"/>
  <c r="D8131" i="1"/>
  <c r="A8131" i="1"/>
  <c r="D8130" i="1"/>
  <c r="A8130" i="1"/>
  <c r="D8129" i="1"/>
  <c r="A8129" i="1"/>
  <c r="D8128" i="1"/>
  <c r="A8128" i="1"/>
  <c r="D4086" i="1"/>
  <c r="A4086" i="1"/>
  <c r="D8127" i="1"/>
  <c r="A8127" i="1"/>
  <c r="D8126" i="1"/>
  <c r="A8126" i="1"/>
  <c r="D8125" i="1"/>
  <c r="A8125" i="1"/>
  <c r="D8124" i="1"/>
  <c r="A8124" i="1"/>
  <c r="D4085" i="1"/>
  <c r="A4085" i="1"/>
  <c r="D8123" i="1"/>
  <c r="A8123" i="1"/>
  <c r="D4084" i="1"/>
  <c r="A4084" i="1"/>
  <c r="D4083" i="1"/>
  <c r="A4083" i="1"/>
  <c r="D4082" i="1"/>
  <c r="A4082" i="1"/>
  <c r="D4081" i="1"/>
  <c r="A4081" i="1"/>
  <c r="D8122" i="1"/>
  <c r="A8122" i="1"/>
  <c r="D8121" i="1"/>
  <c r="A8121" i="1"/>
  <c r="D8120" i="1"/>
  <c r="A8120" i="1"/>
  <c r="D4080" i="1"/>
  <c r="A4080" i="1"/>
  <c r="D8119" i="1"/>
  <c r="A8119" i="1"/>
  <c r="D8118" i="1"/>
  <c r="A8118" i="1"/>
  <c r="D8117" i="1"/>
  <c r="A8117" i="1"/>
  <c r="D4079" i="1"/>
  <c r="A4079" i="1"/>
  <c r="D8116" i="1"/>
  <c r="A8116" i="1"/>
  <c r="D8115" i="1"/>
  <c r="A8115" i="1"/>
  <c r="D8114" i="1"/>
  <c r="A8114" i="1"/>
  <c r="D8113" i="1"/>
  <c r="A8113" i="1"/>
  <c r="D4078" i="1"/>
  <c r="A4078" i="1"/>
  <c r="D8112" i="1"/>
  <c r="A8112" i="1"/>
  <c r="D8111" i="1"/>
  <c r="A8111" i="1"/>
  <c r="D4077" i="1"/>
  <c r="A4077" i="1"/>
  <c r="D8110" i="1"/>
  <c r="A8110" i="1"/>
  <c r="D4076" i="1"/>
  <c r="A4076" i="1"/>
  <c r="D8109" i="1"/>
  <c r="A8109" i="1"/>
  <c r="D4075" i="1"/>
  <c r="A4075" i="1"/>
  <c r="D8108" i="1"/>
  <c r="A8108" i="1"/>
  <c r="D8107" i="1"/>
  <c r="A8107" i="1"/>
  <c r="D8106" i="1"/>
  <c r="A8106" i="1"/>
  <c r="D8105" i="1"/>
  <c r="A8105" i="1"/>
  <c r="D8104" i="1"/>
  <c r="A8104" i="1"/>
  <c r="D8103" i="1"/>
  <c r="A8103" i="1"/>
  <c r="D8102" i="1"/>
  <c r="A8102" i="1"/>
  <c r="D4074" i="1"/>
  <c r="A4074" i="1"/>
  <c r="D8101" i="1"/>
  <c r="A8101" i="1"/>
  <c r="D1025" i="1"/>
  <c r="A1025" i="1"/>
  <c r="D8100" i="1"/>
  <c r="A8100" i="1"/>
  <c r="D8099" i="1"/>
  <c r="A8099" i="1"/>
  <c r="D8098" i="1"/>
  <c r="A8098" i="1"/>
  <c r="D8097" i="1"/>
  <c r="A8097" i="1"/>
  <c r="D8096" i="1"/>
  <c r="A8096" i="1"/>
  <c r="D8095" i="1"/>
  <c r="A8095" i="1"/>
  <c r="D8094" i="1"/>
  <c r="A8094" i="1"/>
  <c r="D8093" i="1"/>
  <c r="A8093" i="1"/>
  <c r="D4073" i="1"/>
  <c r="A4073" i="1"/>
  <c r="D8092" i="1"/>
  <c r="A8092" i="1"/>
  <c r="D460" i="1"/>
  <c r="A460" i="1"/>
  <c r="D8091" i="1"/>
  <c r="A8091" i="1"/>
  <c r="D8090" i="1"/>
  <c r="A8090" i="1"/>
  <c r="D8089" i="1"/>
  <c r="A8089" i="1"/>
  <c r="D8088" i="1"/>
  <c r="A8088" i="1"/>
  <c r="D8087" i="1"/>
  <c r="A8087" i="1"/>
  <c r="D8086" i="1"/>
  <c r="A8086" i="1"/>
  <c r="D8085" i="1"/>
  <c r="A8085" i="1"/>
  <c r="D8084" i="1"/>
  <c r="A8084" i="1"/>
  <c r="D8083" i="1"/>
  <c r="A8083" i="1"/>
  <c r="D8082" i="1"/>
  <c r="A8082" i="1"/>
  <c r="D4072" i="1"/>
  <c r="A4072" i="1"/>
  <c r="D4071" i="1"/>
  <c r="A4071" i="1"/>
  <c r="D8081" i="1"/>
  <c r="A8081" i="1"/>
  <c r="D4070" i="1"/>
  <c r="A4070" i="1"/>
  <c r="D8080" i="1"/>
  <c r="A8080" i="1"/>
  <c r="D8079" i="1"/>
  <c r="A8079" i="1"/>
  <c r="D8078" i="1"/>
  <c r="A8078" i="1"/>
  <c r="D4069" i="1"/>
  <c r="A4069" i="1"/>
  <c r="D8077" i="1"/>
  <c r="A8077" i="1"/>
  <c r="D8076" i="1"/>
  <c r="A8076" i="1"/>
  <c r="D8075" i="1"/>
  <c r="A8075" i="1"/>
  <c r="D4068" i="1"/>
  <c r="A4068" i="1"/>
  <c r="D4067" i="1"/>
  <c r="A4067" i="1"/>
  <c r="D8074" i="1"/>
  <c r="A8074" i="1"/>
  <c r="D8073" i="1"/>
  <c r="A8073" i="1"/>
  <c r="D8072" i="1"/>
  <c r="A8072" i="1"/>
  <c r="D8071" i="1"/>
  <c r="A8071" i="1"/>
  <c r="D8070" i="1"/>
  <c r="A8070" i="1"/>
  <c r="D4066" i="1"/>
  <c r="A4066" i="1"/>
  <c r="D8069" i="1"/>
  <c r="A8069" i="1"/>
  <c r="D8068" i="1"/>
  <c r="A8068" i="1"/>
  <c r="D8067" i="1"/>
  <c r="A8067" i="1"/>
  <c r="D8066" i="1"/>
  <c r="A8066" i="1"/>
  <c r="D4065" i="1"/>
  <c r="A4065" i="1"/>
  <c r="D8065" i="1"/>
  <c r="A8065" i="1"/>
  <c r="D8064" i="1"/>
  <c r="A8064" i="1"/>
  <c r="D8063" i="1"/>
  <c r="A8063" i="1"/>
  <c r="D8062" i="1"/>
  <c r="A8062" i="1"/>
  <c r="D1024" i="1"/>
  <c r="A1024" i="1"/>
  <c r="D8061" i="1"/>
  <c r="A8061" i="1"/>
  <c r="D8060" i="1"/>
  <c r="A8060" i="1"/>
  <c r="D8059" i="1"/>
  <c r="A8059" i="1"/>
  <c r="D8058" i="1"/>
  <c r="A8058" i="1"/>
  <c r="D8057" i="1"/>
  <c r="A8057" i="1"/>
  <c r="D4064" i="1"/>
  <c r="A4064" i="1"/>
  <c r="D8056" i="1"/>
  <c r="A8056" i="1"/>
  <c r="D8055" i="1"/>
  <c r="A8055" i="1"/>
  <c r="D8054" i="1"/>
  <c r="A8054" i="1"/>
  <c r="D4063" i="1"/>
  <c r="A4063" i="1"/>
  <c r="D8053" i="1"/>
  <c r="A8053" i="1"/>
  <c r="D4062" i="1"/>
  <c r="A4062" i="1"/>
  <c r="D4061" i="1"/>
  <c r="A4061" i="1"/>
  <c r="D4060" i="1"/>
  <c r="A4060" i="1"/>
  <c r="D4059" i="1"/>
  <c r="A4059" i="1"/>
  <c r="D8052" i="1"/>
  <c r="A8052" i="1"/>
  <c r="D8051" i="1"/>
  <c r="A8051" i="1"/>
  <c r="D8050" i="1"/>
  <c r="A8050" i="1"/>
  <c r="D8049" i="1"/>
  <c r="A8049" i="1"/>
  <c r="D1023" i="1"/>
  <c r="A1023" i="1"/>
  <c r="D4058" i="1"/>
  <c r="A4058" i="1"/>
  <c r="D4057" i="1"/>
  <c r="A4057" i="1"/>
  <c r="D8048" i="1"/>
  <c r="A8048" i="1"/>
  <c r="D8047" i="1"/>
  <c r="A8047" i="1"/>
  <c r="D8046" i="1"/>
  <c r="A8046" i="1"/>
  <c r="D8045" i="1"/>
  <c r="A8045" i="1"/>
  <c r="D8044" i="1"/>
  <c r="A8044" i="1"/>
  <c r="D4056" i="1"/>
  <c r="A4056" i="1"/>
  <c r="D8043" i="1"/>
  <c r="A8043" i="1"/>
  <c r="D8042" i="1"/>
  <c r="A8042" i="1"/>
  <c r="D4055" i="1"/>
  <c r="A4055" i="1"/>
  <c r="D4054" i="1"/>
  <c r="A4054" i="1"/>
  <c r="D8041" i="1"/>
  <c r="A8041" i="1"/>
  <c r="D8040" i="1"/>
  <c r="A8040" i="1"/>
  <c r="D8039" i="1"/>
  <c r="A8039" i="1"/>
  <c r="D8038" i="1"/>
  <c r="A8038" i="1"/>
  <c r="D8037" i="1"/>
  <c r="A8037" i="1"/>
  <c r="D8036" i="1"/>
  <c r="A8036" i="1"/>
  <c r="D8035" i="1"/>
  <c r="A8035" i="1"/>
  <c r="D8034" i="1"/>
  <c r="A8034" i="1"/>
  <c r="D4053" i="1"/>
  <c r="A4053" i="1"/>
  <c r="D8033" i="1"/>
  <c r="A8033" i="1"/>
  <c r="D8032" i="1"/>
  <c r="A8032" i="1"/>
  <c r="D4052" i="1"/>
  <c r="A4052" i="1"/>
  <c r="D8031" i="1"/>
  <c r="A8031" i="1"/>
  <c r="D106" i="1"/>
  <c r="A106" i="1"/>
  <c r="D4051" i="1"/>
  <c r="A4051" i="1"/>
  <c r="D8030" i="1"/>
  <c r="A8030" i="1"/>
  <c r="D8029" i="1"/>
  <c r="A8029" i="1"/>
  <c r="D8028" i="1"/>
  <c r="A8028" i="1"/>
  <c r="D4050" i="1"/>
  <c r="A4050" i="1"/>
  <c r="D8027" i="1"/>
  <c r="A8027" i="1"/>
  <c r="D8026" i="1"/>
  <c r="A8026" i="1"/>
  <c r="D8025" i="1"/>
  <c r="A8025" i="1"/>
  <c r="D8024" i="1"/>
  <c r="A8024" i="1"/>
  <c r="D8023" i="1"/>
  <c r="A8023" i="1"/>
  <c r="D8022" i="1"/>
  <c r="A8022" i="1"/>
  <c r="D8021" i="1"/>
  <c r="A8021" i="1"/>
  <c r="D8020" i="1"/>
  <c r="A8020" i="1"/>
  <c r="D8019" i="1"/>
  <c r="A8019" i="1"/>
  <c r="D8018" i="1"/>
  <c r="A8018" i="1"/>
  <c r="D8017" i="1"/>
  <c r="A8017" i="1"/>
  <c r="D8016" i="1"/>
  <c r="A8016" i="1"/>
  <c r="D8015" i="1"/>
  <c r="A8015" i="1"/>
  <c r="D8014" i="1"/>
  <c r="A8014" i="1"/>
  <c r="D8013" i="1"/>
  <c r="A8013" i="1"/>
  <c r="D4049" i="1"/>
  <c r="A4049" i="1"/>
  <c r="D105" i="1"/>
  <c r="A105" i="1"/>
  <c r="D8012" i="1"/>
  <c r="A8012" i="1"/>
  <c r="D8011" i="1"/>
  <c r="A8011" i="1"/>
  <c r="D4048" i="1"/>
  <c r="A4048" i="1"/>
  <c r="D8010" i="1"/>
  <c r="A8010" i="1"/>
  <c r="D8009" i="1"/>
  <c r="A8009" i="1"/>
  <c r="D8008" i="1"/>
  <c r="A8008" i="1"/>
  <c r="D8007" i="1"/>
  <c r="A8007" i="1"/>
  <c r="D8006" i="1"/>
  <c r="A8006" i="1"/>
  <c r="D8005" i="1"/>
  <c r="A8005" i="1"/>
  <c r="D8004" i="1"/>
  <c r="A8004" i="1"/>
  <c r="D8003" i="1"/>
  <c r="A8003" i="1"/>
  <c r="D8002" i="1"/>
  <c r="A8002" i="1"/>
  <c r="D4047" i="1"/>
  <c r="A4047" i="1"/>
  <c r="D8001" i="1"/>
  <c r="A8001" i="1"/>
  <c r="D8000" i="1"/>
  <c r="A8000" i="1"/>
  <c r="D7999" i="1"/>
  <c r="A7999" i="1"/>
  <c r="D4046" i="1"/>
  <c r="A4046" i="1"/>
  <c r="D7998" i="1"/>
  <c r="A7998" i="1"/>
  <c r="D4045" i="1"/>
  <c r="A4045" i="1"/>
  <c r="D7997" i="1"/>
  <c r="A7997" i="1"/>
  <c r="D7996" i="1"/>
  <c r="A7996" i="1"/>
  <c r="D7995" i="1"/>
  <c r="A7995" i="1"/>
  <c r="D7994" i="1"/>
  <c r="A7994" i="1"/>
  <c r="D7993" i="1"/>
  <c r="A7993" i="1"/>
  <c r="D7992" i="1"/>
  <c r="A7992" i="1"/>
  <c r="D7991" i="1"/>
  <c r="A7991" i="1"/>
  <c r="D7990" i="1"/>
  <c r="A7990" i="1"/>
  <c r="D7989" i="1"/>
  <c r="A7989" i="1"/>
  <c r="D7988" i="1"/>
  <c r="A7988" i="1"/>
  <c r="D7987" i="1"/>
  <c r="A7987" i="1"/>
  <c r="D7986" i="1"/>
  <c r="A7986" i="1"/>
  <c r="D7985" i="1"/>
  <c r="A7985" i="1"/>
  <c r="D7984" i="1"/>
  <c r="A7984" i="1"/>
  <c r="D7983" i="1"/>
  <c r="A7983" i="1"/>
  <c r="D7982" i="1"/>
  <c r="A7982" i="1"/>
  <c r="D7981" i="1"/>
  <c r="A7981" i="1"/>
  <c r="D4044" i="1"/>
  <c r="A4044" i="1"/>
  <c r="D7980" i="1"/>
  <c r="A7980" i="1"/>
  <c r="D7979" i="1"/>
  <c r="A7979" i="1"/>
  <c r="D7978" i="1"/>
  <c r="A7978" i="1"/>
  <c r="D459" i="1"/>
  <c r="A459" i="1"/>
  <c r="D7977" i="1"/>
  <c r="A7977" i="1"/>
  <c r="D458" i="1"/>
  <c r="A458" i="1"/>
  <c r="D7976" i="1"/>
  <c r="A7976" i="1"/>
  <c r="D7975" i="1"/>
  <c r="A7975" i="1"/>
  <c r="D7974" i="1"/>
  <c r="A7974" i="1"/>
  <c r="D4043" i="1"/>
  <c r="A4043" i="1"/>
  <c r="D7973" i="1"/>
  <c r="A7973" i="1"/>
  <c r="D7972" i="1"/>
  <c r="A7972" i="1"/>
  <c r="D7971" i="1"/>
  <c r="A7971" i="1"/>
  <c r="D7970" i="1"/>
  <c r="A7970" i="1"/>
  <c r="D7969" i="1"/>
  <c r="A7969" i="1"/>
  <c r="D457" i="1"/>
  <c r="A457" i="1"/>
  <c r="D4042" i="1"/>
  <c r="A4042" i="1"/>
  <c r="D7968" i="1"/>
  <c r="A7968" i="1"/>
  <c r="D4041" i="1"/>
  <c r="A4041" i="1"/>
  <c r="D7967" i="1"/>
  <c r="A7967" i="1"/>
  <c r="D7966" i="1"/>
  <c r="A7966" i="1"/>
  <c r="D7965" i="1"/>
  <c r="A7965" i="1"/>
  <c r="D7964" i="1"/>
  <c r="A7964" i="1"/>
  <c r="D7963" i="1"/>
  <c r="A7963" i="1"/>
  <c r="D4040" i="1"/>
  <c r="A4040" i="1"/>
  <c r="D104" i="1"/>
  <c r="A104" i="1"/>
  <c r="D7962" i="1"/>
  <c r="A7962" i="1"/>
  <c r="D7961" i="1"/>
  <c r="A7961" i="1"/>
  <c r="D1022" i="1"/>
  <c r="A1022" i="1"/>
  <c r="D7960" i="1"/>
  <c r="A7960" i="1"/>
  <c r="D4039" i="1"/>
  <c r="A4039" i="1"/>
  <c r="D7959" i="1"/>
  <c r="A7959" i="1"/>
  <c r="D4038" i="1"/>
  <c r="A4038" i="1"/>
  <c r="D7958" i="1"/>
  <c r="A7958" i="1"/>
  <c r="D4037" i="1"/>
  <c r="A4037" i="1"/>
  <c r="D7957" i="1"/>
  <c r="A7957" i="1"/>
  <c r="D7956" i="1"/>
  <c r="A7956" i="1"/>
  <c r="D7955" i="1"/>
  <c r="A7955" i="1"/>
  <c r="D7954" i="1"/>
  <c r="A7954" i="1"/>
  <c r="D4036" i="1"/>
  <c r="A4036" i="1"/>
  <c r="D7953" i="1"/>
  <c r="A7953" i="1"/>
  <c r="D7952" i="1"/>
  <c r="A7952" i="1"/>
  <c r="D7951" i="1"/>
  <c r="A7951" i="1"/>
  <c r="D7950" i="1"/>
  <c r="A7950" i="1"/>
  <c r="D7949" i="1"/>
  <c r="A7949" i="1"/>
  <c r="D7948" i="1"/>
  <c r="A7948" i="1"/>
  <c r="D7947" i="1"/>
  <c r="A7947" i="1"/>
  <c r="D7946" i="1"/>
  <c r="A7946" i="1"/>
  <c r="D4035" i="1"/>
  <c r="A4035" i="1"/>
  <c r="D4034" i="1"/>
  <c r="A4034" i="1"/>
  <c r="D4033" i="1"/>
  <c r="A4033" i="1"/>
  <c r="D7945" i="1"/>
  <c r="A7945" i="1"/>
  <c r="D4032" i="1"/>
  <c r="A4032" i="1"/>
  <c r="D7944" i="1"/>
  <c r="A7944" i="1"/>
  <c r="D7943" i="1"/>
  <c r="A7943" i="1"/>
  <c r="D7942" i="1"/>
  <c r="A7942" i="1"/>
  <c r="D7941" i="1"/>
  <c r="A7941" i="1"/>
  <c r="D4031" i="1"/>
  <c r="A4031" i="1"/>
  <c r="D7940" i="1"/>
  <c r="A7940" i="1"/>
  <c r="D7939" i="1"/>
  <c r="A7939" i="1"/>
  <c r="D4030" i="1"/>
  <c r="A4030" i="1"/>
  <c r="D7938" i="1"/>
  <c r="A7938" i="1"/>
  <c r="D7937" i="1"/>
  <c r="A7937" i="1"/>
  <c r="D456" i="1"/>
  <c r="A456" i="1"/>
  <c r="D4029" i="1"/>
  <c r="A4029" i="1"/>
  <c r="D7936" i="1"/>
  <c r="A7936" i="1"/>
  <c r="D7935" i="1"/>
  <c r="A7935" i="1"/>
  <c r="D455" i="1"/>
  <c r="A455" i="1"/>
  <c r="D7934" i="1"/>
  <c r="A7934" i="1"/>
  <c r="D7933" i="1"/>
  <c r="A7933" i="1"/>
  <c r="D7932" i="1"/>
  <c r="A7932" i="1"/>
  <c r="D7931" i="1"/>
  <c r="A7931" i="1"/>
  <c r="D4028" i="1"/>
  <c r="A4028" i="1"/>
  <c r="D7930" i="1"/>
  <c r="A7930" i="1"/>
  <c r="D4027" i="1"/>
  <c r="A4027" i="1"/>
  <c r="D4026" i="1"/>
  <c r="A4026" i="1"/>
  <c r="D7929" i="1"/>
  <c r="A7929" i="1"/>
  <c r="D4025" i="1"/>
  <c r="A4025" i="1"/>
  <c r="D7928" i="1"/>
  <c r="A7928" i="1"/>
  <c r="D454" i="1"/>
  <c r="A454" i="1"/>
  <c r="D7927" i="1"/>
  <c r="A7927" i="1"/>
  <c r="D453" i="1"/>
  <c r="A453" i="1"/>
  <c r="D7926" i="1"/>
  <c r="A7926" i="1"/>
  <c r="D7925" i="1"/>
  <c r="A7925" i="1"/>
  <c r="D4024" i="1"/>
  <c r="A4024" i="1"/>
  <c r="D7924" i="1"/>
  <c r="A7924" i="1"/>
  <c r="D4023" i="1"/>
  <c r="A4023" i="1"/>
  <c r="D7923" i="1"/>
  <c r="A7923" i="1"/>
  <c r="D7922" i="1"/>
  <c r="A7922" i="1"/>
  <c r="D7921" i="1"/>
  <c r="A7921" i="1"/>
  <c r="D7920" i="1"/>
  <c r="A7920" i="1"/>
  <c r="D7919" i="1"/>
  <c r="A7919" i="1"/>
  <c r="D7918" i="1"/>
  <c r="A7918" i="1"/>
  <c r="D7917" i="1"/>
  <c r="A7917" i="1"/>
  <c r="D4022" i="1"/>
  <c r="A4022" i="1"/>
  <c r="D7916" i="1"/>
  <c r="A7916" i="1"/>
  <c r="D4021" i="1"/>
  <c r="A4021" i="1"/>
  <c r="D4020" i="1"/>
  <c r="A4020" i="1"/>
  <c r="D7915" i="1"/>
  <c r="A7915" i="1"/>
  <c r="D7914" i="1"/>
  <c r="A7914" i="1"/>
  <c r="D7913" i="1"/>
  <c r="A7913" i="1"/>
  <c r="D7912" i="1"/>
  <c r="A7912" i="1"/>
  <c r="D7911" i="1"/>
  <c r="A7911" i="1"/>
  <c r="D7910" i="1"/>
  <c r="A7910" i="1"/>
  <c r="D7909" i="1"/>
  <c r="A7909" i="1"/>
  <c r="D7908" i="1"/>
  <c r="A7908" i="1"/>
  <c r="D7907" i="1"/>
  <c r="A7907" i="1"/>
  <c r="D7906" i="1"/>
  <c r="A7906" i="1"/>
  <c r="D7905" i="1"/>
  <c r="A7905" i="1"/>
  <c r="D4019" i="1"/>
  <c r="A4019" i="1"/>
  <c r="D7904" i="1"/>
  <c r="A7904" i="1"/>
  <c r="D4018" i="1"/>
  <c r="A4018" i="1"/>
  <c r="D7903" i="1"/>
  <c r="A7903" i="1"/>
  <c r="D7902" i="1"/>
  <c r="A7902" i="1"/>
  <c r="D7901" i="1"/>
  <c r="A7901" i="1"/>
  <c r="D7900" i="1"/>
  <c r="A7900" i="1"/>
  <c r="D7899" i="1"/>
  <c r="A7899" i="1"/>
  <c r="D7898" i="1"/>
  <c r="A7898" i="1"/>
  <c r="D452" i="1"/>
  <c r="A452" i="1"/>
  <c r="D7897" i="1"/>
  <c r="A7897" i="1"/>
  <c r="D7896" i="1"/>
  <c r="A7896" i="1"/>
  <c r="D7895" i="1"/>
  <c r="A7895" i="1"/>
  <c r="D7894" i="1"/>
  <c r="A7894" i="1"/>
  <c r="D7893" i="1"/>
  <c r="A7893" i="1"/>
  <c r="D7892" i="1"/>
  <c r="A7892" i="1"/>
  <c r="D7891" i="1"/>
  <c r="A7891" i="1"/>
  <c r="D7890" i="1"/>
  <c r="A7890" i="1"/>
  <c r="D4017" i="1"/>
  <c r="A4017" i="1"/>
  <c r="D7889" i="1"/>
  <c r="A7889" i="1"/>
  <c r="D4016" i="1"/>
  <c r="A4016" i="1"/>
  <c r="D7888" i="1"/>
  <c r="A7888" i="1"/>
  <c r="D7887" i="1"/>
  <c r="A7887" i="1"/>
  <c r="D7886" i="1"/>
  <c r="A7886" i="1"/>
  <c r="D451" i="1"/>
  <c r="A451" i="1"/>
  <c r="D4015" i="1"/>
  <c r="A4015" i="1"/>
  <c r="D7885" i="1"/>
  <c r="A7885" i="1"/>
  <c r="D4014" i="1"/>
  <c r="A4014" i="1"/>
  <c r="D4013" i="1"/>
  <c r="A4013" i="1"/>
  <c r="D450" i="1"/>
  <c r="A450" i="1"/>
  <c r="D7884" i="1"/>
  <c r="A7884" i="1"/>
  <c r="D7883" i="1"/>
  <c r="A7883" i="1"/>
  <c r="D7882" i="1"/>
  <c r="A7882" i="1"/>
  <c r="D4012" i="1"/>
  <c r="A4012" i="1"/>
  <c r="D4011" i="1"/>
  <c r="A4011" i="1"/>
  <c r="D4010" i="1"/>
  <c r="A4010" i="1"/>
  <c r="D7881" i="1"/>
  <c r="A7881" i="1"/>
  <c r="D4009" i="1"/>
  <c r="A4009" i="1"/>
  <c r="D7880" i="1"/>
  <c r="A7880" i="1"/>
  <c r="D7879" i="1"/>
  <c r="A7879" i="1"/>
  <c r="D7878" i="1"/>
  <c r="A7878" i="1"/>
  <c r="D7877" i="1"/>
  <c r="A7877" i="1"/>
  <c r="D7876" i="1"/>
  <c r="A7876" i="1"/>
  <c r="D4008" i="1"/>
  <c r="A4008" i="1"/>
  <c r="D7875" i="1"/>
  <c r="A7875" i="1"/>
  <c r="D4007" i="1"/>
  <c r="A4007" i="1"/>
  <c r="D7874" i="1"/>
  <c r="A7874" i="1"/>
  <c r="D7873" i="1"/>
  <c r="A7873" i="1"/>
  <c r="D4006" i="1"/>
  <c r="A4006" i="1"/>
  <c r="D7872" i="1"/>
  <c r="A7872" i="1"/>
  <c r="D7871" i="1"/>
  <c r="A7871" i="1"/>
  <c r="D7870" i="1"/>
  <c r="A7870" i="1"/>
  <c r="D7869" i="1"/>
  <c r="A7869" i="1"/>
  <c r="D4005" i="1"/>
  <c r="A4005" i="1"/>
  <c r="D7868" i="1"/>
  <c r="A7868" i="1"/>
  <c r="D7867" i="1"/>
  <c r="A7867" i="1"/>
  <c r="D7866" i="1"/>
  <c r="A7866" i="1"/>
  <c r="D7865" i="1"/>
  <c r="A7865" i="1"/>
  <c r="D7864" i="1"/>
  <c r="A7864" i="1"/>
  <c r="D7863" i="1"/>
  <c r="A7863" i="1"/>
  <c r="D7862" i="1"/>
  <c r="A7862" i="1"/>
  <c r="D7861" i="1"/>
  <c r="A7861" i="1"/>
  <c r="D4004" i="1"/>
  <c r="A4004" i="1"/>
  <c r="D449" i="1"/>
  <c r="A449" i="1"/>
  <c r="D4003" i="1"/>
  <c r="A4003" i="1"/>
  <c r="D7860" i="1"/>
  <c r="A7860" i="1"/>
  <c r="D4002" i="1"/>
  <c r="A4002" i="1"/>
  <c r="D7859" i="1"/>
  <c r="A7859" i="1"/>
  <c r="D4001" i="1"/>
  <c r="A4001" i="1"/>
  <c r="D7858" i="1"/>
  <c r="A7858" i="1"/>
  <c r="D7857" i="1"/>
  <c r="A7857" i="1"/>
  <c r="D7856" i="1"/>
  <c r="A7856" i="1"/>
  <c r="D7855" i="1"/>
  <c r="A7855" i="1"/>
  <c r="D7854" i="1"/>
  <c r="A7854" i="1"/>
  <c r="D4000" i="1"/>
  <c r="A4000" i="1"/>
  <c r="D7853" i="1"/>
  <c r="A7853" i="1"/>
  <c r="D7852" i="1"/>
  <c r="A7852" i="1"/>
  <c r="D3999" i="1"/>
  <c r="A3999" i="1"/>
  <c r="D7851" i="1"/>
  <c r="A7851" i="1"/>
  <c r="D7850" i="1"/>
  <c r="A7850" i="1"/>
  <c r="D3998" i="1"/>
  <c r="A3998" i="1"/>
  <c r="D7849" i="1"/>
  <c r="A7849" i="1"/>
  <c r="D3997" i="1"/>
  <c r="A3997" i="1"/>
  <c r="D3996" i="1"/>
  <c r="A3996" i="1"/>
  <c r="D3995" i="1"/>
  <c r="A3995" i="1"/>
  <c r="D7848" i="1"/>
  <c r="A7848" i="1"/>
  <c r="D7847" i="1"/>
  <c r="A7847" i="1"/>
  <c r="D7846" i="1"/>
  <c r="A7846" i="1"/>
  <c r="D7845" i="1"/>
  <c r="A7845" i="1"/>
  <c r="D448" i="1"/>
  <c r="A448" i="1"/>
  <c r="D7844" i="1"/>
  <c r="A7844" i="1"/>
  <c r="D7843" i="1"/>
  <c r="A7843" i="1"/>
  <c r="D7842" i="1"/>
  <c r="A7842" i="1"/>
  <c r="D7841" i="1"/>
  <c r="A7841" i="1"/>
  <c r="D7840" i="1"/>
  <c r="A7840" i="1"/>
  <c r="D7839" i="1"/>
  <c r="A7839" i="1"/>
  <c r="D7838" i="1"/>
  <c r="A7838" i="1"/>
  <c r="D7837" i="1"/>
  <c r="A7837" i="1"/>
  <c r="D7836" i="1"/>
  <c r="A7836" i="1"/>
  <c r="D7835" i="1"/>
  <c r="A7835" i="1"/>
  <c r="D7834" i="1"/>
  <c r="A7834" i="1"/>
  <c r="D7833" i="1"/>
  <c r="A7833" i="1"/>
  <c r="D7832" i="1"/>
  <c r="A7832" i="1"/>
  <c r="D7831" i="1"/>
  <c r="A7831" i="1"/>
  <c r="D7830" i="1"/>
  <c r="A7830" i="1"/>
  <c r="D7829" i="1"/>
  <c r="A7829" i="1"/>
  <c r="D7828" i="1"/>
  <c r="A7828" i="1"/>
  <c r="D7827" i="1"/>
  <c r="A7827" i="1"/>
  <c r="D3994" i="1"/>
  <c r="A3994" i="1"/>
  <c r="D7826" i="1"/>
  <c r="A7826" i="1"/>
  <c r="D7825" i="1"/>
  <c r="A7825" i="1"/>
  <c r="D1021" i="1"/>
  <c r="A1021" i="1"/>
  <c r="D447" i="1"/>
  <c r="A447" i="1"/>
  <c r="D7824" i="1"/>
  <c r="A7824" i="1"/>
  <c r="D7823" i="1"/>
  <c r="A7823" i="1"/>
  <c r="D7822" i="1"/>
  <c r="A7822" i="1"/>
  <c r="D7821" i="1"/>
  <c r="A7821" i="1"/>
  <c r="D3993" i="1"/>
  <c r="A3993" i="1"/>
  <c r="D3992" i="1"/>
  <c r="A3992" i="1"/>
  <c r="D7820" i="1"/>
  <c r="A7820" i="1"/>
  <c r="D3991" i="1"/>
  <c r="A3991" i="1"/>
  <c r="D3990" i="1"/>
  <c r="A3990" i="1"/>
  <c r="D7819" i="1"/>
  <c r="A7819" i="1"/>
  <c r="D7818" i="1"/>
  <c r="A7818" i="1"/>
  <c r="D7817" i="1"/>
  <c r="A7817" i="1"/>
  <c r="D7816" i="1"/>
  <c r="A7816" i="1"/>
  <c r="D7815" i="1"/>
  <c r="A7815" i="1"/>
  <c r="D7814" i="1"/>
  <c r="A7814" i="1"/>
  <c r="D3989" i="1"/>
  <c r="A3989" i="1"/>
  <c r="D7813" i="1"/>
  <c r="A7813" i="1"/>
  <c r="D7812" i="1"/>
  <c r="A7812" i="1"/>
  <c r="D7811" i="1"/>
  <c r="A7811" i="1"/>
  <c r="D3988" i="1"/>
  <c r="A3988" i="1"/>
  <c r="D7810" i="1"/>
  <c r="A7810" i="1"/>
  <c r="D7809" i="1"/>
  <c r="A7809" i="1"/>
  <c r="D7808" i="1"/>
  <c r="A7808" i="1"/>
  <c r="D7807" i="1"/>
  <c r="A7807" i="1"/>
  <c r="D446" i="1"/>
  <c r="A446" i="1"/>
  <c r="D3987" i="1"/>
  <c r="A3987" i="1"/>
  <c r="D7806" i="1"/>
  <c r="A7806" i="1"/>
  <c r="D3986" i="1"/>
  <c r="A3986" i="1"/>
  <c r="D7805" i="1"/>
  <c r="A7805" i="1"/>
  <c r="D3985" i="1"/>
  <c r="A3985" i="1"/>
  <c r="D7804" i="1"/>
  <c r="A7804" i="1"/>
  <c r="D7803" i="1"/>
  <c r="A7803" i="1"/>
  <c r="D7802" i="1"/>
  <c r="A7802" i="1"/>
  <c r="D7801" i="1"/>
  <c r="A7801" i="1"/>
  <c r="D7800" i="1"/>
  <c r="A7800" i="1"/>
  <c r="D7799" i="1"/>
  <c r="A7799" i="1"/>
  <c r="D7798" i="1"/>
  <c r="A7798" i="1"/>
  <c r="D7797" i="1"/>
  <c r="A7797" i="1"/>
  <c r="D7796" i="1"/>
  <c r="A7796" i="1"/>
  <c r="D7795" i="1"/>
  <c r="A7795" i="1"/>
  <c r="D3984" i="1"/>
  <c r="A3984" i="1"/>
  <c r="D7794" i="1"/>
  <c r="A7794" i="1"/>
  <c r="D7793" i="1"/>
  <c r="A7793" i="1"/>
  <c r="D7792" i="1"/>
  <c r="A7792" i="1"/>
  <c r="D7791" i="1"/>
  <c r="A7791" i="1"/>
  <c r="D7790" i="1"/>
  <c r="A7790" i="1"/>
  <c r="D7789" i="1"/>
  <c r="A7789" i="1"/>
  <c r="D7788" i="1"/>
  <c r="A7788" i="1"/>
  <c r="D7787" i="1"/>
  <c r="A7787" i="1"/>
  <c r="D7786" i="1"/>
  <c r="A7786" i="1"/>
  <c r="D7785" i="1"/>
  <c r="A7785" i="1"/>
  <c r="D7784" i="1"/>
  <c r="A7784" i="1"/>
  <c r="D7783" i="1"/>
  <c r="A7783" i="1"/>
  <c r="D7782" i="1"/>
  <c r="A7782" i="1"/>
  <c r="D7781" i="1"/>
  <c r="A7781" i="1"/>
  <c r="D7780" i="1"/>
  <c r="A7780" i="1"/>
  <c r="D7779" i="1"/>
  <c r="A7779" i="1"/>
  <c r="D7778" i="1"/>
  <c r="A7778" i="1"/>
  <c r="D7777" i="1"/>
  <c r="A7777" i="1"/>
  <c r="D7776" i="1"/>
  <c r="A7776" i="1"/>
  <c r="D7775" i="1"/>
  <c r="A7775" i="1"/>
  <c r="D3983" i="1"/>
  <c r="A3983" i="1"/>
  <c r="D3982" i="1"/>
  <c r="A3982" i="1"/>
  <c r="D3981" i="1"/>
  <c r="A3981" i="1"/>
  <c r="D3980" i="1"/>
  <c r="A3980" i="1"/>
  <c r="D3979" i="1"/>
  <c r="A3979" i="1"/>
  <c r="D7774" i="1"/>
  <c r="A7774" i="1"/>
  <c r="D7773" i="1"/>
  <c r="A7773" i="1"/>
  <c r="D3978" i="1"/>
  <c r="A3978" i="1"/>
  <c r="D3977" i="1"/>
  <c r="A3977" i="1"/>
  <c r="D7772" i="1"/>
  <c r="A7772" i="1"/>
  <c r="D7771" i="1"/>
  <c r="A7771" i="1"/>
  <c r="D3976" i="1"/>
  <c r="A3976" i="1"/>
  <c r="D7770" i="1"/>
  <c r="A7770" i="1"/>
  <c r="D3975" i="1"/>
  <c r="A3975" i="1"/>
  <c r="D7769" i="1"/>
  <c r="A7769" i="1"/>
  <c r="D7768" i="1"/>
  <c r="A7768" i="1"/>
  <c r="D7767" i="1"/>
  <c r="A7767" i="1"/>
  <c r="D7766" i="1"/>
  <c r="A7766" i="1"/>
  <c r="D7765" i="1"/>
  <c r="A7765" i="1"/>
  <c r="D7764" i="1"/>
  <c r="A7764" i="1"/>
  <c r="D1020" i="1"/>
  <c r="A1020" i="1"/>
  <c r="D7763" i="1"/>
  <c r="A7763" i="1"/>
  <c r="D7762" i="1"/>
  <c r="A7762" i="1"/>
  <c r="D7761" i="1"/>
  <c r="A7761" i="1"/>
  <c r="D7760" i="1"/>
  <c r="A7760" i="1"/>
  <c r="D7759" i="1"/>
  <c r="A7759" i="1"/>
  <c r="D7758" i="1"/>
  <c r="A7758" i="1"/>
  <c r="D7757" i="1"/>
  <c r="A7757" i="1"/>
  <c r="D445" i="1"/>
  <c r="A445" i="1"/>
  <c r="D3974" i="1"/>
  <c r="A3974" i="1"/>
  <c r="D3973" i="1"/>
  <c r="A3973" i="1"/>
  <c r="D3972" i="1"/>
  <c r="A3972" i="1"/>
  <c r="D3971" i="1"/>
  <c r="A3971" i="1"/>
  <c r="D7756" i="1"/>
  <c r="A7756" i="1"/>
  <c r="D3970" i="1"/>
  <c r="A3970" i="1"/>
  <c r="D7755" i="1"/>
  <c r="A7755" i="1"/>
  <c r="D3969" i="1"/>
  <c r="A3969" i="1"/>
  <c r="D7754" i="1"/>
  <c r="A7754" i="1"/>
  <c r="D7753" i="1"/>
  <c r="A7753" i="1"/>
  <c r="D7752" i="1"/>
  <c r="A7752" i="1"/>
  <c r="D1019" i="1"/>
  <c r="A1019" i="1"/>
  <c r="D7751" i="1"/>
  <c r="A7751" i="1"/>
  <c r="D3968" i="1"/>
  <c r="A3968" i="1"/>
  <c r="D444" i="1"/>
  <c r="A444" i="1"/>
  <c r="D443" i="1"/>
  <c r="A443" i="1"/>
  <c r="D442" i="1"/>
  <c r="A442" i="1"/>
  <c r="D3967" i="1"/>
  <c r="A3967" i="1"/>
  <c r="D7750" i="1"/>
  <c r="A7750" i="1"/>
  <c r="D7749" i="1"/>
  <c r="A7749" i="1"/>
  <c r="D7748" i="1"/>
  <c r="A7748" i="1"/>
  <c r="D3966" i="1"/>
  <c r="A3966" i="1"/>
  <c r="D7747" i="1"/>
  <c r="A7747" i="1"/>
  <c r="D3965" i="1"/>
  <c r="A3965" i="1"/>
  <c r="D7746" i="1"/>
  <c r="A7746" i="1"/>
  <c r="D7745" i="1"/>
  <c r="A7745" i="1"/>
  <c r="D3964" i="1"/>
  <c r="A3964" i="1"/>
  <c r="D7744" i="1"/>
  <c r="A7744" i="1"/>
  <c r="D7743" i="1"/>
  <c r="A7743" i="1"/>
  <c r="D7742" i="1"/>
  <c r="A7742" i="1"/>
  <c r="D7741" i="1"/>
  <c r="A7741" i="1"/>
  <c r="D7740" i="1"/>
  <c r="A7740" i="1"/>
  <c r="D7739" i="1"/>
  <c r="A7739" i="1"/>
  <c r="D7738" i="1"/>
  <c r="A7738" i="1"/>
  <c r="D3963" i="1"/>
  <c r="A3963" i="1"/>
  <c r="D7737" i="1"/>
  <c r="A7737" i="1"/>
  <c r="D3962" i="1"/>
  <c r="A3962" i="1"/>
  <c r="D7736" i="1"/>
  <c r="A7736" i="1"/>
  <c r="D7735" i="1"/>
  <c r="A7735" i="1"/>
  <c r="D7734" i="1"/>
  <c r="A7734" i="1"/>
  <c r="D3961" i="1"/>
  <c r="A3961" i="1"/>
  <c r="D7733" i="1"/>
  <c r="A7733" i="1"/>
  <c r="D3960" i="1"/>
  <c r="A3960" i="1"/>
  <c r="D7732" i="1"/>
  <c r="A7732" i="1"/>
  <c r="D7731" i="1"/>
  <c r="A7731" i="1"/>
  <c r="D7730" i="1"/>
  <c r="A7730" i="1"/>
  <c r="D7729" i="1"/>
  <c r="A7729" i="1"/>
  <c r="D7728" i="1"/>
  <c r="A7728" i="1"/>
  <c r="D3959" i="1"/>
  <c r="A3959" i="1"/>
  <c r="D7727" i="1"/>
  <c r="A7727" i="1"/>
  <c r="D3958" i="1"/>
  <c r="A3958" i="1"/>
  <c r="D7726" i="1"/>
  <c r="A7726" i="1"/>
  <c r="D1018" i="1"/>
  <c r="A1018" i="1"/>
  <c r="D7725" i="1"/>
  <c r="A7725" i="1"/>
  <c r="D1017" i="1"/>
  <c r="A1017" i="1"/>
  <c r="D7724" i="1"/>
  <c r="A7724" i="1"/>
  <c r="D7723" i="1"/>
  <c r="A7723" i="1"/>
  <c r="D3957" i="1"/>
  <c r="A3957" i="1"/>
  <c r="D7722" i="1"/>
  <c r="A7722" i="1"/>
  <c r="D1016" i="1"/>
  <c r="A1016" i="1"/>
  <c r="D7721" i="1"/>
  <c r="A7721" i="1"/>
  <c r="D7720" i="1"/>
  <c r="A7720" i="1"/>
  <c r="D7719" i="1"/>
  <c r="A7719" i="1"/>
  <c r="D1015" i="1"/>
  <c r="A1015" i="1"/>
  <c r="D7718" i="1"/>
  <c r="A7718" i="1"/>
  <c r="D3956" i="1"/>
  <c r="A3956" i="1"/>
  <c r="D441" i="1"/>
  <c r="A441" i="1"/>
  <c r="D440" i="1"/>
  <c r="A440" i="1"/>
  <c r="D3955" i="1"/>
  <c r="A3955" i="1"/>
  <c r="D7717" i="1"/>
  <c r="A7717" i="1"/>
  <c r="D3954" i="1"/>
  <c r="A3954" i="1"/>
  <c r="D439" i="1"/>
  <c r="A439" i="1"/>
  <c r="D1014" i="1"/>
  <c r="A1014" i="1"/>
  <c r="D3953" i="1"/>
  <c r="A3953" i="1"/>
  <c r="D438" i="1"/>
  <c r="A438" i="1"/>
  <c r="D7716" i="1"/>
  <c r="A7716" i="1"/>
  <c r="D7715" i="1"/>
  <c r="A7715" i="1"/>
  <c r="D7714" i="1"/>
  <c r="A7714" i="1"/>
  <c r="D7713" i="1"/>
  <c r="A7713" i="1"/>
  <c r="D3952" i="1"/>
  <c r="A3952" i="1"/>
  <c r="D7712" i="1"/>
  <c r="A7712" i="1"/>
  <c r="D3951" i="1"/>
  <c r="A3951" i="1"/>
  <c r="D3950" i="1"/>
  <c r="A3950" i="1"/>
  <c r="D7711" i="1"/>
  <c r="A7711" i="1"/>
  <c r="D7710" i="1"/>
  <c r="A7710" i="1"/>
  <c r="D1013" i="1"/>
  <c r="A1013" i="1"/>
  <c r="D7709" i="1"/>
  <c r="A7709" i="1"/>
  <c r="D3949" i="1"/>
  <c r="A3949" i="1"/>
  <c r="D3948" i="1"/>
  <c r="A3948" i="1"/>
  <c r="D7708" i="1"/>
  <c r="A7708" i="1"/>
  <c r="D7707" i="1"/>
  <c r="A7707" i="1"/>
  <c r="D7706" i="1"/>
  <c r="A7706" i="1"/>
  <c r="D437" i="1"/>
  <c r="A437" i="1"/>
  <c r="D3947" i="1"/>
  <c r="A3947" i="1"/>
  <c r="D7705" i="1"/>
  <c r="A7705" i="1"/>
  <c r="D7704" i="1"/>
  <c r="A7704" i="1"/>
  <c r="D7703" i="1"/>
  <c r="A7703" i="1"/>
  <c r="D7702" i="1"/>
  <c r="A7702" i="1"/>
  <c r="D7701" i="1"/>
  <c r="A7701" i="1"/>
  <c r="D436" i="1"/>
  <c r="A436" i="1"/>
  <c r="D1012" i="1"/>
  <c r="A1012" i="1"/>
  <c r="D7700" i="1"/>
  <c r="A7700" i="1"/>
  <c r="D7699" i="1"/>
  <c r="A7699" i="1"/>
  <c r="D7698" i="1"/>
  <c r="A7698" i="1"/>
  <c r="D7697" i="1"/>
  <c r="A7697" i="1"/>
  <c r="D7696" i="1"/>
  <c r="A7696" i="1"/>
  <c r="D3946" i="1"/>
  <c r="A3946" i="1"/>
  <c r="D7695" i="1"/>
  <c r="A7695" i="1"/>
  <c r="D7694" i="1"/>
  <c r="A7694" i="1"/>
  <c r="D3945" i="1"/>
  <c r="A3945" i="1"/>
  <c r="D7693" i="1"/>
  <c r="A7693" i="1"/>
  <c r="D7692" i="1"/>
  <c r="A7692" i="1"/>
  <c r="D3944" i="1"/>
  <c r="A3944" i="1"/>
  <c r="D7691" i="1"/>
  <c r="A7691" i="1"/>
  <c r="D7690" i="1"/>
  <c r="A7690" i="1"/>
  <c r="D7689" i="1"/>
  <c r="A7689" i="1"/>
  <c r="D7688" i="1"/>
  <c r="A7688" i="1"/>
  <c r="D7687" i="1"/>
  <c r="A7687" i="1"/>
  <c r="D7686" i="1"/>
  <c r="A7686" i="1"/>
  <c r="D7685" i="1"/>
  <c r="A7685" i="1"/>
  <c r="D7684" i="1"/>
  <c r="A7684" i="1"/>
  <c r="D7683" i="1"/>
  <c r="A7683" i="1"/>
  <c r="D7682" i="1"/>
  <c r="A7682" i="1"/>
  <c r="D435" i="1"/>
  <c r="A435" i="1"/>
  <c r="D7681" i="1"/>
  <c r="A7681" i="1"/>
  <c r="D7680" i="1"/>
  <c r="A7680" i="1"/>
  <c r="D434" i="1"/>
  <c r="A434" i="1"/>
  <c r="D7679" i="1"/>
  <c r="A7679" i="1"/>
  <c r="D3943" i="1"/>
  <c r="A3943" i="1"/>
  <c r="D1011" i="1"/>
  <c r="A1011" i="1"/>
  <c r="D7678" i="1"/>
  <c r="A7678" i="1"/>
  <c r="D7677" i="1"/>
  <c r="A7677" i="1"/>
  <c r="D7676" i="1"/>
  <c r="A7676" i="1"/>
  <c r="D3942" i="1"/>
  <c r="A3942" i="1"/>
  <c r="D7675" i="1"/>
  <c r="A7675" i="1"/>
  <c r="D3941" i="1"/>
  <c r="A3941" i="1"/>
  <c r="D433" i="1"/>
  <c r="A433" i="1"/>
  <c r="D7674" i="1"/>
  <c r="A7674" i="1"/>
  <c r="D3940" i="1"/>
  <c r="A3940" i="1"/>
  <c r="D7673" i="1"/>
  <c r="A7673" i="1"/>
  <c r="D7672" i="1"/>
  <c r="A7672" i="1"/>
  <c r="D7671" i="1"/>
  <c r="A7671" i="1"/>
  <c r="D7670" i="1"/>
  <c r="A7670" i="1"/>
  <c r="D7669" i="1"/>
  <c r="A7669" i="1"/>
  <c r="D7668" i="1"/>
  <c r="A7668" i="1"/>
  <c r="D3939" i="1"/>
  <c r="A3939" i="1"/>
  <c r="D7667" i="1"/>
  <c r="A7667" i="1"/>
  <c r="D7666" i="1"/>
  <c r="A7666" i="1"/>
  <c r="D7665" i="1"/>
  <c r="A7665" i="1"/>
  <c r="D3938" i="1"/>
  <c r="A3938" i="1"/>
  <c r="D3937" i="1"/>
  <c r="A3937" i="1"/>
  <c r="D3936" i="1"/>
  <c r="A3936" i="1"/>
  <c r="D3935" i="1"/>
  <c r="A3935" i="1"/>
  <c r="D7664" i="1"/>
  <c r="A7664" i="1"/>
  <c r="D7663" i="1"/>
  <c r="A7663" i="1"/>
  <c r="D7662" i="1"/>
  <c r="A7662" i="1"/>
  <c r="D7661" i="1"/>
  <c r="A7661" i="1"/>
  <c r="D7660" i="1"/>
  <c r="A7660" i="1"/>
  <c r="D7659" i="1"/>
  <c r="A7659" i="1"/>
  <c r="D7658" i="1"/>
  <c r="A7658" i="1"/>
  <c r="D7657" i="1"/>
  <c r="A7657" i="1"/>
  <c r="D7656" i="1"/>
  <c r="A7656" i="1"/>
  <c r="D7655" i="1"/>
  <c r="A7655" i="1"/>
  <c r="D7654" i="1"/>
  <c r="A7654" i="1"/>
  <c r="D7653" i="1"/>
  <c r="A7653" i="1"/>
  <c r="D7652" i="1"/>
  <c r="A7652" i="1"/>
  <c r="D7651" i="1"/>
  <c r="A7651" i="1"/>
  <c r="D7650" i="1"/>
  <c r="A7650" i="1"/>
  <c r="D7649" i="1"/>
  <c r="A7649" i="1"/>
  <c r="D7648" i="1"/>
  <c r="A7648" i="1"/>
  <c r="D7647" i="1"/>
  <c r="A7647" i="1"/>
  <c r="D7646" i="1"/>
  <c r="A7646" i="1"/>
  <c r="D7645" i="1"/>
  <c r="A7645" i="1"/>
  <c r="D7644" i="1"/>
  <c r="A7644" i="1"/>
  <c r="D3934" i="1"/>
  <c r="A3934" i="1"/>
  <c r="D7643" i="1"/>
  <c r="A7643" i="1"/>
  <c r="D7642" i="1"/>
  <c r="A7642" i="1"/>
  <c r="D7641" i="1"/>
  <c r="A7641" i="1"/>
  <c r="D7640" i="1"/>
  <c r="A7640" i="1"/>
  <c r="D7639" i="1"/>
  <c r="A7639" i="1"/>
  <c r="D7638" i="1"/>
  <c r="A7638" i="1"/>
  <c r="D7637" i="1"/>
  <c r="A7637" i="1"/>
  <c r="D7636" i="1"/>
  <c r="A7636" i="1"/>
  <c r="D3933" i="1"/>
  <c r="A3933" i="1"/>
  <c r="D7635" i="1"/>
  <c r="A7635" i="1"/>
  <c r="D7634" i="1"/>
  <c r="A7634" i="1"/>
  <c r="D7633" i="1"/>
  <c r="A7633" i="1"/>
  <c r="D7632" i="1"/>
  <c r="A7632" i="1"/>
  <c r="D7631" i="1"/>
  <c r="A7631" i="1"/>
  <c r="D7630" i="1"/>
  <c r="A7630" i="1"/>
  <c r="D7629" i="1"/>
  <c r="A7629" i="1"/>
  <c r="D7628" i="1"/>
  <c r="A7628" i="1"/>
  <c r="D7627" i="1"/>
  <c r="A7627" i="1"/>
  <c r="D7626" i="1"/>
  <c r="A7626" i="1"/>
  <c r="D7625" i="1"/>
  <c r="A7625" i="1"/>
  <c r="D7624" i="1"/>
  <c r="A7624" i="1"/>
  <c r="D7623" i="1"/>
  <c r="A7623" i="1"/>
  <c r="D432" i="1"/>
  <c r="A432" i="1"/>
  <c r="D7622" i="1"/>
  <c r="A7622" i="1"/>
  <c r="D7621" i="1"/>
  <c r="A7621" i="1"/>
  <c r="D7620" i="1"/>
  <c r="A7620" i="1"/>
  <c r="D431" i="1"/>
  <c r="A431" i="1"/>
  <c r="D7619" i="1"/>
  <c r="A7619" i="1"/>
  <c r="D430" i="1"/>
  <c r="A430" i="1"/>
  <c r="D7618" i="1"/>
  <c r="A7618" i="1"/>
  <c r="D7617" i="1"/>
  <c r="A7617" i="1"/>
  <c r="D7616" i="1"/>
  <c r="A7616" i="1"/>
  <c r="D3932" i="1"/>
  <c r="A3932" i="1"/>
  <c r="D3931" i="1"/>
  <c r="A3931" i="1"/>
  <c r="D7615" i="1"/>
  <c r="A7615" i="1"/>
  <c r="D7614" i="1"/>
  <c r="A7614" i="1"/>
  <c r="D7613" i="1"/>
  <c r="A7613" i="1"/>
  <c r="D7612" i="1"/>
  <c r="A7612" i="1"/>
  <c r="D7611" i="1"/>
  <c r="A7611" i="1"/>
  <c r="D7610" i="1"/>
  <c r="A7610" i="1"/>
  <c r="D429" i="1"/>
  <c r="A429" i="1"/>
  <c r="D3930" i="1"/>
  <c r="A3930" i="1"/>
  <c r="D3929" i="1"/>
  <c r="A3929" i="1"/>
  <c r="D428" i="1"/>
  <c r="A428" i="1"/>
  <c r="D3928" i="1"/>
  <c r="A3928" i="1"/>
  <c r="D7609" i="1"/>
  <c r="A7609" i="1"/>
  <c r="D427" i="1"/>
  <c r="A427" i="1"/>
  <c r="D3927" i="1"/>
  <c r="A3927" i="1"/>
  <c r="D426" i="1"/>
  <c r="A426" i="1"/>
  <c r="D3926" i="1"/>
  <c r="A3926" i="1"/>
  <c r="D7608" i="1"/>
  <c r="A7608" i="1"/>
  <c r="D7607" i="1"/>
  <c r="A7607" i="1"/>
  <c r="D7606" i="1"/>
  <c r="A7606" i="1"/>
  <c r="D3925" i="1"/>
  <c r="A3925" i="1"/>
  <c r="D7605" i="1"/>
  <c r="A7605" i="1"/>
  <c r="D7604" i="1"/>
  <c r="A7604" i="1"/>
  <c r="D3924" i="1"/>
  <c r="A3924" i="1"/>
  <c r="D7603" i="1"/>
  <c r="A7603" i="1"/>
  <c r="D3923" i="1"/>
  <c r="A3923" i="1"/>
  <c r="D7602" i="1"/>
  <c r="A7602" i="1"/>
  <c r="D1010" i="1"/>
  <c r="A1010" i="1"/>
  <c r="D3922" i="1"/>
  <c r="A3922" i="1"/>
  <c r="D7601" i="1"/>
  <c r="A7601" i="1"/>
  <c r="D7600" i="1"/>
  <c r="A7600" i="1"/>
  <c r="D7599" i="1"/>
  <c r="A7599" i="1"/>
  <c r="D3921" i="1"/>
  <c r="A3921" i="1"/>
  <c r="D7598" i="1"/>
  <c r="A7598" i="1"/>
  <c r="D7597" i="1"/>
  <c r="A7597" i="1"/>
  <c r="D7596" i="1"/>
  <c r="A7596" i="1"/>
  <c r="D7595" i="1"/>
  <c r="A7595" i="1"/>
  <c r="D7594" i="1"/>
  <c r="A7594" i="1"/>
  <c r="D7593" i="1"/>
  <c r="A7593" i="1"/>
  <c r="D7592" i="1"/>
  <c r="A7592" i="1"/>
  <c r="D7591" i="1"/>
  <c r="A7591" i="1"/>
  <c r="D3920" i="1"/>
  <c r="A3920" i="1"/>
  <c r="D7590" i="1"/>
  <c r="A7590" i="1"/>
  <c r="D7589" i="1"/>
  <c r="A7589" i="1"/>
  <c r="D7588" i="1"/>
  <c r="A7588" i="1"/>
  <c r="D7587" i="1"/>
  <c r="A7587" i="1"/>
  <c r="D7586" i="1"/>
  <c r="A7586" i="1"/>
  <c r="D7585" i="1"/>
  <c r="A7585" i="1"/>
  <c r="D7584" i="1"/>
  <c r="A7584" i="1"/>
  <c r="D7583" i="1"/>
  <c r="A7583" i="1"/>
  <c r="D7582" i="1"/>
  <c r="A7582" i="1"/>
  <c r="D7581" i="1"/>
  <c r="A7581" i="1"/>
  <c r="D7580" i="1"/>
  <c r="A7580" i="1"/>
  <c r="D7579" i="1"/>
  <c r="A7579" i="1"/>
  <c r="D7578" i="1"/>
  <c r="A7578" i="1"/>
  <c r="D7577" i="1"/>
  <c r="A7577" i="1"/>
  <c r="D7576" i="1"/>
  <c r="A7576" i="1"/>
  <c r="D1009" i="1"/>
  <c r="A1009" i="1"/>
  <c r="D7575" i="1"/>
  <c r="A7575" i="1"/>
  <c r="D7574" i="1"/>
  <c r="A7574" i="1"/>
  <c r="D7573" i="1"/>
  <c r="A7573" i="1"/>
  <c r="D7572" i="1"/>
  <c r="A7572" i="1"/>
  <c r="D7571" i="1"/>
  <c r="A7571" i="1"/>
  <c r="D3919" i="1"/>
  <c r="A3919" i="1"/>
  <c r="D7570" i="1"/>
  <c r="A7570" i="1"/>
  <c r="D7569" i="1"/>
  <c r="A7569" i="1"/>
  <c r="D7568" i="1"/>
  <c r="A7568" i="1"/>
  <c r="D7567" i="1"/>
  <c r="A7567" i="1"/>
  <c r="D7566" i="1"/>
  <c r="A7566" i="1"/>
  <c r="D7565" i="1"/>
  <c r="A7565" i="1"/>
  <c r="D1008" i="1"/>
  <c r="A1008" i="1"/>
  <c r="D7564" i="1"/>
  <c r="A7564" i="1"/>
  <c r="D3918" i="1"/>
  <c r="A3918" i="1"/>
  <c r="D7563" i="1"/>
  <c r="A7563" i="1"/>
  <c r="D7562" i="1"/>
  <c r="A7562" i="1"/>
  <c r="D7561" i="1"/>
  <c r="A7561" i="1"/>
  <c r="D3917" i="1"/>
  <c r="A3917" i="1"/>
  <c r="D3916" i="1"/>
  <c r="A3916" i="1"/>
  <c r="D7560" i="1"/>
  <c r="A7560" i="1"/>
  <c r="D7559" i="1"/>
  <c r="A7559" i="1"/>
  <c r="D425" i="1"/>
  <c r="A425" i="1"/>
  <c r="D7558" i="1"/>
  <c r="A7558" i="1"/>
  <c r="D3915" i="1"/>
  <c r="A3915" i="1"/>
  <c r="D7557" i="1"/>
  <c r="A7557" i="1"/>
  <c r="D7556" i="1"/>
  <c r="A7556" i="1"/>
  <c r="D3914" i="1"/>
  <c r="A3914" i="1"/>
  <c r="D3913" i="1"/>
  <c r="A3913" i="1"/>
  <c r="D7555" i="1"/>
  <c r="A7555" i="1"/>
  <c r="D7554" i="1"/>
  <c r="A7554" i="1"/>
  <c r="D424" i="1"/>
  <c r="A424" i="1"/>
  <c r="D7553" i="1"/>
  <c r="A7553" i="1"/>
  <c r="D7552" i="1"/>
  <c r="A7552" i="1"/>
  <c r="D7551" i="1"/>
  <c r="A7551" i="1"/>
  <c r="D7550" i="1"/>
  <c r="A7550" i="1"/>
  <c r="D7549" i="1"/>
  <c r="A7549" i="1"/>
  <c r="D3912" i="1"/>
  <c r="A3912" i="1"/>
  <c r="D7548" i="1"/>
  <c r="A7548" i="1"/>
  <c r="D7547" i="1"/>
  <c r="A7547" i="1"/>
  <c r="D3911" i="1"/>
  <c r="A3911" i="1"/>
  <c r="D7546" i="1"/>
  <c r="A7546" i="1"/>
  <c r="D3910" i="1"/>
  <c r="A3910" i="1"/>
  <c r="D7545" i="1"/>
  <c r="A7545" i="1"/>
  <c r="D3909" i="1"/>
  <c r="A3909" i="1"/>
  <c r="D7544" i="1"/>
  <c r="A7544" i="1"/>
  <c r="D7543" i="1"/>
  <c r="A7543" i="1"/>
  <c r="D7542" i="1"/>
  <c r="A7542" i="1"/>
  <c r="D7541" i="1"/>
  <c r="A7541" i="1"/>
  <c r="D7540" i="1"/>
  <c r="A7540" i="1"/>
  <c r="D7539" i="1"/>
  <c r="A7539" i="1"/>
  <c r="D423" i="1"/>
  <c r="A423" i="1"/>
  <c r="D7538" i="1"/>
  <c r="A7538" i="1"/>
  <c r="D7537" i="1"/>
  <c r="A7537" i="1"/>
  <c r="D7536" i="1"/>
  <c r="A7536" i="1"/>
  <c r="D7535" i="1"/>
  <c r="A7535" i="1"/>
  <c r="D3908" i="1"/>
  <c r="A3908" i="1"/>
  <c r="D7534" i="1"/>
  <c r="A7534" i="1"/>
  <c r="D7533" i="1"/>
  <c r="A7533" i="1"/>
  <c r="D7532" i="1"/>
  <c r="A7532" i="1"/>
  <c r="D7531" i="1"/>
  <c r="A7531" i="1"/>
  <c r="D3907" i="1"/>
  <c r="A3907" i="1"/>
  <c r="D7530" i="1"/>
  <c r="A7530" i="1"/>
  <c r="D7529" i="1"/>
  <c r="A7529" i="1"/>
  <c r="D3906" i="1"/>
  <c r="A3906" i="1"/>
  <c r="D3905" i="1"/>
  <c r="A3905" i="1"/>
  <c r="D7528" i="1"/>
  <c r="A7528" i="1"/>
  <c r="D7527" i="1"/>
  <c r="A7527" i="1"/>
  <c r="D7526" i="1"/>
  <c r="A7526" i="1"/>
  <c r="D3904" i="1"/>
  <c r="A3904" i="1"/>
  <c r="D7525" i="1"/>
  <c r="A7525" i="1"/>
  <c r="D7524" i="1"/>
  <c r="A7524" i="1"/>
  <c r="D7523" i="1"/>
  <c r="A7523" i="1"/>
  <c r="D7522" i="1"/>
  <c r="A7522" i="1"/>
  <c r="D3903" i="1"/>
  <c r="A3903" i="1"/>
  <c r="D7521" i="1"/>
  <c r="A7521" i="1"/>
  <c r="D422" i="1"/>
  <c r="A422" i="1"/>
  <c r="D7520" i="1"/>
  <c r="A7520" i="1"/>
  <c r="D7519" i="1"/>
  <c r="A7519" i="1"/>
  <c r="D7518" i="1"/>
  <c r="A7518" i="1"/>
  <c r="D7517" i="1"/>
  <c r="A7517" i="1"/>
  <c r="D3902" i="1"/>
  <c r="A3902" i="1"/>
  <c r="D3901" i="1"/>
  <c r="A3901" i="1"/>
  <c r="D7516" i="1"/>
  <c r="A7516" i="1"/>
  <c r="D7515" i="1"/>
  <c r="A7515" i="1"/>
  <c r="D7514" i="1"/>
  <c r="A7514" i="1"/>
  <c r="D7513" i="1"/>
  <c r="A7513" i="1"/>
  <c r="D3900" i="1"/>
  <c r="A3900" i="1"/>
  <c r="D3899" i="1"/>
  <c r="A3899" i="1"/>
  <c r="D3898" i="1"/>
  <c r="A3898" i="1"/>
  <c r="D3897" i="1"/>
  <c r="A3897" i="1"/>
  <c r="D7512" i="1"/>
  <c r="A7512" i="1"/>
  <c r="D421" i="1"/>
  <c r="A421" i="1"/>
  <c r="D7511" i="1"/>
  <c r="A7511" i="1"/>
  <c r="D3896" i="1"/>
  <c r="A3896" i="1"/>
  <c r="D7510" i="1"/>
  <c r="A7510" i="1"/>
  <c r="D7509" i="1"/>
  <c r="A7509" i="1"/>
  <c r="D7508" i="1"/>
  <c r="A7508" i="1"/>
  <c r="D7507" i="1"/>
  <c r="A7507" i="1"/>
  <c r="D3895" i="1"/>
  <c r="A3895" i="1"/>
  <c r="D7506" i="1"/>
  <c r="A7506" i="1"/>
  <c r="D7505" i="1"/>
  <c r="A7505" i="1"/>
  <c r="D7504" i="1"/>
  <c r="A7504" i="1"/>
  <c r="D7503" i="1"/>
  <c r="A7503" i="1"/>
  <c r="D7502" i="1"/>
  <c r="A7502" i="1"/>
  <c r="D7501" i="1"/>
  <c r="A7501" i="1"/>
  <c r="D7500" i="1"/>
  <c r="A7500" i="1"/>
  <c r="D3894" i="1"/>
  <c r="A3894" i="1"/>
  <c r="D1007" i="1"/>
  <c r="A1007" i="1"/>
  <c r="D7499" i="1"/>
  <c r="A7499" i="1"/>
  <c r="D420" i="1"/>
  <c r="A420" i="1"/>
  <c r="D3893" i="1"/>
  <c r="A3893" i="1"/>
  <c r="D3892" i="1"/>
  <c r="A3892" i="1"/>
  <c r="D7498" i="1"/>
  <c r="A7498" i="1"/>
  <c r="D7497" i="1"/>
  <c r="A7497" i="1"/>
  <c r="D419" i="1"/>
  <c r="A419" i="1"/>
  <c r="D3891" i="1"/>
  <c r="A3891" i="1"/>
  <c r="D7496" i="1"/>
  <c r="A7496" i="1"/>
  <c r="D3890" i="1"/>
  <c r="A3890" i="1"/>
  <c r="D3889" i="1"/>
  <c r="A3889" i="1"/>
  <c r="D7495" i="1"/>
  <c r="A7495" i="1"/>
  <c r="D1006" i="1"/>
  <c r="A1006" i="1"/>
  <c r="D7494" i="1"/>
  <c r="A7494" i="1"/>
  <c r="D3888" i="1"/>
  <c r="A3888" i="1"/>
  <c r="D3887" i="1"/>
  <c r="A3887" i="1"/>
  <c r="D7493" i="1"/>
  <c r="A7493" i="1"/>
  <c r="D3886" i="1"/>
  <c r="A3886" i="1"/>
  <c r="D7492" i="1"/>
  <c r="A7492" i="1"/>
  <c r="D3885" i="1"/>
  <c r="A3885" i="1"/>
  <c r="D3884" i="1"/>
  <c r="A3884" i="1"/>
  <c r="D7491" i="1"/>
  <c r="A7491" i="1"/>
  <c r="D7490" i="1"/>
  <c r="A7490" i="1"/>
  <c r="D3883" i="1"/>
  <c r="A3883" i="1"/>
  <c r="D7489" i="1"/>
  <c r="A7489" i="1"/>
  <c r="D418" i="1"/>
  <c r="A418" i="1"/>
  <c r="D7488" i="1"/>
  <c r="A7488" i="1"/>
  <c r="D7487" i="1"/>
  <c r="A7487" i="1"/>
  <c r="D7486" i="1"/>
  <c r="A7486" i="1"/>
  <c r="D3882" i="1"/>
  <c r="A3882" i="1"/>
  <c r="D7485" i="1"/>
  <c r="A7485" i="1"/>
  <c r="D7484" i="1"/>
  <c r="A7484" i="1"/>
  <c r="D7483" i="1"/>
  <c r="A7483" i="1"/>
  <c r="D7482" i="1"/>
  <c r="A7482" i="1"/>
  <c r="D7481" i="1"/>
  <c r="A7481" i="1"/>
  <c r="D7480" i="1"/>
  <c r="A7480" i="1"/>
  <c r="D3881" i="1"/>
  <c r="A3881" i="1"/>
  <c r="D3880" i="1"/>
  <c r="A3880" i="1"/>
  <c r="D7479" i="1"/>
  <c r="A7479" i="1"/>
  <c r="D7478" i="1"/>
  <c r="A7478" i="1"/>
  <c r="D7477" i="1"/>
  <c r="A7477" i="1"/>
  <c r="D7476" i="1"/>
  <c r="A7476" i="1"/>
  <c r="D3879" i="1"/>
  <c r="A3879" i="1"/>
  <c r="D3878" i="1"/>
  <c r="A3878" i="1"/>
  <c r="D7475" i="1"/>
  <c r="A7475" i="1"/>
  <c r="D3877" i="1"/>
  <c r="A3877" i="1"/>
  <c r="D7474" i="1"/>
  <c r="A7474" i="1"/>
  <c r="D7473" i="1"/>
  <c r="A7473" i="1"/>
  <c r="D7472" i="1"/>
  <c r="A7472" i="1"/>
  <c r="D7471" i="1"/>
  <c r="A7471" i="1"/>
  <c r="D3876" i="1"/>
  <c r="A3876" i="1"/>
  <c r="D417" i="1"/>
  <c r="A417" i="1"/>
  <c r="D416" i="1"/>
  <c r="A416" i="1"/>
  <c r="D7470" i="1"/>
  <c r="A7470" i="1"/>
  <c r="D7469" i="1"/>
  <c r="A7469" i="1"/>
  <c r="D7468" i="1"/>
  <c r="A7468" i="1"/>
  <c r="D3875" i="1"/>
  <c r="A3875" i="1"/>
  <c r="D3874" i="1"/>
  <c r="A3874" i="1"/>
  <c r="D7467" i="1"/>
  <c r="A7467" i="1"/>
  <c r="D7466" i="1"/>
  <c r="A7466" i="1"/>
  <c r="D3873" i="1"/>
  <c r="A3873" i="1"/>
  <c r="D3872" i="1"/>
  <c r="A3872" i="1"/>
  <c r="D3871" i="1"/>
  <c r="A3871" i="1"/>
  <c r="D1005" i="1"/>
  <c r="A1005" i="1"/>
  <c r="D3870" i="1"/>
  <c r="A3870" i="1"/>
  <c r="D3869" i="1"/>
  <c r="A3869" i="1"/>
  <c r="D7465" i="1"/>
  <c r="A7465" i="1"/>
  <c r="D7464" i="1"/>
  <c r="A7464" i="1"/>
  <c r="D7463" i="1"/>
  <c r="A7463" i="1"/>
  <c r="D7462" i="1"/>
  <c r="A7462" i="1"/>
  <c r="D7461" i="1"/>
  <c r="A7461" i="1"/>
  <c r="D3868" i="1"/>
  <c r="A3868" i="1"/>
  <c r="D7460" i="1"/>
  <c r="A7460" i="1"/>
  <c r="D3867" i="1"/>
  <c r="A3867" i="1"/>
  <c r="D7459" i="1"/>
  <c r="A7459" i="1"/>
  <c r="D7458" i="1"/>
  <c r="A7458" i="1"/>
  <c r="D7457" i="1"/>
  <c r="A7457" i="1"/>
  <c r="D3866" i="1"/>
  <c r="A3866" i="1"/>
  <c r="D7456" i="1"/>
  <c r="A7456" i="1"/>
  <c r="D7455" i="1"/>
  <c r="A7455" i="1"/>
  <c r="D7454" i="1"/>
  <c r="A7454" i="1"/>
  <c r="D7453" i="1"/>
  <c r="A7453" i="1"/>
  <c r="D7452" i="1"/>
  <c r="A7452" i="1"/>
  <c r="D7451" i="1"/>
  <c r="A7451" i="1"/>
  <c r="D7450" i="1"/>
  <c r="A7450" i="1"/>
  <c r="D7449" i="1"/>
  <c r="A7449" i="1"/>
  <c r="D7448" i="1"/>
  <c r="A7448" i="1"/>
  <c r="D415" i="1"/>
  <c r="A415" i="1"/>
  <c r="D3865" i="1"/>
  <c r="A3865" i="1"/>
  <c r="D7447" i="1"/>
  <c r="A7447" i="1"/>
  <c r="D7446" i="1"/>
  <c r="A7446" i="1"/>
  <c r="D7445" i="1"/>
  <c r="A7445" i="1"/>
  <c r="D3864" i="1"/>
  <c r="A3864" i="1"/>
  <c r="D3863" i="1"/>
  <c r="A3863" i="1"/>
  <c r="D7444" i="1"/>
  <c r="A7444" i="1"/>
  <c r="D7443" i="1"/>
  <c r="A7443" i="1"/>
  <c r="D7442" i="1"/>
  <c r="A7442" i="1"/>
  <c r="D7441" i="1"/>
  <c r="A7441" i="1"/>
  <c r="D7440" i="1"/>
  <c r="A7440" i="1"/>
  <c r="D7439" i="1"/>
  <c r="A7439" i="1"/>
  <c r="D7438" i="1"/>
  <c r="A7438" i="1"/>
  <c r="D7437" i="1"/>
  <c r="A7437" i="1"/>
  <c r="D7436" i="1"/>
  <c r="A7436" i="1"/>
  <c r="D7435" i="1"/>
  <c r="A7435" i="1"/>
  <c r="D1004" i="1"/>
  <c r="A1004" i="1"/>
  <c r="D7434" i="1"/>
  <c r="A7434" i="1"/>
  <c r="D7433" i="1"/>
  <c r="A7433" i="1"/>
  <c r="D7432" i="1"/>
  <c r="A7432" i="1"/>
  <c r="D414" i="1"/>
  <c r="A414" i="1"/>
  <c r="D3862" i="1"/>
  <c r="A3862" i="1"/>
  <c r="D7431" i="1"/>
  <c r="A7431" i="1"/>
  <c r="D7430" i="1"/>
  <c r="A7430" i="1"/>
  <c r="D7429" i="1"/>
  <c r="A7429" i="1"/>
  <c r="D3861" i="1"/>
  <c r="A3861" i="1"/>
  <c r="D7428" i="1"/>
  <c r="A7428" i="1"/>
  <c r="D7427" i="1"/>
  <c r="A7427" i="1"/>
  <c r="D413" i="1"/>
  <c r="A413" i="1"/>
  <c r="D412" i="1"/>
  <c r="A412" i="1"/>
  <c r="D7426" i="1"/>
  <c r="A7426" i="1"/>
  <c r="D7425" i="1"/>
  <c r="A7425" i="1"/>
  <c r="D7424" i="1"/>
  <c r="A7424" i="1"/>
  <c r="D7423" i="1"/>
  <c r="A7423" i="1"/>
  <c r="D3860" i="1"/>
  <c r="A3860" i="1"/>
  <c r="D7422" i="1"/>
  <c r="A7422" i="1"/>
  <c r="D3859" i="1"/>
  <c r="A3859" i="1"/>
  <c r="D7421" i="1"/>
  <c r="A7421" i="1"/>
  <c r="D7420" i="1"/>
  <c r="A7420" i="1"/>
  <c r="D3858" i="1"/>
  <c r="A3858" i="1"/>
  <c r="D411" i="1"/>
  <c r="A411" i="1"/>
  <c r="D3857" i="1"/>
  <c r="A3857" i="1"/>
  <c r="D3856" i="1"/>
  <c r="A3856" i="1"/>
  <c r="D410" i="1"/>
  <c r="A410" i="1"/>
  <c r="D7419" i="1"/>
  <c r="A7419" i="1"/>
  <c r="D3855" i="1"/>
  <c r="A3855" i="1"/>
  <c r="D409" i="1"/>
  <c r="A409" i="1"/>
  <c r="D7418" i="1"/>
  <c r="A7418" i="1"/>
  <c r="D7417" i="1"/>
  <c r="A7417" i="1"/>
  <c r="D3854" i="1"/>
  <c r="A3854" i="1"/>
  <c r="D7416" i="1"/>
  <c r="A7416" i="1"/>
  <c r="D1003" i="1"/>
  <c r="A1003" i="1"/>
  <c r="D7415" i="1"/>
  <c r="A7415" i="1"/>
  <c r="D7414" i="1"/>
  <c r="A7414" i="1"/>
  <c r="D7413" i="1"/>
  <c r="A7413" i="1"/>
  <c r="D408" i="1"/>
  <c r="A408" i="1"/>
  <c r="D7412" i="1"/>
  <c r="A7412" i="1"/>
  <c r="D3853" i="1"/>
  <c r="A3853" i="1"/>
  <c r="D1002" i="1"/>
  <c r="A1002" i="1"/>
  <c r="D7411" i="1"/>
  <c r="A7411" i="1"/>
  <c r="D3852" i="1"/>
  <c r="A3852" i="1"/>
  <c r="D7410" i="1"/>
  <c r="A7410" i="1"/>
  <c r="D3851" i="1"/>
  <c r="A3851" i="1"/>
  <c r="D3850" i="1"/>
  <c r="A3850" i="1"/>
  <c r="D407" i="1"/>
  <c r="A407" i="1"/>
  <c r="D3849" i="1"/>
  <c r="A3849" i="1"/>
  <c r="D7409" i="1"/>
  <c r="A7409" i="1"/>
  <c r="D7408" i="1"/>
  <c r="A7408" i="1"/>
  <c r="D3848" i="1"/>
  <c r="A3848" i="1"/>
  <c r="D7407" i="1"/>
  <c r="A7407" i="1"/>
  <c r="D7406" i="1"/>
  <c r="A7406" i="1"/>
  <c r="D7405" i="1"/>
  <c r="A7405" i="1"/>
  <c r="D7404" i="1"/>
  <c r="A7404" i="1"/>
  <c r="D3847" i="1"/>
  <c r="A3847" i="1"/>
  <c r="D3846" i="1"/>
  <c r="A3846" i="1"/>
  <c r="D7403" i="1"/>
  <c r="A7403" i="1"/>
  <c r="D7402" i="1"/>
  <c r="A7402" i="1"/>
  <c r="D7401" i="1"/>
  <c r="A7401" i="1"/>
  <c r="D3845" i="1"/>
  <c r="A3845" i="1"/>
  <c r="D7400" i="1"/>
  <c r="A7400" i="1"/>
  <c r="D7399" i="1"/>
  <c r="A7399" i="1"/>
  <c r="D7398" i="1"/>
  <c r="A7398" i="1"/>
  <c r="D7397" i="1"/>
  <c r="A7397" i="1"/>
  <c r="D7396" i="1"/>
  <c r="A7396" i="1"/>
  <c r="D7395" i="1"/>
  <c r="A7395" i="1"/>
  <c r="D3844" i="1"/>
  <c r="A3844" i="1"/>
  <c r="D7394" i="1"/>
  <c r="A7394" i="1"/>
  <c r="D3843" i="1"/>
  <c r="A3843" i="1"/>
  <c r="D3842" i="1"/>
  <c r="A3842" i="1"/>
  <c r="D7393" i="1"/>
  <c r="A7393" i="1"/>
  <c r="D7392" i="1"/>
  <c r="A7392" i="1"/>
  <c r="D7391" i="1"/>
  <c r="A7391" i="1"/>
  <c r="D7390" i="1"/>
  <c r="A7390" i="1"/>
  <c r="D7389" i="1"/>
  <c r="A7389" i="1"/>
  <c r="D3841" i="1"/>
  <c r="A3841" i="1"/>
  <c r="D3840" i="1"/>
  <c r="A3840" i="1"/>
  <c r="D7388" i="1"/>
  <c r="A7388" i="1"/>
  <c r="D7387" i="1"/>
  <c r="A7387" i="1"/>
  <c r="D7386" i="1"/>
  <c r="A7386" i="1"/>
  <c r="D7385" i="1"/>
  <c r="A7385" i="1"/>
  <c r="D7384" i="1"/>
  <c r="A7384" i="1"/>
  <c r="D7383" i="1"/>
  <c r="A7383" i="1"/>
  <c r="D7382" i="1"/>
  <c r="A7382" i="1"/>
  <c r="D7381" i="1"/>
  <c r="A7381" i="1"/>
  <c r="D7380" i="1"/>
  <c r="A7380" i="1"/>
  <c r="D3839" i="1"/>
  <c r="A3839" i="1"/>
  <c r="D7379" i="1"/>
  <c r="A7379" i="1"/>
  <c r="D7378" i="1"/>
  <c r="A7378" i="1"/>
  <c r="D3838" i="1"/>
  <c r="A3838" i="1"/>
  <c r="D7377" i="1"/>
  <c r="A7377" i="1"/>
  <c r="D7376" i="1"/>
  <c r="A7376" i="1"/>
  <c r="D406" i="1"/>
  <c r="A406" i="1"/>
  <c r="D7375" i="1"/>
  <c r="A7375" i="1"/>
  <c r="D7374" i="1"/>
  <c r="A7374" i="1"/>
  <c r="D7373" i="1"/>
  <c r="A7373" i="1"/>
  <c r="D3837" i="1"/>
  <c r="A3837" i="1"/>
  <c r="D7372" i="1"/>
  <c r="A7372" i="1"/>
  <c r="D7371" i="1"/>
  <c r="A7371" i="1"/>
  <c r="D7370" i="1"/>
  <c r="A7370" i="1"/>
  <c r="D3836" i="1"/>
  <c r="A3836" i="1"/>
  <c r="D405" i="1"/>
  <c r="A405" i="1"/>
  <c r="D3835" i="1"/>
  <c r="A3835" i="1"/>
  <c r="D7369" i="1"/>
  <c r="A7369" i="1"/>
  <c r="D1001" i="1"/>
  <c r="A1001" i="1"/>
  <c r="D7368" i="1"/>
  <c r="A7368" i="1"/>
  <c r="D7367" i="1"/>
  <c r="A7367" i="1"/>
  <c r="D7366" i="1"/>
  <c r="A7366" i="1"/>
  <c r="D7365" i="1"/>
  <c r="A7365" i="1"/>
  <c r="D3834" i="1"/>
  <c r="A3834" i="1"/>
  <c r="D7364" i="1"/>
  <c r="A7364" i="1"/>
  <c r="D7363" i="1"/>
  <c r="A7363" i="1"/>
  <c r="D7362" i="1"/>
  <c r="A7362" i="1"/>
  <c r="D7361" i="1"/>
  <c r="A7361" i="1"/>
  <c r="D7360" i="1"/>
  <c r="A7360" i="1"/>
  <c r="D7359" i="1"/>
  <c r="A7359" i="1"/>
  <c r="D3833" i="1"/>
  <c r="A3833" i="1"/>
  <c r="D7358" i="1"/>
  <c r="A7358" i="1"/>
  <c r="D7357" i="1"/>
  <c r="A7357" i="1"/>
  <c r="D7356" i="1"/>
  <c r="A7356" i="1"/>
  <c r="D7355" i="1"/>
  <c r="A7355" i="1"/>
  <c r="D7354" i="1"/>
  <c r="A7354" i="1"/>
  <c r="D7353" i="1"/>
  <c r="A7353" i="1"/>
  <c r="D3832" i="1"/>
  <c r="A3832" i="1"/>
  <c r="D7352" i="1"/>
  <c r="A7352" i="1"/>
  <c r="D7351" i="1"/>
  <c r="A7351" i="1"/>
  <c r="D7350" i="1"/>
  <c r="A7350" i="1"/>
  <c r="D7349" i="1"/>
  <c r="A7349" i="1"/>
  <c r="D3831" i="1"/>
  <c r="A3831" i="1"/>
  <c r="D7348" i="1"/>
  <c r="A7348" i="1"/>
  <c r="D7347" i="1"/>
  <c r="A7347" i="1"/>
  <c r="D7346" i="1"/>
  <c r="A7346" i="1"/>
  <c r="D7345" i="1"/>
  <c r="A7345" i="1"/>
  <c r="D7344" i="1"/>
  <c r="A7344" i="1"/>
  <c r="D7343" i="1"/>
  <c r="A7343" i="1"/>
  <c r="D3830" i="1"/>
  <c r="A3830" i="1"/>
  <c r="D7342" i="1"/>
  <c r="A7342" i="1"/>
  <c r="D404" i="1"/>
  <c r="A404" i="1"/>
  <c r="D7341" i="1"/>
  <c r="A7341" i="1"/>
  <c r="D7340" i="1"/>
  <c r="A7340" i="1"/>
  <c r="D7339" i="1"/>
  <c r="A7339" i="1"/>
  <c r="D7338" i="1"/>
  <c r="A7338" i="1"/>
  <c r="D3829" i="1"/>
  <c r="A3829" i="1"/>
  <c r="D7337" i="1"/>
  <c r="A7337" i="1"/>
  <c r="D7336" i="1"/>
  <c r="A7336" i="1"/>
  <c r="D7335" i="1"/>
  <c r="A7335" i="1"/>
  <c r="D7334" i="1"/>
  <c r="A7334" i="1"/>
  <c r="D7333" i="1"/>
  <c r="A7333" i="1"/>
  <c r="D7332" i="1"/>
  <c r="A7332" i="1"/>
  <c r="D7331" i="1"/>
  <c r="A7331" i="1"/>
  <c r="D7330" i="1"/>
  <c r="A7330" i="1"/>
  <c r="D3828" i="1"/>
  <c r="A3828" i="1"/>
  <c r="D3827" i="1"/>
  <c r="A3827" i="1"/>
  <c r="D3826" i="1"/>
  <c r="A3826" i="1"/>
  <c r="D7329" i="1"/>
  <c r="A7329" i="1"/>
  <c r="D403" i="1"/>
  <c r="A403" i="1"/>
  <c r="D7328" i="1"/>
  <c r="A7328" i="1"/>
  <c r="D3825" i="1"/>
  <c r="A3825" i="1"/>
  <c r="D3824" i="1"/>
  <c r="A3824" i="1"/>
  <c r="D7327" i="1"/>
  <c r="A7327" i="1"/>
  <c r="D7326" i="1"/>
  <c r="A7326" i="1"/>
  <c r="D7325" i="1"/>
  <c r="A7325" i="1"/>
  <c r="D7324" i="1"/>
  <c r="A7324" i="1"/>
  <c r="D3823" i="1"/>
  <c r="A3823" i="1"/>
  <c r="D3822" i="1"/>
  <c r="A3822" i="1"/>
  <c r="D402" i="1"/>
  <c r="A402" i="1"/>
  <c r="D7323" i="1"/>
  <c r="A7323" i="1"/>
  <c r="D401" i="1"/>
  <c r="A401" i="1"/>
  <c r="D7322" i="1"/>
  <c r="A7322" i="1"/>
  <c r="D7321" i="1"/>
  <c r="A7321" i="1"/>
  <c r="D7320" i="1"/>
  <c r="A7320" i="1"/>
  <c r="D7319" i="1"/>
  <c r="A7319" i="1"/>
  <c r="D7318" i="1"/>
  <c r="A7318" i="1"/>
  <c r="D7317" i="1"/>
  <c r="A7317" i="1"/>
  <c r="D7316" i="1"/>
  <c r="A7316" i="1"/>
  <c r="D3821" i="1"/>
  <c r="A3821" i="1"/>
  <c r="D7315" i="1"/>
  <c r="A7315" i="1"/>
  <c r="D7314" i="1"/>
  <c r="A7314" i="1"/>
  <c r="D7313" i="1"/>
  <c r="A7313" i="1"/>
  <c r="D1000" i="1"/>
  <c r="A1000" i="1"/>
  <c r="D7312" i="1"/>
  <c r="A7312" i="1"/>
  <c r="D7311" i="1"/>
  <c r="A7311" i="1"/>
  <c r="D400" i="1"/>
  <c r="A400" i="1"/>
  <c r="D7310" i="1"/>
  <c r="A7310" i="1"/>
  <c r="D3820" i="1"/>
  <c r="A3820" i="1"/>
  <c r="D7309" i="1"/>
  <c r="A7309" i="1"/>
  <c r="D7308" i="1"/>
  <c r="A7308" i="1"/>
  <c r="D7307" i="1"/>
  <c r="A7307" i="1"/>
  <c r="D3819" i="1"/>
  <c r="A3819" i="1"/>
  <c r="D7306" i="1"/>
  <c r="A7306" i="1"/>
  <c r="D3818" i="1"/>
  <c r="A3818" i="1"/>
  <c r="D7305" i="1"/>
  <c r="A7305" i="1"/>
  <c r="D7304" i="1"/>
  <c r="A7304" i="1"/>
  <c r="D7303" i="1"/>
  <c r="A7303" i="1"/>
  <c r="D7302" i="1"/>
  <c r="A7302" i="1"/>
  <c r="D7301" i="1"/>
  <c r="A7301" i="1"/>
  <c r="D7300" i="1"/>
  <c r="A7300" i="1"/>
  <c r="D3817" i="1"/>
  <c r="A3817" i="1"/>
  <c r="D3816" i="1"/>
  <c r="A3816" i="1"/>
  <c r="D7299" i="1"/>
  <c r="A7299" i="1"/>
  <c r="D7298" i="1"/>
  <c r="A7298" i="1"/>
  <c r="D62" i="1"/>
  <c r="A62" i="1"/>
  <c r="D3815" i="1"/>
  <c r="A3815" i="1"/>
  <c r="D3814" i="1"/>
  <c r="A3814" i="1"/>
  <c r="D7297" i="1"/>
  <c r="A7297" i="1"/>
  <c r="D7296" i="1"/>
  <c r="A7296" i="1"/>
  <c r="D3813" i="1"/>
  <c r="A3813" i="1"/>
  <c r="D7295" i="1"/>
  <c r="A7295" i="1"/>
  <c r="D7294" i="1"/>
  <c r="A7294" i="1"/>
  <c r="D3812" i="1"/>
  <c r="A3812" i="1"/>
  <c r="D7293" i="1"/>
  <c r="A7293" i="1"/>
  <c r="D399" i="1"/>
  <c r="A399" i="1"/>
  <c r="D7292" i="1"/>
  <c r="A7292" i="1"/>
  <c r="D7291" i="1"/>
  <c r="A7291" i="1"/>
  <c r="D3811" i="1"/>
  <c r="A3811" i="1"/>
  <c r="D7290" i="1"/>
  <c r="A7290" i="1"/>
  <c r="D7289" i="1"/>
  <c r="A7289" i="1"/>
  <c r="D3810" i="1"/>
  <c r="A3810" i="1"/>
  <c r="D7288" i="1"/>
  <c r="A7288" i="1"/>
  <c r="D398" i="1"/>
  <c r="A398" i="1"/>
  <c r="D7287" i="1"/>
  <c r="A7287" i="1"/>
  <c r="D3809" i="1"/>
  <c r="A3809" i="1"/>
  <c r="D7286" i="1"/>
  <c r="A7286" i="1"/>
  <c r="D7285" i="1"/>
  <c r="A7285" i="1"/>
  <c r="D7284" i="1"/>
  <c r="A7284" i="1"/>
  <c r="D3808" i="1"/>
  <c r="A3808" i="1"/>
  <c r="D7283" i="1"/>
  <c r="A7283" i="1"/>
  <c r="D7282" i="1"/>
  <c r="A7282" i="1"/>
  <c r="D999" i="1"/>
  <c r="A999" i="1"/>
  <c r="D998" i="1"/>
  <c r="A998" i="1"/>
  <c r="D997" i="1"/>
  <c r="A997" i="1"/>
  <c r="D3807" i="1"/>
  <c r="A3807" i="1"/>
  <c r="D7281" i="1"/>
  <c r="A7281" i="1"/>
  <c r="D7280" i="1"/>
  <c r="A7280" i="1"/>
  <c r="D996" i="1"/>
  <c r="A996" i="1"/>
  <c r="D3806" i="1"/>
  <c r="A3806" i="1"/>
  <c r="D3805" i="1"/>
  <c r="A3805" i="1"/>
  <c r="D7279" i="1"/>
  <c r="A7279" i="1"/>
  <c r="D397" i="1"/>
  <c r="A397" i="1"/>
  <c r="D3804" i="1"/>
  <c r="A3804" i="1"/>
  <c r="D7278" i="1"/>
  <c r="A7278" i="1"/>
  <c r="D7277" i="1"/>
  <c r="A7277" i="1"/>
  <c r="D3803" i="1"/>
  <c r="A3803" i="1"/>
  <c r="D7276" i="1"/>
  <c r="A7276" i="1"/>
  <c r="D3802" i="1"/>
  <c r="A3802" i="1"/>
  <c r="D7275" i="1"/>
  <c r="A7275" i="1"/>
  <c r="D7274" i="1"/>
  <c r="A7274" i="1"/>
  <c r="D7273" i="1"/>
  <c r="A7273" i="1"/>
  <c r="D7272" i="1"/>
  <c r="A7272" i="1"/>
  <c r="D3801" i="1"/>
  <c r="A3801" i="1"/>
  <c r="D7271" i="1"/>
  <c r="A7271" i="1"/>
  <c r="D7270" i="1"/>
  <c r="A7270" i="1"/>
  <c r="D7269" i="1"/>
  <c r="A7269" i="1"/>
  <c r="D3800" i="1"/>
  <c r="A3800" i="1"/>
  <c r="D7268" i="1"/>
  <c r="A7268" i="1"/>
  <c r="D7267" i="1"/>
  <c r="A7267" i="1"/>
  <c r="D7266" i="1"/>
  <c r="A7266" i="1"/>
  <c r="D3799" i="1"/>
  <c r="A3799" i="1"/>
  <c r="D3798" i="1"/>
  <c r="A3798" i="1"/>
  <c r="D3797" i="1"/>
  <c r="A3797" i="1"/>
  <c r="D7265" i="1"/>
  <c r="A7265" i="1"/>
  <c r="D7264" i="1"/>
  <c r="A7264" i="1"/>
  <c r="D3796" i="1"/>
  <c r="A3796" i="1"/>
  <c r="D7263" i="1"/>
  <c r="A7263" i="1"/>
  <c r="D7262" i="1"/>
  <c r="A7262" i="1"/>
  <c r="D3795" i="1"/>
  <c r="A3795" i="1"/>
  <c r="D3794" i="1"/>
  <c r="A3794" i="1"/>
  <c r="D3793" i="1"/>
  <c r="A3793" i="1"/>
  <c r="D3792" i="1"/>
  <c r="A3792" i="1"/>
  <c r="D7261" i="1"/>
  <c r="A7261" i="1"/>
  <c r="D7260" i="1"/>
  <c r="A7260" i="1"/>
  <c r="D7259" i="1"/>
  <c r="A7259" i="1"/>
  <c r="D3791" i="1"/>
  <c r="A3791" i="1"/>
  <c r="D7258" i="1"/>
  <c r="A7258" i="1"/>
  <c r="D7257" i="1"/>
  <c r="A7257" i="1"/>
  <c r="D3790" i="1"/>
  <c r="A3790" i="1"/>
  <c r="D3789" i="1"/>
  <c r="A3789" i="1"/>
  <c r="D3788" i="1"/>
  <c r="A3788" i="1"/>
  <c r="D7256" i="1"/>
  <c r="A7256" i="1"/>
  <c r="D3787" i="1"/>
  <c r="A3787" i="1"/>
  <c r="D7255" i="1"/>
  <c r="A7255" i="1"/>
  <c r="D3786" i="1"/>
  <c r="A3786" i="1"/>
  <c r="D7254" i="1"/>
  <c r="A7254" i="1"/>
  <c r="D7253" i="1"/>
  <c r="A7253" i="1"/>
  <c r="D7252" i="1"/>
  <c r="A7252" i="1"/>
  <c r="D7251" i="1"/>
  <c r="A7251" i="1"/>
  <c r="D7250" i="1"/>
  <c r="A7250" i="1"/>
  <c r="D3785" i="1"/>
  <c r="A3785" i="1"/>
  <c r="D3784" i="1"/>
  <c r="A3784" i="1"/>
  <c r="D7249" i="1"/>
  <c r="A7249" i="1"/>
  <c r="D995" i="1"/>
  <c r="A995" i="1"/>
  <c r="D3783" i="1"/>
  <c r="A3783" i="1"/>
  <c r="D7248" i="1"/>
  <c r="A7248" i="1"/>
  <c r="D3782" i="1"/>
  <c r="A3782" i="1"/>
  <c r="D3781" i="1"/>
  <c r="A3781" i="1"/>
  <c r="D994" i="1"/>
  <c r="A994" i="1"/>
  <c r="D3780" i="1"/>
  <c r="A3780" i="1"/>
  <c r="D7247" i="1"/>
  <c r="A7247" i="1"/>
  <c r="D3779" i="1"/>
  <c r="A3779" i="1"/>
  <c r="D3778" i="1"/>
  <c r="A3778" i="1"/>
  <c r="D7246" i="1"/>
  <c r="A7246" i="1"/>
  <c r="D7245" i="1"/>
  <c r="A7245" i="1"/>
  <c r="D7244" i="1"/>
  <c r="A7244" i="1"/>
  <c r="D7243" i="1"/>
  <c r="A7243" i="1"/>
  <c r="D7242" i="1"/>
  <c r="A7242" i="1"/>
  <c r="D7241" i="1"/>
  <c r="A7241" i="1"/>
  <c r="D3777" i="1"/>
  <c r="A3777" i="1"/>
  <c r="D3776" i="1"/>
  <c r="A3776" i="1"/>
  <c r="D3775" i="1"/>
  <c r="A3775" i="1"/>
  <c r="D3774" i="1"/>
  <c r="A3774" i="1"/>
  <c r="D7240" i="1"/>
  <c r="A7240" i="1"/>
  <c r="D3773" i="1"/>
  <c r="A3773" i="1"/>
  <c r="D7239" i="1"/>
  <c r="A7239" i="1"/>
  <c r="D7238" i="1"/>
  <c r="A7238" i="1"/>
  <c r="D396" i="1"/>
  <c r="A396" i="1"/>
  <c r="D7237" i="1"/>
  <c r="A7237" i="1"/>
  <c r="D3772" i="1"/>
  <c r="A3772" i="1"/>
  <c r="D7236" i="1"/>
  <c r="A7236" i="1"/>
  <c r="D7235" i="1"/>
  <c r="A7235" i="1"/>
  <c r="D7234" i="1"/>
  <c r="A7234" i="1"/>
  <c r="D7233" i="1"/>
  <c r="A7233" i="1"/>
  <c r="D7232" i="1"/>
  <c r="A7232" i="1"/>
  <c r="D993" i="1"/>
  <c r="A993" i="1"/>
  <c r="D7231" i="1"/>
  <c r="A7231" i="1"/>
  <c r="D7230" i="1"/>
  <c r="A7230" i="1"/>
  <c r="D7229" i="1"/>
  <c r="A7229" i="1"/>
  <c r="D3771" i="1"/>
  <c r="A3771" i="1"/>
  <c r="D7228" i="1"/>
  <c r="A7228" i="1"/>
  <c r="D7227" i="1"/>
  <c r="A7227" i="1"/>
  <c r="D7226" i="1"/>
  <c r="A7226" i="1"/>
  <c r="D3770" i="1"/>
  <c r="A3770" i="1"/>
  <c r="D7225" i="1"/>
  <c r="A7225" i="1"/>
  <c r="D7224" i="1"/>
  <c r="A7224" i="1"/>
  <c r="D3769" i="1"/>
  <c r="A3769" i="1"/>
  <c r="D7223" i="1"/>
  <c r="A7223" i="1"/>
  <c r="D7222" i="1"/>
  <c r="A7222" i="1"/>
  <c r="D7221" i="1"/>
  <c r="A7221" i="1"/>
  <c r="D3768" i="1"/>
  <c r="A3768" i="1"/>
  <c r="D3767" i="1"/>
  <c r="A3767" i="1"/>
  <c r="D7220" i="1"/>
  <c r="A7220" i="1"/>
  <c r="D7219" i="1"/>
  <c r="A7219" i="1"/>
  <c r="D3766" i="1"/>
  <c r="A3766" i="1"/>
  <c r="D7218" i="1"/>
  <c r="A7218" i="1"/>
  <c r="D3765" i="1"/>
  <c r="A3765" i="1"/>
  <c r="D3764" i="1"/>
  <c r="A3764" i="1"/>
  <c r="D3763" i="1"/>
  <c r="A3763" i="1"/>
  <c r="D7217" i="1"/>
  <c r="A7217" i="1"/>
  <c r="D3762" i="1"/>
  <c r="A3762" i="1"/>
  <c r="D3761" i="1"/>
  <c r="A3761" i="1"/>
  <c r="D7216" i="1"/>
  <c r="A7216" i="1"/>
  <c r="D7215" i="1"/>
  <c r="A7215" i="1"/>
  <c r="D7214" i="1"/>
  <c r="A7214" i="1"/>
  <c r="D7213" i="1"/>
  <c r="A7213" i="1"/>
  <c r="D7212" i="1"/>
  <c r="A7212" i="1"/>
  <c r="D992" i="1"/>
  <c r="A992" i="1"/>
  <c r="D7211" i="1"/>
  <c r="A7211" i="1"/>
  <c r="D7210" i="1"/>
  <c r="A7210" i="1"/>
  <c r="D7209" i="1"/>
  <c r="A7209" i="1"/>
  <c r="D7208" i="1"/>
  <c r="A7208" i="1"/>
  <c r="D7207" i="1"/>
  <c r="A7207" i="1"/>
  <c r="D3760" i="1"/>
  <c r="A3760" i="1"/>
  <c r="D7206" i="1"/>
  <c r="A7206" i="1"/>
  <c r="D7205" i="1"/>
  <c r="A7205" i="1"/>
  <c r="D7204" i="1"/>
  <c r="A7204" i="1"/>
  <c r="D395" i="1"/>
  <c r="A395" i="1"/>
  <c r="D7203" i="1"/>
  <c r="A7203" i="1"/>
  <c r="D7202" i="1"/>
  <c r="A7202" i="1"/>
  <c r="D3759" i="1"/>
  <c r="A3759" i="1"/>
  <c r="D3758" i="1"/>
  <c r="A3758" i="1"/>
  <c r="D7201" i="1"/>
  <c r="A7201" i="1"/>
  <c r="D7200" i="1"/>
  <c r="A7200" i="1"/>
  <c r="D3757" i="1"/>
  <c r="A3757" i="1"/>
  <c r="D103" i="1"/>
  <c r="A103" i="1"/>
  <c r="D7199" i="1"/>
  <c r="A7199" i="1"/>
  <c r="D7198" i="1"/>
  <c r="A7198" i="1"/>
  <c r="D7197" i="1"/>
  <c r="A7197" i="1"/>
  <c r="D7196" i="1"/>
  <c r="A7196" i="1"/>
  <c r="D7195" i="1"/>
  <c r="A7195" i="1"/>
  <c r="D7194" i="1"/>
  <c r="A7194" i="1"/>
  <c r="D3756" i="1"/>
  <c r="A3756" i="1"/>
  <c r="D7193" i="1"/>
  <c r="A7193" i="1"/>
  <c r="D7192" i="1"/>
  <c r="A7192" i="1"/>
  <c r="D394" i="1"/>
  <c r="A394" i="1"/>
  <c r="D7191" i="1"/>
  <c r="A7191" i="1"/>
  <c r="D7190" i="1"/>
  <c r="A7190" i="1"/>
  <c r="D991" i="1"/>
  <c r="A991" i="1"/>
  <c r="D7189" i="1"/>
  <c r="A7189" i="1"/>
  <c r="D7188" i="1"/>
  <c r="A7188" i="1"/>
  <c r="D3755" i="1"/>
  <c r="A3755" i="1"/>
  <c r="D7187" i="1"/>
  <c r="A7187" i="1"/>
  <c r="D7186" i="1"/>
  <c r="A7186" i="1"/>
  <c r="D7185" i="1"/>
  <c r="A7185" i="1"/>
  <c r="D7184" i="1"/>
  <c r="A7184" i="1"/>
  <c r="D3754" i="1"/>
  <c r="A3754" i="1"/>
  <c r="D7183" i="1"/>
  <c r="A7183" i="1"/>
  <c r="D7182" i="1"/>
  <c r="A7182" i="1"/>
  <c r="D7181" i="1"/>
  <c r="A7181" i="1"/>
  <c r="D7180" i="1"/>
  <c r="A7180" i="1"/>
  <c r="D7179" i="1"/>
  <c r="A7179" i="1"/>
  <c r="D7178" i="1"/>
  <c r="A7178" i="1"/>
  <c r="D7177" i="1"/>
  <c r="A7177" i="1"/>
  <c r="D7176" i="1"/>
  <c r="A7176" i="1"/>
  <c r="D7175" i="1"/>
  <c r="A7175" i="1"/>
  <c r="D7174" i="1"/>
  <c r="A7174" i="1"/>
  <c r="D7173" i="1"/>
  <c r="A7173" i="1"/>
  <c r="D7172" i="1"/>
  <c r="A7172" i="1"/>
  <c r="D393" i="1"/>
  <c r="A393" i="1"/>
  <c r="D7171" i="1"/>
  <c r="A7171" i="1"/>
  <c r="D3753" i="1"/>
  <c r="A3753" i="1"/>
  <c r="D3752" i="1"/>
  <c r="A3752" i="1"/>
  <c r="D7170" i="1"/>
  <c r="A7170" i="1"/>
  <c r="D392" i="1"/>
  <c r="A392" i="1"/>
  <c r="D391" i="1"/>
  <c r="A391" i="1"/>
  <c r="D7169" i="1"/>
  <c r="A7169" i="1"/>
  <c r="D7168" i="1"/>
  <c r="A7168" i="1"/>
  <c r="D7167" i="1"/>
  <c r="A7167" i="1"/>
  <c r="D7166" i="1"/>
  <c r="A7166" i="1"/>
  <c r="D7165" i="1"/>
  <c r="A7165" i="1"/>
  <c r="D7164" i="1"/>
  <c r="A7164" i="1"/>
  <c r="D7163" i="1"/>
  <c r="A7163" i="1"/>
  <c r="D7162" i="1"/>
  <c r="A7162" i="1"/>
  <c r="D7161" i="1"/>
  <c r="A7161" i="1"/>
  <c r="D7160" i="1"/>
  <c r="A7160" i="1"/>
  <c r="D7159" i="1"/>
  <c r="A7159" i="1"/>
  <c r="D7158" i="1"/>
  <c r="A7158" i="1"/>
  <c r="D7157" i="1"/>
  <c r="A7157" i="1"/>
  <c r="D7156" i="1"/>
  <c r="A7156" i="1"/>
  <c r="D7155" i="1"/>
  <c r="A7155" i="1"/>
  <c r="D7154" i="1"/>
  <c r="A7154" i="1"/>
  <c r="D7153" i="1"/>
  <c r="A7153" i="1"/>
  <c r="D7152" i="1"/>
  <c r="A7152" i="1"/>
  <c r="D7151" i="1"/>
  <c r="A7151" i="1"/>
  <c r="D3751" i="1"/>
  <c r="A3751" i="1"/>
  <c r="D3750" i="1"/>
  <c r="A3750" i="1"/>
  <c r="D3749" i="1"/>
  <c r="A3749" i="1"/>
  <c r="D7150" i="1"/>
  <c r="A7150" i="1"/>
  <c r="D3748" i="1"/>
  <c r="A3748" i="1"/>
  <c r="D3747" i="1"/>
  <c r="A3747" i="1"/>
  <c r="D7149" i="1"/>
  <c r="A7149" i="1"/>
  <c r="D7148" i="1"/>
  <c r="A7148" i="1"/>
  <c r="D7147" i="1"/>
  <c r="A7147" i="1"/>
  <c r="D7146" i="1"/>
  <c r="A7146" i="1"/>
  <c r="D7145" i="1"/>
  <c r="A7145" i="1"/>
  <c r="D7144" i="1"/>
  <c r="A7144" i="1"/>
  <c r="D3746" i="1"/>
  <c r="A3746" i="1"/>
  <c r="D7143" i="1"/>
  <c r="A7143" i="1"/>
  <c r="D7142" i="1"/>
  <c r="A7142" i="1"/>
  <c r="D7141" i="1"/>
  <c r="A7141" i="1"/>
  <c r="D390" i="1"/>
  <c r="A390" i="1"/>
  <c r="D3745" i="1"/>
  <c r="A3745" i="1"/>
  <c r="D3744" i="1"/>
  <c r="A3744" i="1"/>
  <c r="D7140" i="1"/>
  <c r="A7140" i="1"/>
  <c r="D7139" i="1"/>
  <c r="A7139" i="1"/>
  <c r="D3743" i="1"/>
  <c r="A3743" i="1"/>
  <c r="D389" i="1"/>
  <c r="A389" i="1"/>
  <c r="D3742" i="1"/>
  <c r="A3742" i="1"/>
  <c r="D7138" i="1"/>
  <c r="A7138" i="1"/>
  <c r="D7137" i="1"/>
  <c r="A7137" i="1"/>
  <c r="D7136" i="1"/>
  <c r="A7136" i="1"/>
  <c r="D3741" i="1"/>
  <c r="A3741" i="1"/>
  <c r="D3740" i="1"/>
  <c r="A3740" i="1"/>
  <c r="D3739" i="1"/>
  <c r="A3739" i="1"/>
  <c r="D3738" i="1"/>
  <c r="A3738" i="1"/>
  <c r="D7135" i="1"/>
  <c r="A7135" i="1"/>
  <c r="D3737" i="1"/>
  <c r="A3737" i="1"/>
  <c r="D3736" i="1"/>
  <c r="A3736" i="1"/>
  <c r="D7134" i="1"/>
  <c r="A7134" i="1"/>
  <c r="D3735" i="1"/>
  <c r="A3735" i="1"/>
  <c r="D7133" i="1"/>
  <c r="A7133" i="1"/>
  <c r="D3734" i="1"/>
  <c r="A3734" i="1"/>
  <c r="D3733" i="1"/>
  <c r="A3733" i="1"/>
  <c r="D7132" i="1"/>
  <c r="A7132" i="1"/>
  <c r="D7131" i="1"/>
  <c r="A7131" i="1"/>
  <c r="D990" i="1"/>
  <c r="A990" i="1"/>
  <c r="D7130" i="1"/>
  <c r="A7130" i="1"/>
  <c r="D989" i="1"/>
  <c r="A989" i="1"/>
  <c r="D7129" i="1"/>
  <c r="A7129" i="1"/>
  <c r="D7128" i="1"/>
  <c r="A7128" i="1"/>
  <c r="D388" i="1"/>
  <c r="A388" i="1"/>
  <c r="D7127" i="1"/>
  <c r="A7127" i="1"/>
  <c r="D3732" i="1"/>
  <c r="A3732" i="1"/>
  <c r="D7126" i="1"/>
  <c r="A7126" i="1"/>
  <c r="D7125" i="1"/>
  <c r="A7125" i="1"/>
  <c r="D3731" i="1"/>
  <c r="A3731" i="1"/>
  <c r="D988" i="1"/>
  <c r="A988" i="1"/>
  <c r="D7124" i="1"/>
  <c r="A7124" i="1"/>
  <c r="D7123" i="1"/>
  <c r="A7123" i="1"/>
  <c r="D7122" i="1"/>
  <c r="A7122" i="1"/>
  <c r="D7121" i="1"/>
  <c r="A7121" i="1"/>
  <c r="D7120" i="1"/>
  <c r="A7120" i="1"/>
  <c r="D3730" i="1"/>
  <c r="A3730" i="1"/>
  <c r="D3729" i="1"/>
  <c r="A3729" i="1"/>
  <c r="D7119" i="1"/>
  <c r="A7119" i="1"/>
  <c r="D7118" i="1"/>
  <c r="A7118" i="1"/>
  <c r="D7117" i="1"/>
  <c r="A7117" i="1"/>
  <c r="D7116" i="1"/>
  <c r="A7116" i="1"/>
  <c r="D7115" i="1"/>
  <c r="A7115" i="1"/>
  <c r="D7114" i="1"/>
  <c r="A7114" i="1"/>
  <c r="D7113" i="1"/>
  <c r="A7113" i="1"/>
  <c r="D7112" i="1"/>
  <c r="A7112" i="1"/>
  <c r="D7111" i="1"/>
  <c r="A7111" i="1"/>
  <c r="D7110" i="1"/>
  <c r="A7110" i="1"/>
  <c r="D3728" i="1"/>
  <c r="A3728" i="1"/>
  <c r="D7109" i="1"/>
  <c r="A7109" i="1"/>
  <c r="D7108" i="1"/>
  <c r="A7108" i="1"/>
  <c r="D7107" i="1"/>
  <c r="A7107" i="1"/>
  <c r="D7106" i="1"/>
  <c r="A7106" i="1"/>
  <c r="D7105" i="1"/>
  <c r="A7105" i="1"/>
  <c r="D3727" i="1"/>
  <c r="A3727" i="1"/>
  <c r="D3726" i="1"/>
  <c r="A3726" i="1"/>
  <c r="D7104" i="1"/>
  <c r="A7104" i="1"/>
  <c r="D3725" i="1"/>
  <c r="A3725" i="1"/>
  <c r="D3724" i="1"/>
  <c r="A3724" i="1"/>
  <c r="D387" i="1"/>
  <c r="A387" i="1"/>
  <c r="D7103" i="1"/>
  <c r="A7103" i="1"/>
  <c r="D3723" i="1"/>
  <c r="A3723" i="1"/>
  <c r="D7102" i="1"/>
  <c r="A7102" i="1"/>
  <c r="D3722" i="1"/>
  <c r="A3722" i="1"/>
  <c r="D3721" i="1"/>
  <c r="A3721" i="1"/>
  <c r="D7101" i="1"/>
  <c r="A7101" i="1"/>
  <c r="D7100" i="1"/>
  <c r="A7100" i="1"/>
  <c r="D3720" i="1"/>
  <c r="A3720" i="1"/>
  <c r="D7099" i="1"/>
  <c r="A7099" i="1"/>
  <c r="D7098" i="1"/>
  <c r="A7098" i="1"/>
  <c r="D3719" i="1"/>
  <c r="A3719" i="1"/>
  <c r="D3718" i="1"/>
  <c r="A3718" i="1"/>
  <c r="D7097" i="1"/>
  <c r="A7097" i="1"/>
  <c r="D7096" i="1"/>
  <c r="A7096" i="1"/>
  <c r="D7095" i="1"/>
  <c r="A7095" i="1"/>
  <c r="D7094" i="1"/>
  <c r="A7094" i="1"/>
  <c r="D7093" i="1"/>
  <c r="A7093" i="1"/>
  <c r="D987" i="1"/>
  <c r="A987" i="1"/>
  <c r="D3717" i="1"/>
  <c r="A3717" i="1"/>
  <c r="D7092" i="1"/>
  <c r="A7092" i="1"/>
  <c r="D386" i="1"/>
  <c r="A386" i="1"/>
  <c r="D7091" i="1"/>
  <c r="A7091" i="1"/>
  <c r="D7090" i="1"/>
  <c r="A7090" i="1"/>
  <c r="D3716" i="1"/>
  <c r="A3716" i="1"/>
  <c r="D7089" i="1"/>
  <c r="A7089" i="1"/>
  <c r="D7088" i="1"/>
  <c r="A7088" i="1"/>
  <c r="D7087" i="1"/>
  <c r="A7087" i="1"/>
  <c r="D7086" i="1"/>
  <c r="A7086" i="1"/>
  <c r="D7085" i="1"/>
  <c r="A7085" i="1"/>
  <c r="D7084" i="1"/>
  <c r="A7084" i="1"/>
  <c r="D7083" i="1"/>
  <c r="A7083" i="1"/>
  <c r="D7082" i="1"/>
  <c r="A7082" i="1"/>
  <c r="D7081" i="1"/>
  <c r="A7081" i="1"/>
  <c r="D7080" i="1"/>
  <c r="A7080" i="1"/>
  <c r="D7079" i="1"/>
  <c r="A7079" i="1"/>
  <c r="D986" i="1"/>
  <c r="A986" i="1"/>
  <c r="D7078" i="1"/>
  <c r="A7078" i="1"/>
  <c r="D7077" i="1"/>
  <c r="A7077" i="1"/>
  <c r="D7076" i="1"/>
  <c r="A7076" i="1"/>
  <c r="D7075" i="1"/>
  <c r="A7075" i="1"/>
  <c r="D3715" i="1"/>
  <c r="A3715" i="1"/>
  <c r="D7074" i="1"/>
  <c r="A7074" i="1"/>
  <c r="D7073" i="1"/>
  <c r="A7073" i="1"/>
  <c r="D7072" i="1"/>
  <c r="A7072" i="1"/>
  <c r="D3714" i="1"/>
  <c r="A3714" i="1"/>
  <c r="D385" i="1"/>
  <c r="A385" i="1"/>
  <c r="D7071" i="1"/>
  <c r="A7071" i="1"/>
  <c r="D384" i="1"/>
  <c r="A384" i="1"/>
  <c r="D7070" i="1"/>
  <c r="A7070" i="1"/>
  <c r="D3713" i="1"/>
  <c r="A3713" i="1"/>
  <c r="D7069" i="1"/>
  <c r="A7069" i="1"/>
  <c r="D3712" i="1"/>
  <c r="A3712" i="1"/>
  <c r="D7068" i="1"/>
  <c r="A7068" i="1"/>
  <c r="D7067" i="1"/>
  <c r="A7067" i="1"/>
  <c r="D3711" i="1"/>
  <c r="A3711" i="1"/>
  <c r="D3710" i="1"/>
  <c r="A3710" i="1"/>
  <c r="D3709" i="1"/>
  <c r="A3709" i="1"/>
  <c r="D7066" i="1"/>
  <c r="A7066" i="1"/>
  <c r="D3708" i="1"/>
  <c r="A3708" i="1"/>
  <c r="D7065" i="1"/>
  <c r="A7065" i="1"/>
  <c r="D383" i="1"/>
  <c r="A383" i="1"/>
  <c r="D7064" i="1"/>
  <c r="A7064" i="1"/>
  <c r="D7063" i="1"/>
  <c r="A7063" i="1"/>
  <c r="D3707" i="1"/>
  <c r="A3707" i="1"/>
  <c r="D7062" i="1"/>
  <c r="A7062" i="1"/>
  <c r="D3706" i="1"/>
  <c r="A3706" i="1"/>
  <c r="D382" i="1"/>
  <c r="A382" i="1"/>
  <c r="D381" i="1"/>
  <c r="A381" i="1"/>
  <c r="D3705" i="1"/>
  <c r="A3705" i="1"/>
  <c r="D7061" i="1"/>
  <c r="A7061" i="1"/>
  <c r="D3704" i="1"/>
  <c r="A3704" i="1"/>
  <c r="D7060" i="1"/>
  <c r="A7060" i="1"/>
  <c r="D3703" i="1"/>
  <c r="A3703" i="1"/>
  <c r="D7059" i="1"/>
  <c r="A7059" i="1"/>
  <c r="D3702" i="1"/>
  <c r="A3702" i="1"/>
  <c r="D7058" i="1"/>
  <c r="A7058" i="1"/>
  <c r="D3701" i="1"/>
  <c r="A3701" i="1"/>
  <c r="D7057" i="1"/>
  <c r="A7057" i="1"/>
  <c r="D7056" i="1"/>
  <c r="A7056" i="1"/>
  <c r="D3700" i="1"/>
  <c r="A3700" i="1"/>
  <c r="D7055" i="1"/>
  <c r="A7055" i="1"/>
  <c r="D7054" i="1"/>
  <c r="A7054" i="1"/>
  <c r="D7053" i="1"/>
  <c r="A7053" i="1"/>
  <c r="D3699" i="1"/>
  <c r="A3699" i="1"/>
  <c r="D3698" i="1"/>
  <c r="A3698" i="1"/>
  <c r="D3697" i="1"/>
  <c r="A3697" i="1"/>
  <c r="D7052" i="1"/>
  <c r="A7052" i="1"/>
  <c r="D3696" i="1"/>
  <c r="A3696" i="1"/>
  <c r="D7051" i="1"/>
  <c r="A7051" i="1"/>
  <c r="D7050" i="1"/>
  <c r="A7050" i="1"/>
  <c r="D7049" i="1"/>
  <c r="A7049" i="1"/>
  <c r="D985" i="1"/>
  <c r="A985" i="1"/>
  <c r="D7048" i="1"/>
  <c r="A7048" i="1"/>
  <c r="D3695" i="1"/>
  <c r="A3695" i="1"/>
  <c r="D7047" i="1"/>
  <c r="A7047" i="1"/>
  <c r="D7046" i="1"/>
  <c r="A7046" i="1"/>
  <c r="D7045" i="1"/>
  <c r="A7045" i="1"/>
  <c r="D7044" i="1"/>
  <c r="A7044" i="1"/>
  <c r="D3694" i="1"/>
  <c r="A3694" i="1"/>
  <c r="D7043" i="1"/>
  <c r="A7043" i="1"/>
  <c r="D3693" i="1"/>
  <c r="A3693" i="1"/>
  <c r="D7042" i="1"/>
  <c r="A7042" i="1"/>
  <c r="D380" i="1"/>
  <c r="A380" i="1"/>
  <c r="D7041" i="1"/>
  <c r="A7041" i="1"/>
  <c r="D7040" i="1"/>
  <c r="A7040" i="1"/>
  <c r="D7039" i="1"/>
  <c r="A7039" i="1"/>
  <c r="D7038" i="1"/>
  <c r="A7038" i="1"/>
  <c r="D7037" i="1"/>
  <c r="A7037" i="1"/>
  <c r="D3692" i="1"/>
  <c r="A3692" i="1"/>
  <c r="D7036" i="1"/>
  <c r="A7036" i="1"/>
  <c r="D7035" i="1"/>
  <c r="A7035" i="1"/>
  <c r="D7034" i="1"/>
  <c r="A7034" i="1"/>
  <c r="D7033" i="1"/>
  <c r="A7033" i="1"/>
  <c r="D7032" i="1"/>
  <c r="A7032" i="1"/>
  <c r="D379" i="1"/>
  <c r="A379" i="1"/>
  <c r="D7031" i="1"/>
  <c r="A7031" i="1"/>
  <c r="D7030" i="1"/>
  <c r="A7030" i="1"/>
  <c r="D3691" i="1"/>
  <c r="A3691" i="1"/>
  <c r="D7029" i="1"/>
  <c r="A7029" i="1"/>
  <c r="D7028" i="1"/>
  <c r="A7028" i="1"/>
  <c r="D7027" i="1"/>
  <c r="A7027" i="1"/>
  <c r="D7026" i="1"/>
  <c r="A7026" i="1"/>
  <c r="D3690" i="1"/>
  <c r="A3690" i="1"/>
  <c r="D7025" i="1"/>
  <c r="A7025" i="1"/>
  <c r="D3689" i="1"/>
  <c r="A3689" i="1"/>
  <c r="D7024" i="1"/>
  <c r="A7024" i="1"/>
  <c r="D7023" i="1"/>
  <c r="A7023" i="1"/>
  <c r="D7022" i="1"/>
  <c r="A7022" i="1"/>
  <c r="D7021" i="1"/>
  <c r="A7021" i="1"/>
  <c r="D3688" i="1"/>
  <c r="A3688" i="1"/>
  <c r="D7020" i="1"/>
  <c r="A7020" i="1"/>
  <c r="D378" i="1"/>
  <c r="A378" i="1"/>
  <c r="D377" i="1"/>
  <c r="A377" i="1"/>
  <c r="D7019" i="1"/>
  <c r="A7019" i="1"/>
  <c r="D7018" i="1"/>
  <c r="A7018" i="1"/>
  <c r="D7017" i="1"/>
  <c r="A7017" i="1"/>
  <c r="D7016" i="1"/>
  <c r="A7016" i="1"/>
  <c r="D7015" i="1"/>
  <c r="A7015" i="1"/>
  <c r="D7014" i="1"/>
  <c r="A7014" i="1"/>
  <c r="D7013" i="1"/>
  <c r="A7013" i="1"/>
  <c r="D3687" i="1"/>
  <c r="A3687" i="1"/>
  <c r="D7012" i="1"/>
  <c r="A7012" i="1"/>
  <c r="D3686" i="1"/>
  <c r="A3686" i="1"/>
  <c r="D7011" i="1"/>
  <c r="A7011" i="1"/>
  <c r="D3685" i="1"/>
  <c r="A3685" i="1"/>
  <c r="D376" i="1"/>
  <c r="A376" i="1"/>
  <c r="D3684" i="1"/>
  <c r="A3684" i="1"/>
  <c r="D375" i="1"/>
  <c r="A375" i="1"/>
  <c r="D7010" i="1"/>
  <c r="A7010" i="1"/>
  <c r="D3683" i="1"/>
  <c r="A3683" i="1"/>
  <c r="D7009" i="1"/>
  <c r="A7009" i="1"/>
  <c r="D7008" i="1"/>
  <c r="A7008" i="1"/>
  <c r="D3682" i="1"/>
  <c r="A3682" i="1"/>
  <c r="D3681" i="1"/>
  <c r="A3681" i="1"/>
  <c r="D3680" i="1"/>
  <c r="A3680" i="1"/>
  <c r="D7007" i="1"/>
  <c r="A7007" i="1"/>
  <c r="D3679" i="1"/>
  <c r="A3679" i="1"/>
  <c r="D3678" i="1"/>
  <c r="A3678" i="1"/>
  <c r="D984" i="1"/>
  <c r="A984" i="1"/>
  <c r="D3677" i="1"/>
  <c r="A3677" i="1"/>
  <c r="D7006" i="1"/>
  <c r="A7006" i="1"/>
  <c r="D983" i="1"/>
  <c r="A983" i="1"/>
  <c r="D3676" i="1"/>
  <c r="A3676" i="1"/>
  <c r="D982" i="1"/>
  <c r="A982" i="1"/>
  <c r="D7005" i="1"/>
  <c r="A7005" i="1"/>
  <c r="D7004" i="1"/>
  <c r="A7004" i="1"/>
  <c r="D7003" i="1"/>
  <c r="A7003" i="1"/>
  <c r="D981" i="1"/>
  <c r="A981" i="1"/>
  <c r="D3675" i="1"/>
  <c r="A3675" i="1"/>
  <c r="D3674" i="1"/>
  <c r="A3674" i="1"/>
  <c r="D7002" i="1"/>
  <c r="A7002" i="1"/>
  <c r="D3673" i="1"/>
  <c r="A3673" i="1"/>
  <c r="D3672" i="1"/>
  <c r="A3672" i="1"/>
  <c r="D3671" i="1"/>
  <c r="A3671" i="1"/>
  <c r="D980" i="1"/>
  <c r="A980" i="1"/>
  <c r="D979" i="1"/>
  <c r="A979" i="1"/>
  <c r="D374" i="1"/>
  <c r="A374" i="1"/>
  <c r="D7001" i="1"/>
  <c r="A7001" i="1"/>
  <c r="D7000" i="1"/>
  <c r="A7000" i="1"/>
  <c r="D6999" i="1"/>
  <c r="A6999" i="1"/>
  <c r="D6998" i="1"/>
  <c r="A6998" i="1"/>
  <c r="D978" i="1"/>
  <c r="A978" i="1"/>
  <c r="D6997" i="1"/>
  <c r="A6997" i="1"/>
  <c r="D6996" i="1"/>
  <c r="A6996" i="1"/>
  <c r="D6995" i="1"/>
  <c r="A6995" i="1"/>
  <c r="D6994" i="1"/>
  <c r="A6994" i="1"/>
  <c r="D6993" i="1"/>
  <c r="A6993" i="1"/>
  <c r="D3670" i="1"/>
  <c r="A3670" i="1"/>
  <c r="D3669" i="1"/>
  <c r="A3669" i="1"/>
  <c r="D3668" i="1"/>
  <c r="A3668" i="1"/>
  <c r="D3667" i="1"/>
  <c r="A3667" i="1"/>
  <c r="D3666" i="1"/>
  <c r="A3666" i="1"/>
  <c r="D6992" i="1"/>
  <c r="A6992" i="1"/>
  <c r="D373" i="1"/>
  <c r="A373" i="1"/>
  <c r="D6991" i="1"/>
  <c r="A6991" i="1"/>
  <c r="D6990" i="1"/>
  <c r="A6990" i="1"/>
  <c r="D6989" i="1"/>
  <c r="A6989" i="1"/>
  <c r="D6988" i="1"/>
  <c r="A6988" i="1"/>
  <c r="D6987" i="1"/>
  <c r="A6987" i="1"/>
  <c r="D372" i="1"/>
  <c r="A372" i="1"/>
  <c r="D6986" i="1"/>
  <c r="A6986" i="1"/>
  <c r="D6985" i="1"/>
  <c r="A6985" i="1"/>
  <c r="D6984" i="1"/>
  <c r="A6984" i="1"/>
  <c r="D6983" i="1"/>
  <c r="A6983" i="1"/>
  <c r="D6982" i="1"/>
  <c r="A6982" i="1"/>
  <c r="D6981" i="1"/>
  <c r="A6981" i="1"/>
  <c r="D6980" i="1"/>
  <c r="A6980" i="1"/>
  <c r="D3665" i="1"/>
  <c r="A3665" i="1"/>
  <c r="D6979" i="1"/>
  <c r="A6979" i="1"/>
  <c r="D3664" i="1"/>
  <c r="A3664" i="1"/>
  <c r="D3663" i="1"/>
  <c r="A3663" i="1"/>
  <c r="D371" i="1"/>
  <c r="A371" i="1"/>
  <c r="D6978" i="1"/>
  <c r="A6978" i="1"/>
  <c r="D3662" i="1"/>
  <c r="A3662" i="1"/>
  <c r="D6977" i="1"/>
  <c r="A6977" i="1"/>
  <c r="D6976" i="1"/>
  <c r="A6976" i="1"/>
  <c r="D3661" i="1"/>
  <c r="A3661" i="1"/>
  <c r="D3660" i="1"/>
  <c r="A3660" i="1"/>
  <c r="D977" i="1"/>
  <c r="A977" i="1"/>
  <c r="D6975" i="1"/>
  <c r="A6975" i="1"/>
  <c r="D6974" i="1"/>
  <c r="A6974" i="1"/>
  <c r="D47" i="1"/>
  <c r="A47" i="1"/>
  <c r="D6973" i="1"/>
  <c r="A6973" i="1"/>
  <c r="D3659" i="1"/>
  <c r="A3659" i="1"/>
  <c r="D3658" i="1"/>
  <c r="A3658" i="1"/>
  <c r="D6972" i="1"/>
  <c r="A6972" i="1"/>
  <c r="D6971" i="1"/>
  <c r="A6971" i="1"/>
  <c r="D6970" i="1"/>
  <c r="A6970" i="1"/>
  <c r="D3657" i="1"/>
  <c r="A3657" i="1"/>
  <c r="D6969" i="1"/>
  <c r="A6969" i="1"/>
  <c r="D6968" i="1"/>
  <c r="A6968" i="1"/>
  <c r="D6967" i="1"/>
  <c r="A6967" i="1"/>
  <c r="D3656" i="1"/>
  <c r="A3656" i="1"/>
  <c r="D976" i="1"/>
  <c r="A976" i="1"/>
  <c r="D6966" i="1"/>
  <c r="A6966" i="1"/>
  <c r="D6965" i="1"/>
  <c r="A6965" i="1"/>
  <c r="D975" i="1"/>
  <c r="A975" i="1"/>
  <c r="D6964" i="1"/>
  <c r="A6964" i="1"/>
  <c r="D6963" i="1"/>
  <c r="A6963" i="1"/>
  <c r="D6962" i="1"/>
  <c r="A6962" i="1"/>
  <c r="D6961" i="1"/>
  <c r="A6961" i="1"/>
  <c r="D6960" i="1"/>
  <c r="A6960" i="1"/>
  <c r="D3655" i="1"/>
  <c r="A3655" i="1"/>
  <c r="D3654" i="1"/>
  <c r="A3654" i="1"/>
  <c r="D6959" i="1"/>
  <c r="A6959" i="1"/>
  <c r="D3653" i="1"/>
  <c r="A3653" i="1"/>
  <c r="D3652" i="1"/>
  <c r="A3652" i="1"/>
  <c r="D6958" i="1"/>
  <c r="A6958" i="1"/>
  <c r="D6957" i="1"/>
  <c r="A6957" i="1"/>
  <c r="D3651" i="1"/>
  <c r="A3651" i="1"/>
  <c r="D3650" i="1"/>
  <c r="A3650" i="1"/>
  <c r="D6956" i="1"/>
  <c r="A6956" i="1"/>
  <c r="D3649" i="1"/>
  <c r="A3649" i="1"/>
  <c r="D3648" i="1"/>
  <c r="A3648" i="1"/>
  <c r="D370" i="1"/>
  <c r="A370" i="1"/>
  <c r="D6955" i="1"/>
  <c r="A6955" i="1"/>
  <c r="D6954" i="1"/>
  <c r="A6954" i="1"/>
  <c r="D6953" i="1"/>
  <c r="A6953" i="1"/>
  <c r="D6952" i="1"/>
  <c r="A6952" i="1"/>
  <c r="D6951" i="1"/>
  <c r="A6951" i="1"/>
  <c r="D6950" i="1"/>
  <c r="A6950" i="1"/>
  <c r="D6949" i="1"/>
  <c r="A6949" i="1"/>
  <c r="D6948" i="1"/>
  <c r="A6948" i="1"/>
  <c r="D6947" i="1"/>
  <c r="A6947" i="1"/>
  <c r="D6946" i="1"/>
  <c r="A6946" i="1"/>
  <c r="D6945" i="1"/>
  <c r="A6945" i="1"/>
  <c r="D3647" i="1"/>
  <c r="A3647" i="1"/>
  <c r="D6944" i="1"/>
  <c r="A6944" i="1"/>
  <c r="D6943" i="1"/>
  <c r="A6943" i="1"/>
  <c r="D6942" i="1"/>
  <c r="A6942" i="1"/>
  <c r="D6941" i="1"/>
  <c r="A6941" i="1"/>
  <c r="D6940" i="1"/>
  <c r="A6940" i="1"/>
  <c r="D6939" i="1"/>
  <c r="A6939" i="1"/>
  <c r="D6938" i="1"/>
  <c r="A6938" i="1"/>
  <c r="D3646" i="1"/>
  <c r="A3646" i="1"/>
  <c r="D6937" i="1"/>
  <c r="A6937" i="1"/>
  <c r="D6936" i="1"/>
  <c r="A6936" i="1"/>
  <c r="D6935" i="1"/>
  <c r="A6935" i="1"/>
  <c r="D3645" i="1"/>
  <c r="A3645" i="1"/>
  <c r="D6934" i="1"/>
  <c r="A6934" i="1"/>
  <c r="D6933" i="1"/>
  <c r="A6933" i="1"/>
  <c r="D369" i="1"/>
  <c r="A369" i="1"/>
  <c r="D3644" i="1"/>
  <c r="A3644" i="1"/>
  <c r="D6932" i="1"/>
  <c r="A6932" i="1"/>
  <c r="D3643" i="1"/>
  <c r="A3643" i="1"/>
  <c r="D6931" i="1"/>
  <c r="A6931" i="1"/>
  <c r="D3642" i="1"/>
  <c r="A3642" i="1"/>
  <c r="D6930" i="1"/>
  <c r="A6930" i="1"/>
  <c r="D3641" i="1"/>
  <c r="A3641" i="1"/>
  <c r="D6929" i="1"/>
  <c r="A6929" i="1"/>
  <c r="D3640" i="1"/>
  <c r="A3640" i="1"/>
  <c r="D3639" i="1"/>
  <c r="A3639" i="1"/>
  <c r="D3638" i="1"/>
  <c r="A3638" i="1"/>
  <c r="D3637" i="1"/>
  <c r="A3637" i="1"/>
  <c r="D3636" i="1"/>
  <c r="A3636" i="1"/>
  <c r="D6928" i="1"/>
  <c r="A6928" i="1"/>
  <c r="D6927" i="1"/>
  <c r="A6927" i="1"/>
  <c r="D974" i="1"/>
  <c r="A974" i="1"/>
  <c r="D6926" i="1"/>
  <c r="A6926" i="1"/>
  <c r="D6925" i="1"/>
  <c r="A6925" i="1"/>
  <c r="D6924" i="1"/>
  <c r="A6924" i="1"/>
  <c r="D3635" i="1"/>
  <c r="A3635" i="1"/>
  <c r="D6923" i="1"/>
  <c r="A6923" i="1"/>
  <c r="D3634" i="1"/>
  <c r="A3634" i="1"/>
  <c r="D3633" i="1"/>
  <c r="A3633" i="1"/>
  <c r="D6922" i="1"/>
  <c r="A6922" i="1"/>
  <c r="D6921" i="1"/>
  <c r="A6921" i="1"/>
  <c r="D6920" i="1"/>
  <c r="A6920" i="1"/>
  <c r="D3632" i="1"/>
  <c r="A3632" i="1"/>
  <c r="D368" i="1"/>
  <c r="A368" i="1"/>
  <c r="D6919" i="1"/>
  <c r="A6919" i="1"/>
  <c r="D6918" i="1"/>
  <c r="A6918" i="1"/>
  <c r="D6917" i="1"/>
  <c r="A6917" i="1"/>
  <c r="D6916" i="1"/>
  <c r="A6916" i="1"/>
  <c r="D3631" i="1"/>
  <c r="A3631" i="1"/>
  <c r="D6915" i="1"/>
  <c r="A6915" i="1"/>
  <c r="D6914" i="1"/>
  <c r="A6914" i="1"/>
  <c r="D6913" i="1"/>
  <c r="A6913" i="1"/>
  <c r="D6912" i="1"/>
  <c r="A6912" i="1"/>
  <c r="D6911" i="1"/>
  <c r="A6911" i="1"/>
  <c r="D6910" i="1"/>
  <c r="A6910" i="1"/>
  <c r="D6909" i="1"/>
  <c r="A6909" i="1"/>
  <c r="D6908" i="1"/>
  <c r="A6908" i="1"/>
  <c r="D6907" i="1"/>
  <c r="A6907" i="1"/>
  <c r="D367" i="1"/>
  <c r="A367" i="1"/>
  <c r="D3630" i="1"/>
  <c r="A3630" i="1"/>
  <c r="D6906" i="1"/>
  <c r="A6906" i="1"/>
  <c r="D6905" i="1"/>
  <c r="A6905" i="1"/>
  <c r="D973" i="1"/>
  <c r="A973" i="1"/>
  <c r="D6904" i="1"/>
  <c r="A6904" i="1"/>
  <c r="D6903" i="1"/>
  <c r="A6903" i="1"/>
  <c r="D6902" i="1"/>
  <c r="A6902" i="1"/>
  <c r="D6901" i="1"/>
  <c r="A6901" i="1"/>
  <c r="D3629" i="1"/>
  <c r="A3629" i="1"/>
  <c r="D6900" i="1"/>
  <c r="A6900" i="1"/>
  <c r="D6899" i="1"/>
  <c r="A6899" i="1"/>
  <c r="D6898" i="1"/>
  <c r="A6898" i="1"/>
  <c r="D6897" i="1"/>
  <c r="A6897" i="1"/>
  <c r="D6896" i="1"/>
  <c r="A6896" i="1"/>
  <c r="D3628" i="1"/>
  <c r="A3628" i="1"/>
  <c r="D6895" i="1"/>
  <c r="A6895" i="1"/>
  <c r="D6894" i="1"/>
  <c r="A6894" i="1"/>
  <c r="D972" i="1"/>
  <c r="A972" i="1"/>
  <c r="D6893" i="1"/>
  <c r="A6893" i="1"/>
  <c r="D6892" i="1"/>
  <c r="A6892" i="1"/>
  <c r="D3627" i="1"/>
  <c r="A3627" i="1"/>
  <c r="D6891" i="1"/>
  <c r="A6891" i="1"/>
  <c r="D3626" i="1"/>
  <c r="A3626" i="1"/>
  <c r="D6890" i="1"/>
  <c r="A6890" i="1"/>
  <c r="D6889" i="1"/>
  <c r="A6889" i="1"/>
  <c r="D6888" i="1"/>
  <c r="A6888" i="1"/>
  <c r="D6887" i="1"/>
  <c r="A6887" i="1"/>
  <c r="D6886" i="1"/>
  <c r="A6886" i="1"/>
  <c r="D6885" i="1"/>
  <c r="A6885" i="1"/>
  <c r="D6884" i="1"/>
  <c r="A6884" i="1"/>
  <c r="D6883" i="1"/>
  <c r="A6883" i="1"/>
  <c r="D6882" i="1"/>
  <c r="A6882" i="1"/>
  <c r="D6881" i="1"/>
  <c r="A6881" i="1"/>
  <c r="D6880" i="1"/>
  <c r="A6880" i="1"/>
  <c r="D971" i="1"/>
  <c r="A971" i="1"/>
  <c r="D3625" i="1"/>
  <c r="A3625" i="1"/>
  <c r="D6879" i="1"/>
  <c r="A6879" i="1"/>
  <c r="D6878" i="1"/>
  <c r="A6878" i="1"/>
  <c r="D366" i="1"/>
  <c r="A366" i="1"/>
  <c r="D6877" i="1"/>
  <c r="A6877" i="1"/>
  <c r="D6876" i="1"/>
  <c r="A6876" i="1"/>
  <c r="D6875" i="1"/>
  <c r="A6875" i="1"/>
  <c r="D6874" i="1"/>
  <c r="A6874" i="1"/>
  <c r="D3624" i="1"/>
  <c r="A3624" i="1"/>
  <c r="D6873" i="1"/>
  <c r="A6873" i="1"/>
  <c r="D3623" i="1"/>
  <c r="A3623" i="1"/>
  <c r="D3622" i="1"/>
  <c r="A3622" i="1"/>
  <c r="D6872" i="1"/>
  <c r="A6872" i="1"/>
  <c r="D3621" i="1"/>
  <c r="A3621" i="1"/>
  <c r="D6871" i="1"/>
  <c r="A6871" i="1"/>
  <c r="D6870" i="1"/>
  <c r="A6870" i="1"/>
  <c r="D6869" i="1"/>
  <c r="A6869" i="1"/>
  <c r="D3620" i="1"/>
  <c r="A3620" i="1"/>
  <c r="D3619" i="1"/>
  <c r="A3619" i="1"/>
  <c r="D365" i="1"/>
  <c r="A365" i="1"/>
  <c r="D6868" i="1"/>
  <c r="A6868" i="1"/>
  <c r="D6867" i="1"/>
  <c r="A6867" i="1"/>
  <c r="D6866" i="1"/>
  <c r="A6866" i="1"/>
  <c r="D6865" i="1"/>
  <c r="A6865" i="1"/>
  <c r="D6864" i="1"/>
  <c r="A6864" i="1"/>
  <c r="D6863" i="1"/>
  <c r="A6863" i="1"/>
  <c r="D6862" i="1"/>
  <c r="A6862" i="1"/>
  <c r="D3618" i="1"/>
  <c r="A3618" i="1"/>
  <c r="D6861" i="1"/>
  <c r="A6861" i="1"/>
  <c r="D6860" i="1"/>
  <c r="A6860" i="1"/>
  <c r="D6859" i="1"/>
  <c r="A6859" i="1"/>
  <c r="D6858" i="1"/>
  <c r="A6858" i="1"/>
  <c r="D970" i="1"/>
  <c r="A970" i="1"/>
  <c r="D6857" i="1"/>
  <c r="A6857" i="1"/>
  <c r="D3617" i="1"/>
  <c r="A3617" i="1"/>
  <c r="D3616" i="1"/>
  <c r="A3616" i="1"/>
  <c r="D6856" i="1"/>
  <c r="A6856" i="1"/>
  <c r="D6855" i="1"/>
  <c r="A6855" i="1"/>
  <c r="D6854" i="1"/>
  <c r="A6854" i="1"/>
  <c r="D6853" i="1"/>
  <c r="A6853" i="1"/>
  <c r="D6852" i="1"/>
  <c r="A6852" i="1"/>
  <c r="D6851" i="1"/>
  <c r="A6851" i="1"/>
  <c r="D6850" i="1"/>
  <c r="A6850" i="1"/>
  <c r="D3615" i="1"/>
  <c r="A3615" i="1"/>
  <c r="D3614" i="1"/>
  <c r="A3614" i="1"/>
  <c r="D6849" i="1"/>
  <c r="A6849" i="1"/>
  <c r="D6848" i="1"/>
  <c r="A6848" i="1"/>
  <c r="D6847" i="1"/>
  <c r="A6847" i="1"/>
  <c r="D364" i="1"/>
  <c r="A364" i="1"/>
  <c r="D3613" i="1"/>
  <c r="A3613" i="1"/>
  <c r="D6846" i="1"/>
  <c r="A6846" i="1"/>
  <c r="D6845" i="1"/>
  <c r="A6845" i="1"/>
  <c r="D6844" i="1"/>
  <c r="A6844" i="1"/>
  <c r="D6843" i="1"/>
  <c r="A6843" i="1"/>
  <c r="D6842" i="1"/>
  <c r="A6842" i="1"/>
  <c r="D6841" i="1"/>
  <c r="A6841" i="1"/>
  <c r="D6840" i="1"/>
  <c r="A6840" i="1"/>
  <c r="D6839" i="1"/>
  <c r="A6839" i="1"/>
  <c r="D3612" i="1"/>
  <c r="A3612" i="1"/>
  <c r="D6838" i="1"/>
  <c r="A6838" i="1"/>
  <c r="D6837" i="1"/>
  <c r="A6837" i="1"/>
  <c r="D363" i="1"/>
  <c r="A363" i="1"/>
  <c r="D3611" i="1"/>
  <c r="A3611" i="1"/>
  <c r="D6836" i="1"/>
  <c r="A6836" i="1"/>
  <c r="D6835" i="1"/>
  <c r="A6835" i="1"/>
  <c r="D6834" i="1"/>
  <c r="A6834" i="1"/>
  <c r="D6833" i="1"/>
  <c r="A6833" i="1"/>
  <c r="D6832" i="1"/>
  <c r="A6832" i="1"/>
  <c r="D6831" i="1"/>
  <c r="A6831" i="1"/>
  <c r="D6830" i="1"/>
  <c r="A6830" i="1"/>
  <c r="D362" i="1"/>
  <c r="A362" i="1"/>
  <c r="D6829" i="1"/>
  <c r="A6829" i="1"/>
  <c r="D6828" i="1"/>
  <c r="A6828" i="1"/>
  <c r="D361" i="1"/>
  <c r="A361" i="1"/>
  <c r="D3610" i="1"/>
  <c r="A3610" i="1"/>
  <c r="D3609" i="1"/>
  <c r="A3609" i="1"/>
  <c r="D6827" i="1"/>
  <c r="A6827" i="1"/>
  <c r="D6826" i="1"/>
  <c r="A6826" i="1"/>
  <c r="D6825" i="1"/>
  <c r="A6825" i="1"/>
  <c r="D6824" i="1"/>
  <c r="A6824" i="1"/>
  <c r="D6823" i="1"/>
  <c r="A6823" i="1"/>
  <c r="D6822" i="1"/>
  <c r="A6822" i="1"/>
  <c r="D6821" i="1"/>
  <c r="A6821" i="1"/>
  <c r="D3608" i="1"/>
  <c r="A3608" i="1"/>
  <c r="D6820" i="1"/>
  <c r="A6820" i="1"/>
  <c r="D3607" i="1"/>
  <c r="A3607" i="1"/>
  <c r="D3606" i="1"/>
  <c r="A3606" i="1"/>
  <c r="D6819" i="1"/>
  <c r="A6819" i="1"/>
  <c r="D360" i="1"/>
  <c r="A360" i="1"/>
  <c r="D6818" i="1"/>
  <c r="A6818" i="1"/>
  <c r="D6817" i="1"/>
  <c r="A6817" i="1"/>
  <c r="D6816" i="1"/>
  <c r="A6816" i="1"/>
  <c r="D6815" i="1"/>
  <c r="A6815" i="1"/>
  <c r="D6814" i="1"/>
  <c r="A6814" i="1"/>
  <c r="D6813" i="1"/>
  <c r="A6813" i="1"/>
  <c r="D3605" i="1"/>
  <c r="A3605" i="1"/>
  <c r="D359" i="1"/>
  <c r="A359" i="1"/>
  <c r="D3604" i="1"/>
  <c r="A3604" i="1"/>
  <c r="D6812" i="1"/>
  <c r="A6812" i="1"/>
  <c r="D6811" i="1"/>
  <c r="A6811" i="1"/>
  <c r="D6810" i="1"/>
  <c r="A6810" i="1"/>
  <c r="D358" i="1"/>
  <c r="A358" i="1"/>
  <c r="D6809" i="1"/>
  <c r="A6809" i="1"/>
  <c r="D6808" i="1"/>
  <c r="A6808" i="1"/>
  <c r="D6807" i="1"/>
  <c r="A6807" i="1"/>
  <c r="D3603" i="1"/>
  <c r="A3603" i="1"/>
  <c r="D6806" i="1"/>
  <c r="A6806" i="1"/>
  <c r="D6805" i="1"/>
  <c r="A6805" i="1"/>
  <c r="D357" i="1"/>
  <c r="A357" i="1"/>
  <c r="D356" i="1"/>
  <c r="A356" i="1"/>
  <c r="D6804" i="1"/>
  <c r="A6804" i="1"/>
  <c r="D6803" i="1"/>
  <c r="A6803" i="1"/>
  <c r="D3602" i="1"/>
  <c r="A3602" i="1"/>
  <c r="D6802" i="1"/>
  <c r="A6802" i="1"/>
  <c r="D6801" i="1"/>
  <c r="A6801" i="1"/>
  <c r="D6800" i="1"/>
  <c r="A6800" i="1"/>
  <c r="D969" i="1"/>
  <c r="A969" i="1"/>
  <c r="D6799" i="1"/>
  <c r="A6799" i="1"/>
  <c r="D13779" i="1"/>
  <c r="A13779" i="1"/>
  <c r="D6798" i="1"/>
  <c r="A6798" i="1"/>
  <c r="D6797" i="1"/>
  <c r="A6797" i="1"/>
  <c r="D3601" i="1"/>
  <c r="A3601" i="1"/>
  <c r="D6796" i="1"/>
  <c r="A6796" i="1"/>
  <c r="D6795" i="1"/>
  <c r="A6795" i="1"/>
  <c r="D6794" i="1"/>
  <c r="A6794" i="1"/>
  <c r="D6793" i="1"/>
  <c r="A6793" i="1"/>
  <c r="D6792" i="1"/>
  <c r="A6792" i="1"/>
  <c r="D6791" i="1"/>
  <c r="A6791" i="1"/>
  <c r="D6790" i="1"/>
  <c r="A6790" i="1"/>
  <c r="D6789" i="1"/>
  <c r="A6789" i="1"/>
  <c r="D6788" i="1"/>
  <c r="A6788" i="1"/>
  <c r="D6787" i="1"/>
  <c r="A6787" i="1"/>
  <c r="D6786" i="1"/>
  <c r="A6786" i="1"/>
  <c r="D3600" i="1"/>
  <c r="A3600" i="1"/>
  <c r="D6785" i="1"/>
  <c r="A6785" i="1"/>
  <c r="D6784" i="1"/>
  <c r="A6784" i="1"/>
  <c r="D3599" i="1"/>
  <c r="A3599" i="1"/>
  <c r="D6783" i="1"/>
  <c r="A6783" i="1"/>
  <c r="D6782" i="1"/>
  <c r="A6782" i="1"/>
  <c r="D6781" i="1"/>
  <c r="A6781" i="1"/>
  <c r="D6780" i="1"/>
  <c r="A6780" i="1"/>
  <c r="D6779" i="1"/>
  <c r="A6779" i="1"/>
  <c r="D3598" i="1"/>
  <c r="A3598" i="1"/>
  <c r="D6778" i="1"/>
  <c r="A6778" i="1"/>
  <c r="D6777" i="1"/>
  <c r="A6777" i="1"/>
  <c r="D3597" i="1"/>
  <c r="A3597" i="1"/>
  <c r="D6776" i="1"/>
  <c r="A6776" i="1"/>
  <c r="D3596" i="1"/>
  <c r="A3596" i="1"/>
  <c r="D6775" i="1"/>
  <c r="A6775" i="1"/>
  <c r="D6774" i="1"/>
  <c r="A6774" i="1"/>
  <c r="D6773" i="1"/>
  <c r="A6773" i="1"/>
  <c r="D6772" i="1"/>
  <c r="A6772" i="1"/>
  <c r="D6771" i="1"/>
  <c r="A6771" i="1"/>
  <c r="D3595" i="1"/>
  <c r="A3595" i="1"/>
  <c r="D3594" i="1"/>
  <c r="A3594" i="1"/>
  <c r="D3593" i="1"/>
  <c r="A3593" i="1"/>
  <c r="D6770" i="1"/>
  <c r="A6770" i="1"/>
  <c r="D6769" i="1"/>
  <c r="A6769" i="1"/>
  <c r="D6768" i="1"/>
  <c r="A6768" i="1"/>
  <c r="D102" i="1"/>
  <c r="A102" i="1"/>
  <c r="D6767" i="1"/>
  <c r="A6767" i="1"/>
  <c r="D6766" i="1"/>
  <c r="A6766" i="1"/>
  <c r="D6765" i="1"/>
  <c r="A6765" i="1"/>
  <c r="D6764" i="1"/>
  <c r="A6764" i="1"/>
  <c r="D6763" i="1"/>
  <c r="A6763" i="1"/>
  <c r="D6762" i="1"/>
  <c r="A6762" i="1"/>
  <c r="D6761" i="1"/>
  <c r="A6761" i="1"/>
  <c r="D968" i="1"/>
  <c r="A968" i="1"/>
  <c r="D6760" i="1"/>
  <c r="A6760" i="1"/>
  <c r="D6759" i="1"/>
  <c r="A6759" i="1"/>
  <c r="D6758" i="1"/>
  <c r="A6758" i="1"/>
  <c r="D6757" i="1"/>
  <c r="A6757" i="1"/>
  <c r="D6756" i="1"/>
  <c r="A6756" i="1"/>
  <c r="D3592" i="1"/>
  <c r="A3592" i="1"/>
  <c r="D6755" i="1"/>
  <c r="A6755" i="1"/>
  <c r="D3591" i="1"/>
  <c r="A3591" i="1"/>
  <c r="D6754" i="1"/>
  <c r="A6754" i="1"/>
  <c r="D6753" i="1"/>
  <c r="A6753" i="1"/>
  <c r="D355" i="1"/>
  <c r="A355" i="1"/>
  <c r="D6752" i="1"/>
  <c r="A6752" i="1"/>
  <c r="D6751" i="1"/>
  <c r="A6751" i="1"/>
  <c r="D6750" i="1"/>
  <c r="A6750" i="1"/>
  <c r="D967" i="1"/>
  <c r="A967" i="1"/>
  <c r="D6749" i="1"/>
  <c r="A6749" i="1"/>
  <c r="D6748" i="1"/>
  <c r="A6748" i="1"/>
  <c r="D6747" i="1"/>
  <c r="A6747" i="1"/>
  <c r="D6746" i="1"/>
  <c r="A6746" i="1"/>
  <c r="D6745" i="1"/>
  <c r="A6745" i="1"/>
  <c r="D6744" i="1"/>
  <c r="A6744" i="1"/>
  <c r="D6743" i="1"/>
  <c r="A6743" i="1"/>
  <c r="D6742" i="1"/>
  <c r="A6742" i="1"/>
  <c r="D3590" i="1"/>
  <c r="A3590" i="1"/>
  <c r="D3589" i="1"/>
  <c r="A3589" i="1"/>
  <c r="D6741" i="1"/>
  <c r="A6741" i="1"/>
  <c r="D3588" i="1"/>
  <c r="A3588" i="1"/>
  <c r="D6740" i="1"/>
  <c r="A6740" i="1"/>
  <c r="D6739" i="1"/>
  <c r="A6739" i="1"/>
  <c r="D6738" i="1"/>
  <c r="A6738" i="1"/>
  <c r="D6737" i="1"/>
  <c r="A6737" i="1"/>
  <c r="D6736" i="1"/>
  <c r="A6736" i="1"/>
  <c r="D3587" i="1"/>
  <c r="A3587" i="1"/>
  <c r="D6735" i="1"/>
  <c r="A6735" i="1"/>
  <c r="D6734" i="1"/>
  <c r="A6734" i="1"/>
  <c r="D6733" i="1"/>
  <c r="A6733" i="1"/>
  <c r="D6732" i="1"/>
  <c r="A6732" i="1"/>
  <c r="D6731" i="1"/>
  <c r="A6731" i="1"/>
  <c r="D6730" i="1"/>
  <c r="A6730" i="1"/>
  <c r="D6729" i="1"/>
  <c r="A6729" i="1"/>
  <c r="D6728" i="1"/>
  <c r="A6728" i="1"/>
  <c r="D6727" i="1"/>
  <c r="A6727" i="1"/>
  <c r="D6726" i="1"/>
  <c r="A6726" i="1"/>
  <c r="D3586" i="1"/>
  <c r="A3586" i="1"/>
  <c r="D6725" i="1"/>
  <c r="A6725" i="1"/>
  <c r="D6724" i="1"/>
  <c r="A6724" i="1"/>
  <c r="D3585" i="1"/>
  <c r="A3585" i="1"/>
  <c r="D3584" i="1"/>
  <c r="A3584" i="1"/>
  <c r="D3583" i="1"/>
  <c r="A3583" i="1"/>
  <c r="D6723" i="1"/>
  <c r="A6723" i="1"/>
  <c r="D6722" i="1"/>
  <c r="A6722" i="1"/>
  <c r="D6721" i="1"/>
  <c r="A6721" i="1"/>
  <c r="D6720" i="1"/>
  <c r="A6720" i="1"/>
  <c r="D6719" i="1"/>
  <c r="A6719" i="1"/>
  <c r="D6718" i="1"/>
  <c r="A6718" i="1"/>
  <c r="D3582" i="1"/>
  <c r="A3582" i="1"/>
  <c r="D3581" i="1"/>
  <c r="A3581" i="1"/>
  <c r="D6717" i="1"/>
  <c r="A6717" i="1"/>
  <c r="D6716" i="1"/>
  <c r="A6716" i="1"/>
  <c r="D6715" i="1"/>
  <c r="A6715" i="1"/>
  <c r="D354" i="1"/>
  <c r="A354" i="1"/>
  <c r="D353" i="1"/>
  <c r="A353" i="1"/>
  <c r="D6714" i="1"/>
  <c r="A6714" i="1"/>
  <c r="D3580" i="1"/>
  <c r="A3580" i="1"/>
  <c r="D6713" i="1"/>
  <c r="A6713" i="1"/>
  <c r="D6712" i="1"/>
  <c r="A6712" i="1"/>
  <c r="D6711" i="1"/>
  <c r="A6711" i="1"/>
  <c r="D6710" i="1"/>
  <c r="A6710" i="1"/>
  <c r="D6709" i="1"/>
  <c r="A6709" i="1"/>
  <c r="D6708" i="1"/>
  <c r="A6708" i="1"/>
  <c r="D6707" i="1"/>
  <c r="A6707" i="1"/>
  <c r="D6706" i="1"/>
  <c r="A6706" i="1"/>
  <c r="D6705" i="1"/>
  <c r="A6705" i="1"/>
  <c r="D6704" i="1"/>
  <c r="A6704" i="1"/>
  <c r="D6703" i="1"/>
  <c r="A6703" i="1"/>
  <c r="D352" i="1"/>
  <c r="A352" i="1"/>
  <c r="D6702" i="1"/>
  <c r="A6702" i="1"/>
  <c r="D6701" i="1"/>
  <c r="A6701" i="1"/>
  <c r="D6700" i="1"/>
  <c r="A6700" i="1"/>
  <c r="D3579" i="1"/>
  <c r="A3579" i="1"/>
  <c r="D3578" i="1"/>
  <c r="A3578" i="1"/>
  <c r="D6699" i="1"/>
  <c r="A6699" i="1"/>
  <c r="D6698" i="1"/>
  <c r="A6698" i="1"/>
  <c r="D6697" i="1"/>
  <c r="A6697" i="1"/>
  <c r="D6696" i="1"/>
  <c r="A6696" i="1"/>
  <c r="D6695" i="1"/>
  <c r="A6695" i="1"/>
  <c r="D6694" i="1"/>
  <c r="A6694" i="1"/>
  <c r="D6693" i="1"/>
  <c r="A6693" i="1"/>
  <c r="D6692" i="1"/>
  <c r="A6692" i="1"/>
  <c r="D6691" i="1"/>
  <c r="A6691" i="1"/>
  <c r="D6690" i="1"/>
  <c r="A6690" i="1"/>
  <c r="D6689" i="1"/>
  <c r="A6689" i="1"/>
  <c r="D3577" i="1"/>
  <c r="A3577" i="1"/>
  <c r="D3576" i="1"/>
  <c r="A3576" i="1"/>
  <c r="D6688" i="1"/>
  <c r="A6688" i="1"/>
  <c r="D3575" i="1"/>
  <c r="A3575" i="1"/>
  <c r="D6687" i="1"/>
  <c r="A6687" i="1"/>
  <c r="D6686" i="1"/>
  <c r="A6686" i="1"/>
  <c r="D3574" i="1"/>
  <c r="A3574" i="1"/>
  <c r="D6685" i="1"/>
  <c r="A6685" i="1"/>
  <c r="D6684" i="1"/>
  <c r="A6684" i="1"/>
  <c r="D3573" i="1"/>
  <c r="A3573" i="1"/>
  <c r="D6683" i="1"/>
  <c r="A6683" i="1"/>
  <c r="D3572" i="1"/>
  <c r="A3572" i="1"/>
  <c r="D3571" i="1"/>
  <c r="A3571" i="1"/>
  <c r="D3570" i="1"/>
  <c r="A3570" i="1"/>
  <c r="D6682" i="1"/>
  <c r="A6682" i="1"/>
  <c r="D6681" i="1"/>
  <c r="A6681" i="1"/>
  <c r="D6680" i="1"/>
  <c r="A6680" i="1"/>
  <c r="D6679" i="1"/>
  <c r="A6679" i="1"/>
  <c r="D6678" i="1"/>
  <c r="A6678" i="1"/>
  <c r="D6677" i="1"/>
  <c r="A6677" i="1"/>
  <c r="D6676" i="1"/>
  <c r="A6676" i="1"/>
  <c r="D6675" i="1"/>
  <c r="A6675" i="1"/>
  <c r="D6674" i="1"/>
  <c r="A6674" i="1"/>
  <c r="D6673" i="1"/>
  <c r="A6673" i="1"/>
  <c r="D6672" i="1"/>
  <c r="A6672" i="1"/>
  <c r="D6671" i="1"/>
  <c r="A6671" i="1"/>
  <c r="D3569" i="1"/>
  <c r="A3569" i="1"/>
  <c r="D6670" i="1"/>
  <c r="A6670" i="1"/>
  <c r="D6669" i="1"/>
  <c r="A6669" i="1"/>
  <c r="D6668" i="1"/>
  <c r="A6668" i="1"/>
  <c r="D6667" i="1"/>
  <c r="A6667" i="1"/>
  <c r="D101" i="1"/>
  <c r="A101" i="1"/>
  <c r="D6666" i="1"/>
  <c r="A6666" i="1"/>
  <c r="D6665" i="1"/>
  <c r="A6665" i="1"/>
  <c r="D6664" i="1"/>
  <c r="A6664" i="1"/>
  <c r="D6663" i="1"/>
  <c r="A6663" i="1"/>
  <c r="D6662" i="1"/>
  <c r="A6662" i="1"/>
  <c r="D6661" i="1"/>
  <c r="A6661" i="1"/>
  <c r="D6660" i="1"/>
  <c r="A6660" i="1"/>
  <c r="D6659" i="1"/>
  <c r="A6659" i="1"/>
  <c r="D3568" i="1"/>
  <c r="A3568" i="1"/>
  <c r="D6658" i="1"/>
  <c r="A6658" i="1"/>
  <c r="D6657" i="1"/>
  <c r="A6657" i="1"/>
  <c r="D6656" i="1"/>
  <c r="A6656" i="1"/>
  <c r="D6655" i="1"/>
  <c r="A6655" i="1"/>
  <c r="D3567" i="1"/>
  <c r="A3567" i="1"/>
  <c r="D6654" i="1"/>
  <c r="A6654" i="1"/>
  <c r="D6653" i="1"/>
  <c r="A6653" i="1"/>
  <c r="D6652" i="1"/>
  <c r="A6652" i="1"/>
  <c r="D6651" i="1"/>
  <c r="A6651" i="1"/>
  <c r="D6650" i="1"/>
  <c r="A6650" i="1"/>
  <c r="D6649" i="1"/>
  <c r="A6649" i="1"/>
  <c r="D6648" i="1"/>
  <c r="A6648" i="1"/>
  <c r="D6647" i="1"/>
  <c r="A6647" i="1"/>
  <c r="D6646" i="1"/>
  <c r="A6646" i="1"/>
  <c r="D6645" i="1"/>
  <c r="A6645" i="1"/>
  <c r="D351" i="1"/>
  <c r="A351" i="1"/>
  <c r="D3566" i="1"/>
  <c r="A3566" i="1"/>
  <c r="D6644" i="1"/>
  <c r="A6644" i="1"/>
  <c r="D6643" i="1"/>
  <c r="A6643" i="1"/>
  <c r="D6642" i="1"/>
  <c r="A6642" i="1"/>
  <c r="D966" i="1"/>
  <c r="A966" i="1"/>
  <c r="D6641" i="1"/>
  <c r="A6641" i="1"/>
  <c r="D6640" i="1"/>
  <c r="A6640" i="1"/>
  <c r="D6639" i="1"/>
  <c r="A6639" i="1"/>
  <c r="D3565" i="1"/>
  <c r="A3565" i="1"/>
  <c r="D6638" i="1"/>
  <c r="A6638" i="1"/>
  <c r="D6637" i="1"/>
  <c r="A6637" i="1"/>
  <c r="D3564" i="1"/>
  <c r="A3564" i="1"/>
  <c r="D6636" i="1"/>
  <c r="A6636" i="1"/>
  <c r="D350" i="1"/>
  <c r="A350" i="1"/>
  <c r="D6635" i="1"/>
  <c r="A6635" i="1"/>
  <c r="D6634" i="1"/>
  <c r="A6634" i="1"/>
  <c r="D349" i="1"/>
  <c r="A349" i="1"/>
  <c r="D6633" i="1"/>
  <c r="A6633" i="1"/>
  <c r="D6632" i="1"/>
  <c r="A6632" i="1"/>
  <c r="D6631" i="1"/>
  <c r="A6631" i="1"/>
  <c r="D6630" i="1"/>
  <c r="A6630" i="1"/>
  <c r="D6629" i="1"/>
  <c r="A6629" i="1"/>
  <c r="D6628" i="1"/>
  <c r="A6628" i="1"/>
  <c r="D6627" i="1"/>
  <c r="A6627" i="1"/>
  <c r="D3563" i="1"/>
  <c r="A3563" i="1"/>
  <c r="D6626" i="1"/>
  <c r="A6626" i="1"/>
  <c r="D3562" i="1"/>
  <c r="A3562" i="1"/>
  <c r="D6625" i="1"/>
  <c r="A6625" i="1"/>
  <c r="D6624" i="1"/>
  <c r="A6624" i="1"/>
  <c r="D6623" i="1"/>
  <c r="A6623" i="1"/>
  <c r="D6622" i="1"/>
  <c r="A6622" i="1"/>
  <c r="D6621" i="1"/>
  <c r="A6621" i="1"/>
  <c r="D6620" i="1"/>
  <c r="A6620" i="1"/>
  <c r="D6619" i="1"/>
  <c r="A6619" i="1"/>
  <c r="D6618" i="1"/>
  <c r="A6618" i="1"/>
  <c r="D6617" i="1"/>
  <c r="A6617" i="1"/>
  <c r="D6616" i="1"/>
  <c r="A6616" i="1"/>
  <c r="D348" i="1"/>
  <c r="A348" i="1"/>
  <c r="D6615" i="1"/>
  <c r="A6615" i="1"/>
  <c r="D6614" i="1"/>
  <c r="A6614" i="1"/>
  <c r="D965" i="1"/>
  <c r="A965" i="1"/>
  <c r="D6613" i="1"/>
  <c r="A6613" i="1"/>
  <c r="D3561" i="1"/>
  <c r="A3561" i="1"/>
  <c r="D6612" i="1"/>
  <c r="A6612" i="1"/>
  <c r="D6611" i="1"/>
  <c r="A6611" i="1"/>
  <c r="D347" i="1"/>
  <c r="A347" i="1"/>
  <c r="D346" i="1"/>
  <c r="A346" i="1"/>
  <c r="D6610" i="1"/>
  <c r="A6610" i="1"/>
  <c r="D964" i="1"/>
  <c r="A964" i="1"/>
  <c r="D6609" i="1"/>
  <c r="A6609" i="1"/>
  <c r="D6608" i="1"/>
  <c r="A6608" i="1"/>
  <c r="D6607" i="1"/>
  <c r="A6607" i="1"/>
  <c r="D6606" i="1"/>
  <c r="A6606" i="1"/>
  <c r="D6605" i="1"/>
  <c r="A6605" i="1"/>
  <c r="D6604" i="1"/>
  <c r="A6604" i="1"/>
  <c r="D6603" i="1"/>
  <c r="A6603" i="1"/>
  <c r="D6602" i="1"/>
  <c r="A6602" i="1"/>
  <c r="D6601" i="1"/>
  <c r="A6601" i="1"/>
  <c r="D6600" i="1"/>
  <c r="A6600" i="1"/>
  <c r="D6599" i="1"/>
  <c r="A6599" i="1"/>
  <c r="D6598" i="1"/>
  <c r="A6598" i="1"/>
  <c r="D345" i="1"/>
  <c r="A345" i="1"/>
  <c r="D6597" i="1"/>
  <c r="A6597" i="1"/>
  <c r="D6596" i="1"/>
  <c r="A6596" i="1"/>
  <c r="D6595" i="1"/>
  <c r="A6595" i="1"/>
  <c r="D6594" i="1"/>
  <c r="A6594" i="1"/>
  <c r="D3560" i="1"/>
  <c r="A3560" i="1"/>
  <c r="D6593" i="1"/>
  <c r="A6593" i="1"/>
  <c r="D3559" i="1"/>
  <c r="A3559" i="1"/>
  <c r="D3558" i="1"/>
  <c r="A3558" i="1"/>
  <c r="D963" i="1"/>
  <c r="A963" i="1"/>
  <c r="D6592" i="1"/>
  <c r="A6592" i="1"/>
  <c r="D6591" i="1"/>
  <c r="A6591" i="1"/>
  <c r="D3557" i="1"/>
  <c r="A3557" i="1"/>
  <c r="D3556" i="1"/>
  <c r="A3556" i="1"/>
  <c r="D6590" i="1"/>
  <c r="A6590" i="1"/>
  <c r="D3555" i="1"/>
  <c r="A3555" i="1"/>
  <c r="D6589" i="1"/>
  <c r="A6589" i="1"/>
  <c r="D6588" i="1"/>
  <c r="A6588" i="1"/>
  <c r="D6587" i="1"/>
  <c r="A6587" i="1"/>
  <c r="D6586" i="1"/>
  <c r="A6586" i="1"/>
  <c r="D6585" i="1"/>
  <c r="A6585" i="1"/>
  <c r="D344" i="1"/>
  <c r="A344" i="1"/>
  <c r="D6584" i="1"/>
  <c r="A6584" i="1"/>
  <c r="D6583" i="1"/>
  <c r="A6583" i="1"/>
  <c r="D6582" i="1"/>
  <c r="A6582" i="1"/>
  <c r="D6581" i="1"/>
  <c r="A6581" i="1"/>
  <c r="D6580" i="1"/>
  <c r="A6580" i="1"/>
  <c r="D6579" i="1"/>
  <c r="A6579" i="1"/>
  <c r="D6578" i="1"/>
  <c r="A6578" i="1"/>
  <c r="D6577" i="1"/>
  <c r="A6577" i="1"/>
  <c r="D6576" i="1"/>
  <c r="A6576" i="1"/>
  <c r="D6575" i="1"/>
  <c r="A6575" i="1"/>
  <c r="D6574" i="1"/>
  <c r="A6574" i="1"/>
  <c r="D6573" i="1"/>
  <c r="A6573" i="1"/>
  <c r="D6572" i="1"/>
  <c r="A6572" i="1"/>
  <c r="D3554" i="1"/>
  <c r="A3554" i="1"/>
  <c r="D3553" i="1"/>
  <c r="A3553" i="1"/>
  <c r="D6571" i="1"/>
  <c r="A6571" i="1"/>
  <c r="D962" i="1"/>
  <c r="A962" i="1"/>
  <c r="D6570" i="1"/>
  <c r="A6570" i="1"/>
  <c r="D6569" i="1"/>
  <c r="A6569" i="1"/>
  <c r="D3552" i="1"/>
  <c r="A3552" i="1"/>
  <c r="D6568" i="1"/>
  <c r="A6568" i="1"/>
  <c r="D6567" i="1"/>
  <c r="A6567" i="1"/>
  <c r="D6566" i="1"/>
  <c r="A6566" i="1"/>
  <c r="D6565" i="1"/>
  <c r="A6565" i="1"/>
  <c r="D6564" i="1"/>
  <c r="A6564" i="1"/>
  <c r="D3551" i="1"/>
  <c r="A3551" i="1"/>
  <c r="D6563" i="1"/>
  <c r="A6563" i="1"/>
  <c r="D6562" i="1"/>
  <c r="A6562" i="1"/>
  <c r="D3550" i="1"/>
  <c r="A3550" i="1"/>
  <c r="D3549" i="1"/>
  <c r="A3549" i="1"/>
  <c r="D3548" i="1"/>
  <c r="A3548" i="1"/>
  <c r="D6561" i="1"/>
  <c r="A6561" i="1"/>
  <c r="D3547" i="1"/>
  <c r="A3547" i="1"/>
  <c r="D6560" i="1"/>
  <c r="A6560" i="1"/>
  <c r="D6559" i="1"/>
  <c r="A6559" i="1"/>
  <c r="D6558" i="1"/>
  <c r="A6558" i="1"/>
  <c r="D6557" i="1"/>
  <c r="A6557" i="1"/>
  <c r="D343" i="1"/>
  <c r="A343" i="1"/>
  <c r="D6556" i="1"/>
  <c r="A6556" i="1"/>
  <c r="D6555" i="1"/>
  <c r="A6555" i="1"/>
  <c r="D3546" i="1"/>
  <c r="A3546" i="1"/>
  <c r="D3545" i="1"/>
  <c r="A3545" i="1"/>
  <c r="D6554" i="1"/>
  <c r="A6554" i="1"/>
  <c r="D6553" i="1"/>
  <c r="A6553" i="1"/>
  <c r="D961" i="1"/>
  <c r="A961" i="1"/>
  <c r="D6552" i="1"/>
  <c r="A6552" i="1"/>
  <c r="D3544" i="1"/>
  <c r="A3544" i="1"/>
  <c r="D6551" i="1"/>
  <c r="A6551" i="1"/>
  <c r="D3543" i="1"/>
  <c r="A3543" i="1"/>
  <c r="D6550" i="1"/>
  <c r="A6550" i="1"/>
  <c r="D6549" i="1"/>
  <c r="A6549" i="1"/>
  <c r="D6548" i="1"/>
  <c r="A6548" i="1"/>
  <c r="D6547" i="1"/>
  <c r="A6547" i="1"/>
  <c r="D6546" i="1"/>
  <c r="A6546" i="1"/>
  <c r="D6545" i="1"/>
  <c r="A6545" i="1"/>
  <c r="D3542" i="1"/>
  <c r="A3542" i="1"/>
  <c r="D6544" i="1"/>
  <c r="A6544" i="1"/>
  <c r="D6543" i="1"/>
  <c r="A6543" i="1"/>
  <c r="D960" i="1"/>
  <c r="A960" i="1"/>
  <c r="D6542" i="1"/>
  <c r="A6542" i="1"/>
  <c r="D6541" i="1"/>
  <c r="A6541" i="1"/>
  <c r="D6540" i="1"/>
  <c r="A6540" i="1"/>
  <c r="D6539" i="1"/>
  <c r="A6539" i="1"/>
  <c r="D6538" i="1"/>
  <c r="A6538" i="1"/>
  <c r="D6537" i="1"/>
  <c r="A6537" i="1"/>
  <c r="D6536" i="1"/>
  <c r="A6536" i="1"/>
  <c r="D3541" i="1"/>
  <c r="A3541" i="1"/>
  <c r="D6535" i="1"/>
  <c r="A6535" i="1"/>
  <c r="D6534" i="1"/>
  <c r="A6534" i="1"/>
  <c r="D6533" i="1"/>
  <c r="A6533" i="1"/>
  <c r="D6532" i="1"/>
  <c r="A6532" i="1"/>
  <c r="D6531" i="1"/>
  <c r="A6531" i="1"/>
  <c r="D6530" i="1"/>
  <c r="A6530" i="1"/>
  <c r="D6529" i="1"/>
  <c r="A6529" i="1"/>
  <c r="D3540" i="1"/>
  <c r="A3540" i="1"/>
  <c r="D3539" i="1"/>
  <c r="A3539" i="1"/>
  <c r="D6528" i="1"/>
  <c r="A6528" i="1"/>
  <c r="D6527" i="1"/>
  <c r="A6527" i="1"/>
  <c r="D6526" i="1"/>
  <c r="A6526" i="1"/>
  <c r="D6525" i="1"/>
  <c r="A6525" i="1"/>
  <c r="D6524" i="1"/>
  <c r="A6524" i="1"/>
  <c r="D6523" i="1"/>
  <c r="A6523" i="1"/>
  <c r="D6522" i="1"/>
  <c r="A6522" i="1"/>
  <c r="D6521" i="1"/>
  <c r="A6521" i="1"/>
  <c r="D6520" i="1"/>
  <c r="A6520" i="1"/>
  <c r="D6519" i="1"/>
  <c r="A6519" i="1"/>
  <c r="D6518" i="1"/>
  <c r="A6518" i="1"/>
  <c r="D6517" i="1"/>
  <c r="A6517" i="1"/>
  <c r="D6516" i="1"/>
  <c r="A6516" i="1"/>
  <c r="D6515" i="1"/>
  <c r="A6515" i="1"/>
  <c r="D3538" i="1"/>
  <c r="A3538" i="1"/>
  <c r="D3537" i="1"/>
  <c r="A3537" i="1"/>
  <c r="D3536" i="1"/>
  <c r="A3536" i="1"/>
  <c r="D3535" i="1"/>
  <c r="A3535" i="1"/>
  <c r="D6514" i="1"/>
  <c r="A6514" i="1"/>
  <c r="D6513" i="1"/>
  <c r="A6513" i="1"/>
  <c r="D6512" i="1"/>
  <c r="A6512" i="1"/>
  <c r="D342" i="1"/>
  <c r="A342" i="1"/>
  <c r="D6511" i="1"/>
  <c r="A6511" i="1"/>
  <c r="D3534" i="1"/>
  <c r="A3534" i="1"/>
  <c r="D6510" i="1"/>
  <c r="A6510" i="1"/>
  <c r="D6509" i="1"/>
  <c r="A6509" i="1"/>
  <c r="D6508" i="1"/>
  <c r="A6508" i="1"/>
  <c r="D3533" i="1"/>
  <c r="A3533" i="1"/>
  <c r="D6507" i="1"/>
  <c r="A6507" i="1"/>
  <c r="D959" i="1"/>
  <c r="A959" i="1"/>
  <c r="D6506" i="1"/>
  <c r="A6506" i="1"/>
  <c r="D6505" i="1"/>
  <c r="A6505" i="1"/>
  <c r="D6504" i="1"/>
  <c r="A6504" i="1"/>
  <c r="D6503" i="1"/>
  <c r="A6503" i="1"/>
  <c r="D6502" i="1"/>
  <c r="A6502" i="1"/>
  <c r="D6501" i="1"/>
  <c r="A6501" i="1"/>
  <c r="D6500" i="1"/>
  <c r="A6500" i="1"/>
  <c r="D6499" i="1"/>
  <c r="A6499" i="1"/>
  <c r="D6498" i="1"/>
  <c r="A6498" i="1"/>
  <c r="D6497" i="1"/>
  <c r="A6497" i="1"/>
  <c r="D6496" i="1"/>
  <c r="A6496" i="1"/>
  <c r="D6495" i="1"/>
  <c r="A6495" i="1"/>
  <c r="D6494" i="1"/>
  <c r="A6494" i="1"/>
  <c r="D3532" i="1"/>
  <c r="A3532" i="1"/>
  <c r="D6493" i="1"/>
  <c r="A6493" i="1"/>
  <c r="D6492" i="1"/>
  <c r="A6492" i="1"/>
  <c r="D6491" i="1"/>
  <c r="A6491" i="1"/>
  <c r="D6490" i="1"/>
  <c r="A6490" i="1"/>
  <c r="D6489" i="1"/>
  <c r="A6489" i="1"/>
  <c r="D3531" i="1"/>
  <c r="A3531" i="1"/>
  <c r="D6488" i="1"/>
  <c r="A6488" i="1"/>
  <c r="D3530" i="1"/>
  <c r="A3530" i="1"/>
  <c r="D6487" i="1"/>
  <c r="A6487" i="1"/>
  <c r="D3529" i="1"/>
  <c r="A3529" i="1"/>
  <c r="D6486" i="1"/>
  <c r="A6486" i="1"/>
  <c r="D6485" i="1"/>
  <c r="A6485" i="1"/>
  <c r="D3528" i="1"/>
  <c r="A3528" i="1"/>
  <c r="D6484" i="1"/>
  <c r="A6484" i="1"/>
  <c r="D3527" i="1"/>
  <c r="A3527" i="1"/>
  <c r="D6483" i="1"/>
  <c r="A6483" i="1"/>
  <c r="D3526" i="1"/>
  <c r="A3526" i="1"/>
  <c r="D3525" i="1"/>
  <c r="A3525" i="1"/>
  <c r="D6482" i="1"/>
  <c r="A6482" i="1"/>
  <c r="D6481" i="1"/>
  <c r="A6481" i="1"/>
  <c r="D3524" i="1"/>
  <c r="A3524" i="1"/>
  <c r="D3523" i="1"/>
  <c r="A3523" i="1"/>
  <c r="D6480" i="1"/>
  <c r="A6480" i="1"/>
  <c r="D3522" i="1"/>
  <c r="A3522" i="1"/>
  <c r="D3521" i="1"/>
  <c r="A3521" i="1"/>
  <c r="D3520" i="1"/>
  <c r="A3520" i="1"/>
  <c r="D6479" i="1"/>
  <c r="A6479" i="1"/>
  <c r="D3519" i="1"/>
  <c r="A3519" i="1"/>
  <c r="D6478" i="1"/>
  <c r="A6478" i="1"/>
  <c r="D6477" i="1"/>
  <c r="A6477" i="1"/>
  <c r="D3518" i="1"/>
  <c r="A3518" i="1"/>
  <c r="D6476" i="1"/>
  <c r="A6476" i="1"/>
  <c r="D3517" i="1"/>
  <c r="A3517" i="1"/>
  <c r="D3516" i="1"/>
  <c r="A3516" i="1"/>
  <c r="D6475" i="1"/>
  <c r="A6475" i="1"/>
  <c r="D3515" i="1"/>
  <c r="A3515" i="1"/>
  <c r="D6474" i="1"/>
  <c r="A6474" i="1"/>
  <c r="D6473" i="1"/>
  <c r="A6473" i="1"/>
  <c r="D6472" i="1"/>
  <c r="A6472" i="1"/>
  <c r="D3514" i="1"/>
  <c r="A3514" i="1"/>
  <c r="D6471" i="1"/>
  <c r="A6471" i="1"/>
  <c r="D6470" i="1"/>
  <c r="A6470" i="1"/>
  <c r="D6469" i="1"/>
  <c r="A6469" i="1"/>
  <c r="D6468" i="1"/>
  <c r="A6468" i="1"/>
  <c r="D3513" i="1"/>
  <c r="A3513" i="1"/>
  <c r="D3512" i="1"/>
  <c r="A3512" i="1"/>
  <c r="D3511" i="1"/>
  <c r="A3511" i="1"/>
  <c r="D6467" i="1"/>
  <c r="A6467" i="1"/>
  <c r="D6466" i="1"/>
  <c r="A6466" i="1"/>
  <c r="D6465" i="1"/>
  <c r="A6465" i="1"/>
  <c r="D341" i="1"/>
  <c r="A341" i="1"/>
  <c r="D6464" i="1"/>
  <c r="A6464" i="1"/>
  <c r="D6463" i="1"/>
  <c r="A6463" i="1"/>
  <c r="D6462" i="1"/>
  <c r="A6462" i="1"/>
  <c r="D3510" i="1"/>
  <c r="A3510" i="1"/>
  <c r="D340" i="1"/>
  <c r="A340" i="1"/>
  <c r="D6461" i="1"/>
  <c r="A6461" i="1"/>
  <c r="D3509" i="1"/>
  <c r="A3509" i="1"/>
  <c r="D6460" i="1"/>
  <c r="A6460" i="1"/>
  <c r="D6459" i="1"/>
  <c r="A6459" i="1"/>
  <c r="D6458" i="1"/>
  <c r="A6458" i="1"/>
  <c r="D6457" i="1"/>
  <c r="A6457" i="1"/>
  <c r="D6456" i="1"/>
  <c r="A6456" i="1"/>
  <c r="D6455" i="1"/>
  <c r="A6455" i="1"/>
  <c r="D6454" i="1"/>
  <c r="A6454" i="1"/>
  <c r="D6453" i="1"/>
  <c r="A6453" i="1"/>
  <c r="D6452" i="1"/>
  <c r="A6452" i="1"/>
  <c r="D6451" i="1"/>
  <c r="A6451" i="1"/>
  <c r="D6450" i="1"/>
  <c r="A6450" i="1"/>
  <c r="D3508" i="1"/>
  <c r="A3508" i="1"/>
  <c r="D6449" i="1"/>
  <c r="A6449" i="1"/>
  <c r="D339" i="1"/>
  <c r="A339" i="1"/>
  <c r="D6448" i="1"/>
  <c r="A6448" i="1"/>
  <c r="D6447" i="1"/>
  <c r="A6447" i="1"/>
  <c r="D6446" i="1"/>
  <c r="A6446" i="1"/>
  <c r="D958" i="1"/>
  <c r="A958" i="1"/>
  <c r="D3507" i="1"/>
  <c r="A3507" i="1"/>
  <c r="D13778" i="1"/>
  <c r="A13778" i="1"/>
  <c r="D3506" i="1"/>
  <c r="A3506" i="1"/>
  <c r="D3505" i="1"/>
  <c r="A3505" i="1"/>
  <c r="D3504" i="1"/>
  <c r="A3504" i="1"/>
  <c r="D6445" i="1"/>
  <c r="A6445" i="1"/>
  <c r="D3503" i="1"/>
  <c r="A3503" i="1"/>
  <c r="D6444" i="1"/>
  <c r="A6444" i="1"/>
  <c r="D6443" i="1"/>
  <c r="A6443" i="1"/>
  <c r="D6442" i="1"/>
  <c r="A6442" i="1"/>
  <c r="D3502" i="1"/>
  <c r="A3502" i="1"/>
  <c r="D6441" i="1"/>
  <c r="A6441" i="1"/>
  <c r="D957" i="1"/>
  <c r="A957" i="1"/>
  <c r="D6440" i="1"/>
  <c r="A6440" i="1"/>
  <c r="D6439" i="1"/>
  <c r="A6439" i="1"/>
  <c r="D3501" i="1"/>
  <c r="A3501" i="1"/>
  <c r="D338" i="1"/>
  <c r="A338" i="1"/>
  <c r="D6438" i="1"/>
  <c r="A6438" i="1"/>
  <c r="D6437" i="1"/>
  <c r="A6437" i="1"/>
  <c r="D6436" i="1"/>
  <c r="A6436" i="1"/>
  <c r="D6435" i="1"/>
  <c r="A6435" i="1"/>
  <c r="D6434" i="1"/>
  <c r="A6434" i="1"/>
  <c r="D6433" i="1"/>
  <c r="A6433" i="1"/>
  <c r="D6432" i="1"/>
  <c r="A6432" i="1"/>
  <c r="D46" i="1"/>
  <c r="A46" i="1"/>
  <c r="D6431" i="1"/>
  <c r="A6431" i="1"/>
  <c r="D3500" i="1"/>
  <c r="A3500" i="1"/>
  <c r="D6430" i="1"/>
  <c r="A6430" i="1"/>
  <c r="D6429" i="1"/>
  <c r="A6429" i="1"/>
  <c r="D3499" i="1"/>
  <c r="A3499" i="1"/>
  <c r="D6428" i="1"/>
  <c r="A6428" i="1"/>
  <c r="D6427" i="1"/>
  <c r="A6427" i="1"/>
  <c r="D6426" i="1"/>
  <c r="A6426" i="1"/>
  <c r="D3498" i="1"/>
  <c r="A3498" i="1"/>
  <c r="D6425" i="1"/>
  <c r="A6425" i="1"/>
  <c r="D6424" i="1"/>
  <c r="A6424" i="1"/>
  <c r="D6423" i="1"/>
  <c r="A6423" i="1"/>
  <c r="D6422" i="1"/>
  <c r="A6422" i="1"/>
  <c r="D6421" i="1"/>
  <c r="A6421" i="1"/>
  <c r="D6420" i="1"/>
  <c r="A6420" i="1"/>
  <c r="D6419" i="1"/>
  <c r="A6419" i="1"/>
  <c r="D6418" i="1"/>
  <c r="A6418" i="1"/>
  <c r="D6417" i="1"/>
  <c r="A6417" i="1"/>
  <c r="D6416" i="1"/>
  <c r="A6416" i="1"/>
  <c r="D6415" i="1"/>
  <c r="A6415" i="1"/>
  <c r="D6414" i="1"/>
  <c r="A6414" i="1"/>
  <c r="D6413" i="1"/>
  <c r="A6413" i="1"/>
  <c r="D3497" i="1"/>
  <c r="A3497" i="1"/>
  <c r="D3496" i="1"/>
  <c r="A3496" i="1"/>
  <c r="D6412" i="1"/>
  <c r="A6412" i="1"/>
  <c r="D6411" i="1"/>
  <c r="A6411" i="1"/>
  <c r="D6410" i="1"/>
  <c r="A6410" i="1"/>
  <c r="D6409" i="1"/>
  <c r="A6409" i="1"/>
  <c r="D6408" i="1"/>
  <c r="A6408" i="1"/>
  <c r="D3495" i="1"/>
  <c r="A3495" i="1"/>
  <c r="D6407" i="1"/>
  <c r="A6407" i="1"/>
  <c r="D6406" i="1"/>
  <c r="A6406" i="1"/>
  <c r="D6405" i="1"/>
  <c r="A6405" i="1"/>
  <c r="D3494" i="1"/>
  <c r="A3494" i="1"/>
  <c r="D337" i="1"/>
  <c r="A337" i="1"/>
  <c r="D6404" i="1"/>
  <c r="A6404" i="1"/>
  <c r="D6403" i="1"/>
  <c r="A6403" i="1"/>
  <c r="D6402" i="1"/>
  <c r="A6402" i="1"/>
  <c r="D6401" i="1"/>
  <c r="A6401" i="1"/>
  <c r="D6400" i="1"/>
  <c r="A6400" i="1"/>
  <c r="D6399" i="1"/>
  <c r="A6399" i="1"/>
  <c r="D6398" i="1"/>
  <c r="A6398" i="1"/>
  <c r="D6397" i="1"/>
  <c r="A6397" i="1"/>
  <c r="D6396" i="1"/>
  <c r="A6396" i="1"/>
  <c r="D3493" i="1"/>
  <c r="A3493" i="1"/>
  <c r="D3492" i="1"/>
  <c r="A3492" i="1"/>
  <c r="D336" i="1"/>
  <c r="A336" i="1"/>
  <c r="D15" i="1"/>
  <c r="A15" i="1"/>
  <c r="D6395" i="1"/>
  <c r="A6395" i="1"/>
  <c r="D6394" i="1"/>
  <c r="A6394" i="1"/>
  <c r="D6393" i="1"/>
  <c r="A6393" i="1"/>
  <c r="D6392" i="1"/>
  <c r="A6392" i="1"/>
  <c r="D6391" i="1"/>
  <c r="A6391" i="1"/>
  <c r="D6390" i="1"/>
  <c r="A6390" i="1"/>
  <c r="D6389" i="1"/>
  <c r="A6389" i="1"/>
  <c r="D3491" i="1"/>
  <c r="A3491" i="1"/>
  <c r="D3490" i="1"/>
  <c r="A3490" i="1"/>
  <c r="D6388" i="1"/>
  <c r="A6388" i="1"/>
  <c r="D6387" i="1"/>
  <c r="A6387" i="1"/>
  <c r="D3489" i="1"/>
  <c r="A3489" i="1"/>
  <c r="D335" i="1"/>
  <c r="A335" i="1"/>
  <c r="D6386" i="1"/>
  <c r="A6386" i="1"/>
  <c r="D334" i="1"/>
  <c r="A334" i="1"/>
  <c r="D3488" i="1"/>
  <c r="A3488" i="1"/>
  <c r="D3487" i="1"/>
  <c r="A3487" i="1"/>
  <c r="D6385" i="1"/>
  <c r="A6385" i="1"/>
  <c r="D3486" i="1"/>
  <c r="A3486" i="1"/>
  <c r="D3485" i="1"/>
  <c r="A3485" i="1"/>
  <c r="D956" i="1"/>
  <c r="A956" i="1"/>
  <c r="D3484" i="1"/>
  <c r="A3484" i="1"/>
  <c r="D3483" i="1"/>
  <c r="A3483" i="1"/>
  <c r="D6384" i="1"/>
  <c r="A6384" i="1"/>
  <c r="D3482" i="1"/>
  <c r="A3482" i="1"/>
  <c r="D6383" i="1"/>
  <c r="A6383" i="1"/>
  <c r="D3481" i="1"/>
  <c r="A3481" i="1"/>
  <c r="D6382" i="1"/>
  <c r="A6382" i="1"/>
  <c r="D6381" i="1"/>
  <c r="A6381" i="1"/>
  <c r="D6380" i="1"/>
  <c r="A6380" i="1"/>
  <c r="D3480" i="1"/>
  <c r="A3480" i="1"/>
  <c r="D6379" i="1"/>
  <c r="A6379" i="1"/>
  <c r="D6378" i="1"/>
  <c r="A6378" i="1"/>
  <c r="D6377" i="1"/>
  <c r="A6377" i="1"/>
  <c r="D3479" i="1"/>
  <c r="A3479" i="1"/>
  <c r="D3478" i="1"/>
  <c r="A3478" i="1"/>
  <c r="D6376" i="1"/>
  <c r="A6376" i="1"/>
  <c r="D3477" i="1"/>
  <c r="A3477" i="1"/>
  <c r="D333" i="1"/>
  <c r="A333" i="1"/>
  <c r="D6375" i="1"/>
  <c r="A6375" i="1"/>
  <c r="D6374" i="1"/>
  <c r="A6374" i="1"/>
  <c r="D6373" i="1"/>
  <c r="A6373" i="1"/>
  <c r="D6372" i="1"/>
  <c r="A6372" i="1"/>
  <c r="D6371" i="1"/>
  <c r="A6371" i="1"/>
  <c r="D3476" i="1"/>
  <c r="A3476" i="1"/>
  <c r="D3475" i="1"/>
  <c r="A3475" i="1"/>
  <c r="D6370" i="1"/>
  <c r="A6370" i="1"/>
  <c r="D6369" i="1"/>
  <c r="A6369" i="1"/>
  <c r="D6368" i="1"/>
  <c r="A6368" i="1"/>
  <c r="D6367" i="1"/>
  <c r="A6367" i="1"/>
  <c r="D3474" i="1"/>
  <c r="A3474" i="1"/>
  <c r="D6366" i="1"/>
  <c r="A6366" i="1"/>
  <c r="D6365" i="1"/>
  <c r="A6365" i="1"/>
  <c r="D6364" i="1"/>
  <c r="A6364" i="1"/>
  <c r="D6363" i="1"/>
  <c r="A6363" i="1"/>
  <c r="D955" i="1"/>
  <c r="A955" i="1"/>
  <c r="D6362" i="1"/>
  <c r="A6362" i="1"/>
  <c r="D6361" i="1"/>
  <c r="A6361" i="1"/>
  <c r="D6360" i="1"/>
  <c r="A6360" i="1"/>
  <c r="D6359" i="1"/>
  <c r="A6359" i="1"/>
  <c r="D6358" i="1"/>
  <c r="A6358" i="1"/>
  <c r="D954" i="1"/>
  <c r="A954" i="1"/>
  <c r="D953" i="1"/>
  <c r="A953" i="1"/>
  <c r="D6357" i="1"/>
  <c r="A6357" i="1"/>
  <c r="D6356" i="1"/>
  <c r="A6356" i="1"/>
  <c r="D6355" i="1"/>
  <c r="A6355" i="1"/>
  <c r="D6354" i="1"/>
  <c r="A6354" i="1"/>
  <c r="D6353" i="1"/>
  <c r="A6353" i="1"/>
  <c r="D3473" i="1"/>
  <c r="A3473" i="1"/>
  <c r="D3472" i="1"/>
  <c r="A3472" i="1"/>
  <c r="D6352" i="1"/>
  <c r="A6352" i="1"/>
  <c r="D6351" i="1"/>
  <c r="A6351" i="1"/>
  <c r="D952" i="1"/>
  <c r="A952" i="1"/>
  <c r="D6350" i="1"/>
  <c r="A6350" i="1"/>
  <c r="D6349" i="1"/>
  <c r="A6349" i="1"/>
  <c r="D6348" i="1"/>
  <c r="A6348" i="1"/>
  <c r="D6347" i="1"/>
  <c r="A6347" i="1"/>
  <c r="D3471" i="1"/>
  <c r="A3471" i="1"/>
  <c r="D6346" i="1"/>
  <c r="A6346" i="1"/>
  <c r="D3470" i="1"/>
  <c r="A3470" i="1"/>
  <c r="D6345" i="1"/>
  <c r="A6345" i="1"/>
  <c r="D6344" i="1"/>
  <c r="A6344" i="1"/>
  <c r="D3469" i="1"/>
  <c r="A3469" i="1"/>
  <c r="D6343" i="1"/>
  <c r="A6343" i="1"/>
  <c r="D3468" i="1"/>
  <c r="A3468" i="1"/>
  <c r="D6342" i="1"/>
  <c r="A6342" i="1"/>
  <c r="D3467" i="1"/>
  <c r="A3467" i="1"/>
  <c r="D6341" i="1"/>
  <c r="A6341" i="1"/>
  <c r="D6340" i="1"/>
  <c r="A6340" i="1"/>
  <c r="D6339" i="1"/>
  <c r="A6339" i="1"/>
  <c r="D6338" i="1"/>
  <c r="A6338" i="1"/>
  <c r="D6337" i="1"/>
  <c r="A6337" i="1"/>
  <c r="D6336" i="1"/>
  <c r="A6336" i="1"/>
  <c r="D6335" i="1"/>
  <c r="A6335" i="1"/>
  <c r="D6334" i="1"/>
  <c r="A6334" i="1"/>
  <c r="D3466" i="1"/>
  <c r="A3466" i="1"/>
  <c r="D3465" i="1"/>
  <c r="A3465" i="1"/>
  <c r="D6333" i="1"/>
  <c r="A6333" i="1"/>
  <c r="D6332" i="1"/>
  <c r="A6332" i="1"/>
  <c r="D6331" i="1"/>
  <c r="A6331" i="1"/>
  <c r="D6330" i="1"/>
  <c r="A6330" i="1"/>
  <c r="D6329" i="1"/>
  <c r="A6329" i="1"/>
  <c r="D6328" i="1"/>
  <c r="A6328" i="1"/>
  <c r="D6327" i="1"/>
  <c r="A6327" i="1"/>
  <c r="D6326" i="1"/>
  <c r="A6326" i="1"/>
  <c r="D6325" i="1"/>
  <c r="A6325" i="1"/>
  <c r="D3464" i="1"/>
  <c r="A3464" i="1"/>
  <c r="D6324" i="1"/>
  <c r="A6324" i="1"/>
  <c r="D6323" i="1"/>
  <c r="A6323" i="1"/>
  <c r="D951" i="1"/>
  <c r="A951" i="1"/>
  <c r="D6322" i="1"/>
  <c r="A6322" i="1"/>
  <c r="D6321" i="1"/>
  <c r="A6321" i="1"/>
  <c r="D6320" i="1"/>
  <c r="A6320" i="1"/>
  <c r="D6319" i="1"/>
  <c r="A6319" i="1"/>
  <c r="D6318" i="1"/>
  <c r="A6318" i="1"/>
  <c r="D6317" i="1"/>
  <c r="A6317" i="1"/>
  <c r="D3463" i="1"/>
  <c r="A3463" i="1"/>
  <c r="D3462" i="1"/>
  <c r="A3462" i="1"/>
  <c r="D6316" i="1"/>
  <c r="A6316" i="1"/>
  <c r="D3461" i="1"/>
  <c r="A3461" i="1"/>
  <c r="D6315" i="1"/>
  <c r="A6315" i="1"/>
  <c r="D6314" i="1"/>
  <c r="A6314" i="1"/>
  <c r="D6313" i="1"/>
  <c r="A6313" i="1"/>
  <c r="D6312" i="1"/>
  <c r="A6312" i="1"/>
  <c r="D950" i="1"/>
  <c r="A950" i="1"/>
  <c r="D6311" i="1"/>
  <c r="A6311" i="1"/>
  <c r="D332" i="1"/>
  <c r="A332" i="1"/>
  <c r="D6310" i="1"/>
  <c r="A6310" i="1"/>
  <c r="D6309" i="1"/>
  <c r="A6309" i="1"/>
  <c r="D6308" i="1"/>
  <c r="A6308" i="1"/>
  <c r="D6307" i="1"/>
  <c r="A6307" i="1"/>
  <c r="D6306" i="1"/>
  <c r="A6306" i="1"/>
  <c r="D6305" i="1"/>
  <c r="A6305" i="1"/>
  <c r="D6304" i="1"/>
  <c r="A6304" i="1"/>
  <c r="D6303" i="1"/>
  <c r="A6303" i="1"/>
  <c r="D6302" i="1"/>
  <c r="A6302" i="1"/>
  <c r="D331" i="1"/>
  <c r="A331" i="1"/>
  <c r="D6301" i="1"/>
  <c r="A6301" i="1"/>
  <c r="D330" i="1"/>
  <c r="A330" i="1"/>
  <c r="D3460" i="1"/>
  <c r="A3460" i="1"/>
  <c r="D3459" i="1"/>
  <c r="A3459" i="1"/>
  <c r="D3458" i="1"/>
  <c r="A3458" i="1"/>
  <c r="D6300" i="1"/>
  <c r="A6300" i="1"/>
  <c r="D6299" i="1"/>
  <c r="A6299" i="1"/>
  <c r="D6298" i="1"/>
  <c r="A6298" i="1"/>
  <c r="D949" i="1"/>
  <c r="A949" i="1"/>
  <c r="D6297" i="1"/>
  <c r="A6297" i="1"/>
  <c r="D6296" i="1"/>
  <c r="A6296" i="1"/>
  <c r="D6295" i="1"/>
  <c r="A6295" i="1"/>
  <c r="D6294" i="1"/>
  <c r="A6294" i="1"/>
  <c r="D6293" i="1"/>
  <c r="A6293" i="1"/>
  <c r="D6292" i="1"/>
  <c r="A6292" i="1"/>
  <c r="D3457" i="1"/>
  <c r="A3457" i="1"/>
  <c r="D6291" i="1"/>
  <c r="A6291" i="1"/>
  <c r="D3456" i="1"/>
  <c r="A3456" i="1"/>
  <c r="D6290" i="1"/>
  <c r="A6290" i="1"/>
  <c r="D6289" i="1"/>
  <c r="A6289" i="1"/>
  <c r="D6288" i="1"/>
  <c r="A6288" i="1"/>
  <c r="D6287" i="1"/>
  <c r="A6287" i="1"/>
  <c r="D6286" i="1"/>
  <c r="A6286" i="1"/>
  <c r="D6285" i="1"/>
  <c r="A6285" i="1"/>
  <c r="D6284" i="1"/>
  <c r="A6284" i="1"/>
  <c r="D329" i="1"/>
  <c r="A329" i="1"/>
  <c r="D6283" i="1"/>
  <c r="A6283" i="1"/>
  <c r="D6282" i="1"/>
  <c r="A6282" i="1"/>
  <c r="D6281" i="1"/>
  <c r="A6281" i="1"/>
  <c r="D3455" i="1"/>
  <c r="A3455" i="1"/>
  <c r="D6280" i="1"/>
  <c r="A6280" i="1"/>
  <c r="D3454" i="1"/>
  <c r="A3454" i="1"/>
  <c r="D6279" i="1"/>
  <c r="A6279" i="1"/>
  <c r="D6278" i="1"/>
  <c r="A6278" i="1"/>
  <c r="D3453" i="1"/>
  <c r="A3453" i="1"/>
  <c r="D6277" i="1"/>
  <c r="A6277" i="1"/>
  <c r="D6276" i="1"/>
  <c r="A6276" i="1"/>
  <c r="D6275" i="1"/>
  <c r="A6275" i="1"/>
  <c r="D6274" i="1"/>
  <c r="A6274" i="1"/>
  <c r="D6273" i="1"/>
  <c r="A6273" i="1"/>
  <c r="D6272" i="1"/>
  <c r="A6272" i="1"/>
  <c r="D6271" i="1"/>
  <c r="A6271" i="1"/>
  <c r="D3452" i="1"/>
  <c r="A3452" i="1"/>
  <c r="D6270" i="1"/>
  <c r="A6270" i="1"/>
  <c r="D328" i="1"/>
  <c r="A328" i="1"/>
  <c r="D6269" i="1"/>
  <c r="A6269" i="1"/>
  <c r="D6268" i="1"/>
  <c r="A6268" i="1"/>
  <c r="D948" i="1"/>
  <c r="A948" i="1"/>
  <c r="D6267" i="1"/>
  <c r="A6267" i="1"/>
  <c r="D6266" i="1"/>
  <c r="A6266" i="1"/>
  <c r="D6265" i="1"/>
  <c r="A6265" i="1"/>
  <c r="D6264" i="1"/>
  <c r="A6264" i="1"/>
  <c r="D6263" i="1"/>
  <c r="A6263" i="1"/>
  <c r="D6262" i="1"/>
  <c r="A6262" i="1"/>
  <c r="D6261" i="1"/>
  <c r="A6261" i="1"/>
  <c r="D6260" i="1"/>
  <c r="A6260" i="1"/>
  <c r="D6259" i="1"/>
  <c r="A6259" i="1"/>
  <c r="D3451" i="1"/>
  <c r="A3451" i="1"/>
  <c r="D6258" i="1"/>
  <c r="A6258" i="1"/>
  <c r="D6257" i="1"/>
  <c r="A6257" i="1"/>
  <c r="D6256" i="1"/>
  <c r="A6256" i="1"/>
  <c r="D6255" i="1"/>
  <c r="A6255" i="1"/>
  <c r="D6254" i="1"/>
  <c r="A6254" i="1"/>
  <c r="D6253" i="1"/>
  <c r="A6253" i="1"/>
  <c r="D6252" i="1"/>
  <c r="A6252" i="1"/>
  <c r="D6251" i="1"/>
  <c r="A6251" i="1"/>
  <c r="D6250" i="1"/>
  <c r="A6250" i="1"/>
  <c r="D6249" i="1"/>
  <c r="A6249" i="1"/>
  <c r="D6248" i="1"/>
  <c r="A6248" i="1"/>
  <c r="D6247" i="1"/>
  <c r="A6247" i="1"/>
  <c r="D3450" i="1"/>
  <c r="A3450" i="1"/>
  <c r="D6246" i="1"/>
  <c r="A6246" i="1"/>
  <c r="D3449" i="1"/>
  <c r="A3449" i="1"/>
  <c r="D6245" i="1"/>
  <c r="A6245" i="1"/>
  <c r="D6244" i="1"/>
  <c r="A6244" i="1"/>
  <c r="D6243" i="1"/>
  <c r="A6243" i="1"/>
  <c r="D3448" i="1"/>
  <c r="A3448" i="1"/>
  <c r="D6242" i="1"/>
  <c r="A6242" i="1"/>
  <c r="D6241" i="1"/>
  <c r="A6241" i="1"/>
  <c r="D6240" i="1"/>
  <c r="A6240" i="1"/>
  <c r="D327" i="1"/>
  <c r="A327" i="1"/>
  <c r="D3447" i="1"/>
  <c r="A3447" i="1"/>
  <c r="D6239" i="1"/>
  <c r="A6239" i="1"/>
  <c r="D6238" i="1"/>
  <c r="A6238" i="1"/>
  <c r="D6237" i="1"/>
  <c r="A6237" i="1"/>
  <c r="D3446" i="1"/>
  <c r="A3446" i="1"/>
  <c r="D6236" i="1"/>
  <c r="A6236" i="1"/>
  <c r="D6235" i="1"/>
  <c r="A6235" i="1"/>
  <c r="D326" i="1"/>
  <c r="A326" i="1"/>
  <c r="D947" i="1"/>
  <c r="A947" i="1"/>
  <c r="D6234" i="1"/>
  <c r="A6234" i="1"/>
  <c r="D6233" i="1"/>
  <c r="A6233" i="1"/>
  <c r="D6232" i="1"/>
  <c r="A6232" i="1"/>
  <c r="D325" i="1"/>
  <c r="A325" i="1"/>
  <c r="D6231" i="1"/>
  <c r="A6231" i="1"/>
  <c r="D6230" i="1"/>
  <c r="A6230" i="1"/>
  <c r="D3445" i="1"/>
  <c r="A3445" i="1"/>
  <c r="D6229" i="1"/>
  <c r="A6229" i="1"/>
  <c r="D6228" i="1"/>
  <c r="A6228" i="1"/>
  <c r="D6227" i="1"/>
  <c r="A6227" i="1"/>
  <c r="D6226" i="1"/>
  <c r="A6226" i="1"/>
  <c r="D3444" i="1"/>
  <c r="A3444" i="1"/>
  <c r="D6225" i="1"/>
  <c r="A6225" i="1"/>
  <c r="D6224" i="1"/>
  <c r="A6224" i="1"/>
  <c r="D3443" i="1"/>
  <c r="A3443" i="1"/>
  <c r="D3442" i="1"/>
  <c r="A3442" i="1"/>
  <c r="D6223" i="1"/>
  <c r="A6223" i="1"/>
  <c r="D6222" i="1"/>
  <c r="A6222" i="1"/>
  <c r="D6221" i="1"/>
  <c r="A6221" i="1"/>
  <c r="D6220" i="1"/>
  <c r="A6220" i="1"/>
  <c r="D3441" i="1"/>
  <c r="A3441" i="1"/>
  <c r="D6219" i="1"/>
  <c r="A6219" i="1"/>
  <c r="D6218" i="1"/>
  <c r="A6218" i="1"/>
  <c r="D3440" i="1"/>
  <c r="A3440" i="1"/>
  <c r="D6217" i="1"/>
  <c r="A6217" i="1"/>
  <c r="D6216" i="1"/>
  <c r="A6216" i="1"/>
  <c r="D6215" i="1"/>
  <c r="A6215" i="1"/>
  <c r="D324" i="1"/>
  <c r="A324" i="1"/>
  <c r="D6214" i="1"/>
  <c r="A6214" i="1"/>
  <c r="D6213" i="1"/>
  <c r="A6213" i="1"/>
  <c r="D6212" i="1"/>
  <c r="A6212" i="1"/>
  <c r="D6211" i="1"/>
  <c r="A6211" i="1"/>
  <c r="D6210" i="1"/>
  <c r="A6210" i="1"/>
  <c r="D946" i="1"/>
  <c r="A946" i="1"/>
  <c r="D6209" i="1"/>
  <c r="A6209" i="1"/>
  <c r="D6208" i="1"/>
  <c r="A6208" i="1"/>
  <c r="D6207" i="1"/>
  <c r="A6207" i="1"/>
  <c r="D3439" i="1"/>
  <c r="A3439" i="1"/>
  <c r="D3438" i="1"/>
  <c r="A3438" i="1"/>
  <c r="D3437" i="1"/>
  <c r="A3437" i="1"/>
  <c r="D6206" i="1"/>
  <c r="A6206" i="1"/>
  <c r="D6205" i="1"/>
  <c r="A6205" i="1"/>
  <c r="D6204" i="1"/>
  <c r="A6204" i="1"/>
  <c r="D6203" i="1"/>
  <c r="A6203" i="1"/>
  <c r="D6202" i="1"/>
  <c r="A6202" i="1"/>
  <c r="D6201" i="1"/>
  <c r="A6201" i="1"/>
  <c r="D6200" i="1"/>
  <c r="A6200" i="1"/>
  <c r="D6199" i="1"/>
  <c r="A6199" i="1"/>
  <c r="D6198" i="1"/>
  <c r="A6198" i="1"/>
  <c r="D6197" i="1"/>
  <c r="A6197" i="1"/>
  <c r="D6196" i="1"/>
  <c r="A6196" i="1"/>
  <c r="D6195" i="1"/>
  <c r="A6195" i="1"/>
  <c r="D6194" i="1"/>
  <c r="A6194" i="1"/>
  <c r="D6193" i="1"/>
  <c r="A6193" i="1"/>
  <c r="D6192" i="1"/>
  <c r="A6192" i="1"/>
  <c r="D6191" i="1"/>
  <c r="A6191" i="1"/>
  <c r="D6190" i="1"/>
  <c r="A6190" i="1"/>
  <c r="D6189" i="1"/>
  <c r="A6189" i="1"/>
  <c r="D6188" i="1"/>
  <c r="A6188" i="1"/>
  <c r="D3436" i="1"/>
  <c r="A3436" i="1"/>
  <c r="D3435" i="1"/>
  <c r="A3435" i="1"/>
  <c r="D6187" i="1"/>
  <c r="A6187" i="1"/>
  <c r="D6186" i="1"/>
  <c r="A6186" i="1"/>
  <c r="D3434" i="1"/>
  <c r="A3434" i="1"/>
  <c r="D3433" i="1"/>
  <c r="A3433" i="1"/>
  <c r="D3432" i="1"/>
  <c r="A3432" i="1"/>
  <c r="D3431" i="1"/>
  <c r="A3431" i="1"/>
  <c r="D3430" i="1"/>
  <c r="A3430" i="1"/>
  <c r="D3429" i="1"/>
  <c r="A3429" i="1"/>
  <c r="D945" i="1"/>
  <c r="A945" i="1"/>
  <c r="D3428" i="1"/>
  <c r="A3428" i="1"/>
  <c r="D6185" i="1"/>
  <c r="A6185" i="1"/>
  <c r="D6184" i="1"/>
  <c r="A6184" i="1"/>
  <c r="D3427" i="1"/>
  <c r="A3427" i="1"/>
  <c r="D3426" i="1"/>
  <c r="A3426" i="1"/>
  <c r="D6183" i="1"/>
  <c r="A6183" i="1"/>
  <c r="D6182" i="1"/>
  <c r="A6182" i="1"/>
  <c r="D6181" i="1"/>
  <c r="A6181" i="1"/>
  <c r="D3425" i="1"/>
  <c r="A3425" i="1"/>
  <c r="D3424" i="1"/>
  <c r="A3424" i="1"/>
  <c r="D6180" i="1"/>
  <c r="A6180" i="1"/>
  <c r="D6179" i="1"/>
  <c r="A6179" i="1"/>
  <c r="D323" i="1"/>
  <c r="A323" i="1"/>
  <c r="D6178" i="1"/>
  <c r="A6178" i="1"/>
  <c r="D6177" i="1"/>
  <c r="A6177" i="1"/>
  <c r="D6176" i="1"/>
  <c r="A6176" i="1"/>
  <c r="D3423" i="1"/>
  <c r="A3423" i="1"/>
  <c r="D6175" i="1"/>
  <c r="A6175" i="1"/>
  <c r="D6174" i="1"/>
  <c r="A6174" i="1"/>
  <c r="D3422" i="1"/>
  <c r="A3422" i="1"/>
  <c r="D944" i="1"/>
  <c r="A944" i="1"/>
  <c r="D6173" i="1"/>
  <c r="A6173" i="1"/>
  <c r="D6172" i="1"/>
  <c r="A6172" i="1"/>
  <c r="D6171" i="1"/>
  <c r="A6171" i="1"/>
  <c r="D6170" i="1"/>
  <c r="A6170" i="1"/>
  <c r="D6169" i="1"/>
  <c r="A6169" i="1"/>
  <c r="D6168" i="1"/>
  <c r="A6168" i="1"/>
  <c r="D6167" i="1"/>
  <c r="A6167" i="1"/>
  <c r="D3421" i="1"/>
  <c r="A3421" i="1"/>
  <c r="D3420" i="1"/>
  <c r="A3420" i="1"/>
  <c r="D6166" i="1"/>
  <c r="A6166" i="1"/>
  <c r="D6165" i="1"/>
  <c r="A6165" i="1"/>
  <c r="D6164" i="1"/>
  <c r="A6164" i="1"/>
  <c r="D6163" i="1"/>
  <c r="A6163" i="1"/>
  <c r="D3419" i="1"/>
  <c r="A3419" i="1"/>
  <c r="D6162" i="1"/>
  <c r="A6162" i="1"/>
  <c r="D3418" i="1"/>
  <c r="A3418" i="1"/>
  <c r="D6161" i="1"/>
  <c r="A6161" i="1"/>
  <c r="D3417" i="1"/>
  <c r="A3417" i="1"/>
  <c r="D3416" i="1"/>
  <c r="A3416" i="1"/>
  <c r="D6160" i="1"/>
  <c r="A6160" i="1"/>
  <c r="D6159" i="1"/>
  <c r="A6159" i="1"/>
  <c r="D6158" i="1"/>
  <c r="A6158" i="1"/>
  <c r="D6157" i="1"/>
  <c r="A6157" i="1"/>
  <c r="D6156" i="1"/>
  <c r="A6156" i="1"/>
  <c r="D3415" i="1"/>
  <c r="A3415" i="1"/>
  <c r="D6155" i="1"/>
  <c r="A6155" i="1"/>
  <c r="D3414" i="1"/>
  <c r="A3414" i="1"/>
  <c r="D6154" i="1"/>
  <c r="A6154" i="1"/>
  <c r="D6153" i="1"/>
  <c r="A6153" i="1"/>
  <c r="D6152" i="1"/>
  <c r="A6152" i="1"/>
  <c r="D3413" i="1"/>
  <c r="A3413" i="1"/>
  <c r="D6151" i="1"/>
  <c r="A6151" i="1"/>
  <c r="D6150" i="1"/>
  <c r="A6150" i="1"/>
  <c r="D6149" i="1"/>
  <c r="A6149" i="1"/>
  <c r="D3412" i="1"/>
  <c r="A3412" i="1"/>
  <c r="D6148" i="1"/>
  <c r="A6148" i="1"/>
  <c r="D3411" i="1"/>
  <c r="A3411" i="1"/>
  <c r="D6147" i="1"/>
  <c r="A6147" i="1"/>
  <c r="D322" i="1"/>
  <c r="A322" i="1"/>
  <c r="D3410" i="1"/>
  <c r="A3410" i="1"/>
  <c r="D3409" i="1"/>
  <c r="A3409" i="1"/>
  <c r="D6146" i="1"/>
  <c r="A6146" i="1"/>
  <c r="D6145" i="1"/>
  <c r="A6145" i="1"/>
  <c r="D6144" i="1"/>
  <c r="A6144" i="1"/>
  <c r="D6143" i="1"/>
  <c r="A6143" i="1"/>
  <c r="D6142" i="1"/>
  <c r="A6142" i="1"/>
  <c r="D6141" i="1"/>
  <c r="A6141" i="1"/>
  <c r="D6140" i="1"/>
  <c r="A6140" i="1"/>
  <c r="D6139" i="1"/>
  <c r="A6139" i="1"/>
  <c r="D6138" i="1"/>
  <c r="A6138" i="1"/>
  <c r="D6137" i="1"/>
  <c r="A6137" i="1"/>
  <c r="D6136" i="1"/>
  <c r="A6136" i="1"/>
  <c r="D6135" i="1"/>
  <c r="A6135" i="1"/>
  <c r="D6134" i="1"/>
  <c r="A6134" i="1"/>
  <c r="D6133" i="1"/>
  <c r="A6133" i="1"/>
  <c r="D6132" i="1"/>
  <c r="A6132" i="1"/>
  <c r="D6131" i="1"/>
  <c r="A6131" i="1"/>
  <c r="D3408" i="1"/>
  <c r="A3408" i="1"/>
  <c r="D6130" i="1"/>
  <c r="A6130" i="1"/>
  <c r="D3407" i="1"/>
  <c r="A3407" i="1"/>
  <c r="D6129" i="1"/>
  <c r="A6129" i="1"/>
  <c r="D6128" i="1"/>
  <c r="A6128" i="1"/>
  <c r="D943" i="1"/>
  <c r="A943" i="1"/>
  <c r="D6127" i="1"/>
  <c r="A6127" i="1"/>
  <c r="D6126" i="1"/>
  <c r="A6126" i="1"/>
  <c r="D3406" i="1"/>
  <c r="A3406" i="1"/>
  <c r="D6125" i="1"/>
  <c r="A6125" i="1"/>
  <c r="D6124" i="1"/>
  <c r="A6124" i="1"/>
  <c r="D6123" i="1"/>
  <c r="A6123" i="1"/>
  <c r="D6122" i="1"/>
  <c r="A6122" i="1"/>
  <c r="D3405" i="1"/>
  <c r="A3405" i="1"/>
  <c r="D6121" i="1"/>
  <c r="A6121" i="1"/>
  <c r="D3404" i="1"/>
  <c r="A3404" i="1"/>
  <c r="D6120" i="1"/>
  <c r="A6120" i="1"/>
  <c r="D6119" i="1"/>
  <c r="A6119" i="1"/>
  <c r="D6118" i="1"/>
  <c r="A6118" i="1"/>
  <c r="D6117" i="1"/>
  <c r="A6117" i="1"/>
  <c r="D6116" i="1"/>
  <c r="A6116" i="1"/>
  <c r="D6115" i="1"/>
  <c r="A6115" i="1"/>
  <c r="D6114" i="1"/>
  <c r="A6114" i="1"/>
  <c r="D6113" i="1"/>
  <c r="A6113" i="1"/>
  <c r="D6112" i="1"/>
  <c r="A6112" i="1"/>
  <c r="D6111" i="1"/>
  <c r="A6111" i="1"/>
  <c r="D6110" i="1"/>
  <c r="A6110" i="1"/>
  <c r="D6109" i="1"/>
  <c r="A6109" i="1"/>
  <c r="D6108" i="1"/>
  <c r="A6108" i="1"/>
  <c r="D6107" i="1"/>
  <c r="A6107" i="1"/>
  <c r="D6106" i="1"/>
  <c r="A6106" i="1"/>
  <c r="D3403" i="1"/>
  <c r="A3403" i="1"/>
  <c r="D6105" i="1"/>
  <c r="A6105" i="1"/>
  <c r="D6104" i="1"/>
  <c r="A6104" i="1"/>
  <c r="D3402" i="1"/>
  <c r="A3402" i="1"/>
  <c r="D6103" i="1"/>
  <c r="A6103" i="1"/>
  <c r="D3401" i="1"/>
  <c r="A3401" i="1"/>
  <c r="D6102" i="1"/>
  <c r="A6102" i="1"/>
  <c r="D6101" i="1"/>
  <c r="A6101" i="1"/>
  <c r="D3400" i="1"/>
  <c r="A3400" i="1"/>
  <c r="D3399" i="1"/>
  <c r="A3399" i="1"/>
  <c r="D6100" i="1"/>
  <c r="A6100" i="1"/>
  <c r="D3398" i="1"/>
  <c r="A3398" i="1"/>
  <c r="D6099" i="1"/>
  <c r="A6099" i="1"/>
  <c r="D6098" i="1"/>
  <c r="A6098" i="1"/>
  <c r="D6097" i="1"/>
  <c r="A6097" i="1"/>
  <c r="D3397" i="1"/>
  <c r="A3397" i="1"/>
  <c r="D3396" i="1"/>
  <c r="A3396" i="1"/>
  <c r="D6096" i="1"/>
  <c r="A6096" i="1"/>
  <c r="D3395" i="1"/>
  <c r="A3395" i="1"/>
  <c r="D6095" i="1"/>
  <c r="A6095" i="1"/>
  <c r="D6094" i="1"/>
  <c r="A6094" i="1"/>
  <c r="D6093" i="1"/>
  <c r="A6093" i="1"/>
  <c r="D6092" i="1"/>
  <c r="A6092" i="1"/>
  <c r="D3394" i="1"/>
  <c r="A3394" i="1"/>
  <c r="D6091" i="1"/>
  <c r="A6091" i="1"/>
  <c r="D6090" i="1"/>
  <c r="A6090" i="1"/>
  <c r="D6089" i="1"/>
  <c r="A6089" i="1"/>
  <c r="D6088" i="1"/>
  <c r="A6088" i="1"/>
  <c r="D6087" i="1"/>
  <c r="A6087" i="1"/>
  <c r="D6086" i="1"/>
  <c r="A6086" i="1"/>
  <c r="D3393" i="1"/>
  <c r="A3393" i="1"/>
  <c r="D3392" i="1"/>
  <c r="A3392" i="1"/>
  <c r="D6085" i="1"/>
  <c r="A6085" i="1"/>
  <c r="D6084" i="1"/>
  <c r="A6084" i="1"/>
  <c r="D6083" i="1"/>
  <c r="A6083" i="1"/>
  <c r="D3391" i="1"/>
  <c r="A3391" i="1"/>
  <c r="D6082" i="1"/>
  <c r="A6082" i="1"/>
  <c r="D3390" i="1"/>
  <c r="A3390" i="1"/>
  <c r="D6081" i="1"/>
  <c r="A6081" i="1"/>
  <c r="D6080" i="1"/>
  <c r="A6080" i="1"/>
  <c r="D3389" i="1"/>
  <c r="A3389" i="1"/>
  <c r="D6079" i="1"/>
  <c r="A6079" i="1"/>
  <c r="D3388" i="1"/>
  <c r="A3388" i="1"/>
  <c r="D6078" i="1"/>
  <c r="A6078" i="1"/>
  <c r="D6077" i="1"/>
  <c r="A6077" i="1"/>
  <c r="D6076" i="1"/>
  <c r="A6076" i="1"/>
  <c r="D3387" i="1"/>
  <c r="A3387" i="1"/>
  <c r="D6075" i="1"/>
  <c r="A6075" i="1"/>
  <c r="D6074" i="1"/>
  <c r="A6074" i="1"/>
  <c r="D3386" i="1"/>
  <c r="A3386" i="1"/>
  <c r="D3385" i="1"/>
  <c r="A3385" i="1"/>
  <c r="D3384" i="1"/>
  <c r="A3384" i="1"/>
  <c r="D6073" i="1"/>
  <c r="A6073" i="1"/>
  <c r="D6072" i="1"/>
  <c r="A6072" i="1"/>
  <c r="D3383" i="1"/>
  <c r="A3383" i="1"/>
  <c r="D6071" i="1"/>
  <c r="A6071" i="1"/>
  <c r="D3382" i="1"/>
  <c r="A3382" i="1"/>
  <c r="D6070" i="1"/>
  <c r="A6070" i="1"/>
  <c r="D6069" i="1"/>
  <c r="A6069" i="1"/>
  <c r="D6068" i="1"/>
  <c r="A6068" i="1"/>
  <c r="D6067" i="1"/>
  <c r="A6067" i="1"/>
  <c r="D6066" i="1"/>
  <c r="A6066" i="1"/>
  <c r="D3381" i="1"/>
  <c r="A3381" i="1"/>
  <c r="D6065" i="1"/>
  <c r="A6065" i="1"/>
  <c r="D6064" i="1"/>
  <c r="A6064" i="1"/>
  <c r="D6063" i="1"/>
  <c r="A6063" i="1"/>
  <c r="D6062" i="1"/>
  <c r="A6062" i="1"/>
  <c r="D6061" i="1"/>
  <c r="A6061" i="1"/>
  <c r="D6060" i="1"/>
  <c r="A6060" i="1"/>
  <c r="D6059" i="1"/>
  <c r="A6059" i="1"/>
  <c r="D3380" i="1"/>
  <c r="A3380" i="1"/>
  <c r="D6058" i="1"/>
  <c r="A6058" i="1"/>
  <c r="D6057" i="1"/>
  <c r="A6057" i="1"/>
  <c r="D6056" i="1"/>
  <c r="A6056" i="1"/>
  <c r="D3379" i="1"/>
  <c r="A3379" i="1"/>
  <c r="D3378" i="1"/>
  <c r="A3378" i="1"/>
  <c r="D6055" i="1"/>
  <c r="A6055" i="1"/>
  <c r="D6054" i="1"/>
  <c r="A6054" i="1"/>
  <c r="D6053" i="1"/>
  <c r="A6053" i="1"/>
  <c r="D6052" i="1"/>
  <c r="A6052" i="1"/>
  <c r="D6051" i="1"/>
  <c r="A6051" i="1"/>
  <c r="D6050" i="1"/>
  <c r="A6050" i="1"/>
  <c r="D6049" i="1"/>
  <c r="A6049" i="1"/>
  <c r="D6048" i="1"/>
  <c r="A6048" i="1"/>
  <c r="D6047" i="1"/>
  <c r="A6047" i="1"/>
  <c r="D6046" i="1"/>
  <c r="A6046" i="1"/>
  <c r="D6045" i="1"/>
  <c r="A6045" i="1"/>
  <c r="D321" i="1"/>
  <c r="A321" i="1"/>
  <c r="D6044" i="1"/>
  <c r="A6044" i="1"/>
  <c r="D320" i="1"/>
  <c r="A320" i="1"/>
  <c r="D6043" i="1"/>
  <c r="A6043" i="1"/>
  <c r="D6042" i="1"/>
  <c r="A6042" i="1"/>
  <c r="D3377" i="1"/>
  <c r="A3377" i="1"/>
  <c r="D3376" i="1"/>
  <c r="A3376" i="1"/>
  <c r="D6041" i="1"/>
  <c r="A6041" i="1"/>
  <c r="D6040" i="1"/>
  <c r="A6040" i="1"/>
  <c r="D6039" i="1"/>
  <c r="A6039" i="1"/>
  <c r="D3375" i="1"/>
  <c r="A3375" i="1"/>
  <c r="D3374" i="1"/>
  <c r="A3374" i="1"/>
  <c r="D6038" i="1"/>
  <c r="A6038" i="1"/>
  <c r="D3373" i="1"/>
  <c r="A3373" i="1"/>
  <c r="D942" i="1"/>
  <c r="A942" i="1"/>
  <c r="D3372" i="1"/>
  <c r="A3372" i="1"/>
  <c r="D6037" i="1"/>
  <c r="A6037" i="1"/>
  <c r="D3371" i="1"/>
  <c r="A3371" i="1"/>
  <c r="D6036" i="1"/>
  <c r="A6036" i="1"/>
  <c r="D6035" i="1"/>
  <c r="A6035" i="1"/>
  <c r="D6034" i="1"/>
  <c r="A6034" i="1"/>
  <c r="D6033" i="1"/>
  <c r="A6033" i="1"/>
  <c r="D6032" i="1"/>
  <c r="A6032" i="1"/>
  <c r="D6031" i="1"/>
  <c r="A6031" i="1"/>
  <c r="D941" i="1"/>
  <c r="A941" i="1"/>
  <c r="D3370" i="1"/>
  <c r="A3370" i="1"/>
  <c r="D3369" i="1"/>
  <c r="A3369" i="1"/>
  <c r="D6030" i="1"/>
  <c r="A6030" i="1"/>
  <c r="D6029" i="1"/>
  <c r="A6029" i="1"/>
  <c r="D6028" i="1"/>
  <c r="A6028" i="1"/>
  <c r="D6027" i="1"/>
  <c r="A6027" i="1"/>
  <c r="D940" i="1"/>
  <c r="A940" i="1"/>
  <c r="D6026" i="1"/>
  <c r="A6026" i="1"/>
  <c r="D6025" i="1"/>
  <c r="A6025" i="1"/>
  <c r="D6024" i="1"/>
  <c r="A6024" i="1"/>
  <c r="D6023" i="1"/>
  <c r="A6023" i="1"/>
  <c r="D6022" i="1"/>
  <c r="A6022" i="1"/>
  <c r="D3368" i="1"/>
  <c r="A3368" i="1"/>
  <c r="D6021" i="1"/>
  <c r="A6021" i="1"/>
  <c r="D6020" i="1"/>
  <c r="A6020" i="1"/>
  <c r="D3367" i="1"/>
  <c r="A3367" i="1"/>
  <c r="D6019" i="1"/>
  <c r="A6019" i="1"/>
  <c r="D6018" i="1"/>
  <c r="A6018" i="1"/>
  <c r="D939" i="1"/>
  <c r="A939" i="1"/>
  <c r="D3366" i="1"/>
  <c r="A3366" i="1"/>
  <c r="D6017" i="1"/>
  <c r="A6017" i="1"/>
  <c r="D6016" i="1"/>
  <c r="A6016" i="1"/>
  <c r="D6015" i="1"/>
  <c r="A6015" i="1"/>
  <c r="D6014" i="1"/>
  <c r="A6014" i="1"/>
  <c r="D6013" i="1"/>
  <c r="A6013" i="1"/>
  <c r="D6012" i="1"/>
  <c r="A6012" i="1"/>
  <c r="D3365" i="1"/>
  <c r="A3365" i="1"/>
  <c r="D3364" i="1"/>
  <c r="A3364" i="1"/>
  <c r="D6011" i="1"/>
  <c r="A6011" i="1"/>
  <c r="D6010" i="1"/>
  <c r="A6010" i="1"/>
  <c r="D6009" i="1"/>
  <c r="A6009" i="1"/>
  <c r="D6008" i="1"/>
  <c r="A6008" i="1"/>
  <c r="D3363" i="1"/>
  <c r="A3363" i="1"/>
  <c r="D938" i="1"/>
  <c r="A938" i="1"/>
  <c r="D61" i="1"/>
  <c r="A61" i="1"/>
  <c r="D6007" i="1"/>
  <c r="A6007" i="1"/>
  <c r="D937" i="1"/>
  <c r="A937" i="1"/>
  <c r="D3362" i="1"/>
  <c r="A3362" i="1"/>
  <c r="D6006" i="1"/>
  <c r="A6006" i="1"/>
  <c r="D6005" i="1"/>
  <c r="A6005" i="1"/>
  <c r="D6004" i="1"/>
  <c r="A6004" i="1"/>
  <c r="D6003" i="1"/>
  <c r="A6003" i="1"/>
  <c r="D6002" i="1"/>
  <c r="A6002" i="1"/>
  <c r="D6001" i="1"/>
  <c r="A6001" i="1"/>
  <c r="D3361" i="1"/>
  <c r="A3361" i="1"/>
  <c r="D3360" i="1"/>
  <c r="A3360" i="1"/>
  <c r="D319" i="1"/>
  <c r="A319" i="1"/>
  <c r="D3359" i="1"/>
  <c r="A3359" i="1"/>
  <c r="D6000" i="1"/>
  <c r="A6000" i="1"/>
  <c r="D318" i="1"/>
  <c r="A318" i="1"/>
  <c r="D5999" i="1"/>
  <c r="A5999" i="1"/>
  <c r="D13777" i="1"/>
  <c r="A13777" i="1"/>
  <c r="D5998" i="1"/>
  <c r="A5998" i="1"/>
  <c r="D3358" i="1"/>
  <c r="A3358" i="1"/>
  <c r="D5997" i="1"/>
  <c r="A5997" i="1"/>
  <c r="D5996" i="1"/>
  <c r="A5996" i="1"/>
  <c r="D5995" i="1"/>
  <c r="A5995" i="1"/>
  <c r="D5994" i="1"/>
  <c r="A5994" i="1"/>
  <c r="D5993" i="1"/>
  <c r="A5993" i="1"/>
  <c r="D5992" i="1"/>
  <c r="A5992" i="1"/>
  <c r="D3357" i="1"/>
  <c r="A3357" i="1"/>
  <c r="D3356" i="1"/>
  <c r="A3356" i="1"/>
  <c r="D3355" i="1"/>
  <c r="A3355" i="1"/>
  <c r="D5991" i="1"/>
  <c r="A5991" i="1"/>
  <c r="D5990" i="1"/>
  <c r="A5990" i="1"/>
  <c r="D5989" i="1"/>
  <c r="A5989" i="1"/>
  <c r="D3354" i="1"/>
  <c r="A3354" i="1"/>
  <c r="D3353" i="1"/>
  <c r="A3353" i="1"/>
  <c r="D5988" i="1"/>
  <c r="A5988" i="1"/>
  <c r="D5987" i="1"/>
  <c r="A5987" i="1"/>
  <c r="D5986" i="1"/>
  <c r="A5986" i="1"/>
  <c r="D317" i="1"/>
  <c r="A317" i="1"/>
  <c r="D5985" i="1"/>
  <c r="A5985" i="1"/>
  <c r="D5984" i="1"/>
  <c r="A5984" i="1"/>
  <c r="D316" i="1"/>
  <c r="A316" i="1"/>
  <c r="D5983" i="1"/>
  <c r="A5983" i="1"/>
  <c r="D5982" i="1"/>
  <c r="A5982" i="1"/>
  <c r="D5981" i="1"/>
  <c r="A5981" i="1"/>
  <c r="D5980" i="1"/>
  <c r="A5980" i="1"/>
  <c r="D3352" i="1"/>
  <c r="A3352" i="1"/>
  <c r="D5979" i="1"/>
  <c r="A5979" i="1"/>
  <c r="D3351" i="1"/>
  <c r="A3351" i="1"/>
  <c r="D5978" i="1"/>
  <c r="A5978" i="1"/>
  <c r="D3350" i="1"/>
  <c r="A3350" i="1"/>
  <c r="D936" i="1"/>
  <c r="A936" i="1"/>
  <c r="D5977" i="1"/>
  <c r="A5977" i="1"/>
  <c r="D5976" i="1"/>
  <c r="A5976" i="1"/>
  <c r="D5975" i="1"/>
  <c r="A5975" i="1"/>
  <c r="D5974" i="1"/>
  <c r="A5974" i="1"/>
  <c r="D5973" i="1"/>
  <c r="A5973" i="1"/>
  <c r="D5972" i="1"/>
  <c r="A5972" i="1"/>
  <c r="D5971" i="1"/>
  <c r="A5971" i="1"/>
  <c r="D5970" i="1"/>
  <c r="A5970" i="1"/>
  <c r="D5969" i="1"/>
  <c r="A5969" i="1"/>
  <c r="D3349" i="1"/>
  <c r="A3349" i="1"/>
  <c r="D5968" i="1"/>
  <c r="A5968" i="1"/>
  <c r="D5967" i="1"/>
  <c r="A5967" i="1"/>
  <c r="D3348" i="1"/>
  <c r="A3348" i="1"/>
  <c r="D5966" i="1"/>
  <c r="A5966" i="1"/>
  <c r="D5965" i="1"/>
  <c r="A5965" i="1"/>
  <c r="D5964" i="1"/>
  <c r="A5964" i="1"/>
  <c r="D3347" i="1"/>
  <c r="A3347" i="1"/>
  <c r="D5963" i="1"/>
  <c r="A5963" i="1"/>
  <c r="D3346" i="1"/>
  <c r="A3346" i="1"/>
  <c r="D5962" i="1"/>
  <c r="A5962" i="1"/>
  <c r="D5961" i="1"/>
  <c r="A5961" i="1"/>
  <c r="D5960" i="1"/>
  <c r="A5960" i="1"/>
  <c r="D5959" i="1"/>
  <c r="A5959" i="1"/>
  <c r="D5958" i="1"/>
  <c r="A5958" i="1"/>
  <c r="D5957" i="1"/>
  <c r="A5957" i="1"/>
  <c r="D5956" i="1"/>
  <c r="A5956" i="1"/>
  <c r="D5955" i="1"/>
  <c r="A5955" i="1"/>
  <c r="D315" i="1"/>
  <c r="A315" i="1"/>
  <c r="D5954" i="1"/>
  <c r="A5954" i="1"/>
  <c r="D5953" i="1"/>
  <c r="A5953" i="1"/>
  <c r="D5952" i="1"/>
  <c r="A5952" i="1"/>
  <c r="D5951" i="1"/>
  <c r="A5951" i="1"/>
  <c r="D5950" i="1"/>
  <c r="A5950" i="1"/>
  <c r="D3345" i="1"/>
  <c r="A3345" i="1"/>
  <c r="D3344" i="1"/>
  <c r="A3344" i="1"/>
  <c r="D5949" i="1"/>
  <c r="A5949" i="1"/>
  <c r="D935" i="1"/>
  <c r="A935" i="1"/>
  <c r="D5948" i="1"/>
  <c r="A5948" i="1"/>
  <c r="D5947" i="1"/>
  <c r="A5947" i="1"/>
  <c r="D3343" i="1"/>
  <c r="A3343" i="1"/>
  <c r="D314" i="1"/>
  <c r="A314" i="1"/>
  <c r="D5946" i="1"/>
  <c r="A5946" i="1"/>
  <c r="D5945" i="1"/>
  <c r="A5945" i="1"/>
  <c r="D5944" i="1"/>
  <c r="A5944" i="1"/>
  <c r="D5943" i="1"/>
  <c r="A5943" i="1"/>
  <c r="D934" i="1"/>
  <c r="A934" i="1"/>
  <c r="D5942" i="1"/>
  <c r="A5942" i="1"/>
  <c r="D5941" i="1"/>
  <c r="A5941" i="1"/>
  <c r="D5940" i="1"/>
  <c r="A5940" i="1"/>
  <c r="D313" i="1"/>
  <c r="A313" i="1"/>
  <c r="D5939" i="1"/>
  <c r="A5939" i="1"/>
  <c r="D5938" i="1"/>
  <c r="A5938" i="1"/>
  <c r="D3342" i="1"/>
  <c r="A3342" i="1"/>
  <c r="D5937" i="1"/>
  <c r="A5937" i="1"/>
  <c r="D3341" i="1"/>
  <c r="A3341" i="1"/>
  <c r="D5936" i="1"/>
  <c r="A5936" i="1"/>
  <c r="D5935" i="1"/>
  <c r="A5935" i="1"/>
  <c r="D5934" i="1"/>
  <c r="A5934" i="1"/>
  <c r="D5933" i="1"/>
  <c r="A5933" i="1"/>
  <c r="D5932" i="1"/>
  <c r="A5932" i="1"/>
  <c r="D5931" i="1"/>
  <c r="A5931" i="1"/>
  <c r="D5930" i="1"/>
  <c r="A5930" i="1"/>
  <c r="D5929" i="1"/>
  <c r="A5929" i="1"/>
  <c r="D5928" i="1"/>
  <c r="A5928" i="1"/>
  <c r="D5927" i="1"/>
  <c r="A5927" i="1"/>
  <c r="D5926" i="1"/>
  <c r="A5926" i="1"/>
  <c r="D5925" i="1"/>
  <c r="A5925" i="1"/>
  <c r="D13776" i="1"/>
  <c r="A13776" i="1"/>
  <c r="D5924" i="1"/>
  <c r="A5924" i="1"/>
  <c r="D5923" i="1"/>
  <c r="A5923" i="1"/>
  <c r="D5922" i="1"/>
  <c r="A5922" i="1"/>
  <c r="D5921" i="1"/>
  <c r="A5921" i="1"/>
  <c r="D5920" i="1"/>
  <c r="A5920" i="1"/>
  <c r="D5919" i="1"/>
  <c r="A5919" i="1"/>
  <c r="D5918" i="1"/>
  <c r="A5918" i="1"/>
  <c r="D3340" i="1"/>
  <c r="A3340" i="1"/>
  <c r="D5917" i="1"/>
  <c r="A5917" i="1"/>
  <c r="D3339" i="1"/>
  <c r="A3339" i="1"/>
  <c r="D5916" i="1"/>
  <c r="A5916" i="1"/>
  <c r="D3338" i="1"/>
  <c r="A3338" i="1"/>
  <c r="D5915" i="1"/>
  <c r="A5915" i="1"/>
  <c r="D5914" i="1"/>
  <c r="A5914" i="1"/>
  <c r="D5913" i="1"/>
  <c r="A5913" i="1"/>
  <c r="D5912" i="1"/>
  <c r="A5912" i="1"/>
  <c r="D3337" i="1"/>
  <c r="A3337" i="1"/>
  <c r="D5911" i="1"/>
  <c r="A5911" i="1"/>
  <c r="D3336" i="1"/>
  <c r="A3336" i="1"/>
  <c r="D5910" i="1"/>
  <c r="A5910" i="1"/>
  <c r="D5909" i="1"/>
  <c r="A5909" i="1"/>
  <c r="D5908" i="1"/>
  <c r="A5908" i="1"/>
  <c r="D312" i="1"/>
  <c r="A312" i="1"/>
  <c r="D3335" i="1"/>
  <c r="A3335" i="1"/>
  <c r="D5907" i="1"/>
  <c r="A5907" i="1"/>
  <c r="D5906" i="1"/>
  <c r="A5906" i="1"/>
  <c r="D5905" i="1"/>
  <c r="A5905" i="1"/>
  <c r="D5904" i="1"/>
  <c r="A5904" i="1"/>
  <c r="D3334" i="1"/>
  <c r="A3334" i="1"/>
  <c r="D5903" i="1"/>
  <c r="A5903" i="1"/>
  <c r="D3333" i="1"/>
  <c r="A3333" i="1"/>
  <c r="D3332" i="1"/>
  <c r="A3332" i="1"/>
  <c r="D3331" i="1"/>
  <c r="A3331" i="1"/>
  <c r="D5902" i="1"/>
  <c r="A5902" i="1"/>
  <c r="D5901" i="1"/>
  <c r="A5901" i="1"/>
  <c r="D3330" i="1"/>
  <c r="A3330" i="1"/>
  <c r="D3329" i="1"/>
  <c r="A3329" i="1"/>
  <c r="D3328" i="1"/>
  <c r="A3328" i="1"/>
  <c r="D3327" i="1"/>
  <c r="A3327" i="1"/>
  <c r="D5900" i="1"/>
  <c r="A5900" i="1"/>
  <c r="D5899" i="1"/>
  <c r="A5899" i="1"/>
  <c r="D5898" i="1"/>
  <c r="A5898" i="1"/>
  <c r="D3326" i="1"/>
  <c r="A3326" i="1"/>
  <c r="D5897" i="1"/>
  <c r="A5897" i="1"/>
  <c r="D5896" i="1"/>
  <c r="A5896" i="1"/>
  <c r="D5895" i="1"/>
  <c r="A5895" i="1"/>
  <c r="D5894" i="1"/>
  <c r="A5894" i="1"/>
  <c r="D933" i="1"/>
  <c r="A933" i="1"/>
  <c r="D5893" i="1"/>
  <c r="A5893" i="1"/>
  <c r="D3325" i="1"/>
  <c r="A3325" i="1"/>
  <c r="D5892" i="1"/>
  <c r="A5892" i="1"/>
  <c r="D5891" i="1"/>
  <c r="A5891" i="1"/>
  <c r="D5890" i="1"/>
  <c r="A5890" i="1"/>
  <c r="D311" i="1"/>
  <c r="A311" i="1"/>
  <c r="D5889" i="1"/>
  <c r="A5889" i="1"/>
  <c r="D3324" i="1"/>
  <c r="A3324" i="1"/>
  <c r="D3323" i="1"/>
  <c r="A3323" i="1"/>
  <c r="D5888" i="1"/>
  <c r="A5888" i="1"/>
  <c r="D3322" i="1"/>
  <c r="A3322" i="1"/>
  <c r="D3321" i="1"/>
  <c r="A3321" i="1"/>
  <c r="D3320" i="1"/>
  <c r="A3320" i="1"/>
  <c r="D3319" i="1"/>
  <c r="A3319" i="1"/>
  <c r="D3318" i="1"/>
  <c r="A3318" i="1"/>
  <c r="D3317" i="1"/>
  <c r="A3317" i="1"/>
  <c r="D3316" i="1"/>
  <c r="A3316" i="1"/>
  <c r="D3315" i="1"/>
  <c r="A3315" i="1"/>
  <c r="D3314" i="1"/>
  <c r="A3314" i="1"/>
  <c r="D3313" i="1"/>
  <c r="A3313" i="1"/>
  <c r="D3312" i="1"/>
  <c r="A3312" i="1"/>
  <c r="D932" i="1"/>
  <c r="A932" i="1"/>
  <c r="D3311" i="1"/>
  <c r="A3311" i="1"/>
  <c r="D310" i="1"/>
  <c r="A310" i="1"/>
  <c r="D3310" i="1"/>
  <c r="A3310" i="1"/>
  <c r="D3309" i="1"/>
  <c r="A3309" i="1"/>
  <c r="D5887" i="1"/>
  <c r="A5887" i="1"/>
  <c r="D3308" i="1"/>
  <c r="A3308" i="1"/>
  <c r="D3307" i="1"/>
  <c r="A3307" i="1"/>
  <c r="D3306" i="1"/>
  <c r="A3306" i="1"/>
  <c r="D3305" i="1"/>
  <c r="A3305" i="1"/>
  <c r="D3304" i="1"/>
  <c r="A3304" i="1"/>
  <c r="D3303" i="1"/>
  <c r="A3303" i="1"/>
  <c r="D3302" i="1"/>
  <c r="A3302" i="1"/>
  <c r="D27" i="1"/>
  <c r="A27" i="1"/>
  <c r="D3301" i="1"/>
  <c r="A3301" i="1"/>
  <c r="D309" i="1"/>
  <c r="A309" i="1"/>
  <c r="D3300" i="1"/>
  <c r="A3300" i="1"/>
  <c r="D3299" i="1"/>
  <c r="A3299" i="1"/>
  <c r="D3298" i="1"/>
  <c r="A3298" i="1"/>
  <c r="D931" i="1"/>
  <c r="A931" i="1"/>
  <c r="D3297" i="1"/>
  <c r="A3297" i="1"/>
  <c r="D3296" i="1"/>
  <c r="A3296" i="1"/>
  <c r="D3295" i="1"/>
  <c r="A3295" i="1"/>
  <c r="D3294" i="1"/>
  <c r="A3294" i="1"/>
  <c r="D3293" i="1"/>
  <c r="A3293" i="1"/>
  <c r="D308" i="1"/>
  <c r="A308" i="1"/>
  <c r="D3292" i="1"/>
  <c r="A3292" i="1"/>
  <c r="D3291" i="1"/>
  <c r="A3291" i="1"/>
  <c r="D307" i="1"/>
  <c r="A307" i="1"/>
  <c r="D5886" i="1"/>
  <c r="A5886" i="1"/>
  <c r="D3290" i="1"/>
  <c r="A3290" i="1"/>
  <c r="D3289" i="1"/>
  <c r="A3289" i="1"/>
  <c r="D3288" i="1"/>
  <c r="A3288" i="1"/>
  <c r="D3287" i="1"/>
  <c r="A3287" i="1"/>
  <c r="D3286" i="1"/>
  <c r="A3286" i="1"/>
  <c r="D3285" i="1"/>
  <c r="A3285" i="1"/>
  <c r="D3284" i="1"/>
  <c r="A3284" i="1"/>
  <c r="D3283" i="1"/>
  <c r="A3283" i="1"/>
  <c r="D3282" i="1"/>
  <c r="A3282" i="1"/>
  <c r="D3281" i="1"/>
  <c r="A3281" i="1"/>
  <c r="D3280" i="1"/>
  <c r="A3280" i="1"/>
  <c r="D3279" i="1"/>
  <c r="A3279" i="1"/>
  <c r="D3278" i="1"/>
  <c r="A3278" i="1"/>
  <c r="D13775" i="1"/>
  <c r="A13775" i="1"/>
  <c r="D3277" i="1"/>
  <c r="A3277" i="1"/>
  <c r="D3276" i="1"/>
  <c r="A3276" i="1"/>
  <c r="D3275" i="1"/>
  <c r="A3275" i="1"/>
  <c r="D3274" i="1"/>
  <c r="A3274" i="1"/>
  <c r="D3273" i="1"/>
  <c r="A3273" i="1"/>
  <c r="D306" i="1"/>
  <c r="A306" i="1"/>
  <c r="D3272" i="1"/>
  <c r="A3272" i="1"/>
  <c r="D3271" i="1"/>
  <c r="A3271" i="1"/>
  <c r="D3270" i="1"/>
  <c r="A3270" i="1"/>
  <c r="D3269" i="1"/>
  <c r="A3269" i="1"/>
  <c r="D305" i="1"/>
  <c r="A305" i="1"/>
  <c r="D3268" i="1"/>
  <c r="A3268" i="1"/>
  <c r="D930" i="1"/>
  <c r="A930" i="1"/>
  <c r="D304" i="1"/>
  <c r="A304" i="1"/>
  <c r="D3267" i="1"/>
  <c r="A3267" i="1"/>
  <c r="D3266" i="1"/>
  <c r="A3266" i="1"/>
  <c r="D303" i="1"/>
  <c r="A303" i="1"/>
  <c r="D302" i="1"/>
  <c r="A302" i="1"/>
  <c r="D3265" i="1"/>
  <c r="A3265" i="1"/>
  <c r="D3264" i="1"/>
  <c r="A3264" i="1"/>
  <c r="D3263" i="1"/>
  <c r="A3263" i="1"/>
  <c r="D3262" i="1"/>
  <c r="A3262" i="1"/>
  <c r="D5885" i="1"/>
  <c r="A5885" i="1"/>
  <c r="D3261" i="1"/>
  <c r="A3261" i="1"/>
  <c r="D3260" i="1"/>
  <c r="A3260" i="1"/>
  <c r="D3259" i="1"/>
  <c r="A3259" i="1"/>
  <c r="D5884" i="1"/>
  <c r="A5884" i="1"/>
  <c r="D3258" i="1"/>
  <c r="A3258" i="1"/>
  <c r="D3257" i="1"/>
  <c r="A3257" i="1"/>
  <c r="D301" i="1"/>
  <c r="A301" i="1"/>
  <c r="D929" i="1"/>
  <c r="A929" i="1"/>
  <c r="D3256" i="1"/>
  <c r="A3256" i="1"/>
  <c r="D300" i="1"/>
  <c r="A300" i="1"/>
  <c r="D3255" i="1"/>
  <c r="A3255" i="1"/>
  <c r="D299" i="1"/>
  <c r="A299" i="1"/>
  <c r="D298" i="1"/>
  <c r="A298" i="1"/>
  <c r="D928" i="1"/>
  <c r="A928" i="1"/>
  <c r="D3254" i="1"/>
  <c r="A3254" i="1"/>
  <c r="D3253" i="1"/>
  <c r="A3253" i="1"/>
  <c r="D3252" i="1"/>
  <c r="A3252" i="1"/>
  <c r="D3251" i="1"/>
  <c r="A3251" i="1"/>
  <c r="D3250" i="1"/>
  <c r="A3250" i="1"/>
  <c r="D297" i="1"/>
  <c r="A297" i="1"/>
  <c r="D296" i="1"/>
  <c r="A296" i="1"/>
  <c r="D295" i="1"/>
  <c r="A295" i="1"/>
  <c r="D3249" i="1"/>
  <c r="A3249" i="1"/>
  <c r="D3248" i="1"/>
  <c r="A3248" i="1"/>
  <c r="D927" i="1"/>
  <c r="A927" i="1"/>
  <c r="D3247" i="1"/>
  <c r="A3247" i="1"/>
  <c r="D3246" i="1"/>
  <c r="A3246" i="1"/>
  <c r="D3245" i="1"/>
  <c r="A3245" i="1"/>
  <c r="D3244" i="1"/>
  <c r="A3244" i="1"/>
  <c r="D3243" i="1"/>
  <c r="A3243" i="1"/>
  <c r="D3242" i="1"/>
  <c r="A3242" i="1"/>
  <c r="D3241" i="1"/>
  <c r="A3241" i="1"/>
  <c r="D5883" i="1"/>
  <c r="A5883" i="1"/>
  <c r="D3240" i="1"/>
  <c r="A3240" i="1"/>
  <c r="D3239" i="1"/>
  <c r="A3239" i="1"/>
  <c r="D3238" i="1"/>
  <c r="A3238" i="1"/>
  <c r="D3237" i="1"/>
  <c r="A3237" i="1"/>
  <c r="D3236" i="1"/>
  <c r="A3236" i="1"/>
  <c r="D100" i="1"/>
  <c r="A100" i="1"/>
  <c r="D3235" i="1"/>
  <c r="A323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3234" i="1"/>
  <c r="A3234" i="1"/>
  <c r="D279" i="1"/>
  <c r="A279" i="1"/>
  <c r="D278" i="1"/>
  <c r="A278" i="1"/>
  <c r="D277" i="1"/>
  <c r="A277" i="1"/>
  <c r="D276" i="1"/>
  <c r="A276" i="1"/>
  <c r="D5882" i="1"/>
  <c r="A5882" i="1"/>
  <c r="D3233" i="1"/>
  <c r="A3233" i="1"/>
  <c r="D3232" i="1"/>
  <c r="A3232" i="1"/>
  <c r="D926" i="1"/>
  <c r="A926" i="1"/>
  <c r="D275" i="1"/>
  <c r="A275" i="1"/>
  <c r="D3231" i="1"/>
  <c r="A3231" i="1"/>
  <c r="D3230" i="1"/>
  <c r="A3230" i="1"/>
  <c r="D3229" i="1"/>
  <c r="A3229" i="1"/>
  <c r="D3228" i="1"/>
  <c r="A3228" i="1"/>
  <c r="D3227" i="1"/>
  <c r="A3227" i="1"/>
  <c r="D3226" i="1"/>
  <c r="A3226" i="1"/>
  <c r="D3225" i="1"/>
  <c r="A3225" i="1"/>
  <c r="D3224" i="1"/>
  <c r="A3224" i="1"/>
  <c r="D3223" i="1"/>
  <c r="A3223" i="1"/>
  <c r="D3222" i="1"/>
  <c r="A3222" i="1"/>
  <c r="D3221" i="1"/>
  <c r="A3221" i="1"/>
  <c r="D3220" i="1"/>
  <c r="A3220" i="1"/>
  <c r="D3219" i="1"/>
  <c r="A3219" i="1"/>
  <c r="D3218" i="1"/>
  <c r="A3218" i="1"/>
  <c r="D925" i="1"/>
  <c r="A925" i="1"/>
  <c r="D3217" i="1"/>
  <c r="A3217" i="1"/>
  <c r="D3216" i="1"/>
  <c r="A3216" i="1"/>
  <c r="D924" i="1"/>
  <c r="A924" i="1"/>
  <c r="D3215" i="1"/>
  <c r="A3215" i="1"/>
  <c r="D3214" i="1"/>
  <c r="A3214" i="1"/>
  <c r="D3213" i="1"/>
  <c r="A3213" i="1"/>
  <c r="D3212" i="1"/>
  <c r="A3212" i="1"/>
  <c r="D3211" i="1"/>
  <c r="A3211" i="1"/>
  <c r="D3210" i="1"/>
  <c r="A3210" i="1"/>
  <c r="D3209" i="1"/>
  <c r="A3209" i="1"/>
  <c r="D923" i="1"/>
  <c r="A923" i="1"/>
  <c r="D3208" i="1"/>
  <c r="A3208" i="1"/>
  <c r="D3207" i="1"/>
  <c r="A3207" i="1"/>
  <c r="D3206" i="1"/>
  <c r="A3206" i="1"/>
  <c r="D3205" i="1"/>
  <c r="A3205" i="1"/>
  <c r="D3204" i="1"/>
  <c r="A3204" i="1"/>
  <c r="D3203" i="1"/>
  <c r="A3203" i="1"/>
  <c r="D3202" i="1"/>
  <c r="A3202" i="1"/>
  <c r="D922" i="1"/>
  <c r="A922" i="1"/>
  <c r="D3201" i="1"/>
  <c r="A3201" i="1"/>
  <c r="D3200" i="1"/>
  <c r="A3200" i="1"/>
  <c r="D3199" i="1"/>
  <c r="A3199" i="1"/>
  <c r="D3198" i="1"/>
  <c r="A3198" i="1"/>
  <c r="D3197" i="1"/>
  <c r="A3197" i="1"/>
  <c r="D3196" i="1"/>
  <c r="A3196" i="1"/>
  <c r="D3195" i="1"/>
  <c r="A3195" i="1"/>
  <c r="D274" i="1"/>
  <c r="A274" i="1"/>
  <c r="D3194" i="1"/>
  <c r="A3194" i="1"/>
  <c r="D3193" i="1"/>
  <c r="A3193" i="1"/>
  <c r="D3192" i="1"/>
  <c r="A3192" i="1"/>
  <c r="D273" i="1"/>
  <c r="A273" i="1"/>
  <c r="D3191" i="1"/>
  <c r="A3191" i="1"/>
  <c r="D3190" i="1"/>
  <c r="A3190" i="1"/>
  <c r="D3189" i="1"/>
  <c r="A3189" i="1"/>
  <c r="D272" i="1"/>
  <c r="A272" i="1"/>
  <c r="D3188" i="1"/>
  <c r="A3188" i="1"/>
  <c r="D3187" i="1"/>
  <c r="A3187" i="1"/>
  <c r="D3186" i="1"/>
  <c r="A3186" i="1"/>
  <c r="D271" i="1"/>
  <c r="A271" i="1"/>
  <c r="D3185" i="1"/>
  <c r="A3185" i="1"/>
  <c r="D3184" i="1"/>
  <c r="A3184" i="1"/>
  <c r="D3183" i="1"/>
  <c r="A3183" i="1"/>
  <c r="D3182" i="1"/>
  <c r="A3182" i="1"/>
  <c r="D5881" i="1"/>
  <c r="A5881" i="1"/>
  <c r="D3181" i="1"/>
  <c r="A3181" i="1"/>
  <c r="D5880" i="1"/>
  <c r="A5880" i="1"/>
  <c r="D3180" i="1"/>
  <c r="A3180" i="1"/>
  <c r="D3179" i="1"/>
  <c r="A3179" i="1"/>
  <c r="D270" i="1"/>
  <c r="A270" i="1"/>
  <c r="D99" i="1"/>
  <c r="A99" i="1"/>
  <c r="D3178" i="1"/>
  <c r="A3178" i="1"/>
  <c r="D3177" i="1"/>
  <c r="A3177" i="1"/>
  <c r="D3176" i="1"/>
  <c r="A3176" i="1"/>
  <c r="D3175" i="1"/>
  <c r="A3175" i="1"/>
  <c r="D3174" i="1"/>
  <c r="A3174" i="1"/>
  <c r="D3173" i="1"/>
  <c r="A3173" i="1"/>
  <c r="D3172" i="1"/>
  <c r="A3172" i="1"/>
  <c r="D269" i="1"/>
  <c r="A269" i="1"/>
  <c r="D3171" i="1"/>
  <c r="A3171" i="1"/>
  <c r="D3170" i="1"/>
  <c r="A3170" i="1"/>
  <c r="D3169" i="1"/>
  <c r="A3169" i="1"/>
  <c r="D3168" i="1"/>
  <c r="A3168" i="1"/>
  <c r="D3167" i="1"/>
  <c r="A3167" i="1"/>
  <c r="D3166" i="1"/>
  <c r="A3166" i="1"/>
  <c r="D98" i="1"/>
  <c r="A98" i="1"/>
  <c r="D3165" i="1"/>
  <c r="A3165" i="1"/>
  <c r="D3164" i="1"/>
  <c r="A3164" i="1"/>
  <c r="D3163" i="1"/>
  <c r="A3163" i="1"/>
  <c r="D45" i="1"/>
  <c r="A45" i="1"/>
  <c r="D3162" i="1"/>
  <c r="A3162" i="1"/>
  <c r="D3161" i="1"/>
  <c r="A3161" i="1"/>
  <c r="D3160" i="1"/>
  <c r="A3160" i="1"/>
  <c r="D3159" i="1"/>
  <c r="A3159" i="1"/>
  <c r="D3158" i="1"/>
  <c r="A3158" i="1"/>
  <c r="D921" i="1"/>
  <c r="A921" i="1"/>
  <c r="D3157" i="1"/>
  <c r="A3157" i="1"/>
  <c r="D3156" i="1"/>
  <c r="A3156" i="1"/>
  <c r="D3155" i="1"/>
  <c r="A3155" i="1"/>
  <c r="D3154" i="1"/>
  <c r="A3154" i="1"/>
  <c r="D3153" i="1"/>
  <c r="A3153" i="1"/>
  <c r="D268" i="1"/>
  <c r="A268" i="1"/>
  <c r="D3152" i="1"/>
  <c r="A3152" i="1"/>
  <c r="D3151" i="1"/>
  <c r="A3151" i="1"/>
  <c r="D3150" i="1"/>
  <c r="A3150" i="1"/>
  <c r="D3149" i="1"/>
  <c r="A3149" i="1"/>
  <c r="D3148" i="1"/>
  <c r="A3148" i="1"/>
  <c r="D3147" i="1"/>
  <c r="A3147" i="1"/>
  <c r="D3146" i="1"/>
  <c r="A3146" i="1"/>
  <c r="D3145" i="1"/>
  <c r="A3145" i="1"/>
  <c r="D3144" i="1"/>
  <c r="A3144" i="1"/>
  <c r="D3143" i="1"/>
  <c r="A3143" i="1"/>
  <c r="D3142" i="1"/>
  <c r="A3142" i="1"/>
  <c r="D3141" i="1"/>
  <c r="A3141" i="1"/>
  <c r="D267" i="1"/>
  <c r="A267" i="1"/>
  <c r="D3140" i="1"/>
  <c r="A3140" i="1"/>
  <c r="D266" i="1"/>
  <c r="A266" i="1"/>
  <c r="D3139" i="1"/>
  <c r="A3139" i="1"/>
  <c r="D3138" i="1"/>
  <c r="A3138" i="1"/>
  <c r="D265" i="1"/>
  <c r="A265" i="1"/>
  <c r="D264" i="1"/>
  <c r="A264" i="1"/>
  <c r="D3137" i="1"/>
  <c r="A3137" i="1"/>
  <c r="D3136" i="1"/>
  <c r="A3136" i="1"/>
  <c r="D3135" i="1"/>
  <c r="A3135" i="1"/>
  <c r="D3134" i="1"/>
  <c r="A3134" i="1"/>
  <c r="D3133" i="1"/>
  <c r="A3133" i="1"/>
  <c r="D263" i="1"/>
  <c r="A263" i="1"/>
  <c r="D3132" i="1"/>
  <c r="A3132" i="1"/>
  <c r="D3131" i="1"/>
  <c r="A3131" i="1"/>
  <c r="D3130" i="1"/>
  <c r="A3130" i="1"/>
  <c r="D3129" i="1"/>
  <c r="A3129" i="1"/>
  <c r="D262" i="1"/>
  <c r="A262" i="1"/>
  <c r="D261" i="1"/>
  <c r="A261" i="1"/>
  <c r="D3128" i="1"/>
  <c r="A3128" i="1"/>
  <c r="D3127" i="1"/>
  <c r="A3127" i="1"/>
  <c r="D920" i="1"/>
  <c r="A920" i="1"/>
  <c r="D3126" i="1"/>
  <c r="A3126" i="1"/>
  <c r="D3125" i="1"/>
  <c r="A3125" i="1"/>
  <c r="D3124" i="1"/>
  <c r="A3124" i="1"/>
  <c r="D97" i="1"/>
  <c r="A97" i="1"/>
  <c r="D3123" i="1"/>
  <c r="A3123" i="1"/>
  <c r="D3122" i="1"/>
  <c r="A3122" i="1"/>
  <c r="D3121" i="1"/>
  <c r="A3121" i="1"/>
  <c r="D3120" i="1"/>
  <c r="A3120" i="1"/>
  <c r="D919" i="1"/>
  <c r="A919" i="1"/>
  <c r="D3119" i="1"/>
  <c r="A3119" i="1"/>
  <c r="D3118" i="1"/>
  <c r="A3118" i="1"/>
  <c r="D3117" i="1"/>
  <c r="A3117" i="1"/>
  <c r="D3116" i="1"/>
  <c r="A3116" i="1"/>
  <c r="D3115" i="1"/>
  <c r="A3115" i="1"/>
  <c r="D3114" i="1"/>
  <c r="A3114" i="1"/>
  <c r="D3113" i="1"/>
  <c r="A3113" i="1"/>
  <c r="D5879" i="1"/>
  <c r="A5879" i="1"/>
  <c r="D260" i="1"/>
  <c r="A260" i="1"/>
  <c r="D3112" i="1"/>
  <c r="A3112" i="1"/>
  <c r="D259" i="1"/>
  <c r="A259" i="1"/>
  <c r="D918" i="1"/>
  <c r="A918" i="1"/>
  <c r="D3111" i="1"/>
  <c r="A3111" i="1"/>
  <c r="D258" i="1"/>
  <c r="A258" i="1"/>
  <c r="D3110" i="1"/>
  <c r="A3110" i="1"/>
  <c r="D917" i="1"/>
  <c r="A917" i="1"/>
  <c r="D3109" i="1"/>
  <c r="A3109" i="1"/>
  <c r="D3108" i="1"/>
  <c r="A3108" i="1"/>
  <c r="D3107" i="1"/>
  <c r="A3107" i="1"/>
  <c r="D3106" i="1"/>
  <c r="A3106" i="1"/>
  <c r="D3105" i="1"/>
  <c r="A3105" i="1"/>
  <c r="D257" i="1"/>
  <c r="A257" i="1"/>
  <c r="D3104" i="1"/>
  <c r="A3104" i="1"/>
  <c r="D256" i="1"/>
  <c r="A256" i="1"/>
  <c r="D3103" i="1"/>
  <c r="A3103" i="1"/>
  <c r="D3102" i="1"/>
  <c r="A3102" i="1"/>
  <c r="D3101" i="1"/>
  <c r="A3101" i="1"/>
  <c r="D3100" i="1"/>
  <c r="A3100" i="1"/>
  <c r="D5878" i="1"/>
  <c r="A5878" i="1"/>
  <c r="D255" i="1"/>
  <c r="A255" i="1"/>
  <c r="D254" i="1"/>
  <c r="A254" i="1"/>
  <c r="D3099" i="1"/>
  <c r="A3099" i="1"/>
  <c r="D253" i="1"/>
  <c r="A253" i="1"/>
  <c r="D3098" i="1"/>
  <c r="A3098" i="1"/>
  <c r="D252" i="1"/>
  <c r="A252" i="1"/>
  <c r="D3097" i="1"/>
  <c r="A3097" i="1"/>
  <c r="D3096" i="1"/>
  <c r="A3096" i="1"/>
  <c r="D3095" i="1"/>
  <c r="A3095" i="1"/>
  <c r="D251" i="1"/>
  <c r="A251" i="1"/>
  <c r="D3094" i="1"/>
  <c r="A3094" i="1"/>
  <c r="D250" i="1"/>
  <c r="A250" i="1"/>
  <c r="D249" i="1"/>
  <c r="A249" i="1"/>
  <c r="D3093" i="1"/>
  <c r="A3093" i="1"/>
  <c r="D3092" i="1"/>
  <c r="A3092" i="1"/>
  <c r="D248" i="1"/>
  <c r="A248" i="1"/>
  <c r="D916" i="1"/>
  <c r="A916" i="1"/>
  <c r="D3091" i="1"/>
  <c r="A3091" i="1"/>
  <c r="D3090" i="1"/>
  <c r="A3090" i="1"/>
  <c r="D3089" i="1"/>
  <c r="A3089" i="1"/>
  <c r="D247" i="1"/>
  <c r="A247" i="1"/>
  <c r="D3088" i="1"/>
  <c r="A3088" i="1"/>
  <c r="D3087" i="1"/>
  <c r="A3087" i="1"/>
  <c r="D3086" i="1"/>
  <c r="A3086" i="1"/>
  <c r="D5877" i="1"/>
  <c r="A5877" i="1"/>
  <c r="D246" i="1"/>
  <c r="A246" i="1"/>
  <c r="D3085" i="1"/>
  <c r="A3085" i="1"/>
  <c r="D3084" i="1"/>
  <c r="A3084" i="1"/>
  <c r="D915" i="1"/>
  <c r="A915" i="1"/>
  <c r="D3083" i="1"/>
  <c r="A3083" i="1"/>
  <c r="D3082" i="1"/>
  <c r="A3082" i="1"/>
  <c r="D3081" i="1"/>
  <c r="A3081" i="1"/>
  <c r="D3080" i="1"/>
  <c r="A3080" i="1"/>
  <c r="D3079" i="1"/>
  <c r="A3079" i="1"/>
  <c r="D3078" i="1"/>
  <c r="A3078" i="1"/>
  <c r="D3077" i="1"/>
  <c r="A3077" i="1"/>
  <c r="D3076" i="1"/>
  <c r="A3076" i="1"/>
  <c r="D3075" i="1"/>
  <c r="A3075" i="1"/>
  <c r="D3074" i="1"/>
  <c r="A3074" i="1"/>
  <c r="D3073" i="1"/>
  <c r="A3073" i="1"/>
  <c r="D914" i="1"/>
  <c r="A914" i="1"/>
  <c r="D5876" i="1"/>
  <c r="A5876" i="1"/>
  <c r="D245" i="1"/>
  <c r="A245" i="1"/>
  <c r="D244" i="1"/>
  <c r="A244" i="1"/>
  <c r="D3072" i="1"/>
  <c r="A3072" i="1"/>
  <c r="D3071" i="1"/>
  <c r="A3071" i="1"/>
  <c r="D3070" i="1"/>
  <c r="A3070" i="1"/>
  <c r="D913" i="1"/>
  <c r="A913" i="1"/>
  <c r="D3069" i="1"/>
  <c r="A3069" i="1"/>
  <c r="D3068" i="1"/>
  <c r="A3068" i="1"/>
  <c r="D243" i="1"/>
  <c r="A243" i="1"/>
  <c r="D3067" i="1"/>
  <c r="A3067" i="1"/>
  <c r="D3066" i="1"/>
  <c r="A3066" i="1"/>
  <c r="D3065" i="1"/>
  <c r="A3065" i="1"/>
  <c r="D3064" i="1"/>
  <c r="A3064" i="1"/>
  <c r="D3063" i="1"/>
  <c r="A3063" i="1"/>
  <c r="D242" i="1"/>
  <c r="A242" i="1"/>
  <c r="D241" i="1"/>
  <c r="A241" i="1"/>
  <c r="D3062" i="1"/>
  <c r="A3062" i="1"/>
  <c r="D3061" i="1"/>
  <c r="A3061" i="1"/>
  <c r="D3060" i="1"/>
  <c r="A3060" i="1"/>
  <c r="D3059" i="1"/>
  <c r="A3059" i="1"/>
  <c r="D3058" i="1"/>
  <c r="A3058" i="1"/>
  <c r="D3057" i="1"/>
  <c r="A3057" i="1"/>
  <c r="D240" i="1"/>
  <c r="A240" i="1"/>
  <c r="D239" i="1"/>
  <c r="A239" i="1"/>
  <c r="D238" i="1"/>
  <c r="A238" i="1"/>
  <c r="D3056" i="1"/>
  <c r="A3056" i="1"/>
  <c r="D237" i="1"/>
  <c r="A237" i="1"/>
  <c r="D3055" i="1"/>
  <c r="A3055" i="1"/>
  <c r="D912" i="1"/>
  <c r="A912" i="1"/>
  <c r="D3054" i="1"/>
  <c r="A3054" i="1"/>
  <c r="D236" i="1"/>
  <c r="A236" i="1"/>
  <c r="D3053" i="1"/>
  <c r="A3053" i="1"/>
  <c r="D911" i="1"/>
  <c r="A911" i="1"/>
  <c r="D3052" i="1"/>
  <c r="A3052" i="1"/>
  <c r="D3051" i="1"/>
  <c r="A3051" i="1"/>
  <c r="D3050" i="1"/>
  <c r="A3050" i="1"/>
  <c r="D235" i="1"/>
  <c r="A235" i="1"/>
  <c r="D3049" i="1"/>
  <c r="A3049" i="1"/>
  <c r="D3048" i="1"/>
  <c r="A3048" i="1"/>
  <c r="D3047" i="1"/>
  <c r="A3047" i="1"/>
  <c r="D3046" i="1"/>
  <c r="A3046" i="1"/>
  <c r="D3045" i="1"/>
  <c r="A3045" i="1"/>
  <c r="D910" i="1"/>
  <c r="A910" i="1"/>
  <c r="D234" i="1"/>
  <c r="A234" i="1"/>
  <c r="D909" i="1"/>
  <c r="A909" i="1"/>
  <c r="D3044" i="1"/>
  <c r="A3044" i="1"/>
  <c r="D3043" i="1"/>
  <c r="A3043" i="1"/>
  <c r="D3042" i="1"/>
  <c r="A3042" i="1"/>
  <c r="D3041" i="1"/>
  <c r="A3041" i="1"/>
  <c r="D3040" i="1"/>
  <c r="A3040" i="1"/>
  <c r="D5875" i="1"/>
  <c r="A5875" i="1"/>
  <c r="D5874" i="1"/>
  <c r="A5874" i="1"/>
  <c r="D908" i="1"/>
  <c r="A908" i="1"/>
  <c r="D3039" i="1"/>
  <c r="A3039" i="1"/>
  <c r="D3038" i="1"/>
  <c r="A3038" i="1"/>
  <c r="D3037" i="1"/>
  <c r="A3037" i="1"/>
  <c r="D3036" i="1"/>
  <c r="A3036" i="1"/>
  <c r="D233" i="1"/>
  <c r="A233" i="1"/>
  <c r="D3035" i="1"/>
  <c r="A3035" i="1"/>
  <c r="D3034" i="1"/>
  <c r="A3034" i="1"/>
  <c r="D232" i="1"/>
  <c r="A232" i="1"/>
  <c r="D231" i="1"/>
  <c r="A231" i="1"/>
  <c r="D3033" i="1"/>
  <c r="A3033" i="1"/>
  <c r="D3032" i="1"/>
  <c r="A3032" i="1"/>
  <c r="D3031" i="1"/>
  <c r="A3031" i="1"/>
  <c r="D3030" i="1"/>
  <c r="A3030" i="1"/>
  <c r="D907" i="1"/>
  <c r="A907" i="1"/>
  <c r="D3029" i="1"/>
  <c r="A3029" i="1"/>
  <c r="D3028" i="1"/>
  <c r="A3028" i="1"/>
  <c r="D3027" i="1"/>
  <c r="A3027" i="1"/>
  <c r="D3026" i="1"/>
  <c r="A3026" i="1"/>
  <c r="D230" i="1"/>
  <c r="A230" i="1"/>
  <c r="D3025" i="1"/>
  <c r="A3025" i="1"/>
  <c r="D3024" i="1"/>
  <c r="A3024" i="1"/>
  <c r="D3023" i="1"/>
  <c r="A3023" i="1"/>
  <c r="D3022" i="1"/>
  <c r="A3022" i="1"/>
  <c r="D906" i="1"/>
  <c r="A906" i="1"/>
  <c r="D905" i="1"/>
  <c r="A905" i="1"/>
  <c r="D3021" i="1"/>
  <c r="A3021" i="1"/>
  <c r="D3020" i="1"/>
  <c r="A3020" i="1"/>
  <c r="D904" i="1"/>
  <c r="A904" i="1"/>
  <c r="D3019" i="1"/>
  <c r="A3019" i="1"/>
  <c r="D903" i="1"/>
  <c r="A903" i="1"/>
  <c r="D3018" i="1"/>
  <c r="A3018" i="1"/>
  <c r="D3017" i="1"/>
  <c r="A3017" i="1"/>
  <c r="D3016" i="1"/>
  <c r="A3016" i="1"/>
  <c r="D3015" i="1"/>
  <c r="A3015" i="1"/>
  <c r="D3014" i="1"/>
  <c r="A3014" i="1"/>
  <c r="D3013" i="1"/>
  <c r="A3013" i="1"/>
  <c r="D3012" i="1"/>
  <c r="A3012" i="1"/>
  <c r="D229" i="1"/>
  <c r="A229" i="1"/>
  <c r="D3011" i="1"/>
  <c r="A3011" i="1"/>
  <c r="D228" i="1"/>
  <c r="A228" i="1"/>
  <c r="D3010" i="1"/>
  <c r="A3010" i="1"/>
  <c r="D3009" i="1"/>
  <c r="A3009" i="1"/>
  <c r="D3008" i="1"/>
  <c r="A3008" i="1"/>
  <c r="D3007" i="1"/>
  <c r="A3007" i="1"/>
  <c r="D3006" i="1"/>
  <c r="A3006" i="1"/>
  <c r="D3005" i="1"/>
  <c r="A3005" i="1"/>
  <c r="D227" i="1"/>
  <c r="A227" i="1"/>
  <c r="D226" i="1"/>
  <c r="A226" i="1"/>
  <c r="D3004" i="1"/>
  <c r="A3004" i="1"/>
  <c r="D902" i="1"/>
  <c r="A902" i="1"/>
  <c r="D3003" i="1"/>
  <c r="A3003" i="1"/>
  <c r="D3002" i="1"/>
  <c r="A3002" i="1"/>
  <c r="D3001" i="1"/>
  <c r="A3001" i="1"/>
  <c r="D901" i="1"/>
  <c r="A901" i="1"/>
  <c r="D3000" i="1"/>
  <c r="A3000" i="1"/>
  <c r="D2999" i="1"/>
  <c r="A2999" i="1"/>
  <c r="D2998" i="1"/>
  <c r="A2998" i="1"/>
  <c r="D2997" i="1"/>
  <c r="A2997" i="1"/>
  <c r="D2996" i="1"/>
  <c r="A2996" i="1"/>
  <c r="D2995" i="1"/>
  <c r="A2995" i="1"/>
  <c r="D2994" i="1"/>
  <c r="A2994" i="1"/>
  <c r="D2993" i="1"/>
  <c r="A2993" i="1"/>
  <c r="D2992" i="1"/>
  <c r="A2992" i="1"/>
  <c r="D2991" i="1"/>
  <c r="A2991" i="1"/>
  <c r="D2990" i="1"/>
  <c r="A2990" i="1"/>
  <c r="D5873" i="1"/>
  <c r="A5873" i="1"/>
  <c r="D2989" i="1"/>
  <c r="A2989" i="1"/>
  <c r="D225" i="1"/>
  <c r="A225" i="1"/>
  <c r="D224" i="1"/>
  <c r="A224" i="1"/>
  <c r="D2988" i="1"/>
  <c r="A2988" i="1"/>
  <c r="D2987" i="1"/>
  <c r="A2987" i="1"/>
  <c r="D2986" i="1"/>
  <c r="A2986" i="1"/>
  <c r="D223" i="1"/>
  <c r="A223" i="1"/>
  <c r="D2985" i="1"/>
  <c r="A2985" i="1"/>
  <c r="D2984" i="1"/>
  <c r="A2984" i="1"/>
  <c r="D2983" i="1"/>
  <c r="A2983" i="1"/>
  <c r="D222" i="1"/>
  <c r="A222" i="1"/>
  <c r="D2982" i="1"/>
  <c r="A2982" i="1"/>
  <c r="D60" i="1"/>
  <c r="A60" i="1"/>
  <c r="D5872" i="1"/>
  <c r="A5872" i="1"/>
  <c r="D900" i="1"/>
  <c r="A900" i="1"/>
  <c r="D221" i="1"/>
  <c r="A221" i="1"/>
  <c r="D899" i="1"/>
  <c r="A899" i="1"/>
  <c r="D5871" i="1"/>
  <c r="A5871" i="1"/>
  <c r="D2981" i="1"/>
  <c r="A2981" i="1"/>
  <c r="D2980" i="1"/>
  <c r="A2980" i="1"/>
  <c r="D2979" i="1"/>
  <c r="A2979" i="1"/>
  <c r="D2978" i="1"/>
  <c r="A2978" i="1"/>
  <c r="D96" i="1"/>
  <c r="A96" i="1"/>
  <c r="D2977" i="1"/>
  <c r="A2977" i="1"/>
  <c r="D220" i="1"/>
  <c r="A220" i="1"/>
  <c r="D219" i="1"/>
  <c r="A219" i="1"/>
  <c r="D218" i="1"/>
  <c r="A218" i="1"/>
  <c r="D898" i="1"/>
  <c r="A898" i="1"/>
  <c r="D2976" i="1"/>
  <c r="A2976" i="1"/>
  <c r="D2975" i="1"/>
  <c r="A2975" i="1"/>
  <c r="D5870" i="1"/>
  <c r="A5870" i="1"/>
  <c r="D95" i="1"/>
  <c r="A95" i="1"/>
  <c r="D2974" i="1"/>
  <c r="A2974" i="1"/>
  <c r="D2973" i="1"/>
  <c r="A2973" i="1"/>
  <c r="D94" i="1"/>
  <c r="A94" i="1"/>
  <c r="D2972" i="1"/>
  <c r="A2972" i="1"/>
  <c r="D5869" i="1"/>
  <c r="A5869" i="1"/>
  <c r="D2971" i="1"/>
  <c r="A2971" i="1"/>
  <c r="D2970" i="1"/>
  <c r="A2970" i="1"/>
  <c r="D2969" i="1"/>
  <c r="A2969" i="1"/>
  <c r="D217" i="1"/>
  <c r="A217" i="1"/>
  <c r="D2968" i="1"/>
  <c r="A2968" i="1"/>
  <c r="D2967" i="1"/>
  <c r="A2967" i="1"/>
  <c r="D897" i="1"/>
  <c r="A897" i="1"/>
  <c r="D216" i="1"/>
  <c r="A216" i="1"/>
  <c r="D215" i="1"/>
  <c r="A215" i="1"/>
  <c r="D214" i="1"/>
  <c r="A214" i="1"/>
  <c r="D2966" i="1"/>
  <c r="A2966" i="1"/>
  <c r="D2965" i="1"/>
  <c r="A2965" i="1"/>
  <c r="D896" i="1"/>
  <c r="A896" i="1"/>
  <c r="D2964" i="1"/>
  <c r="A2964" i="1"/>
  <c r="D2963" i="1"/>
  <c r="A2963" i="1"/>
  <c r="D895" i="1"/>
  <c r="A895" i="1"/>
  <c r="D894" i="1"/>
  <c r="A894" i="1"/>
  <c r="D2962" i="1"/>
  <c r="A2962" i="1"/>
  <c r="D213" i="1"/>
  <c r="A213" i="1"/>
  <c r="D2961" i="1"/>
  <c r="A2961" i="1"/>
  <c r="D2960" i="1"/>
  <c r="A2960" i="1"/>
  <c r="D212" i="1"/>
  <c r="A212" i="1"/>
  <c r="D2959" i="1"/>
  <c r="A2959" i="1"/>
  <c r="D2958" i="1"/>
  <c r="A2958" i="1"/>
  <c r="D893" i="1"/>
  <c r="A893" i="1"/>
  <c r="D2957" i="1"/>
  <c r="A2957" i="1"/>
  <c r="D2956" i="1"/>
  <c r="A2956" i="1"/>
  <c r="D2955" i="1"/>
  <c r="A2955" i="1"/>
  <c r="D2954" i="1"/>
  <c r="A2954" i="1"/>
  <c r="D211" i="1"/>
  <c r="A211" i="1"/>
  <c r="D210" i="1"/>
  <c r="A210" i="1"/>
  <c r="D2953" i="1"/>
  <c r="A2953" i="1"/>
  <c r="D2952" i="1"/>
  <c r="A2952" i="1"/>
  <c r="D2951" i="1"/>
  <c r="A2951" i="1"/>
  <c r="D209" i="1"/>
  <c r="A209" i="1"/>
  <c r="D208" i="1"/>
  <c r="A208" i="1"/>
  <c r="D2950" i="1"/>
  <c r="A2950" i="1"/>
  <c r="D892" i="1"/>
  <c r="A892" i="1"/>
  <c r="D13774" i="1"/>
  <c r="A13774" i="1"/>
  <c r="D2949" i="1"/>
  <c r="A2949" i="1"/>
  <c r="D2948" i="1"/>
  <c r="A2948" i="1"/>
  <c r="D2947" i="1"/>
  <c r="A2947" i="1"/>
  <c r="D2946" i="1"/>
  <c r="A2946" i="1"/>
  <c r="D2945" i="1"/>
  <c r="A2945" i="1"/>
  <c r="D2944" i="1"/>
  <c r="A2944" i="1"/>
  <c r="D2943" i="1"/>
  <c r="A2943" i="1"/>
  <c r="D207" i="1"/>
  <c r="A207" i="1"/>
  <c r="D2942" i="1"/>
  <c r="A2942" i="1"/>
  <c r="D2941" i="1"/>
  <c r="A2941" i="1"/>
  <c r="D2940" i="1"/>
  <c r="A2940" i="1"/>
  <c r="D2939" i="1"/>
  <c r="A2939" i="1"/>
  <c r="D206" i="1"/>
  <c r="A206" i="1"/>
  <c r="D205" i="1"/>
  <c r="A205" i="1"/>
  <c r="D204" i="1"/>
  <c r="A204" i="1"/>
  <c r="D203" i="1"/>
  <c r="A203" i="1"/>
  <c r="D202" i="1"/>
  <c r="A202" i="1"/>
  <c r="D2938" i="1"/>
  <c r="A2938" i="1"/>
  <c r="D2937" i="1"/>
  <c r="A2937" i="1"/>
  <c r="D2936" i="1"/>
  <c r="A2936" i="1"/>
  <c r="D201" i="1"/>
  <c r="A201" i="1"/>
  <c r="D200" i="1"/>
  <c r="A200" i="1"/>
  <c r="D199" i="1"/>
  <c r="A199" i="1"/>
  <c r="D198" i="1"/>
  <c r="A198" i="1"/>
  <c r="D2935" i="1"/>
  <c r="A2935" i="1"/>
  <c r="D197" i="1"/>
  <c r="A197" i="1"/>
  <c r="D2934" i="1"/>
  <c r="A2934" i="1"/>
  <c r="D2933" i="1"/>
  <c r="A2933" i="1"/>
  <c r="D2932" i="1"/>
  <c r="A2932" i="1"/>
  <c r="D2931" i="1"/>
  <c r="A2931" i="1"/>
  <c r="D196" i="1"/>
  <c r="A196" i="1"/>
  <c r="D2930" i="1"/>
  <c r="A2930" i="1"/>
  <c r="D195" i="1"/>
  <c r="A195" i="1"/>
  <c r="D194" i="1"/>
  <c r="A194" i="1"/>
  <c r="D2929" i="1"/>
  <c r="A2929" i="1"/>
  <c r="D891" i="1"/>
  <c r="A891" i="1"/>
  <c r="D2928" i="1"/>
  <c r="A2928" i="1"/>
  <c r="D2927" i="1"/>
  <c r="A2927" i="1"/>
  <c r="D193" i="1"/>
  <c r="A193" i="1"/>
  <c r="D890" i="1"/>
  <c r="A890" i="1"/>
  <c r="D192" i="1"/>
  <c r="A192" i="1"/>
  <c r="D191" i="1"/>
  <c r="A191" i="1"/>
  <c r="D190" i="1"/>
  <c r="A190" i="1"/>
  <c r="D189" i="1"/>
  <c r="A189" i="1"/>
  <c r="D188" i="1"/>
  <c r="A188" i="1"/>
  <c r="D2926" i="1"/>
  <c r="A2926" i="1"/>
  <c r="D2925" i="1"/>
  <c r="A2925" i="1"/>
  <c r="D187" i="1"/>
  <c r="A187" i="1"/>
  <c r="D2924" i="1"/>
  <c r="A2924" i="1"/>
  <c r="D2923" i="1"/>
  <c r="A2923" i="1"/>
  <c r="D889" i="1"/>
  <c r="A889" i="1"/>
  <c r="D2922" i="1"/>
  <c r="A2922" i="1"/>
  <c r="D2921" i="1"/>
  <c r="A2921" i="1"/>
  <c r="D2920" i="1"/>
  <c r="A2920" i="1"/>
  <c r="D2919" i="1"/>
  <c r="A2919" i="1"/>
  <c r="D2918" i="1"/>
  <c r="A2918" i="1"/>
  <c r="D186" i="1"/>
  <c r="A186" i="1"/>
  <c r="D2917" i="1"/>
  <c r="A2917" i="1"/>
  <c r="D2916" i="1"/>
  <c r="A2916" i="1"/>
  <c r="D2915" i="1"/>
  <c r="A2915" i="1"/>
  <c r="D185" i="1"/>
  <c r="A185" i="1"/>
  <c r="D2914" i="1"/>
  <c r="A2914" i="1"/>
  <c r="D2913" i="1"/>
  <c r="A2913" i="1"/>
  <c r="D888" i="1"/>
  <c r="A888" i="1"/>
  <c r="D184" i="1"/>
  <c r="A184" i="1"/>
  <c r="D183" i="1"/>
  <c r="A183" i="1"/>
  <c r="D2912" i="1"/>
  <c r="A2912" i="1"/>
  <c r="D5868" i="1"/>
  <c r="A5868" i="1"/>
  <c r="D2911" i="1"/>
  <c r="A2911" i="1"/>
  <c r="D887" i="1"/>
  <c r="A887" i="1"/>
  <c r="D886" i="1"/>
  <c r="A886" i="1"/>
  <c r="D2910" i="1"/>
  <c r="A2910" i="1"/>
  <c r="D2909" i="1"/>
  <c r="A2909" i="1"/>
  <c r="D2908" i="1"/>
  <c r="A2908" i="1"/>
  <c r="D885" i="1"/>
  <c r="A885" i="1"/>
  <c r="D2907" i="1"/>
  <c r="A2907" i="1"/>
  <c r="D2906" i="1"/>
  <c r="A2906" i="1"/>
  <c r="D2905" i="1"/>
  <c r="A2905" i="1"/>
  <c r="D2904" i="1"/>
  <c r="A2904" i="1"/>
  <c r="D2903" i="1"/>
  <c r="A2903" i="1"/>
  <c r="D2902" i="1"/>
  <c r="A2902" i="1"/>
  <c r="D2901" i="1"/>
  <c r="A2901" i="1"/>
  <c r="D884" i="1"/>
  <c r="A884" i="1"/>
  <c r="D2900" i="1"/>
  <c r="A2900" i="1"/>
  <c r="D2899" i="1"/>
  <c r="A2899" i="1"/>
  <c r="D2898" i="1"/>
  <c r="A2898" i="1"/>
  <c r="D2897" i="1"/>
  <c r="A2897" i="1"/>
  <c r="D883" i="1"/>
  <c r="A883" i="1"/>
  <c r="D2896" i="1"/>
  <c r="A2896" i="1"/>
  <c r="D2895" i="1"/>
  <c r="A2895" i="1"/>
  <c r="D2894" i="1"/>
  <c r="A2894" i="1"/>
  <c r="D2893" i="1"/>
  <c r="A2893" i="1"/>
  <c r="D2892" i="1"/>
  <c r="A2892" i="1"/>
  <c r="D44" i="1"/>
  <c r="A44" i="1"/>
  <c r="D2891" i="1"/>
  <c r="A2891" i="1"/>
  <c r="D2890" i="1"/>
  <c r="A2890" i="1"/>
  <c r="D2889" i="1"/>
  <c r="A2889" i="1"/>
  <c r="D2888" i="1"/>
  <c r="A2888" i="1"/>
  <c r="D882" i="1"/>
  <c r="A882" i="1"/>
  <c r="D2887" i="1"/>
  <c r="A2887" i="1"/>
  <c r="D2886" i="1"/>
  <c r="A2886" i="1"/>
  <c r="D2885" i="1"/>
  <c r="A2885" i="1"/>
  <c r="D2884" i="1"/>
  <c r="A2884" i="1"/>
  <c r="D881" i="1"/>
  <c r="A881" i="1"/>
  <c r="D2883" i="1"/>
  <c r="A2883" i="1"/>
  <c r="D2882" i="1"/>
  <c r="A2882" i="1"/>
  <c r="D2881" i="1"/>
  <c r="A2881" i="1"/>
  <c r="D2880" i="1"/>
  <c r="A2880" i="1"/>
  <c r="D2879" i="1"/>
  <c r="A2879" i="1"/>
  <c r="D2878" i="1"/>
  <c r="A2878" i="1"/>
  <c r="D2877" i="1"/>
  <c r="A2877" i="1"/>
  <c r="D880" i="1"/>
  <c r="A880" i="1"/>
  <c r="D879" i="1"/>
  <c r="A879" i="1"/>
  <c r="D2876" i="1"/>
  <c r="A2876" i="1"/>
  <c r="D2875" i="1"/>
  <c r="A2875" i="1"/>
  <c r="D2874" i="1"/>
  <c r="A2874" i="1"/>
  <c r="D2873" i="1"/>
  <c r="A2873" i="1"/>
  <c r="D2872" i="1"/>
  <c r="A2872" i="1"/>
  <c r="D2871" i="1"/>
  <c r="A2871" i="1"/>
  <c r="D2870" i="1"/>
  <c r="A2870" i="1"/>
  <c r="D2869" i="1"/>
  <c r="A2869" i="1"/>
  <c r="D2868" i="1"/>
  <c r="A2868" i="1"/>
  <c r="D2867" i="1"/>
  <c r="A2867" i="1"/>
  <c r="D2866" i="1"/>
  <c r="A2866" i="1"/>
  <c r="D2865" i="1"/>
  <c r="A2865" i="1"/>
  <c r="D2864" i="1"/>
  <c r="A2864" i="1"/>
  <c r="D2863" i="1"/>
  <c r="A2863" i="1"/>
  <c r="D2862" i="1"/>
  <c r="A2862" i="1"/>
  <c r="D2861" i="1"/>
  <c r="A2861" i="1"/>
  <c r="D2860" i="1"/>
  <c r="A2860" i="1"/>
  <c r="D93" i="1"/>
  <c r="A93" i="1"/>
  <c r="D92" i="1"/>
  <c r="A92" i="1"/>
  <c r="D91" i="1"/>
  <c r="A91" i="1"/>
  <c r="D182" i="1"/>
  <c r="A182" i="1"/>
  <c r="D2859" i="1"/>
  <c r="A2859" i="1"/>
  <c r="D5867" i="1"/>
  <c r="A5867" i="1"/>
  <c r="D2858" i="1"/>
  <c r="A2858" i="1"/>
  <c r="D2857" i="1"/>
  <c r="A2857" i="1"/>
  <c r="D2856" i="1"/>
  <c r="A2856" i="1"/>
  <c r="D2855" i="1"/>
  <c r="A2855" i="1"/>
  <c r="D2854" i="1"/>
  <c r="A2854" i="1"/>
  <c r="D2853" i="1"/>
  <c r="A2853" i="1"/>
  <c r="D2852" i="1"/>
  <c r="A2852" i="1"/>
  <c r="D2851" i="1"/>
  <c r="A2851" i="1"/>
  <c r="D181" i="1"/>
  <c r="A181" i="1"/>
  <c r="D2850" i="1"/>
  <c r="A2850" i="1"/>
  <c r="D878" i="1"/>
  <c r="A878" i="1"/>
  <c r="D2849" i="1"/>
  <c r="A2849" i="1"/>
  <c r="D2848" i="1"/>
  <c r="A2848" i="1"/>
  <c r="D2847" i="1"/>
  <c r="A2847" i="1"/>
  <c r="D2846" i="1"/>
  <c r="A2846" i="1"/>
  <c r="D2845" i="1"/>
  <c r="A2845" i="1"/>
  <c r="D2844" i="1"/>
  <c r="A2844" i="1"/>
  <c r="D2843" i="1"/>
  <c r="A2843" i="1"/>
  <c r="D2842" i="1"/>
  <c r="A2842" i="1"/>
  <c r="D877" i="1"/>
  <c r="A877" i="1"/>
  <c r="D2841" i="1"/>
  <c r="A2841" i="1"/>
  <c r="D2840" i="1"/>
  <c r="A2840" i="1"/>
  <c r="D2839" i="1"/>
  <c r="A2839" i="1"/>
  <c r="D2838" i="1"/>
  <c r="A2838" i="1"/>
  <c r="D2837" i="1"/>
  <c r="A2837" i="1"/>
  <c r="D2836" i="1"/>
  <c r="A2836" i="1"/>
  <c r="D2835" i="1"/>
  <c r="A2835" i="1"/>
  <c r="D2834" i="1"/>
  <c r="A2834" i="1"/>
  <c r="D2833" i="1"/>
  <c r="A2833" i="1"/>
  <c r="D2832" i="1"/>
  <c r="A2832" i="1"/>
  <c r="D2831" i="1"/>
  <c r="A2831" i="1"/>
  <c r="D2830" i="1"/>
  <c r="A2830" i="1"/>
  <c r="D2829" i="1"/>
  <c r="A2829" i="1"/>
  <c r="D2828" i="1"/>
  <c r="A2828" i="1"/>
  <c r="D2827" i="1"/>
  <c r="A2827" i="1"/>
  <c r="D2826" i="1"/>
  <c r="A2826" i="1"/>
  <c r="D876" i="1"/>
  <c r="A876" i="1"/>
  <c r="D2825" i="1"/>
  <c r="A2825" i="1"/>
  <c r="D2824" i="1"/>
  <c r="A2824" i="1"/>
  <c r="D2823" i="1"/>
  <c r="A2823" i="1"/>
  <c r="D2822" i="1"/>
  <c r="A2822" i="1"/>
  <c r="D2821" i="1"/>
  <c r="A2821" i="1"/>
  <c r="D2820" i="1"/>
  <c r="A2820" i="1"/>
  <c r="D180" i="1"/>
  <c r="A180" i="1"/>
  <c r="D2819" i="1"/>
  <c r="A2819" i="1"/>
  <c r="D2818" i="1"/>
  <c r="A2818" i="1"/>
  <c r="D2817" i="1"/>
  <c r="A2817" i="1"/>
  <c r="D875" i="1"/>
  <c r="A875" i="1"/>
  <c r="D2816" i="1"/>
  <c r="A2816" i="1"/>
  <c r="D179" i="1"/>
  <c r="A179" i="1"/>
  <c r="D178" i="1"/>
  <c r="A178" i="1"/>
  <c r="D874" i="1"/>
  <c r="A874" i="1"/>
  <c r="D2815" i="1"/>
  <c r="A2815" i="1"/>
  <c r="D2814" i="1"/>
  <c r="A2814" i="1"/>
  <c r="D2813" i="1"/>
  <c r="A2813" i="1"/>
  <c r="D2812" i="1"/>
  <c r="A2812" i="1"/>
  <c r="D2811" i="1"/>
  <c r="A2811" i="1"/>
  <c r="D177" i="1"/>
  <c r="A177" i="1"/>
  <c r="D2810" i="1"/>
  <c r="A2810" i="1"/>
  <c r="D2809" i="1"/>
  <c r="A2809" i="1"/>
  <c r="D2808" i="1"/>
  <c r="A2808" i="1"/>
  <c r="D2807" i="1"/>
  <c r="A2807" i="1"/>
  <c r="D2806" i="1"/>
  <c r="A2806" i="1"/>
  <c r="D2805" i="1"/>
  <c r="A2805" i="1"/>
  <c r="D2804" i="1"/>
  <c r="A2804" i="1"/>
  <c r="D2803" i="1"/>
  <c r="A2803" i="1"/>
  <c r="D2802" i="1"/>
  <c r="A2802" i="1"/>
  <c r="D2801" i="1"/>
  <c r="A2801" i="1"/>
  <c r="D2800" i="1"/>
  <c r="A2800" i="1"/>
  <c r="D2799" i="1"/>
  <c r="A2799" i="1"/>
  <c r="D2798" i="1"/>
  <c r="A2798" i="1"/>
  <c r="D2797" i="1"/>
  <c r="A2797" i="1"/>
  <c r="D2796" i="1"/>
  <c r="A2796" i="1"/>
  <c r="D2795" i="1"/>
  <c r="A2795" i="1"/>
  <c r="D2794" i="1"/>
  <c r="A2794" i="1"/>
  <c r="D2793" i="1"/>
  <c r="A2793" i="1"/>
  <c r="D2792" i="1"/>
  <c r="A2792" i="1"/>
  <c r="D2791" i="1"/>
  <c r="A2791" i="1"/>
  <c r="D2790" i="1"/>
  <c r="A2790" i="1"/>
  <c r="D2789" i="1"/>
  <c r="A2789" i="1"/>
  <c r="D873" i="1"/>
  <c r="A873" i="1"/>
  <c r="D2788" i="1"/>
  <c r="A2788" i="1"/>
  <c r="D2787" i="1"/>
  <c r="A2787" i="1"/>
  <c r="D2786" i="1"/>
  <c r="A2786" i="1"/>
  <c r="D2785" i="1"/>
  <c r="A2785" i="1"/>
  <c r="D2784" i="1"/>
  <c r="A2784" i="1"/>
  <c r="D2783" i="1"/>
  <c r="A2783" i="1"/>
  <c r="D2782" i="1"/>
  <c r="A2782" i="1"/>
  <c r="D2781" i="1"/>
  <c r="A2781" i="1"/>
  <c r="D2780" i="1"/>
  <c r="A2780" i="1"/>
  <c r="D2779" i="1"/>
  <c r="A2779" i="1"/>
  <c r="D2778" i="1"/>
  <c r="A2778" i="1"/>
  <c r="D2777" i="1"/>
  <c r="A2777" i="1"/>
  <c r="D2776" i="1"/>
  <c r="A2776" i="1"/>
  <c r="D2775" i="1"/>
  <c r="A2775" i="1"/>
  <c r="D2774" i="1"/>
  <c r="A2774" i="1"/>
  <c r="D2773" i="1"/>
  <c r="A2773" i="1"/>
  <c r="D2772" i="1"/>
  <c r="A2772" i="1"/>
  <c r="D2771" i="1"/>
  <c r="A2771" i="1"/>
  <c r="D2770" i="1"/>
  <c r="A2770" i="1"/>
  <c r="D2769" i="1"/>
  <c r="A2769" i="1"/>
  <c r="D2768" i="1"/>
  <c r="A2768" i="1"/>
  <c r="D872" i="1"/>
  <c r="A872" i="1"/>
  <c r="D5866" i="1"/>
  <c r="A5866" i="1"/>
  <c r="D59" i="1"/>
  <c r="A59" i="1"/>
  <c r="D2767" i="1"/>
  <c r="A2767" i="1"/>
  <c r="D871" i="1"/>
  <c r="A871" i="1"/>
  <c r="D2766" i="1"/>
  <c r="A2766" i="1"/>
  <c r="D2765" i="1"/>
  <c r="A2765" i="1"/>
  <c r="D2764" i="1"/>
  <c r="A2764" i="1"/>
  <c r="D2763" i="1"/>
  <c r="A2763" i="1"/>
  <c r="D2762" i="1"/>
  <c r="A2762" i="1"/>
  <c r="D2761" i="1"/>
  <c r="A2761" i="1"/>
  <c r="D2760" i="1"/>
  <c r="A2760" i="1"/>
  <c r="D2759" i="1"/>
  <c r="A2759" i="1"/>
  <c r="D870" i="1"/>
  <c r="A870" i="1"/>
  <c r="D2758" i="1"/>
  <c r="A2758" i="1"/>
  <c r="D2757" i="1"/>
  <c r="A2757" i="1"/>
  <c r="D2756" i="1"/>
  <c r="A2756" i="1"/>
  <c r="D2755" i="1"/>
  <c r="A2755" i="1"/>
  <c r="D5865" i="1"/>
  <c r="A5865" i="1"/>
  <c r="D2754" i="1"/>
  <c r="A2754" i="1"/>
  <c r="D2753" i="1"/>
  <c r="A2753" i="1"/>
  <c r="D2752" i="1"/>
  <c r="A2752" i="1"/>
  <c r="D2751" i="1"/>
  <c r="A2751" i="1"/>
  <c r="D176" i="1"/>
  <c r="A176" i="1"/>
  <c r="D33" i="1"/>
  <c r="A33" i="1"/>
  <c r="D2750" i="1"/>
  <c r="A2750" i="1"/>
  <c r="D2749" i="1"/>
  <c r="A2749" i="1"/>
  <c r="D2748" i="1"/>
  <c r="A2748" i="1"/>
  <c r="D2747" i="1"/>
  <c r="A2747" i="1"/>
  <c r="D2746" i="1"/>
  <c r="A2746" i="1"/>
  <c r="D2745" i="1"/>
  <c r="A2745" i="1"/>
  <c r="D2744" i="1"/>
  <c r="A2744" i="1"/>
  <c r="D2743" i="1"/>
  <c r="A2743" i="1"/>
  <c r="D869" i="1"/>
  <c r="A869" i="1"/>
  <c r="D2742" i="1"/>
  <c r="A2742" i="1"/>
  <c r="D2741" i="1"/>
  <c r="A2741" i="1"/>
  <c r="D868" i="1"/>
  <c r="A868" i="1"/>
  <c r="D2740" i="1"/>
  <c r="A2740" i="1"/>
  <c r="D2739" i="1"/>
  <c r="A2739" i="1"/>
  <c r="D2738" i="1"/>
  <c r="A2738" i="1"/>
  <c r="D2737" i="1"/>
  <c r="A2737" i="1"/>
  <c r="D5864" i="1"/>
  <c r="A5864" i="1"/>
  <c r="D2736" i="1"/>
  <c r="A2736" i="1"/>
  <c r="D2735" i="1"/>
  <c r="A2735" i="1"/>
  <c r="D2734" i="1"/>
  <c r="A2734" i="1"/>
  <c r="D2733" i="1"/>
  <c r="A2733" i="1"/>
  <c r="D2732" i="1"/>
  <c r="A2732" i="1"/>
  <c r="D867" i="1"/>
  <c r="A867" i="1"/>
  <c r="D43" i="1"/>
  <c r="A43" i="1"/>
  <c r="D2731" i="1"/>
  <c r="A2731" i="1"/>
  <c r="D2730" i="1"/>
  <c r="A2730" i="1"/>
  <c r="D2729" i="1"/>
  <c r="A2729" i="1"/>
  <c r="D2728" i="1"/>
  <c r="A2728" i="1"/>
  <c r="D866" i="1"/>
  <c r="A866" i="1"/>
  <c r="D2727" i="1"/>
  <c r="A2727" i="1"/>
  <c r="D2726" i="1"/>
  <c r="A2726" i="1"/>
  <c r="D2725" i="1"/>
  <c r="A2725" i="1"/>
  <c r="D2724" i="1"/>
  <c r="A2724" i="1"/>
  <c r="D2723" i="1"/>
  <c r="A2723" i="1"/>
  <c r="D2722" i="1"/>
  <c r="A2722" i="1"/>
  <c r="D2721" i="1"/>
  <c r="A2721" i="1"/>
  <c r="D2720" i="1"/>
  <c r="A2720" i="1"/>
  <c r="D2719" i="1"/>
  <c r="A2719" i="1"/>
  <c r="D2718" i="1"/>
  <c r="A2718" i="1"/>
  <c r="D2717" i="1"/>
  <c r="A2717" i="1"/>
  <c r="D2716" i="1"/>
  <c r="A2716" i="1"/>
  <c r="D865" i="1"/>
  <c r="A865" i="1"/>
  <c r="D864" i="1"/>
  <c r="A864" i="1"/>
  <c r="D2715" i="1"/>
  <c r="A2715" i="1"/>
  <c r="D2714" i="1"/>
  <c r="A2714" i="1"/>
  <c r="D2713" i="1"/>
  <c r="A2713" i="1"/>
  <c r="D2712" i="1"/>
  <c r="A2712" i="1"/>
  <c r="D2711" i="1"/>
  <c r="A2711" i="1"/>
  <c r="D2710" i="1"/>
  <c r="A2710" i="1"/>
  <c r="D2709" i="1"/>
  <c r="A2709" i="1"/>
  <c r="D863" i="1"/>
  <c r="A863" i="1"/>
  <c r="D2708" i="1"/>
  <c r="A2708" i="1"/>
  <c r="D2707" i="1"/>
  <c r="A2707" i="1"/>
  <c r="D862" i="1"/>
  <c r="A862" i="1"/>
  <c r="D2706" i="1"/>
  <c r="A2706" i="1"/>
  <c r="D861" i="1"/>
  <c r="A861" i="1"/>
  <c r="D2705" i="1"/>
  <c r="A2705" i="1"/>
  <c r="D2704" i="1"/>
  <c r="A2704" i="1"/>
  <c r="D860" i="1"/>
  <c r="A860" i="1"/>
  <c r="D42" i="1"/>
  <c r="A42" i="1"/>
  <c r="D2703" i="1"/>
  <c r="A2703" i="1"/>
  <c r="D2702" i="1"/>
  <c r="A2702" i="1"/>
  <c r="D2701" i="1"/>
  <c r="A2701" i="1"/>
  <c r="D5863" i="1"/>
  <c r="A5863" i="1"/>
  <c r="D2700" i="1"/>
  <c r="A2700" i="1"/>
  <c r="D2699" i="1"/>
  <c r="A2699" i="1"/>
  <c r="D2698" i="1"/>
  <c r="A2698" i="1"/>
  <c r="D859" i="1"/>
  <c r="A859" i="1"/>
  <c r="D2697" i="1"/>
  <c r="A2697" i="1"/>
  <c r="D2696" i="1"/>
  <c r="A2696" i="1"/>
  <c r="D2695" i="1"/>
  <c r="A2695" i="1"/>
  <c r="D2694" i="1"/>
  <c r="A2694" i="1"/>
  <c r="D2693" i="1"/>
  <c r="A2693" i="1"/>
  <c r="D2692" i="1"/>
  <c r="A2692" i="1"/>
  <c r="D2691" i="1"/>
  <c r="A2691" i="1"/>
  <c r="D2690" i="1"/>
  <c r="A2690" i="1"/>
  <c r="D2689" i="1"/>
  <c r="A2689" i="1"/>
  <c r="D2688" i="1"/>
  <c r="A2688" i="1"/>
  <c r="D2687" i="1"/>
  <c r="A2687" i="1"/>
  <c r="D2686" i="1"/>
  <c r="A2686" i="1"/>
  <c r="D2685" i="1"/>
  <c r="A2685" i="1"/>
  <c r="D2684" i="1"/>
  <c r="A2684" i="1"/>
  <c r="D2683" i="1"/>
  <c r="A2683" i="1"/>
  <c r="D2682" i="1"/>
  <c r="A2682" i="1"/>
  <c r="D858" i="1"/>
  <c r="A858" i="1"/>
  <c r="D2681" i="1"/>
  <c r="A2681" i="1"/>
  <c r="D2680" i="1"/>
  <c r="A2680" i="1"/>
  <c r="D90" i="1"/>
  <c r="A90" i="1"/>
  <c r="D2679" i="1"/>
  <c r="A2679" i="1"/>
  <c r="D2678" i="1"/>
  <c r="A2678" i="1"/>
  <c r="D2677" i="1"/>
  <c r="A2677" i="1"/>
  <c r="D2676" i="1"/>
  <c r="A2676" i="1"/>
  <c r="D2675" i="1"/>
  <c r="A2675" i="1"/>
  <c r="D2674" i="1"/>
  <c r="A2674" i="1"/>
  <c r="D2673" i="1"/>
  <c r="A2673" i="1"/>
  <c r="D2672" i="1"/>
  <c r="A2672" i="1"/>
  <c r="D857" i="1"/>
  <c r="A857" i="1"/>
  <c r="D2671" i="1"/>
  <c r="A2671" i="1"/>
  <c r="D2670" i="1"/>
  <c r="A2670" i="1"/>
  <c r="D2669" i="1"/>
  <c r="A2669" i="1"/>
  <c r="D2668" i="1"/>
  <c r="A2668" i="1"/>
  <c r="D2667" i="1"/>
  <c r="A2667" i="1"/>
  <c r="D2666" i="1"/>
  <c r="A2666" i="1"/>
  <c r="D2665" i="1"/>
  <c r="A2665" i="1"/>
  <c r="D2664" i="1"/>
  <c r="A2664" i="1"/>
  <c r="D2663" i="1"/>
  <c r="A2663" i="1"/>
  <c r="D2662" i="1"/>
  <c r="A2662" i="1"/>
  <c r="D856" i="1"/>
  <c r="A856" i="1"/>
  <c r="D2661" i="1"/>
  <c r="A2661" i="1"/>
  <c r="D855" i="1"/>
  <c r="A855" i="1"/>
  <c r="D175" i="1"/>
  <c r="A175" i="1"/>
  <c r="D2660" i="1"/>
  <c r="A2660" i="1"/>
  <c r="D2659" i="1"/>
  <c r="A2659" i="1"/>
  <c r="D2658" i="1"/>
  <c r="A2658" i="1"/>
  <c r="D2657" i="1"/>
  <c r="A2657" i="1"/>
  <c r="D5862" i="1"/>
  <c r="A5862" i="1"/>
  <c r="D58" i="1"/>
  <c r="A58" i="1"/>
  <c r="D57" i="1"/>
  <c r="A57" i="1"/>
  <c r="D56" i="1"/>
  <c r="A56" i="1"/>
  <c r="D55" i="1"/>
  <c r="A55" i="1"/>
  <c r="D2656" i="1"/>
  <c r="A2656" i="1"/>
  <c r="D854" i="1"/>
  <c r="A854" i="1"/>
  <c r="D853" i="1"/>
  <c r="A853" i="1"/>
  <c r="D852" i="1"/>
  <c r="A852" i="1"/>
  <c r="D2655" i="1"/>
  <c r="A2655" i="1"/>
  <c r="D2654" i="1"/>
  <c r="A2654" i="1"/>
  <c r="D2653" i="1"/>
  <c r="A2653" i="1"/>
  <c r="D2652" i="1"/>
  <c r="A2652" i="1"/>
  <c r="D2651" i="1"/>
  <c r="A2651" i="1"/>
  <c r="D2650" i="1"/>
  <c r="A2650" i="1"/>
  <c r="D2649" i="1"/>
  <c r="A2649" i="1"/>
  <c r="D851" i="1"/>
  <c r="A851" i="1"/>
  <c r="D2648" i="1"/>
  <c r="A2648" i="1"/>
  <c r="D2647" i="1"/>
  <c r="A2647" i="1"/>
  <c r="D2646" i="1"/>
  <c r="A2646" i="1"/>
  <c r="D2645" i="1"/>
  <c r="A2645" i="1"/>
  <c r="D2644" i="1"/>
  <c r="A2644" i="1"/>
  <c r="D2643" i="1"/>
  <c r="A2643" i="1"/>
  <c r="D2642" i="1"/>
  <c r="A2642" i="1"/>
  <c r="D2641" i="1"/>
  <c r="A2641" i="1"/>
  <c r="D2640" i="1"/>
  <c r="A2640" i="1"/>
  <c r="D2639" i="1"/>
  <c r="A2639" i="1"/>
  <c r="D2638" i="1"/>
  <c r="A2638" i="1"/>
  <c r="D2637" i="1"/>
  <c r="A2637" i="1"/>
  <c r="D2636" i="1"/>
  <c r="A2636" i="1"/>
  <c r="D2635" i="1"/>
  <c r="A2635" i="1"/>
  <c r="D2634" i="1"/>
  <c r="A2634" i="1"/>
  <c r="D2633" i="1"/>
  <c r="A2633" i="1"/>
  <c r="D2632" i="1"/>
  <c r="A2632" i="1"/>
  <c r="D2631" i="1"/>
  <c r="A2631" i="1"/>
  <c r="D2630" i="1"/>
  <c r="A2630" i="1"/>
  <c r="D2629" i="1"/>
  <c r="A2629" i="1"/>
  <c r="D2628" i="1"/>
  <c r="A2628" i="1"/>
  <c r="D2627" i="1"/>
  <c r="A2627" i="1"/>
  <c r="D2626" i="1"/>
  <c r="A2626" i="1"/>
  <c r="D2625" i="1"/>
  <c r="A2625" i="1"/>
  <c r="D850" i="1"/>
  <c r="A850" i="1"/>
  <c r="D2624" i="1"/>
  <c r="A2624" i="1"/>
  <c r="D2623" i="1"/>
  <c r="A2623" i="1"/>
  <c r="D2622" i="1"/>
  <c r="A2622" i="1"/>
  <c r="D2621" i="1"/>
  <c r="A2621" i="1"/>
  <c r="D2620" i="1"/>
  <c r="A2620" i="1"/>
  <c r="D2619" i="1"/>
  <c r="A2619" i="1"/>
  <c r="D2618" i="1"/>
  <c r="A2618" i="1"/>
  <c r="D2617" i="1"/>
  <c r="A2617" i="1"/>
  <c r="D2616" i="1"/>
  <c r="A2616" i="1"/>
  <c r="D2615" i="1"/>
  <c r="A2615" i="1"/>
  <c r="D2614" i="1"/>
  <c r="A2614" i="1"/>
  <c r="D2613" i="1"/>
  <c r="A2613" i="1"/>
  <c r="D2612" i="1"/>
  <c r="A2612" i="1"/>
  <c r="D2611" i="1"/>
  <c r="A2611" i="1"/>
  <c r="D2610" i="1"/>
  <c r="A2610" i="1"/>
  <c r="D2609" i="1"/>
  <c r="A2609" i="1"/>
  <c r="D2608" i="1"/>
  <c r="A2608" i="1"/>
  <c r="D2607" i="1"/>
  <c r="A2607" i="1"/>
  <c r="D2606" i="1"/>
  <c r="A2606" i="1"/>
  <c r="D2605" i="1"/>
  <c r="A2605" i="1"/>
  <c r="D2604" i="1"/>
  <c r="A2604" i="1"/>
  <c r="D2603" i="1"/>
  <c r="A2603" i="1"/>
  <c r="D2602" i="1"/>
  <c r="A2602" i="1"/>
  <c r="D2601" i="1"/>
  <c r="A2601" i="1"/>
  <c r="D2600" i="1"/>
  <c r="A2600" i="1"/>
  <c r="D2599" i="1"/>
  <c r="A2599" i="1"/>
  <c r="D2598" i="1"/>
  <c r="A2598" i="1"/>
  <c r="D2597" i="1"/>
  <c r="A2597" i="1"/>
  <c r="D2596" i="1"/>
  <c r="A2596" i="1"/>
  <c r="D2595" i="1"/>
  <c r="A2595" i="1"/>
  <c r="D2594" i="1"/>
  <c r="A2594" i="1"/>
  <c r="D849" i="1"/>
  <c r="A849" i="1"/>
  <c r="D2593" i="1"/>
  <c r="A2593" i="1"/>
  <c r="D2592" i="1"/>
  <c r="A2592" i="1"/>
  <c r="D21" i="1"/>
  <c r="A21" i="1"/>
  <c r="D2591" i="1"/>
  <c r="A2591" i="1"/>
  <c r="D2590" i="1"/>
  <c r="A2590" i="1"/>
  <c r="D2589" i="1"/>
  <c r="A2589" i="1"/>
  <c r="D2588" i="1"/>
  <c r="A2588" i="1"/>
  <c r="D2587" i="1"/>
  <c r="A2587" i="1"/>
  <c r="D2586" i="1"/>
  <c r="A2586" i="1"/>
  <c r="D2585" i="1"/>
  <c r="A2585" i="1"/>
  <c r="D2584" i="1"/>
  <c r="A2584" i="1"/>
  <c r="D2583" i="1"/>
  <c r="A2583" i="1"/>
  <c r="D2582" i="1"/>
  <c r="A2582" i="1"/>
  <c r="D848" i="1"/>
  <c r="A848" i="1"/>
  <c r="D2581" i="1"/>
  <c r="A2581" i="1"/>
  <c r="D2580" i="1"/>
  <c r="A2580" i="1"/>
  <c r="D2579" i="1"/>
  <c r="A2579" i="1"/>
  <c r="D2578" i="1"/>
  <c r="A2578" i="1"/>
  <c r="D174" i="1"/>
  <c r="A174" i="1"/>
  <c r="D2577" i="1"/>
  <c r="A2577" i="1"/>
  <c r="D2576" i="1"/>
  <c r="A2576" i="1"/>
  <c r="D847" i="1"/>
  <c r="A847" i="1"/>
  <c r="D2575" i="1"/>
  <c r="A2575" i="1"/>
  <c r="D2574" i="1"/>
  <c r="A2574" i="1"/>
  <c r="D2573" i="1"/>
  <c r="A2573" i="1"/>
  <c r="D2572" i="1"/>
  <c r="A2572" i="1"/>
  <c r="D2571" i="1"/>
  <c r="A2571" i="1"/>
  <c r="D2570" i="1"/>
  <c r="A2570" i="1"/>
  <c r="D5861" i="1"/>
  <c r="A5861" i="1"/>
  <c r="D2569" i="1"/>
  <c r="A2569" i="1"/>
  <c r="D2568" i="1"/>
  <c r="A2568" i="1"/>
  <c r="D2567" i="1"/>
  <c r="A2567" i="1"/>
  <c r="D2566" i="1"/>
  <c r="A2566" i="1"/>
  <c r="D2565" i="1"/>
  <c r="A2565" i="1"/>
  <c r="D2564" i="1"/>
  <c r="A2564" i="1"/>
  <c r="D2563" i="1"/>
  <c r="A2563" i="1"/>
  <c r="D2562" i="1"/>
  <c r="A2562" i="1"/>
  <c r="D2561" i="1"/>
  <c r="A2561" i="1"/>
  <c r="D2560" i="1"/>
  <c r="A2560" i="1"/>
  <c r="D846" i="1"/>
  <c r="A846" i="1"/>
  <c r="D2559" i="1"/>
  <c r="A2559" i="1"/>
  <c r="D2558" i="1"/>
  <c r="A2558" i="1"/>
  <c r="D2557" i="1"/>
  <c r="A2557" i="1"/>
  <c r="D2556" i="1"/>
  <c r="A2556" i="1"/>
  <c r="D2555" i="1"/>
  <c r="A2555" i="1"/>
  <c r="D13773" i="1"/>
  <c r="A13773" i="1"/>
  <c r="D2554" i="1"/>
  <c r="A2554" i="1"/>
  <c r="D2553" i="1"/>
  <c r="A2553" i="1"/>
  <c r="D2552" i="1"/>
  <c r="A2552" i="1"/>
  <c r="D5860" i="1"/>
  <c r="A5860" i="1"/>
  <c r="D2551" i="1"/>
  <c r="A2551" i="1"/>
  <c r="D173" i="1"/>
  <c r="A173" i="1"/>
  <c r="D2550" i="1"/>
  <c r="A2550" i="1"/>
  <c r="D2549" i="1"/>
  <c r="A2549" i="1"/>
  <c r="D2548" i="1"/>
  <c r="A2548" i="1"/>
  <c r="D2547" i="1"/>
  <c r="A2547" i="1"/>
  <c r="D2546" i="1"/>
  <c r="A2546" i="1"/>
  <c r="D2545" i="1"/>
  <c r="A2545" i="1"/>
  <c r="D2544" i="1"/>
  <c r="A2544" i="1"/>
  <c r="D2543" i="1"/>
  <c r="A2543" i="1"/>
  <c r="D2542" i="1"/>
  <c r="A2542" i="1"/>
  <c r="D172" i="1"/>
  <c r="A172" i="1"/>
  <c r="D845" i="1"/>
  <c r="A845" i="1"/>
  <c r="D171" i="1"/>
  <c r="A171" i="1"/>
  <c r="D2541" i="1"/>
  <c r="A2541" i="1"/>
  <c r="D2540" i="1"/>
  <c r="A2540" i="1"/>
  <c r="D844" i="1"/>
  <c r="A844" i="1"/>
  <c r="D843" i="1"/>
  <c r="A843" i="1"/>
  <c r="D2539" i="1"/>
  <c r="A2539" i="1"/>
  <c r="D842" i="1"/>
  <c r="A842" i="1"/>
  <c r="D89" i="1"/>
  <c r="A89" i="1"/>
  <c r="D2538" i="1"/>
  <c r="A2538" i="1"/>
  <c r="D2537" i="1"/>
  <c r="A2537" i="1"/>
  <c r="D2536" i="1"/>
  <c r="A2536" i="1"/>
  <c r="D2535" i="1"/>
  <c r="A2535" i="1"/>
  <c r="D2534" i="1"/>
  <c r="A2534" i="1"/>
  <c r="D2533" i="1"/>
  <c r="A2533" i="1"/>
  <c r="D2532" i="1"/>
  <c r="A2532" i="1"/>
  <c r="D2531" i="1"/>
  <c r="A2531" i="1"/>
  <c r="D841" i="1"/>
  <c r="A841" i="1"/>
  <c r="D2530" i="1"/>
  <c r="A2530" i="1"/>
  <c r="D2529" i="1"/>
  <c r="A2529" i="1"/>
  <c r="D2528" i="1"/>
  <c r="A2528" i="1"/>
  <c r="D2527" i="1"/>
  <c r="A2527" i="1"/>
  <c r="D2526" i="1"/>
  <c r="A2526" i="1"/>
  <c r="D2525" i="1"/>
  <c r="A2525" i="1"/>
  <c r="D2524" i="1"/>
  <c r="A2524" i="1"/>
  <c r="D840" i="1"/>
  <c r="A840" i="1"/>
  <c r="D2523" i="1"/>
  <c r="A2523" i="1"/>
  <c r="D839" i="1"/>
  <c r="A839" i="1"/>
  <c r="D2522" i="1"/>
  <c r="A2522" i="1"/>
  <c r="D2521" i="1"/>
  <c r="A2521" i="1"/>
  <c r="D2520" i="1"/>
  <c r="A2520" i="1"/>
  <c r="D2519" i="1"/>
  <c r="A2519" i="1"/>
  <c r="D2518" i="1"/>
  <c r="A2518" i="1"/>
  <c r="D2517" i="1"/>
  <c r="A2517" i="1"/>
  <c r="D2516" i="1"/>
  <c r="A2516" i="1"/>
  <c r="D2515" i="1"/>
  <c r="A2515" i="1"/>
  <c r="D2514" i="1"/>
  <c r="A2514" i="1"/>
  <c r="D2513" i="1"/>
  <c r="A2513" i="1"/>
  <c r="D2512" i="1"/>
  <c r="A2512" i="1"/>
  <c r="D2511" i="1"/>
  <c r="A2511" i="1"/>
  <c r="D2510" i="1"/>
  <c r="A2510" i="1"/>
  <c r="D2509" i="1"/>
  <c r="A2509" i="1"/>
  <c r="D2508" i="1"/>
  <c r="A2508" i="1"/>
  <c r="D2507" i="1"/>
  <c r="A2507" i="1"/>
  <c r="D2506" i="1"/>
  <c r="A2506" i="1"/>
  <c r="D2505" i="1"/>
  <c r="A2505" i="1"/>
  <c r="D2504" i="1"/>
  <c r="A2504" i="1"/>
  <c r="D2503" i="1"/>
  <c r="A2503" i="1"/>
  <c r="D2502" i="1"/>
  <c r="A2502" i="1"/>
  <c r="D2501" i="1"/>
  <c r="A2501" i="1"/>
  <c r="D2500" i="1"/>
  <c r="A2500" i="1"/>
  <c r="D170" i="1"/>
  <c r="A170" i="1"/>
  <c r="D2499" i="1"/>
  <c r="A2499" i="1"/>
  <c r="D2498" i="1"/>
  <c r="A2498" i="1"/>
  <c r="D838" i="1"/>
  <c r="A838" i="1"/>
  <c r="D2497" i="1"/>
  <c r="A2497" i="1"/>
  <c r="D2496" i="1"/>
  <c r="A2496" i="1"/>
  <c r="D837" i="1"/>
  <c r="A837" i="1"/>
  <c r="D2495" i="1"/>
  <c r="A2495" i="1"/>
  <c r="D2494" i="1"/>
  <c r="A2494" i="1"/>
  <c r="D2493" i="1"/>
  <c r="A2493" i="1"/>
  <c r="D2492" i="1"/>
  <c r="A2492" i="1"/>
  <c r="D2491" i="1"/>
  <c r="A2491" i="1"/>
  <c r="D2490" i="1"/>
  <c r="A2490" i="1"/>
  <c r="D836" i="1"/>
  <c r="A836" i="1"/>
  <c r="D2489" i="1"/>
  <c r="A2489" i="1"/>
  <c r="D41" i="1"/>
  <c r="A41" i="1"/>
  <c r="D835" i="1"/>
  <c r="A835" i="1"/>
  <c r="D2488" i="1"/>
  <c r="A2488" i="1"/>
  <c r="D2487" i="1"/>
  <c r="A2487" i="1"/>
  <c r="D2486" i="1"/>
  <c r="A2486" i="1"/>
  <c r="D2485" i="1"/>
  <c r="A2485" i="1"/>
  <c r="D834" i="1"/>
  <c r="A834" i="1"/>
  <c r="D833" i="1"/>
  <c r="A833" i="1"/>
  <c r="D2484" i="1"/>
  <c r="A2484" i="1"/>
  <c r="D2483" i="1"/>
  <c r="A2483" i="1"/>
  <c r="D832" i="1"/>
  <c r="A832" i="1"/>
  <c r="D2482" i="1"/>
  <c r="A2482" i="1"/>
  <c r="D2481" i="1"/>
  <c r="A2481" i="1"/>
  <c r="D2480" i="1"/>
  <c r="A2480" i="1"/>
  <c r="D831" i="1"/>
  <c r="A831" i="1"/>
  <c r="D2479" i="1"/>
  <c r="A2479" i="1"/>
  <c r="D2478" i="1"/>
  <c r="A2478" i="1"/>
  <c r="D2477" i="1"/>
  <c r="A2477" i="1"/>
  <c r="D2476" i="1"/>
  <c r="A2476" i="1"/>
  <c r="D88" i="1"/>
  <c r="A88" i="1"/>
  <c r="D2475" i="1"/>
  <c r="A2475" i="1"/>
  <c r="D2474" i="1"/>
  <c r="A2474" i="1"/>
  <c r="D2473" i="1"/>
  <c r="A2473" i="1"/>
  <c r="D2472" i="1"/>
  <c r="A2472" i="1"/>
  <c r="D2471" i="1"/>
  <c r="A2471" i="1"/>
  <c r="D2470" i="1"/>
  <c r="A2470" i="1"/>
  <c r="D2469" i="1"/>
  <c r="A2469" i="1"/>
  <c r="D169" i="1"/>
  <c r="A169" i="1"/>
  <c r="D2468" i="1"/>
  <c r="A2468" i="1"/>
  <c r="D2467" i="1"/>
  <c r="A2467" i="1"/>
  <c r="D2466" i="1"/>
  <c r="A2466" i="1"/>
  <c r="D2465" i="1"/>
  <c r="A2465" i="1"/>
  <c r="D2464" i="1"/>
  <c r="A2464" i="1"/>
  <c r="D2463" i="1"/>
  <c r="A2463" i="1"/>
  <c r="D2462" i="1"/>
  <c r="A2462" i="1"/>
  <c r="D2461" i="1"/>
  <c r="A2461" i="1"/>
  <c r="D2460" i="1"/>
  <c r="A2460" i="1"/>
  <c r="D830" i="1"/>
  <c r="A830" i="1"/>
  <c r="D2459" i="1"/>
  <c r="A2459" i="1"/>
  <c r="D2458" i="1"/>
  <c r="A2458" i="1"/>
  <c r="D2457" i="1"/>
  <c r="A2457" i="1"/>
  <c r="D2456" i="1"/>
  <c r="A2456" i="1"/>
  <c r="D2455" i="1"/>
  <c r="A2455" i="1"/>
  <c r="D2454" i="1"/>
  <c r="A2454" i="1"/>
  <c r="D2453" i="1"/>
  <c r="A2453" i="1"/>
  <c r="D168" i="1"/>
  <c r="A168" i="1"/>
  <c r="D829" i="1"/>
  <c r="A829" i="1"/>
  <c r="D2452" i="1"/>
  <c r="A2452" i="1"/>
  <c r="D2451" i="1"/>
  <c r="A2451" i="1"/>
  <c r="D167" i="1"/>
  <c r="A167" i="1"/>
  <c r="D2450" i="1"/>
  <c r="A2450" i="1"/>
  <c r="D2449" i="1"/>
  <c r="A2449" i="1"/>
  <c r="D2448" i="1"/>
  <c r="A2448" i="1"/>
  <c r="D2447" i="1"/>
  <c r="A2447" i="1"/>
  <c r="D828" i="1"/>
  <c r="A828" i="1"/>
  <c r="D2446" i="1"/>
  <c r="A2446" i="1"/>
  <c r="D827" i="1"/>
  <c r="A827" i="1"/>
  <c r="D2445" i="1"/>
  <c r="A2445" i="1"/>
  <c r="D826" i="1"/>
  <c r="A826" i="1"/>
  <c r="D2444" i="1"/>
  <c r="A2444" i="1"/>
  <c r="D2443" i="1"/>
  <c r="A2443" i="1"/>
  <c r="D2442" i="1"/>
  <c r="A2442" i="1"/>
  <c r="D2441" i="1"/>
  <c r="A2441" i="1"/>
  <c r="D2440" i="1"/>
  <c r="A2440" i="1"/>
  <c r="D2439" i="1"/>
  <c r="A2439" i="1"/>
  <c r="D2438" i="1"/>
  <c r="A2438" i="1"/>
  <c r="D2437" i="1"/>
  <c r="A2437" i="1"/>
  <c r="D2436" i="1"/>
  <c r="A2436" i="1"/>
  <c r="D2435" i="1"/>
  <c r="A2435" i="1"/>
  <c r="D2434" i="1"/>
  <c r="A2434" i="1"/>
  <c r="D2433" i="1"/>
  <c r="A2433" i="1"/>
  <c r="D40" i="1"/>
  <c r="A40" i="1"/>
  <c r="D166" i="1"/>
  <c r="A166" i="1"/>
  <c r="D2432" i="1"/>
  <c r="A2432" i="1"/>
  <c r="D2431" i="1"/>
  <c r="A2431" i="1"/>
  <c r="D2430" i="1"/>
  <c r="A2430" i="1"/>
  <c r="D2429" i="1"/>
  <c r="A2429" i="1"/>
  <c r="D2428" i="1"/>
  <c r="A2428" i="1"/>
  <c r="D825" i="1"/>
  <c r="A825" i="1"/>
  <c r="D87" i="1"/>
  <c r="A87" i="1"/>
  <c r="D2427" i="1"/>
  <c r="A2427" i="1"/>
  <c r="D2426" i="1"/>
  <c r="A2426" i="1"/>
  <c r="D2425" i="1"/>
  <c r="A2425" i="1"/>
  <c r="D2424" i="1"/>
  <c r="A2424" i="1"/>
  <c r="D2423" i="1"/>
  <c r="A2423" i="1"/>
  <c r="D2422" i="1"/>
  <c r="A2422" i="1"/>
  <c r="D2421" i="1"/>
  <c r="A2421" i="1"/>
  <c r="D2420" i="1"/>
  <c r="A2420" i="1"/>
  <c r="D2419" i="1"/>
  <c r="A2419" i="1"/>
  <c r="D2418" i="1"/>
  <c r="A2418" i="1"/>
  <c r="D2417" i="1"/>
  <c r="A2417" i="1"/>
  <c r="D2416" i="1"/>
  <c r="A2416" i="1"/>
  <c r="D2415" i="1"/>
  <c r="A2415" i="1"/>
  <c r="D2414" i="1"/>
  <c r="A2414" i="1"/>
  <c r="D2413" i="1"/>
  <c r="A2413" i="1"/>
  <c r="D2412" i="1"/>
  <c r="A2412" i="1"/>
  <c r="D2411" i="1"/>
  <c r="A2411" i="1"/>
  <c r="D2410" i="1"/>
  <c r="A2410" i="1"/>
  <c r="D165" i="1"/>
  <c r="A165" i="1"/>
  <c r="D2409" i="1"/>
  <c r="A2409" i="1"/>
  <c r="D2408" i="1"/>
  <c r="A2408" i="1"/>
  <c r="D2407" i="1"/>
  <c r="A2407" i="1"/>
  <c r="D2406" i="1"/>
  <c r="A2406" i="1"/>
  <c r="D2405" i="1"/>
  <c r="A2405" i="1"/>
  <c r="D2404" i="1"/>
  <c r="A2404" i="1"/>
  <c r="D2403" i="1"/>
  <c r="A2403" i="1"/>
  <c r="D2402" i="1"/>
  <c r="A2402" i="1"/>
  <c r="D2401" i="1"/>
  <c r="A2401" i="1"/>
  <c r="D2400" i="1"/>
  <c r="A2400" i="1"/>
  <c r="D2399" i="1"/>
  <c r="A2399" i="1"/>
  <c r="D2398" i="1"/>
  <c r="A2398" i="1"/>
  <c r="D2397" i="1"/>
  <c r="A2397" i="1"/>
  <c r="D2396" i="1"/>
  <c r="A2396" i="1"/>
  <c r="D2395" i="1"/>
  <c r="A2395" i="1"/>
  <c r="D2394" i="1"/>
  <c r="A2394" i="1"/>
  <c r="D2393" i="1"/>
  <c r="A2393" i="1"/>
  <c r="D2392" i="1"/>
  <c r="A2392" i="1"/>
  <c r="D2391" i="1"/>
  <c r="A2391" i="1"/>
  <c r="D2390" i="1"/>
  <c r="A2390" i="1"/>
  <c r="D2389" i="1"/>
  <c r="A2389" i="1"/>
  <c r="D2388" i="1"/>
  <c r="A2388" i="1"/>
  <c r="D2387" i="1"/>
  <c r="A2387" i="1"/>
  <c r="D2386" i="1"/>
  <c r="A2386" i="1"/>
  <c r="D2385" i="1"/>
  <c r="A2385" i="1"/>
  <c r="D2384" i="1"/>
  <c r="A2384" i="1"/>
  <c r="D2383" i="1"/>
  <c r="A2383" i="1"/>
  <c r="D2382" i="1"/>
  <c r="A2382" i="1"/>
  <c r="D2381" i="1"/>
  <c r="A2381" i="1"/>
  <c r="D2380" i="1"/>
  <c r="A2380" i="1"/>
  <c r="D2379" i="1"/>
  <c r="A2379" i="1"/>
  <c r="D164" i="1"/>
  <c r="A164" i="1"/>
  <c r="D2378" i="1"/>
  <c r="A2378" i="1"/>
  <c r="D824" i="1"/>
  <c r="A824" i="1"/>
  <c r="D2377" i="1"/>
  <c r="A2377" i="1"/>
  <c r="D2376" i="1"/>
  <c r="A2376" i="1"/>
  <c r="D2375" i="1"/>
  <c r="A2375" i="1"/>
  <c r="D2374" i="1"/>
  <c r="A2374" i="1"/>
  <c r="D2373" i="1"/>
  <c r="A2373" i="1"/>
  <c r="D2372" i="1"/>
  <c r="A2372" i="1"/>
  <c r="D2371" i="1"/>
  <c r="A2371" i="1"/>
  <c r="D2370" i="1"/>
  <c r="A2370" i="1"/>
  <c r="D2369" i="1"/>
  <c r="A2369" i="1"/>
  <c r="D2368" i="1"/>
  <c r="A2368" i="1"/>
  <c r="D2367" i="1"/>
  <c r="A2367" i="1"/>
  <c r="D823" i="1"/>
  <c r="A823" i="1"/>
  <c r="D2366" i="1"/>
  <c r="A2366" i="1"/>
  <c r="D2365" i="1"/>
  <c r="A2365" i="1"/>
  <c r="D2364" i="1"/>
  <c r="A2364" i="1"/>
  <c r="D2363" i="1"/>
  <c r="A2363" i="1"/>
  <c r="D2362" i="1"/>
  <c r="A2362" i="1"/>
  <c r="D2361" i="1"/>
  <c r="A2361" i="1"/>
  <c r="D822" i="1"/>
  <c r="A822" i="1"/>
  <c r="D821" i="1"/>
  <c r="A821" i="1"/>
  <c r="D2360" i="1"/>
  <c r="A2360" i="1"/>
  <c r="D2359" i="1"/>
  <c r="A2359" i="1"/>
  <c r="D2358" i="1"/>
  <c r="A2358" i="1"/>
  <c r="D2357" i="1"/>
  <c r="A2357" i="1"/>
  <c r="D2356" i="1"/>
  <c r="A2356" i="1"/>
  <c r="D2355" i="1"/>
  <c r="A2355" i="1"/>
  <c r="D2354" i="1"/>
  <c r="A2354" i="1"/>
  <c r="D2353" i="1"/>
  <c r="A2353" i="1"/>
  <c r="D2352" i="1"/>
  <c r="A2352" i="1"/>
  <c r="D163" i="1"/>
  <c r="A163" i="1"/>
  <c r="D2351" i="1"/>
  <c r="A2351" i="1"/>
  <c r="D2350" i="1"/>
  <c r="A2350" i="1"/>
  <c r="D2349" i="1"/>
  <c r="A2349" i="1"/>
  <c r="D2348" i="1"/>
  <c r="A2348" i="1"/>
  <c r="D2347" i="1"/>
  <c r="A2347" i="1"/>
  <c r="D2346" i="1"/>
  <c r="A2346" i="1"/>
  <c r="D2345" i="1"/>
  <c r="A2345" i="1"/>
  <c r="D2344" i="1"/>
  <c r="A2344" i="1"/>
  <c r="D2343" i="1"/>
  <c r="A2343" i="1"/>
  <c r="D2342" i="1"/>
  <c r="A2342" i="1"/>
  <c r="D2341" i="1"/>
  <c r="A2341" i="1"/>
  <c r="D2340" i="1"/>
  <c r="A2340" i="1"/>
  <c r="D2339" i="1"/>
  <c r="A2339" i="1"/>
  <c r="D820" i="1"/>
  <c r="A820" i="1"/>
  <c r="D2338" i="1"/>
  <c r="A2338" i="1"/>
  <c r="D2337" i="1"/>
  <c r="A2337" i="1"/>
  <c r="D2336" i="1"/>
  <c r="A2336" i="1"/>
  <c r="D5859" i="1"/>
  <c r="A5859" i="1"/>
  <c r="D2335" i="1"/>
  <c r="A2335" i="1"/>
  <c r="D2334" i="1"/>
  <c r="A2334" i="1"/>
  <c r="D162" i="1"/>
  <c r="A162" i="1"/>
  <c r="D2333" i="1"/>
  <c r="A2333" i="1"/>
  <c r="D2332" i="1"/>
  <c r="A2332" i="1"/>
  <c r="D2331" i="1"/>
  <c r="A2331" i="1"/>
  <c r="D2330" i="1"/>
  <c r="A2330" i="1"/>
  <c r="D2329" i="1"/>
  <c r="A2329" i="1"/>
  <c r="D2328" i="1"/>
  <c r="A2328" i="1"/>
  <c r="D2327" i="1"/>
  <c r="A2327" i="1"/>
  <c r="D2326" i="1"/>
  <c r="A2326" i="1"/>
  <c r="D161" i="1"/>
  <c r="A161" i="1"/>
  <c r="D2325" i="1"/>
  <c r="A2325" i="1"/>
  <c r="D2324" i="1"/>
  <c r="A2324" i="1"/>
  <c r="D2323" i="1"/>
  <c r="A2323" i="1"/>
  <c r="D2322" i="1"/>
  <c r="A2322" i="1"/>
  <c r="D2321" i="1"/>
  <c r="A2321" i="1"/>
  <c r="D2320" i="1"/>
  <c r="A2320" i="1"/>
  <c r="D2319" i="1"/>
  <c r="A2319" i="1"/>
  <c r="D2318" i="1"/>
  <c r="A2318" i="1"/>
  <c r="D2317" i="1"/>
  <c r="A2317" i="1"/>
  <c r="D2316" i="1"/>
  <c r="A2316" i="1"/>
  <c r="D2315" i="1"/>
  <c r="A2315" i="1"/>
  <c r="D86" i="1"/>
  <c r="A86" i="1"/>
  <c r="D2314" i="1"/>
  <c r="A2314" i="1"/>
  <c r="D819" i="1"/>
  <c r="A819" i="1"/>
  <c r="D2313" i="1"/>
  <c r="A2313" i="1"/>
  <c r="D2312" i="1"/>
  <c r="A2312" i="1"/>
  <c r="D19" i="1"/>
  <c r="A19" i="1"/>
  <c r="D2311" i="1"/>
  <c r="A2311" i="1"/>
  <c r="D2310" i="1"/>
  <c r="A2310" i="1"/>
  <c r="D2309" i="1"/>
  <c r="A2309" i="1"/>
  <c r="D2308" i="1"/>
  <c r="A2308" i="1"/>
  <c r="D2307" i="1"/>
  <c r="A2307" i="1"/>
  <c r="D2306" i="1"/>
  <c r="A2306" i="1"/>
  <c r="D2305" i="1"/>
  <c r="A2305" i="1"/>
  <c r="D2304" i="1"/>
  <c r="A2304" i="1"/>
  <c r="D2303" i="1"/>
  <c r="A2303" i="1"/>
  <c r="D2302" i="1"/>
  <c r="A2302" i="1"/>
  <c r="D2301" i="1"/>
  <c r="A2301" i="1"/>
  <c r="D2300" i="1"/>
  <c r="A2300" i="1"/>
  <c r="D2299" i="1"/>
  <c r="A2299" i="1"/>
  <c r="D2298" i="1"/>
  <c r="A2298" i="1"/>
  <c r="D2297" i="1"/>
  <c r="A2297" i="1"/>
  <c r="D2296" i="1"/>
  <c r="A2296" i="1"/>
  <c r="D818" i="1"/>
  <c r="A818" i="1"/>
  <c r="D2295" i="1"/>
  <c r="A2295" i="1"/>
  <c r="D5858" i="1"/>
  <c r="A5858" i="1"/>
  <c r="D817" i="1"/>
  <c r="A817" i="1"/>
  <c r="D816" i="1"/>
  <c r="A816" i="1"/>
  <c r="D2294" i="1"/>
  <c r="A2294" i="1"/>
  <c r="D2293" i="1"/>
  <c r="A2293" i="1"/>
  <c r="D2292" i="1"/>
  <c r="A2292" i="1"/>
  <c r="D2291" i="1"/>
  <c r="A2291" i="1"/>
  <c r="D2290" i="1"/>
  <c r="A2290" i="1"/>
  <c r="D2289" i="1"/>
  <c r="A2289" i="1"/>
  <c r="D160" i="1"/>
  <c r="A160" i="1"/>
  <c r="D2288" i="1"/>
  <c r="A2288" i="1"/>
  <c r="D2287" i="1"/>
  <c r="A2287" i="1"/>
  <c r="D2286" i="1"/>
  <c r="A2286" i="1"/>
  <c r="D2285" i="1"/>
  <c r="A2285" i="1"/>
  <c r="D2284" i="1"/>
  <c r="A2284" i="1"/>
  <c r="D2283" i="1"/>
  <c r="A2283" i="1"/>
  <c r="D2282" i="1"/>
  <c r="A2282" i="1"/>
  <c r="D2281" i="1"/>
  <c r="A2281" i="1"/>
  <c r="D2280" i="1"/>
  <c r="A2280" i="1"/>
  <c r="D5857" i="1"/>
  <c r="A5857" i="1"/>
  <c r="D2279" i="1"/>
  <c r="A2279" i="1"/>
  <c r="D2278" i="1"/>
  <c r="A2278" i="1"/>
  <c r="D2277" i="1"/>
  <c r="A2277" i="1"/>
  <c r="D2276" i="1"/>
  <c r="A2276" i="1"/>
  <c r="D2275" i="1"/>
  <c r="A2275" i="1"/>
  <c r="D159" i="1"/>
  <c r="A159" i="1"/>
  <c r="D2274" i="1"/>
  <c r="A2274" i="1"/>
  <c r="D2273" i="1"/>
  <c r="A2273" i="1"/>
  <c r="D2272" i="1"/>
  <c r="A2272" i="1"/>
  <c r="D2271" i="1"/>
  <c r="A2271" i="1"/>
  <c r="D2270" i="1"/>
  <c r="A2270" i="1"/>
  <c r="D2269" i="1"/>
  <c r="A2269" i="1"/>
  <c r="D2268" i="1"/>
  <c r="A2268" i="1"/>
  <c r="D2267" i="1"/>
  <c r="A2267" i="1"/>
  <c r="D2266" i="1"/>
  <c r="A2266" i="1"/>
  <c r="D2265" i="1"/>
  <c r="A2265" i="1"/>
  <c r="D2264" i="1"/>
  <c r="A2264" i="1"/>
  <c r="D2263" i="1"/>
  <c r="A2263" i="1"/>
  <c r="D2262" i="1"/>
  <c r="A2262" i="1"/>
  <c r="D2261" i="1"/>
  <c r="A2261" i="1"/>
  <c r="D2260" i="1"/>
  <c r="A2260" i="1"/>
  <c r="D2259" i="1"/>
  <c r="A2259" i="1"/>
  <c r="D2258" i="1"/>
  <c r="A2258" i="1"/>
  <c r="D2257" i="1"/>
  <c r="A2257" i="1"/>
  <c r="D158" i="1"/>
  <c r="A158" i="1"/>
  <c r="D2256" i="1"/>
  <c r="A2256" i="1"/>
  <c r="D2255" i="1"/>
  <c r="A2255" i="1"/>
  <c r="D2254" i="1"/>
  <c r="A2254" i="1"/>
  <c r="D2253" i="1"/>
  <c r="A2253" i="1"/>
  <c r="D2252" i="1"/>
  <c r="A2252" i="1"/>
  <c r="D2251" i="1"/>
  <c r="A2251" i="1"/>
  <c r="D2250" i="1"/>
  <c r="A2250" i="1"/>
  <c r="D5856" i="1"/>
  <c r="A5856" i="1"/>
  <c r="D2249" i="1"/>
  <c r="A2249" i="1"/>
  <c r="D2248" i="1"/>
  <c r="A2248" i="1"/>
  <c r="D2247" i="1"/>
  <c r="A2247" i="1"/>
  <c r="D2246" i="1"/>
  <c r="A2246" i="1"/>
  <c r="D2245" i="1"/>
  <c r="A2245" i="1"/>
  <c r="D2244" i="1"/>
  <c r="A2244" i="1"/>
  <c r="D2243" i="1"/>
  <c r="A2243" i="1"/>
  <c r="D2242" i="1"/>
  <c r="A2242" i="1"/>
  <c r="D2241" i="1"/>
  <c r="A2241" i="1"/>
  <c r="D2240" i="1"/>
  <c r="A2240" i="1"/>
  <c r="D2239" i="1"/>
  <c r="A2239" i="1"/>
  <c r="D2238" i="1"/>
  <c r="A2238" i="1"/>
  <c r="D2237" i="1"/>
  <c r="A2237" i="1"/>
  <c r="D2236" i="1"/>
  <c r="A2236" i="1"/>
  <c r="D2235" i="1"/>
  <c r="A2235" i="1"/>
  <c r="D157" i="1"/>
  <c r="A157" i="1"/>
  <c r="D2234" i="1"/>
  <c r="A2234" i="1"/>
  <c r="D2233" i="1"/>
  <c r="A2233" i="1"/>
  <c r="D2232" i="1"/>
  <c r="A2232" i="1"/>
  <c r="D2231" i="1"/>
  <c r="A2231" i="1"/>
  <c r="D2230" i="1"/>
  <c r="A2230" i="1"/>
  <c r="D2229" i="1"/>
  <c r="A2229" i="1"/>
  <c r="D2228" i="1"/>
  <c r="A2228" i="1"/>
  <c r="D2227" i="1"/>
  <c r="A2227" i="1"/>
  <c r="D156" i="1"/>
  <c r="A156" i="1"/>
  <c r="D39" i="1"/>
  <c r="A39" i="1"/>
  <c r="D2226" i="1"/>
  <c r="A2226" i="1"/>
  <c r="D2225" i="1"/>
  <c r="A2225" i="1"/>
  <c r="D2224" i="1"/>
  <c r="A2224" i="1"/>
  <c r="D155" i="1"/>
  <c r="A155" i="1"/>
  <c r="D2223" i="1"/>
  <c r="A2223" i="1"/>
  <c r="D2222" i="1"/>
  <c r="A2222" i="1"/>
  <c r="D2221" i="1"/>
  <c r="A2221" i="1"/>
  <c r="D2220" i="1"/>
  <c r="A2220" i="1"/>
  <c r="D2219" i="1"/>
  <c r="A2219" i="1"/>
  <c r="D2218" i="1"/>
  <c r="A2218" i="1"/>
  <c r="D2217" i="1"/>
  <c r="A2217" i="1"/>
  <c r="D2216" i="1"/>
  <c r="A2216" i="1"/>
  <c r="D815" i="1"/>
  <c r="A815" i="1"/>
  <c r="D2215" i="1"/>
  <c r="A2215" i="1"/>
  <c r="D2214" i="1"/>
  <c r="A2214" i="1"/>
  <c r="D2213" i="1"/>
  <c r="A2213" i="1"/>
  <c r="D2212" i="1"/>
  <c r="A2212" i="1"/>
  <c r="D2211" i="1"/>
  <c r="A2211" i="1"/>
  <c r="D2210" i="1"/>
  <c r="A2210" i="1"/>
  <c r="D2209" i="1"/>
  <c r="A2209" i="1"/>
  <c r="D2208" i="1"/>
  <c r="A2208" i="1"/>
  <c r="D2207" i="1"/>
  <c r="A2207" i="1"/>
  <c r="D2206" i="1"/>
  <c r="A2206" i="1"/>
  <c r="D2205" i="1"/>
  <c r="A2205" i="1"/>
  <c r="D814" i="1"/>
  <c r="A814" i="1"/>
  <c r="D2204" i="1"/>
  <c r="A2204" i="1"/>
  <c r="D2203" i="1"/>
  <c r="A2203" i="1"/>
  <c r="D2202" i="1"/>
  <c r="A2202" i="1"/>
  <c r="D2201" i="1"/>
  <c r="A2201" i="1"/>
  <c r="D2200" i="1"/>
  <c r="A2200" i="1"/>
  <c r="D2199" i="1"/>
  <c r="A2199" i="1"/>
  <c r="D813" i="1"/>
  <c r="A813" i="1"/>
  <c r="D2198" i="1"/>
  <c r="A2198" i="1"/>
  <c r="D2197" i="1"/>
  <c r="A2197" i="1"/>
  <c r="D2196" i="1"/>
  <c r="A2196" i="1"/>
  <c r="D2195" i="1"/>
  <c r="A2195" i="1"/>
  <c r="D2194" i="1"/>
  <c r="A2194" i="1"/>
  <c r="D2193" i="1"/>
  <c r="A2193" i="1"/>
  <c r="D2192" i="1"/>
  <c r="A2192" i="1"/>
  <c r="D2191" i="1"/>
  <c r="A2191" i="1"/>
  <c r="D2190" i="1"/>
  <c r="A2190" i="1"/>
  <c r="D2189" i="1"/>
  <c r="A2189" i="1"/>
  <c r="D2188" i="1"/>
  <c r="A2188" i="1"/>
  <c r="D2187" i="1"/>
  <c r="A2187" i="1"/>
  <c r="D2186" i="1"/>
  <c r="A2186" i="1"/>
  <c r="D2185" i="1"/>
  <c r="A2185" i="1"/>
  <c r="D2184" i="1"/>
  <c r="A2184" i="1"/>
  <c r="D812" i="1"/>
  <c r="A812" i="1"/>
  <c r="D811" i="1"/>
  <c r="A811" i="1"/>
  <c r="D2183" i="1"/>
  <c r="A2183" i="1"/>
  <c r="D2182" i="1"/>
  <c r="A2182" i="1"/>
  <c r="D2181" i="1"/>
  <c r="A2181" i="1"/>
  <c r="D810" i="1"/>
  <c r="A810" i="1"/>
  <c r="D809" i="1"/>
  <c r="A809" i="1"/>
  <c r="D2180" i="1"/>
  <c r="A2180" i="1"/>
  <c r="D2179" i="1"/>
  <c r="A2179" i="1"/>
  <c r="D2178" i="1"/>
  <c r="A2178" i="1"/>
  <c r="D2177" i="1"/>
  <c r="A2177" i="1"/>
  <c r="D2176" i="1"/>
  <c r="A2176" i="1"/>
  <c r="D2175" i="1"/>
  <c r="A2175" i="1"/>
  <c r="D2174" i="1"/>
  <c r="A2174" i="1"/>
  <c r="D2173" i="1"/>
  <c r="A2173" i="1"/>
  <c r="D808" i="1"/>
  <c r="A808" i="1"/>
  <c r="D2172" i="1"/>
  <c r="A2172" i="1"/>
  <c r="D2171" i="1"/>
  <c r="A2171" i="1"/>
  <c r="D2170" i="1"/>
  <c r="A2170" i="1"/>
  <c r="D2169" i="1"/>
  <c r="A2169" i="1"/>
  <c r="D2168" i="1"/>
  <c r="A2168" i="1"/>
  <c r="D807" i="1"/>
  <c r="A807" i="1"/>
  <c r="D2167" i="1"/>
  <c r="A2167" i="1"/>
  <c r="D2166" i="1"/>
  <c r="A2166" i="1"/>
  <c r="D2165" i="1"/>
  <c r="A2165" i="1"/>
  <c r="D2164" i="1"/>
  <c r="A2164" i="1"/>
  <c r="D2163" i="1"/>
  <c r="A2163" i="1"/>
  <c r="D2162" i="1"/>
  <c r="A2162" i="1"/>
  <c r="D2161" i="1"/>
  <c r="A2161" i="1"/>
  <c r="D2160" i="1"/>
  <c r="A2160" i="1"/>
  <c r="D2159" i="1"/>
  <c r="A2159" i="1"/>
  <c r="D2158" i="1"/>
  <c r="A2158" i="1"/>
  <c r="D2157" i="1"/>
  <c r="A2157" i="1"/>
  <c r="D2156" i="1"/>
  <c r="A2156" i="1"/>
  <c r="D2155" i="1"/>
  <c r="A2155" i="1"/>
  <c r="D2154" i="1"/>
  <c r="A2154" i="1"/>
  <c r="D2153" i="1"/>
  <c r="A2153" i="1"/>
  <c r="D2152" i="1"/>
  <c r="A2152" i="1"/>
  <c r="D2151" i="1"/>
  <c r="A2151" i="1"/>
  <c r="D2150" i="1"/>
  <c r="A2150" i="1"/>
  <c r="D2149" i="1"/>
  <c r="A2149" i="1"/>
  <c r="D2148" i="1"/>
  <c r="A2148" i="1"/>
  <c r="D2147" i="1"/>
  <c r="A2147" i="1"/>
  <c r="D2146" i="1"/>
  <c r="A2146" i="1"/>
  <c r="D2145" i="1"/>
  <c r="A2145" i="1"/>
  <c r="D2144" i="1"/>
  <c r="A2144" i="1"/>
  <c r="D2143" i="1"/>
  <c r="A2143" i="1"/>
  <c r="D2142" i="1"/>
  <c r="A2142" i="1"/>
  <c r="D2141" i="1"/>
  <c r="A2141" i="1"/>
  <c r="D2140" i="1"/>
  <c r="A2140" i="1"/>
  <c r="D2139" i="1"/>
  <c r="A2139" i="1"/>
  <c r="D2138" i="1"/>
  <c r="A2138" i="1"/>
  <c r="D2137" i="1"/>
  <c r="A2137" i="1"/>
  <c r="D2136" i="1"/>
  <c r="A2136" i="1"/>
  <c r="D806" i="1"/>
  <c r="A806" i="1"/>
  <c r="D2135" i="1"/>
  <c r="A2135" i="1"/>
  <c r="D2134" i="1"/>
  <c r="A2134" i="1"/>
  <c r="D2133" i="1"/>
  <c r="A2133" i="1"/>
  <c r="D805" i="1"/>
  <c r="A805" i="1"/>
  <c r="D5855" i="1"/>
  <c r="A5855" i="1"/>
  <c r="D2132" i="1"/>
  <c r="A2132" i="1"/>
  <c r="D5854" i="1"/>
  <c r="A5854" i="1"/>
  <c r="D2131" i="1"/>
  <c r="A2131" i="1"/>
  <c r="D2130" i="1"/>
  <c r="A2130" i="1"/>
  <c r="D2129" i="1"/>
  <c r="A2129" i="1"/>
  <c r="D2128" i="1"/>
  <c r="A2128" i="1"/>
  <c r="D2127" i="1"/>
  <c r="A2127" i="1"/>
  <c r="D2126" i="1"/>
  <c r="A2126" i="1"/>
  <c r="D2125" i="1"/>
  <c r="A2125" i="1"/>
  <c r="D2124" i="1"/>
  <c r="A2124" i="1"/>
  <c r="D804" i="1"/>
  <c r="A804" i="1"/>
  <c r="D2123" i="1"/>
  <c r="A2123" i="1"/>
  <c r="D2122" i="1"/>
  <c r="A2122" i="1"/>
  <c r="D2121" i="1"/>
  <c r="A2121" i="1"/>
  <c r="D2120" i="1"/>
  <c r="A2120" i="1"/>
  <c r="D2119" i="1"/>
  <c r="A2119" i="1"/>
  <c r="D154" i="1"/>
  <c r="A154" i="1"/>
  <c r="D2118" i="1"/>
  <c r="A2118" i="1"/>
  <c r="D2117" i="1"/>
  <c r="A2117" i="1"/>
  <c r="D2116" i="1"/>
  <c r="A2116" i="1"/>
  <c r="D2115" i="1"/>
  <c r="A2115" i="1"/>
  <c r="D2114" i="1"/>
  <c r="A2114" i="1"/>
  <c r="D2113" i="1"/>
  <c r="A2113" i="1"/>
  <c r="D2112" i="1"/>
  <c r="A2112" i="1"/>
  <c r="D2111" i="1"/>
  <c r="A2111" i="1"/>
  <c r="D2110" i="1"/>
  <c r="A2110" i="1"/>
  <c r="D2109" i="1"/>
  <c r="A2109" i="1"/>
  <c r="D2108" i="1"/>
  <c r="A2108" i="1"/>
  <c r="D2107" i="1"/>
  <c r="A2107" i="1"/>
  <c r="D2106" i="1"/>
  <c r="A2106" i="1"/>
  <c r="D2105" i="1"/>
  <c r="A2105" i="1"/>
  <c r="D2104" i="1"/>
  <c r="A2104" i="1"/>
  <c r="D2103" i="1"/>
  <c r="A2103" i="1"/>
  <c r="D2102" i="1"/>
  <c r="A2102" i="1"/>
  <c r="D2101" i="1"/>
  <c r="A2101" i="1"/>
  <c r="D2100" i="1"/>
  <c r="A2100" i="1"/>
  <c r="D2099" i="1"/>
  <c r="A2099" i="1"/>
  <c r="D2098" i="1"/>
  <c r="A2098" i="1"/>
  <c r="D2097" i="1"/>
  <c r="A2097" i="1"/>
  <c r="D85" i="1"/>
  <c r="A85" i="1"/>
  <c r="D2096" i="1"/>
  <c r="A2096" i="1"/>
  <c r="D2095" i="1"/>
  <c r="A2095" i="1"/>
  <c r="D803" i="1"/>
  <c r="A803" i="1"/>
  <c r="D2094" i="1"/>
  <c r="A2094" i="1"/>
  <c r="D802" i="1"/>
  <c r="A802" i="1"/>
  <c r="D2093" i="1"/>
  <c r="A2093" i="1"/>
  <c r="D2092" i="1"/>
  <c r="A2092" i="1"/>
  <c r="D2091" i="1"/>
  <c r="A2091" i="1"/>
  <c r="D2090" i="1"/>
  <c r="A2090" i="1"/>
  <c r="D2089" i="1"/>
  <c r="A2089" i="1"/>
  <c r="D801" i="1"/>
  <c r="A801" i="1"/>
  <c r="D2088" i="1"/>
  <c r="A2088" i="1"/>
  <c r="D2087" i="1"/>
  <c r="A2087" i="1"/>
  <c r="D2086" i="1"/>
  <c r="A2086" i="1"/>
  <c r="D800" i="1"/>
  <c r="A800" i="1"/>
  <c r="D2085" i="1"/>
  <c r="A2085" i="1"/>
  <c r="D2084" i="1"/>
  <c r="A2084" i="1"/>
  <c r="D2083" i="1"/>
  <c r="A2083" i="1"/>
  <c r="D2082" i="1"/>
  <c r="A2082" i="1"/>
  <c r="D2081" i="1"/>
  <c r="A2081" i="1"/>
  <c r="D2080" i="1"/>
  <c r="A2080" i="1"/>
  <c r="D153" i="1"/>
  <c r="A153" i="1"/>
  <c r="D2079" i="1"/>
  <c r="A2079" i="1"/>
  <c r="D2078" i="1"/>
  <c r="A2078" i="1"/>
  <c r="D2077" i="1"/>
  <c r="A2077" i="1"/>
  <c r="D2076" i="1"/>
  <c r="A2076" i="1"/>
  <c r="D152" i="1"/>
  <c r="A152" i="1"/>
  <c r="D2075" i="1"/>
  <c r="A2075" i="1"/>
  <c r="D2074" i="1"/>
  <c r="A2074" i="1"/>
  <c r="D2073" i="1"/>
  <c r="A2073" i="1"/>
  <c r="D799" i="1"/>
  <c r="A799" i="1"/>
  <c r="D2072" i="1"/>
  <c r="A2072" i="1"/>
  <c r="D2071" i="1"/>
  <c r="A2071" i="1"/>
  <c r="D2070" i="1"/>
  <c r="A2070" i="1"/>
  <c r="D2069" i="1"/>
  <c r="A2069" i="1"/>
  <c r="D2068" i="1"/>
  <c r="A2068" i="1"/>
  <c r="D2067" i="1"/>
  <c r="A2067" i="1"/>
  <c r="D2066" i="1"/>
  <c r="A2066" i="1"/>
  <c r="D2065" i="1"/>
  <c r="A2065" i="1"/>
  <c r="D2064" i="1"/>
  <c r="A2064" i="1"/>
  <c r="D2063" i="1"/>
  <c r="A2063" i="1"/>
  <c r="D798" i="1"/>
  <c r="A798" i="1"/>
  <c r="D2062" i="1"/>
  <c r="A2062" i="1"/>
  <c r="D2061" i="1"/>
  <c r="A2061" i="1"/>
  <c r="D2060" i="1"/>
  <c r="A2060" i="1"/>
  <c r="D2059" i="1"/>
  <c r="A2059" i="1"/>
  <c r="D2058" i="1"/>
  <c r="A2058" i="1"/>
  <c r="D2057" i="1"/>
  <c r="A2057" i="1"/>
  <c r="D2056" i="1"/>
  <c r="A2056" i="1"/>
  <c r="D797" i="1"/>
  <c r="A797" i="1"/>
  <c r="D2055" i="1"/>
  <c r="A2055" i="1"/>
  <c r="D2054" i="1"/>
  <c r="A2054" i="1"/>
  <c r="D2053" i="1"/>
  <c r="A2053" i="1"/>
  <c r="D151" i="1"/>
  <c r="A151" i="1"/>
  <c r="D2052" i="1"/>
  <c r="A2052" i="1"/>
  <c r="D2051" i="1"/>
  <c r="A2051" i="1"/>
  <c r="D2050" i="1"/>
  <c r="A2050" i="1"/>
  <c r="D2049" i="1"/>
  <c r="A2049" i="1"/>
  <c r="D29" i="1"/>
  <c r="A29" i="1"/>
  <c r="D2048" i="1"/>
  <c r="A2048" i="1"/>
  <c r="D84" i="1"/>
  <c r="A84" i="1"/>
  <c r="D2047" i="1"/>
  <c r="A2047" i="1"/>
  <c r="D2046" i="1"/>
  <c r="A2046" i="1"/>
  <c r="D2045" i="1"/>
  <c r="A2045" i="1"/>
  <c r="D2044" i="1"/>
  <c r="A2044" i="1"/>
  <c r="D2043" i="1"/>
  <c r="A2043" i="1"/>
  <c r="D2042" i="1"/>
  <c r="A2042" i="1"/>
  <c r="D2041" i="1"/>
  <c r="A2041" i="1"/>
  <c r="D2040" i="1"/>
  <c r="A2040" i="1"/>
  <c r="D796" i="1"/>
  <c r="A796" i="1"/>
  <c r="D795" i="1"/>
  <c r="A795" i="1"/>
  <c r="D2039" i="1"/>
  <c r="A2039" i="1"/>
  <c r="D2038" i="1"/>
  <c r="A2038" i="1"/>
  <c r="D2037" i="1"/>
  <c r="A2037" i="1"/>
  <c r="D2036" i="1"/>
  <c r="A2036" i="1"/>
  <c r="D2035" i="1"/>
  <c r="A2035" i="1"/>
  <c r="D2034" i="1"/>
  <c r="A2034" i="1"/>
  <c r="D2033" i="1"/>
  <c r="A2033" i="1"/>
  <c r="D2032" i="1"/>
  <c r="A2032" i="1"/>
  <c r="D2031" i="1"/>
  <c r="A2031" i="1"/>
  <c r="D2030" i="1"/>
  <c r="A2030" i="1"/>
  <c r="D2029" i="1"/>
  <c r="A2029" i="1"/>
  <c r="D2028" i="1"/>
  <c r="A2028" i="1"/>
  <c r="D2027" i="1"/>
  <c r="A2027" i="1"/>
  <c r="D2026" i="1"/>
  <c r="A2026" i="1"/>
  <c r="D2025" i="1"/>
  <c r="A2025" i="1"/>
  <c r="D2024" i="1"/>
  <c r="A2024" i="1"/>
  <c r="D2023" i="1"/>
  <c r="A2023" i="1"/>
  <c r="D2022" i="1"/>
  <c r="A2022" i="1"/>
  <c r="D150" i="1"/>
  <c r="A150" i="1"/>
  <c r="D149" i="1"/>
  <c r="A149" i="1"/>
  <c r="D2021" i="1"/>
  <c r="A2021" i="1"/>
  <c r="D2020" i="1"/>
  <c r="A2020" i="1"/>
  <c r="D2019" i="1"/>
  <c r="A2019" i="1"/>
  <c r="D2018" i="1"/>
  <c r="A2018" i="1"/>
  <c r="D2017" i="1"/>
  <c r="A2017" i="1"/>
  <c r="D2016" i="1"/>
  <c r="A2016" i="1"/>
  <c r="D2015" i="1"/>
  <c r="A2015" i="1"/>
  <c r="D2014" i="1"/>
  <c r="A2014" i="1"/>
  <c r="D148" i="1"/>
  <c r="A148" i="1"/>
  <c r="D2013" i="1"/>
  <c r="A2013" i="1"/>
  <c r="D2012" i="1"/>
  <c r="A2012" i="1"/>
  <c r="D2011" i="1"/>
  <c r="A2011" i="1"/>
  <c r="D794" i="1"/>
  <c r="A794" i="1"/>
  <c r="D2010" i="1"/>
  <c r="A2010" i="1"/>
  <c r="D2009" i="1"/>
  <c r="A2009" i="1"/>
  <c r="D2008" i="1"/>
  <c r="A2008" i="1"/>
  <c r="D2007" i="1"/>
  <c r="A2007" i="1"/>
  <c r="D2006" i="1"/>
  <c r="A2006" i="1"/>
  <c r="D2005" i="1"/>
  <c r="A2005" i="1"/>
  <c r="D2004" i="1"/>
  <c r="A2004" i="1"/>
  <c r="D2003" i="1"/>
  <c r="A2003" i="1"/>
  <c r="D2002" i="1"/>
  <c r="A2002" i="1"/>
  <c r="D2001" i="1"/>
  <c r="A2001" i="1"/>
  <c r="D2000" i="1"/>
  <c r="A2000" i="1"/>
  <c r="D1999" i="1"/>
  <c r="A1999" i="1"/>
  <c r="D147" i="1"/>
  <c r="A147" i="1"/>
  <c r="D146" i="1"/>
  <c r="A146" i="1"/>
  <c r="D1998" i="1"/>
  <c r="A1998" i="1"/>
  <c r="D1997" i="1"/>
  <c r="A1997" i="1"/>
  <c r="D1996" i="1"/>
  <c r="A1996" i="1"/>
  <c r="D1995" i="1"/>
  <c r="A1995" i="1"/>
  <c r="D1994" i="1"/>
  <c r="A1994" i="1"/>
  <c r="D1993" i="1"/>
  <c r="A1993" i="1"/>
  <c r="D1992" i="1"/>
  <c r="A1992" i="1"/>
  <c r="D1991" i="1"/>
  <c r="A1991" i="1"/>
  <c r="D1990" i="1"/>
  <c r="A1990" i="1"/>
  <c r="D1989" i="1"/>
  <c r="A1989" i="1"/>
  <c r="D1988" i="1"/>
  <c r="A1988" i="1"/>
  <c r="D1987" i="1"/>
  <c r="A1987" i="1"/>
  <c r="D1986" i="1"/>
  <c r="A1986" i="1"/>
  <c r="D1985" i="1"/>
  <c r="A1985" i="1"/>
  <c r="D1984" i="1"/>
  <c r="A1984" i="1"/>
  <c r="D1983" i="1"/>
  <c r="A1983" i="1"/>
  <c r="D1982" i="1"/>
  <c r="A1982" i="1"/>
  <c r="D1981" i="1"/>
  <c r="A1981" i="1"/>
  <c r="D1980" i="1"/>
  <c r="A1980" i="1"/>
  <c r="D1979" i="1"/>
  <c r="A1979" i="1"/>
  <c r="D1978" i="1"/>
  <c r="A1978" i="1"/>
  <c r="D1977" i="1"/>
  <c r="A1977" i="1"/>
  <c r="D1976" i="1"/>
  <c r="A1976" i="1"/>
  <c r="D1975" i="1"/>
  <c r="A1975" i="1"/>
  <c r="D1974" i="1"/>
  <c r="A1974" i="1"/>
  <c r="D1973" i="1"/>
  <c r="A1973" i="1"/>
  <c r="D1972" i="1"/>
  <c r="A1972" i="1"/>
  <c r="D1971" i="1"/>
  <c r="A1971" i="1"/>
  <c r="D1970" i="1"/>
  <c r="A1970" i="1"/>
  <c r="D793" i="1"/>
  <c r="A793" i="1"/>
  <c r="D1969" i="1"/>
  <c r="A1969" i="1"/>
  <c r="D1968" i="1"/>
  <c r="A1968" i="1"/>
  <c r="D1967" i="1"/>
  <c r="A1967" i="1"/>
  <c r="D1966" i="1"/>
  <c r="A1966" i="1"/>
  <c r="D1965" i="1"/>
  <c r="A1965" i="1"/>
  <c r="D1964" i="1"/>
  <c r="A1964" i="1"/>
  <c r="D1963" i="1"/>
  <c r="A1963" i="1"/>
  <c r="D1962" i="1"/>
  <c r="A1962" i="1"/>
  <c r="D1961" i="1"/>
  <c r="A1961" i="1"/>
  <c r="D1960" i="1"/>
  <c r="A1960" i="1"/>
  <c r="D792" i="1"/>
  <c r="A792" i="1"/>
  <c r="D1959" i="1"/>
  <c r="A1959" i="1"/>
  <c r="D1958" i="1"/>
  <c r="A1958" i="1"/>
  <c r="D1957" i="1"/>
  <c r="A1957" i="1"/>
  <c r="D791" i="1"/>
  <c r="A791" i="1"/>
  <c r="D790" i="1"/>
  <c r="A790" i="1"/>
  <c r="D789" i="1"/>
  <c r="A789" i="1"/>
  <c r="D1956" i="1"/>
  <c r="A1956" i="1"/>
  <c r="D1955" i="1"/>
  <c r="A1955" i="1"/>
  <c r="D1954" i="1"/>
  <c r="A1954" i="1"/>
  <c r="D1953" i="1"/>
  <c r="A1953" i="1"/>
  <c r="D1952" i="1"/>
  <c r="A1952" i="1"/>
  <c r="D788" i="1"/>
  <c r="A788" i="1"/>
  <c r="D1951" i="1"/>
  <c r="A1951" i="1"/>
  <c r="D1950" i="1"/>
  <c r="A1950" i="1"/>
  <c r="D1949" i="1"/>
  <c r="A1949" i="1"/>
  <c r="D1948" i="1"/>
  <c r="A1948" i="1"/>
  <c r="D787" i="1"/>
  <c r="A787" i="1"/>
  <c r="D1947" i="1"/>
  <c r="A1947" i="1"/>
  <c r="D786" i="1"/>
  <c r="A786" i="1"/>
  <c r="D1946" i="1"/>
  <c r="A1946" i="1"/>
  <c r="D1945" i="1"/>
  <c r="A1945" i="1"/>
  <c r="D1944" i="1"/>
  <c r="A1944" i="1"/>
  <c r="D1943" i="1"/>
  <c r="A1943" i="1"/>
  <c r="D1942" i="1"/>
  <c r="A1942" i="1"/>
  <c r="D785" i="1"/>
  <c r="A785" i="1"/>
  <c r="D1941" i="1"/>
  <c r="A1941" i="1"/>
  <c r="D1940" i="1"/>
  <c r="A1940" i="1"/>
  <c r="D1939" i="1"/>
  <c r="A1939" i="1"/>
  <c r="D1938" i="1"/>
  <c r="A1938" i="1"/>
  <c r="D784" i="1"/>
  <c r="A784" i="1"/>
  <c r="D1937" i="1"/>
  <c r="A1937" i="1"/>
  <c r="D1936" i="1"/>
  <c r="A1936" i="1"/>
  <c r="D1935" i="1"/>
  <c r="A1935" i="1"/>
  <c r="D1934" i="1"/>
  <c r="A1934" i="1"/>
  <c r="D1933" i="1"/>
  <c r="A1933" i="1"/>
  <c r="D5853" i="1"/>
  <c r="A5853" i="1"/>
  <c r="D1932" i="1"/>
  <c r="A1932" i="1"/>
  <c r="D1931" i="1"/>
  <c r="A1931" i="1"/>
  <c r="D1930" i="1"/>
  <c r="A1930" i="1"/>
  <c r="D1929" i="1"/>
  <c r="A1929" i="1"/>
  <c r="D1928" i="1"/>
  <c r="A1928" i="1"/>
  <c r="D1927" i="1"/>
  <c r="A1927" i="1"/>
  <c r="D1926" i="1"/>
  <c r="A1926" i="1"/>
  <c r="D1925" i="1"/>
  <c r="A1925" i="1"/>
  <c r="D1924" i="1"/>
  <c r="A1924" i="1"/>
  <c r="D783" i="1"/>
  <c r="A783" i="1"/>
  <c r="D1923" i="1"/>
  <c r="A1923" i="1"/>
  <c r="D1922" i="1"/>
  <c r="A1922" i="1"/>
  <c r="D145" i="1"/>
  <c r="A145" i="1"/>
  <c r="D1921" i="1"/>
  <c r="A1921" i="1"/>
  <c r="D1920" i="1"/>
  <c r="A1920" i="1"/>
  <c r="D5852" i="1"/>
  <c r="A5852" i="1"/>
  <c r="D1919" i="1"/>
  <c r="A1919" i="1"/>
  <c r="D1918" i="1"/>
  <c r="A1918" i="1"/>
  <c r="D1917" i="1"/>
  <c r="A1917" i="1"/>
  <c r="D1916" i="1"/>
  <c r="A1916" i="1"/>
  <c r="D1915" i="1"/>
  <c r="A1915" i="1"/>
  <c r="D1914" i="1"/>
  <c r="A1914" i="1"/>
  <c r="D1913" i="1"/>
  <c r="A1913" i="1"/>
  <c r="D1912" i="1"/>
  <c r="A1912" i="1"/>
  <c r="D1911" i="1"/>
  <c r="A1911" i="1"/>
  <c r="D1910" i="1"/>
  <c r="A1910" i="1"/>
  <c r="D144" i="1"/>
  <c r="A144" i="1"/>
  <c r="D1909" i="1"/>
  <c r="A1909" i="1"/>
  <c r="D1908" i="1"/>
  <c r="A1908" i="1"/>
  <c r="D782" i="1"/>
  <c r="A782" i="1"/>
  <c r="D1907" i="1"/>
  <c r="A1907" i="1"/>
  <c r="D1906" i="1"/>
  <c r="A1906" i="1"/>
  <c r="D1905" i="1"/>
  <c r="A1905" i="1"/>
  <c r="D1904" i="1"/>
  <c r="A1904" i="1"/>
  <c r="D1903" i="1"/>
  <c r="A1903" i="1"/>
  <c r="D1902" i="1"/>
  <c r="A1902" i="1"/>
  <c r="D5851" i="1"/>
  <c r="A5851" i="1"/>
  <c r="D1901" i="1"/>
  <c r="A1901" i="1"/>
  <c r="D1900" i="1"/>
  <c r="A1900" i="1"/>
  <c r="D1899" i="1"/>
  <c r="A1899" i="1"/>
  <c r="D1898" i="1"/>
  <c r="A1898" i="1"/>
  <c r="D1897" i="1"/>
  <c r="A1897" i="1"/>
  <c r="D781" i="1"/>
  <c r="A781" i="1"/>
  <c r="D780" i="1"/>
  <c r="A780" i="1"/>
  <c r="D1896" i="1"/>
  <c r="A1896" i="1"/>
  <c r="D1895" i="1"/>
  <c r="A1895" i="1"/>
  <c r="D779" i="1"/>
  <c r="A779" i="1"/>
  <c r="D1894" i="1"/>
  <c r="A1894" i="1"/>
  <c r="D1893" i="1"/>
  <c r="A1893" i="1"/>
  <c r="D1892" i="1"/>
  <c r="A1892" i="1"/>
  <c r="D1891" i="1"/>
  <c r="A1891" i="1"/>
  <c r="D1890" i="1"/>
  <c r="A1890" i="1"/>
  <c r="D1889" i="1"/>
  <c r="A1889" i="1"/>
  <c r="D143" i="1"/>
  <c r="A143" i="1"/>
  <c r="D1888" i="1"/>
  <c r="A1888" i="1"/>
  <c r="D1887" i="1"/>
  <c r="A1887" i="1"/>
  <c r="D1886" i="1"/>
  <c r="A1886" i="1"/>
  <c r="D1885" i="1"/>
  <c r="A1885" i="1"/>
  <c r="D1884" i="1"/>
  <c r="A1884" i="1"/>
  <c r="D1883" i="1"/>
  <c r="A1883" i="1"/>
  <c r="D1882" i="1"/>
  <c r="A1882" i="1"/>
  <c r="D1881" i="1"/>
  <c r="A1881" i="1"/>
  <c r="D1880" i="1"/>
  <c r="A1880" i="1"/>
  <c r="D1879" i="1"/>
  <c r="A1879" i="1"/>
  <c r="D1878" i="1"/>
  <c r="A1878" i="1"/>
  <c r="D1877" i="1"/>
  <c r="A1877" i="1"/>
  <c r="D1876" i="1"/>
  <c r="A1876" i="1"/>
  <c r="D1875" i="1"/>
  <c r="A1875" i="1"/>
  <c r="D1874" i="1"/>
  <c r="A1874" i="1"/>
  <c r="D1873" i="1"/>
  <c r="A1873" i="1"/>
  <c r="D1872" i="1"/>
  <c r="A1872" i="1"/>
  <c r="D1871" i="1"/>
  <c r="A1871" i="1"/>
  <c r="D1870" i="1"/>
  <c r="A1870" i="1"/>
  <c r="D778" i="1"/>
  <c r="A778" i="1"/>
  <c r="D1869" i="1"/>
  <c r="A1869" i="1"/>
  <c r="D1868" i="1"/>
  <c r="A1868" i="1"/>
  <c r="D1867" i="1"/>
  <c r="A1867" i="1"/>
  <c r="D1866" i="1"/>
  <c r="A1866" i="1"/>
  <c r="D26" i="1"/>
  <c r="A26" i="1"/>
  <c r="D1865" i="1"/>
  <c r="A1865" i="1"/>
  <c r="D25" i="1"/>
  <c r="A25" i="1"/>
  <c r="D1864" i="1"/>
  <c r="A1864" i="1"/>
  <c r="D777" i="1"/>
  <c r="A777" i="1"/>
  <c r="D1863" i="1"/>
  <c r="A1863" i="1"/>
  <c r="D142" i="1"/>
  <c r="A142" i="1"/>
  <c r="D141" i="1"/>
  <c r="A141" i="1"/>
  <c r="D1862" i="1"/>
  <c r="A1862" i="1"/>
  <c r="D1861" i="1"/>
  <c r="A1861" i="1"/>
  <c r="D1860" i="1"/>
  <c r="A1860" i="1"/>
  <c r="D1859" i="1"/>
  <c r="A1859" i="1"/>
  <c r="D1858" i="1"/>
  <c r="A1858" i="1"/>
  <c r="D1857" i="1"/>
  <c r="A1857" i="1"/>
  <c r="D1856" i="1"/>
  <c r="A1856" i="1"/>
  <c r="D1855" i="1"/>
  <c r="A1855" i="1"/>
  <c r="D1854" i="1"/>
  <c r="A1854" i="1"/>
  <c r="D776" i="1"/>
  <c r="A776" i="1"/>
  <c r="D1853" i="1"/>
  <c r="A1853" i="1"/>
  <c r="D1852" i="1"/>
  <c r="A1852" i="1"/>
  <c r="D1851" i="1"/>
  <c r="A1851" i="1"/>
  <c r="D1850" i="1"/>
  <c r="A1850" i="1"/>
  <c r="D1849" i="1"/>
  <c r="A1849" i="1"/>
  <c r="D1848" i="1"/>
  <c r="A1848" i="1"/>
  <c r="D1847" i="1"/>
  <c r="A1847" i="1"/>
  <c r="D1846" i="1"/>
  <c r="A1846" i="1"/>
  <c r="D1845" i="1"/>
  <c r="A1845" i="1"/>
  <c r="D1844" i="1"/>
  <c r="A1844" i="1"/>
  <c r="D1843" i="1"/>
  <c r="A1843" i="1"/>
  <c r="D1842" i="1"/>
  <c r="A1842" i="1"/>
  <c r="D5850" i="1"/>
  <c r="A5850" i="1"/>
  <c r="D140" i="1"/>
  <c r="A140" i="1"/>
  <c r="D775" i="1"/>
  <c r="A775" i="1"/>
  <c r="D1841" i="1"/>
  <c r="A1841" i="1"/>
  <c r="D1840" i="1"/>
  <c r="A1840" i="1"/>
  <c r="D1839" i="1"/>
  <c r="A1839" i="1"/>
  <c r="D774" i="1"/>
  <c r="A774" i="1"/>
  <c r="D773" i="1"/>
  <c r="A773" i="1"/>
  <c r="D1838" i="1"/>
  <c r="A1838" i="1"/>
  <c r="D1837" i="1"/>
  <c r="A1837" i="1"/>
  <c r="D1836" i="1"/>
  <c r="A1836" i="1"/>
  <c r="D1835" i="1"/>
  <c r="A1835" i="1"/>
  <c r="D1834" i="1"/>
  <c r="A1834" i="1"/>
  <c r="D1833" i="1"/>
  <c r="A1833" i="1"/>
  <c r="D1832" i="1"/>
  <c r="A1832" i="1"/>
  <c r="D1831" i="1"/>
  <c r="A1831" i="1"/>
  <c r="D1830" i="1"/>
  <c r="A1830" i="1"/>
  <c r="D1829" i="1"/>
  <c r="A1829" i="1"/>
  <c r="D1828" i="1"/>
  <c r="A1828" i="1"/>
  <c r="D1827" i="1"/>
  <c r="A1827" i="1"/>
  <c r="D772" i="1"/>
  <c r="A772" i="1"/>
  <c r="D1826" i="1"/>
  <c r="A1826" i="1"/>
  <c r="D1825" i="1"/>
  <c r="A1825" i="1"/>
  <c r="D771" i="1"/>
  <c r="A771" i="1"/>
  <c r="D1824" i="1"/>
  <c r="A1824" i="1"/>
  <c r="D1823" i="1"/>
  <c r="A1823" i="1"/>
  <c r="D1822" i="1"/>
  <c r="A1822" i="1"/>
  <c r="D1821" i="1"/>
  <c r="A1821" i="1"/>
  <c r="D1820" i="1"/>
  <c r="A1820" i="1"/>
  <c r="D1819" i="1"/>
  <c r="A1819" i="1"/>
  <c r="D1818" i="1"/>
  <c r="A1818" i="1"/>
  <c r="D1817" i="1"/>
  <c r="A1817" i="1"/>
  <c r="D1816" i="1"/>
  <c r="A1816" i="1"/>
  <c r="D1815" i="1"/>
  <c r="A1815" i="1"/>
  <c r="D1814" i="1"/>
  <c r="A1814" i="1"/>
  <c r="D1813" i="1"/>
  <c r="A1813" i="1"/>
  <c r="D1812" i="1"/>
  <c r="A1812" i="1"/>
  <c r="D1811" i="1"/>
  <c r="A1811" i="1"/>
  <c r="D1810" i="1"/>
  <c r="A1810" i="1"/>
  <c r="D1809" i="1"/>
  <c r="A1809" i="1"/>
  <c r="D1808" i="1"/>
  <c r="A1808" i="1"/>
  <c r="D1807" i="1"/>
  <c r="A1807" i="1"/>
  <c r="D1806" i="1"/>
  <c r="A1806" i="1"/>
  <c r="D1805" i="1"/>
  <c r="A1805" i="1"/>
  <c r="D1804" i="1"/>
  <c r="A1804" i="1"/>
  <c r="D1803" i="1"/>
  <c r="A1803" i="1"/>
  <c r="D1802" i="1"/>
  <c r="A1802" i="1"/>
  <c r="D1801" i="1"/>
  <c r="A1801" i="1"/>
  <c r="D1800" i="1"/>
  <c r="A1800" i="1"/>
  <c r="D770" i="1"/>
  <c r="A770" i="1"/>
  <c r="D1799" i="1"/>
  <c r="A1799" i="1"/>
  <c r="D1798" i="1"/>
  <c r="A1798" i="1"/>
  <c r="D5849" i="1"/>
  <c r="A5849" i="1"/>
  <c r="D1797" i="1"/>
  <c r="A1797" i="1"/>
  <c r="D1796" i="1"/>
  <c r="A1796" i="1"/>
  <c r="D1795" i="1"/>
  <c r="A1795" i="1"/>
  <c r="D1794" i="1"/>
  <c r="A1794" i="1"/>
  <c r="D1793" i="1"/>
  <c r="A1793" i="1"/>
  <c r="D1792" i="1"/>
  <c r="A1792" i="1"/>
  <c r="D1791" i="1"/>
  <c r="A1791" i="1"/>
  <c r="D139" i="1"/>
  <c r="A139" i="1"/>
  <c r="D1790" i="1"/>
  <c r="A1790" i="1"/>
  <c r="D54" i="1"/>
  <c r="A54" i="1"/>
  <c r="D1789" i="1"/>
  <c r="A1789" i="1"/>
  <c r="D1788" i="1"/>
  <c r="A1788" i="1"/>
  <c r="D1787" i="1"/>
  <c r="A1787" i="1"/>
  <c r="D1786" i="1"/>
  <c r="A1786" i="1"/>
  <c r="D1785" i="1"/>
  <c r="A1785" i="1"/>
  <c r="D1784" i="1"/>
  <c r="A1784" i="1"/>
  <c r="D1783" i="1"/>
  <c r="A1783" i="1"/>
  <c r="D1782" i="1"/>
  <c r="A1782" i="1"/>
  <c r="D1781" i="1"/>
  <c r="A1781" i="1"/>
  <c r="D1780" i="1"/>
  <c r="A1780" i="1"/>
  <c r="D1779" i="1"/>
  <c r="A1779" i="1"/>
  <c r="D1778" i="1"/>
  <c r="A1778" i="1"/>
  <c r="D1777" i="1"/>
  <c r="A1777" i="1"/>
  <c r="D1776" i="1"/>
  <c r="A1776" i="1"/>
  <c r="D1775" i="1"/>
  <c r="A1775" i="1"/>
  <c r="D5848" i="1"/>
  <c r="A5848" i="1"/>
  <c r="D1774" i="1"/>
  <c r="A1774" i="1"/>
  <c r="D1773" i="1"/>
  <c r="A1773" i="1"/>
  <c r="D1772" i="1"/>
  <c r="A1772" i="1"/>
  <c r="D769" i="1"/>
  <c r="A769" i="1"/>
  <c r="D1771" i="1"/>
  <c r="A1771" i="1"/>
  <c r="D1770" i="1"/>
  <c r="A1770" i="1"/>
  <c r="D1769" i="1"/>
  <c r="A1769" i="1"/>
  <c r="D1768" i="1"/>
  <c r="A1768" i="1"/>
  <c r="D1767" i="1"/>
  <c r="A1767" i="1"/>
  <c r="D5847" i="1"/>
  <c r="A5847" i="1"/>
  <c r="D1766" i="1"/>
  <c r="A1766" i="1"/>
  <c r="D768" i="1"/>
  <c r="A768" i="1"/>
  <c r="D1765" i="1"/>
  <c r="A1765" i="1"/>
  <c r="D1764" i="1"/>
  <c r="A1764" i="1"/>
  <c r="D5846" i="1"/>
  <c r="A5846" i="1"/>
  <c r="D767" i="1"/>
  <c r="A767" i="1"/>
  <c r="D1763" i="1"/>
  <c r="A1763" i="1"/>
  <c r="D1762" i="1"/>
  <c r="A1762" i="1"/>
  <c r="D766" i="1"/>
  <c r="A766" i="1"/>
  <c r="D1761" i="1"/>
  <c r="A1761" i="1"/>
  <c r="D1760" i="1"/>
  <c r="A1760" i="1"/>
  <c r="D1759" i="1"/>
  <c r="A1759" i="1"/>
  <c r="D1758" i="1"/>
  <c r="A1758" i="1"/>
  <c r="D1757" i="1"/>
  <c r="A1757" i="1"/>
  <c r="D1756" i="1"/>
  <c r="A1756" i="1"/>
  <c r="D1755" i="1"/>
  <c r="A1755" i="1"/>
  <c r="D1754" i="1"/>
  <c r="A1754" i="1"/>
  <c r="D1753" i="1"/>
  <c r="A1753" i="1"/>
  <c r="D1752" i="1"/>
  <c r="A1752" i="1"/>
  <c r="D1751" i="1"/>
  <c r="A1751" i="1"/>
  <c r="D83" i="1"/>
  <c r="A83" i="1"/>
  <c r="D765" i="1"/>
  <c r="A765" i="1"/>
  <c r="D1750" i="1"/>
  <c r="A1750" i="1"/>
  <c r="D1749" i="1"/>
  <c r="A1749" i="1"/>
  <c r="D1748" i="1"/>
  <c r="A1748" i="1"/>
  <c r="D1747" i="1"/>
  <c r="A1747" i="1"/>
  <c r="D82" i="1"/>
  <c r="A82" i="1"/>
  <c r="D1746" i="1"/>
  <c r="A1746" i="1"/>
  <c r="D764" i="1"/>
  <c r="A764" i="1"/>
  <c r="D1745" i="1"/>
  <c r="A1745" i="1"/>
  <c r="D1744" i="1"/>
  <c r="A1744" i="1"/>
  <c r="D1743" i="1"/>
  <c r="A1743" i="1"/>
  <c r="D1742" i="1"/>
  <c r="A1742" i="1"/>
  <c r="D1741" i="1"/>
  <c r="A1741" i="1"/>
  <c r="D1740" i="1"/>
  <c r="A1740" i="1"/>
  <c r="D1739" i="1"/>
  <c r="A1739" i="1"/>
  <c r="D763" i="1"/>
  <c r="A763" i="1"/>
  <c r="D762" i="1"/>
  <c r="A762" i="1"/>
  <c r="D1738" i="1"/>
  <c r="A1738" i="1"/>
  <c r="D1737" i="1"/>
  <c r="A1737" i="1"/>
  <c r="D1736" i="1"/>
  <c r="A1736" i="1"/>
  <c r="D761" i="1"/>
  <c r="A761" i="1"/>
  <c r="D1735" i="1"/>
  <c r="A1735" i="1"/>
  <c r="D760" i="1"/>
  <c r="A760" i="1"/>
  <c r="D1734" i="1"/>
  <c r="A1734" i="1"/>
  <c r="D1733" i="1"/>
  <c r="A1733" i="1"/>
  <c r="D1732" i="1"/>
  <c r="A1732" i="1"/>
  <c r="D1731" i="1"/>
  <c r="A1731" i="1"/>
  <c r="D1730" i="1"/>
  <c r="A1730" i="1"/>
  <c r="D1729" i="1"/>
  <c r="A1729" i="1"/>
  <c r="D1728" i="1"/>
  <c r="A1728" i="1"/>
  <c r="D1727" i="1"/>
  <c r="A1727" i="1"/>
  <c r="D1726" i="1"/>
  <c r="A1726" i="1"/>
  <c r="D1725" i="1"/>
  <c r="A1725" i="1"/>
  <c r="D1724" i="1"/>
  <c r="A1724" i="1"/>
  <c r="D1723" i="1"/>
  <c r="A1723" i="1"/>
  <c r="D759" i="1"/>
  <c r="A759" i="1"/>
  <c r="D758" i="1"/>
  <c r="A758" i="1"/>
  <c r="D757" i="1"/>
  <c r="A757" i="1"/>
  <c r="D138" i="1"/>
  <c r="A138" i="1"/>
  <c r="D756" i="1"/>
  <c r="A756" i="1"/>
  <c r="D1722" i="1"/>
  <c r="A1722" i="1"/>
  <c r="D1721" i="1"/>
  <c r="A1721" i="1"/>
  <c r="D1720" i="1"/>
  <c r="A1720" i="1"/>
  <c r="D1719" i="1"/>
  <c r="A1719" i="1"/>
  <c r="D1718" i="1"/>
  <c r="A1718" i="1"/>
  <c r="D1717" i="1"/>
  <c r="A1717" i="1"/>
  <c r="D1716" i="1"/>
  <c r="A1716" i="1"/>
  <c r="D1715" i="1"/>
  <c r="A1715" i="1"/>
  <c r="D5845" i="1"/>
  <c r="A5845" i="1"/>
  <c r="D81" i="1"/>
  <c r="A81" i="1"/>
  <c r="D755" i="1"/>
  <c r="A755" i="1"/>
  <c r="D1714" i="1"/>
  <c r="A1714" i="1"/>
  <c r="D1713" i="1"/>
  <c r="A1713" i="1"/>
  <c r="D1712" i="1"/>
  <c r="A1712" i="1"/>
  <c r="D1711" i="1"/>
  <c r="A1711" i="1"/>
  <c r="D1710" i="1"/>
  <c r="A1710" i="1"/>
  <c r="D13772" i="1"/>
  <c r="A13772" i="1"/>
  <c r="D1709" i="1"/>
  <c r="A1709" i="1"/>
  <c r="D1708" i="1"/>
  <c r="A1708" i="1"/>
  <c r="D1707" i="1"/>
  <c r="A1707" i="1"/>
  <c r="D1706" i="1"/>
  <c r="A1706" i="1"/>
  <c r="D137" i="1"/>
  <c r="A137" i="1"/>
  <c r="D1705" i="1"/>
  <c r="A1705" i="1"/>
  <c r="D1704" i="1"/>
  <c r="A1704" i="1"/>
  <c r="D1703" i="1"/>
  <c r="A1703" i="1"/>
  <c r="D1702" i="1"/>
  <c r="A1702" i="1"/>
  <c r="D136" i="1"/>
  <c r="A136" i="1"/>
  <c r="D1701" i="1"/>
  <c r="A1701" i="1"/>
  <c r="D1700" i="1"/>
  <c r="A1700" i="1"/>
  <c r="D754" i="1"/>
  <c r="A754" i="1"/>
  <c r="D1699" i="1"/>
  <c r="A1699" i="1"/>
  <c r="D135" i="1"/>
  <c r="A135" i="1"/>
  <c r="D1698" i="1"/>
  <c r="A1698" i="1"/>
  <c r="D1697" i="1"/>
  <c r="A1697" i="1"/>
  <c r="D1696" i="1"/>
  <c r="A1696" i="1"/>
  <c r="D1695" i="1"/>
  <c r="A1695" i="1"/>
  <c r="D1694" i="1"/>
  <c r="A1694" i="1"/>
  <c r="D1693" i="1"/>
  <c r="A1693" i="1"/>
  <c r="D1692" i="1"/>
  <c r="A1692" i="1"/>
  <c r="D1691" i="1"/>
  <c r="A1691" i="1"/>
  <c r="D1690" i="1"/>
  <c r="A1690" i="1"/>
  <c r="D753" i="1"/>
  <c r="A753" i="1"/>
  <c r="D1689" i="1"/>
  <c r="A1689" i="1"/>
  <c r="D1688" i="1"/>
  <c r="A1688" i="1"/>
  <c r="D752" i="1"/>
  <c r="A752" i="1"/>
  <c r="D1687" i="1"/>
  <c r="A1687" i="1"/>
  <c r="D1686" i="1"/>
  <c r="A1686" i="1"/>
  <c r="D1685" i="1"/>
  <c r="A1685" i="1"/>
  <c r="D1684" i="1"/>
  <c r="A1684" i="1"/>
  <c r="D1683" i="1"/>
  <c r="A1683" i="1"/>
  <c r="D1682" i="1"/>
  <c r="A1682" i="1"/>
  <c r="D134" i="1"/>
  <c r="A134" i="1"/>
  <c r="D1681" i="1"/>
  <c r="A1681" i="1"/>
  <c r="D1680" i="1"/>
  <c r="A1680" i="1"/>
  <c r="D1679" i="1"/>
  <c r="A1679" i="1"/>
  <c r="D1678" i="1"/>
  <c r="A1678" i="1"/>
  <c r="D1677" i="1"/>
  <c r="A1677" i="1"/>
  <c r="D1676" i="1"/>
  <c r="A1676" i="1"/>
  <c r="D1675" i="1"/>
  <c r="A1675" i="1"/>
  <c r="D1674" i="1"/>
  <c r="A1674" i="1"/>
  <c r="D1673" i="1"/>
  <c r="A1673" i="1"/>
  <c r="D1672" i="1"/>
  <c r="A1672" i="1"/>
  <c r="D1671" i="1"/>
  <c r="A1671" i="1"/>
  <c r="D1670" i="1"/>
  <c r="A1670" i="1"/>
  <c r="D1669" i="1"/>
  <c r="A1669" i="1"/>
  <c r="D133" i="1"/>
  <c r="A133" i="1"/>
  <c r="D1668" i="1"/>
  <c r="A1668" i="1"/>
  <c r="D1667" i="1"/>
  <c r="A1667" i="1"/>
  <c r="D1666" i="1"/>
  <c r="A1666" i="1"/>
  <c r="D1665" i="1"/>
  <c r="A1665" i="1"/>
  <c r="D1664" i="1"/>
  <c r="A1664" i="1"/>
  <c r="D1663" i="1"/>
  <c r="A1663" i="1"/>
  <c r="D1662" i="1"/>
  <c r="A1662" i="1"/>
  <c r="D1661" i="1"/>
  <c r="A1661" i="1"/>
  <c r="D1660" i="1"/>
  <c r="A1660" i="1"/>
  <c r="D1659" i="1"/>
  <c r="A1659" i="1"/>
  <c r="D1658" i="1"/>
  <c r="A1658" i="1"/>
  <c r="D751" i="1"/>
  <c r="A751" i="1"/>
  <c r="D750" i="1"/>
  <c r="A750" i="1"/>
  <c r="D1657" i="1"/>
  <c r="A1657" i="1"/>
  <c r="D1656" i="1"/>
  <c r="A1656" i="1"/>
  <c r="D1655" i="1"/>
  <c r="A1655" i="1"/>
  <c r="D1654" i="1"/>
  <c r="A1654" i="1"/>
  <c r="D1653" i="1"/>
  <c r="A1653" i="1"/>
  <c r="D1652" i="1"/>
  <c r="A1652" i="1"/>
  <c r="D1651" i="1"/>
  <c r="A1651" i="1"/>
  <c r="D1650" i="1"/>
  <c r="A1650" i="1"/>
  <c r="D1649" i="1"/>
  <c r="A1649" i="1"/>
  <c r="D1648" i="1"/>
  <c r="A1648" i="1"/>
  <c r="D1647" i="1"/>
  <c r="A1647" i="1"/>
  <c r="D1646" i="1"/>
  <c r="A1646" i="1"/>
  <c r="D1645" i="1"/>
  <c r="A1645" i="1"/>
  <c r="D1644" i="1"/>
  <c r="A1644" i="1"/>
  <c r="D1643" i="1"/>
  <c r="A1643" i="1"/>
  <c r="D1642" i="1"/>
  <c r="A1642" i="1"/>
  <c r="D1641" i="1"/>
  <c r="A1641" i="1"/>
  <c r="D1640" i="1"/>
  <c r="A1640" i="1"/>
  <c r="D1639" i="1"/>
  <c r="A1639" i="1"/>
  <c r="D1638" i="1"/>
  <c r="A1638" i="1"/>
  <c r="D1637" i="1"/>
  <c r="A1637" i="1"/>
  <c r="D1636" i="1"/>
  <c r="A1636" i="1"/>
  <c r="D1635" i="1"/>
  <c r="A1635" i="1"/>
  <c r="D1634" i="1"/>
  <c r="A1634" i="1"/>
  <c r="D1633" i="1"/>
  <c r="A1633" i="1"/>
  <c r="D749" i="1"/>
  <c r="A749" i="1"/>
  <c r="D1632" i="1"/>
  <c r="A1632" i="1"/>
  <c r="D1631" i="1"/>
  <c r="A1631" i="1"/>
  <c r="D80" i="1"/>
  <c r="A80" i="1"/>
  <c r="D1630" i="1"/>
  <c r="A1630" i="1"/>
  <c r="D1629" i="1"/>
  <c r="A1629" i="1"/>
  <c r="D748" i="1"/>
  <c r="A748" i="1"/>
  <c r="D1628" i="1"/>
  <c r="A1628" i="1"/>
  <c r="D1627" i="1"/>
  <c r="A1627" i="1"/>
  <c r="D1626" i="1"/>
  <c r="A1626" i="1"/>
  <c r="D1625" i="1"/>
  <c r="A1625" i="1"/>
  <c r="D20" i="1"/>
  <c r="A20" i="1"/>
  <c r="D1624" i="1"/>
  <c r="A1624" i="1"/>
  <c r="D1623" i="1"/>
  <c r="A1623" i="1"/>
  <c r="D38" i="1"/>
  <c r="A38" i="1"/>
  <c r="D1622" i="1"/>
  <c r="A1622" i="1"/>
  <c r="D1621" i="1"/>
  <c r="A1621" i="1"/>
  <c r="D1620" i="1"/>
  <c r="A1620" i="1"/>
  <c r="D1619" i="1"/>
  <c r="A1619" i="1"/>
  <c r="D1618" i="1"/>
  <c r="A1618" i="1"/>
  <c r="D1617" i="1"/>
  <c r="A1617" i="1"/>
  <c r="D1616" i="1"/>
  <c r="A1616" i="1"/>
  <c r="D747" i="1"/>
  <c r="A747" i="1"/>
  <c r="D746" i="1"/>
  <c r="A746" i="1"/>
  <c r="D1615" i="1"/>
  <c r="A1615" i="1"/>
  <c r="D1614" i="1"/>
  <c r="A1614" i="1"/>
  <c r="D1613" i="1"/>
  <c r="A1613" i="1"/>
  <c r="D1612" i="1"/>
  <c r="A1612" i="1"/>
  <c r="D1611" i="1"/>
  <c r="A1611" i="1"/>
  <c r="D1610" i="1"/>
  <c r="A1610" i="1"/>
  <c r="D1609" i="1"/>
  <c r="A1609" i="1"/>
  <c r="D1608" i="1"/>
  <c r="A1608" i="1"/>
  <c r="D1607" i="1"/>
  <c r="A1607" i="1"/>
  <c r="D1606" i="1"/>
  <c r="A1606" i="1"/>
  <c r="D132" i="1"/>
  <c r="A132" i="1"/>
  <c r="D1605" i="1"/>
  <c r="A1605" i="1"/>
  <c r="D1604" i="1"/>
  <c r="A1604" i="1"/>
  <c r="D1603" i="1"/>
  <c r="A1603" i="1"/>
  <c r="D1602" i="1"/>
  <c r="A1602" i="1"/>
  <c r="D1601" i="1"/>
  <c r="A1601" i="1"/>
  <c r="D1600" i="1"/>
  <c r="A1600" i="1"/>
  <c r="D1599" i="1"/>
  <c r="A1599" i="1"/>
  <c r="D1598" i="1"/>
  <c r="A1598" i="1"/>
  <c r="D131" i="1"/>
  <c r="A131" i="1"/>
  <c r="D1597" i="1"/>
  <c r="A1597" i="1"/>
  <c r="D745" i="1"/>
  <c r="A745" i="1"/>
  <c r="D1596" i="1"/>
  <c r="A1596" i="1"/>
  <c r="D1595" i="1"/>
  <c r="A1595" i="1"/>
  <c r="D1594" i="1"/>
  <c r="A1594" i="1"/>
  <c r="D1593" i="1"/>
  <c r="A1593" i="1"/>
  <c r="D1592" i="1"/>
  <c r="A1592" i="1"/>
  <c r="D1591" i="1"/>
  <c r="A1591" i="1"/>
  <c r="D5844" i="1"/>
  <c r="A5844" i="1"/>
  <c r="D1590" i="1"/>
  <c r="A1590" i="1"/>
  <c r="D1589" i="1"/>
  <c r="A1589" i="1"/>
  <c r="D1588" i="1"/>
  <c r="A1588" i="1"/>
  <c r="D1587" i="1"/>
  <c r="A1587" i="1"/>
  <c r="D1586" i="1"/>
  <c r="A1586" i="1"/>
  <c r="D744" i="1"/>
  <c r="A744" i="1"/>
  <c r="D1585" i="1"/>
  <c r="A1585" i="1"/>
  <c r="D1584" i="1"/>
  <c r="A1584" i="1"/>
  <c r="D1583" i="1"/>
  <c r="A1583" i="1"/>
  <c r="D1582" i="1"/>
  <c r="A1582" i="1"/>
  <c r="D743" i="1"/>
  <c r="A743" i="1"/>
  <c r="D1581" i="1"/>
  <c r="A1581" i="1"/>
  <c r="D1580" i="1"/>
  <c r="A1580" i="1"/>
  <c r="D1579" i="1"/>
  <c r="A1579" i="1"/>
  <c r="D1578" i="1"/>
  <c r="A1578" i="1"/>
  <c r="D1577" i="1"/>
  <c r="A1577" i="1"/>
  <c r="D1576" i="1"/>
  <c r="A1576" i="1"/>
  <c r="D1575" i="1"/>
  <c r="A1575" i="1"/>
  <c r="D1574" i="1"/>
  <c r="A1574" i="1"/>
  <c r="D1573" i="1"/>
  <c r="A1573" i="1"/>
  <c r="D1572" i="1"/>
  <c r="A1572" i="1"/>
  <c r="D1571" i="1"/>
  <c r="A1571" i="1"/>
  <c r="D1570" i="1"/>
  <c r="A1570" i="1"/>
  <c r="D1569" i="1"/>
  <c r="A1569" i="1"/>
  <c r="D1568" i="1"/>
  <c r="A1568" i="1"/>
  <c r="D742" i="1"/>
  <c r="A742" i="1"/>
  <c r="D1567" i="1"/>
  <c r="A1567" i="1"/>
  <c r="D5843" i="1"/>
  <c r="A5843" i="1"/>
  <c r="D1566" i="1"/>
  <c r="A1566" i="1"/>
  <c r="D1565" i="1"/>
  <c r="A1565" i="1"/>
  <c r="D1564" i="1"/>
  <c r="A1564" i="1"/>
  <c r="D741" i="1"/>
  <c r="A741" i="1"/>
  <c r="D1563" i="1"/>
  <c r="A1563" i="1"/>
  <c r="D1562" i="1"/>
  <c r="A1562" i="1"/>
  <c r="D1561" i="1"/>
  <c r="A1561" i="1"/>
  <c r="D1560" i="1"/>
  <c r="A1560" i="1"/>
  <c r="D1559" i="1"/>
  <c r="A1559" i="1"/>
  <c r="D1558" i="1"/>
  <c r="A1558" i="1"/>
  <c r="D130" i="1"/>
  <c r="A130" i="1"/>
  <c r="D1557" i="1"/>
  <c r="A1557" i="1"/>
  <c r="D1556" i="1"/>
  <c r="A1556" i="1"/>
  <c r="D1555" i="1"/>
  <c r="A1555" i="1"/>
  <c r="D1554" i="1"/>
  <c r="A1554" i="1"/>
  <c r="D1553" i="1"/>
  <c r="A1553" i="1"/>
  <c r="D1552" i="1"/>
  <c r="A1552" i="1"/>
  <c r="D1551" i="1"/>
  <c r="A1551" i="1"/>
  <c r="D1550" i="1"/>
  <c r="A1550" i="1"/>
  <c r="D1549" i="1"/>
  <c r="A1549" i="1"/>
  <c r="D5842" i="1"/>
  <c r="A5842" i="1"/>
  <c r="D1548" i="1"/>
  <c r="A1548" i="1"/>
  <c r="D1547" i="1"/>
  <c r="A1547" i="1"/>
  <c r="D1546" i="1"/>
  <c r="A1546" i="1"/>
  <c r="D1545" i="1"/>
  <c r="A1545" i="1"/>
  <c r="D1544" i="1"/>
  <c r="A1544" i="1"/>
  <c r="D1543" i="1"/>
  <c r="A1543" i="1"/>
  <c r="D1542" i="1"/>
  <c r="A1542" i="1"/>
  <c r="D1541" i="1"/>
  <c r="A1541" i="1"/>
  <c r="D1540" i="1"/>
  <c r="A1540" i="1"/>
  <c r="D1539" i="1"/>
  <c r="A1539" i="1"/>
  <c r="D1538" i="1"/>
  <c r="A1538" i="1"/>
  <c r="D1537" i="1"/>
  <c r="A1537" i="1"/>
  <c r="D1536" i="1"/>
  <c r="A1536" i="1"/>
  <c r="D1535" i="1"/>
  <c r="A1535" i="1"/>
  <c r="D1534" i="1"/>
  <c r="A1534" i="1"/>
  <c r="D1533" i="1"/>
  <c r="A1533" i="1"/>
  <c r="D1532" i="1"/>
  <c r="A1532" i="1"/>
  <c r="D1531" i="1"/>
  <c r="A1531" i="1"/>
  <c r="D1530" i="1"/>
  <c r="A1530" i="1"/>
  <c r="D1529" i="1"/>
  <c r="A1529" i="1"/>
  <c r="D1528" i="1"/>
  <c r="A1528" i="1"/>
  <c r="D1527" i="1"/>
  <c r="A1527" i="1"/>
  <c r="D1526" i="1"/>
  <c r="A1526" i="1"/>
  <c r="D1525" i="1"/>
  <c r="A1525" i="1"/>
  <c r="D1524" i="1"/>
  <c r="A1524" i="1"/>
  <c r="D1523" i="1"/>
  <c r="A1523" i="1"/>
  <c r="D1522" i="1"/>
  <c r="A1522" i="1"/>
  <c r="D1521" i="1"/>
  <c r="A1521" i="1"/>
  <c r="D129" i="1"/>
  <c r="A129" i="1"/>
  <c r="D1520" i="1"/>
  <c r="A1520" i="1"/>
  <c r="D1519" i="1"/>
  <c r="A1519" i="1"/>
  <c r="D1518" i="1"/>
  <c r="A1518" i="1"/>
  <c r="D1517" i="1"/>
  <c r="A1517" i="1"/>
  <c r="D1516" i="1"/>
  <c r="A1516" i="1"/>
  <c r="D1515" i="1"/>
  <c r="A1515" i="1"/>
  <c r="D1514" i="1"/>
  <c r="A1514" i="1"/>
  <c r="D1513" i="1"/>
  <c r="A1513" i="1"/>
  <c r="D1512" i="1"/>
  <c r="A1512" i="1"/>
  <c r="D1511" i="1"/>
  <c r="A1511" i="1"/>
  <c r="D1510" i="1"/>
  <c r="A1510" i="1"/>
  <c r="D1509" i="1"/>
  <c r="A1509" i="1"/>
  <c r="D1508" i="1"/>
  <c r="A1508" i="1"/>
  <c r="D1507" i="1"/>
  <c r="A1507" i="1"/>
  <c r="D1506" i="1"/>
  <c r="A1506" i="1"/>
  <c r="D1505" i="1"/>
  <c r="A1505" i="1"/>
  <c r="D1504" i="1"/>
  <c r="A1504" i="1"/>
  <c r="D1503" i="1"/>
  <c r="A1503" i="1"/>
  <c r="D5841" i="1"/>
  <c r="A5841" i="1"/>
  <c r="D1502" i="1"/>
  <c r="A1502" i="1"/>
  <c r="D1501" i="1"/>
  <c r="A1501" i="1"/>
  <c r="D1500" i="1"/>
  <c r="A1500" i="1"/>
  <c r="D1499" i="1"/>
  <c r="A1499" i="1"/>
  <c r="D1498" i="1"/>
  <c r="A1498" i="1"/>
  <c r="D1497" i="1"/>
  <c r="A1497" i="1"/>
  <c r="D1496" i="1"/>
  <c r="A1496" i="1"/>
  <c r="D1495" i="1"/>
  <c r="A1495" i="1"/>
  <c r="D1494" i="1"/>
  <c r="A1494" i="1"/>
  <c r="D1493" i="1"/>
  <c r="A1493" i="1"/>
  <c r="D1492" i="1"/>
  <c r="A1492" i="1"/>
  <c r="D1491" i="1"/>
  <c r="A1491" i="1"/>
  <c r="D1490" i="1"/>
  <c r="A1490" i="1"/>
  <c r="D1489" i="1"/>
  <c r="A1489" i="1"/>
  <c r="D1488" i="1"/>
  <c r="A1488" i="1"/>
  <c r="D1487" i="1"/>
  <c r="A1487" i="1"/>
  <c r="D1486" i="1"/>
  <c r="A1486" i="1"/>
  <c r="D5840" i="1"/>
  <c r="A5840" i="1"/>
  <c r="D1485" i="1"/>
  <c r="A1485" i="1"/>
  <c r="D1484" i="1"/>
  <c r="A1484" i="1"/>
  <c r="D1483" i="1"/>
  <c r="A1483" i="1"/>
  <c r="D1482" i="1"/>
  <c r="A1482" i="1"/>
  <c r="D1481" i="1"/>
  <c r="A1481" i="1"/>
  <c r="D5839" i="1"/>
  <c r="A5839" i="1"/>
  <c r="D1480" i="1"/>
  <c r="A1480" i="1"/>
  <c r="D1479" i="1"/>
  <c r="A1479" i="1"/>
  <c r="D1478" i="1"/>
  <c r="A1478" i="1"/>
  <c r="D1477" i="1"/>
  <c r="A1477" i="1"/>
  <c r="D1476" i="1"/>
  <c r="A1476" i="1"/>
  <c r="D1475" i="1"/>
  <c r="A1475" i="1"/>
  <c r="D1474" i="1"/>
  <c r="A1474" i="1"/>
  <c r="D1473" i="1"/>
  <c r="A1473" i="1"/>
  <c r="D1472" i="1"/>
  <c r="A1472" i="1"/>
  <c r="D1471" i="1"/>
  <c r="A1471" i="1"/>
  <c r="D1470" i="1"/>
  <c r="A1470" i="1"/>
  <c r="D1469" i="1"/>
  <c r="A1469" i="1"/>
  <c r="D1468" i="1"/>
  <c r="A1468" i="1"/>
  <c r="D1467" i="1"/>
  <c r="A1467" i="1"/>
  <c r="D1466" i="1"/>
  <c r="A1466" i="1"/>
  <c r="D1465" i="1"/>
  <c r="A1465" i="1"/>
  <c r="D1464" i="1"/>
  <c r="A1464" i="1"/>
  <c r="D1463" i="1"/>
  <c r="A1463" i="1"/>
  <c r="D1462" i="1"/>
  <c r="A1462" i="1"/>
  <c r="D1461" i="1"/>
  <c r="A1461" i="1"/>
  <c r="D1460" i="1"/>
  <c r="A1460" i="1"/>
  <c r="D1459" i="1"/>
  <c r="A1459" i="1"/>
  <c r="D1458" i="1"/>
  <c r="A1458" i="1"/>
  <c r="D1457" i="1"/>
  <c r="A1457" i="1"/>
  <c r="D1456" i="1"/>
  <c r="A1456" i="1"/>
  <c r="D1455" i="1"/>
  <c r="A1455" i="1"/>
  <c r="D1454" i="1"/>
  <c r="A1454" i="1"/>
  <c r="D1453" i="1"/>
  <c r="A1453" i="1"/>
  <c r="D1452" i="1"/>
  <c r="A1452" i="1"/>
  <c r="D1451" i="1"/>
  <c r="A1451" i="1"/>
  <c r="D1450" i="1"/>
  <c r="A1450" i="1"/>
  <c r="D1449" i="1"/>
  <c r="A1449" i="1"/>
  <c r="D1448" i="1"/>
  <c r="A1448" i="1"/>
  <c r="D740" i="1"/>
  <c r="A740" i="1"/>
  <c r="D739" i="1"/>
  <c r="A739" i="1"/>
  <c r="D1447" i="1"/>
  <c r="A1447" i="1"/>
  <c r="D1446" i="1"/>
  <c r="A1446" i="1"/>
  <c r="D1445" i="1"/>
  <c r="A1445" i="1"/>
  <c r="D1444" i="1"/>
  <c r="A1444" i="1"/>
  <c r="D1443" i="1"/>
  <c r="A1443" i="1"/>
  <c r="D1442" i="1"/>
  <c r="A1442" i="1"/>
  <c r="D1441" i="1"/>
  <c r="A1441" i="1"/>
  <c r="D1440" i="1"/>
  <c r="A1440" i="1"/>
  <c r="D1439" i="1"/>
  <c r="A1439" i="1"/>
  <c r="D1438" i="1"/>
  <c r="A1438" i="1"/>
  <c r="D1437" i="1"/>
  <c r="A1437" i="1"/>
  <c r="D1436" i="1"/>
  <c r="A1436" i="1"/>
  <c r="D1435" i="1"/>
  <c r="A1435" i="1"/>
  <c r="D1434" i="1"/>
  <c r="A1434" i="1"/>
  <c r="D1433" i="1"/>
  <c r="A1433" i="1"/>
  <c r="D1432" i="1"/>
  <c r="A1432" i="1"/>
  <c r="D1431" i="1"/>
  <c r="A1431" i="1"/>
  <c r="D1430" i="1"/>
  <c r="A1430" i="1"/>
  <c r="D1429" i="1"/>
  <c r="A1429" i="1"/>
  <c r="D1428" i="1"/>
  <c r="A1428" i="1"/>
  <c r="D1427" i="1"/>
  <c r="A1427" i="1"/>
  <c r="D1426" i="1"/>
  <c r="A1426" i="1"/>
  <c r="D1425" i="1"/>
  <c r="A1425" i="1"/>
  <c r="D1424" i="1"/>
  <c r="A1424" i="1"/>
  <c r="D1423" i="1"/>
  <c r="A1423" i="1"/>
  <c r="D1422" i="1"/>
  <c r="A1422" i="1"/>
  <c r="D1421" i="1"/>
  <c r="A1421" i="1"/>
  <c r="D1420" i="1"/>
  <c r="A1420" i="1"/>
  <c r="D1419" i="1"/>
  <c r="A1419" i="1"/>
  <c r="D1418" i="1"/>
  <c r="A1418" i="1"/>
  <c r="D1417" i="1"/>
  <c r="A1417" i="1"/>
  <c r="D1416" i="1"/>
  <c r="A1416" i="1"/>
  <c r="D1415" i="1"/>
  <c r="A1415" i="1"/>
  <c r="D1414" i="1"/>
  <c r="A1414" i="1"/>
  <c r="D1413" i="1"/>
  <c r="A1413" i="1"/>
  <c r="D1412" i="1"/>
  <c r="A1412" i="1"/>
  <c r="D1411" i="1"/>
  <c r="A1411" i="1"/>
  <c r="D1410" i="1"/>
  <c r="A1410" i="1"/>
  <c r="D1409" i="1"/>
  <c r="A1409" i="1"/>
  <c r="D1408" i="1"/>
  <c r="A1408" i="1"/>
  <c r="D1407" i="1"/>
  <c r="A1407" i="1"/>
  <c r="D1406" i="1"/>
  <c r="A1406" i="1"/>
  <c r="D1405" i="1"/>
  <c r="A1405" i="1"/>
  <c r="D1404" i="1"/>
  <c r="A1404" i="1"/>
  <c r="D1403" i="1"/>
  <c r="A1403" i="1"/>
  <c r="D1402" i="1"/>
  <c r="A1402" i="1"/>
  <c r="D1401" i="1"/>
  <c r="A1401" i="1"/>
  <c r="D5838" i="1"/>
  <c r="A5838" i="1"/>
  <c r="D128" i="1"/>
  <c r="A128" i="1"/>
  <c r="D1400" i="1"/>
  <c r="A1400" i="1"/>
  <c r="D1399" i="1"/>
  <c r="A1399" i="1"/>
  <c r="D1398" i="1"/>
  <c r="A1398" i="1"/>
  <c r="D1397" i="1"/>
  <c r="A1397" i="1"/>
  <c r="D1396" i="1"/>
  <c r="A1396" i="1"/>
  <c r="D1395" i="1"/>
  <c r="A1395" i="1"/>
  <c r="D127" i="1"/>
  <c r="A127" i="1"/>
  <c r="D1394" i="1"/>
  <c r="A1394" i="1"/>
  <c r="D1393" i="1"/>
  <c r="A1393" i="1"/>
  <c r="D1392" i="1"/>
  <c r="A1392" i="1"/>
  <c r="D1391" i="1"/>
  <c r="A1391" i="1"/>
  <c r="D1390" i="1"/>
  <c r="A1390" i="1"/>
  <c r="D1389" i="1"/>
  <c r="A1389" i="1"/>
  <c r="D1388" i="1"/>
  <c r="A1388" i="1"/>
  <c r="D1387" i="1"/>
  <c r="A1387" i="1"/>
  <c r="D1386" i="1"/>
  <c r="A1386" i="1"/>
  <c r="D1385" i="1"/>
  <c r="A1385" i="1"/>
  <c r="D1384" i="1"/>
  <c r="A1384" i="1"/>
  <c r="D1383" i="1"/>
  <c r="A1383" i="1"/>
  <c r="D1382" i="1"/>
  <c r="A1382" i="1"/>
  <c r="D1381" i="1"/>
  <c r="A1381" i="1"/>
  <c r="D1380" i="1"/>
  <c r="A1380" i="1"/>
  <c r="D738" i="1"/>
  <c r="A738" i="1"/>
  <c r="D1379" i="1"/>
  <c r="A1379" i="1"/>
  <c r="D1378" i="1"/>
  <c r="A1378" i="1"/>
  <c r="D1377" i="1"/>
  <c r="A1377" i="1"/>
  <c r="D1376" i="1"/>
  <c r="A1376" i="1"/>
  <c r="D1375" i="1"/>
  <c r="A1375" i="1"/>
  <c r="D1374" i="1"/>
  <c r="A1374" i="1"/>
  <c r="D1373" i="1"/>
  <c r="A1373" i="1"/>
  <c r="D1372" i="1"/>
  <c r="A1372" i="1"/>
  <c r="D1371" i="1"/>
  <c r="A1371" i="1"/>
  <c r="D1370" i="1"/>
  <c r="A1370" i="1"/>
  <c r="D1369" i="1"/>
  <c r="A1369" i="1"/>
  <c r="D1368" i="1"/>
  <c r="A1368" i="1"/>
  <c r="D1367" i="1"/>
  <c r="A1367" i="1"/>
  <c r="D1366" i="1"/>
  <c r="A1366" i="1"/>
  <c r="D1365" i="1"/>
  <c r="A1365" i="1"/>
  <c r="D1364" i="1"/>
  <c r="A1364" i="1"/>
  <c r="D1363" i="1"/>
  <c r="A1363" i="1"/>
  <c r="D1362" i="1"/>
  <c r="A1362" i="1"/>
  <c r="D1361" i="1"/>
  <c r="A1361" i="1"/>
  <c r="D1360" i="1"/>
  <c r="A1360" i="1"/>
  <c r="D1359" i="1"/>
  <c r="A1359" i="1"/>
  <c r="D1358" i="1"/>
  <c r="A1358" i="1"/>
  <c r="D1357" i="1"/>
  <c r="A1357" i="1"/>
  <c r="D13789" i="1"/>
  <c r="A13789" i="1"/>
  <c r="D737" i="1"/>
  <c r="A737" i="1"/>
  <c r="D1356" i="1"/>
  <c r="A1356" i="1"/>
  <c r="D1355" i="1"/>
  <c r="A1355" i="1"/>
  <c r="D1354" i="1"/>
  <c r="A1354" i="1"/>
  <c r="D1353" i="1"/>
  <c r="A1353" i="1"/>
  <c r="D1352" i="1"/>
  <c r="A1352" i="1"/>
  <c r="D1351" i="1"/>
  <c r="A1351" i="1"/>
  <c r="D1350" i="1"/>
  <c r="A1350" i="1"/>
  <c r="D1349" i="1"/>
  <c r="A1349" i="1"/>
  <c r="D1348" i="1"/>
  <c r="A1348" i="1"/>
  <c r="D1347" i="1"/>
  <c r="A1347" i="1"/>
  <c r="D1346" i="1"/>
  <c r="A1346" i="1"/>
  <c r="D1345" i="1"/>
  <c r="A1345" i="1"/>
  <c r="D1344" i="1"/>
  <c r="A1344" i="1"/>
  <c r="D1343" i="1"/>
  <c r="A1343" i="1"/>
  <c r="D1342" i="1"/>
  <c r="A1342" i="1"/>
  <c r="D1341" i="1"/>
  <c r="A1341" i="1"/>
  <c r="D1340" i="1"/>
  <c r="A1340" i="1"/>
  <c r="D1339" i="1"/>
  <c r="A1339" i="1"/>
  <c r="D1338" i="1"/>
  <c r="A1338" i="1"/>
  <c r="D1337" i="1"/>
  <c r="A1337" i="1"/>
  <c r="D1336" i="1"/>
  <c r="A1336" i="1"/>
  <c r="D1335" i="1"/>
  <c r="A1335" i="1"/>
  <c r="D1334" i="1"/>
  <c r="A1334" i="1"/>
  <c r="D1333" i="1"/>
  <c r="A1333" i="1"/>
  <c r="D1332" i="1"/>
  <c r="A1332" i="1"/>
  <c r="D1331" i="1"/>
  <c r="A1331" i="1"/>
  <c r="D1330" i="1"/>
  <c r="A1330" i="1"/>
  <c r="D1329" i="1"/>
  <c r="A1329" i="1"/>
  <c r="D1328" i="1"/>
  <c r="A1328" i="1"/>
  <c r="D1327" i="1"/>
  <c r="A1327" i="1"/>
  <c r="D1326" i="1"/>
  <c r="A1326" i="1"/>
  <c r="D1325" i="1"/>
  <c r="A1325" i="1"/>
  <c r="D1324" i="1"/>
  <c r="A1324" i="1"/>
  <c r="D736" i="1"/>
  <c r="A736" i="1"/>
  <c r="D1323" i="1"/>
  <c r="A1323" i="1"/>
  <c r="D1322" i="1"/>
  <c r="A1322" i="1"/>
  <c r="D1321" i="1"/>
  <c r="A1321" i="1"/>
  <c r="D1320" i="1"/>
  <c r="A1320" i="1"/>
  <c r="D1319" i="1"/>
  <c r="A1319" i="1"/>
  <c r="D1318" i="1"/>
  <c r="A1318" i="1"/>
  <c r="D1317" i="1"/>
  <c r="A1317" i="1"/>
  <c r="D1316" i="1"/>
  <c r="A1316" i="1"/>
  <c r="D1315" i="1"/>
  <c r="A1315" i="1"/>
  <c r="D1314" i="1"/>
  <c r="A1314" i="1"/>
  <c r="D735" i="1"/>
  <c r="A735" i="1"/>
  <c r="D1313" i="1"/>
  <c r="A1313" i="1"/>
  <c r="D1312" i="1"/>
  <c r="A1312" i="1"/>
  <c r="D1311" i="1"/>
  <c r="A1311" i="1"/>
  <c r="D1310" i="1"/>
  <c r="A1310" i="1"/>
  <c r="D1309" i="1"/>
  <c r="A1309" i="1"/>
  <c r="D1308" i="1"/>
  <c r="A1308" i="1"/>
  <c r="D1307" i="1"/>
  <c r="A1307" i="1"/>
  <c r="D1306" i="1"/>
  <c r="A1306" i="1"/>
  <c r="D1305" i="1"/>
  <c r="A1305" i="1"/>
  <c r="D1304" i="1"/>
  <c r="A1304" i="1"/>
  <c r="D1303" i="1"/>
  <c r="A1303" i="1"/>
  <c r="D1302" i="1"/>
  <c r="A1302" i="1"/>
  <c r="D1301" i="1"/>
  <c r="A1301" i="1"/>
  <c r="D1300" i="1"/>
  <c r="A1300" i="1"/>
  <c r="D1299" i="1"/>
  <c r="A1299" i="1"/>
  <c r="D1298" i="1"/>
  <c r="A1298" i="1"/>
  <c r="D1297" i="1"/>
  <c r="A1297" i="1"/>
  <c r="D1296" i="1"/>
  <c r="A1296" i="1"/>
  <c r="D1295" i="1"/>
  <c r="A1295" i="1"/>
  <c r="D1294" i="1"/>
  <c r="A1294" i="1"/>
  <c r="D1293" i="1"/>
  <c r="A1293" i="1"/>
  <c r="D1292" i="1"/>
  <c r="A1292" i="1"/>
  <c r="D1291" i="1"/>
  <c r="A1291" i="1"/>
  <c r="D734" i="1"/>
  <c r="A734" i="1"/>
  <c r="D1290" i="1"/>
  <c r="A1290" i="1"/>
  <c r="D1289" i="1"/>
  <c r="A1289" i="1"/>
  <c r="D1288" i="1"/>
  <c r="A1288" i="1"/>
  <c r="D1287" i="1"/>
  <c r="A1287" i="1"/>
  <c r="D1286" i="1"/>
  <c r="A1286" i="1"/>
  <c r="D1285" i="1"/>
  <c r="A1285" i="1"/>
  <c r="D1284" i="1"/>
  <c r="A1284" i="1"/>
  <c r="D1283" i="1"/>
  <c r="A1283" i="1"/>
  <c r="D5837" i="1"/>
  <c r="A5837" i="1"/>
  <c r="D1282" i="1"/>
  <c r="A1282" i="1"/>
  <c r="D1281" i="1"/>
  <c r="A1281" i="1"/>
  <c r="D1280" i="1"/>
  <c r="A1280" i="1"/>
  <c r="D1279" i="1"/>
  <c r="A1279" i="1"/>
  <c r="D1278" i="1"/>
  <c r="A1278" i="1"/>
  <c r="D1277" i="1"/>
  <c r="A1277" i="1"/>
  <c r="D1276" i="1"/>
  <c r="A1276" i="1"/>
  <c r="D1275" i="1"/>
  <c r="A1275" i="1"/>
  <c r="D1274" i="1"/>
  <c r="A1274" i="1"/>
  <c r="D5836" i="1"/>
  <c r="A5836" i="1"/>
  <c r="D733" i="1"/>
  <c r="A733" i="1"/>
  <c r="D1273" i="1"/>
  <c r="A1273" i="1"/>
  <c r="D1272" i="1"/>
  <c r="A1272" i="1"/>
  <c r="D732" i="1"/>
  <c r="A732" i="1"/>
  <c r="D731" i="1"/>
  <c r="A731" i="1"/>
  <c r="D1271" i="1"/>
  <c r="A1271" i="1"/>
  <c r="D1270" i="1"/>
  <c r="A1270" i="1"/>
  <c r="D1269" i="1"/>
  <c r="A1269" i="1"/>
  <c r="D1268" i="1"/>
  <c r="A1268" i="1"/>
  <c r="D1267" i="1"/>
  <c r="A1267" i="1"/>
  <c r="D1266" i="1"/>
  <c r="A1266" i="1"/>
  <c r="D1265" i="1"/>
  <c r="A1265" i="1"/>
  <c r="D1264" i="1"/>
  <c r="A1264" i="1"/>
  <c r="D1263" i="1"/>
  <c r="A1263" i="1"/>
  <c r="D1262" i="1"/>
  <c r="A1262" i="1"/>
  <c r="D1261" i="1"/>
  <c r="A1261" i="1"/>
  <c r="D1260" i="1"/>
  <c r="A1260" i="1"/>
  <c r="D1259" i="1"/>
  <c r="A1259" i="1"/>
  <c r="D1258" i="1"/>
  <c r="A1258" i="1"/>
  <c r="D1257" i="1"/>
  <c r="A1257" i="1"/>
  <c r="D1256" i="1"/>
  <c r="A1256" i="1"/>
  <c r="D5835" i="1"/>
  <c r="A5835" i="1"/>
  <c r="D1255" i="1"/>
  <c r="A1255" i="1"/>
  <c r="D1254" i="1"/>
  <c r="A1254" i="1"/>
  <c r="D1253" i="1"/>
  <c r="A1253" i="1"/>
  <c r="D1252" i="1"/>
  <c r="A1252" i="1"/>
  <c r="D1251" i="1"/>
  <c r="A1251" i="1"/>
  <c r="D1250" i="1"/>
  <c r="A1250" i="1"/>
  <c r="D1249" i="1"/>
  <c r="A1249" i="1"/>
  <c r="D1248" i="1"/>
  <c r="A1248" i="1"/>
  <c r="D1247" i="1"/>
  <c r="A1247" i="1"/>
  <c r="D1246" i="1"/>
  <c r="A1246" i="1"/>
  <c r="D730" i="1"/>
  <c r="A730" i="1"/>
  <c r="D79" i="1"/>
  <c r="A79" i="1"/>
  <c r="D1245" i="1"/>
  <c r="A1245" i="1"/>
  <c r="D1244" i="1"/>
  <c r="A1244" i="1"/>
  <c r="D1243" i="1"/>
  <c r="A1243" i="1"/>
  <c r="D1242" i="1"/>
  <c r="A1242" i="1"/>
  <c r="D1241" i="1"/>
  <c r="A1241" i="1"/>
  <c r="D1240" i="1"/>
  <c r="A1240" i="1"/>
  <c r="D1239" i="1"/>
  <c r="A1239" i="1"/>
  <c r="D5834" i="1"/>
  <c r="A5834" i="1"/>
  <c r="D1238" i="1"/>
  <c r="A1238" i="1"/>
  <c r="D1237" i="1"/>
  <c r="A1237" i="1"/>
  <c r="D1236" i="1"/>
  <c r="A1236" i="1"/>
  <c r="D1235" i="1"/>
  <c r="A1235" i="1"/>
  <c r="D1234" i="1"/>
  <c r="A1234" i="1"/>
  <c r="D1233" i="1"/>
  <c r="A1233" i="1"/>
  <c r="D1232" i="1"/>
  <c r="A1232" i="1"/>
  <c r="D13771" i="1"/>
  <c r="A13771" i="1"/>
  <c r="D1231" i="1"/>
  <c r="A1231" i="1"/>
  <c r="D1230" i="1"/>
  <c r="A1230" i="1"/>
  <c r="D1229" i="1"/>
  <c r="A1229" i="1"/>
  <c r="D1228" i="1"/>
  <c r="A1228" i="1"/>
  <c r="D5833" i="1"/>
  <c r="A5833" i="1"/>
  <c r="D13770" i="1"/>
  <c r="A13770" i="1"/>
  <c r="D13769" i="1"/>
  <c r="A13769" i="1"/>
  <c r="D13768" i="1"/>
  <c r="A13768" i="1"/>
  <c r="D1227" i="1"/>
  <c r="A1227" i="1"/>
  <c r="D1226" i="1"/>
  <c r="A1226" i="1"/>
  <c r="D729" i="1"/>
  <c r="A729" i="1"/>
  <c r="D1225" i="1"/>
  <c r="A1225" i="1"/>
</calcChain>
</file>

<file path=xl/sharedStrings.xml><?xml version="1.0" encoding="utf-8"?>
<sst xmlns="http://schemas.openxmlformats.org/spreadsheetml/2006/main" count="55178" uniqueCount="13461">
  <si>
    <t>Reservation Number</t>
  </si>
  <si>
    <t>Reservation Status</t>
  </si>
  <si>
    <t>Reservation Source</t>
  </si>
  <si>
    <t>Primary Guest Full Name</t>
  </si>
  <si>
    <t>Primary Guest Email</t>
  </si>
  <si>
    <t>Check-Out Date</t>
  </si>
  <si>
    <t>Room Revenue Total</t>
  </si>
  <si>
    <t>Grand Total</t>
  </si>
  <si>
    <t>Reservation Paid Amount</t>
  </si>
  <si>
    <t>Reservation Balance Due</t>
  </si>
  <si>
    <t>Checked Out</t>
  </si>
  <si>
    <t>Expedia</t>
  </si>
  <si>
    <t>duffybeverley514@gmail.com</t>
  </si>
  <si>
    <t>2018-06-12</t>
  </si>
  <si>
    <t>Import from previous system</t>
  </si>
  <si>
    <t>ltoppen@bresnan.net</t>
  </si>
  <si>
    <t>2018-06-21</t>
  </si>
  <si>
    <t>Website/Booking Engine</t>
  </si>
  <si>
    <t>p35@aol.com</t>
  </si>
  <si>
    <t>2018-10-14</t>
  </si>
  <si>
    <t>Booking.com</t>
  </si>
  <si>
    <t>jthorp.984693@guest.booking.com</t>
  </si>
  <si>
    <t>2018-07-07</t>
  </si>
  <si>
    <t>Import - CRS</t>
  </si>
  <si>
    <t>rouseb121@gmail.com</t>
  </si>
  <si>
    <t>2018-07-01</t>
  </si>
  <si>
    <t>heim2002@hotmail.com</t>
  </si>
  <si>
    <t>2018-07-22</t>
  </si>
  <si>
    <t>none@none.com</t>
  </si>
  <si>
    <t>2018-06-10</t>
  </si>
  <si>
    <t>therealmccoys4@msn.com</t>
  </si>
  <si>
    <t>2018-06-24</t>
  </si>
  <si>
    <t>glanzy56@yahoo.com</t>
  </si>
  <si>
    <t>2018-07-29</t>
  </si>
  <si>
    <t>rodpheifer@hotmail.com</t>
  </si>
  <si>
    <t>2018-06-08</t>
  </si>
  <si>
    <t>kimgymer@yahoo.com</t>
  </si>
  <si>
    <t>2018-06-18</t>
  </si>
  <si>
    <t>sheri.engleking@gmail.com</t>
  </si>
  <si>
    <t>danielson.bethany@gmail.com</t>
  </si>
  <si>
    <t>2018-06-17</t>
  </si>
  <si>
    <t>brfmjna@hotmail.com</t>
  </si>
  <si>
    <t>Import - Direct</t>
  </si>
  <si>
    <t>peggyannschulte@gmail.com</t>
  </si>
  <si>
    <t>lorigalles9861@gmail.com</t>
  </si>
  <si>
    <t>2018-08-19</t>
  </si>
  <si>
    <t>scott.spradley@insightbb.com</t>
  </si>
  <si>
    <t>2018-06-19</t>
  </si>
  <si>
    <t>schimkat5@gmail.com</t>
  </si>
  <si>
    <t>plumbdjkkj@gmail.com</t>
  </si>
  <si>
    <t>colinzoellner1@noemail.com</t>
  </si>
  <si>
    <t>brettwilson282@gmail.com</t>
  </si>
  <si>
    <t>2018-06-09</t>
  </si>
  <si>
    <t>tsimon.237313@guest.booking.com</t>
  </si>
  <si>
    <t>2018-06-30</t>
  </si>
  <si>
    <t>cparr.167844@guest.booking.com</t>
  </si>
  <si>
    <t>2018-06-27</t>
  </si>
  <si>
    <t>timothyrhode1@noemail.com</t>
  </si>
  <si>
    <t>2018-06-14</t>
  </si>
  <si>
    <t>jennifer.dusek77@gmail.com</t>
  </si>
  <si>
    <t>fredrickhutchinson1@noemail.com</t>
  </si>
  <si>
    <t>scotd6@rap.midco.net</t>
  </si>
  <si>
    <t>2018-06-15</t>
  </si>
  <si>
    <t>aulves.786175@guest.booking.com</t>
  </si>
  <si>
    <t>susanbrandte@icloud.com</t>
  </si>
  <si>
    <t>michael.s.wetrich@ubs.com</t>
  </si>
  <si>
    <t>wllundquist@gmail.com</t>
  </si>
  <si>
    <t>crammage@trustmarkins.com</t>
  </si>
  <si>
    <t>josh.j.kester@gmail.com</t>
  </si>
  <si>
    <t>2018-07-24</t>
  </si>
  <si>
    <t>ravandyke@live.com</t>
  </si>
  <si>
    <t>2018-09-03</t>
  </si>
  <si>
    <t>tacton.570687@guest.booking.com</t>
  </si>
  <si>
    <t>djs4811@gmail.com</t>
  </si>
  <si>
    <t>warmsoul2012@yahoo.com</t>
  </si>
  <si>
    <t>mattandjessiehuebner@yahoo.com</t>
  </si>
  <si>
    <t>epeter.211570@guest.booking.com</t>
  </si>
  <si>
    <t>akhennen@yahoo.com</t>
  </si>
  <si>
    <t>larissagroeneweg@hotmail.com</t>
  </si>
  <si>
    <t>2018-06-23</t>
  </si>
  <si>
    <t>fischerton@yahoo.com</t>
  </si>
  <si>
    <t>dmcpar.918892@guest.booking.com</t>
  </si>
  <si>
    <t>pgyzs1@gmail.com</t>
  </si>
  <si>
    <t>jasonmiller1@noemail.com</t>
  </si>
  <si>
    <t>gbreimon1497@charter.net</t>
  </si>
  <si>
    <t>2018-07-08</t>
  </si>
  <si>
    <t>lyndawoods@hotmail.com</t>
  </si>
  <si>
    <t>2018-06-20</t>
  </si>
  <si>
    <t>jcall@kc.rr.com</t>
  </si>
  <si>
    <t>2018-08-05</t>
  </si>
  <si>
    <t>hkarge.247541@guest.booking.com</t>
  </si>
  <si>
    <t>steve.hernandez@gwtc.net</t>
  </si>
  <si>
    <t>2018-06-22</t>
  </si>
  <si>
    <t>donnadetlefsen@hotmail.com</t>
  </si>
  <si>
    <t>jmoore.405927@guest.booking.com</t>
  </si>
  <si>
    <t>neville@kenningconsulting.com</t>
  </si>
  <si>
    <t>2018-07-19</t>
  </si>
  <si>
    <t>salomon.dominguez@usiouxfalls.edu</t>
  </si>
  <si>
    <t>2018-07-04</t>
  </si>
  <si>
    <t>joshua.rivard@stclairconnect.ca</t>
  </si>
  <si>
    <t>molly.gurule@gmail.com</t>
  </si>
  <si>
    <t>2018-07-03</t>
  </si>
  <si>
    <t>croger.583423@guest.booking.com</t>
  </si>
  <si>
    <t>ourcustomcreations@yahoo.com</t>
  </si>
  <si>
    <t>2018-07-09</t>
  </si>
  <si>
    <t>dstauf.781191@guest.booking.com</t>
  </si>
  <si>
    <t>2018-07-14</t>
  </si>
  <si>
    <t>tdhclones@gmail.com</t>
  </si>
  <si>
    <t>2018-07-15</t>
  </si>
  <si>
    <t>tkesy@sbcglobal.net</t>
  </si>
  <si>
    <t>jensonfamilyfarms@yahoo.com</t>
  </si>
  <si>
    <t>yogaroxs@gmail.com</t>
  </si>
  <si>
    <t>2018-06-29</t>
  </si>
  <si>
    <t>georgelewis1@noemail.com</t>
  </si>
  <si>
    <t>michaelmulvaney@hotmail.com</t>
  </si>
  <si>
    <t>2018-06-26</t>
  </si>
  <si>
    <t>mklipp.909068@guest.booking.com</t>
  </si>
  <si>
    <t>jteel46@gmail.com</t>
  </si>
  <si>
    <t>sheyen@allied-oil.com</t>
  </si>
  <si>
    <t>support@hoteltonight.com</t>
  </si>
  <si>
    <t>rickdilley1@noemail.com</t>
  </si>
  <si>
    <t>Import - Walk In</t>
  </si>
  <si>
    <t>markdeterman1@noemail.com</t>
  </si>
  <si>
    <t>mstaubinwv@hotmail.com</t>
  </si>
  <si>
    <t>2018-06-28</t>
  </si>
  <si>
    <t>rhill.873558@guest.booking.com</t>
  </si>
  <si>
    <t>tdoughty@idahomountainrealty.com</t>
  </si>
  <si>
    <t>2018-07-12</t>
  </si>
  <si>
    <t>mschuelke_9@hotmail.com</t>
  </si>
  <si>
    <t>charli58@live.com</t>
  </si>
  <si>
    <t>good38@longlines.com</t>
  </si>
  <si>
    <t>edheydon.pps@gmail.com</t>
  </si>
  <si>
    <t>2018-07-17</t>
  </si>
  <si>
    <t>richardstrand1@noemail.com</t>
  </si>
  <si>
    <t>tabetha.vanderwoude@gmail.com</t>
  </si>
  <si>
    <t>amysunquist@yahoo.com</t>
  </si>
  <si>
    <t>danoltmanns1@noemail.com</t>
  </si>
  <si>
    <t>2018-07-06</t>
  </si>
  <si>
    <t>nietfield@meltel.net</t>
  </si>
  <si>
    <t>2018-08-04</t>
  </si>
  <si>
    <t>annhigginswi@gmail.com</t>
  </si>
  <si>
    <t>2018-09-20</t>
  </si>
  <si>
    <t>lambert816@gmail.com</t>
  </si>
  <si>
    <t>emarqu.326826@guest.booking.com</t>
  </si>
  <si>
    <t>2018-07-13</t>
  </si>
  <si>
    <t>jimvogt1@gmail.com</t>
  </si>
  <si>
    <t>grkarmazin@yahoo.com</t>
  </si>
  <si>
    <t>mariaterry99@gmail.com</t>
  </si>
  <si>
    <t>rtmal65@gmail.com</t>
  </si>
  <si>
    <t>mvcasey11@gmail.com</t>
  </si>
  <si>
    <t>taraburkhart@juno.com</t>
  </si>
  <si>
    <t>harleyhog2408@yahoo.com</t>
  </si>
  <si>
    <t>2018-07-02</t>
  </si>
  <si>
    <t>cariannemankey@gmail.com</t>
  </si>
  <si>
    <t>ksherr.829675@guest.booking.com</t>
  </si>
  <si>
    <t>2018-07-16</t>
  </si>
  <si>
    <t>hmplate33@aol.com</t>
  </si>
  <si>
    <t>depau22m@mtholyoke.edu</t>
  </si>
  <si>
    <t>prowen.129157@guest.booking.com</t>
  </si>
  <si>
    <t>livetotravelvacations@comcast.net</t>
  </si>
  <si>
    <t>2018-07-11</t>
  </si>
  <si>
    <t>mdeve@hotmail.com</t>
  </si>
  <si>
    <t>2018-07-10</t>
  </si>
  <si>
    <t>krybat.662695@guest.booking.com</t>
  </si>
  <si>
    <t>jamesclark1@noemail.com</t>
  </si>
  <si>
    <t>howard.tefft@amway.com</t>
  </si>
  <si>
    <t>ssmith@s3v.us</t>
  </si>
  <si>
    <t>tardiskey4@gmail.com</t>
  </si>
  <si>
    <t>jayala.814615@guest.booking.com</t>
  </si>
  <si>
    <t>bheyer.850411@guest.booking.com</t>
  </si>
  <si>
    <t>2018-07-25</t>
  </si>
  <si>
    <t>rjsayle@gmail.com</t>
  </si>
  <si>
    <t>adoriz.449882@guest.booking.com</t>
  </si>
  <si>
    <t>lkroeger5@gmail.com</t>
  </si>
  <si>
    <t>2018-08-12</t>
  </si>
  <si>
    <t>jsheins@yahoo.com</t>
  </si>
  <si>
    <t>2018-07-27</t>
  </si>
  <si>
    <t>pgvantil@gmail.com</t>
  </si>
  <si>
    <t>js197@outlook.com</t>
  </si>
  <si>
    <t>2018-08-10</t>
  </si>
  <si>
    <t>rgagno.162410@guest.booking.com</t>
  </si>
  <si>
    <t>lesliedparker@yahoo.com</t>
  </si>
  <si>
    <t>mlutj@yahoo.com</t>
  </si>
  <si>
    <t>steve_mcnair9@hotmail.com</t>
  </si>
  <si>
    <t>2018-07-20</t>
  </si>
  <si>
    <t>daimtiger@hotmail.com</t>
  </si>
  <si>
    <t>2018-07-05</t>
  </si>
  <si>
    <t>tb1974@hotmail.com</t>
  </si>
  <si>
    <t>david@cihlar.us</t>
  </si>
  <si>
    <t>craigdexter911@yahoo.com</t>
  </si>
  <si>
    <t>wildpath68@gmail.com</t>
  </si>
  <si>
    <t>josiejent@hotmail.com</t>
  </si>
  <si>
    <t>amber.grajkowski@gmail.com</t>
  </si>
  <si>
    <t>lehndds@yahoo.com</t>
  </si>
  <si>
    <t>sjohns.252412@guest.booking.com</t>
  </si>
  <si>
    <t>brightgma@gmail.com</t>
  </si>
  <si>
    <t>2018-07-23</t>
  </si>
  <si>
    <t>sarah0030@gmail.com</t>
  </si>
  <si>
    <t>rachelwehmeier@juno.com</t>
  </si>
  <si>
    <t>jhoefe.570274@guest.booking.com</t>
  </si>
  <si>
    <t>esserfamily@msn.com</t>
  </si>
  <si>
    <t>xybrdog9@yahoo.com</t>
  </si>
  <si>
    <t>sranko.455194@guest.booking.com</t>
  </si>
  <si>
    <t>cmashah@gmail.com</t>
  </si>
  <si>
    <t>nshank.480739@guest.booking.com</t>
  </si>
  <si>
    <t>2018-07-26</t>
  </si>
  <si>
    <t>karastanton06@gmail.com</t>
  </si>
  <si>
    <t>rburros@hotmail.com</t>
  </si>
  <si>
    <t>sgtgurganus@gmail.com</t>
  </si>
  <si>
    <t>jimnaasz1@noemail.com</t>
  </si>
  <si>
    <t>mail4daveh@gmail.com</t>
  </si>
  <si>
    <t>scott@thecoinc.com</t>
  </si>
  <si>
    <t>jrich.720217@guest.booking.com</t>
  </si>
  <si>
    <t>2018-07-18</t>
  </si>
  <si>
    <t>jessicacunio2014@hotmail.com</t>
  </si>
  <si>
    <t>jconstanza@betson.com</t>
  </si>
  <si>
    <t>dredinger@hotmail.com</t>
  </si>
  <si>
    <t>glendacole1@noemail.com</t>
  </si>
  <si>
    <t>2018-10-07</t>
  </si>
  <si>
    <t>alsoathome@gmail.com</t>
  </si>
  <si>
    <t>nikki.burch@keytotheworldtravel.com</t>
  </si>
  <si>
    <t>laporte5869@gmail.com</t>
  </si>
  <si>
    <t>haylow22@yahoo.com</t>
  </si>
  <si>
    <t>bonnieburkey1@noemail.com</t>
  </si>
  <si>
    <t>hjordantruman@yahoo.com</t>
  </si>
  <si>
    <t>2018-08-08</t>
  </si>
  <si>
    <t>muptegrove@ymail.com</t>
  </si>
  <si>
    <t>mbvoith@yahoo.com</t>
  </si>
  <si>
    <t>cbriss.513872@guest.booking.com</t>
  </si>
  <si>
    <t>tcboub@gmail.com</t>
  </si>
  <si>
    <t>dsteev.395283@guest.booking.com</t>
  </si>
  <si>
    <t>danielgabbert1@noemail.com</t>
  </si>
  <si>
    <t>melisaokolie1@noemail.com</t>
  </si>
  <si>
    <t>bailey_lomas@yahoo.com</t>
  </si>
  <si>
    <t>2018-07-28</t>
  </si>
  <si>
    <t>lghrants@googlemail.com</t>
  </si>
  <si>
    <t>rboler@flatrockgrp.com</t>
  </si>
  <si>
    <t>talon93@hotmail.com</t>
  </si>
  <si>
    <t>2018-08-07</t>
  </si>
  <si>
    <t>seksurebrandon@gmail.com</t>
  </si>
  <si>
    <t>schmidt.jenniferj@att.net</t>
  </si>
  <si>
    <t>sstewa.579917@guest.booking.com</t>
  </si>
  <si>
    <t>garrettyoung1@noemail.com</t>
  </si>
  <si>
    <t>joe.tefft@kunkel-inc.com</t>
  </si>
  <si>
    <t>none@email.com</t>
  </si>
  <si>
    <t>hunderwood@colorescience.com</t>
  </si>
  <si>
    <t>terigave@gmail.com</t>
  </si>
  <si>
    <t>2018-09-01</t>
  </si>
  <si>
    <t>timmpint@hotmail.com</t>
  </si>
  <si>
    <t>nickortmeier@yahoo.com</t>
  </si>
  <si>
    <t>action1120@yahoo.com</t>
  </si>
  <si>
    <t>deannahandel@yahoo.com</t>
  </si>
  <si>
    <t>annbeyer@gmail.com</t>
  </si>
  <si>
    <t>2018-08-03</t>
  </si>
  <si>
    <t>juliehollander@hotmail.com</t>
  </si>
  <si>
    <t>tshear.355563@guest.booking.com</t>
  </si>
  <si>
    <t>2018-07-31</t>
  </si>
  <si>
    <t>deankes1@noemail.com</t>
  </si>
  <si>
    <t>2018-07-21</t>
  </si>
  <si>
    <t>sharma.chakor@gmail.com</t>
  </si>
  <si>
    <t>2018-08-29</t>
  </si>
  <si>
    <t>wglaes.596536@guest.booking.com</t>
  </si>
  <si>
    <t>ejobe.106661@guest.booking.com</t>
  </si>
  <si>
    <t>dbrett.846257@guest.booking.com</t>
  </si>
  <si>
    <t>csteever@msn.com</t>
  </si>
  <si>
    <t>dsimps.424209@guest.booking.com</t>
  </si>
  <si>
    <t>harrispollard@gmail.com</t>
  </si>
  <si>
    <t>2018-08-02</t>
  </si>
  <si>
    <t>lmckee.997862@guest.booking.com</t>
  </si>
  <si>
    <t>david.foord@unb.ca</t>
  </si>
  <si>
    <t>2018-08-16</t>
  </si>
  <si>
    <t>bthimmig@gmail.com</t>
  </si>
  <si>
    <t>2018-08-01</t>
  </si>
  <si>
    <t>alexplimpton1@noemail.com</t>
  </si>
  <si>
    <t>khudem.174741@guest.booking.com</t>
  </si>
  <si>
    <t>erickelly1@noemail.com</t>
  </si>
  <si>
    <t>csmith@mycalvary.org</t>
  </si>
  <si>
    <t>2018-08-11</t>
  </si>
  <si>
    <t>sue.wellman@hardwareresources.com</t>
  </si>
  <si>
    <t>jdebernardeaux@gmail.com</t>
  </si>
  <si>
    <t>kms121608@gmail.com</t>
  </si>
  <si>
    <t>tturechek@yahoo.com</t>
  </si>
  <si>
    <t>tlaue.291003@guest.booking.com</t>
  </si>
  <si>
    <t>kszych.767987@guest.booking.com</t>
  </si>
  <si>
    <t>angela27aries@yahoo.com</t>
  </si>
  <si>
    <t>mary.paradeis@icloud.com</t>
  </si>
  <si>
    <t>barbieschwinn@gmail.com</t>
  </si>
  <si>
    <t>backclinic@aol.com</t>
  </si>
  <si>
    <t>2018-07-30</t>
  </si>
  <si>
    <t>therma.406166@guest.booking.com</t>
  </si>
  <si>
    <t>bwilso.673702@guest.booking.com</t>
  </si>
  <si>
    <t>reayzoellner@gmail.com</t>
  </si>
  <si>
    <t>averyzahn1@noemail.com</t>
  </si>
  <si>
    <t>weiner.adam@yahoo.com</t>
  </si>
  <si>
    <t>fmorti.294799@guest.booking.com</t>
  </si>
  <si>
    <t>kathrynfosness1@noemail.com</t>
  </si>
  <si>
    <t>marsha.pereira@alarisgroup.com</t>
  </si>
  <si>
    <t>depauw64@aol.com</t>
  </si>
  <si>
    <t>bjstuber@gmail.com</t>
  </si>
  <si>
    <t>11073504@hec.ca</t>
  </si>
  <si>
    <t>2018-08-27</t>
  </si>
  <si>
    <t>heidt8326@hotmail.com</t>
  </si>
  <si>
    <t>mukti8@yahoo.com</t>
  </si>
  <si>
    <t>newboldke171@gmail.com</t>
  </si>
  <si>
    <t>nhagen.920621@guest.booking.com</t>
  </si>
  <si>
    <t>mpiao.448222@guest.booking.com</t>
  </si>
  <si>
    <t>2018-08-09</t>
  </si>
  <si>
    <t>shammea_drea@msn.com</t>
  </si>
  <si>
    <t>sebasepek@gmail.com</t>
  </si>
  <si>
    <t>emeram2000@yahoo.com</t>
  </si>
  <si>
    <t>2018-08-06</t>
  </si>
  <si>
    <t>molody@teatrinity.org</t>
  </si>
  <si>
    <t>mfourn.135467@guest.booking.com</t>
  </si>
  <si>
    <t>nancyboyd1@noemail.com</t>
  </si>
  <si>
    <t>williamsimmons1@noemail.com</t>
  </si>
  <si>
    <t>jorgealbertolanderos.ramirez@gmail.com</t>
  </si>
  <si>
    <t>jkurow.375623@guest.booking.com</t>
  </si>
  <si>
    <t>michellemarie15@yahoo.com</t>
  </si>
  <si>
    <t>hsoldi.511616@guest.booking.com</t>
  </si>
  <si>
    <t>dkrumm.646046@guest.booking.com</t>
  </si>
  <si>
    <t>mhorns.208925@guest.booking.com</t>
  </si>
  <si>
    <t>2018-08-30</t>
  </si>
  <si>
    <t>nat.eckert@gmail.com</t>
  </si>
  <si>
    <t>gpeter.379441@guest.booking.com</t>
  </si>
  <si>
    <t>hrye.846294@guest.booking.com</t>
  </si>
  <si>
    <t>2018-08-24</t>
  </si>
  <si>
    <t>amrosenberg11@hotmail.com</t>
  </si>
  <si>
    <t>jaydubdub63@gmail.com</t>
  </si>
  <si>
    <t>2018-11-15</t>
  </si>
  <si>
    <t>ahanso.939734@guest.booking.com</t>
  </si>
  <si>
    <t>live2bless@nemont.net</t>
  </si>
  <si>
    <t>marieann2121@yahoo.com</t>
  </si>
  <si>
    <t>2018-08-14</t>
  </si>
  <si>
    <t>schwa851@umn.edu</t>
  </si>
  <si>
    <t>ccalo.328027@guest.booking.com</t>
  </si>
  <si>
    <t>2018-08-15</t>
  </si>
  <si>
    <t>llaiol.196459@guest.booking.com</t>
  </si>
  <si>
    <t>krigg.978403@guest.booking.com</t>
  </si>
  <si>
    <t>kylejayseppanen@gmail.com</t>
  </si>
  <si>
    <t>jlesofski@gmail.com</t>
  </si>
  <si>
    <t>robinburgett53@gmail.com</t>
  </si>
  <si>
    <t>tcorne.702011@guest.booking.com</t>
  </si>
  <si>
    <t>blairron@bellsouth.net</t>
  </si>
  <si>
    <t>2018-08-26</t>
  </si>
  <si>
    <t>dkozin.850971@guest.booking.com</t>
  </si>
  <si>
    <t>teqtn377@yahoo.com</t>
  </si>
  <si>
    <t>rmspiczka@gmail.com</t>
  </si>
  <si>
    <t>jdenis.994638@guest.booking.com</t>
  </si>
  <si>
    <t>2018-08-20</t>
  </si>
  <si>
    <t>lil.dawn39@yahoo.com</t>
  </si>
  <si>
    <t>sbarke.324295@guest.booking.com</t>
  </si>
  <si>
    <t>2018-08-23</t>
  </si>
  <si>
    <t>cpartin15@gmail.com</t>
  </si>
  <si>
    <t>2018-08-31</t>
  </si>
  <si>
    <t>eva_d@me.com</t>
  </si>
  <si>
    <t>jgarve.129533@guest.booking.com</t>
  </si>
  <si>
    <t>cpelletier75@hotmail.ca</t>
  </si>
  <si>
    <t>2018-08-21</t>
  </si>
  <si>
    <t>jgarve.826118@guest.booking.com</t>
  </si>
  <si>
    <t>jwang.104687@guest.booking.com</t>
  </si>
  <si>
    <t>paulfarkas1@noemail.com</t>
  </si>
  <si>
    <t>2018-08-17</t>
  </si>
  <si>
    <t>dbaer@smartchicken.com</t>
  </si>
  <si>
    <t>dotstot131@aol.com</t>
  </si>
  <si>
    <t>moped1@gmail.com</t>
  </si>
  <si>
    <t>jfuerst19@yahoo.com</t>
  </si>
  <si>
    <t>nander.673379@guest.booking.com</t>
  </si>
  <si>
    <t>mrpicka@msn.com</t>
  </si>
  <si>
    <t>klinkswoodworking@gmail.com</t>
  </si>
  <si>
    <t>gjhunstad@yahoo.com</t>
  </si>
  <si>
    <t>tylerlannon1@noemail.com</t>
  </si>
  <si>
    <t>ccook.602185@guest.booking.com</t>
  </si>
  <si>
    <t>sheisler@aol.com</t>
  </si>
  <si>
    <t>rsrooks@nvc.net</t>
  </si>
  <si>
    <t>2018-10-28</t>
  </si>
  <si>
    <t>mlmcclain@hotmail.com</t>
  </si>
  <si>
    <t>2018-09-04</t>
  </si>
  <si>
    <t>itchin.2b.stitchin@att.net</t>
  </si>
  <si>
    <t>glenmartino@yahoo.com</t>
  </si>
  <si>
    <t>lexxiearfsten@yahoo.com</t>
  </si>
  <si>
    <t>ccrawford@dltransport.com</t>
  </si>
  <si>
    <t>valeriev@lmprop.net</t>
  </si>
  <si>
    <t>roxannmlyons@yahoo.com</t>
  </si>
  <si>
    <t>rsnell.350482@guest.booking.com</t>
  </si>
  <si>
    <t>2018-09-07</t>
  </si>
  <si>
    <t>jaynielsen8037@gmail.com</t>
  </si>
  <si>
    <t>kneyse@comcast.net</t>
  </si>
  <si>
    <t>c350blown@yahoo.com</t>
  </si>
  <si>
    <t>2018-08-18</t>
  </si>
  <si>
    <t>dmboerg@gmail.com</t>
  </si>
  <si>
    <t>annesayre@hotmail.com</t>
  </si>
  <si>
    <t>jtitch.152085@guest.booking.com</t>
  </si>
  <si>
    <t>lyonsd@mchsi.com</t>
  </si>
  <si>
    <t>pascual.lisa1@gmail.com</t>
  </si>
  <si>
    <t>swagne.782697@guest.booking.com</t>
  </si>
  <si>
    <t>2018-08-28</t>
  </si>
  <si>
    <t>jeojr77@gmail.com</t>
  </si>
  <si>
    <t>braeden@dawsonins.com</t>
  </si>
  <si>
    <t>matthewmark66@gmail.com</t>
  </si>
  <si>
    <t>nahern.644665@guest.booking.com</t>
  </si>
  <si>
    <t>2018-08-22</t>
  </si>
  <si>
    <t>tblenner@schallertel.net</t>
  </si>
  <si>
    <t>caseywollman1@noemail.com</t>
  </si>
  <si>
    <t>richardcroucher1@noemail.com</t>
  </si>
  <si>
    <t>scottreed1@noemail.com</t>
  </si>
  <si>
    <t>nicoleheintz1@noemail.com</t>
  </si>
  <si>
    <t>slvanhouten@gmail.com</t>
  </si>
  <si>
    <t>mgratkins@gmail.com</t>
  </si>
  <si>
    <t>ketterl@midco.net</t>
  </si>
  <si>
    <t>2018-11-24</t>
  </si>
  <si>
    <t>saralinquist@gmail.com</t>
  </si>
  <si>
    <t>cliffaspinall@gmail.com</t>
  </si>
  <si>
    <t>jdrave.261233@guest.booking.com</t>
  </si>
  <si>
    <t>eodias.919465@guest.booking.com</t>
  </si>
  <si>
    <t>theacrimsen1@noemail.com</t>
  </si>
  <si>
    <t>llaver.648011@guest.booking.com</t>
  </si>
  <si>
    <t>donnalmoss1@gmail.com</t>
  </si>
  <si>
    <t>2018-09-23</t>
  </si>
  <si>
    <t>bfoy.183921@guest.booking.com</t>
  </si>
  <si>
    <t>zahnpeg@gmail.com</t>
  </si>
  <si>
    <t>kneufeld99@hotmail.com</t>
  </si>
  <si>
    <t>crosen.289876@guest.booking.com</t>
  </si>
  <si>
    <t>ccsc3357@sbcglobal.net</t>
  </si>
  <si>
    <t>hewlett.ryan@gmail.com</t>
  </si>
  <si>
    <t>joygleeson@hotmail.com</t>
  </si>
  <si>
    <t>joshjoshjosh6@gmail.com</t>
  </si>
  <si>
    <t>awbreuer@gmail.com</t>
  </si>
  <si>
    <t>troy@bossanova.com</t>
  </si>
  <si>
    <t>stephlodes@icloud.com</t>
  </si>
  <si>
    <t>michelleganshaw1@noemail.com</t>
  </si>
  <si>
    <t>fluffy69fluffy@gmail.com</t>
  </si>
  <si>
    <t>lorrainekintz1@noemail.com</t>
  </si>
  <si>
    <t>2018-09-09</t>
  </si>
  <si>
    <t>sbarke.598734@guest.booking.com</t>
  </si>
  <si>
    <t>khwang.197477@guest.booking.com</t>
  </si>
  <si>
    <t>dhofma.273279@guest.booking.com</t>
  </si>
  <si>
    <t>jbakeb.579808@guest.booking.com</t>
  </si>
  <si>
    <t>ndick@prim.com</t>
  </si>
  <si>
    <t>expedia@infogressive.com</t>
  </si>
  <si>
    <t>jwelfr.130656@guest.booking.com</t>
  </si>
  <si>
    <t>armourbluemoon@goldenwest.net</t>
  </si>
  <si>
    <t>marleneaguilar05@gmail.com</t>
  </si>
  <si>
    <t>shathe.676371@guest.booking.com</t>
  </si>
  <si>
    <t>bayerdebbie@gmail.com</t>
  </si>
  <si>
    <t>rsukha.129117@guest.booking.com</t>
  </si>
  <si>
    <t>mgillette85@hotmail.com</t>
  </si>
  <si>
    <t>scottstoll1@noemail.com</t>
  </si>
  <si>
    <t>graveswilliama@gmail.com</t>
  </si>
  <si>
    <t>2018-09-06</t>
  </si>
  <si>
    <t>tmcgui.629483@guest.booking.com</t>
  </si>
  <si>
    <t>zuhde4@gmail.com</t>
  </si>
  <si>
    <t>fflors.496958@guest.booking.com</t>
  </si>
  <si>
    <t>ftosi.665797@guest.booking.com</t>
  </si>
  <si>
    <t>michelleredwillow1@noemail.com</t>
  </si>
  <si>
    <t>mmangu.698686@guest.booking.com</t>
  </si>
  <si>
    <t>2018-09-02</t>
  </si>
  <si>
    <t>elegau.849436@guest.booking.com</t>
  </si>
  <si>
    <t>wpike.289963@guest.booking.com</t>
  </si>
  <si>
    <t>2018-09-22</t>
  </si>
  <si>
    <t>bradygaer1@noemail.com</t>
  </si>
  <si>
    <t>amoen.927285@guest.booking.com</t>
  </si>
  <si>
    <t>2018-09-12</t>
  </si>
  <si>
    <t>gracegoehring1@noemail.com</t>
  </si>
  <si>
    <t>jbakeb.433702@guest.booking.com</t>
  </si>
  <si>
    <t>j-stefan@live.com</t>
  </si>
  <si>
    <t>2018-09-19</t>
  </si>
  <si>
    <t>hagfire2@gmail.com</t>
  </si>
  <si>
    <t>springer2003@consolidated.net</t>
  </si>
  <si>
    <t>ddecal.621740@guest.booking.com</t>
  </si>
  <si>
    <t>2018-09-05</t>
  </si>
  <si>
    <t>pkarstens99@gmail.com</t>
  </si>
  <si>
    <t>2018-10-08</t>
  </si>
  <si>
    <t>cbeatt.573424@guest.booking.com</t>
  </si>
  <si>
    <t>2019-03-20</t>
  </si>
  <si>
    <t>nicolemattison1@noemail.com</t>
  </si>
  <si>
    <t>heidi@worklifeready.com</t>
  </si>
  <si>
    <t>2018-09-13</t>
  </si>
  <si>
    <t>jrausch@calumetmanure.com</t>
  </si>
  <si>
    <t>2018-09-08</t>
  </si>
  <si>
    <t>waynegk@gmail.com</t>
  </si>
  <si>
    <t>curtv6@gmail.com</t>
  </si>
  <si>
    <t>kassy.thomaslynn@gmail.com</t>
  </si>
  <si>
    <t>kennethpederson1@noemail.com</t>
  </si>
  <si>
    <t>wyomingband@hotmail.com</t>
  </si>
  <si>
    <t>2018-10-01</t>
  </si>
  <si>
    <t>btcog97@gmail.com</t>
  </si>
  <si>
    <t>mmaxwe@hotmail.com</t>
  </si>
  <si>
    <t>2018-09-21</t>
  </si>
  <si>
    <t>veronika.lustyuk@gmail.com</t>
  </si>
  <si>
    <t>rmanni.196840@guest.booking.com</t>
  </si>
  <si>
    <t>mickeykoehler957@yahoo.com</t>
  </si>
  <si>
    <t>2018-09-18</t>
  </si>
  <si>
    <t>susantala@yahoo.com</t>
  </si>
  <si>
    <t>schweitz5@yahoo.com</t>
  </si>
  <si>
    <t>rctease07@gmail.com</t>
  </si>
  <si>
    <t>kgrabe.893185@guest.booking.com</t>
  </si>
  <si>
    <t>dtobacco@outlook.com</t>
  </si>
  <si>
    <t>marconebraska@gmail.com</t>
  </si>
  <si>
    <t>jjfunnyfarm@yahoo.com</t>
  </si>
  <si>
    <t>2018-09-16</t>
  </si>
  <si>
    <t>polear.902083@guest.booking.com</t>
  </si>
  <si>
    <t>2018-10-19</t>
  </si>
  <si>
    <t>anitakoenig1@noemail.com</t>
  </si>
  <si>
    <t>sajones@unwsp.edu</t>
  </si>
  <si>
    <t>2018-09-14</t>
  </si>
  <si>
    <t>precisionsericesincorporated@hotmail.com</t>
  </si>
  <si>
    <t>treed.954923@guest.booking.com</t>
  </si>
  <si>
    <t>snolen.519092@guest.booking.com</t>
  </si>
  <si>
    <t>sandmann7@santel.net</t>
  </si>
  <si>
    <t>katrinakjjones@gmail.com</t>
  </si>
  <si>
    <t>danadjk@gmail.com</t>
  </si>
  <si>
    <t>ralphcoombs1@noemail.com</t>
  </si>
  <si>
    <t>roxannehirsch1@noemail.com</t>
  </si>
  <si>
    <t>b_lafrinere-09@hotmail.com</t>
  </si>
  <si>
    <t>lhoffe.196896@guest.booking.com</t>
  </si>
  <si>
    <t>drdonem@comcast.net</t>
  </si>
  <si>
    <t>rvarilek@lakesgasco.com</t>
  </si>
  <si>
    <t>swetovick7@gmail.com</t>
  </si>
  <si>
    <t>macdowell.courtney@gmail.com</t>
  </si>
  <si>
    <t>kristen_renae@outlook.com</t>
  </si>
  <si>
    <t>2018-09-24</t>
  </si>
  <si>
    <t>davidringgenberg1@noemail.com</t>
  </si>
  <si>
    <t>mertzm15@hotmail.com</t>
  </si>
  <si>
    <t>ksm13@comcast.net</t>
  </si>
  <si>
    <t>mblaue@satx.rr.com</t>
  </si>
  <si>
    <t>susan477@hotmail.com</t>
  </si>
  <si>
    <t>sbelen.951241@guest.booking.com</t>
  </si>
  <si>
    <t>shayne.mcgaughy@us.abb.com</t>
  </si>
  <si>
    <t>dale.keenan@mchsi.com</t>
  </si>
  <si>
    <t>2018-09-28</t>
  </si>
  <si>
    <t>justin.jedlicka@altagenetics.com</t>
  </si>
  <si>
    <t>guidokinds@gmail.com</t>
  </si>
  <si>
    <t>johnlewis1@noemail.com</t>
  </si>
  <si>
    <t>daviessa@gmail.com</t>
  </si>
  <si>
    <t>aabers.929042@guest.booking.com</t>
  </si>
  <si>
    <t>2018-09-25</t>
  </si>
  <si>
    <t>grayjeremy94@gmail.com</t>
  </si>
  <si>
    <t>ptillo.598568@guest.booking.com</t>
  </si>
  <si>
    <t>jollycubed@hotmail.com</t>
  </si>
  <si>
    <t>j.gorter@hotmail.com</t>
  </si>
  <si>
    <t>sthompson6351@yahoo.com</t>
  </si>
  <si>
    <t>2018-11-18</t>
  </si>
  <si>
    <t>brandi.jenne@adesa.com</t>
  </si>
  <si>
    <t>2018-11-06</t>
  </si>
  <si>
    <t>dlsimon212@yahoo.com</t>
  </si>
  <si>
    <t>2018-09-27</t>
  </si>
  <si>
    <t>accounting@dlsteiner.com</t>
  </si>
  <si>
    <t>ngexpedia@iceenterprise.com</t>
  </si>
  <si>
    <t>2018-10-05</t>
  </si>
  <si>
    <t>sbened.508074@guest.booking.com</t>
  </si>
  <si>
    <t>2018-09-26</t>
  </si>
  <si>
    <t>zgarla.247264@guest.booking.com</t>
  </si>
  <si>
    <t>2018-09-29</t>
  </si>
  <si>
    <t>randallbrant1@noemail.com</t>
  </si>
  <si>
    <t>2018-10-06</t>
  </si>
  <si>
    <t>leriks.485953@guest.booking.com</t>
  </si>
  <si>
    <t>kristinanderson864@gmail.com</t>
  </si>
  <si>
    <t>2018-09-30</t>
  </si>
  <si>
    <t>waynehanson1@noemail.com</t>
  </si>
  <si>
    <t>covingtp@yahoo.com</t>
  </si>
  <si>
    <t>2018-11-11</t>
  </si>
  <si>
    <t>phyllisbolie1@noemail.com</t>
  </si>
  <si>
    <t>denise.jindra.dj@gmail.com</t>
  </si>
  <si>
    <t>jc.seaman71@gmail.com</t>
  </si>
  <si>
    <t>2018-10-02</t>
  </si>
  <si>
    <t>nachum46@gmail.com</t>
  </si>
  <si>
    <t>bob.alva03@sbcglobal.net</t>
  </si>
  <si>
    <t>jpayne@hcws.com</t>
  </si>
  <si>
    <t>sterktj@gmail.com</t>
  </si>
  <si>
    <t>2018-10-04</t>
  </si>
  <si>
    <t>tommybeau2003@yahoo.com</t>
  </si>
  <si>
    <t>travis.schonleber@gmail.com</t>
  </si>
  <si>
    <t>2018-10-03</t>
  </si>
  <si>
    <t>efrieder@hecua.org</t>
  </si>
  <si>
    <t>2018-10-12</t>
  </si>
  <si>
    <t>amymattke@yahoo.com</t>
  </si>
  <si>
    <t>2018-10-21</t>
  </si>
  <si>
    <t>keithchvatal1@noemail.com</t>
  </si>
  <si>
    <t>tbocke.364277@guest.booking.com</t>
  </si>
  <si>
    <t>susanne.bain@k12.sd.us</t>
  </si>
  <si>
    <t>conniek222@gmail.com</t>
  </si>
  <si>
    <t>swanjimson@aol.com</t>
  </si>
  <si>
    <t>2018-10-10</t>
  </si>
  <si>
    <t>amcglothlen@gmail.com</t>
  </si>
  <si>
    <t>taylormade4u1@gmail.com</t>
  </si>
  <si>
    <t>2018-11-07</t>
  </si>
  <si>
    <t>connie.richter@hotmail.com</t>
  </si>
  <si>
    <t>n_melisa@hotmail.com</t>
  </si>
  <si>
    <t>lyoungs@juno.com</t>
  </si>
  <si>
    <t>jenniesmo@hotmail.com</t>
  </si>
  <si>
    <t>2018-11-04</t>
  </si>
  <si>
    <t>royguinn1@noemail.com</t>
  </si>
  <si>
    <t>2018-10-13</t>
  </si>
  <si>
    <t>chrisclarksanders@gmail.com</t>
  </si>
  <si>
    <t>2018-10-11</t>
  </si>
  <si>
    <t>dennisjt@hotmail.com</t>
  </si>
  <si>
    <t>mattb@vesenviro.com</t>
  </si>
  <si>
    <t>madkhelser@hotmail.com</t>
  </si>
  <si>
    <t>tseagl.148332@guest.booking.com</t>
  </si>
  <si>
    <t>2018-10-25</t>
  </si>
  <si>
    <t>margretpierce1@noemail.com</t>
  </si>
  <si>
    <t>jpf0827@gmail.com</t>
  </si>
  <si>
    <t>andrew@legion-investments.com</t>
  </si>
  <si>
    <t>kctlkid@sbcglobal.net</t>
  </si>
  <si>
    <t>2018-10-18</t>
  </si>
  <si>
    <t>loriseverson1@gmail.com</t>
  </si>
  <si>
    <t>momboot1976@gmail.com</t>
  </si>
  <si>
    <t>2018-10-17</t>
  </si>
  <si>
    <t>pietstrydom49@gmail.com</t>
  </si>
  <si>
    <t>2018-10-16</t>
  </si>
  <si>
    <t>r_connor121@msn.com</t>
  </si>
  <si>
    <t>2018-10-15</t>
  </si>
  <si>
    <t>buzzardboy29@yahoo.com</t>
  </si>
  <si>
    <t>dsmith1225@q.com</t>
  </si>
  <si>
    <t>andrew.hw.chung@gmail.com</t>
  </si>
  <si>
    <t>2018-10-31</t>
  </si>
  <si>
    <t>melodysand1@noemail.com</t>
  </si>
  <si>
    <t>2018-11-09</t>
  </si>
  <si>
    <t>abradermacher@icloud.com</t>
  </si>
  <si>
    <t>2018-10-20</t>
  </si>
  <si>
    <t>ewnelson05@gmail.com</t>
  </si>
  <si>
    <t>katieurevig@gmail.com</t>
  </si>
  <si>
    <t>tayloryost@hotmail.com</t>
  </si>
  <si>
    <t>ewyocham@centdx.net</t>
  </si>
  <si>
    <t>ranpam577@yahoo.com</t>
  </si>
  <si>
    <t>tsix.755804@guest.booking.com</t>
  </si>
  <si>
    <t>2018-10-23</t>
  </si>
  <si>
    <t>mclark@teamfrontrow.com</t>
  </si>
  <si>
    <t>davidleeniblett@gmail.com</t>
  </si>
  <si>
    <t>2018-10-22</t>
  </si>
  <si>
    <t>cathlinedenholm1@noemail.com</t>
  </si>
  <si>
    <t>futureseekers@wiktel.com</t>
  </si>
  <si>
    <t>leann.lind@gmail.com</t>
  </si>
  <si>
    <t>tjpeterson@dakotaadventistacademy.org</t>
  </si>
  <si>
    <t>2018-10-24</t>
  </si>
  <si>
    <t>info@datacomconnect.net</t>
  </si>
  <si>
    <t>julie@hewittlandcompany.com</t>
  </si>
  <si>
    <t>kevin.kocer@k12.sd.us</t>
  </si>
  <si>
    <t>2018-10-26</t>
  </si>
  <si>
    <t>jbyoung_652@msn.com</t>
  </si>
  <si>
    <t>kkarsn.515569@guest.booking.com</t>
  </si>
  <si>
    <t>naeagolden14@hotmail.com</t>
  </si>
  <si>
    <t>lhoffe.139377@guest.booking.com</t>
  </si>
  <si>
    <t>2019-01-06</t>
  </si>
  <si>
    <t>nkoland@hotmail.com</t>
  </si>
  <si>
    <t>jawhite@midco.net</t>
  </si>
  <si>
    <t>babyboar77@yahoo.com</t>
  </si>
  <si>
    <t>2018-11-30</t>
  </si>
  <si>
    <t>mgrosland@hotmail.com</t>
  </si>
  <si>
    <t>kathy_cfburg@msn.com</t>
  </si>
  <si>
    <t>pdunni.608331@guest.booking.com</t>
  </si>
  <si>
    <t>2018-12-02</t>
  </si>
  <si>
    <t>dgoulson@mscsafety.com</t>
  </si>
  <si>
    <t>2018-11-05</t>
  </si>
  <si>
    <t>mikkel.gasbjerg@fliegl.com</t>
  </si>
  <si>
    <t>2018-10-30</t>
  </si>
  <si>
    <t>jbartel@live.ca</t>
  </si>
  <si>
    <t>brucejacobs1@noemail.com</t>
  </si>
  <si>
    <t>2018-11-25</t>
  </si>
  <si>
    <t>victoriabrant1@noemail.com</t>
  </si>
  <si>
    <t>2018-11-02</t>
  </si>
  <si>
    <t>lacycarson1@noemail.com</t>
  </si>
  <si>
    <t>2018-11-01</t>
  </si>
  <si>
    <t>rick@ramlawnh.com</t>
  </si>
  <si>
    <t>taylorjacobs1@noemail.com</t>
  </si>
  <si>
    <t>cpe2021@gmail.com</t>
  </si>
  <si>
    <t>sjensvold@yahoo.com</t>
  </si>
  <si>
    <t>2019-03-07</t>
  </si>
  <si>
    <t>friedrichwidjajawigu1@noemail.com</t>
  </si>
  <si>
    <t>melisa.brachtwagner@yahoo.com</t>
  </si>
  <si>
    <t>2018-11-08</t>
  </si>
  <si>
    <t>asmith1535@gmail.com</t>
  </si>
  <si>
    <t>joshl@nteglobal.com</t>
  </si>
  <si>
    <t>2018-11-29</t>
  </si>
  <si>
    <t>me@atwellfamily.net</t>
  </si>
  <si>
    <t>2018-11-03</t>
  </si>
  <si>
    <t>nicholascarter1@noemail.com</t>
  </si>
  <si>
    <t>sheila.nelson57@icloud.com</t>
  </si>
  <si>
    <t>alweihe@yahoo.com</t>
  </si>
  <si>
    <t>2018-12-11</t>
  </si>
  <si>
    <t>garyhannon1@noemail.com</t>
  </si>
  <si>
    <t>jliebel77@hotmail.com</t>
  </si>
  <si>
    <t>duffymp13@gmail.com</t>
  </si>
  <si>
    <t>gretriever@pie.midco.net</t>
  </si>
  <si>
    <t>2018-11-10</t>
  </si>
  <si>
    <t>cschwienebart@gmail.com</t>
  </si>
  <si>
    <t>2018-11-23</t>
  </si>
  <si>
    <t>trent@vanderheidenfamily.com</t>
  </si>
  <si>
    <t>msroxi@gmail.com</t>
  </si>
  <si>
    <t>dumlaok06@yahoo.com</t>
  </si>
  <si>
    <t>colleen_pompa@hotmail.com</t>
  </si>
  <si>
    <t>worknonit@reagan.com</t>
  </si>
  <si>
    <t>customerservice@allresnet.com</t>
  </si>
  <si>
    <t>2018-11-21</t>
  </si>
  <si>
    <t>robertnichols1@noemail.com</t>
  </si>
  <si>
    <t>uvalde2721@yahoo.com</t>
  </si>
  <si>
    <t>2018-12-16</t>
  </si>
  <si>
    <t>davidrogers1@noemail.com</t>
  </si>
  <si>
    <t>debheise1@noemail.com</t>
  </si>
  <si>
    <t>layth.butrus@yahoo.com</t>
  </si>
  <si>
    <t>jennyjohnson0508@gmail.com</t>
  </si>
  <si>
    <t>lauriannw@hotmail.com</t>
  </si>
  <si>
    <t>lenny.keene@gmail.com</t>
  </si>
  <si>
    <t>cswim4@gmail.com</t>
  </si>
  <si>
    <t>2018-11-14</t>
  </si>
  <si>
    <t>lindatyehauger1@noemail.com</t>
  </si>
  <si>
    <t>marthajohnson1992@gmail.com</t>
  </si>
  <si>
    <t>juneschultek1@noemail.com</t>
  </si>
  <si>
    <t>kellyjo_22@hotmail.com</t>
  </si>
  <si>
    <t>receipts@roomvaluesteam.com</t>
  </si>
  <si>
    <t>2018-11-13</t>
  </si>
  <si>
    <t>genestreeservice69@gmail.com</t>
  </si>
  <si>
    <t>miller_tyme518@yahoo.com</t>
  </si>
  <si>
    <t>pikesprairie9@gmail.com</t>
  </si>
  <si>
    <t>2018-11-19</t>
  </si>
  <si>
    <t>jeremyphillips1@noemail.com</t>
  </si>
  <si>
    <t>2018-11-12</t>
  </si>
  <si>
    <t>jamesplucker1@noemail.com</t>
  </si>
  <si>
    <t>slider_360150@hotmail.com</t>
  </si>
  <si>
    <t>2018-11-17</t>
  </si>
  <si>
    <t>sshigg@aol.com</t>
  </si>
  <si>
    <t>heatherhlcmd@msn.com</t>
  </si>
  <si>
    <t>2018-11-22</t>
  </si>
  <si>
    <t>andi.steckler@gmail.com</t>
  </si>
  <si>
    <t>jennykoch@cableone.net</t>
  </si>
  <si>
    <t>ashleypick1@noemail.com</t>
  </si>
  <si>
    <t>2019-06-02</t>
  </si>
  <si>
    <t>blairstephenson1@noemail.com</t>
  </si>
  <si>
    <t>smatte.753802@guest.booking.com</t>
  </si>
  <si>
    <t>jasonshaw1@noemail.com</t>
  </si>
  <si>
    <t>grangermelissa@hotmail.com</t>
  </si>
  <si>
    <t>adams_ryan94@yahoo.com</t>
  </si>
  <si>
    <t>jerad.warkenthien@gmail.com</t>
  </si>
  <si>
    <t>2019-01-21</t>
  </si>
  <si>
    <t>johnlabute1@noemail.com</t>
  </si>
  <si>
    <t>2018-11-20</t>
  </si>
  <si>
    <t>juliapurrs@gmail.com</t>
  </si>
  <si>
    <t>nikkya.betz@gmail.com</t>
  </si>
  <si>
    <t>2018-11-26</t>
  </si>
  <si>
    <t>vanessa__to@hotmail.com</t>
  </si>
  <si>
    <t>annadorr1@noemail.com</t>
  </si>
  <si>
    <t>sen@sasso-usa.com</t>
  </si>
  <si>
    <t>harlowanderson1@noemail.com</t>
  </si>
  <si>
    <t>dkgillis@gmail.com</t>
  </si>
  <si>
    <t>2019-01-17</t>
  </si>
  <si>
    <t>ecurre.102724@guest.booking.com</t>
  </si>
  <si>
    <t>tdegraff@bis.midco.net</t>
  </si>
  <si>
    <t>randyramsey1@noemail.com</t>
  </si>
  <si>
    <t>cwrigh.122605@guest.booking.com</t>
  </si>
  <si>
    <t>2018-12-25</t>
  </si>
  <si>
    <t>findingdory525@gmail.com</t>
  </si>
  <si>
    <t>2018-11-27</t>
  </si>
  <si>
    <t>gutie317@comcast.net</t>
  </si>
  <si>
    <t>jjalarue@yahoo.com</t>
  </si>
  <si>
    <t>2018-11-28</t>
  </si>
  <si>
    <t>ed.mitchell.2d@gmail.com</t>
  </si>
  <si>
    <t>2018-12-01</t>
  </si>
  <si>
    <t>2018-12-04</t>
  </si>
  <si>
    <t>dlyons.791297@guest.booking.com</t>
  </si>
  <si>
    <t>2018-12-30</t>
  </si>
  <si>
    <t>michellewentzel1@noemail.com</t>
  </si>
  <si>
    <t>uanahele@gmail.com</t>
  </si>
  <si>
    <t>reservations@entertainmentbenefits.com</t>
  </si>
  <si>
    <t>2018-12-06</t>
  </si>
  <si>
    <t>svowle.911331@guest.booking.com</t>
  </si>
  <si>
    <t>louanneludwig1@noemail.com</t>
  </si>
  <si>
    <t>2018-12-05</t>
  </si>
  <si>
    <t>bschwa.265495@guest.booking.com</t>
  </si>
  <si>
    <t>2018-12-07</t>
  </si>
  <si>
    <t>j.jacobs@bitesquad.com</t>
  </si>
  <si>
    <t>2018-12-12</t>
  </si>
  <si>
    <t>jfcrocker@hotmail.com</t>
  </si>
  <si>
    <t>2018-12-09</t>
  </si>
  <si>
    <t>shelltanke@gmail.com</t>
  </si>
  <si>
    <t>2019-03-08</t>
  </si>
  <si>
    <t>dschaf.120917@guest.booking.com</t>
  </si>
  <si>
    <t>mommy438@hotmail.com</t>
  </si>
  <si>
    <t>mariagoodman@midstatesd.net</t>
  </si>
  <si>
    <t>sherewright@gmail.com</t>
  </si>
  <si>
    <t>2018-12-08</t>
  </si>
  <si>
    <t>lynnesharkle1@noemail.com</t>
  </si>
  <si>
    <t>jfkeinroth@hotmail.com</t>
  </si>
  <si>
    <t>kari.lohr@brownclinic.org</t>
  </si>
  <si>
    <t>faithfarm@itctel.com</t>
  </si>
  <si>
    <t>dancottrell@rocketmail.com</t>
  </si>
  <si>
    <t>rightseatflyer@gmail.com</t>
  </si>
  <si>
    <t>2018-12-15</t>
  </si>
  <si>
    <t>arausc.388780@guest.booking.com</t>
  </si>
  <si>
    <t>2018-12-19</t>
  </si>
  <si>
    <t>danielmassey1@noemail.com</t>
  </si>
  <si>
    <t>lschim.179115@guest.booking.com</t>
  </si>
  <si>
    <t>2018-12-13</t>
  </si>
  <si>
    <t>2018-12-14</t>
  </si>
  <si>
    <t>bblom.103404@guest.booking.com</t>
  </si>
  <si>
    <t>2018-12-22</t>
  </si>
  <si>
    <t>dorothynygaard1@noemail.com</t>
  </si>
  <si>
    <t>coolvoelker@hotmail.com</t>
  </si>
  <si>
    <t>2019-02-17</t>
  </si>
  <si>
    <t>wtimm44@gmail.com</t>
  </si>
  <si>
    <t>bclay@cisco.com</t>
  </si>
  <si>
    <t>lisafisher87@gmail.com</t>
  </si>
  <si>
    <t>2019-01-07</t>
  </si>
  <si>
    <t>kluzmoor@sweetwaterhsa.com</t>
  </si>
  <si>
    <t>alexander.dillabough@gmail.com</t>
  </si>
  <si>
    <t>lnedmonds@hotmail.com</t>
  </si>
  <si>
    <t>2018-12-17</t>
  </si>
  <si>
    <t>agrosz.190481@guest.booking.com</t>
  </si>
  <si>
    <t>2018-12-18</t>
  </si>
  <si>
    <t>melissamkees@gmail.com</t>
  </si>
  <si>
    <t>rschlosberg@gmail.com</t>
  </si>
  <si>
    <t>2018-12-26</t>
  </si>
  <si>
    <t>glendaricklefs1@noemail.com</t>
  </si>
  <si>
    <t>2018-12-31</t>
  </si>
  <si>
    <t>maunders1@verizon.net</t>
  </si>
  <si>
    <t>johnmeligan1@noemail.com</t>
  </si>
  <si>
    <t>jonathandh@nova-tech-eng.com</t>
  </si>
  <si>
    <t>2019-01-03</t>
  </si>
  <si>
    <t>lsvinck@mymts.net</t>
  </si>
  <si>
    <t>2018-12-28</t>
  </si>
  <si>
    <t>buzybeemom@live.com</t>
  </si>
  <si>
    <t>lindamerkwan1@noemail.com</t>
  </si>
  <si>
    <t>2019-01-01</t>
  </si>
  <si>
    <t>susan@steeleandsteele.com</t>
  </si>
  <si>
    <t>rbuesg.279162@guest.booking.com</t>
  </si>
  <si>
    <t>mikelopresti1@optonline.net</t>
  </si>
  <si>
    <t>macie_jae_23@hotmail.com</t>
  </si>
  <si>
    <t>yosemeat@aol.com</t>
  </si>
  <si>
    <t>2019-01-16</t>
  </si>
  <si>
    <t>gregg.e.graber@lmco.com</t>
  </si>
  <si>
    <t>dvanbe.458589@guest.booking.com</t>
  </si>
  <si>
    <t>2019-01-13</t>
  </si>
  <si>
    <t>ddoeden@alerusmail.com</t>
  </si>
  <si>
    <t>2019-01-05</t>
  </si>
  <si>
    <t>groeneveldtribe@gmail.com</t>
  </si>
  <si>
    <t>want2go2italy@sbcglobal.net</t>
  </si>
  <si>
    <t>carrieklock1@noemail.com</t>
  </si>
  <si>
    <t>2019-02-10</t>
  </si>
  <si>
    <t>paradiseqh@gmail.com</t>
  </si>
  <si>
    <t>bracybrown@gmail.com</t>
  </si>
  <si>
    <t>mirandagb21@gmail.com</t>
  </si>
  <si>
    <t>2019-01-09</t>
  </si>
  <si>
    <t>2019-01-08</t>
  </si>
  <si>
    <t>windeyt48@gmail.com</t>
  </si>
  <si>
    <t>2019-01-12</t>
  </si>
  <si>
    <t>markusyou@gmail.com</t>
  </si>
  <si>
    <t>hunze@yahoo.com</t>
  </si>
  <si>
    <t>info@picpro.com</t>
  </si>
  <si>
    <t>bblank.235765@guest.booking.com</t>
  </si>
  <si>
    <t>2019-04-07</t>
  </si>
  <si>
    <t>lbeyer.463970@guest.booking.com</t>
  </si>
  <si>
    <t>andrewh@nteglobal.com</t>
  </si>
  <si>
    <t>2019-01-15</t>
  </si>
  <si>
    <t>jkampf.893908@guest.booking.com</t>
  </si>
  <si>
    <t>2019-01-19</t>
  </si>
  <si>
    <t>2019-02-01</t>
  </si>
  <si>
    <t>blackburn0@hur.midco.net</t>
  </si>
  <si>
    <t>2019-05-12</t>
  </si>
  <si>
    <t>ronclark1964@yahoo.com</t>
  </si>
  <si>
    <t>adhofeman@yahoo.com</t>
  </si>
  <si>
    <t>2019-10-06</t>
  </si>
  <si>
    <t>2019-01-18</t>
  </si>
  <si>
    <t>gary.king@cypressriskmanagement.com</t>
  </si>
  <si>
    <t>barbarashiell1@noemail.com</t>
  </si>
  <si>
    <t>gmcgaffin@gmail.com</t>
  </si>
  <si>
    <t>oligmueller88@gmail.com</t>
  </si>
  <si>
    <t>tracy_mailloux@yahoo.com</t>
  </si>
  <si>
    <t>merick.386400@guest.booking.com</t>
  </si>
  <si>
    <t>2019-01-20</t>
  </si>
  <si>
    <t>tlarso.655891@guest.booking.com</t>
  </si>
  <si>
    <t>anthonyfischer1@noemail.com</t>
  </si>
  <si>
    <t>svobodamoyazs@gmail.com</t>
  </si>
  <si>
    <t>vdurba.547431@guest.booking.com</t>
  </si>
  <si>
    <t>brenren24@yahoo.com</t>
  </si>
  <si>
    <t>2019-01-22</t>
  </si>
  <si>
    <t>cb66lm@aol.com</t>
  </si>
  <si>
    <t>2019-05-21</t>
  </si>
  <si>
    <t>anyinstallation.js@gmail.com</t>
  </si>
  <si>
    <t>hjveurink@hotmail.com</t>
  </si>
  <si>
    <t>2019-02-12</t>
  </si>
  <si>
    <t>jack@lupulinbrewing.com</t>
  </si>
  <si>
    <t>2019-02-04</t>
  </si>
  <si>
    <t>1haymonster@gmail.com</t>
  </si>
  <si>
    <t>2019-01-25</t>
  </si>
  <si>
    <t>youngstromkl@gmail.com</t>
  </si>
  <si>
    <t>2019-02-16</t>
  </si>
  <si>
    <t>jolinemerkwan1@noemail.com</t>
  </si>
  <si>
    <t>tygamber85@gmail.com</t>
  </si>
  <si>
    <t>2019-01-27</t>
  </si>
  <si>
    <t>boydbischke@gmail.com</t>
  </si>
  <si>
    <t>lance.lawson74@gmail.com</t>
  </si>
  <si>
    <t>2019-02-07</t>
  </si>
  <si>
    <t>2019-01-29</t>
  </si>
  <si>
    <t>rclandd@hotmail.com</t>
  </si>
  <si>
    <t>jzache.975427@guest.booking.com</t>
  </si>
  <si>
    <t>tom.woldt87@gmail.com</t>
  </si>
  <si>
    <t>sherylhurley1@noemail.com</t>
  </si>
  <si>
    <t>janellesees@gmail.com</t>
  </si>
  <si>
    <t>kelseylynnthomas@hotmail.com</t>
  </si>
  <si>
    <t>hhoppe.983209@guest.booking.com</t>
  </si>
  <si>
    <t>tking.653488@guest.booking.com</t>
  </si>
  <si>
    <t>darwinnancymiiller1@noemail.com</t>
  </si>
  <si>
    <t>ghubbe.470053@guest.booking.com</t>
  </si>
  <si>
    <t>2019-02-24</t>
  </si>
  <si>
    <t>amberh1281@gmail.com</t>
  </si>
  <si>
    <t>ryedany@gmail.com</t>
  </si>
  <si>
    <t>2019-03-01</t>
  </si>
  <si>
    <t>peter@racingmagpie.com</t>
  </si>
  <si>
    <t>2019-02-08</t>
  </si>
  <si>
    <t>2019-02-18</t>
  </si>
  <si>
    <t>mblx42@gmail.com</t>
  </si>
  <si>
    <t>2019-02-03</t>
  </si>
  <si>
    <t>ldorne.185971@guest.booking.com</t>
  </si>
  <si>
    <t>dlpjdobson@gmail.com</t>
  </si>
  <si>
    <t>2019-02-23</t>
  </si>
  <si>
    <t>berglund.kb@hotmail.com</t>
  </si>
  <si>
    <t>2019-02-26</t>
  </si>
  <si>
    <t>donsoloman1@noemail.com</t>
  </si>
  <si>
    <t>jstockham@hotmail.com</t>
  </si>
  <si>
    <t>2019-02-06</t>
  </si>
  <si>
    <t>desiree.d.mitchell@gmail.com</t>
  </si>
  <si>
    <t>billie@reclamationtech.com</t>
  </si>
  <si>
    <t>2019-02-15</t>
  </si>
  <si>
    <t>kmason@olatheks.org</t>
  </si>
  <si>
    <t>2019-03-03</t>
  </si>
  <si>
    <t>2019-02-20</t>
  </si>
  <si>
    <t>gordon@midstatesigns.com</t>
  </si>
  <si>
    <t>mschwi.992126@guest.booking.com</t>
  </si>
  <si>
    <t>lhenson@cherokeermc.org</t>
  </si>
  <si>
    <t>2019-06-09</t>
  </si>
  <si>
    <t>customerservice@travelguestadvocate.com</t>
  </si>
  <si>
    <t>2019-02-13</t>
  </si>
  <si>
    <t>brandijo_11@hotmail.com</t>
  </si>
  <si>
    <t>2019-02-19</t>
  </si>
  <si>
    <t>jayterri@mtaonline.net</t>
  </si>
  <si>
    <t>2019-11-29</t>
  </si>
  <si>
    <t>jenn.seidell@gmail.com</t>
  </si>
  <si>
    <t>2019-03-27</t>
  </si>
  <si>
    <t>blukon.624833@guest.booking.com</t>
  </si>
  <si>
    <t>truckbluejack@yahoo.com</t>
  </si>
  <si>
    <t>2019-02-14</t>
  </si>
  <si>
    <t>rrudebusch@yahoo.com</t>
  </si>
  <si>
    <t>ajinso.807433@guest.booking.com</t>
  </si>
  <si>
    <t>2019-03-30</t>
  </si>
  <si>
    <t>kjsfallclassic@far.midco.net</t>
  </si>
  <si>
    <t>awkrejdl@mail.fhsu.edu</t>
  </si>
  <si>
    <t>2019-05-25</t>
  </si>
  <si>
    <t>notmemomx6@yahoo.com</t>
  </si>
  <si>
    <t>laura@fastlanecars.com</t>
  </si>
  <si>
    <t>chadhumphrey77@yahoo.com</t>
  </si>
  <si>
    <t>2019-04-18</t>
  </si>
  <si>
    <t>2019-03-28</t>
  </si>
  <si>
    <t>dkubacki@comcast.net</t>
  </si>
  <si>
    <t>2019-08-04</t>
  </si>
  <si>
    <t>hawry@mymts.net</t>
  </si>
  <si>
    <t>2019-03-04</t>
  </si>
  <si>
    <t>tatkin.703991@guest.booking.com</t>
  </si>
  <si>
    <t>2019-03-19</t>
  </si>
  <si>
    <t>jharri.121063@guest.booking.com</t>
  </si>
  <si>
    <t>dldasilva7@gmail.com</t>
  </si>
  <si>
    <t>paulnorblom1@gmail.com</t>
  </si>
  <si>
    <t>nbjork.311006@guest.booking.com</t>
  </si>
  <si>
    <t>lynnelle.anderson@gmail.com</t>
  </si>
  <si>
    <t>2019-03-02</t>
  </si>
  <si>
    <t>brclancy@live.com</t>
  </si>
  <si>
    <t>2019-02-25</t>
  </si>
  <si>
    <t>nadine.e.samuel@gmail.com</t>
  </si>
  <si>
    <t>2019-02-28</t>
  </si>
  <si>
    <t>tyler.p.tobin@gmail.com</t>
  </si>
  <si>
    <t>mhubbe.416732@guest.booking.com</t>
  </si>
  <si>
    <t>nathanvandersnick1@noemail.com</t>
  </si>
  <si>
    <t>kevin.bethke@me.com</t>
  </si>
  <si>
    <t>born2farm4now@yahoo.com</t>
  </si>
  <si>
    <t>brendajohnson1@noemail.com</t>
  </si>
  <si>
    <t>heidi@gfadvertising.com</t>
  </si>
  <si>
    <t>2019-03-23</t>
  </si>
  <si>
    <t>ja.burch@yahoo.com</t>
  </si>
  <si>
    <t>ryanpatterson1@noemail.com</t>
  </si>
  <si>
    <t>katwhite27@gmail.com</t>
  </si>
  <si>
    <t>ed@requipment.com</t>
  </si>
  <si>
    <t>d.templeman@ymail.com</t>
  </si>
  <si>
    <t>tkanga.701581@guest.booking.com</t>
  </si>
  <si>
    <t>ari.schofield@gmail.com</t>
  </si>
  <si>
    <t>ejanss.166452@guest.booking.com</t>
  </si>
  <si>
    <t>dennisdunahee@yahoo.com</t>
  </si>
  <si>
    <t>2019-03-05</t>
  </si>
  <si>
    <t>mmroggow@yahoo.com</t>
  </si>
  <si>
    <t>2019-06-23</t>
  </si>
  <si>
    <t>pickinpaughj@hotmail.com</t>
  </si>
  <si>
    <t>2019-03-21</t>
  </si>
  <si>
    <t>gelburner@hotmail.com</t>
  </si>
  <si>
    <t>jlopez.913262@guest.booking.com</t>
  </si>
  <si>
    <t>krogerfarms@gmail.com</t>
  </si>
  <si>
    <t>amandatreloar@hotmail.com</t>
  </si>
  <si>
    <t>2019-04-19</t>
  </si>
  <si>
    <t>rodellrepair@gmail.com</t>
  </si>
  <si>
    <t>bobadal@aol.com</t>
  </si>
  <si>
    <t>2019-03-06</t>
  </si>
  <si>
    <t>dstark.984107@guest.booking.com</t>
  </si>
  <si>
    <t>lkriz.325726@guest.booking.com</t>
  </si>
  <si>
    <t>2019-03-13</t>
  </si>
  <si>
    <t>nathanbogel1@noemail.com</t>
  </si>
  <si>
    <t>brycetwiss@outlook.com</t>
  </si>
  <si>
    <t>2019-03-17</t>
  </si>
  <si>
    <t>jwauters@cottinghambutler.com</t>
  </si>
  <si>
    <t>air-head@live.com</t>
  </si>
  <si>
    <t>equus7@prtel.com</t>
  </si>
  <si>
    <t>pfgraham1@hotmail.com</t>
  </si>
  <si>
    <t>jorsak.621520@guest.booking.com</t>
  </si>
  <si>
    <t>2019-03-11</t>
  </si>
  <si>
    <t>obieca@hotmail.com</t>
  </si>
  <si>
    <t>2019-04-29</t>
  </si>
  <si>
    <t>devinhaynes1@noemail.com</t>
  </si>
  <si>
    <t>2019-06-21</t>
  </si>
  <si>
    <t>dwdome@yahoo.com</t>
  </si>
  <si>
    <t>eastman.jason@rocketmail.com</t>
  </si>
  <si>
    <t>al.alexlarios@gmail.com</t>
  </si>
  <si>
    <t>sunberg02@gmail.com</t>
  </si>
  <si>
    <t>2019-08-25</t>
  </si>
  <si>
    <t>martincahoy1@noemail.com</t>
  </si>
  <si>
    <t>beth.foss@k12.sd.us</t>
  </si>
  <si>
    <t>brett2425@gmail.com</t>
  </si>
  <si>
    <t>2019-04-14</t>
  </si>
  <si>
    <t>andydziadek1@noemail.com</t>
  </si>
  <si>
    <t>2019-03-24</t>
  </si>
  <si>
    <t>jconla.335111@guest.booking.com</t>
  </si>
  <si>
    <t>2019-03-16</t>
  </si>
  <si>
    <t>josharl1@noemail.com</t>
  </si>
  <si>
    <t>2019-03-15</t>
  </si>
  <si>
    <t>chris@ppmtooldie.com</t>
  </si>
  <si>
    <t>wagsca@gmail.com</t>
  </si>
  <si>
    <t>2019-03-18</t>
  </si>
  <si>
    <t>judycoyle1@noemail.com</t>
  </si>
  <si>
    <t>travis@subsurfacesolutions.com</t>
  </si>
  <si>
    <t>afield.212958@guest.booking.com</t>
  </si>
  <si>
    <t>tomf@santel.net</t>
  </si>
  <si>
    <t>debkinghorn1@noemail.com</t>
  </si>
  <si>
    <t>2019-03-31</t>
  </si>
  <si>
    <t>karenmossefin1@noemail.com</t>
  </si>
  <si>
    <t>2019-07-28</t>
  </si>
  <si>
    <t>pohlman.lynn@gmail.com</t>
  </si>
  <si>
    <t>jorgecayeteno1@noemail.com</t>
  </si>
  <si>
    <t>keithkeller1@noemail.com</t>
  </si>
  <si>
    <t>fulcrumsf@gmail.com</t>
  </si>
  <si>
    <t>2019-04-05</t>
  </si>
  <si>
    <t>sher0@sbcglobal.net</t>
  </si>
  <si>
    <t>2019-04-25</t>
  </si>
  <si>
    <t>jo@ucctcm.org</t>
  </si>
  <si>
    <t>2019-03-22</t>
  </si>
  <si>
    <t>dlhpatriots@yahoo.com</t>
  </si>
  <si>
    <t>bmclau.959601@guest.booking.com</t>
  </si>
  <si>
    <t>wannafly70@yahoo.com</t>
  </si>
  <si>
    <t>dgriff.221523@guest.booking.com</t>
  </si>
  <si>
    <t>garygetman1@noemail.com</t>
  </si>
  <si>
    <t>julia.bauder@gmail.com</t>
  </si>
  <si>
    <t>2019-05-10</t>
  </si>
  <si>
    <t>justin.wegenke@gmail.com</t>
  </si>
  <si>
    <t>kurtwallace@hotmail.com</t>
  </si>
  <si>
    <t>rlynner@hotmail.com</t>
  </si>
  <si>
    <t>tri1029@twc.com</t>
  </si>
  <si>
    <t>2019-03-29</t>
  </si>
  <si>
    <t>rallen.502501@guest.booking.com</t>
  </si>
  <si>
    <t>abowma.755948@guest.booking.com</t>
  </si>
  <si>
    <t>dellpriest1@noemail.com</t>
  </si>
  <si>
    <t>spierce@turfsolutionsgroup.com</t>
  </si>
  <si>
    <t>gljorgie@yahoo.com</t>
  </si>
  <si>
    <t>dave-2@live.com</t>
  </si>
  <si>
    <t>rdrng@aol.com</t>
  </si>
  <si>
    <t>2019-05-05</t>
  </si>
  <si>
    <t>myerserica88@gmail.com</t>
  </si>
  <si>
    <t>2019-04-28</t>
  </si>
  <si>
    <t>angelakreirman1@noemail.com</t>
  </si>
  <si>
    <t>2019-04-17</t>
  </si>
  <si>
    <t>petersoncomn@gmail.com</t>
  </si>
  <si>
    <t>amicah@hotmail.com</t>
  </si>
  <si>
    <t>jim@prairieagpartners.com</t>
  </si>
  <si>
    <t>gaeh56@yahoo.com</t>
  </si>
  <si>
    <t>hweiand78@gmail.com</t>
  </si>
  <si>
    <t>john@mcgreevyassoc.com</t>
  </si>
  <si>
    <t>2019-08-18</t>
  </si>
  <si>
    <t>bartwiley1@noemail.com</t>
  </si>
  <si>
    <t>dcrown.974564@guest.booking.com</t>
  </si>
  <si>
    <t>dindug@gmail.com</t>
  </si>
  <si>
    <t>2019-05-24</t>
  </si>
  <si>
    <t>drgalenicr@gmail.com</t>
  </si>
  <si>
    <t>2019-04-03</t>
  </si>
  <si>
    <t>dmganschow@pie.midco.net</t>
  </si>
  <si>
    <t>2019-04-04</t>
  </si>
  <si>
    <t>patshepbrom@comcast.net</t>
  </si>
  <si>
    <t>donpilkington1@noemail.com</t>
  </si>
  <si>
    <t>tktent@midlands.net</t>
  </si>
  <si>
    <t>2019-04-06</t>
  </si>
  <si>
    <t>krissy.hansen@hotmail.com</t>
  </si>
  <si>
    <t>dennisgibbs1@noemail.com</t>
  </si>
  <si>
    <t>2019-06-30</t>
  </si>
  <si>
    <t>randi_1212@yahoo.com</t>
  </si>
  <si>
    <t>kevin@forwardmovers.net</t>
  </si>
  <si>
    <t>melthienes@aol.com</t>
  </si>
  <si>
    <t>sallieg@nolansplace.com</t>
  </si>
  <si>
    <t>huntermaike1994@gmail.com</t>
  </si>
  <si>
    <t>emilyishome@yahoo.com</t>
  </si>
  <si>
    <t>zylzjucn@outlook.com</t>
  </si>
  <si>
    <t>2019-04-09</t>
  </si>
  <si>
    <t>aarongmyers@gmail.com</t>
  </si>
  <si>
    <t>2019-04-13</t>
  </si>
  <si>
    <t>whitay43@gmail.com</t>
  </si>
  <si>
    <t>ruthyv@mtaonline.net</t>
  </si>
  <si>
    <t>barkerjames476@gmail.com</t>
  </si>
  <si>
    <t>2019-04-10</t>
  </si>
  <si>
    <t>bohatyfamily@icloud.com</t>
  </si>
  <si>
    <t>2019-04-12</t>
  </si>
  <si>
    <t>kaitlynjodell@hotmail.com</t>
  </si>
  <si>
    <t>2019-04-11</t>
  </si>
  <si>
    <t>shawnagarner1@noemail.com</t>
  </si>
  <si>
    <t>freespirit.25@hotmail.com</t>
  </si>
  <si>
    <t>abones.317697@guest.booking.com</t>
  </si>
  <si>
    <t>anoriaw@gmail.com</t>
  </si>
  <si>
    <t>caseyfanta1@noemail.com</t>
  </si>
  <si>
    <t>2019-04-15</t>
  </si>
  <si>
    <t>cphapp3333@gmail.com</t>
  </si>
  <si>
    <t>maanonsen@guardian-online.com</t>
  </si>
  <si>
    <t>bkjallo@hotmail.com</t>
  </si>
  <si>
    <t>traceyann11@gmail.com</t>
  </si>
  <si>
    <t>barbpechous@hcinet.net</t>
  </si>
  <si>
    <t>crabtreenursery@gmail.com</t>
  </si>
  <si>
    <t>2019-04-16</t>
  </si>
  <si>
    <t>dboice@engtecsrv.com</t>
  </si>
  <si>
    <t>jmujohn@aol.com</t>
  </si>
  <si>
    <t>bikingx@gmail.com</t>
  </si>
  <si>
    <t>tdwasserburger@outlook.com</t>
  </si>
  <si>
    <t>2019-04-23</t>
  </si>
  <si>
    <t>john.frese@gracecovmn.org</t>
  </si>
  <si>
    <t>2019-04-26</t>
  </si>
  <si>
    <t>dansrepair80@hotmail.com</t>
  </si>
  <si>
    <t>2019-04-21</t>
  </si>
  <si>
    <t>coltsatc@yahoo.com</t>
  </si>
  <si>
    <t>2019-05-18</t>
  </si>
  <si>
    <t>krandersen_47@msn.com</t>
  </si>
  <si>
    <t>2019-07-21</t>
  </si>
  <si>
    <t>ash_lynn5@hotmail.com</t>
  </si>
  <si>
    <t>2019-04-20</t>
  </si>
  <si>
    <t>jim.moore5377@gmail.com</t>
  </si>
  <si>
    <t>2019-05-03</t>
  </si>
  <si>
    <t>kellie_star_rose@hotmail.com</t>
  </si>
  <si>
    <t>2019-05-01</t>
  </si>
  <si>
    <t>cassienichols521@yahoo.com</t>
  </si>
  <si>
    <t>2019-04-22</t>
  </si>
  <si>
    <t>cpecic@ymail.com</t>
  </si>
  <si>
    <t>2019-05-23</t>
  </si>
  <si>
    <t>scottwilliams1@noemail.com</t>
  </si>
  <si>
    <t>laura.patko@gmail.com</t>
  </si>
  <si>
    <t>cotnohc@gmail.com</t>
  </si>
  <si>
    <t>dalehannh1@noemail.com</t>
  </si>
  <si>
    <t>khwswish13@gmail.com</t>
  </si>
  <si>
    <t>closetconcepts.sf@gmail.com</t>
  </si>
  <si>
    <t>stevenrencher@gmail.com</t>
  </si>
  <si>
    <t>2019-04-24</t>
  </si>
  <si>
    <t>gakleinsmith@gmail.com</t>
  </si>
  <si>
    <t>trevsouth@hotmail.com</t>
  </si>
  <si>
    <t>donna.schoenhard1956@gmail.com</t>
  </si>
  <si>
    <t>dragondefense1@gmail.com</t>
  </si>
  <si>
    <t>zcook@fourteenfoods.com</t>
  </si>
  <si>
    <t>mynbtrvl@gmail.com</t>
  </si>
  <si>
    <t>danalocken1@noemail.com</t>
  </si>
  <si>
    <t>2019-04-27</t>
  </si>
  <si>
    <t>jpeter.400735@guest.booking.com</t>
  </si>
  <si>
    <t>nicoleio45@gmail.com</t>
  </si>
  <si>
    <t>les1947ca@yahoo.com</t>
  </si>
  <si>
    <t>2019-04-30</t>
  </si>
  <si>
    <t>isaacgholmes@gmail.com</t>
  </si>
  <si>
    <t>2019-05-02</t>
  </si>
  <si>
    <t>lucas@lucasbiespiel.com</t>
  </si>
  <si>
    <t>jessekreisel@hotmail.com</t>
  </si>
  <si>
    <t>thomastyson@lycos.com</t>
  </si>
  <si>
    <t>sspiczka1@gmail.com</t>
  </si>
  <si>
    <t>2019-05-11</t>
  </si>
  <si>
    <t>amykarrels@gmail.com</t>
  </si>
  <si>
    <t>tyeshakelly1@noemail.com</t>
  </si>
  <si>
    <t>2019-05-04</t>
  </si>
  <si>
    <t>dennissorheim1@noemail.com</t>
  </si>
  <si>
    <t>2019-05-09</t>
  </si>
  <si>
    <t>lbdfit101@gmail.com</t>
  </si>
  <si>
    <t>2019-08-16</t>
  </si>
  <si>
    <t>fcasey@live.com</t>
  </si>
  <si>
    <t>r5dualtypen@yahoo.com</t>
  </si>
  <si>
    <t>2019-05-06</t>
  </si>
  <si>
    <t>michellesandwick1@noemail.com</t>
  </si>
  <si>
    <t>bdorsey@cox.net</t>
  </si>
  <si>
    <t>ray@tradesmenfilms.com</t>
  </si>
  <si>
    <t>oriver.397973@guest.booking.com</t>
  </si>
  <si>
    <t>2019-06-25</t>
  </si>
  <si>
    <t>sglassmaker@midlands.net</t>
  </si>
  <si>
    <t>mtwisnewski@sbcglobal.net</t>
  </si>
  <si>
    <t>jlstahn@hotmail.com</t>
  </si>
  <si>
    <t>ja.gartner.78@comcast.net</t>
  </si>
  <si>
    <t>2019-05-07</t>
  </si>
  <si>
    <t>kayla.gunderson19@gmail.com</t>
  </si>
  <si>
    <t>apdept@stgok.com</t>
  </si>
  <si>
    <t>drbenkert@frontier.com</t>
  </si>
  <si>
    <t>2019-05-08</t>
  </si>
  <si>
    <t>dclark@wildfire-defense.com</t>
  </si>
  <si>
    <t>ksnuffin@newsourcemed.com</t>
  </si>
  <si>
    <t>swalker1@nc.rr.com</t>
  </si>
  <si>
    <t>tschumachercm@bis.midco.net</t>
  </si>
  <si>
    <t>eloise@tonyjeary.com</t>
  </si>
  <si>
    <t>jhedrick@forevernew.com</t>
  </si>
  <si>
    <t>tristian.johnson51@gmail.com</t>
  </si>
  <si>
    <t>staceyryanlmt@yahoo.com</t>
  </si>
  <si>
    <t>caitlin.meeker@gmail.com</t>
  </si>
  <si>
    <t>bhupp@vircom.net</t>
  </si>
  <si>
    <t>jeannden35@yahoo.com</t>
  </si>
  <si>
    <t>2019-05-19</t>
  </si>
  <si>
    <t>debbierichards.sb@gmail.com</t>
  </si>
  <si>
    <t>2019-07-24</t>
  </si>
  <si>
    <t>ronkjpk@gmail.com</t>
  </si>
  <si>
    <t>2019-05-17</t>
  </si>
  <si>
    <t>drfayejohnson@gmail.com</t>
  </si>
  <si>
    <t>2019-05-13</t>
  </si>
  <si>
    <t>thfregan@gmail.com</t>
  </si>
  <si>
    <t>kkirby0621@gmail.com</t>
  </si>
  <si>
    <t>2019-05-20</t>
  </si>
  <si>
    <t>stonedgarden@gmail.com</t>
  </si>
  <si>
    <t>2019-06-29</t>
  </si>
  <si>
    <t>serena.pluto7@gmail.com</t>
  </si>
  <si>
    <t>2019-05-16</t>
  </si>
  <si>
    <t>tobmhger@gmail.com</t>
  </si>
  <si>
    <t>2019-05-15</t>
  </si>
  <si>
    <t>davidstebbins1@noemail.com</t>
  </si>
  <si>
    <t>dalecollins1@noemail.com</t>
  </si>
  <si>
    <t>chaseglodowski@gmail.com</t>
  </si>
  <si>
    <t>mike5648@msn.com</t>
  </si>
  <si>
    <t>chris@bridgewaterdairy.com</t>
  </si>
  <si>
    <t>amanda.casey@hotmail.com</t>
  </si>
  <si>
    <t>teamdmerchandising@gmail.com</t>
  </si>
  <si>
    <t>robyn.sangrait@1stcarehc.com</t>
  </si>
  <si>
    <t>sheilaihewitt@icloud.com</t>
  </si>
  <si>
    <t>pat@kamalu.com</t>
  </si>
  <si>
    <t>bertleygriggs1@noemail.com</t>
  </si>
  <si>
    <t>2019-05-27</t>
  </si>
  <si>
    <t>stacy.mata@panerabread.com</t>
  </si>
  <si>
    <t>linda.anderberg@gmail.com</t>
  </si>
  <si>
    <t>2019-06-01</t>
  </si>
  <si>
    <t>drewleonard@gmail.com</t>
  </si>
  <si>
    <t>melodydennissand1@noemail.com</t>
  </si>
  <si>
    <t>disciple.james@gmail.com</t>
  </si>
  <si>
    <t>sna1198@msn.com</t>
  </si>
  <si>
    <t>thorns.208833@guest.booking.com</t>
  </si>
  <si>
    <t>designsbymalyse@gmail.com</t>
  </si>
  <si>
    <t>2019-05-22</t>
  </si>
  <si>
    <t>angela.drake@twomen.com</t>
  </si>
  <si>
    <t>administration@somersetpacific.com</t>
  </si>
  <si>
    <t>lesponderosa@gmail.com</t>
  </si>
  <si>
    <t>kevschatz@msn.com</t>
  </si>
  <si>
    <t>dtwilkinson@aol.com</t>
  </si>
  <si>
    <t>mark.souba@pizzaranch.com</t>
  </si>
  <si>
    <t>ljschlomer@outlook.com</t>
  </si>
  <si>
    <t>dabbot.596452@guest.booking.com</t>
  </si>
  <si>
    <t>robertbarnhardt1@noemail.com</t>
  </si>
  <si>
    <t>mdekra.119323@guest.booking.com</t>
  </si>
  <si>
    <t>2019-05-31</t>
  </si>
  <si>
    <t>bstaszak@gmail.com</t>
  </si>
  <si>
    <t>2019-06-13</t>
  </si>
  <si>
    <t>ameykawale@gmail.com</t>
  </si>
  <si>
    <t>marykonvalin@gmail.com</t>
  </si>
  <si>
    <t>jclint.150832@guest.booking.com</t>
  </si>
  <si>
    <t>2019-06-07</t>
  </si>
  <si>
    <t>brock.moretti@hotmail.com</t>
  </si>
  <si>
    <t>2019-05-30</t>
  </si>
  <si>
    <t>rguido.394866@guest.booking.com</t>
  </si>
  <si>
    <t>markrichmond1@noemail.com</t>
  </si>
  <si>
    <t>2019-05-26</t>
  </si>
  <si>
    <t>mchitw.857209@guest.booking.com</t>
  </si>
  <si>
    <t>2019-05-28</t>
  </si>
  <si>
    <t>sbelen.745824@guest.booking.com</t>
  </si>
  <si>
    <t>glenjantzen1@noemail.com</t>
  </si>
  <si>
    <t>chapman.sam.1991@gmail.com</t>
  </si>
  <si>
    <t>nmaksi.598187@guest.booking.com</t>
  </si>
  <si>
    <t>msedares@ff-inc.com</t>
  </si>
  <si>
    <t>2019-06-20</t>
  </si>
  <si>
    <t>gwenparks1@noemail.com</t>
  </si>
  <si>
    <t>rickycastillo1@noemail.com</t>
  </si>
  <si>
    <t>2019-05-29</t>
  </si>
  <si>
    <t>squinn.997068@guest.booking.com</t>
  </si>
  <si>
    <t>bobkofski@yahoo.com</t>
  </si>
  <si>
    <t>2019-07-06</t>
  </si>
  <si>
    <t>bjjsquinn@yahoo.com</t>
  </si>
  <si>
    <t>jarildeanochs1@noemail.com</t>
  </si>
  <si>
    <t>2019-06-16</t>
  </si>
  <si>
    <t>bettyhanson1@noemail.com</t>
  </si>
  <si>
    <t>kyle.hurm@usbank.com</t>
  </si>
  <si>
    <t>julie@retailfixtureinstall.com</t>
  </si>
  <si>
    <t>2019-06-03</t>
  </si>
  <si>
    <t>doug.espenson@gmail.com</t>
  </si>
  <si>
    <t>fortier4324@hotmail.com</t>
  </si>
  <si>
    <t>2019-06-14</t>
  </si>
  <si>
    <t>kammarshall@yahoo.com</t>
  </si>
  <si>
    <t>2019-06-05</t>
  </si>
  <si>
    <t>wildes.gh@gmail.com</t>
  </si>
  <si>
    <t>2019-06-04</t>
  </si>
  <si>
    <t>nickepradel@gmail.com</t>
  </si>
  <si>
    <t>2019-06-12</t>
  </si>
  <si>
    <t>clgal7@sbcglobal.net</t>
  </si>
  <si>
    <t>mkbush@mchsi.com</t>
  </si>
  <si>
    <t>crook_james24@yahoo.com</t>
  </si>
  <si>
    <t>dktwiddy@aol.com</t>
  </si>
  <si>
    <t>blhickey@att.net</t>
  </si>
  <si>
    <t>marie.weller256@gmail.com</t>
  </si>
  <si>
    <t>ctriphotelreshk@ctrip.com</t>
  </si>
  <si>
    <t>raylenebates@hotmail.com</t>
  </si>
  <si>
    <t>clspebce54@yahoo.com</t>
  </si>
  <si>
    <t>rebecca.pasay@gmail.com</t>
  </si>
  <si>
    <t>roxi@cmakc.com</t>
  </si>
  <si>
    <t>juliapennington@live.com</t>
  </si>
  <si>
    <t>2019-06-06</t>
  </si>
  <si>
    <t>wgdeibert0@frostburg.edu</t>
  </si>
  <si>
    <t>msmtb12@gmail.com</t>
  </si>
  <si>
    <t>nathanhammersley1@noemail.com</t>
  </si>
  <si>
    <t>twmouw@comcast.net</t>
  </si>
  <si>
    <t>2019-07-05</t>
  </si>
  <si>
    <t>cherylgupta@gmail.com</t>
  </si>
  <si>
    <t>hw_hotel_3pbook@expedia.com</t>
  </si>
  <si>
    <t>preston57@gmail.com</t>
  </si>
  <si>
    <t>ramonajarvis1@gmail.com</t>
  </si>
  <si>
    <t>dianedoering1@noemail.com</t>
  </si>
  <si>
    <t>jasonakillian@gmail.com</t>
  </si>
  <si>
    <t>2019-06-08</t>
  </si>
  <si>
    <t>christal5000@gmail.com</t>
  </si>
  <si>
    <t>autooutlet50310@gmail.com</t>
  </si>
  <si>
    <t>dbailey319@yahoo.com</t>
  </si>
  <si>
    <t>kmurdock09@hotmail.com</t>
  </si>
  <si>
    <t>2019-06-11</t>
  </si>
  <si>
    <t>dianedosdall1@noemail.com</t>
  </si>
  <si>
    <t>martyknezovich@gmail.com</t>
  </si>
  <si>
    <t>2019-06-10</t>
  </si>
  <si>
    <t>wleung.273290@guest.booking.com</t>
  </si>
  <si>
    <t>2019-06-19</t>
  </si>
  <si>
    <t>pdimic.402539@guest.booking.com</t>
  </si>
  <si>
    <t>carolbroomes1@noemail.com</t>
  </si>
  <si>
    <t>2019-07-08</t>
  </si>
  <si>
    <t>jacknokes@hotmail.com</t>
  </si>
  <si>
    <t>qwang.924044@guest.booking.com</t>
  </si>
  <si>
    <t>2019-06-17</t>
  </si>
  <si>
    <t>jamesnelson1@noemail.com</t>
  </si>
  <si>
    <t>sadams67.mn@gmail.com</t>
  </si>
  <si>
    <t>2019-08-11</t>
  </si>
  <si>
    <t>schoonoverjk@yahoo.com</t>
  </si>
  <si>
    <t>oneofus04@msn.com</t>
  </si>
  <si>
    <t>mrojas.794722@guest.booking.com</t>
  </si>
  <si>
    <t>ramonbautista1@noemail.com</t>
  </si>
  <si>
    <t>sethmlstreebin@gmail.com</t>
  </si>
  <si>
    <t>emma.schauer@gmail.com</t>
  </si>
  <si>
    <t>copepodo@gmail.com</t>
  </si>
  <si>
    <t>katiechristensen1@noemail.com</t>
  </si>
  <si>
    <t>2019-07-01</t>
  </si>
  <si>
    <t>godfather@prodigy.net</t>
  </si>
  <si>
    <t>2019-07-16</t>
  </si>
  <si>
    <t>jbakeb.285502@guest.booking.com</t>
  </si>
  <si>
    <t>dolson.478983@guest.booking.com</t>
  </si>
  <si>
    <t>kellykoester1@noemail.com</t>
  </si>
  <si>
    <t>lillymckenly1@noemail.com</t>
  </si>
  <si>
    <t>skondamudi@gmail.com</t>
  </si>
  <si>
    <t>2019-07-18</t>
  </si>
  <si>
    <t>larrygarr1@noemail.com</t>
  </si>
  <si>
    <t>2019-06-28</t>
  </si>
  <si>
    <t>cwunsc.700775@guest.booking.com</t>
  </si>
  <si>
    <t>2019-06-18</t>
  </si>
  <si>
    <t>audreymast3@gmail.com</t>
  </si>
  <si>
    <t>britte.516059@guest.booking.com</t>
  </si>
  <si>
    <t>mllc.679167@guest.booking.com</t>
  </si>
  <si>
    <t>joshstommer1@noemail.com</t>
  </si>
  <si>
    <t>stevencox1@noemail.com</t>
  </si>
  <si>
    <t>nancy.denningtransport@gmail.com</t>
  </si>
  <si>
    <t>cregnier@sweeneycontrols.com</t>
  </si>
  <si>
    <t>cdanderson877@gmail.com</t>
  </si>
  <si>
    <t>2019-06-22</t>
  </si>
  <si>
    <t>sandysill1@noemail.com</t>
  </si>
  <si>
    <t>birdsnest84@yahoo.com</t>
  </si>
  <si>
    <t>trueten5@icloud.com</t>
  </si>
  <si>
    <t>ronavolmer1@noemail.com</t>
  </si>
  <si>
    <t>all_smiles26@hotmail.com</t>
  </si>
  <si>
    <t>bkinser@rsed.org</t>
  </si>
  <si>
    <t>cmoore.215085@guest.booking.com</t>
  </si>
  <si>
    <t>2019-07-26</t>
  </si>
  <si>
    <t>jamiehoffman1@noemail.com</t>
  </si>
  <si>
    <t>mommajo2u@cox.net</t>
  </si>
  <si>
    <t>2019-06-26</t>
  </si>
  <si>
    <t>jdavie.465819@guest.booking.com</t>
  </si>
  <si>
    <t>2019-09-06</t>
  </si>
  <si>
    <t>ktilto.999199@guest.booking.com</t>
  </si>
  <si>
    <t>2019-06-27</t>
  </si>
  <si>
    <t>rediv@drtel.net</t>
  </si>
  <si>
    <t>lstahl.300649@guest.booking.com</t>
  </si>
  <si>
    <t>rodneyberry1@noemail.com</t>
  </si>
  <si>
    <t>wilsoncherra@gmail.com</t>
  </si>
  <si>
    <t>sesrd@aol.com</t>
  </si>
  <si>
    <t>lawrenz@albanytel.com</t>
  </si>
  <si>
    <t>beverlycarpenter1@noemail.com</t>
  </si>
  <si>
    <t>liljake80@hotmail.com</t>
  </si>
  <si>
    <t>2019-09-15</t>
  </si>
  <si>
    <t>yuansteve@yahoo.com</t>
  </si>
  <si>
    <t>2019-09-02</t>
  </si>
  <si>
    <t>taradeckard@gmail.com</t>
  </si>
  <si>
    <t>amkoenig75@msn.com</t>
  </si>
  <si>
    <t>musique0282@hotmail.com</t>
  </si>
  <si>
    <t>2019-09-08</t>
  </si>
  <si>
    <t>donaldkorpi1@noemail.com</t>
  </si>
  <si>
    <t>2019-07-03</t>
  </si>
  <si>
    <t>jlecpa@ix.netcom.com</t>
  </si>
  <si>
    <t>mbecker1_2000@yahoo.com</t>
  </si>
  <si>
    <t>pennybrandon@comcast.net</t>
  </si>
  <si>
    <t>2019-07-14</t>
  </si>
  <si>
    <t>theresaschneider1@noemail.com</t>
  </si>
  <si>
    <t>mylynnj@outlook.com</t>
  </si>
  <si>
    <t>jenniferbarrows1@noemail.com</t>
  </si>
  <si>
    <t>2019-07-07</t>
  </si>
  <si>
    <t>caandersonsfs_64@icloud.com</t>
  </si>
  <si>
    <t>2019-07-09</t>
  </si>
  <si>
    <t>amandabaulman1@noemail.com</t>
  </si>
  <si>
    <t>2019-07-13</t>
  </si>
  <si>
    <t>shane.oltman@yahoo.com</t>
  </si>
  <si>
    <t>2019-07-17</t>
  </si>
  <si>
    <t>abi.vanregenmorter@gmail.com</t>
  </si>
  <si>
    <t>2019-07-15</t>
  </si>
  <si>
    <t>olsondwightdeb@gmail.com</t>
  </si>
  <si>
    <t>2019-07-11</t>
  </si>
  <si>
    <t>lipripper@nwi.net</t>
  </si>
  <si>
    <t>2019-09-13</t>
  </si>
  <si>
    <t>zachlenning1@noemail.com</t>
  </si>
  <si>
    <t>2019-07-12</t>
  </si>
  <si>
    <t>renae.aughenbaugh@hotmail.com</t>
  </si>
  <si>
    <t>bill.wigstrom@allenergysolar.com</t>
  </si>
  <si>
    <t>paulathorstenson@yahoo.com</t>
  </si>
  <si>
    <t>kepnerv@hotmail.com</t>
  </si>
  <si>
    <t>melissa_watson2003@yahoo.com</t>
  </si>
  <si>
    <t>dvleet.888098@guest.booking.com</t>
  </si>
  <si>
    <t>2019-09-16</t>
  </si>
  <si>
    <t>wander.340157@guest.booking.com</t>
  </si>
  <si>
    <t>natesamson@gmail.com</t>
  </si>
  <si>
    <t>courtney@newsourcemed.com</t>
  </si>
  <si>
    <t>carla.hinners@icloud.com</t>
  </si>
  <si>
    <t>2019-08-26</t>
  </si>
  <si>
    <t>jeff@dakotabaptist.com</t>
  </si>
  <si>
    <t>kidsarewe@hotmail.com</t>
  </si>
  <si>
    <t>nancyjeter930@gmail.com</t>
  </si>
  <si>
    <t>eltonwang0809@icloud.com</t>
  </si>
  <si>
    <t>c.myers81@yahoo.com</t>
  </si>
  <si>
    <t>2019-08-09</t>
  </si>
  <si>
    <t>dsipma.573748@guest.booking.com</t>
  </si>
  <si>
    <t>tobiaskippes1@noemail.com</t>
  </si>
  <si>
    <t>2019-07-19</t>
  </si>
  <si>
    <t>mikesobota65@gmail.com</t>
  </si>
  <si>
    <t>2019-07-23</t>
  </si>
  <si>
    <t>jsteph7@hotmail.com</t>
  </si>
  <si>
    <t>cfreem.997373@guest.booking.com</t>
  </si>
  <si>
    <t>2019-09-04</t>
  </si>
  <si>
    <t>mprima.569241@guest.booking.com</t>
  </si>
  <si>
    <t>2019-07-22</t>
  </si>
  <si>
    <t>2019-10-11</t>
  </si>
  <si>
    <t>dweber@applevac.com</t>
  </si>
  <si>
    <t>noforty@gwtc.net</t>
  </si>
  <si>
    <t>kenbrown1@noemail.com</t>
  </si>
  <si>
    <t>delboy@goldenwest.net</t>
  </si>
  <si>
    <t>2019-08-17</t>
  </si>
  <si>
    <t>homey.dew@gmail.com</t>
  </si>
  <si>
    <t>ken.kollasch@hotmail.com</t>
  </si>
  <si>
    <t>thehoesmans@gmail.com</t>
  </si>
  <si>
    <t>2019-07-25</t>
  </si>
  <si>
    <t>bmajcorp@yahoo.com</t>
  </si>
  <si>
    <t>jzayas.144928@guest.booking.com</t>
  </si>
  <si>
    <t>2019-08-23</t>
  </si>
  <si>
    <t>hodneliv@mmctsu.com</t>
  </si>
  <si>
    <t>clemd@health.missouri.edu</t>
  </si>
  <si>
    <t>2019-08-10</t>
  </si>
  <si>
    <t>stevenchristianson1@noemail.com</t>
  </si>
  <si>
    <t>2019-07-27</t>
  </si>
  <si>
    <t>nicoledecker1@noemail.com</t>
  </si>
  <si>
    <t>amber.gamez@gmail.com</t>
  </si>
  <si>
    <t>sallyburnham51@aol.com</t>
  </si>
  <si>
    <t>2019-08-05</t>
  </si>
  <si>
    <t>malendahoelscher@gmail.com</t>
  </si>
  <si>
    <t>cgaudi.864654@guest.booking.com</t>
  </si>
  <si>
    <t>2019-08-01</t>
  </si>
  <si>
    <t>shannonlucht48@gmail.com</t>
  </si>
  <si>
    <t>2019-09-14</t>
  </si>
  <si>
    <t>moneikstephens1@noemail.com</t>
  </si>
  <si>
    <t>aholme.108745@guest.booking.com</t>
  </si>
  <si>
    <t>2019-08-02</t>
  </si>
  <si>
    <t>swood.651916@guest.booking.com</t>
  </si>
  <si>
    <t>2019-09-05</t>
  </si>
  <si>
    <t>wadevenstad1@noemail.com</t>
  </si>
  <si>
    <t>2019-10-13</t>
  </si>
  <si>
    <t>2019-11-14</t>
  </si>
  <si>
    <t>j.hapney@yahoo.com</t>
  </si>
  <si>
    <t>geo1@cox.net</t>
  </si>
  <si>
    <t>2019-09-01</t>
  </si>
  <si>
    <t>mielkecatherine@gmail.com</t>
  </si>
  <si>
    <t>effler1@yahoo.com</t>
  </si>
  <si>
    <t>lclark.354114@guest.booking.com</t>
  </si>
  <si>
    <t>2019-08-22</t>
  </si>
  <si>
    <t>jander.543763@guest.booking.com</t>
  </si>
  <si>
    <t>2019-09-03</t>
  </si>
  <si>
    <t>dlee.637392@guest.booking.com</t>
  </si>
  <si>
    <t>2019-09-11</t>
  </si>
  <si>
    <t>claw.147815@guest.booking.com</t>
  </si>
  <si>
    <t>2019-09-26</t>
  </si>
  <si>
    <t>dobmo210@gmail.com</t>
  </si>
  <si>
    <t>brian@kinginsurancesd.com</t>
  </si>
  <si>
    <t>maryfeldmann1@noemail.com</t>
  </si>
  <si>
    <t>jvanlo.573317@guest.booking.com</t>
  </si>
  <si>
    <t>alex.house2611@icloud.com</t>
  </si>
  <si>
    <t>flyersrich@yahoo.com</t>
  </si>
  <si>
    <t>michaelanderson1@noemail.com</t>
  </si>
  <si>
    <t>brandonrausch1@noemail.com</t>
  </si>
  <si>
    <t>driffl.454295@guest.booking.com</t>
  </si>
  <si>
    <t>2019-08-12</t>
  </si>
  <si>
    <t>mckenseykonold15@hotmail.com</t>
  </si>
  <si>
    <t>2019-08-15</t>
  </si>
  <si>
    <t>angel197311@icloud.com</t>
  </si>
  <si>
    <t>2019-08-14</t>
  </si>
  <si>
    <t>amanda0369@gmail.com</t>
  </si>
  <si>
    <t>joshf@reliabank.com</t>
  </si>
  <si>
    <t>rlevy.o@hotmail.com</t>
  </si>
  <si>
    <t>2019-09-20</t>
  </si>
  <si>
    <t>brettrasmussen1@noemail.com</t>
  </si>
  <si>
    <t>danawatkins1@noemail.com</t>
  </si>
  <si>
    <t>adeleharty1@noemail.com</t>
  </si>
  <si>
    <t>pattismillie@yahoo.com</t>
  </si>
  <si>
    <t>2019-09-21</t>
  </si>
  <si>
    <t>robynschroepfer1@noemail.com</t>
  </si>
  <si>
    <t>2019-08-21</t>
  </si>
  <si>
    <t>rtikho.950828@guest.booking.com</t>
  </si>
  <si>
    <t>2019-08-20</t>
  </si>
  <si>
    <t>darcymt@hotmail.com</t>
  </si>
  <si>
    <t>2019-11-10</t>
  </si>
  <si>
    <t>drfielder@yahoo.com</t>
  </si>
  <si>
    <t>hyyjuude@aol.com</t>
  </si>
  <si>
    <t>rarnol.209745@guest.booking.com</t>
  </si>
  <si>
    <t>sronne.652913@guest.booking.com</t>
  </si>
  <si>
    <t>walsdorf.family@yahoo.com</t>
  </si>
  <si>
    <t>marybinwa@gmail.com</t>
  </si>
  <si>
    <t>2019-09-22</t>
  </si>
  <si>
    <t>tdicke.312624@guest.booking.com</t>
  </si>
  <si>
    <t>2019-09-09</t>
  </si>
  <si>
    <t>renaejacobs1@noemail.com</t>
  </si>
  <si>
    <t>vernongollobit1@noemail.com</t>
  </si>
  <si>
    <t>2019-08-30</t>
  </si>
  <si>
    <t>ckoehl.827178@guest.booking.com</t>
  </si>
  <si>
    <t>2019-08-29</t>
  </si>
  <si>
    <t>bburnh.752302@guest.booking.com</t>
  </si>
  <si>
    <t>kristinel3@aol.com</t>
  </si>
  <si>
    <t>2019-09-07</t>
  </si>
  <si>
    <t>garyjorgenson1@noemail.com</t>
  </si>
  <si>
    <t>2019-08-24</t>
  </si>
  <si>
    <t>emorit.392400@guest.booking.com</t>
  </si>
  <si>
    <t>rlower.141736@guest.booking.com</t>
  </si>
  <si>
    <t>michaelhheinemann1@noemail.com</t>
  </si>
  <si>
    <t>johnnyballgame19@yahoo.com</t>
  </si>
  <si>
    <t>jcoady.555541@guest.booking.com</t>
  </si>
  <si>
    <t>cjacca.161190@guest.booking.com</t>
  </si>
  <si>
    <t>gyoke.336596@guest.booking.com</t>
  </si>
  <si>
    <t>2019-09-10</t>
  </si>
  <si>
    <t>lpoppe.278471@guest.booking.com</t>
  </si>
  <si>
    <t>lorimark2000@yahoo.com</t>
  </si>
  <si>
    <t>danletsche1@noemail.com</t>
  </si>
  <si>
    <t>mjgfoster@gmail.com</t>
  </si>
  <si>
    <t>nbsorensen@hotmail.com</t>
  </si>
  <si>
    <t>lmellb.395941@guest.booking.com</t>
  </si>
  <si>
    <t>stork_michael@yahoo.com</t>
  </si>
  <si>
    <t>jorgeorkelseygallard1@noemail.com</t>
  </si>
  <si>
    <t>2019-10-20</t>
  </si>
  <si>
    <t>rogerrk88@gmail.com</t>
  </si>
  <si>
    <t>mandie.foster@yahoo.com</t>
  </si>
  <si>
    <t>cesprenge@yahoo.com</t>
  </si>
  <si>
    <t>janesteinborn1@noemail.com</t>
  </si>
  <si>
    <t>bchivu.770573@guest.booking.com</t>
  </si>
  <si>
    <t>rkubin.671907@guest.booking.com</t>
  </si>
  <si>
    <t>cdryer.247541@guest.booking.com</t>
  </si>
  <si>
    <t>rgrier.270386@guest.booking.com</t>
  </si>
  <si>
    <t>testpatternjill@gmail.com</t>
  </si>
  <si>
    <t>2019-11-07</t>
  </si>
  <si>
    <t>maxwellmarlatt1@noemail.com</t>
  </si>
  <si>
    <t>frose.543539@guest.booking.com</t>
  </si>
  <si>
    <t>xhaibu.885591@guest.booking.com</t>
  </si>
  <si>
    <t>meredith@northern.usta.com</t>
  </si>
  <si>
    <t>2019-09-18</t>
  </si>
  <si>
    <t>davesmith106@outlook.com</t>
  </si>
  <si>
    <t>mkassn.154723@guest.booking.com</t>
  </si>
  <si>
    <t>msandl.783303@guest.booking.com</t>
  </si>
  <si>
    <t>jhansen5515@gmail.com</t>
  </si>
  <si>
    <t>2020-08-23</t>
  </si>
  <si>
    <t>mgren.941174@guest.booking.com</t>
  </si>
  <si>
    <t>patriciah@life-strategies.net</t>
  </si>
  <si>
    <t>2019-11-30</t>
  </si>
  <si>
    <t>jbrown.202052@guest.booking.com</t>
  </si>
  <si>
    <t>2019-10-04</t>
  </si>
  <si>
    <t>alayco.283956@guest.booking.com</t>
  </si>
  <si>
    <t>hillersj@gmail.com</t>
  </si>
  <si>
    <t>todd.hornstra@gmail.com</t>
  </si>
  <si>
    <t>joannfischer1@noemail.com</t>
  </si>
  <si>
    <t>2019-09-29</t>
  </si>
  <si>
    <t>geoffdoggett@gmail.com</t>
  </si>
  <si>
    <t>2019-09-27</t>
  </si>
  <si>
    <t>phyldew@midco.net</t>
  </si>
  <si>
    <t>2019-09-30</t>
  </si>
  <si>
    <t>cookwood59@gmail.com</t>
  </si>
  <si>
    <t>ccase.171043@guest.booking.com</t>
  </si>
  <si>
    <t>lorettakaymay1@noemail.com</t>
  </si>
  <si>
    <t>kii.974761@guest.booking.com</t>
  </si>
  <si>
    <t>2019-10-18</t>
  </si>
  <si>
    <t>sbelen.314478@guest.booking.com</t>
  </si>
  <si>
    <t>dana8.di@gmail.com</t>
  </si>
  <si>
    <t>2019-09-12</t>
  </si>
  <si>
    <t>2019-09-23</t>
  </si>
  <si>
    <t>hkelle.240112@guest.booking.com</t>
  </si>
  <si>
    <t>ripley263@cox.net</t>
  </si>
  <si>
    <t>2019-09-19</t>
  </si>
  <si>
    <t>abee.boyles@gmail.com</t>
  </si>
  <si>
    <t>2019-09-25</t>
  </si>
  <si>
    <t>jhelmstadter72@gmail.com</t>
  </si>
  <si>
    <t>dcarls.302505@guest.booking.com</t>
  </si>
  <si>
    <t>jasonborresch1@noemail.com</t>
  </si>
  <si>
    <t>darrelljustesen1@noemail.com</t>
  </si>
  <si>
    <t>2019-10-28</t>
  </si>
  <si>
    <t>jmcclure50@yahoo.com</t>
  </si>
  <si>
    <t>richardsonc69@yahoo.com</t>
  </si>
  <si>
    <t>bgaustintx@aol.com</t>
  </si>
  <si>
    <t>tuomo.aho.ch@gmail.com</t>
  </si>
  <si>
    <t>sbelen.618861@guest.booking.com</t>
  </si>
  <si>
    <t>2019-09-24</t>
  </si>
  <si>
    <t>aprilwilliamson22@gmail.com</t>
  </si>
  <si>
    <t>jsingl.281731@guest.booking.com</t>
  </si>
  <si>
    <t>cyclecross9@gmail.com</t>
  </si>
  <si>
    <t>mikeyj98@gmail.com</t>
  </si>
  <si>
    <t>naktwist@gmail.com</t>
  </si>
  <si>
    <t>mschul.132920@guest.booking.com</t>
  </si>
  <si>
    <t>pwater.486916@guest.booking.com</t>
  </si>
  <si>
    <t>2019-10-01</t>
  </si>
  <si>
    <t>gmetkl.377650@guest.booking.com</t>
  </si>
  <si>
    <t>jburns.776470@guest.booking.com</t>
  </si>
  <si>
    <t>randshans@msn.com</t>
  </si>
  <si>
    <t>bobbi1025@gmail.com</t>
  </si>
  <si>
    <t>susanersher1@noemail.com</t>
  </si>
  <si>
    <t>2019-11-09</t>
  </si>
  <si>
    <t>bstarr.426761@guest.booking.com</t>
  </si>
  <si>
    <t>madschaf1@gmail.com</t>
  </si>
  <si>
    <t>reedmegan10@gmail.com</t>
  </si>
  <si>
    <t>elizabethtronson1@noemail.com</t>
  </si>
  <si>
    <t>2019-10-05</t>
  </si>
  <si>
    <t>kwloda.905214@guest.booking.com</t>
  </si>
  <si>
    <t>pursuantdenis58@gmail.com</t>
  </si>
  <si>
    <t>2019-09-28</t>
  </si>
  <si>
    <t>donnagoupil@gmail.com</t>
  </si>
  <si>
    <t>loveminmay76@gmail.com</t>
  </si>
  <si>
    <t>jshaw72@gmail.com</t>
  </si>
  <si>
    <t>sbouch.802446@guest.booking.com</t>
  </si>
  <si>
    <t>joshsaraahonen@yahoo.com</t>
  </si>
  <si>
    <t>rhinri.479771@guest.booking.com</t>
  </si>
  <si>
    <t>brandonnjenny10717@gmail.com</t>
  </si>
  <si>
    <t>2019-10-17</t>
  </si>
  <si>
    <t>lisaharveyforbride1@noemail.com</t>
  </si>
  <si>
    <t>2020-01-19</t>
  </si>
  <si>
    <t>dmoore.317623@guest.booking.com</t>
  </si>
  <si>
    <t>nander.384770@guest.booking.com</t>
  </si>
  <si>
    <t>2019-10-03</t>
  </si>
  <si>
    <t>smith3rd.robert@yahoo.com</t>
  </si>
  <si>
    <t>tdeade.322053@guest.booking.com</t>
  </si>
  <si>
    <t>robin.versluys@gmail.com</t>
  </si>
  <si>
    <t>lauriefeldmann1@noemail.com</t>
  </si>
  <si>
    <t>2019-10-09</t>
  </si>
  <si>
    <t>youngy77@hotmail.com</t>
  </si>
  <si>
    <t>acoyne.277172@guest.booking.com</t>
  </si>
  <si>
    <t>howardoppegard1@noemail.com</t>
  </si>
  <si>
    <t>reservations@getsnaptravel.com</t>
  </si>
  <si>
    <t>morizzo55@gmail.com</t>
  </si>
  <si>
    <t>mandaloni04@hotmail.com</t>
  </si>
  <si>
    <t>info@dpphillips.com</t>
  </si>
  <si>
    <t>daviemld@gmail.com</t>
  </si>
  <si>
    <t>2019-10-21</t>
  </si>
  <si>
    <t>rovia@aol.com</t>
  </si>
  <si>
    <t>2019-10-16</t>
  </si>
  <si>
    <t>ally.mcnamara@yahoo.com</t>
  </si>
  <si>
    <t>2019-10-24</t>
  </si>
  <si>
    <t>kenduggan@shaw.ca</t>
  </si>
  <si>
    <t>theojodi@shaw.ca</t>
  </si>
  <si>
    <t>2019-10-15</t>
  </si>
  <si>
    <t>lindsay.jones@ballstate.bsu.edu</t>
  </si>
  <si>
    <t>konecnyk33@gmail.com</t>
  </si>
  <si>
    <t>ashleyljeppesen@gmail.com</t>
  </si>
  <si>
    <t>2019-12-21</t>
  </si>
  <si>
    <t>birdia@aol.com</t>
  </si>
  <si>
    <t>2019-10-19</t>
  </si>
  <si>
    <t>conniehickey@hotmail.com</t>
  </si>
  <si>
    <t>lmjhen2003@yahoo.com</t>
  </si>
  <si>
    <t>alyssa.hamilton1@yahoo.com</t>
  </si>
  <si>
    <t>bob.walton.dsm@gmail.com</t>
  </si>
  <si>
    <t>2019-10-22</t>
  </si>
  <si>
    <t>samantha.dyrdal@gmail.com</t>
  </si>
  <si>
    <t>kelli1511@gmail.com</t>
  </si>
  <si>
    <t>2019-12-01</t>
  </si>
  <si>
    <t>janetmodrigger1@noemail.com</t>
  </si>
  <si>
    <t>2019-10-25</t>
  </si>
  <si>
    <t>bo.lilliedal@parkhoj.dk</t>
  </si>
  <si>
    <t>hohn@borderstates.net</t>
  </si>
  <si>
    <t>kknox6319@gmail.com</t>
  </si>
  <si>
    <t>2019-10-29</t>
  </si>
  <si>
    <t>oscaragusto1@noemail.com</t>
  </si>
  <si>
    <t>2019-11-03</t>
  </si>
  <si>
    <t>erimots@gmail.com</t>
  </si>
  <si>
    <t>2019-10-23</t>
  </si>
  <si>
    <t>stevlhans@yahoo.com</t>
  </si>
  <si>
    <t>bonnieshupeblackledge@yahoo.com</t>
  </si>
  <si>
    <t>rickyschleckser@gmail.com</t>
  </si>
  <si>
    <t>g_youngdbc@yahoo.com</t>
  </si>
  <si>
    <t>mdhammer87@yahoo.com</t>
  </si>
  <si>
    <t>ssmbennett@charter.net</t>
  </si>
  <si>
    <t>vannevel@netins.net</t>
  </si>
  <si>
    <t>steppst@gmail.com</t>
  </si>
  <si>
    <t>dmsleds@outlook.com</t>
  </si>
  <si>
    <t>akivaneger@gmail.com</t>
  </si>
  <si>
    <t>gmillsap@moisturesolutions.net</t>
  </si>
  <si>
    <t>irelandko21@gmail.com</t>
  </si>
  <si>
    <t>2019-10-27</t>
  </si>
  <si>
    <t>grulkodp@gmail.com</t>
  </si>
  <si>
    <t>socclx11@aim.com</t>
  </si>
  <si>
    <t>dhedma.389994@guest.booking.com</t>
  </si>
  <si>
    <t>mparsat@yahoo.com</t>
  </si>
  <si>
    <t>2019-10-26</t>
  </si>
  <si>
    <t>peterobinson1964@icloud.com</t>
  </si>
  <si>
    <t>2019-10-30</t>
  </si>
  <si>
    <t>markwallace@cotechirm.com</t>
  </si>
  <si>
    <t>diannamichelson1@noemail.com</t>
  </si>
  <si>
    <t>sethtrea@gmail.com</t>
  </si>
  <si>
    <t>2019-11-12</t>
  </si>
  <si>
    <t>accountspayable@ehi-construction.com</t>
  </si>
  <si>
    <t>2019-11-01</t>
  </si>
  <si>
    <t>jeremyjenson1@noemail.com</t>
  </si>
  <si>
    <t>randyschneider01@gmail.com</t>
  </si>
  <si>
    <t>kyle.edens@farmersedge.ca</t>
  </si>
  <si>
    <t>w.newta@yahoo.com</t>
  </si>
  <si>
    <t>2019-10-31</t>
  </si>
  <si>
    <t>duelljmre@ymail.com</t>
  </si>
  <si>
    <t>forbycontracting@msn.com</t>
  </si>
  <si>
    <t>2019-11-02</t>
  </si>
  <si>
    <t>ls405740@yahoo.com</t>
  </si>
  <si>
    <t>juliansalas1@noemail.com</t>
  </si>
  <si>
    <t>mguttridge@gmail.com</t>
  </si>
  <si>
    <t>2019-11-22</t>
  </si>
  <si>
    <t>kschochenmaier@hotmail.com</t>
  </si>
  <si>
    <t>fors27@gmail.com</t>
  </si>
  <si>
    <t>2019-11-05</t>
  </si>
  <si>
    <t>sakurakim@gmail.com</t>
  </si>
  <si>
    <t>2019-11-04</t>
  </si>
  <si>
    <t>racecarparts@msn.com</t>
  </si>
  <si>
    <t>2019-11-06</t>
  </si>
  <si>
    <t>rmcanulty@caveenterprises.com</t>
  </si>
  <si>
    <t>2019-11-15</t>
  </si>
  <si>
    <t>heels@min.midco.net</t>
  </si>
  <si>
    <t>2019-12-09</t>
  </si>
  <si>
    <t>poodletruck1@yahoo.com</t>
  </si>
  <si>
    <t>jhazenfield@icloud.com</t>
  </si>
  <si>
    <t>danielstewart95@yahoo.com</t>
  </si>
  <si>
    <t>scott.stiefel@gmail.com</t>
  </si>
  <si>
    <t>mebejonnie@gmail.com</t>
  </si>
  <si>
    <t>pastordobie@yahoo.com</t>
  </si>
  <si>
    <t>donnyg315@yahoo.com</t>
  </si>
  <si>
    <t>tiffanyfraser1980@gmail.com</t>
  </si>
  <si>
    <t>ajhpilotcars@gmail.com</t>
  </si>
  <si>
    <t>accounting@siteservicesnow.com</t>
  </si>
  <si>
    <t>jpandrhonda@bellsouth.net</t>
  </si>
  <si>
    <t>2019-11-16</t>
  </si>
  <si>
    <t>gracst01@luther.edu</t>
  </si>
  <si>
    <t>cpodzilni@gmail.com</t>
  </si>
  <si>
    <t>2019-11-08</t>
  </si>
  <si>
    <t>ejm737373@gmail.com</t>
  </si>
  <si>
    <t>thomasbark1@noemail.com</t>
  </si>
  <si>
    <t>evanrkimble@gmail.com</t>
  </si>
  <si>
    <t>tomaldredge@kellerinteriors.com</t>
  </si>
  <si>
    <t>jay@leibellaw.com</t>
  </si>
  <si>
    <t>robeledz@gmail.com</t>
  </si>
  <si>
    <t>amy.deraad@gmail.com</t>
  </si>
  <si>
    <t>2019-11-17</t>
  </si>
  <si>
    <t>jstone@apssportfloors.com</t>
  </si>
  <si>
    <t>lobankids@yahoo.com</t>
  </si>
  <si>
    <t>2019-11-19</t>
  </si>
  <si>
    <t>karla_ann_kennedy@yahoo.com</t>
  </si>
  <si>
    <t>gusrizzo66@yahoo.com</t>
  </si>
  <si>
    <t>a1a2a123@hotmail.com</t>
  </si>
  <si>
    <t>2019-12-02</t>
  </si>
  <si>
    <t>dlschuelke@outlook.com</t>
  </si>
  <si>
    <t>2019-11-18</t>
  </si>
  <si>
    <t>heidineumann2003@yahoo.com</t>
  </si>
  <si>
    <t>buddy306@goldenwest.net</t>
  </si>
  <si>
    <t>bolson.837498@guest.booking.com</t>
  </si>
  <si>
    <t>cole_scherbenske@ao1foundation.org</t>
  </si>
  <si>
    <t>tlarso.755265@guest.booking.com</t>
  </si>
  <si>
    <t>brianzirkel@gmail.com</t>
  </si>
  <si>
    <t>2019-11-21</t>
  </si>
  <si>
    <t>2019-11-24</t>
  </si>
  <si>
    <t>maximo.castillolopez@pipestone.com</t>
  </si>
  <si>
    <t>jglarends73@gmail.com</t>
  </si>
  <si>
    <t>erica.k.yamamoto@gmail.com</t>
  </si>
  <si>
    <t>2019-11-20</t>
  </si>
  <si>
    <t>jacobfamily@usfamily.net</t>
  </si>
  <si>
    <t>2019-11-23</t>
  </si>
  <si>
    <t>rkopys.539278@guest.booking.com</t>
  </si>
  <si>
    <t>2019-11-28</t>
  </si>
  <si>
    <t>miltonwu1990@gmail.com</t>
  </si>
  <si>
    <t>heavyginners@hotmail.com</t>
  </si>
  <si>
    <t>markjsuarez@yahoo.com</t>
  </si>
  <si>
    <t>goldie0724@midco.net</t>
  </si>
  <si>
    <t>2019-12-25</t>
  </si>
  <si>
    <t>csperl.190640@guest.booking.com</t>
  </si>
  <si>
    <t>adriennesather@yahoo.com</t>
  </si>
  <si>
    <t>2019-11-25</t>
  </si>
  <si>
    <t>k_dalin7@yahoo.com</t>
  </si>
  <si>
    <t>tevans.388044@guest.booking.com</t>
  </si>
  <si>
    <t>ntobin.267149@guest.booking.com</t>
  </si>
  <si>
    <t>2020-01-04</t>
  </si>
  <si>
    <t>mrch2708@yahoo.com</t>
  </si>
  <si>
    <t>sprague.phillip@gmail.com</t>
  </si>
  <si>
    <t>chelseamfavreau@gmail.com</t>
  </si>
  <si>
    <t>2019-12-30</t>
  </si>
  <si>
    <t>ccosat.467284@guest.booking.com</t>
  </si>
  <si>
    <t>noemail@reservations.com</t>
  </si>
  <si>
    <t>2019-11-27</t>
  </si>
  <si>
    <t>nc3anderson@gmail.com</t>
  </si>
  <si>
    <t>joshgleghorn@gmail.com</t>
  </si>
  <si>
    <t>jstitt.690706@guest.booking.com</t>
  </si>
  <si>
    <t>2019-12-08</t>
  </si>
  <si>
    <t>cmathgirl85@hotmail.com</t>
  </si>
  <si>
    <t>2019-12-27</t>
  </si>
  <si>
    <t>2019-12-05</t>
  </si>
  <si>
    <t>rodneydupre777@gmail.com</t>
  </si>
  <si>
    <t>2019-12-03</t>
  </si>
  <si>
    <t>kcollins2@allstate.com</t>
  </si>
  <si>
    <t>carolswane1@noemail.com</t>
  </si>
  <si>
    <t>momma_k_v@hotmail.com</t>
  </si>
  <si>
    <t>rmoe@guardian-online.com</t>
  </si>
  <si>
    <t>2019-12-04</t>
  </si>
  <si>
    <t>jtitus@hillyard.com</t>
  </si>
  <si>
    <t>leger.blake@yahoo.com</t>
  </si>
  <si>
    <t>lindamiller1111@gmail.com</t>
  </si>
  <si>
    <t>peschjc@yahoo.com</t>
  </si>
  <si>
    <t>2019-12-13</t>
  </si>
  <si>
    <t>biswasraaz@hotmail.com</t>
  </si>
  <si>
    <t>kelli.weinstein@yahoo.com</t>
  </si>
  <si>
    <t>wade.clark@tttcommunicationsholdings.com</t>
  </si>
  <si>
    <t>2019-12-10</t>
  </si>
  <si>
    <t>nikkikruger82@gmail.com</t>
  </si>
  <si>
    <t>dormendo03@yahoo.com</t>
  </si>
  <si>
    <t>jth9@msn.com</t>
  </si>
  <si>
    <t>2019-12-12</t>
  </si>
  <si>
    <t>addedchance@gmail.com</t>
  </si>
  <si>
    <t>scotch0669@yahoo.com</t>
  </si>
  <si>
    <t>brubowsky@gmail.com</t>
  </si>
  <si>
    <t>2019-12-11</t>
  </si>
  <si>
    <t>ostrander.barb@gmail.com</t>
  </si>
  <si>
    <t>kellykerkman@icloud.com</t>
  </si>
  <si>
    <t>plrotert@midco.net</t>
  </si>
  <si>
    <t>2019-12-14</t>
  </si>
  <si>
    <t>p100sun@goldenwest.net</t>
  </si>
  <si>
    <t>kubalspray@yahoo.com</t>
  </si>
  <si>
    <t>2019-12-23</t>
  </si>
  <si>
    <t>lorenbabe3@gmail.com</t>
  </si>
  <si>
    <t>timjennthiss@gmail.com</t>
  </si>
  <si>
    <t>2019-12-15</t>
  </si>
  <si>
    <t>taylormccall92@hotmail.com</t>
  </si>
  <si>
    <t>joshepher824@gmail.com</t>
  </si>
  <si>
    <t>2019-12-19</t>
  </si>
  <si>
    <t>mjshepherd@rdoequipment.com</t>
  </si>
  <si>
    <t>2019-12-16</t>
  </si>
  <si>
    <t>kitn1423@gmail.com</t>
  </si>
  <si>
    <t>vikefan@midco.net</t>
  </si>
  <si>
    <t>2019-12-20</t>
  </si>
  <si>
    <t>dardeberg@yahoo.com</t>
  </si>
  <si>
    <t>2020-01-12</t>
  </si>
  <si>
    <t>erivergal@hotmail.com</t>
  </si>
  <si>
    <t>barb_e_bear@yahoo.com</t>
  </si>
  <si>
    <t>kmoje@inebraska.com</t>
  </si>
  <si>
    <t>2019-12-17</t>
  </si>
  <si>
    <t>2019-12-18</t>
  </si>
  <si>
    <t>bomary.397307@guest.booking.com</t>
  </si>
  <si>
    <t>samuraicopper86@gmail.com</t>
  </si>
  <si>
    <t>doray7174@gmail.com</t>
  </si>
  <si>
    <t>stabbott09@yahoo.com</t>
  </si>
  <si>
    <t>star_bucks_5@yahoo.com</t>
  </si>
  <si>
    <t>randrbrown@charter.net</t>
  </si>
  <si>
    <t>markuse@rap.midco.net</t>
  </si>
  <si>
    <t>gerilmarichal1@noemail.com</t>
  </si>
  <si>
    <t>joleneopperman@hotmail.com</t>
  </si>
  <si>
    <t>erickama7@gmail.com</t>
  </si>
  <si>
    <t>2019-12-31</t>
  </si>
  <si>
    <t>forrest@scheq.com</t>
  </si>
  <si>
    <t>davidludens1@noemail.com</t>
  </si>
  <si>
    <t>amandazaman@gmail.com</t>
  </si>
  <si>
    <t>kathystephan1@noemail.com</t>
  </si>
  <si>
    <t>shashasly@live.com</t>
  </si>
  <si>
    <t>2019-12-22</t>
  </si>
  <si>
    <t>s_robertson@juno.com</t>
  </si>
  <si>
    <t>2019-12-29</t>
  </si>
  <si>
    <t>halden.clark@gmail.com</t>
  </si>
  <si>
    <t>2019-12-26</t>
  </si>
  <si>
    <t>mtampi@gmail.com</t>
  </si>
  <si>
    <t>chelsea91716@gmail.com</t>
  </si>
  <si>
    <t>2019-12-24</t>
  </si>
  <si>
    <t>l.derksen@americafence.com</t>
  </si>
  <si>
    <t>braydental@gmail.com</t>
  </si>
  <si>
    <t>ktdid0214@me.com</t>
  </si>
  <si>
    <t>rkkudrna@ndsupernet.com</t>
  </si>
  <si>
    <t>oinesthomas@gmail.com</t>
  </si>
  <si>
    <t>tsffl99@yahoo.com</t>
  </si>
  <si>
    <t>michaelkissner1@noemail.com</t>
  </si>
  <si>
    <t>almclaughlin1@noemail.com</t>
  </si>
  <si>
    <t>antonsenm04@gmail.com</t>
  </si>
  <si>
    <t>2020-01-05</t>
  </si>
  <si>
    <t>gdaddy1958@midco.net</t>
  </si>
  <si>
    <t>2020-01-01</t>
  </si>
  <si>
    <t>jackreimer@mymts.net</t>
  </si>
  <si>
    <t>2020-01-02</t>
  </si>
  <si>
    <t>johnpool1@noemail.com</t>
  </si>
  <si>
    <t>bolstad_78@msn.com</t>
  </si>
  <si>
    <t>2020-01-09</t>
  </si>
  <si>
    <t>ivan.lauhaus@gmail.com</t>
  </si>
  <si>
    <t>laurelgregory@live.com</t>
  </si>
  <si>
    <t>2020-01-30</t>
  </si>
  <si>
    <t>rodney_bennett05@yahoo.com</t>
  </si>
  <si>
    <t>joshfrost1@noemail.com</t>
  </si>
  <si>
    <t>domini.turnquist@yahoo.com</t>
  </si>
  <si>
    <t>mselland11@gmail.com</t>
  </si>
  <si>
    <t>forrest.cerv@yahoo.com</t>
  </si>
  <si>
    <t>dnicol@duanenicol.ca</t>
  </si>
  <si>
    <t>davidanderson1@noemail.com</t>
  </si>
  <si>
    <t>2020-01-07</t>
  </si>
  <si>
    <t>arsnitker34@gmail.com</t>
  </si>
  <si>
    <t>reservations@hotelplanner.com</t>
  </si>
  <si>
    <t>shanno21@suddenlink.net</t>
  </si>
  <si>
    <t>valeriemccarthy1@noemail.com</t>
  </si>
  <si>
    <t>2020-01-15</t>
  </si>
  <si>
    <t>terry@doskocilinc.com</t>
  </si>
  <si>
    <t>jnhaguirre1@gmail.com</t>
  </si>
  <si>
    <t>enriquevoth1@noemail.com</t>
  </si>
  <si>
    <t>2020-01-06</t>
  </si>
  <si>
    <t>leavitt99@hotmail.com</t>
  </si>
  <si>
    <t>2020-01-11</t>
  </si>
  <si>
    <t>tlpeschong@gmail.com</t>
  </si>
  <si>
    <t>zimothy@gmail.com</t>
  </si>
  <si>
    <t>2020-01-08</t>
  </si>
  <si>
    <t>dunlopj40@icloud.com</t>
  </si>
  <si>
    <t>mick5clan@gmail.com</t>
  </si>
  <si>
    <t>stheesfeld@yostbaill.com</t>
  </si>
  <si>
    <t>afrett.717075@guest.booking.com</t>
  </si>
  <si>
    <t>2020-01-10</t>
  </si>
  <si>
    <t>haschemama@gmail.com</t>
  </si>
  <si>
    <t>aezoutte@gmail.com</t>
  </si>
  <si>
    <t>johnesler@murphybrownllc.com</t>
  </si>
  <si>
    <t>mpcaboth@gmail.com</t>
  </si>
  <si>
    <t>daniellepallesen@gmail.com</t>
  </si>
  <si>
    <t>2020-01-18</t>
  </si>
  <si>
    <t>maryellendirksen@yahoo.com</t>
  </si>
  <si>
    <t>ibselln1@yahoo.com</t>
  </si>
  <si>
    <t>haley.coss@gmail.com</t>
  </si>
  <si>
    <t>chris@carpetexpressdirect.com</t>
  </si>
  <si>
    <t>2020-01-16</t>
  </si>
  <si>
    <t>tsmonty@visigns.com</t>
  </si>
  <si>
    <t>2020-01-22</t>
  </si>
  <si>
    <t>2020-01-20</t>
  </si>
  <si>
    <t>seadenn09@gmail.com</t>
  </si>
  <si>
    <t>jchrist_saves@hotmail.com</t>
  </si>
  <si>
    <t>2020-01-23</t>
  </si>
  <si>
    <t>ange.stonefield@gmail.com</t>
  </si>
  <si>
    <t>currcindy@yahoo.com</t>
  </si>
  <si>
    <t>2020-01-27</t>
  </si>
  <si>
    <t>brucebergner@gmail.com</t>
  </si>
  <si>
    <t>2020-01-29</t>
  </si>
  <si>
    <t>tonilove88@aol.com</t>
  </si>
  <si>
    <t>2020-01-26</t>
  </si>
  <si>
    <t>angeniah_2008@yahoo.com</t>
  </si>
  <si>
    <t>janschmitt54@hotmail.com</t>
  </si>
  <si>
    <t>regwend@mts.net</t>
  </si>
  <si>
    <t>2020-01-24</t>
  </si>
  <si>
    <t>cfs-schulze@comcast.net</t>
  </si>
  <si>
    <t>2020-01-25</t>
  </si>
  <si>
    <t>ryantimm1@noemail.com</t>
  </si>
  <si>
    <t>mmbberggren@gmail.com</t>
  </si>
  <si>
    <t>2020-01-31</t>
  </si>
  <si>
    <t>red26mann@yahoo.com</t>
  </si>
  <si>
    <t>speter.295384@guest.booking.com</t>
  </si>
  <si>
    <t>mattypaulson@yahoo.com</t>
  </si>
  <si>
    <t>swilli.328901@guest.booking.com</t>
  </si>
  <si>
    <t>haslaa61@gmail.com</t>
  </si>
  <si>
    <t>cynafghan@yahoo.com</t>
  </si>
  <si>
    <t>2020-02-04</t>
  </si>
  <si>
    <t>chyde@milfordcable.com</t>
  </si>
  <si>
    <t>royyoung1@noemail.com</t>
  </si>
  <si>
    <t>2020-02-01</t>
  </si>
  <si>
    <t>julianbaros@aol.com</t>
  </si>
  <si>
    <t>jversluis@uslube.com</t>
  </si>
  <si>
    <t>kurtmccqen1@noemail.com</t>
  </si>
  <si>
    <t>2020-02-05</t>
  </si>
  <si>
    <t>carol.hartman@va.gov</t>
  </si>
  <si>
    <t>2020-02-19</t>
  </si>
  <si>
    <t>ray_begeman@yahoo.com</t>
  </si>
  <si>
    <t>djclancy05@yahoo.com</t>
  </si>
  <si>
    <t>2020-02-11</t>
  </si>
  <si>
    <t>ihorn.117203@guest.booking.com</t>
  </si>
  <si>
    <t>2020-02-07</t>
  </si>
  <si>
    <t>tracidana1@noemail.com</t>
  </si>
  <si>
    <t>2020-02-23</t>
  </si>
  <si>
    <t>andrewdicus1@noemail.com</t>
  </si>
  <si>
    <t>abeard.524990@guest.booking.com</t>
  </si>
  <si>
    <t>2020-03-15</t>
  </si>
  <si>
    <t>dmcfad.217964@guest.booking.com</t>
  </si>
  <si>
    <t>2020-02-14</t>
  </si>
  <si>
    <t>sloesc.178529@guest.booking.com</t>
  </si>
  <si>
    <t>2020-02-12</t>
  </si>
  <si>
    <t>rkliew.221303@guest.booking.com</t>
  </si>
  <si>
    <t>cputney@goodwintucker.com</t>
  </si>
  <si>
    <t>2020-02-13</t>
  </si>
  <si>
    <t>droidmatt@icloud.com</t>
  </si>
  <si>
    <t>dmcgui.158089@guest.booking.com</t>
  </si>
  <si>
    <t>mike@danko.net</t>
  </si>
  <si>
    <t>sherrih@q.com</t>
  </si>
  <si>
    <t>2020-02-17</t>
  </si>
  <si>
    <t>vern@mwpol.ca</t>
  </si>
  <si>
    <t>2020-02-20</t>
  </si>
  <si>
    <t>timmyjsmith@gmail.com</t>
  </si>
  <si>
    <t>mstyke.937415@guest.booking.com</t>
  </si>
  <si>
    <t>amuell.506539@guest.booking.com</t>
  </si>
  <si>
    <t>2020-03-08</t>
  </si>
  <si>
    <t>undrpar68@hotmail.com</t>
  </si>
  <si>
    <t>2020-03-06</t>
  </si>
  <si>
    <t>dairsowt@yahoo.com</t>
  </si>
  <si>
    <t>mikehill26219@gmail.com</t>
  </si>
  <si>
    <t>2020-03-09</t>
  </si>
  <si>
    <t>kaylee.tschetter@gmail.com</t>
  </si>
  <si>
    <t>2020-03-04</t>
  </si>
  <si>
    <t>2020-02-18</t>
  </si>
  <si>
    <t>h.schieffer@centurylink.net</t>
  </si>
  <si>
    <t>theresa@nordstromtalent.com</t>
  </si>
  <si>
    <t>andrew_pleva@outlook.com</t>
  </si>
  <si>
    <t>wendy.vangent@northern.edu</t>
  </si>
  <si>
    <t>2020-03-12</t>
  </si>
  <si>
    <t>nicholassalabura1@noemail.com</t>
  </si>
  <si>
    <t>2020-02-21</t>
  </si>
  <si>
    <t>wkerr.593473@guest.booking.com</t>
  </si>
  <si>
    <t>jday.761972@guest.booking.com</t>
  </si>
  <si>
    <t>mackenziejohnson1@noemail.com</t>
  </si>
  <si>
    <t>2020-02-28</t>
  </si>
  <si>
    <t>bburnh.922942@guest.booking.com</t>
  </si>
  <si>
    <t>jjohns.270971@guest.booking.com</t>
  </si>
  <si>
    <t>nicoler3018@gmail.com</t>
  </si>
  <si>
    <t>2020-09-27</t>
  </si>
  <si>
    <t>ncornwell@limitlesstower.com</t>
  </si>
  <si>
    <t>2020-02-27</t>
  </si>
  <si>
    <t>armstronghomes@cableone.net</t>
  </si>
  <si>
    <t>2020-03-03</t>
  </si>
  <si>
    <t>logan.eidson12@gmail.com</t>
  </si>
  <si>
    <t>violanissen@aol.com</t>
  </si>
  <si>
    <t>2020-02-26</t>
  </si>
  <si>
    <t>sguilfoyle@cox.net</t>
  </si>
  <si>
    <t>2020-03-10</t>
  </si>
  <si>
    <t>spenceramundson1@noemail.com</t>
  </si>
  <si>
    <t>samanthalang1@noemail.com</t>
  </si>
  <si>
    <t>2020-09-12</t>
  </si>
  <si>
    <t>dawnrclift37@gmail.com</t>
  </si>
  <si>
    <t>bkitto.108325@guest.booking.com</t>
  </si>
  <si>
    <t>gandsnauman@gmail.com</t>
  </si>
  <si>
    <t>2020-03-22</t>
  </si>
  <si>
    <t>mhill.263030@guest.booking.com</t>
  </si>
  <si>
    <t>2020-03-02</t>
  </si>
  <si>
    <t>dbyoung@mitchelltelecom.net</t>
  </si>
  <si>
    <t>karenworkman@charter.net</t>
  </si>
  <si>
    <t>snowkittygayle@gmail.com</t>
  </si>
  <si>
    <t>2020-03-05</t>
  </si>
  <si>
    <t>jschie.171476@guest.booking.com</t>
  </si>
  <si>
    <t>kharri.882770@guest.booking.com</t>
  </si>
  <si>
    <t>wyffels80@gmail.com</t>
  </si>
  <si>
    <t>2020-03-11</t>
  </si>
  <si>
    <t>2020-03-07</t>
  </si>
  <si>
    <t>gfritz.797187@guest.booking.com</t>
  </si>
  <si>
    <t>emily.raczynski@yahoo.com</t>
  </si>
  <si>
    <t>llaufe.745242@guest.booking.com</t>
  </si>
  <si>
    <t>schaquelabutler@gmail.com</t>
  </si>
  <si>
    <t>dbroward@gmail.com</t>
  </si>
  <si>
    <t>dsbogert@att.net</t>
  </si>
  <si>
    <t>munchyrissa@yahoo.com</t>
  </si>
  <si>
    <t>2020-03-13</t>
  </si>
  <si>
    <t>arianajstorley@gmail.com</t>
  </si>
  <si>
    <t>2020-03-14</t>
  </si>
  <si>
    <t>hans.leonhardt@mines.sdsmt.edu</t>
  </si>
  <si>
    <t>shayna.cappelle@gmail.com</t>
  </si>
  <si>
    <t>ehall@davexlabs.com</t>
  </si>
  <si>
    <t>hotelstx@hopper.com</t>
  </si>
  <si>
    <t>fireworkst0@gmail.com</t>
  </si>
  <si>
    <t>shopki.286647@guest.booking.com</t>
  </si>
  <si>
    <t>annababi1174@gmail.com</t>
  </si>
  <si>
    <t>2020-03-17</t>
  </si>
  <si>
    <t>2020-03-18</t>
  </si>
  <si>
    <t>jjerni.304594@guest.booking.com</t>
  </si>
  <si>
    <t>jcstewart_wright@yahoo.com</t>
  </si>
  <si>
    <t>ksoltv.498528@guest.booking.com</t>
  </si>
  <si>
    <t>dvinze.992965@guest.booking.com</t>
  </si>
  <si>
    <t>ronconseim@iw.net</t>
  </si>
  <si>
    <t>2020-04-19</t>
  </si>
  <si>
    <t>bsmrcina@centurytel.net</t>
  </si>
  <si>
    <t>2020-03-30</t>
  </si>
  <si>
    <t>mikeclark1@noemail.com</t>
  </si>
  <si>
    <t>2020-04-02</t>
  </si>
  <si>
    <t>denise@monganpainting.net</t>
  </si>
  <si>
    <t>2020-04-01</t>
  </si>
  <si>
    <t>vmakar.430949@guest.booking.com</t>
  </si>
  <si>
    <t>2020-03-31</t>
  </si>
  <si>
    <t>czupan@kascocorp.com</t>
  </si>
  <si>
    <t>2020-04-04</t>
  </si>
  <si>
    <t>wilsey82@icloud.com</t>
  </si>
  <si>
    <t>2020-04-06</t>
  </si>
  <si>
    <t>christenb.ramsey@gmail.com</t>
  </si>
  <si>
    <t>ddelvo.205728@guest.booking.com</t>
  </si>
  <si>
    <t>2020-04-15</t>
  </si>
  <si>
    <t>samseppanen1@noemail.com</t>
  </si>
  <si>
    <t>2020-04-09</t>
  </si>
  <si>
    <t>sandramiller@keyhomecare.us</t>
  </si>
  <si>
    <t>2020-04-10</t>
  </si>
  <si>
    <t>craneservices@yahoo.com</t>
  </si>
  <si>
    <t>2020-04-11</t>
  </si>
  <si>
    <t>dhasch.788554@guest.booking.com</t>
  </si>
  <si>
    <t>jadenfisher1@noemail.com</t>
  </si>
  <si>
    <t>2020-04-13</t>
  </si>
  <si>
    <t>2020-04-17</t>
  </si>
  <si>
    <t>mikebrisse@ymail.com</t>
  </si>
  <si>
    <t>2020-04-16</t>
  </si>
  <si>
    <t>swilso.628942@guest.booking.com</t>
  </si>
  <si>
    <t>2020-04-21</t>
  </si>
  <si>
    <t>richardbrown1@noemail.com</t>
  </si>
  <si>
    <t>thomashernandez1@noemail.com</t>
  </si>
  <si>
    <t>2020-05-16</t>
  </si>
  <si>
    <t>davidneal1@noemail.com</t>
  </si>
  <si>
    <t>2020-05-02</t>
  </si>
  <si>
    <t>amandapoe1@noemail.com</t>
  </si>
  <si>
    <t>2020-04-29</t>
  </si>
  <si>
    <t>bstant.651038@guest.booking.com</t>
  </si>
  <si>
    <t>2020-05-01</t>
  </si>
  <si>
    <t>justin.campbell@derivesystems.com</t>
  </si>
  <si>
    <t>2020-05-06</t>
  </si>
  <si>
    <t>daadd_22@yahoo.com</t>
  </si>
  <si>
    <t>2020-05-04</t>
  </si>
  <si>
    <t>ronlindadale@gmail.com</t>
  </si>
  <si>
    <t>jworth.734773@guest.booking.com</t>
  </si>
  <si>
    <t>2020-05-09</t>
  </si>
  <si>
    <t>llaufe.927597@guest.booking.com</t>
  </si>
  <si>
    <t>2020-05-05</t>
  </si>
  <si>
    <t>abrava.966270@guest.booking.com</t>
  </si>
  <si>
    <t>djrickabaugh1@gmail.com</t>
  </si>
  <si>
    <t>2020-05-17</t>
  </si>
  <si>
    <t>johnmullen1@noemail.com</t>
  </si>
  <si>
    <t>2020-05-07</t>
  </si>
  <si>
    <t>crobey.800385@guest.booking.com</t>
  </si>
  <si>
    <t>gstant.974601@guest.booking.com</t>
  </si>
  <si>
    <t>2020-05-19</t>
  </si>
  <si>
    <t>zugs2@comcast.net</t>
  </si>
  <si>
    <t>2020-05-13</t>
  </si>
  <si>
    <t>myriannunezarrieta@gmail.com</t>
  </si>
  <si>
    <t>ddodd.222325@guest.booking.com</t>
  </si>
  <si>
    <t>2020-05-08</t>
  </si>
  <si>
    <t>petershkinder1@noemail.com</t>
  </si>
  <si>
    <t>wayned59@comcast.net</t>
  </si>
  <si>
    <t>jspenc.433464@guest.booking.com</t>
  </si>
  <si>
    <t>2020-05-15</t>
  </si>
  <si>
    <t>yvonnescareshawk@gmail.com</t>
  </si>
  <si>
    <t>2020-05-14</t>
  </si>
  <si>
    <t>slang.218794@guest.booking.com</t>
  </si>
  <si>
    <t>jake.b.tnt@gmail.com</t>
  </si>
  <si>
    <t>2020-05-22</t>
  </si>
  <si>
    <t>erikschanzenbach1@noemail.com</t>
  </si>
  <si>
    <t>amanda@octaneinkllc.com</t>
  </si>
  <si>
    <t>2020-05-21</t>
  </si>
  <si>
    <t>lochsn.151883@guest.booking.com</t>
  </si>
  <si>
    <t>2020-11-08</t>
  </si>
  <si>
    <t>katlynnholt1@noemail.com</t>
  </si>
  <si>
    <t>sprice.827461@guest.booking.com</t>
  </si>
  <si>
    <t>rgpauly@comcast.net</t>
  </si>
  <si>
    <t>2020-05-24</t>
  </si>
  <si>
    <t>c_courtney@live.com</t>
  </si>
  <si>
    <t>2020-05-27</t>
  </si>
  <si>
    <t>gmapeterson@hotmail.com</t>
  </si>
  <si>
    <t>2020-05-23</t>
  </si>
  <si>
    <t>bmcnew.935929@guest.booking.com</t>
  </si>
  <si>
    <t>rmccra.725205@guest.booking.com</t>
  </si>
  <si>
    <t>2020-05-25</t>
  </si>
  <si>
    <t>vedadbecirovic@gmail.com</t>
  </si>
  <si>
    <t>smille.593534@guest.booking.com</t>
  </si>
  <si>
    <t>kcstar523@netscape.net</t>
  </si>
  <si>
    <t>apekar.159931@guest.booking.com</t>
  </si>
  <si>
    <t>starmahn@yahoo.com</t>
  </si>
  <si>
    <t>jherna.856109@guest.booking.com</t>
  </si>
  <si>
    <t>aurtherparedts1@noemail.com</t>
  </si>
  <si>
    <t>2020-05-26</t>
  </si>
  <si>
    <t>bamej@outlook.com</t>
  </si>
  <si>
    <t>nkollasch15@gmail.com</t>
  </si>
  <si>
    <t>2020-05-29</t>
  </si>
  <si>
    <t>jamesfreestone1@noemail.com</t>
  </si>
  <si>
    <t>jaideep.cn@gmail.com</t>
  </si>
  <si>
    <t>2020-05-28</t>
  </si>
  <si>
    <t>rlaird.760240@guest.booking.com</t>
  </si>
  <si>
    <t>hanshum555sk@yahoo.com</t>
  </si>
  <si>
    <t>justinkettwig@yahoo.com</t>
  </si>
  <si>
    <t>2020-05-31</t>
  </si>
  <si>
    <t>2020-05-30</t>
  </si>
  <si>
    <t>sellin.432722@guest.booking.com</t>
  </si>
  <si>
    <t>dbuebe.587815@guest.booking.com</t>
  </si>
  <si>
    <t>2020-06-04</t>
  </si>
  <si>
    <t>tmeehan84@gmail.com</t>
  </si>
  <si>
    <t>aprilsmith24@me.com</t>
  </si>
  <si>
    <t>2020-06-21</t>
  </si>
  <si>
    <t>billygibson17@gmail.com</t>
  </si>
  <si>
    <t>2020-06-03</t>
  </si>
  <si>
    <t>jennyhabbena@gmail.com</t>
  </si>
  <si>
    <t>sfreem.696386@guest.booking.com</t>
  </si>
  <si>
    <t>jfrees.421062@guest.booking.com</t>
  </si>
  <si>
    <t>2020-06-02</t>
  </si>
  <si>
    <t>brianmallin1@noemail.com</t>
  </si>
  <si>
    <t>jrcareer@yahoo.com</t>
  </si>
  <si>
    <t>hunter.sath@gmail.com</t>
  </si>
  <si>
    <t>arettig17@gmail.com</t>
  </si>
  <si>
    <t>ckrent.825608@guest.booking.com</t>
  </si>
  <si>
    <t>2020-06-01</t>
  </si>
  <si>
    <t>rizzmont@juno.com</t>
  </si>
  <si>
    <t>llaufe.347536@guest.booking.com</t>
  </si>
  <si>
    <t>mrietv.839748@guest.booking.com</t>
  </si>
  <si>
    <t>kbrown.724660@guest.booking.com</t>
  </si>
  <si>
    <t>2020-06-05</t>
  </si>
  <si>
    <t>ahanis.866688@guest.booking.com</t>
  </si>
  <si>
    <t>wquinn.477161@guest.booking.com</t>
  </si>
  <si>
    <t>2020-08-22</t>
  </si>
  <si>
    <t>andybobhawk@hotmail.com</t>
  </si>
  <si>
    <t>jamesjonnes1@noemail.com</t>
  </si>
  <si>
    <t>2020-06-07</t>
  </si>
  <si>
    <t>celiciacasillas12@gmail.com</t>
  </si>
  <si>
    <t>ohmbro@hotmail.com</t>
  </si>
  <si>
    <t>cshirar@deimco.com</t>
  </si>
  <si>
    <t>2020-06-12</t>
  </si>
  <si>
    <t>2020-06-11</t>
  </si>
  <si>
    <t>maryanndempsey1@noemail.com</t>
  </si>
  <si>
    <t>2020-06-13</t>
  </si>
  <si>
    <t>bruser78@hotmail.com</t>
  </si>
  <si>
    <t>jmeellis@aol.com</t>
  </si>
  <si>
    <t>2020-06-19</t>
  </si>
  <si>
    <t>cfries.610856@guest.booking.com</t>
  </si>
  <si>
    <t>2020-06-06</t>
  </si>
  <si>
    <t>menges.344234@guest.booking.com</t>
  </si>
  <si>
    <t>2020-07-06</t>
  </si>
  <si>
    <t>twilt.671889@guest.booking.com</t>
  </si>
  <si>
    <t>caseydudley22@gmail.com</t>
  </si>
  <si>
    <t>dbroug.907139@guest.booking.com</t>
  </si>
  <si>
    <t>2020-06-10</t>
  </si>
  <si>
    <t>llongf.190422@guest.booking.com</t>
  </si>
  <si>
    <t>yurban.689490@guest.booking.com</t>
  </si>
  <si>
    <t>mikeokeefe1@noemail.com</t>
  </si>
  <si>
    <t>tigger_tiff_@hotmail.com</t>
  </si>
  <si>
    <t>andrea.nichole92@gmail.com</t>
  </si>
  <si>
    <t>2020-06-23</t>
  </si>
  <si>
    <t>perdaems@comcast.net</t>
  </si>
  <si>
    <t>2020-07-08</t>
  </si>
  <si>
    <t>bstout.288512@guest.booking.com</t>
  </si>
  <si>
    <t>tom.tsomartov@gmail.com</t>
  </si>
  <si>
    <t>norlon92@yahoo.com</t>
  </si>
  <si>
    <t>sueedisonharris@gmail.com</t>
  </si>
  <si>
    <t>2020-06-08</t>
  </si>
  <si>
    <t>bree23g@yahoo.com</t>
  </si>
  <si>
    <t>2020-06-29</t>
  </si>
  <si>
    <t>educlavinaschwartz@gmail.com</t>
  </si>
  <si>
    <t>2020-06-09</t>
  </si>
  <si>
    <t>mc_pd2005@hotmail.com</t>
  </si>
  <si>
    <t>2020-07-19</t>
  </si>
  <si>
    <t>mrsbrault@gmail.com</t>
  </si>
  <si>
    <t>bigmo100@yahoo.com</t>
  </si>
  <si>
    <t>velma-hauck@sandhills.com</t>
  </si>
  <si>
    <t>2020-06-16</t>
  </si>
  <si>
    <t>prulko.426195@guest.booking.com</t>
  </si>
  <si>
    <t>davidpedersen1@noemail.com</t>
  </si>
  <si>
    <t>jbraun.909703@guest.booking.com</t>
  </si>
  <si>
    <t>2020-06-14</t>
  </si>
  <si>
    <t>prulko.303743@guest.booking.com</t>
  </si>
  <si>
    <t>carrington1969@hotmail.com</t>
  </si>
  <si>
    <t>2020-06-18</t>
  </si>
  <si>
    <t>kfolke.826252@guest.booking.com</t>
  </si>
  <si>
    <t>lisasteffl@gmail.com</t>
  </si>
  <si>
    <t>cehornjr09@gmail.com</t>
  </si>
  <si>
    <t>jd_scholl_18@hotmail.com</t>
  </si>
  <si>
    <t>jpitts.147114@guest.booking.com</t>
  </si>
  <si>
    <t>prulko.890573@guest.booking.com</t>
  </si>
  <si>
    <t>2020-06-15</t>
  </si>
  <si>
    <t>lbjames_93@yahoo.com</t>
  </si>
  <si>
    <t>2020-08-09</t>
  </si>
  <si>
    <t>thermonics1@cox.net</t>
  </si>
  <si>
    <t>ccartwright32@gmail.com</t>
  </si>
  <si>
    <t>2020-07-26</t>
  </si>
  <si>
    <t>bbrown.365176@guest.booking.com</t>
  </si>
  <si>
    <t>ljorge.123276@guest.booking.com</t>
  </si>
  <si>
    <t>2020-06-20</t>
  </si>
  <si>
    <t>dander.230210@guest.booking.com</t>
  </si>
  <si>
    <t>2020-06-17</t>
  </si>
  <si>
    <t>droyce.601757@guest.booking.com</t>
  </si>
  <si>
    <t>2020-07-01</t>
  </si>
  <si>
    <t>tcampb.509831@guest.booking.com</t>
  </si>
  <si>
    <t>frecable@hotmail.com</t>
  </si>
  <si>
    <t>mwalsh.105561@guest.booking.com</t>
  </si>
  <si>
    <t>carolhamilton1@noemail.com</t>
  </si>
  <si>
    <t>2020-06-22</t>
  </si>
  <si>
    <t>chadmwood93@yahoo.com</t>
  </si>
  <si>
    <t>ajgoblish@gmail.com</t>
  </si>
  <si>
    <t>mike@pixiedusteddreams.com</t>
  </si>
  <si>
    <t>2020-08-05</t>
  </si>
  <si>
    <t>2020-07-05</t>
  </si>
  <si>
    <t>rschne.764040@guest.booking.com</t>
  </si>
  <si>
    <t>2020-06-28</t>
  </si>
  <si>
    <t>abennii.ab@gmail.com</t>
  </si>
  <si>
    <t>2020-06-26</t>
  </si>
  <si>
    <t>jfriez.638761@guest.booking.com</t>
  </si>
  <si>
    <t>2020-06-25</t>
  </si>
  <si>
    <t>bwhite.796300@guest.booking.com</t>
  </si>
  <si>
    <t>2020-07-17</t>
  </si>
  <si>
    <t>rcom@reservations.com</t>
  </si>
  <si>
    <t>lisa.timmer@yahoo.com</t>
  </si>
  <si>
    <t>2020-07-18</t>
  </si>
  <si>
    <t>tkingd.684778@guest.booking.com</t>
  </si>
  <si>
    <t>kcmasters@indy.rr.com</t>
  </si>
  <si>
    <t>dander.355793@guest.booking.com</t>
  </si>
  <si>
    <t>jasminehuynh1@yahoo.com</t>
  </si>
  <si>
    <t>daddywarbuckstothee@yahoo.com</t>
  </si>
  <si>
    <t>mbedar.165793@guest.booking.com</t>
  </si>
  <si>
    <t>jlcowboy2288@yahoo.com</t>
  </si>
  <si>
    <t>2020-07-07</t>
  </si>
  <si>
    <t>mjrupert@frontiernet.net</t>
  </si>
  <si>
    <t>2020-07-12</t>
  </si>
  <si>
    <t>jmarti.257799@guest.booking.com</t>
  </si>
  <si>
    <t>jsperling@windstream.net</t>
  </si>
  <si>
    <t>2020-07-04</t>
  </si>
  <si>
    <t>gkhoogestraat@hotmail.com</t>
  </si>
  <si>
    <t>2020-08-02</t>
  </si>
  <si>
    <t>jpeter.346037@guest.booking.com</t>
  </si>
  <si>
    <t>2020-07-03</t>
  </si>
  <si>
    <t>tomkeisling@gmail.com</t>
  </si>
  <si>
    <t>lammert5@att.net</t>
  </si>
  <si>
    <t>2020-10-26</t>
  </si>
  <si>
    <t>astote.822591@guest.booking.com</t>
  </si>
  <si>
    <t>2020-07-02</t>
  </si>
  <si>
    <t>jncarman94@gmail.com</t>
  </si>
  <si>
    <t>jbird.535204@guest.booking.com</t>
  </si>
  <si>
    <t>hlosha.663432@guest.booking.com</t>
  </si>
  <si>
    <t>wanderer1rt@yahoo.com</t>
  </si>
  <si>
    <t>2020-07-20</t>
  </si>
  <si>
    <t>kagrabau@hotmail.com</t>
  </si>
  <si>
    <t>lisa.keeran11@gmail.com</t>
  </si>
  <si>
    <t>josephleander@hotmail.com</t>
  </si>
  <si>
    <t>2020-07-24</t>
  </si>
  <si>
    <t>cnjquiring@yahoo.com</t>
  </si>
  <si>
    <t>orstenaut@hotmail.com</t>
  </si>
  <si>
    <t>2020-09-06</t>
  </si>
  <si>
    <t>amywilliams0910@gmail.com</t>
  </si>
  <si>
    <t>2020-08-21</t>
  </si>
  <si>
    <t>rthompson@davexlabs.com</t>
  </si>
  <si>
    <t>2020-07-21</t>
  </si>
  <si>
    <t>dlueth.938379@guest.booking.com</t>
  </si>
  <si>
    <t>2020-09-20</t>
  </si>
  <si>
    <t>robertstone1@noemail.com</t>
  </si>
  <si>
    <t>ryanbaker1@noemail.com</t>
  </si>
  <si>
    <t>2020-07-14</t>
  </si>
  <si>
    <t>bethanyhempel1@noemail.com</t>
  </si>
  <si>
    <t>danamcclaflin@hotmail.com</t>
  </si>
  <si>
    <t>mttrog@hotmail.com</t>
  </si>
  <si>
    <t>lylarson001@centurylink.net</t>
  </si>
  <si>
    <t>gonzalezjesi93@gmail.com</t>
  </si>
  <si>
    <t>pilquist.family@gmail.com</t>
  </si>
  <si>
    <t>cindy.hahler@gmail.com</t>
  </si>
  <si>
    <t>2021-05-02</t>
  </si>
  <si>
    <t>dougrusso1@noemail.com</t>
  </si>
  <si>
    <t>kevinmartin1@noemail.com</t>
  </si>
  <si>
    <t>melkaterupp@gmail.com</t>
  </si>
  <si>
    <t>lsandeover33@gmail.com</t>
  </si>
  <si>
    <t>cnelso.242410@guest.booking.com</t>
  </si>
  <si>
    <t>nana-1325@hotmail.com</t>
  </si>
  <si>
    <t>2020-08-07</t>
  </si>
  <si>
    <t>kpaisl.948281@guest.booking.com</t>
  </si>
  <si>
    <t>2020-07-28</t>
  </si>
  <si>
    <t>jperry.836583@guest.booking.com</t>
  </si>
  <si>
    <t>2020-07-27</t>
  </si>
  <si>
    <t>conniemmcneely@gmail.com</t>
  </si>
  <si>
    <t>rroehr.752232@guest.booking.com</t>
  </si>
  <si>
    <t>kmheinz9393@yahoo.com</t>
  </si>
  <si>
    <t>cmukle.247594@guest.booking.com</t>
  </si>
  <si>
    <t>fatty2228@yahoo.com</t>
  </si>
  <si>
    <t>2020-09-07</t>
  </si>
  <si>
    <t>richardandkathimaben1@noemail.com</t>
  </si>
  <si>
    <t>2020-08-08</t>
  </si>
  <si>
    <t>beckyschumacer1@noemail.com</t>
  </si>
  <si>
    <t>2020-08-01</t>
  </si>
  <si>
    <t>apeard.493257@guest.booking.com</t>
  </si>
  <si>
    <t>lindaprosise1@noemail.com</t>
  </si>
  <si>
    <t>gregbrusven@gmail.com</t>
  </si>
  <si>
    <t>jenkinskd55@gmail.com</t>
  </si>
  <si>
    <t>stevenjones1@noemail.com</t>
  </si>
  <si>
    <t>2020-08-06</t>
  </si>
  <si>
    <t>lanepeterson126@gmail.com</t>
  </si>
  <si>
    <t>2020-08-10</t>
  </si>
  <si>
    <t>jeinwalter31@gmail.com</t>
  </si>
  <si>
    <t>2020-10-18</t>
  </si>
  <si>
    <t>samfam@midrivers.com</t>
  </si>
  <si>
    <t>kmccur.101506@guest.booking.com</t>
  </si>
  <si>
    <t>joegreblo1@noemail.com</t>
  </si>
  <si>
    <t>azantworker@gmail.com</t>
  </si>
  <si>
    <t>2020-08-12</t>
  </si>
  <si>
    <t>2020-08-16</t>
  </si>
  <si>
    <t>nicholemix1@noemail.com</t>
  </si>
  <si>
    <t>2020-08-17</t>
  </si>
  <si>
    <t>vshvac.789264@guest.booking.com</t>
  </si>
  <si>
    <t>zavenkhachatourian1@noemail.com</t>
  </si>
  <si>
    <t>chickm.834471@guest.booking.com</t>
  </si>
  <si>
    <t>2020-08-18</t>
  </si>
  <si>
    <t>sthomp.525985@guest.booking.com</t>
  </si>
  <si>
    <t>melp1989@hotmail.com</t>
  </si>
  <si>
    <t>2020-11-15</t>
  </si>
  <si>
    <t>zeyonsr@gmail.com</t>
  </si>
  <si>
    <t>2020-08-30</t>
  </si>
  <si>
    <t>demper1963@gmail.com</t>
  </si>
  <si>
    <t>paulcdanielson@msn.com</t>
  </si>
  <si>
    <t>2020-09-10</t>
  </si>
  <si>
    <t>yarbro4457@att.net</t>
  </si>
  <si>
    <t>2020-08-24</t>
  </si>
  <si>
    <t>shall.304613@guest.booking.com</t>
  </si>
  <si>
    <t>2020-08-28</t>
  </si>
  <si>
    <t>tomarneson1@noemail.com</t>
  </si>
  <si>
    <t>jewelsj@alliancecom.net</t>
  </si>
  <si>
    <t>davidburleigh1@noemail.com</t>
  </si>
  <si>
    <t>briandebore1@noemail.com</t>
  </si>
  <si>
    <t>2020-09-03</t>
  </si>
  <si>
    <t>roywhaley@yahoo.com</t>
  </si>
  <si>
    <t>c.markley@wholesalebatteries.net</t>
  </si>
  <si>
    <t>2020-09-02</t>
  </si>
  <si>
    <t>ptboy75@yahoo.com</t>
  </si>
  <si>
    <t>bjbiljan1958@gmail.com</t>
  </si>
  <si>
    <t>2020-11-01</t>
  </si>
  <si>
    <t>hthomp.635065@guest.booking.com</t>
  </si>
  <si>
    <t>jmisko.674643@guest.booking.com</t>
  </si>
  <si>
    <t>2020-09-05</t>
  </si>
  <si>
    <t>denisehanson1970@gmail.com</t>
  </si>
  <si>
    <t>2020-10-23</t>
  </si>
  <si>
    <t>pauldanielson1@noemail.com</t>
  </si>
  <si>
    <t>dianetaylor1@noemail.com</t>
  </si>
  <si>
    <t>cornercable3@yahoo.com</t>
  </si>
  <si>
    <t>morgandeis1@noemail.com</t>
  </si>
  <si>
    <t>2020-10-04</t>
  </si>
  <si>
    <t>hermanfam64@gmail.com</t>
  </si>
  <si>
    <t>brvertullo@gmail.com</t>
  </si>
  <si>
    <t>2020-10-03</t>
  </si>
  <si>
    <t>windyflatsranch@gmail.com</t>
  </si>
  <si>
    <t>sglanceatk@hotmail.com</t>
  </si>
  <si>
    <t>2020-09-28</t>
  </si>
  <si>
    <t>jhunterrue@gmail.com</t>
  </si>
  <si>
    <t>2020-09-25</t>
  </si>
  <si>
    <t>l.alberto1992a@gmail.com</t>
  </si>
  <si>
    <t>ddew32@icloud.com</t>
  </si>
  <si>
    <t>kadenpeterson1@noemail.com</t>
  </si>
  <si>
    <t>2020-09-18</t>
  </si>
  <si>
    <t>jeff.scudder@gmail.com</t>
  </si>
  <si>
    <t>2020-10-12</t>
  </si>
  <si>
    <t>cindynelson1@noemail.com</t>
  </si>
  <si>
    <t>2020-09-14</t>
  </si>
  <si>
    <t>tanya.smith@movement.com</t>
  </si>
  <si>
    <t>2020-10-02</t>
  </si>
  <si>
    <t>anthony.carreira@weisserdistributing.com</t>
  </si>
  <si>
    <t>rogerbohne@gmail.com</t>
  </si>
  <si>
    <t>stacie.mclaury@gmail.com</t>
  </si>
  <si>
    <t>mebejules13@yahoo.com</t>
  </si>
  <si>
    <t>2020-09-19</t>
  </si>
  <si>
    <t>michael_kuemper@hotmail.com</t>
  </si>
  <si>
    <t>kaylong1@noemail.com</t>
  </si>
  <si>
    <t>2020-10-06</t>
  </si>
  <si>
    <t>smalltowniowagirl@gmail.com</t>
  </si>
  <si>
    <t>lawise1@icloud.com</t>
  </si>
  <si>
    <t>2020-09-26</t>
  </si>
  <si>
    <t>janicebrtna1@noemail.com</t>
  </si>
  <si>
    <t>2021-08-01</t>
  </si>
  <si>
    <t>robjean13@aol.com</t>
  </si>
  <si>
    <t>sarabiverson@gmail.com</t>
  </si>
  <si>
    <t>eradragon@gmail.com</t>
  </si>
  <si>
    <t>2020-10-05</t>
  </si>
  <si>
    <t>dawnp@asmgolfcarts.com</t>
  </si>
  <si>
    <t>2020-10-28</t>
  </si>
  <si>
    <t>revdrdjh@gmail.com</t>
  </si>
  <si>
    <t>scottkarlson65@yahoo.com</t>
  </si>
  <si>
    <t>b.zirkel@riekesequipment.com</t>
  </si>
  <si>
    <t>2020-10-09</t>
  </si>
  <si>
    <t>tlarso.685837@guest.booking.com</t>
  </si>
  <si>
    <t>randywitkop1@noemail.com</t>
  </si>
  <si>
    <t>2020-10-10</t>
  </si>
  <si>
    <t>carolbrooms1@noemail.com</t>
  </si>
  <si>
    <t>2020-10-13</t>
  </si>
  <si>
    <t>kaden@buildsummit.net</t>
  </si>
  <si>
    <t>2020-10-16</t>
  </si>
  <si>
    <t>natashasmith1@noemail.com</t>
  </si>
  <si>
    <t>ktolle.351342@guest.booking.com</t>
  </si>
  <si>
    <t>2020-10-31</t>
  </si>
  <si>
    <t>codydunn1@noemail.com</t>
  </si>
  <si>
    <t>2020-10-15</t>
  </si>
  <si>
    <t>deanner@relabank.com</t>
  </si>
  <si>
    <t>2020-10-21</t>
  </si>
  <si>
    <t>lfoley.401261@guest.booking.com</t>
  </si>
  <si>
    <t>2020-10-19</t>
  </si>
  <si>
    <t>craigyerigan1@noemail.com</t>
  </si>
  <si>
    <t>2020-10-14</t>
  </si>
  <si>
    <t>rfletc.750820@guest.booking.com</t>
  </si>
  <si>
    <t>lindseylluke@hotmail.com</t>
  </si>
  <si>
    <t>ggilbert@ccimn.net</t>
  </si>
  <si>
    <t>kim.huber@k12.sd.us</t>
  </si>
  <si>
    <t>amberlhayes1024@gmail.com</t>
  </si>
  <si>
    <t>2020-10-25</t>
  </si>
  <si>
    <t>bradleydannen1@noemail.com</t>
  </si>
  <si>
    <t>ireneklatt1@noemail.com</t>
  </si>
  <si>
    <t>2020-10-20</t>
  </si>
  <si>
    <t>roger.nelson@ferguson.com</t>
  </si>
  <si>
    <t>2020-10-30</t>
  </si>
  <si>
    <t>kwilso.732715@guest.booking.com</t>
  </si>
  <si>
    <t>kberri.705897@guest.booking.com</t>
  </si>
  <si>
    <t>ruder.michelle@gmail.com</t>
  </si>
  <si>
    <t>2020-11-12</t>
  </si>
  <si>
    <t>kevinlindblad@gmail.com</t>
  </si>
  <si>
    <t>gretchen.heise@gmail.com</t>
  </si>
  <si>
    <t>newtry0711@gmail.com</t>
  </si>
  <si>
    <t>2020-11-04</t>
  </si>
  <si>
    <t>2020-11-07</t>
  </si>
  <si>
    <t>arliss77@gmail.com</t>
  </si>
  <si>
    <t>2020-11-13</t>
  </si>
  <si>
    <t>savondap@gmail.com</t>
  </si>
  <si>
    <t>jmarti.259209@guest.booking.com</t>
  </si>
  <si>
    <t>tlarso.981847@guest.booking.com</t>
  </si>
  <si>
    <t>2021-04-11</t>
  </si>
  <si>
    <t>douglaswelte1@noemail.com</t>
  </si>
  <si>
    <t>jasonolson1@noemail.com</t>
  </si>
  <si>
    <t>2020-11-10</t>
  </si>
  <si>
    <t>paulettemcdowell1@noemail.com</t>
  </si>
  <si>
    <t>daniela2019@friendlyridetrans.com</t>
  </si>
  <si>
    <t>tarajoe99@yahoo.com</t>
  </si>
  <si>
    <t>2020-11-21</t>
  </si>
  <si>
    <t>alexiawerdel1@noemail.com</t>
  </si>
  <si>
    <t>2020-12-21</t>
  </si>
  <si>
    <t>kimberlyebel1@noemail.com</t>
  </si>
  <si>
    <t>2020-11-26</t>
  </si>
  <si>
    <t>pmanthorne@cwsuter.com</t>
  </si>
  <si>
    <t>2020-11-14</t>
  </si>
  <si>
    <t>janecek2@comcast.net</t>
  </si>
  <si>
    <t>2020-12-20</t>
  </si>
  <si>
    <t>hsanch.929300@guest.booking.com</t>
  </si>
  <si>
    <t>2020-11-20</t>
  </si>
  <si>
    <t>katiestier1@noemail.com</t>
  </si>
  <si>
    <t>2021-01-09</t>
  </si>
  <si>
    <t>brennanbunch@me.com</t>
  </si>
  <si>
    <t>jkuntz.296723@guest.booking.com</t>
  </si>
  <si>
    <t>2020-12-27</t>
  </si>
  <si>
    <t>tiffanygilbert1@noemail.com</t>
  </si>
  <si>
    <t>2020-12-01</t>
  </si>
  <si>
    <t>anna.martell27@gmail.com</t>
  </si>
  <si>
    <t>2020-12-05</t>
  </si>
  <si>
    <t>jalen.lamb@jacks.sdstate.edu</t>
  </si>
  <si>
    <t>2020-11-23</t>
  </si>
  <si>
    <t>jenner.tammy@gmail.com</t>
  </si>
  <si>
    <t>2020-12-25</t>
  </si>
  <si>
    <t>scotttaverna1@noemail.com</t>
  </si>
  <si>
    <t>2020-11-29</t>
  </si>
  <si>
    <t>drue.nelson23@gmail.com</t>
  </si>
  <si>
    <t>markshaw40-11@yahoo.com</t>
  </si>
  <si>
    <t>b.smallfield@gmail.com</t>
  </si>
  <si>
    <t>2020-12-09</t>
  </si>
  <si>
    <t>kjolson@cox.net</t>
  </si>
  <si>
    <t>2021-05-28</t>
  </si>
  <si>
    <t>midasfleet@att.net</t>
  </si>
  <si>
    <t>helenecarlson1@noemail.com</t>
  </si>
  <si>
    <t>lisaallen1@noemail.com</t>
  </si>
  <si>
    <t>2020-12-06</t>
  </si>
  <si>
    <t>jeffpotts1@noemail.com</t>
  </si>
  <si>
    <t>2020-12-03</t>
  </si>
  <si>
    <t>dnorberg@gwtc.net</t>
  </si>
  <si>
    <t>2021-09-19</t>
  </si>
  <si>
    <t>r.karst3221@gmail.com</t>
  </si>
  <si>
    <t>clintonharris1@noemail.com</t>
  </si>
  <si>
    <t>2020-12-08</t>
  </si>
  <si>
    <t>bedrockconcrete@gmail.com</t>
  </si>
  <si>
    <t>2020-12-11</t>
  </si>
  <si>
    <t>harveygehrke1@noemail.com</t>
  </si>
  <si>
    <t>2021-01-03</t>
  </si>
  <si>
    <t>johnfehr93@yahoo.com</t>
  </si>
  <si>
    <t>kvgrant69@gmail.com</t>
  </si>
  <si>
    <t>bhsmasonry@gmail.com</t>
  </si>
  <si>
    <t>2021-01-24</t>
  </si>
  <si>
    <t>shanedavidspangler@gmail.com</t>
  </si>
  <si>
    <t>2020-12-18</t>
  </si>
  <si>
    <t>asteff.897648@guest.booking.com</t>
  </si>
  <si>
    <t>zbritt.642974@guest.booking.com</t>
  </si>
  <si>
    <t>2021-01-19</t>
  </si>
  <si>
    <t>daytonsaugstad@gmail.com</t>
  </si>
  <si>
    <t>2021-01-01</t>
  </si>
  <si>
    <t>sandybait@yahoo.com</t>
  </si>
  <si>
    <t>2021-03-28</t>
  </si>
  <si>
    <t>trease@nntc.net</t>
  </si>
  <si>
    <t>2020-12-26</t>
  </si>
  <si>
    <t>jgrannan@wi.rr.com</t>
  </si>
  <si>
    <t>2020-12-29</t>
  </si>
  <si>
    <t>mthorn.308489@guest.booking.com</t>
  </si>
  <si>
    <t>2020-12-30</t>
  </si>
  <si>
    <t>douglasjacobson@cox.net</t>
  </si>
  <si>
    <t>2021-12-25</t>
  </si>
  <si>
    <t>chad_berg@outlook.com</t>
  </si>
  <si>
    <t>2021-02-14</t>
  </si>
  <si>
    <t>bhsc@valleytel.net</t>
  </si>
  <si>
    <t>2021-06-12</t>
  </si>
  <si>
    <t>lennell15@gmail.com</t>
  </si>
  <si>
    <t>pinky_12@hotmail.com</t>
  </si>
  <si>
    <t>2021-01-06</t>
  </si>
  <si>
    <t>lmw392@yahoo.com</t>
  </si>
  <si>
    <t>2021-01-17</t>
  </si>
  <si>
    <t>trevor.holbrook31@gmail.com</t>
  </si>
  <si>
    <t>jbarri.224556@guest.booking.com</t>
  </si>
  <si>
    <t>2021-01-10</t>
  </si>
  <si>
    <t>2021-01-14</t>
  </si>
  <si>
    <t>christypaulson1@noemail.com</t>
  </si>
  <si>
    <t>2021-01-31</t>
  </si>
  <si>
    <t>chelsea.leaver@ervincable.com</t>
  </si>
  <si>
    <t>2021-01-15</t>
  </si>
  <si>
    <t>jessicamarielewis@hotmail.com</t>
  </si>
  <si>
    <t>2021-01-18</t>
  </si>
  <si>
    <t>dlgroebner@hotmail.com</t>
  </si>
  <si>
    <t>2021-03-21</t>
  </si>
  <si>
    <t>joanndyk1@noemail.com</t>
  </si>
  <si>
    <t>michellebode@hotmail.com</t>
  </si>
  <si>
    <t>2021-10-24</t>
  </si>
  <si>
    <t>rdseivert@gmail.com</t>
  </si>
  <si>
    <t>2021-09-07</t>
  </si>
  <si>
    <t>phillipwright1@noemail.com</t>
  </si>
  <si>
    <t>2021-01-27</t>
  </si>
  <si>
    <t>enoughjunk99@gmail.com</t>
  </si>
  <si>
    <t>2021-08-15</t>
  </si>
  <si>
    <t>shall.414870@guest.booking.com</t>
  </si>
  <si>
    <t>2021-02-01</t>
  </si>
  <si>
    <t>mhenry.734860@guest.booking.com</t>
  </si>
  <si>
    <t>susan.livelaughlove@hotmail.com</t>
  </si>
  <si>
    <t>delynnhanson@gmail.com</t>
  </si>
  <si>
    <t>2021-01-30</t>
  </si>
  <si>
    <t>2021-01-29</t>
  </si>
  <si>
    <t>laurie.steve17@yahoo.com</t>
  </si>
  <si>
    <t>brekke29@comcast.net</t>
  </si>
  <si>
    <t>2021-03-07</t>
  </si>
  <si>
    <t>kristykropuemske1@noemail.com</t>
  </si>
  <si>
    <t>2021-02-15</t>
  </si>
  <si>
    <t>ptimme.918729@guest.booking.com</t>
  </si>
  <si>
    <t>2021-04-18</t>
  </si>
  <si>
    <t>dawnmashell@yahoo.com</t>
  </si>
  <si>
    <t>2021-06-05</t>
  </si>
  <si>
    <t>mvanoo.257578@guest.booking.com</t>
  </si>
  <si>
    <t>robianlemmons@gmail.com</t>
  </si>
  <si>
    <t>jenbohm5@gmail.com</t>
  </si>
  <si>
    <t>2021-10-17</t>
  </si>
  <si>
    <t>2021-02-05</t>
  </si>
  <si>
    <t>lorrick1128@msn.com</t>
  </si>
  <si>
    <t>2021-02-08</t>
  </si>
  <si>
    <t>anel@nortextransport.com</t>
  </si>
  <si>
    <t>2021-02-06</t>
  </si>
  <si>
    <t>2021-02-11</t>
  </si>
  <si>
    <t>jpayne@sonnysdirect.com</t>
  </si>
  <si>
    <t>2021-02-12</t>
  </si>
  <si>
    <t>amandamarquardt1@noemail.com</t>
  </si>
  <si>
    <t>2021-03-17</t>
  </si>
  <si>
    <t>kayleenotten1@noemail.com</t>
  </si>
  <si>
    <t>2021-02-13</t>
  </si>
  <si>
    <t>stasse.103004@guest.booking.com</t>
  </si>
  <si>
    <t>2021-02-28</t>
  </si>
  <si>
    <t>gallofarm340@gmail.com</t>
  </si>
  <si>
    <t>nschmidt@sicoinc.com</t>
  </si>
  <si>
    <t>2021-02-17</t>
  </si>
  <si>
    <t>hsanch.965198@guest.booking.com</t>
  </si>
  <si>
    <t>seijohn87@gmail.com</t>
  </si>
  <si>
    <t>angeladegen1@noemail.com</t>
  </si>
  <si>
    <t>2021-02-21</t>
  </si>
  <si>
    <t>shwales4@gmail.com</t>
  </si>
  <si>
    <t>2021-08-28</t>
  </si>
  <si>
    <t>2021-02-19</t>
  </si>
  <si>
    <t>richisons@uwpfh.org</t>
  </si>
  <si>
    <t>2021-02-18</t>
  </si>
  <si>
    <t>meganjengebretson@gmail.com</t>
  </si>
  <si>
    <t>2021-02-26</t>
  </si>
  <si>
    <t>danielwaling1@noemail.com</t>
  </si>
  <si>
    <t>kbraul.489352@guest.booking.com</t>
  </si>
  <si>
    <t>austinhuz@icloud.com</t>
  </si>
  <si>
    <t>2021-02-20</t>
  </si>
  <si>
    <t>becky@hillsidelifts.com</t>
  </si>
  <si>
    <t>olmman@hotmail.com</t>
  </si>
  <si>
    <t>kimberlywipf11@hotmail.com</t>
  </si>
  <si>
    <t>ldalueg2@outlook.com</t>
  </si>
  <si>
    <t>robert.frerich@delta.com</t>
  </si>
  <si>
    <t>tkuhlman.tk@gmail.com</t>
  </si>
  <si>
    <t>2021-03-02</t>
  </si>
  <si>
    <t>erinrieland@yahoo.com</t>
  </si>
  <si>
    <t>nijacinc@gmail.com</t>
  </si>
  <si>
    <t>2021-02-24</t>
  </si>
  <si>
    <t>mccordes@netins.net</t>
  </si>
  <si>
    <t>2021-02-27</t>
  </si>
  <si>
    <t>mr.gstires@yahoo.com</t>
  </si>
  <si>
    <t>gena.gesing@gmail.com</t>
  </si>
  <si>
    <t>rckack@frontiernet.net</t>
  </si>
  <si>
    <t>2021-04-24</t>
  </si>
  <si>
    <t>cameronwyly1@noemail.com</t>
  </si>
  <si>
    <t>wipadag8@gmail.com</t>
  </si>
  <si>
    <t>2021-02-25</t>
  </si>
  <si>
    <t>dhalli.642867@guest.booking.com</t>
  </si>
  <si>
    <t>2021-03-14</t>
  </si>
  <si>
    <t>cmarti.953180@guest.booking.com</t>
  </si>
  <si>
    <t>2021-03-16</t>
  </si>
  <si>
    <t>kaylaberndt1@noemail.com</t>
  </si>
  <si>
    <t>davginf@sbcglobal.net</t>
  </si>
  <si>
    <t>2021-06-25</t>
  </si>
  <si>
    <t>johnsonl@sio.midco.net</t>
  </si>
  <si>
    <t>gregpearson1@noemail.com</t>
  </si>
  <si>
    <t>2021-03-05</t>
  </si>
  <si>
    <t>holly@johnmoritz.com</t>
  </si>
  <si>
    <t>2021-03-26</t>
  </si>
  <si>
    <t>wbenson5090@gmail.com</t>
  </si>
  <si>
    <t>2021-07-25</t>
  </si>
  <si>
    <t>sscharping174@gmail.com</t>
  </si>
  <si>
    <t>2021-03-12</t>
  </si>
  <si>
    <t>schoenbeck3@aol.com</t>
  </si>
  <si>
    <t>2021-03-11</t>
  </si>
  <si>
    <t>sjanersrn@gmail.com</t>
  </si>
  <si>
    <t>pplaia@comcast.net</t>
  </si>
  <si>
    <t>2021-05-24</t>
  </si>
  <si>
    <t>jmhevener@hotmail.com</t>
  </si>
  <si>
    <t>stoddard@gci.net</t>
  </si>
  <si>
    <t>smonso.732428@guest.booking.com</t>
  </si>
  <si>
    <t>jerrynjean27@gmail.com</t>
  </si>
  <si>
    <t>2021-05-10</t>
  </si>
  <si>
    <t>2021-03-13</t>
  </si>
  <si>
    <t>ndesla.359243@guest.booking.com</t>
  </si>
  <si>
    <t>kss964@hotmail.com</t>
  </si>
  <si>
    <t>2021-07-02</t>
  </si>
  <si>
    <t>2021-05-31</t>
  </si>
  <si>
    <t>dchris.147968@guest.booking.com</t>
  </si>
  <si>
    <t>dchris.322778@guest.booking.com</t>
  </si>
  <si>
    <t>2021-03-19</t>
  </si>
  <si>
    <t>bettydyk1@noemail.com</t>
  </si>
  <si>
    <t>carolhinker1@noemail.com</t>
  </si>
  <si>
    <t>2021-08-29</t>
  </si>
  <si>
    <t>darlagirton1@noemail.com</t>
  </si>
  <si>
    <t>joshuamichaelottostu1@noemail.com</t>
  </si>
  <si>
    <t>2021-03-29</t>
  </si>
  <si>
    <t>one2race1@gmail.com</t>
  </si>
  <si>
    <t>2021-05-23</t>
  </si>
  <si>
    <t>mrs.sm.hayes@gmail.com</t>
  </si>
  <si>
    <t>danieldrageset1@noemail.com</t>
  </si>
  <si>
    <t>2021-03-20</t>
  </si>
  <si>
    <t>torrybeiningen1@noemail.com</t>
  </si>
  <si>
    <t>taiylorsgmas@hotmail.com</t>
  </si>
  <si>
    <t>kputt42@yahoo.com</t>
  </si>
  <si>
    <t>2021-07-10</t>
  </si>
  <si>
    <t>sfrank.884022@guest.booking.com</t>
  </si>
  <si>
    <t>2021-03-24</t>
  </si>
  <si>
    <t>sfrank.983936@guest.booking.com</t>
  </si>
  <si>
    <t>jamesbraun1@noemail.com</t>
  </si>
  <si>
    <t>michaelgregorylemay1@noemail.com</t>
  </si>
  <si>
    <t>2021-07-11</t>
  </si>
  <si>
    <t>tommytardis@yahoo.com</t>
  </si>
  <si>
    <t>2021-05-08</t>
  </si>
  <si>
    <t>lee_healy@yahoo.com</t>
  </si>
  <si>
    <t>coryglick1@noemail.com</t>
  </si>
  <si>
    <t>kclzuehlke@venturecomm.net</t>
  </si>
  <si>
    <t>2021-04-04</t>
  </si>
  <si>
    <t>haileyroman1@noemail.com</t>
  </si>
  <si>
    <t>2021-04-01</t>
  </si>
  <si>
    <t>tkhartwick@yahoo.com</t>
  </si>
  <si>
    <t>davidbade1@noemail.com</t>
  </si>
  <si>
    <t>2021-03-31</t>
  </si>
  <si>
    <t>colettereiners1@noemail.com</t>
  </si>
  <si>
    <t>jstone.743493@guest.booking.com</t>
  </si>
  <si>
    <t>joniymker1@noemail.com</t>
  </si>
  <si>
    <t>2021-04-10</t>
  </si>
  <si>
    <t>kraigjohnson1@noemail.com</t>
  </si>
  <si>
    <t>2021-04-03</t>
  </si>
  <si>
    <t>tondarcyoung@yahoo.com</t>
  </si>
  <si>
    <t>ash.jones828@gmail.com</t>
  </si>
  <si>
    <t>kerrybell_tigermountain@hotmail.com</t>
  </si>
  <si>
    <t>2021-08-06</t>
  </si>
  <si>
    <t>justinkindem@hotmail.com</t>
  </si>
  <si>
    <t>2021-10-31</t>
  </si>
  <si>
    <t>blakemcbride1@noemail.com</t>
  </si>
  <si>
    <t>2021-04-17</t>
  </si>
  <si>
    <t>hotels@bathsaver.com</t>
  </si>
  <si>
    <t>mjanke@newulm.k12.mn.us</t>
  </si>
  <si>
    <t>hotels@bathsavwer.com</t>
  </si>
  <si>
    <t>vir44.vi@midconetwork.com</t>
  </si>
  <si>
    <t>2021-05-16</t>
  </si>
  <si>
    <t>majohnson55811@yahoo.com</t>
  </si>
  <si>
    <t>loriehresmann1@noemail.com</t>
  </si>
  <si>
    <t>labellgross1@noemail.com</t>
  </si>
  <si>
    <t>2021-04-15</t>
  </si>
  <si>
    <t>2021-04-07</t>
  </si>
  <si>
    <t>mathewbilben1@noemail.com</t>
  </si>
  <si>
    <t>mcgregor.tyler@gmail.com</t>
  </si>
  <si>
    <t>2021-04-26</t>
  </si>
  <si>
    <t>mikeconnie135@gmail.com</t>
  </si>
  <si>
    <t>2021-07-13</t>
  </si>
  <si>
    <t>twanner3@hotmail.com</t>
  </si>
  <si>
    <t>stevenleetheesfeld1@noemail.com</t>
  </si>
  <si>
    <t>2021-04-08</t>
  </si>
  <si>
    <t>bbaereece@icloud.com</t>
  </si>
  <si>
    <t>2021-04-09</t>
  </si>
  <si>
    <t>pasquaretteg@gmail.com</t>
  </si>
  <si>
    <t>2021-06-18</t>
  </si>
  <si>
    <t>mwbergm83@gmail.com</t>
  </si>
  <si>
    <t>tmo12082@gmail.com</t>
  </si>
  <si>
    <t>2022-06-26</t>
  </si>
  <si>
    <t>parryallen@gmail.com</t>
  </si>
  <si>
    <t>2021-04-16</t>
  </si>
  <si>
    <t>reservationcenter@clclodging.com</t>
  </si>
  <si>
    <t>2021-04-22</t>
  </si>
  <si>
    <t>pittelkowl@yahoo.com</t>
  </si>
  <si>
    <t>lheiman@ncn.net</t>
  </si>
  <si>
    <t>maryscott8@hotmail.com</t>
  </si>
  <si>
    <t>drjdson@yahoo.com</t>
  </si>
  <si>
    <t>crabey.389681@guest.booking.com</t>
  </si>
  <si>
    <t>sdcrawf@yahoo.com</t>
  </si>
  <si>
    <t>mjgeelan@mchsi.com</t>
  </si>
  <si>
    <t>stevehaley1@noemail.com</t>
  </si>
  <si>
    <t>bob@lemp.com</t>
  </si>
  <si>
    <t>jsimmo.133943@guest.booking.com</t>
  </si>
  <si>
    <t>2021-05-22</t>
  </si>
  <si>
    <t>curtisallenknipp1@noemail.com</t>
  </si>
  <si>
    <t>mail@makemakeinstall.sh</t>
  </si>
  <si>
    <t>2021-04-19</t>
  </si>
  <si>
    <t>tnelso.429526@guest.booking.com</t>
  </si>
  <si>
    <t>2021-08-09</t>
  </si>
  <si>
    <t>pepperjoaz@aol.com</t>
  </si>
  <si>
    <t>2021-06-01</t>
  </si>
  <si>
    <t>jrosebudd@yahoo.com</t>
  </si>
  <si>
    <t>jacklyn.karli@prairielakes.com</t>
  </si>
  <si>
    <t>2021-07-18</t>
  </si>
  <si>
    <t>hdavid.241462@guest.booking.com</t>
  </si>
  <si>
    <t>toehm@bluevalley.net</t>
  </si>
  <si>
    <t>2021-06-13</t>
  </si>
  <si>
    <t>ap@espressopartners.com</t>
  </si>
  <si>
    <t>2021-04-23</t>
  </si>
  <si>
    <t>jkirts@co.jefferson.co.us</t>
  </si>
  <si>
    <t>2021-06-20</t>
  </si>
  <si>
    <t>cindarippentrop1@noemail.com</t>
  </si>
  <si>
    <t>stevenj7121944@gmail.com</t>
  </si>
  <si>
    <t>kewleywedding@gmail.com</t>
  </si>
  <si>
    <t>2021-06-19</t>
  </si>
  <si>
    <t>x@gmail.com</t>
  </si>
  <si>
    <t>samehere@bellsouth.net</t>
  </si>
  <si>
    <t>2021-05-09</t>
  </si>
  <si>
    <t>sdpiper63@gmail.com</t>
  </si>
  <si>
    <t>tomandjune@bresnan.net</t>
  </si>
  <si>
    <t>2021-07-05</t>
  </si>
  <si>
    <t>tglass.566704@guest.booking.com</t>
  </si>
  <si>
    <t>2021-09-04</t>
  </si>
  <si>
    <t>johnmontgomery1@noemail.com</t>
  </si>
  <si>
    <t>2021-04-25</t>
  </si>
  <si>
    <t>m.stokke78@sio.midco.net</t>
  </si>
  <si>
    <t>2021-05-20</t>
  </si>
  <si>
    <t>elflanigan@msn.com</t>
  </si>
  <si>
    <t>flanigan_erin@hotmail.com</t>
  </si>
  <si>
    <t>mhill.377736@guest.booking.com</t>
  </si>
  <si>
    <t>2021-07-17</t>
  </si>
  <si>
    <t>justafriendhomeserv@gmail.com</t>
  </si>
  <si>
    <t>ageorg.950165@guest.booking.com</t>
  </si>
  <si>
    <t>2021-04-27</t>
  </si>
  <si>
    <t>leann.simonson@hotmail.com</t>
  </si>
  <si>
    <t>2021-07-19</t>
  </si>
  <si>
    <t>accounting@wittrucking.com</t>
  </si>
  <si>
    <t>2021-04-28</t>
  </si>
  <si>
    <t>reidpj@att.net</t>
  </si>
  <si>
    <t>2021-05-01</t>
  </si>
  <si>
    <t>kulla.c@gmail.com</t>
  </si>
  <si>
    <t>2021-04-29</t>
  </si>
  <si>
    <t>x@gmail.coom</t>
  </si>
  <si>
    <t>cbakes@charter.net</t>
  </si>
  <si>
    <t>rgreen959@gmail.com</t>
  </si>
  <si>
    <t>sueakleinsasser@gmail.com</t>
  </si>
  <si>
    <t>schneids7776@hotmail.com</t>
  </si>
  <si>
    <t>2021-05-07</t>
  </si>
  <si>
    <t>candicecacaro@gmail.com</t>
  </si>
  <si>
    <t>donniethompson1@noemail.com</t>
  </si>
  <si>
    <t>2021-05-13</t>
  </si>
  <si>
    <t>dniels.948372@guest.booking.com</t>
  </si>
  <si>
    <t>2021-05-30</t>
  </si>
  <si>
    <t>justatillin@gmail.com</t>
  </si>
  <si>
    <t>chadlennon1@gmail.com</t>
  </si>
  <si>
    <t>katoduncan@charter.net</t>
  </si>
  <si>
    <t>2021-07-04</t>
  </si>
  <si>
    <t>jortego0603@gmail.com</t>
  </si>
  <si>
    <t>2021-05-03</t>
  </si>
  <si>
    <t>jtumbl.198806@guest.booking.com</t>
  </si>
  <si>
    <t>tracyk2525@hotmail.com</t>
  </si>
  <si>
    <t>vincehughes1@noemail.com</t>
  </si>
  <si>
    <t>dougpierson1@noemail.com</t>
  </si>
  <si>
    <t>2021-05-05</t>
  </si>
  <si>
    <t>lross.253327@guest.booking.com</t>
  </si>
  <si>
    <t>softball@starterssportstraining.com</t>
  </si>
  <si>
    <t>2021-05-18</t>
  </si>
  <si>
    <t>joshlacyschmidt@gmail.com</t>
  </si>
  <si>
    <t>2021-06-27</t>
  </si>
  <si>
    <t>pauldysart1@noemail.com</t>
  </si>
  <si>
    <t>pottsjeffnewagecryo1@noemail.com</t>
  </si>
  <si>
    <t>2021-05-14</t>
  </si>
  <si>
    <t>joshuathomas1@noemail.com</t>
  </si>
  <si>
    <t>2021-05-12</t>
  </si>
  <si>
    <t>stanleyjohnson1@noemail.com</t>
  </si>
  <si>
    <t>cjohn21@css.edu</t>
  </si>
  <si>
    <t>mvanst.579079@guest.booking.com</t>
  </si>
  <si>
    <t>boiseopshelpdesk@contactcfs.com</t>
  </si>
  <si>
    <t>kathy57345@yahoo.com</t>
  </si>
  <si>
    <t>cycheck77@gmail.com</t>
  </si>
  <si>
    <t>krusin26@aol.com</t>
  </si>
  <si>
    <t>2021-05-15</t>
  </si>
  <si>
    <t>blongf.295076@guest.booking.com</t>
  </si>
  <si>
    <t>2021-06-04</t>
  </si>
  <si>
    <t>jegiedd1@charter.net</t>
  </si>
  <si>
    <t>dschwi.638169@guest.booking.com</t>
  </si>
  <si>
    <t>cgvuoso@cox.net</t>
  </si>
  <si>
    <t>2021-06-21</t>
  </si>
  <si>
    <t>schapi.939626@guest.booking.com</t>
  </si>
  <si>
    <t>susie@unitedteamelite.com</t>
  </si>
  <si>
    <t>ddeang.973991@guest.booking.com</t>
  </si>
  <si>
    <t>2021-09-01</t>
  </si>
  <si>
    <t>darsialdrich@gmail.com</t>
  </si>
  <si>
    <t>tjlafave@valleytel.net</t>
  </si>
  <si>
    <t>epicwife@aol.com</t>
  </si>
  <si>
    <t>sherz@borntotravelinc.com</t>
  </si>
  <si>
    <t>nannis.756255@guest.booking.com</t>
  </si>
  <si>
    <t>aricht.102881@guest.booking.com</t>
  </si>
  <si>
    <t>marrissia18@gmail.com</t>
  </si>
  <si>
    <t>2021-05-21</t>
  </si>
  <si>
    <t>alexamgloe@gmail.com</t>
  </si>
  <si>
    <t>2021-06-06</t>
  </si>
  <si>
    <t>reinertpl@gmail.com</t>
  </si>
  <si>
    <t>mcsteph@ymail.com</t>
  </si>
  <si>
    <t>billweber1958@gmail.com</t>
  </si>
  <si>
    <t>fyreman526@msn.com</t>
  </si>
  <si>
    <t>jamie@truerealestatemn.com</t>
  </si>
  <si>
    <t>ddetar.856196@guest.booking.com</t>
  </si>
  <si>
    <t>2021-07-16</t>
  </si>
  <si>
    <t>1jtmoore@cox.net</t>
  </si>
  <si>
    <t>2021-06-14</t>
  </si>
  <si>
    <t>jboye.754307@guest.booking.com</t>
  </si>
  <si>
    <t>lpepple@puck.com</t>
  </si>
  <si>
    <t>williamseanl1@noemail.com</t>
  </si>
  <si>
    <t>2021-05-19</t>
  </si>
  <si>
    <t>jerryhofer01@gmail.com</t>
  </si>
  <si>
    <t>jrhayward@cox.net</t>
  </si>
  <si>
    <t>pmpopps@gmail.com</t>
  </si>
  <si>
    <t>support-receipts@hotelengine.com</t>
  </si>
  <si>
    <t>dickbenesch@gmail.com</t>
  </si>
  <si>
    <t>bakernomad@gmail.com</t>
  </si>
  <si>
    <t>mommymyking@gmail.com</t>
  </si>
  <si>
    <t>2021-09-05</t>
  </si>
  <si>
    <t>dawnmatlock@comcast.net</t>
  </si>
  <si>
    <t>cottonwoodcastle@gmail.com</t>
  </si>
  <si>
    <t>krenv1113@aol.com</t>
  </si>
  <si>
    <t>baker444@juno.com</t>
  </si>
  <si>
    <t>gene@geneswholesaletire.com</t>
  </si>
  <si>
    <t>jenhegg@yahoo.com</t>
  </si>
  <si>
    <t>vringenberg@gmail.com</t>
  </si>
  <si>
    <t>jet7737@gmail.com</t>
  </si>
  <si>
    <t>2021-05-29</t>
  </si>
  <si>
    <t>jacobkrueger1@noemail.com</t>
  </si>
  <si>
    <t>john.teupel@gmail.com</t>
  </si>
  <si>
    <t>rferris1957@gmail.com</t>
  </si>
  <si>
    <t>jmiller@redlineds.com</t>
  </si>
  <si>
    <t>babobzien@yahoo.com</t>
  </si>
  <si>
    <t>kjb966@rap.midco.net</t>
  </si>
  <si>
    <t>haleysimpson1@noemail.com</t>
  </si>
  <si>
    <t>2021-05-26</t>
  </si>
  <si>
    <t>bamand.489022@guest.booking.com</t>
  </si>
  <si>
    <t>2021-05-27</t>
  </si>
  <si>
    <t>knelso.728040@guest.booking.com</t>
  </si>
  <si>
    <t>2021-06-10</t>
  </si>
  <si>
    <t>dsoto.715282@guest.booking.com</t>
  </si>
  <si>
    <t>lexbing_1404@hotmail.com</t>
  </si>
  <si>
    <t>jdalefowler@yahoo.com</t>
  </si>
  <si>
    <t>peggysourile@gmail.com</t>
  </si>
  <si>
    <t>2021-06-02</t>
  </si>
  <si>
    <t>aurorarosejr@yahoo.com</t>
  </si>
  <si>
    <t>amoss1217@gmail.com</t>
  </si>
  <si>
    <t>flightdoctorwest@msn.com</t>
  </si>
  <si>
    <t>jann3181@yahoo.com</t>
  </si>
  <si>
    <t>ahvien68@hotmail.com</t>
  </si>
  <si>
    <t>coltenlesmeister@gmail.com</t>
  </si>
  <si>
    <t>mixergal20@gmail.com</t>
  </si>
  <si>
    <t>rcaugh.543449@guest.booking.com</t>
  </si>
  <si>
    <t>dmoyer.150354@guest.booking.com</t>
  </si>
  <si>
    <t>2021-07-26</t>
  </si>
  <si>
    <t>jsperatos@gmail.com</t>
  </si>
  <si>
    <t>sshoop.779389@guest.booking.com</t>
  </si>
  <si>
    <t>2021-07-24</t>
  </si>
  <si>
    <t>yju.770927@guest.booking.com</t>
  </si>
  <si>
    <t>getting@yahoo.com</t>
  </si>
  <si>
    <t>lynettemedellin1@noemail.com</t>
  </si>
  <si>
    <t>freddielarsson@hotmail.se</t>
  </si>
  <si>
    <t>2021-06-26</t>
  </si>
  <si>
    <t>brendastokke@yahoo.com</t>
  </si>
  <si>
    <t>2021-09-26</t>
  </si>
  <si>
    <t>sikanos07@gmail.com</t>
  </si>
  <si>
    <t>coveytraven@gmail.com</t>
  </si>
  <si>
    <t>2021-06-03</t>
  </si>
  <si>
    <t>rnick.992545@guest.booking.com</t>
  </si>
  <si>
    <t>ctcerney@hotmail.com</t>
  </si>
  <si>
    <t>joshuaekirchner@gmail.com</t>
  </si>
  <si>
    <t>fdgreatplains.mark@gmail.com</t>
  </si>
  <si>
    <t>2021-06-08</t>
  </si>
  <si>
    <t>rfertig4@outlook.com</t>
  </si>
  <si>
    <t>2021-06-28</t>
  </si>
  <si>
    <t>mikejones1@noemail.com</t>
  </si>
  <si>
    <t>ddalderin@gmail.com</t>
  </si>
  <si>
    <t>friasivancryo1@noemail.com</t>
  </si>
  <si>
    <t>billcryo1@noemail.com</t>
  </si>
  <si>
    <t>miguelcryo1@noemail.com</t>
  </si>
  <si>
    <t>joecryo1@noemail.com</t>
  </si>
  <si>
    <t>tbhelton@gmail.com</t>
  </si>
  <si>
    <t>2021-06-07</t>
  </si>
  <si>
    <t>brentcryo1@noemail.com</t>
  </si>
  <si>
    <t>romeocryo1@noemail.com</t>
  </si>
  <si>
    <t>marioandycryo1@noemail.com</t>
  </si>
  <si>
    <t>alejandrojamescryo1@noemail.com</t>
  </si>
  <si>
    <t>cliffomarcryo1@noemail.com</t>
  </si>
  <si>
    <t>josesrraulcryo1@noemail.com</t>
  </si>
  <si>
    <t>manuelkevincryo1@noemail.com</t>
  </si>
  <si>
    <t>oscarazuelcryo1@noemail.com</t>
  </si>
  <si>
    <t>jasonmarquiscryo1@noemail.com</t>
  </si>
  <si>
    <t>eddyisaaccryo1@noemail.com</t>
  </si>
  <si>
    <t>andresebastiancryo1@noemail.com</t>
  </si>
  <si>
    <t>jessefranciscocryo1@noemail.com</t>
  </si>
  <si>
    <t>brettanthonycryo1@noemail.com</t>
  </si>
  <si>
    <t>eduardojesuscryo1@noemail.com</t>
  </si>
  <si>
    <t>ana.ortega@newagecryo.com</t>
  </si>
  <si>
    <t>jasiebrandt@gmail.com</t>
  </si>
  <si>
    <t>sweeney.chels217@gmail.com</t>
  </si>
  <si>
    <t>bsleslie61@hotmail.com</t>
  </si>
  <si>
    <t>mthoma.728289@guest.booking.com</t>
  </si>
  <si>
    <t>thurclan@santel.net</t>
  </si>
  <si>
    <t>rjohnson1676@gmail.com</t>
  </si>
  <si>
    <t>nakasonehitomi1@noemail.com</t>
  </si>
  <si>
    <t>mleon.925017@guest.booking.com</t>
  </si>
  <si>
    <t>laura.kirstein@gmail.com</t>
  </si>
  <si>
    <t>2021-08-08</t>
  </si>
  <si>
    <t>mpowla.538798@guest.booking.com</t>
  </si>
  <si>
    <t>markomada1@noemail.com</t>
  </si>
  <si>
    <t>mweed6380@gmail.com</t>
  </si>
  <si>
    <t>ameng.341277@guest.booking.com</t>
  </si>
  <si>
    <t>2021-06-17</t>
  </si>
  <si>
    <t>scottwilson1@noemail.com</t>
  </si>
  <si>
    <t>jblair033@gmail.com</t>
  </si>
  <si>
    <t>mccannwoods@sbcglobal.net</t>
  </si>
  <si>
    <t>fenandojuancryo1@noemail.com</t>
  </si>
  <si>
    <t>ckschultz53@gmail.com</t>
  </si>
  <si>
    <t>2021-06-11</t>
  </si>
  <si>
    <t>jthovson1@gmail.com</t>
  </si>
  <si>
    <t>2022-06-19</t>
  </si>
  <si>
    <t>djbilka@gmail.com</t>
  </si>
  <si>
    <t>dhealy.585098@guest.booking.com</t>
  </si>
  <si>
    <t>hfodne.480410@guest.booking.com</t>
  </si>
  <si>
    <t>anthonyzullo1@noemail.com</t>
  </si>
  <si>
    <t>johnflueger1@noemail.com</t>
  </si>
  <si>
    <t>trlawson0992@hotmail.com</t>
  </si>
  <si>
    <t>2021-07-23</t>
  </si>
  <si>
    <t>cg@ironsteelco.com</t>
  </si>
  <si>
    <t>cherienkimball@gmail.com</t>
  </si>
  <si>
    <t>trevorwenbourne@hotmail.com</t>
  </si>
  <si>
    <t>2021-06-09</t>
  </si>
  <si>
    <t>smeade.701553@guest.booking.com</t>
  </si>
  <si>
    <t>gbrack.496356@guest.booking.com</t>
  </si>
  <si>
    <t>bass_rebecca@isdschools.org</t>
  </si>
  <si>
    <t>bryan@reimerscontracting.com</t>
  </si>
  <si>
    <t>lindaschultz1@noemail.com</t>
  </si>
  <si>
    <t>rjringstmeyer@gmail.com</t>
  </si>
  <si>
    <t>beckyhoffmanhhmom@gmail.com</t>
  </si>
  <si>
    <t>2021-08-02</t>
  </si>
  <si>
    <t>rmace.700499@guest.booking.com</t>
  </si>
  <si>
    <t>ktorgens@hotmail.com</t>
  </si>
  <si>
    <t>2021-08-27</t>
  </si>
  <si>
    <t>kaseynthom@gmail.com</t>
  </si>
  <si>
    <t>gpavek.240017@guest.booking.com</t>
  </si>
  <si>
    <t>kbayley16@gmail.com</t>
  </si>
  <si>
    <t>brooks.bowman@sdhsaa.com</t>
  </si>
  <si>
    <t>2021-10-14</t>
  </si>
  <si>
    <t>mree.752880@guest.booking.com</t>
  </si>
  <si>
    <t>melstorm73@hotmail.com</t>
  </si>
  <si>
    <t>notfamous09@gmail.com</t>
  </si>
  <si>
    <t>2021-08-30</t>
  </si>
  <si>
    <t>jackiemhastings@yahoo.com</t>
  </si>
  <si>
    <t>2021-09-15</t>
  </si>
  <si>
    <t>kjbillam09@gmail.com</t>
  </si>
  <si>
    <t>zekandchris@gmail.com</t>
  </si>
  <si>
    <t>apasca.368330@guest.booking.com</t>
  </si>
  <si>
    <t>2021-06-30</t>
  </si>
  <si>
    <t>scott.maloneii@gmail.com</t>
  </si>
  <si>
    <t>dreute.430994@guest.booking.com</t>
  </si>
  <si>
    <t>2021-06-15</t>
  </si>
  <si>
    <t>shall.604792@guest.booking.com</t>
  </si>
  <si>
    <t>2021-06-16</t>
  </si>
  <si>
    <t>christiandellamaestr1@noemail.com</t>
  </si>
  <si>
    <t>allisoncur10@gmail.com</t>
  </si>
  <si>
    <t>jodischrank74@gmail.com</t>
  </si>
  <si>
    <t>lyu.498838@guest.booking.com</t>
  </si>
  <si>
    <t>klindb.895983@guest.booking.com</t>
  </si>
  <si>
    <t>evaye6263@gmail.com</t>
  </si>
  <si>
    <t>2021-06-22</t>
  </si>
  <si>
    <t>taramcgovern1@noemail.com</t>
  </si>
  <si>
    <t>j2detrroit@icloud.com</t>
  </si>
  <si>
    <t>saltours@saltours.co.uk</t>
  </si>
  <si>
    <t>timschwasinger1@noemail.com</t>
  </si>
  <si>
    <t>trusse.941983@guest.booking.com</t>
  </si>
  <si>
    <t>2021-06-23</t>
  </si>
  <si>
    <t>garywellm1@noemail.com</t>
  </si>
  <si>
    <t>pepsigirl1155@hotmail.com</t>
  </si>
  <si>
    <t>edelor.778308@guest.booking.com</t>
  </si>
  <si>
    <t>audiemurry1@noemail.com</t>
  </si>
  <si>
    <t>jfinni.938086@guest.booking.com</t>
  </si>
  <si>
    <t>meyer.patti@gmail.com</t>
  </si>
  <si>
    <t>2021-10-03</t>
  </si>
  <si>
    <t>ceasergarcia1@noemail.com</t>
  </si>
  <si>
    <t>vstock.334961@guest.booking.com</t>
  </si>
  <si>
    <t>thomasbaker1@noemail.com</t>
  </si>
  <si>
    <t>2021-06-24</t>
  </si>
  <si>
    <t>staceyphillips1@noemail.com</t>
  </si>
  <si>
    <t>smccre.734396@guest.booking.com</t>
  </si>
  <si>
    <t>bballewward_bbwlaw@hotmail.com</t>
  </si>
  <si>
    <t>2021-07-20</t>
  </si>
  <si>
    <t>sholme.882897@guest.booking.com</t>
  </si>
  <si>
    <t>andrewcotton1@noemail.com</t>
  </si>
  <si>
    <t>mjanse.873847@guest.booking.com</t>
  </si>
  <si>
    <t>2021-07-07</t>
  </si>
  <si>
    <t>mindaktravel@gmail.com</t>
  </si>
  <si>
    <t>brandyhanna81@gmail.com</t>
  </si>
  <si>
    <t>rfarley@rdspos.com</t>
  </si>
  <si>
    <t>steven.erickson.mms@comcast.net</t>
  </si>
  <si>
    <t>thomashaaf1@noemail.com</t>
  </si>
  <si>
    <t>2021-07-22</t>
  </si>
  <si>
    <t>rebeccadodds@live.com</t>
  </si>
  <si>
    <t>tomcasey222@gmail.com</t>
  </si>
  <si>
    <t>msmith.110510@guest.booking.com</t>
  </si>
  <si>
    <t>clien.838413@guest.booking.com</t>
  </si>
  <si>
    <t>billyclark379@gmail.com</t>
  </si>
  <si>
    <t>2021-06-29</t>
  </si>
  <si>
    <t>kristenbrus1@noemail.com</t>
  </si>
  <si>
    <t>jklotz.786913@guest.booking.com</t>
  </si>
  <si>
    <t>jeffderksen1@noemail.com</t>
  </si>
  <si>
    <t>cpatte.870792@guest.booking.com</t>
  </si>
  <si>
    <t>hollyswedin@yahoo.com</t>
  </si>
  <si>
    <t>slee.380346@guest.booking.com</t>
  </si>
  <si>
    <t>2021-07-03</t>
  </si>
  <si>
    <t>mfigue.378202@guest.booking.com</t>
  </si>
  <si>
    <t>masonpitts1@noemail.com</t>
  </si>
  <si>
    <t>joycenischbach@sbcglobal.net</t>
  </si>
  <si>
    <t>jenna_wanna.kriegel@yahoo.com</t>
  </si>
  <si>
    <t>vbenney@aol.com</t>
  </si>
  <si>
    <t>2021-09-03</t>
  </si>
  <si>
    <t>jill.peters2@gmail.com</t>
  </si>
  <si>
    <t>2021-07-21</t>
  </si>
  <si>
    <t>loriperry@diamondcontractors.com</t>
  </si>
  <si>
    <t>ksanti.616096@guest.booking.com</t>
  </si>
  <si>
    <t>2021-07-01</t>
  </si>
  <si>
    <t>snrrief@vastbb.net</t>
  </si>
  <si>
    <t>moja.929414@guest.booking.com</t>
  </si>
  <si>
    <t>2021-07-09</t>
  </si>
  <si>
    <t>lwater.424794@guest.booking.com</t>
  </si>
  <si>
    <t>bobbie.jacobs@yahoo.com</t>
  </si>
  <si>
    <t>2021-11-27</t>
  </si>
  <si>
    <t>sandi.mount@yahoo.com</t>
  </si>
  <si>
    <t>roxkraft@outlook.com</t>
  </si>
  <si>
    <t>2021-08-10</t>
  </si>
  <si>
    <t>lindaborries1@noemail.com</t>
  </si>
  <si>
    <t>thebrandt5@yahoo.com</t>
  </si>
  <si>
    <t>jamesbieler1@noemail.com</t>
  </si>
  <si>
    <t>fgropel@gmail.com</t>
  </si>
  <si>
    <t>2021-08-21</t>
  </si>
  <si>
    <t>endres2011@hotmail.com</t>
  </si>
  <si>
    <t>kimpickett1@noemail.com</t>
  </si>
  <si>
    <t>perina@sd.plains.com</t>
  </si>
  <si>
    <t>johnglynn1@noemail.com</t>
  </si>
  <si>
    <t>terrihanger13@gmail.com</t>
  </si>
  <si>
    <t>2021-08-14</t>
  </si>
  <si>
    <t>deanacollins1@noemail.com</t>
  </si>
  <si>
    <t>aamand.605511@guest.booking.com</t>
  </si>
  <si>
    <t>jameslavarre1@noemail.com</t>
  </si>
  <si>
    <t>carlamartin1@noemail.com</t>
  </si>
  <si>
    <t>ofstadfam@gmail.com</t>
  </si>
  <si>
    <t>2021-07-27</t>
  </si>
  <si>
    <t>chancejepson2927@gmail.com</t>
  </si>
  <si>
    <t>gregrobertson1@noemail.com</t>
  </si>
  <si>
    <t>shelahalexandrea1@noemail.com</t>
  </si>
  <si>
    <t>maryanngodes@yahoo.com</t>
  </si>
  <si>
    <t>2021-09-12</t>
  </si>
  <si>
    <t>shawnali1@noemail.com</t>
  </si>
  <si>
    <t>2021-07-06</t>
  </si>
  <si>
    <t>raue5681@gmail.com</t>
  </si>
  <si>
    <t>2021-07-12</t>
  </si>
  <si>
    <t>barbjilek@yahoo.com</t>
  </si>
  <si>
    <t>2021-07-14</t>
  </si>
  <si>
    <t>jesse.wilson@summerbrooketownhomes.com</t>
  </si>
  <si>
    <t>2021-07-08</t>
  </si>
  <si>
    <t>drewchristensen1@noemail.com</t>
  </si>
  <si>
    <t>kglick.653014@guest.booking.com</t>
  </si>
  <si>
    <t>alexschmitt1@noemail.com</t>
  </si>
  <si>
    <t>gidayshega1@noemail.com</t>
  </si>
  <si>
    <t>mrichardson@vermeerhp.com</t>
  </si>
  <si>
    <t>cwilli.858445@guest.booking.com</t>
  </si>
  <si>
    <t>benbuckley@kirkgross.com</t>
  </si>
  <si>
    <t>2021-07-15</t>
  </si>
  <si>
    <t>pamelanordmark@gmail.com</t>
  </si>
  <si>
    <t>philip.dimick@nngco.com</t>
  </si>
  <si>
    <t>celestmarkwardt@gmeail.com</t>
  </si>
  <si>
    <t>joordt.874137@guest.booking.com</t>
  </si>
  <si>
    <t>keithalesch1@noemail.com</t>
  </si>
  <si>
    <t>taramcgovernhannahwe1@noemail.com</t>
  </si>
  <si>
    <t>cjbarnhart0923@gmail.com</t>
  </si>
  <si>
    <t>kclzeuhalke@venturecomm.net</t>
  </si>
  <si>
    <t>mschmi.428206@guest.booking.com</t>
  </si>
  <si>
    <t>john.jagiela@att.net</t>
  </si>
  <si>
    <t>svaruag@gmail.com</t>
  </si>
  <si>
    <t>ianmmoran16@gmail.com</t>
  </si>
  <si>
    <t>msjustice00@yahoo.com</t>
  </si>
  <si>
    <t>dillonkoester1@noemail.com</t>
  </si>
  <si>
    <t>lepperly@comcast.net</t>
  </si>
  <si>
    <t>dport02@iw.net</t>
  </si>
  <si>
    <t>rochelletrapp@gmail.com</t>
  </si>
  <si>
    <t>discopingon61@yahoo.com</t>
  </si>
  <si>
    <t>leviwhitmer1@noemail.com</t>
  </si>
  <si>
    <t>jcaseysands@gmail.com</t>
  </si>
  <si>
    <t>dduffy@neighbrohooddentalcare.com</t>
  </si>
  <si>
    <t>katie.steeneck18@gmail.com</t>
  </si>
  <si>
    <t>sunmegan@yahoo.com</t>
  </si>
  <si>
    <t>cameronolson1@noemail.com</t>
  </si>
  <si>
    <t>msalas004@gmail.com</t>
  </si>
  <si>
    <t>tanniross1@noemail.com</t>
  </si>
  <si>
    <t>tomfrantzen1@noemail.com</t>
  </si>
  <si>
    <t>candaceranden1@noemail.com</t>
  </si>
  <si>
    <t>asteff.763862@guest.booking.com</t>
  </si>
  <si>
    <t>taylor.nay@gmail.com</t>
  </si>
  <si>
    <t>clambe.139114@guest.booking.com</t>
  </si>
  <si>
    <t>2021-08-05</t>
  </si>
  <si>
    <t>kelseymac18@outlook.com</t>
  </si>
  <si>
    <t>eadelbridge@gmail.com</t>
  </si>
  <si>
    <t>lisa_kline@hotmail.com</t>
  </si>
  <si>
    <t>stevenberhey1@noemail.com</t>
  </si>
  <si>
    <t>rogerskarry@gmail.com</t>
  </si>
  <si>
    <t>nbinie.263240@guest.booking.com</t>
  </si>
  <si>
    <t>2021-09-20</t>
  </si>
  <si>
    <t>lindaguza1@noemail.com</t>
  </si>
  <si>
    <t>gavingangwish1@noemail.com</t>
  </si>
  <si>
    <t>bdrees.366166@guest.booking.com</t>
  </si>
  <si>
    <t>carlosardon1@noemail.com</t>
  </si>
  <si>
    <t>sheladooley1@noemail.com</t>
  </si>
  <si>
    <t>cliffdahl1@noemail.com</t>
  </si>
  <si>
    <t>2021-08-22</t>
  </si>
  <si>
    <t>mkaing.856897@guest.booking.com</t>
  </si>
  <si>
    <t>krncannon814@gmail.com</t>
  </si>
  <si>
    <t>terryeckerman1@noemail.com</t>
  </si>
  <si>
    <t>michaeldaniels1@noemail.com</t>
  </si>
  <si>
    <t>2021-08-24</t>
  </si>
  <si>
    <t>rlewisa8388@aol.com</t>
  </si>
  <si>
    <t>kholme.102269@guest.booking.com</t>
  </si>
  <si>
    <t>jlucas.198005@guest.booking.com</t>
  </si>
  <si>
    <t>jeffvermeulen1@noemail.com</t>
  </si>
  <si>
    <t>david55stamper@gmail.com</t>
  </si>
  <si>
    <t>amberbendlin1@noemail.com</t>
  </si>
  <si>
    <t>kalvar.242334@guest.booking.com</t>
  </si>
  <si>
    <t>mcadenkyburz1@noemail.com</t>
  </si>
  <si>
    <t>2021-10-04</t>
  </si>
  <si>
    <t>martimyer1@noemail.com</t>
  </si>
  <si>
    <t>jeffknock1@noemail.com</t>
  </si>
  <si>
    <t>mbromw.690166@guest.booking.com</t>
  </si>
  <si>
    <t>timkurtz1@noemail.com</t>
  </si>
  <si>
    <t>ericmiller1@noemail.com</t>
  </si>
  <si>
    <t>carolpeterson1@noemail.com</t>
  </si>
  <si>
    <t>wadebromwich1@noemail.com</t>
  </si>
  <si>
    <t>currypower35@gmail.com</t>
  </si>
  <si>
    <t>victoriavieira1@noemail.com</t>
  </si>
  <si>
    <t>jhowar59@gmail.com</t>
  </si>
  <si>
    <t>2021-09-06</t>
  </si>
  <si>
    <t>chelsieschafer24@gmail.com</t>
  </si>
  <si>
    <t>josh.kayl@tps-k12.org</t>
  </si>
  <si>
    <t>nancytobey1@noemail.com</t>
  </si>
  <si>
    <t>matzkes@abbnebraska.com</t>
  </si>
  <si>
    <t>augustsrbortz1@noemail.com</t>
  </si>
  <si>
    <t>cherlymarsh1@noemail.com</t>
  </si>
  <si>
    <t>tennilleblackfeather@yahoo.com</t>
  </si>
  <si>
    <t>bonniekunz1@noemail.com</t>
  </si>
  <si>
    <t>2021-09-18</t>
  </si>
  <si>
    <t>m.a.waller@outlook.com</t>
  </si>
  <si>
    <t>ddarli.950999@guest.booking.com</t>
  </si>
  <si>
    <t>2021-10-05</t>
  </si>
  <si>
    <t>saralorraine@ymail.com</t>
  </si>
  <si>
    <t>tnitta.642982@guest.booking.com</t>
  </si>
  <si>
    <t>zaeldiaz144@gmail.com</t>
  </si>
  <si>
    <t>stiefeljeremy@gmail.com</t>
  </si>
  <si>
    <t>joniklaska@icloud.com</t>
  </si>
  <si>
    <t>rachellezimmer1@noemail.com</t>
  </si>
  <si>
    <t>2021-07-31</t>
  </si>
  <si>
    <t>johnhall1@noemail.com</t>
  </si>
  <si>
    <t>kjay.947579@guest.booking.com</t>
  </si>
  <si>
    <t>gary@abbeywbl.com</t>
  </si>
  <si>
    <t>2021-08-16</t>
  </si>
  <si>
    <t>julie.ehlers@k12.sd.us</t>
  </si>
  <si>
    <t>hnkatcha@yahoo.com</t>
  </si>
  <si>
    <t>2021-07-28</t>
  </si>
  <si>
    <t>molliemahler1@noemail.com</t>
  </si>
  <si>
    <t>clintlekmburg@gmail.com</t>
  </si>
  <si>
    <t>richard.shangreaux@gmail.com</t>
  </si>
  <si>
    <t>barbmedinwald1@noemail.com</t>
  </si>
  <si>
    <t>markrichardson1@noemail.com</t>
  </si>
  <si>
    <t>mbenson12511@gmail.com</t>
  </si>
  <si>
    <t>kseppp.620170@guest.booking.com</t>
  </si>
  <si>
    <t>ashold.659719@guest.booking.com</t>
  </si>
  <si>
    <t>wshold.491503@guest.booking.com</t>
  </si>
  <si>
    <t>dmr8775@gmail.com</t>
  </si>
  <si>
    <t>carriesikkink1@noemail.com</t>
  </si>
  <si>
    <t>carterpaulson1@noemail.com</t>
  </si>
  <si>
    <t>lindakeiser1@noemail.com</t>
  </si>
  <si>
    <t>matthewkuntz1@noemail.com</t>
  </si>
  <si>
    <t>mattsulivin241@gmail.com</t>
  </si>
  <si>
    <t>darrellrafcake@gmail.com</t>
  </si>
  <si>
    <t>jeremyordal1@noemail.com</t>
  </si>
  <si>
    <t>ericblack1@noemail.com</t>
  </si>
  <si>
    <t>dennyliz@cox.net</t>
  </si>
  <si>
    <t>danielsmith1@noemail.com</t>
  </si>
  <si>
    <t>jpetke.899459@guest.booking.com</t>
  </si>
  <si>
    <t>beverlywitt1@noemail.com</t>
  </si>
  <si>
    <t>2021-11-14</t>
  </si>
  <si>
    <t>smary.982270@guest.booking.com</t>
  </si>
  <si>
    <t>2022-04-30</t>
  </si>
  <si>
    <t>julie_paul@ymail.com</t>
  </si>
  <si>
    <t>kellyschrank@santel.net</t>
  </si>
  <si>
    <t>johnannajohnson1@noemail.com</t>
  </si>
  <si>
    <t>stephenhugunin1@noemail.com</t>
  </si>
  <si>
    <t>kerryjohnson1@noemail.com</t>
  </si>
  <si>
    <t>karilynn2003@gmail.com</t>
  </si>
  <si>
    <t>russellfugittrussel1@noemail.com</t>
  </si>
  <si>
    <t>rabearley@hotmail.com</t>
  </si>
  <si>
    <t>2021-12-05</t>
  </si>
  <si>
    <t>jaxonvorka@gmail.com</t>
  </si>
  <si>
    <t>goldenrod316@gmail.com</t>
  </si>
  <si>
    <t>debtaylor51@gmail.com</t>
  </si>
  <si>
    <t>jenniferedwards1@noemail.com</t>
  </si>
  <si>
    <t>nick.kunz@stonel.com</t>
  </si>
  <si>
    <t>dgarre.604570@guest.booking.com</t>
  </si>
  <si>
    <t>morganglanzer1@noemail.com</t>
  </si>
  <si>
    <t>thomaskammerdiener1@noemail.com</t>
  </si>
  <si>
    <t>f2p@comcast.net</t>
  </si>
  <si>
    <t>kelliekimmen1@noemail.com</t>
  </si>
  <si>
    <t>paulhaecherl1@noemail.com</t>
  </si>
  <si>
    <t>johnteupel1@noemail.com</t>
  </si>
  <si>
    <t>zshackelford@gmail.com</t>
  </si>
  <si>
    <t>tomlauriebehrends1@noemail.com</t>
  </si>
  <si>
    <t>mikklarson@gmail.com</t>
  </si>
  <si>
    <t>bassdaddy1122@gmail.com</t>
  </si>
  <si>
    <t>james.poppen@gmail.com</t>
  </si>
  <si>
    <t>peter@petesprehungs.com</t>
  </si>
  <si>
    <t>robynrohr1@noemail.com</t>
  </si>
  <si>
    <t>ejessi.381147@guest.booking.com</t>
  </si>
  <si>
    <t>toniapoiriertimgisi1@noemail.com</t>
  </si>
  <si>
    <t>melissa.newell72@gmail.com</t>
  </si>
  <si>
    <t>subway5475@gmail.com</t>
  </si>
  <si>
    <t>hhenke.448052@guest.booking.com</t>
  </si>
  <si>
    <t>jpeter.198988@guest.booking.com</t>
  </si>
  <si>
    <t>bdunn.617895@guest.booking.com</t>
  </si>
  <si>
    <t>nickolisgreiner1@noemail.com</t>
  </si>
  <si>
    <t>rodneytekrony1@noemail.com</t>
  </si>
  <si>
    <t>2021-09-27</t>
  </si>
  <si>
    <t>kristen.mccool@gmail.com</t>
  </si>
  <si>
    <t>2021-08-17</t>
  </si>
  <si>
    <t>gregbrusvwen@gmail.com</t>
  </si>
  <si>
    <t>adam.a.chally@gmail.com</t>
  </si>
  <si>
    <t>clementehernabndez1@noemail.com</t>
  </si>
  <si>
    <t>bschwa.242397@guest.booking.com</t>
  </si>
  <si>
    <t>2021-09-17</t>
  </si>
  <si>
    <t>lizmikeus@yahoo.com</t>
  </si>
  <si>
    <t>2021-10-07</t>
  </si>
  <si>
    <t>brianjarvis1@noemail.com</t>
  </si>
  <si>
    <t>2021-07-30</t>
  </si>
  <si>
    <t>mikelatson@comcast.net</t>
  </si>
  <si>
    <t>jimhoffman53@gmail.com</t>
  </si>
  <si>
    <t>cebenton43@hmail.com</t>
  </si>
  <si>
    <t>fabermarcyranch@gmail.com</t>
  </si>
  <si>
    <t>danielamaya1@noemail.com</t>
  </si>
  <si>
    <t>kriley.929485@guest.booking.com</t>
  </si>
  <si>
    <t>jongrindle@hotmail.com</t>
  </si>
  <si>
    <t>jeffcardon@hotmail.com</t>
  </si>
  <si>
    <t>sammi.brink@gmail.com</t>
  </si>
  <si>
    <t>slynes.852748@guest.booking.com</t>
  </si>
  <si>
    <t>jkreikemeier5@unl.edu</t>
  </si>
  <si>
    <t>kasvob@yahoo.com</t>
  </si>
  <si>
    <t>newcombkaitlynn@gmail.com</t>
  </si>
  <si>
    <t>csardi.151476@guest.booking.com</t>
  </si>
  <si>
    <t>2021-08-11</t>
  </si>
  <si>
    <t>allb@me.com</t>
  </si>
  <si>
    <t>accounting@newagecryo.com</t>
  </si>
  <si>
    <t>maryroth1@noemail.com</t>
  </si>
  <si>
    <t>drew_0072@hotmail.com</t>
  </si>
  <si>
    <t>2021-09-11</t>
  </si>
  <si>
    <t>maryroth@yahoo.com</t>
  </si>
  <si>
    <t>bfkunz45@gmail.com</t>
  </si>
  <si>
    <t>mjclegg@gmail.com</t>
  </si>
  <si>
    <t>jlbradly91@gmail.com</t>
  </si>
  <si>
    <t>polyplano@hotmail.com</t>
  </si>
  <si>
    <t>brocksmith1@noemail.com</t>
  </si>
  <si>
    <t>garageangry11@noemail.com</t>
  </si>
  <si>
    <t>rasch_bob@yahoo.com</t>
  </si>
  <si>
    <t>katielwigen@gmail.com</t>
  </si>
  <si>
    <t>cjellsworth@tds.net</t>
  </si>
  <si>
    <t>lananchristensen@gmail.com</t>
  </si>
  <si>
    <t>patrickwood1@noemail.com</t>
  </si>
  <si>
    <t>jtklumper@gmail.com</t>
  </si>
  <si>
    <t>dbahr.218403@guest.booking.com</t>
  </si>
  <si>
    <t>2021-07-29</t>
  </si>
  <si>
    <t>tori.stein@intertek.com</t>
  </si>
  <si>
    <t>florez1@noemail.com</t>
  </si>
  <si>
    <t>reservationcenter@clc.com</t>
  </si>
  <si>
    <t>veronicalittle1@noemail.com</t>
  </si>
  <si>
    <t>alexajhanisch@gmail.com</t>
  </si>
  <si>
    <t>stephn26@hotmail.com</t>
  </si>
  <si>
    <t>reynaldocastillo1@noemail.com</t>
  </si>
  <si>
    <t>nicolehollaar1@noemail.com</t>
  </si>
  <si>
    <t>scottcoates1@noemail.com</t>
  </si>
  <si>
    <t>pbeyer.288716@guest.booking.com</t>
  </si>
  <si>
    <t>rbosha.603758@guest.booking.com</t>
  </si>
  <si>
    <t>dwhitn.600037@guest.booking.com</t>
  </si>
  <si>
    <t>morganwturner@gmail.com</t>
  </si>
  <si>
    <t>sarhacarr1@noemail.com</t>
  </si>
  <si>
    <t>bwilleytrucking@gmail.com</t>
  </si>
  <si>
    <t>emoratilla44@gmail.com</t>
  </si>
  <si>
    <t>davelamerts1@noemail.com</t>
  </si>
  <si>
    <t>mlmnagreen@gmail.com</t>
  </si>
  <si>
    <t>dejongs36@gmail.com</t>
  </si>
  <si>
    <t>harrietshumski1@noemail.com</t>
  </si>
  <si>
    <t>2021-09-21</t>
  </si>
  <si>
    <t>kraftstratton1@noemail.com</t>
  </si>
  <si>
    <t>britni_ridge@hotmail.com</t>
  </si>
  <si>
    <t>donnarost1@noemail.com</t>
  </si>
  <si>
    <t>stjspht@att.net</t>
  </si>
  <si>
    <t>cwiles.454522@guest.booking.com</t>
  </si>
  <si>
    <t>rschmeichel@gmail.com</t>
  </si>
  <si>
    <t>christinagarrison1@noemail.com</t>
  </si>
  <si>
    <t>jonnicaeller1@noemail.com</t>
  </si>
  <si>
    <t>lorijames333@gmail.com</t>
  </si>
  <si>
    <t>2021-08-07</t>
  </si>
  <si>
    <t>2021-08-04</t>
  </si>
  <si>
    <t>jeffhoffman1@noemail.com</t>
  </si>
  <si>
    <t>ashleyquigley8675309@gmail.com</t>
  </si>
  <si>
    <t>lclayt.746087@guest.booking.com</t>
  </si>
  <si>
    <t>2021-08-18</t>
  </si>
  <si>
    <t>speder.470237@guest.booking.com</t>
  </si>
  <si>
    <t>jessicasturis@gmail.com</t>
  </si>
  <si>
    <t>dubbeldetiffany@gmail.com</t>
  </si>
  <si>
    <t>jeffreese1@noemail.com</t>
  </si>
  <si>
    <t>laurafranke1@noemail.com</t>
  </si>
  <si>
    <t>graciehinn1@noemail.com</t>
  </si>
  <si>
    <t>larryrichert1@noemail.com</t>
  </si>
  <si>
    <t>shulerdawn1@noemail.com</t>
  </si>
  <si>
    <t>aarontownsend1@noemail.com</t>
  </si>
  <si>
    <t>adonovan@architecturalteam.com</t>
  </si>
  <si>
    <t>jameserickson1@noemail.com</t>
  </si>
  <si>
    <t>2021-08-03</t>
  </si>
  <si>
    <t>kellykiggins1@noemail.com</t>
  </si>
  <si>
    <t>deonnarandle1@noemail.com</t>
  </si>
  <si>
    <t>ccarte.264589@guest.booking.com</t>
  </si>
  <si>
    <t>gyenelleochs1@noemail.com</t>
  </si>
  <si>
    <t>marysampson1@noemail.com</t>
  </si>
  <si>
    <t>cparro.111240@guest.booking.com</t>
  </si>
  <si>
    <t>brentreimerdvm@gmail.com</t>
  </si>
  <si>
    <t>anderson-samantha@outlook.com</t>
  </si>
  <si>
    <t>2021-10-10</t>
  </si>
  <si>
    <t>tammy@wonderwomanconstruction.com</t>
  </si>
  <si>
    <t>pinkwhint@longlines.com</t>
  </si>
  <si>
    <t>drchrist952@protonmail.com</t>
  </si>
  <si>
    <t>2021-08-25</t>
  </si>
  <si>
    <t>jim.vogel@k12.sd.us</t>
  </si>
  <si>
    <t>alt@longlines.com</t>
  </si>
  <si>
    <t>2021-08-19</t>
  </si>
  <si>
    <t>mikkeyharris1@noemail.com</t>
  </si>
  <si>
    <t>janicecercone1@noemail.com</t>
  </si>
  <si>
    <t>jakeparker1@noemail.com</t>
  </si>
  <si>
    <t>tdick.437534@guest.booking.com</t>
  </si>
  <si>
    <t>caraspirazza1@noemail.com</t>
  </si>
  <si>
    <t>rgranb.963846@guest.booking.com</t>
  </si>
  <si>
    <t>randybarnhart1@noemail.com</t>
  </si>
  <si>
    <t>sonialeece1@noemail.com</t>
  </si>
  <si>
    <t>briandavis1@noemail.com</t>
  </si>
  <si>
    <t>2021-08-13</t>
  </si>
  <si>
    <t>tamikeller7@gmail.com</t>
  </si>
  <si>
    <t>carmenblythe1@noemail.com</t>
  </si>
  <si>
    <t>courneya@arvig.net</t>
  </si>
  <si>
    <t>kristinwinter1@noemail.com</t>
  </si>
  <si>
    <t>davemccandless1@noemail.com</t>
  </si>
  <si>
    <t>jchesek@structuresunlimited.com</t>
  </si>
  <si>
    <t>gerhold33@gmail.com</t>
  </si>
  <si>
    <t>christopherjacobs1@noemail.com</t>
  </si>
  <si>
    <t>shawnhill1@noemail.com</t>
  </si>
  <si>
    <t>nate.simonson@gmail.com</t>
  </si>
  <si>
    <t>mushapaosborn1@noemail.com</t>
  </si>
  <si>
    <t>djbej@att.net</t>
  </si>
  <si>
    <t>m.fraser05@hotmail.com</t>
  </si>
  <si>
    <t>agbuilders1@noemail.com</t>
  </si>
  <si>
    <t>lschuler32@gmail.com</t>
  </si>
  <si>
    <t>manuelcerbantes@yahoo.com</t>
  </si>
  <si>
    <t>jlentz.312763@guest.booking.com</t>
  </si>
  <si>
    <t>jamie.dekker.12@gmail.com</t>
  </si>
  <si>
    <t>sbrian.468172@guest.booking.com</t>
  </si>
  <si>
    <t>bkrieg.793342@guest.booking.com</t>
  </si>
  <si>
    <t>tamihauer99@gmail.com</t>
  </si>
  <si>
    <t>smcconnell@morganinsurancegroup.com</t>
  </si>
  <si>
    <t>nickhahler1@noemail.com</t>
  </si>
  <si>
    <t>2021-08-12</t>
  </si>
  <si>
    <t>nanlibengood@yahoo.com</t>
  </si>
  <si>
    <t>bigtrav101@gmail.com</t>
  </si>
  <si>
    <t>ppadge.703237@guest.booking.com</t>
  </si>
  <si>
    <t>chapelin_cindy@yahoo.com</t>
  </si>
  <si>
    <t>davidunderwood1@noemail.com</t>
  </si>
  <si>
    <t>mmckin.749816@guest.booking.com</t>
  </si>
  <si>
    <t>kzamor.848379@guest.booking.com</t>
  </si>
  <si>
    <t>lonniemyers1@noemail.com</t>
  </si>
  <si>
    <t>aturba.640926@guest.booking.com</t>
  </si>
  <si>
    <t>2021-11-07</t>
  </si>
  <si>
    <t>laurencepruett1@noemail.com</t>
  </si>
  <si>
    <t>pcaf64@aol.com</t>
  </si>
  <si>
    <t>toniadobo@gmail.com</t>
  </si>
  <si>
    <t>tcook.512039@guest.booking.com</t>
  </si>
  <si>
    <t>2022-07-15</t>
  </si>
  <si>
    <t>bcobb.883387@guest.booking.com</t>
  </si>
  <si>
    <t>tiedemannfarmsinc@yahoo.com</t>
  </si>
  <si>
    <t>jackie.dekker@wnins.com</t>
  </si>
  <si>
    <t>crusnak@groupbellemare.com</t>
  </si>
  <si>
    <t>jarrod.felix@yahoo.com</t>
  </si>
  <si>
    <t>robertlindsey1@noemail.com</t>
  </si>
  <si>
    <t>chrish@i29rv.com</t>
  </si>
  <si>
    <t>christratt1@noemail.com</t>
  </si>
  <si>
    <t>michellerickett1@noemail.com</t>
  </si>
  <si>
    <t>barbbeckers1@noemail.com</t>
  </si>
  <si>
    <t>absm2000@yahoo.com</t>
  </si>
  <si>
    <t>nicholashacker1@noemail.com</t>
  </si>
  <si>
    <t>peggyfreidel1@noemail.com</t>
  </si>
  <si>
    <t>2022-01-02</t>
  </si>
  <si>
    <t>dbcjcl22@live.com</t>
  </si>
  <si>
    <t>tony.mccallister@vossdist.com</t>
  </si>
  <si>
    <t>haelisacks1@noemail.com</t>
  </si>
  <si>
    <t>shuebner30@gmail.com</t>
  </si>
  <si>
    <t>micahweltzl1@noemail.com</t>
  </si>
  <si>
    <t>pstute.309519@guest.booking.com</t>
  </si>
  <si>
    <t>danielzucchi1@noemail.com</t>
  </si>
  <si>
    <t>evanbungum1@noemail.com</t>
  </si>
  <si>
    <t>dennisvincent1@noemail.com</t>
  </si>
  <si>
    <t>msaalf.532129@guest.booking.com</t>
  </si>
  <si>
    <t>cmarti.866016@guest.booking.com</t>
  </si>
  <si>
    <t>2021-10-29</t>
  </si>
  <si>
    <t>margaretbruhn1@noemail.com</t>
  </si>
  <si>
    <t>wendylbell.wb@gmail.com</t>
  </si>
  <si>
    <t>jasondekker1@noemail.com</t>
  </si>
  <si>
    <t>kasen1620@yahoo.com</t>
  </si>
  <si>
    <t>markslear1@noemail.com</t>
  </si>
  <si>
    <t>ahamme.463336@guest.booking.com</t>
  </si>
  <si>
    <t>taylor.king@summitfoodservice.com</t>
  </si>
  <si>
    <t>sjohnson2@gmx.com</t>
  </si>
  <si>
    <t>cmarti.704399@guest.booking.com</t>
  </si>
  <si>
    <t>2021-11-02</t>
  </si>
  <si>
    <t>mund@drtel.net</t>
  </si>
  <si>
    <t>cmunne.582347@guest.booking.com</t>
  </si>
  <si>
    <t>mckenziehall123456@gmail.com</t>
  </si>
  <si>
    <t>mdix.460555@guest.booking.com</t>
  </si>
  <si>
    <t>2021-11-26</t>
  </si>
  <si>
    <t>apirlholey1@noemail.com</t>
  </si>
  <si>
    <t>derek.crompton@bayer.com</t>
  </si>
  <si>
    <t>joey_charlina@hotmail.com</t>
  </si>
  <si>
    <t>ryanhollaar1@noemail.com</t>
  </si>
  <si>
    <t>rdheine@gpcom.net</t>
  </si>
  <si>
    <t>woodcandl@aol.com</t>
  </si>
  <si>
    <t>mathewkuntz1@noemail.com</t>
  </si>
  <si>
    <t>kmvickery@hotmail.com</t>
  </si>
  <si>
    <t>sandre.433414@guest.booking.com</t>
  </si>
  <si>
    <t>lauriejhardin@gmail.com</t>
  </si>
  <si>
    <t>2021-08-23</t>
  </si>
  <si>
    <t>sskoltn@gmail.com</t>
  </si>
  <si>
    <t>melissaannclouse@gmail.com</t>
  </si>
  <si>
    <t>tornado634@gmail.com</t>
  </si>
  <si>
    <t>ashley.schrurs@gmail.com</t>
  </si>
  <si>
    <t>mrk73c@gmail.com</t>
  </si>
  <si>
    <t>2021-10-06</t>
  </si>
  <si>
    <t>dominicwarmbein1@noemail.com</t>
  </si>
  <si>
    <t>embut7@hotmail.com</t>
  </si>
  <si>
    <t>stoppi.159492@guest.booking.com</t>
  </si>
  <si>
    <t>michellekelly1@noemail.com</t>
  </si>
  <si>
    <t>kaleeburton1@noemail.com</t>
  </si>
  <si>
    <t>sahrmeland1@noemail.com</t>
  </si>
  <si>
    <t>mbugge.506117@guest.booking.com</t>
  </si>
  <si>
    <t>seanjiampa1@noemail.com</t>
  </si>
  <si>
    <t>debrakinghorn1@noemail.com</t>
  </si>
  <si>
    <t>bobcaswell1@noemail.com</t>
  </si>
  <si>
    <t>michaelfuller1@noemail.com</t>
  </si>
  <si>
    <t>mathewscivoletti1@noemail.com</t>
  </si>
  <si>
    <t>sbtroth@gmail.com</t>
  </si>
  <si>
    <t>2021-09-25</t>
  </si>
  <si>
    <t>r_anderson27@msn.com</t>
  </si>
  <si>
    <t>2021-08-20</t>
  </si>
  <si>
    <t>stephenhuginin1@noemail.com</t>
  </si>
  <si>
    <t>bettyandersen1@noemail.com</t>
  </si>
  <si>
    <t>umarabdullayev1@noemail.com</t>
  </si>
  <si>
    <t>jast19@juno.com</t>
  </si>
  <si>
    <t>adamcourt1@noemail.com</t>
  </si>
  <si>
    <t>dameinlabel1@noemail.com</t>
  </si>
  <si>
    <t>jennifermarkon1@noemail.com</t>
  </si>
  <si>
    <t>nikirwright@hotmail.com</t>
  </si>
  <si>
    <t>bradleedamm1@noemail.com</t>
  </si>
  <si>
    <t>gayladean1@noemail.com</t>
  </si>
  <si>
    <t>dominicm@commodityservice.com</t>
  </si>
  <si>
    <t>amese.225621@guest.booking.com</t>
  </si>
  <si>
    <t>heatherchristensen1@noemail.com</t>
  </si>
  <si>
    <t>johnsmith1@noemail.com</t>
  </si>
  <si>
    <t>lelandsuz@gmail.com</t>
  </si>
  <si>
    <t>jill.prickett@yahoo.com</t>
  </si>
  <si>
    <t>maureennovak1@noemail.com</t>
  </si>
  <si>
    <t>maggieleighdickson1@noemail.com</t>
  </si>
  <si>
    <t>brandonmapes1@noemail.com</t>
  </si>
  <si>
    <t>calist.227415@guest.booking.com</t>
  </si>
  <si>
    <t>lazarojimezrodriguez1@noemail.com</t>
  </si>
  <si>
    <t>tweedbird69@icloud.com</t>
  </si>
  <si>
    <t>stephanie.ulses16@gmail.com</t>
  </si>
  <si>
    <t>elicook1@noemail.com</t>
  </si>
  <si>
    <t>villars@mchsi.com</t>
  </si>
  <si>
    <t>roechs.534820@guest.booking.com</t>
  </si>
  <si>
    <t>spolson99@hotmail.com</t>
  </si>
  <si>
    <t>paulmichels1@noemail.com</t>
  </si>
  <si>
    <t>lzeble.102790@guest.booking.com</t>
  </si>
  <si>
    <t>twylanielsen1@noemail.com</t>
  </si>
  <si>
    <t>julmer.202514@guest.booking.com</t>
  </si>
  <si>
    <t>carloleon1@noemail.com</t>
  </si>
  <si>
    <t>sculbe.944679@guest.booking.com</t>
  </si>
  <si>
    <t>2021-08-26</t>
  </si>
  <si>
    <t>mmccoy.955357@guest.booking.com</t>
  </si>
  <si>
    <t>timothypotet1@noemail.com</t>
  </si>
  <si>
    <t>ddeang.915185@guest.booking.com</t>
  </si>
  <si>
    <t>kavita.au4@gmail.com</t>
  </si>
  <si>
    <t>nicholas@worldwideairlines.net</t>
  </si>
  <si>
    <t>lillygross95@aol.com</t>
  </si>
  <si>
    <t>2021-09-02</t>
  </si>
  <si>
    <t>plniederbaumer@venturecomm.net</t>
  </si>
  <si>
    <t>codyheumiller1@noemail.com</t>
  </si>
  <si>
    <t>djtgvanemmerik@gmail.com</t>
  </si>
  <si>
    <t>2022-05-22</t>
  </si>
  <si>
    <t>cpoeckes@midlands.net</t>
  </si>
  <si>
    <t>koelcleaning@gmail.com</t>
  </si>
  <si>
    <t>juliesackett1@noemail.com</t>
  </si>
  <si>
    <t>marccassens@yahoo.com</t>
  </si>
  <si>
    <t>dballs.581765@guest.booking.com</t>
  </si>
  <si>
    <t>zstein.864502@guest.booking.com</t>
  </si>
  <si>
    <t>2021-09-13</t>
  </si>
  <si>
    <t>noahtousignant1@noemail.com</t>
  </si>
  <si>
    <t>reesepowers1@noemail.com</t>
  </si>
  <si>
    <t>lbedard33@gmail.com</t>
  </si>
  <si>
    <t>cindy.reeder1686@gmail.com</t>
  </si>
  <si>
    <t>2021-10-09</t>
  </si>
  <si>
    <t>jasonboekamp@gmail.com</t>
  </si>
  <si>
    <t>dentinyzoss1@noemail.com</t>
  </si>
  <si>
    <t>paminst@yahoo.com</t>
  </si>
  <si>
    <t>briansimonson1@noemail.com</t>
  </si>
  <si>
    <t>smoell.235909@guest.booking.com</t>
  </si>
  <si>
    <t>lbarne.690337@guest.booking.com</t>
  </si>
  <si>
    <t>californiakiddmw@gmail.com</t>
  </si>
  <si>
    <t>ebel742@comcast.net</t>
  </si>
  <si>
    <t>bangle@midco.net</t>
  </si>
  <si>
    <t>deeannfrederikson1@noemail.com</t>
  </si>
  <si>
    <t>damianebel1@noemail.com</t>
  </si>
  <si>
    <t>jeffplummer1@noemail.com</t>
  </si>
  <si>
    <t>tjohns.996582@guest.booking.com</t>
  </si>
  <si>
    <t>jacobpenner1@noemail.com</t>
  </si>
  <si>
    <t>nemjaminwischmeyer1@noemail.com</t>
  </si>
  <si>
    <t>nick.blommer@gmail.com</t>
  </si>
  <si>
    <t>carlimccoccer1@noemail.com</t>
  </si>
  <si>
    <t>dsnick87@yahoo.com</t>
  </si>
  <si>
    <t>jmoore@longlines.com</t>
  </si>
  <si>
    <t>c.vosberg@yahoo.com</t>
  </si>
  <si>
    <t>murdochword1@noemail.com</t>
  </si>
  <si>
    <t>devinlivermont12@gmail.com</t>
  </si>
  <si>
    <t>michellekirkvold@gmail.com</t>
  </si>
  <si>
    <t>heathergrewing1@noemail.com</t>
  </si>
  <si>
    <t>johnteuple1@noemail.com</t>
  </si>
  <si>
    <t>2021-11-28</t>
  </si>
  <si>
    <t>dseveryn_34@hotmail.com</t>
  </si>
  <si>
    <t>jeremy.lansink@gmail.com</t>
  </si>
  <si>
    <t>coreygreen289@yahoo.com</t>
  </si>
  <si>
    <t>gladysnooney1@noemail.com</t>
  </si>
  <si>
    <t>crazywienerdoglady2@gmail.com</t>
  </si>
  <si>
    <t>mikeplumber1@noemail.com</t>
  </si>
  <si>
    <t>williambraid1@noemail.com</t>
  </si>
  <si>
    <t>hardacrestiles@gmail.com</t>
  </si>
  <si>
    <t>bryanreimers1@noemail.com</t>
  </si>
  <si>
    <t>rachelludemann1@noemail.com</t>
  </si>
  <si>
    <t>justinfrench1@noemail.com</t>
  </si>
  <si>
    <t>phutch.690315@guest.booking.com</t>
  </si>
  <si>
    <t>2021-08-31</t>
  </si>
  <si>
    <t>cbragd.939509@guest.booking.com</t>
  </si>
  <si>
    <t>nicolehaan1@noemail.com</t>
  </si>
  <si>
    <t>harprfam@hotmail.com</t>
  </si>
  <si>
    <t>sflaigle@mwtn.org</t>
  </si>
  <si>
    <t>amymoss1@noemail.com</t>
  </si>
  <si>
    <t>2021-11-06</t>
  </si>
  <si>
    <t>megan.welberg@hotmail.com</t>
  </si>
  <si>
    <t>shoffm.729152@guest.booking.com</t>
  </si>
  <si>
    <t>jessicadodson1@noemail.com</t>
  </si>
  <si>
    <t>shayybabyy11@gmail.com</t>
  </si>
  <si>
    <t>cplatt.761402@guest.booking.com</t>
  </si>
  <si>
    <t>sharonjett1@noemail.com</t>
  </si>
  <si>
    <t>jrnmlm@msn.com</t>
  </si>
  <si>
    <t>2021-10-27</t>
  </si>
  <si>
    <t>calebsetpanen1@noemail.com</t>
  </si>
  <si>
    <t>brianjarvius1@noemail.com</t>
  </si>
  <si>
    <t>phutch.597674@guest.booking.com</t>
  </si>
  <si>
    <t>anthonyliston1@noemail.com</t>
  </si>
  <si>
    <t>krajicekjr127@gmail.com</t>
  </si>
  <si>
    <t>hannahanderson1@noemail.com</t>
  </si>
  <si>
    <t>anniejohnson683@gmail.com</t>
  </si>
  <si>
    <t>dwaynecap1@noemail.com</t>
  </si>
  <si>
    <t>mark@rmrheli.com</t>
  </si>
  <si>
    <t>pameladavis1@noemail.com</t>
  </si>
  <si>
    <t>scottpannell1@noemail.com</t>
  </si>
  <si>
    <t>coutneywarejcka1@noemail.com</t>
  </si>
  <si>
    <t>rayamyvining@gmail.com</t>
  </si>
  <si>
    <t>andrearensch1@noemail.com</t>
  </si>
  <si>
    <t>angiemaxfield1@noemail.com</t>
  </si>
  <si>
    <t>mjbuszka1@yahoo.com</t>
  </si>
  <si>
    <t>maxestrada1@noemail.com</t>
  </si>
  <si>
    <t>ryanschroeder1@noemail.com</t>
  </si>
  <si>
    <t>timkjonegaard1@noemail.com</t>
  </si>
  <si>
    <t>2021-10-16</t>
  </si>
  <si>
    <t>johnbrady1@noemail.com</t>
  </si>
  <si>
    <t>mikejacobs1@noemail.com</t>
  </si>
  <si>
    <t>jalcan.356735@guest.booking.com</t>
  </si>
  <si>
    <t>2021-09-08</t>
  </si>
  <si>
    <t>cpedeg.130944@guest.booking.com</t>
  </si>
  <si>
    <t>2021-09-14</t>
  </si>
  <si>
    <t>mattmccaskill1@noemail.com</t>
  </si>
  <si>
    <t>aniebe.354844@guest.booking.com</t>
  </si>
  <si>
    <t>2021-11-01</t>
  </si>
  <si>
    <t>nathaniel.wimmer@yahoo.com</t>
  </si>
  <si>
    <t>jo.niles@jjdcompanies.com</t>
  </si>
  <si>
    <t>allenterry1997@gmail.com</t>
  </si>
  <si>
    <t>mrpartners@abe.midco.net</t>
  </si>
  <si>
    <t>emilyjolley1@noemail.com</t>
  </si>
  <si>
    <t>daffern1974@gmail.com</t>
  </si>
  <si>
    <t>amandashaw777@yahoo.com</t>
  </si>
  <si>
    <t>kelsey.rohrbach@hotmail.com</t>
  </si>
  <si>
    <t>bcain@rovarllc.com</t>
  </si>
  <si>
    <t>2021-10-18</t>
  </si>
  <si>
    <t>knokes.804804@guest.booking.com</t>
  </si>
  <si>
    <t>jlhamacher@hotmail.com</t>
  </si>
  <si>
    <t>2021-12-18</t>
  </si>
  <si>
    <t>klinebuilders8@gmail.com</t>
  </si>
  <si>
    <t>stevekraushaar1@noemail.com</t>
  </si>
  <si>
    <t>2021-12-19</t>
  </si>
  <si>
    <t>bdrees.172951@guest.booking.com</t>
  </si>
  <si>
    <t>2021-09-09</t>
  </si>
  <si>
    <t>madisontrabing@gmail.com</t>
  </si>
  <si>
    <t>barb.paulson67@gmail.com</t>
  </si>
  <si>
    <t>carrievb44@gmail.com</t>
  </si>
  <si>
    <t>brianlee1@noemail.com</t>
  </si>
  <si>
    <t>christi2109@yahoo.com</t>
  </si>
  <si>
    <t>jbrand.268482@guest.booking.com</t>
  </si>
  <si>
    <t>nikolasworth1@noemail.com</t>
  </si>
  <si>
    <t>austinclausen1@noemail.com</t>
  </si>
  <si>
    <t>jaywolf@gmail.com</t>
  </si>
  <si>
    <t>terrance.kurtenbach@gmail.com</t>
  </si>
  <si>
    <t>voelker.jessica@yahoo.com</t>
  </si>
  <si>
    <t>2021-12-12</t>
  </si>
  <si>
    <t>bryceniemeyer35@gmail.com</t>
  </si>
  <si>
    <t>kathyhornstra1@noemail.com</t>
  </si>
  <si>
    <t>t_motherway@hotmail.com</t>
  </si>
  <si>
    <t>debraoffenbacher@gmail.com</t>
  </si>
  <si>
    <t>grantx2@gmail.com</t>
  </si>
  <si>
    <t>2021-09-10</t>
  </si>
  <si>
    <t>chevellehill@gmail.com</t>
  </si>
  <si>
    <t>pascualaguiler1@noemail.com</t>
  </si>
  <si>
    <t>mgandr.628160@guest.booking.com</t>
  </si>
  <si>
    <t>deb@cccpender.biz</t>
  </si>
  <si>
    <t>2022-09-11</t>
  </si>
  <si>
    <t>sarahdevoid1@noemail.com</t>
  </si>
  <si>
    <t>charleskeith1@noemail.com</t>
  </si>
  <si>
    <t>michaelscottturner1@noemail.com</t>
  </si>
  <si>
    <t>teresafreund1@noemail.com</t>
  </si>
  <si>
    <t>skylergaddis1@noemail.com</t>
  </si>
  <si>
    <t>gpshmoss@gmail.com</t>
  </si>
  <si>
    <t>mattknock1@noemail.com</t>
  </si>
  <si>
    <t>2021-09-23</t>
  </si>
  <si>
    <t>abigailvanverwerf1@noemail.com</t>
  </si>
  <si>
    <t>swipf.888261@guest.booking.com</t>
  </si>
  <si>
    <t>athomp.620342@guest.booking.com</t>
  </si>
  <si>
    <t>dennishill1@noemail.com</t>
  </si>
  <si>
    <t>cmreeder77@gmail.com</t>
  </si>
  <si>
    <t>davidscore1@noemail.com</t>
  </si>
  <si>
    <t>brendatreftz1@noemail.com</t>
  </si>
  <si>
    <t>phutch.475479@guest.booking.com</t>
  </si>
  <si>
    <t>brianj66chevy@gmail.com</t>
  </si>
  <si>
    <t>gene@crawfordoutdoor.com</t>
  </si>
  <si>
    <t>rdamme.795705@guest.booking.com</t>
  </si>
  <si>
    <t>2021-09-30</t>
  </si>
  <si>
    <t>phutch.593597@guest.booking.com</t>
  </si>
  <si>
    <t>sgleis.804066@guest.booking.com</t>
  </si>
  <si>
    <t>2021-09-16</t>
  </si>
  <si>
    <t>kim@agbuilders.com</t>
  </si>
  <si>
    <t>ssoto@smart-pawn.com</t>
  </si>
  <si>
    <t>cori.reisch@gmail.com</t>
  </si>
  <si>
    <t>emil@emilvanessen.com</t>
  </si>
  <si>
    <t>jwells.805640@guest.booking.com</t>
  </si>
  <si>
    <t>2021-10-25</t>
  </si>
  <si>
    <t>nicole.hoffman3@gmail.com</t>
  </si>
  <si>
    <t>alexhoehn1@noemail.com</t>
  </si>
  <si>
    <t>noah.casanova15@gmail.com</t>
  </si>
  <si>
    <t>mamma-mcclain@hotmail.com</t>
  </si>
  <si>
    <t>meby.161100@guest.booking.com</t>
  </si>
  <si>
    <t>2021-11-11</t>
  </si>
  <si>
    <t>orioneswanson1@noemail.com</t>
  </si>
  <si>
    <t>john@seppanencontractinginc.com</t>
  </si>
  <si>
    <t>dluu1@yahoo.com</t>
  </si>
  <si>
    <t>love.cosmo@yahoo.com</t>
  </si>
  <si>
    <t>teresa.litavecz@medcor.com</t>
  </si>
  <si>
    <t>2021-09-24</t>
  </si>
  <si>
    <t>darcie.strehlow@gmail.com</t>
  </si>
  <si>
    <t>gaddissam@gmail.com</t>
  </si>
  <si>
    <t>codycoupland1@noemail.com</t>
  </si>
  <si>
    <t>esobania@brainerd.net</t>
  </si>
  <si>
    <t>kimjean9@gmail.com</t>
  </si>
  <si>
    <t>jmogor.376154@guest.booking.com</t>
  </si>
  <si>
    <t>jaclynwiechmann@gmail.com</t>
  </si>
  <si>
    <t>2022-02-13</t>
  </si>
  <si>
    <t>hollyfolk80@icloud.com</t>
  </si>
  <si>
    <t>2022-03-27</t>
  </si>
  <si>
    <t>ajuelfs@gmail.com</t>
  </si>
  <si>
    <t>jrmarinac@yahoo.com</t>
  </si>
  <si>
    <t>heidi.wellnitz@k12.us.edu</t>
  </si>
  <si>
    <t>samseppanen97@gmail.com</t>
  </si>
  <si>
    <t>daveharvey1@noemail.com</t>
  </si>
  <si>
    <t>cyhnthialongchamps1@noemail.com</t>
  </si>
  <si>
    <t>dmccay.696372@guest.booking.com</t>
  </si>
  <si>
    <t>jmbach51@comcast.net</t>
  </si>
  <si>
    <t>jtoast79@gmail.com</t>
  </si>
  <si>
    <t>ksteffans9@hotmail.com</t>
  </si>
  <si>
    <t>rspete@windstream.net</t>
  </si>
  <si>
    <t>rachelladdicks1@noemail.com</t>
  </si>
  <si>
    <t>gregschaffer1@noemail.com</t>
  </si>
  <si>
    <t>lyndseyludwig1@noemail.com</t>
  </si>
  <si>
    <t>pmdonge@mtcnet.net</t>
  </si>
  <si>
    <t>pstand.417977@guest.booking.com</t>
  </si>
  <si>
    <t>paulsonberg1@noemail.com</t>
  </si>
  <si>
    <t>2021-09-28</t>
  </si>
  <si>
    <t>sthor.163045@guest.booking.com</t>
  </si>
  <si>
    <t>dldunker@yahoo.com</t>
  </si>
  <si>
    <t>millershelly33@hotmail.com</t>
  </si>
  <si>
    <t>mbeato.559790@guest.booking.com</t>
  </si>
  <si>
    <t>3mcmcdonald@comcast.net</t>
  </si>
  <si>
    <t>electric@vastbb.net</t>
  </si>
  <si>
    <t>jon_faulkenberry@yahoo.com</t>
  </si>
  <si>
    <t>carter.tatge@stemfuse.com</t>
  </si>
  <si>
    <t>2021-09-29</t>
  </si>
  <si>
    <t>rbdj@nvc.net</t>
  </si>
  <si>
    <t>martha.warne@octaneenvironmental.com</t>
  </si>
  <si>
    <t>julie@clsfoundationrepair.com</t>
  </si>
  <si>
    <t>leviwilliams1@noemail.com</t>
  </si>
  <si>
    <t>demarcusboston1@noemail.com</t>
  </si>
  <si>
    <t>bjflayton@msn.com</t>
  </si>
  <si>
    <t>2021-09-22</t>
  </si>
  <si>
    <t>rockets_11@hotmail.com</t>
  </si>
  <si>
    <t>corniestahl1@noemail.com</t>
  </si>
  <si>
    <t>geraldgoff1@noemail.com</t>
  </si>
  <si>
    <t>shawn.g.vaunt@gmail.com</t>
  </si>
  <si>
    <t>davidnahnsen1@noemail.com</t>
  </si>
  <si>
    <t>jason@schroepferinc.com</t>
  </si>
  <si>
    <t>josephdevore1@noemail.com</t>
  </si>
  <si>
    <t>2021-11-04</t>
  </si>
  <si>
    <t>kalliekieffer@gmail.com</t>
  </si>
  <si>
    <t>mruska.961372@guest.booking.com</t>
  </si>
  <si>
    <t>2021-11-21</t>
  </si>
  <si>
    <t>patzer.c@yahoo.com</t>
  </si>
  <si>
    <t>ellynkohlnhofer1@noemail.com</t>
  </si>
  <si>
    <t>lmohlman@me.com</t>
  </si>
  <si>
    <t>ttflynn@aol.com</t>
  </si>
  <si>
    <t>matthewknock1@noemail.com</t>
  </si>
  <si>
    <t>vilmabiliene1@noemail.com</t>
  </si>
  <si>
    <t>cfawce.645119@guest.booking.com</t>
  </si>
  <si>
    <t>lancethiry1@noemail.com</t>
  </si>
  <si>
    <t>jazmineseeders@icloud.com</t>
  </si>
  <si>
    <t>jmurph.729059@guest.booking.com</t>
  </si>
  <si>
    <t>dcwaldner@gmail.com</t>
  </si>
  <si>
    <t>melroseorchid1@yahoo.com</t>
  </si>
  <si>
    <t>rommaymon1@noemail.com</t>
  </si>
  <si>
    <t>hstask.255079@guest.booking.com</t>
  </si>
  <si>
    <t>carolsonnichsen1@noemail.com</t>
  </si>
  <si>
    <t>kristijoblock@gmail.com</t>
  </si>
  <si>
    <t>bob.peavey@gmail.com</t>
  </si>
  <si>
    <t>2021-10-08</t>
  </si>
  <si>
    <t>davidlee1@noemail.com</t>
  </si>
  <si>
    <t>mariah.snyder07@gmail.com</t>
  </si>
  <si>
    <t>kevey.806125@guest.booking.com</t>
  </si>
  <si>
    <t>sadams.473971@guest.booking.com</t>
  </si>
  <si>
    <t>susanmyren1@noemail.com</t>
  </si>
  <si>
    <t>erichall1@noemail.com</t>
  </si>
  <si>
    <t>angiecauwels1@noemail.com</t>
  </si>
  <si>
    <t>richardrudd1@noemail.com</t>
  </si>
  <si>
    <t>emig@hotmail.com</t>
  </si>
  <si>
    <t>2021-10-02</t>
  </si>
  <si>
    <t>tvining@donwilhelm.com</t>
  </si>
  <si>
    <t>jilliobean21@hotmail.com</t>
  </si>
  <si>
    <t>mrdfrye@gmail.com</t>
  </si>
  <si>
    <t>annaokerson1@noemail.com</t>
  </si>
  <si>
    <t>debrice83@gmail.com</t>
  </si>
  <si>
    <t>pete.burgmeier@vossdist.com</t>
  </si>
  <si>
    <t>ktkoupal@hotmail.com</t>
  </si>
  <si>
    <t>jkwessman@gmail.com</t>
  </si>
  <si>
    <t>laacbauer@gmail.com</t>
  </si>
  <si>
    <t>melmor.765207@guest.booking.com</t>
  </si>
  <si>
    <t>2021-10-01</t>
  </si>
  <si>
    <t>kathy.retzlaff@k12.sd.us</t>
  </si>
  <si>
    <t>2021-11-13</t>
  </si>
  <si>
    <t>karter.lesmann@macqueengroup.com</t>
  </si>
  <si>
    <t>paulsenpainting@yahoo.com</t>
  </si>
  <si>
    <t>jasondoherty1@noemail.com</t>
  </si>
  <si>
    <t>pleddo.884476@guest.booking.com</t>
  </si>
  <si>
    <t>brucevanderwall1@noemail.com</t>
  </si>
  <si>
    <t>matama.533124@guest.booking.com</t>
  </si>
  <si>
    <t>dsg4cy@gmail.com</t>
  </si>
  <si>
    <t>joepetrzilka1@noemail.com</t>
  </si>
  <si>
    <t>cindyhopf1960@gmail.com</t>
  </si>
  <si>
    <t>lserreyn@gmail.com</t>
  </si>
  <si>
    <t>julie.snavely@ymail.com</t>
  </si>
  <si>
    <t>marvin.tafolla@my.witcc.edu</t>
  </si>
  <si>
    <t>cbaer2015@gmail.com</t>
  </si>
  <si>
    <t>morganne.masters@hotmail.com</t>
  </si>
  <si>
    <t>phyllisbrown1@noemail.com</t>
  </si>
  <si>
    <t>miker@assurancemfg.com</t>
  </si>
  <si>
    <t>audra.fergen@fbfs.com</t>
  </si>
  <si>
    <t>turektfkm@gmail.com</t>
  </si>
  <si>
    <t>joeysummitcontractin1@noemail.com</t>
  </si>
  <si>
    <t>cjones.883682@guest.booking.com</t>
  </si>
  <si>
    <t>john.white@northwestern.com</t>
  </si>
  <si>
    <t>lisa.dickmeyer@gmail.com</t>
  </si>
  <si>
    <t>tim@servicemastersf.com</t>
  </si>
  <si>
    <t>kbrown1056@gmail.com</t>
  </si>
  <si>
    <t>christa@boundlessmoving.com</t>
  </si>
  <si>
    <t>arlynjons1@noemail.com</t>
  </si>
  <si>
    <t>kyleeandkendrick@hotmail.com</t>
  </si>
  <si>
    <t>johnsonjon117@gmail.com</t>
  </si>
  <si>
    <t>hharmo.897516@guest.booking.com</t>
  </si>
  <si>
    <t>kyle@nuvinair.com</t>
  </si>
  <si>
    <t>2021-10-19</t>
  </si>
  <si>
    <t>stephaniesundby@gmail.com</t>
  </si>
  <si>
    <t>tmbrohboch@abe.midco.net</t>
  </si>
  <si>
    <t>mkgesinger@yahoo.com</t>
  </si>
  <si>
    <t>jansutherland1@noemail.com</t>
  </si>
  <si>
    <t>amuell.266004@guest.booking.com</t>
  </si>
  <si>
    <t>wgibso.494598@guest.booking.com</t>
  </si>
  <si>
    <t>kholbr.706717@guest.booking.com</t>
  </si>
  <si>
    <t>2021-10-15</t>
  </si>
  <si>
    <t>jasglaser@gmail.com</t>
  </si>
  <si>
    <t>51615boike@gmail.com</t>
  </si>
  <si>
    <t>lindavanderwerf1@noemail.com</t>
  </si>
  <si>
    <t>jjohan.754704@guest.booking.com</t>
  </si>
  <si>
    <t>cvos.780152@guest.booking.com</t>
  </si>
  <si>
    <t>smarsh24@hotmail.com</t>
  </si>
  <si>
    <t>evelynbreider1@noemail.com</t>
  </si>
  <si>
    <t>2021-10-26</t>
  </si>
  <si>
    <t>tabram.783332@guest.booking.com</t>
  </si>
  <si>
    <t>awible.963664@guest.booking.com</t>
  </si>
  <si>
    <t>matama.500895@guest.booking.com</t>
  </si>
  <si>
    <t>tommoore1@noemail.com</t>
  </si>
  <si>
    <t>peverilltl@glenwoodschools.org</t>
  </si>
  <si>
    <t>rlturbak@vastbb.net</t>
  </si>
  <si>
    <t>dsonne.175119@guest.booking.com</t>
  </si>
  <si>
    <t>jerry605fire@gmail.com</t>
  </si>
  <si>
    <t>eargue.382168@guest.booking.com</t>
  </si>
  <si>
    <t>karlamay1@noemail.com</t>
  </si>
  <si>
    <t>barbbaberstout@gmail.com</t>
  </si>
  <si>
    <t>2021-10-30</t>
  </si>
  <si>
    <t>michaelmurphy1@noemail.com</t>
  </si>
  <si>
    <t>klgesch@tds.net</t>
  </si>
  <si>
    <t>2021-10-23</t>
  </si>
  <si>
    <t>matama.214888@guest.booking.com</t>
  </si>
  <si>
    <t>blehresmann@yahoo.com</t>
  </si>
  <si>
    <t>pauls.service@outlook.com</t>
  </si>
  <si>
    <t>crop4fun@hotmail.com</t>
  </si>
  <si>
    <t>clarev@pie.midco.net</t>
  </si>
  <si>
    <t>donnasteever1@noemail.com</t>
  </si>
  <si>
    <t>jrieff.160849@guest.booking.com</t>
  </si>
  <si>
    <t>et121@msn.com</t>
  </si>
  <si>
    <t>2021-10-12</t>
  </si>
  <si>
    <t>nurse.sandi@hotmail.com</t>
  </si>
  <si>
    <t>mcharnholm@yahoo.com</t>
  </si>
  <si>
    <t>mjohns.465791@guest.booking.com</t>
  </si>
  <si>
    <t>mcanno.958406@guest.booking.com</t>
  </si>
  <si>
    <t>zacherykanter1@noemail.com</t>
  </si>
  <si>
    <t>jacobjunker1@noemail.com</t>
  </si>
  <si>
    <t>jennj_22@hotmail.com</t>
  </si>
  <si>
    <t>bryanschmacher1@noemail.com</t>
  </si>
  <si>
    <t>ealtman1988@gmail.com</t>
  </si>
  <si>
    <t>jovall.969807@guest.booking.com</t>
  </si>
  <si>
    <t>mcpeterson@live.com</t>
  </si>
  <si>
    <t>jeffandterivankooten1@noemail.com</t>
  </si>
  <si>
    <t>jeffandkaceyvankoote1@noemail.com</t>
  </si>
  <si>
    <t>richandsharonvankoot1@noemail.com</t>
  </si>
  <si>
    <t>juanhernandez1@noemail.com</t>
  </si>
  <si>
    <t>joycegrandmavankoote1@noemail.com</t>
  </si>
  <si>
    <t>cbertsch72@gmail.com</t>
  </si>
  <si>
    <t>yunhefu1@noemail.com</t>
  </si>
  <si>
    <t>wdhauger@itctel.com</t>
  </si>
  <si>
    <t>2021-12-04</t>
  </si>
  <si>
    <t>jnvbrink@mtcnet.net</t>
  </si>
  <si>
    <t>lavon_booth@yahoo.com</t>
  </si>
  <si>
    <t>bailey_babyone@hotmail.com</t>
  </si>
  <si>
    <t>lisanickelkaylee1@noemail.com</t>
  </si>
  <si>
    <t>matama.749904@guest.booking.com</t>
  </si>
  <si>
    <t>jasontuma1@noemail.com</t>
  </si>
  <si>
    <t>sdean.317037@guest.booking.com</t>
  </si>
  <si>
    <t>bshannonrd@aol.com</t>
  </si>
  <si>
    <t>skeroff@att.net</t>
  </si>
  <si>
    <t>jmeek@goldenwest.net</t>
  </si>
  <si>
    <t>2021-10-11</t>
  </si>
  <si>
    <t>ssoto@smartfinancialent.com</t>
  </si>
  <si>
    <t>tessasporrer1@noemail.com</t>
  </si>
  <si>
    <t>djjebuysse4@gmail.com</t>
  </si>
  <si>
    <t>erinkeelerhufford@gmail.com</t>
  </si>
  <si>
    <t>2021-10-22</t>
  </si>
  <si>
    <t>paqhotel@traveltino.com</t>
  </si>
  <si>
    <t>kturco.856342@guest.booking.com</t>
  </si>
  <si>
    <t>awilk.662666@guest.booking.com</t>
  </si>
  <si>
    <t>sarah_roe@hotmail.com</t>
  </si>
  <si>
    <t>kkturbak@gmail.com</t>
  </si>
  <si>
    <t>roeboatroe@hotmail.com</t>
  </si>
  <si>
    <t>scottmc1@msn.com</t>
  </si>
  <si>
    <t>jenniferdecou1@noemail.com</t>
  </si>
  <si>
    <t>sw.lr45@gmail.com</t>
  </si>
  <si>
    <t>darlaendle@gmail.com</t>
  </si>
  <si>
    <t>larsj67.jl@gmail.com</t>
  </si>
  <si>
    <t>johngovig@gmail.com</t>
  </si>
  <si>
    <t>lucasgarrett1@noemail.com</t>
  </si>
  <si>
    <t>johnskraba1@noemail.com</t>
  </si>
  <si>
    <t>collinauthier@gmail.com</t>
  </si>
  <si>
    <t>juliemoore29@gmail.com</t>
  </si>
  <si>
    <t>kelcy25@yahoo.com</t>
  </si>
  <si>
    <t>jeremyulmer1@noemail.com</t>
  </si>
  <si>
    <t>bhollima18@aol.com</t>
  </si>
  <si>
    <t>jmeser.334120@guest.booking.com</t>
  </si>
  <si>
    <t>toddfobbeelectric@gmail.com</t>
  </si>
  <si>
    <t>2021-10-13</t>
  </si>
  <si>
    <t>cindy.sampson@pipestone.com</t>
  </si>
  <si>
    <t>anthonyhundley1@noemail.com</t>
  </si>
  <si>
    <t>chad.aldrich@velex.com</t>
  </si>
  <si>
    <t>smaure.365753@guest.booking.com</t>
  </si>
  <si>
    <t>andybarker1@noemail.com</t>
  </si>
  <si>
    <t>donaldfredrickson1@noemail.com</t>
  </si>
  <si>
    <t>mdelan.822905@guest.booking.com</t>
  </si>
  <si>
    <t>ksarge.520390@guest.booking.com</t>
  </si>
  <si>
    <t>dggant@midstatesd.net</t>
  </si>
  <si>
    <t>reedphoto@gmail.com</t>
  </si>
  <si>
    <t>bmixan@msn.com</t>
  </si>
  <si>
    <t>twitch2927@gmail.com</t>
  </si>
  <si>
    <t>rjglynn@gwtc.net</t>
  </si>
  <si>
    <t>b.thomas@wholesalebatteries.net</t>
  </si>
  <si>
    <t>donnawulss1@noemail.com</t>
  </si>
  <si>
    <t>ryanmaurer1@noemail.com</t>
  </si>
  <si>
    <t>anderson54820@gmail.com</t>
  </si>
  <si>
    <t>t2thraen@aol.com</t>
  </si>
  <si>
    <t>bschul.522482@guest.booking.com</t>
  </si>
  <si>
    <t>2021-10-21</t>
  </si>
  <si>
    <t>loriehrefnann1@noemail.com</t>
  </si>
  <si>
    <t>laib@midstatesd.net</t>
  </si>
  <si>
    <t>anelso.700142@guest.booking.com</t>
  </si>
  <si>
    <t>kolmschenk1@yahoo.com</t>
  </si>
  <si>
    <t>acrone.911750@guest.booking.com</t>
  </si>
  <si>
    <t>ramonmosqueda1@noemail.com</t>
  </si>
  <si>
    <t>swhead.319828@guest.booking.com</t>
  </si>
  <si>
    <t>macel1010@comcast.net</t>
  </si>
  <si>
    <t>stephanie@cal-texelectric.com</t>
  </si>
  <si>
    <t>acollv.361601@guest.booking.com</t>
  </si>
  <si>
    <t>sharonolheiser@ndsupernet.com</t>
  </si>
  <si>
    <t>georgeburke1@noemail.com</t>
  </si>
  <si>
    <t>nicholasjohnson1@noemail.com</t>
  </si>
  <si>
    <t>rharri.726953@guest.booking.com</t>
  </si>
  <si>
    <t>2021-10-20</t>
  </si>
  <si>
    <t>martygriffin1@noemail.com</t>
  </si>
  <si>
    <t>mgjohnson@mlgc.com</t>
  </si>
  <si>
    <t>lonnieaadland1@noemail.com</t>
  </si>
  <si>
    <t>delinawallin@gmail.com</t>
  </si>
  <si>
    <t>louisbotha1@noemail.com</t>
  </si>
  <si>
    <t>cindykentzuehlke1@noemail.com</t>
  </si>
  <si>
    <t>ashleyhansen0629@gmail.com</t>
  </si>
  <si>
    <t>joshfew1@noemail.com</t>
  </si>
  <si>
    <t>escobedoalvaro1@noemail.com</t>
  </si>
  <si>
    <t>andrewpipedetectives@outlook.com</t>
  </si>
  <si>
    <t>scotthaines1@noemail.com</t>
  </si>
  <si>
    <t>abartellsc@gmail.com</t>
  </si>
  <si>
    <t>hannahharbur1@noemail.com</t>
  </si>
  <si>
    <t>kdavis.746540@guest.booking.com</t>
  </si>
  <si>
    <t>sullish@medford.k12.wi.us</t>
  </si>
  <si>
    <t>dsyaksich@gmail.com</t>
  </si>
  <si>
    <t>pjyaksich@hotmail.com</t>
  </si>
  <si>
    <t>janelleward1@noemail.com</t>
  </si>
  <si>
    <t>jeffreyachance@gmail.com</t>
  </si>
  <si>
    <t>lisascholsser1@noemail.com</t>
  </si>
  <si>
    <t>littleboyal@gmail.com</t>
  </si>
  <si>
    <t>tonybunting1@noemail.com</t>
  </si>
  <si>
    <t>ashament1515@gmail.com</t>
  </si>
  <si>
    <t>garytostenson1@noemail.com</t>
  </si>
  <si>
    <t>johntimhar@aol.com</t>
  </si>
  <si>
    <t>kailabrugman@gmail.com</t>
  </si>
  <si>
    <t>ziggyszwajnos1@noemail.com</t>
  </si>
  <si>
    <t>christiekeller@yahoo.com</t>
  </si>
  <si>
    <t>huff818384@comcast.net</t>
  </si>
  <si>
    <t>bharri.345926@guest.booking.com</t>
  </si>
  <si>
    <t>john.doe@abc.com</t>
  </si>
  <si>
    <t>c.vanderbrink@yahoo.com</t>
  </si>
  <si>
    <t>sun.hyung0403@gmail.com</t>
  </si>
  <si>
    <t>bschul.894059@guest.booking.com</t>
  </si>
  <si>
    <t>sarah.wulff@sanfordhealth.org</t>
  </si>
  <si>
    <t>zzapat.157819@guest.booking.com</t>
  </si>
  <si>
    <t>thompson42880@gmail.com</t>
  </si>
  <si>
    <t>bl2ofsd@gmail.com</t>
  </si>
  <si>
    <t>brian.palmer@kmtire.com</t>
  </si>
  <si>
    <t>brittanibrick1@noemail.com</t>
  </si>
  <si>
    <t>scott_nix_13@hotmail.com</t>
  </si>
  <si>
    <t>bsuterhandyman@gmail.com</t>
  </si>
  <si>
    <t>treesedeboer1@noemail.com</t>
  </si>
  <si>
    <t>rolsen.745470@guest.booking.com</t>
  </si>
  <si>
    <t>amberinman1@noemail.com</t>
  </si>
  <si>
    <t>denavick1@noemail.com</t>
  </si>
  <si>
    <t>stevendarner1@noemail.com</t>
  </si>
  <si>
    <t>2021-12-26</t>
  </si>
  <si>
    <t>shaneroper1@noemail.com</t>
  </si>
  <si>
    <t>cozyoaks4@yahoo.com</t>
  </si>
  <si>
    <t>2021-10-28</t>
  </si>
  <si>
    <t>destinyhenry1@noemail.com</t>
  </si>
  <si>
    <t>shannenslykhuis@gmail.com</t>
  </si>
  <si>
    <t>mmuilenburg71@gmail.com</t>
  </si>
  <si>
    <t>2022-04-03</t>
  </si>
  <si>
    <t>mattdavis1@noemail.com</t>
  </si>
  <si>
    <t>matama.439713@guest.booking.com</t>
  </si>
  <si>
    <t>thenerger6@gmail.com</t>
  </si>
  <si>
    <t>molly.muilenburg19@gmail.com</t>
  </si>
  <si>
    <t>mccurdyc1@gmail.com</t>
  </si>
  <si>
    <t>j.vaughan@triotel.net</t>
  </si>
  <si>
    <t>shannonrossman1@noemail.com</t>
  </si>
  <si>
    <t>sarahandthegang@charter.net</t>
  </si>
  <si>
    <t>kimberlyschmalzriedt1@noemail.com</t>
  </si>
  <si>
    <t>christahaberkorn@hotmail.com</t>
  </si>
  <si>
    <t>jburnsstrain@yahoo.com</t>
  </si>
  <si>
    <t>dluxon.433376@guest.booking.com</t>
  </si>
  <si>
    <t>joshmea2005@gmail.com</t>
  </si>
  <si>
    <t>2021-11-19</t>
  </si>
  <si>
    <t>y_eah71783@yahoo.com</t>
  </si>
  <si>
    <t>jeffsurprison1@noemail.com</t>
  </si>
  <si>
    <t>matama.292478@guest.booking.com</t>
  </si>
  <si>
    <t>tshawsd@yahoo.com</t>
  </si>
  <si>
    <t>2022-01-03</t>
  </si>
  <si>
    <t>haugerjarahl@johndeere.com</t>
  </si>
  <si>
    <t>rloyd70@yahoo.com</t>
  </si>
  <si>
    <t>mirandasundermann@icloud.com</t>
  </si>
  <si>
    <t>2022-06-05</t>
  </si>
  <si>
    <t>jdonne.418113@guest.booking.com</t>
  </si>
  <si>
    <t>astan.282828@guest.booking.com</t>
  </si>
  <si>
    <t>dayers@sdarws.com</t>
  </si>
  <si>
    <t>kelvin1860@aol.com</t>
  </si>
  <si>
    <t>bhenn.895694@guest.booking.com</t>
  </si>
  <si>
    <t>2021-11-03</t>
  </si>
  <si>
    <t>b.bergjord@americafence.com</t>
  </si>
  <si>
    <t>jaquerieffer@yahoo.com</t>
  </si>
  <si>
    <t>pn.mcdowell@hotmail.com</t>
  </si>
  <si>
    <t>2021-11-08</t>
  </si>
  <si>
    <t>jeffsurprison@gmail.com</t>
  </si>
  <si>
    <t>rich_koele@yahoo.com</t>
  </si>
  <si>
    <t>hebafawzisaleh1@noemail.com</t>
  </si>
  <si>
    <t>charliestachura1@noemail.com</t>
  </si>
  <si>
    <t>2021-11-05</t>
  </si>
  <si>
    <t>kaitlynrolschau1@noemail.com</t>
  </si>
  <si>
    <t>2022-11-06</t>
  </si>
  <si>
    <t>staciekisor1@noemail.com</t>
  </si>
  <si>
    <t>mel_martenson@hotmail.com</t>
  </si>
  <si>
    <t>jcdean2482@gmail.com</t>
  </si>
  <si>
    <t>stevedove1@noemail.com</t>
  </si>
  <si>
    <t>nblom.803137@guest.booking.com</t>
  </si>
  <si>
    <t>bigo4x4@hotmail.com</t>
  </si>
  <si>
    <t>rileygirl519@gmail.com</t>
  </si>
  <si>
    <t>darylleifson1@noemail.com</t>
  </si>
  <si>
    <t>s_martenson12@hotmail.com</t>
  </si>
  <si>
    <t>sonyarus@mac.com</t>
  </si>
  <si>
    <t>roblinda04@hotmail.com</t>
  </si>
  <si>
    <t>michaelriley1@noemail.com</t>
  </si>
  <si>
    <t>juliuswhite1@noemail.com</t>
  </si>
  <si>
    <t>tracyeisenbraun1@noemail.com</t>
  </si>
  <si>
    <t>lorenvilhauer1@noemail.com</t>
  </si>
  <si>
    <t>jasonromero1@noemail.com</t>
  </si>
  <si>
    <t>macenziewood@yahoo.com</t>
  </si>
  <si>
    <t>matama.622239@guest.booking.com</t>
  </si>
  <si>
    <t>jenj984@gmail.com</t>
  </si>
  <si>
    <t>gabney7@abe.midco.net</t>
  </si>
  <si>
    <t>kelseyhauger1@noemail.com</t>
  </si>
  <si>
    <t>butrflyam@hotmail.com</t>
  </si>
  <si>
    <t>ahoogestraat@yahoo.com</t>
  </si>
  <si>
    <t>josephpetrzilka1@noemail.com</t>
  </si>
  <si>
    <t>2021-11-12</t>
  </si>
  <si>
    <t>briantrentice1@noemail.com</t>
  </si>
  <si>
    <t>zachkanter1@noemail.com</t>
  </si>
  <si>
    <t>aleadoty1@noemail.com</t>
  </si>
  <si>
    <t>traceyeisenbraun1@noemail.com</t>
  </si>
  <si>
    <t>qpsmistyhofer@gmail.com</t>
  </si>
  <si>
    <t>hillbecker1@yahoo.com</t>
  </si>
  <si>
    <t>mistycauthren1@noemail.com</t>
  </si>
  <si>
    <t>cory.stinar@hotmail.com</t>
  </si>
  <si>
    <t>idamlang@gwtc.net</t>
  </si>
  <si>
    <t>2021-12-28</t>
  </si>
  <si>
    <t>tannerleadership@gmail.com</t>
  </si>
  <si>
    <t>madams.223047@guest.booking.com</t>
  </si>
  <si>
    <t>2021-11-24</t>
  </si>
  <si>
    <t>sdsales@americafence.com</t>
  </si>
  <si>
    <t>denniscalhoon1@noemail.com</t>
  </si>
  <si>
    <t>cspurlock5@yahoo.com</t>
  </si>
  <si>
    <t>kaitlynsiezschlag1@noemail.com</t>
  </si>
  <si>
    <t>mehanson716@gmail.com</t>
  </si>
  <si>
    <t>nvbreens@gmail.com</t>
  </si>
  <si>
    <t>2021-11-17</t>
  </si>
  <si>
    <t>abinde.875896@guest.booking.com</t>
  </si>
  <si>
    <t>huethertim@gmail.com</t>
  </si>
  <si>
    <t>mykaylathyne1@noemail.com</t>
  </si>
  <si>
    <t>deb.pedersen11@gmail.com</t>
  </si>
  <si>
    <t>marthagarreau1@noemail.com</t>
  </si>
  <si>
    <t>2021-11-25</t>
  </si>
  <si>
    <t>lindadehaai1@noemail.com</t>
  </si>
  <si>
    <t>kedoeverett68@yahoo.com</t>
  </si>
  <si>
    <t>2021-11-09</t>
  </si>
  <si>
    <t>trishpeters8@icloud.com</t>
  </si>
  <si>
    <t>2021-11-16</t>
  </si>
  <si>
    <t>eriksons@aol.com</t>
  </si>
  <si>
    <t>2021-11-18</t>
  </si>
  <si>
    <t>jehille4428@aol.com</t>
  </si>
  <si>
    <t>mikecook1@noemail.com</t>
  </si>
  <si>
    <t>franknachtman1@noemail.com</t>
  </si>
  <si>
    <t>brandonteel1@noemail.com</t>
  </si>
  <si>
    <t>2021-11-10</t>
  </si>
  <si>
    <t>rmhampel24@gmail.com</t>
  </si>
  <si>
    <t>jesschmich@gmail.com</t>
  </si>
  <si>
    <t>mikeoconnell1@noemail.com</t>
  </si>
  <si>
    <t>joenate1@noemail.com</t>
  </si>
  <si>
    <t>a.boeke@yahoo.com</t>
  </si>
  <si>
    <t>kevintenkley1@noemail.com</t>
  </si>
  <si>
    <t>hebasalem1@noemail.com</t>
  </si>
  <si>
    <t>ntaylo.409497@guest.booking.com</t>
  </si>
  <si>
    <t>montezmanning1@noemail.com</t>
  </si>
  <si>
    <t>pattyd2919@gmail.com</t>
  </si>
  <si>
    <t>teresa@geisecurity.com</t>
  </si>
  <si>
    <t>teresa.norwexchemfree@gmail.com</t>
  </si>
  <si>
    <t>tristonmendenhall1@noemail.com</t>
  </si>
  <si>
    <t>geraldsimonsen1@noemail.com</t>
  </si>
  <si>
    <t>idealtransformation@gmail.com</t>
  </si>
  <si>
    <t>gregorywacker1@noemail.com</t>
  </si>
  <si>
    <t>wildpa@me.com</t>
  </si>
  <si>
    <t>mnewma.215198@guest.booking.com</t>
  </si>
  <si>
    <t>sheri.schneck@icloud.com</t>
  </si>
  <si>
    <t>jamesbryanbetty@gmail.com</t>
  </si>
  <si>
    <t>mfortin4@yahoo.com</t>
  </si>
  <si>
    <t>apena@corporatecare.org</t>
  </si>
  <si>
    <t>2021-12-03</t>
  </si>
  <si>
    <t>landonreuer1@noemail.com</t>
  </si>
  <si>
    <t>amythue@gmail.com</t>
  </si>
  <si>
    <t>jls.groothuis@gmail.com</t>
  </si>
  <si>
    <t>kevinkuehn1@noemail.com</t>
  </si>
  <si>
    <t>gabreilrufino1@noemail.com</t>
  </si>
  <si>
    <t>kjtravnicek@gmail.com</t>
  </si>
  <si>
    <t>2021-11-15</t>
  </si>
  <si>
    <t>chancemcneil1@noemail.com</t>
  </si>
  <si>
    <t>joehoffman1@noemail.com</t>
  </si>
  <si>
    <t>spencerweiscedel1@noemail.com</t>
  </si>
  <si>
    <t>mattschempp@gmail.com</t>
  </si>
  <si>
    <t>2021-11-29</t>
  </si>
  <si>
    <t>igotubabe4@hotmail.com</t>
  </si>
  <si>
    <t>ajclark_4@hotmail.com</t>
  </si>
  <si>
    <t>kennaanderson1@noemail.com</t>
  </si>
  <si>
    <t>2021-11-20</t>
  </si>
  <si>
    <t>faust@moorefaust.com</t>
  </si>
  <si>
    <t>twilyalewis1@noemail.com</t>
  </si>
  <si>
    <t>ksandate507@icloud.com</t>
  </si>
  <si>
    <t>renaebigge@yahoo.com</t>
  </si>
  <si>
    <t>adamgreenfield1@noemail.com</t>
  </si>
  <si>
    <t>klgribble@frontier.com</t>
  </si>
  <si>
    <t>rmoss.326797@guest.booking.com</t>
  </si>
  <si>
    <t>2022-09-02</t>
  </si>
  <si>
    <t>anthony.niccoli@hotmail.com</t>
  </si>
  <si>
    <t>tmeyer.670121@guest.booking.com</t>
  </si>
  <si>
    <t>bommercamp@gmail.com</t>
  </si>
  <si>
    <t>ashleykirchner1@noemail.com</t>
  </si>
  <si>
    <t>timbuettner1@noemail.com</t>
  </si>
  <si>
    <t>bassielansdowne@yahoo.com</t>
  </si>
  <si>
    <t>badarau_v@yahoo.com</t>
  </si>
  <si>
    <t>ckone57369@yahoo.com</t>
  </si>
  <si>
    <t>2022-01-30</t>
  </si>
  <si>
    <t>rhondamartenson1@noemail.com</t>
  </si>
  <si>
    <t>kvasvi.866431@guest.booking.com</t>
  </si>
  <si>
    <t>2022-03-11</t>
  </si>
  <si>
    <t>alexalvinfriestgunte1@noemail.com</t>
  </si>
  <si>
    <t>jegherbst@gmail.com</t>
  </si>
  <si>
    <t>waziyatawin@gmail.com</t>
  </si>
  <si>
    <t>tlkrueg@gmail.com</t>
  </si>
  <si>
    <t>ashleyclark1@noemail.com</t>
  </si>
  <si>
    <t>scottmcatee1@noemail.com</t>
  </si>
  <si>
    <t>philchuc@aol.com</t>
  </si>
  <si>
    <t>afitzs.116078@guest.booking.com</t>
  </si>
  <si>
    <t>shaunaletellerkrista1@noemail.com</t>
  </si>
  <si>
    <t>robertmichalski1@noemail.com</t>
  </si>
  <si>
    <t>mrantapaa@rwbaird.com</t>
  </si>
  <si>
    <t>jamesbrock1@noemail.com</t>
  </si>
  <si>
    <t>bradcordes1@noemail.com</t>
  </si>
  <si>
    <t>robertmichalskirene1@noemail.com</t>
  </si>
  <si>
    <t>2021-12-27</t>
  </si>
  <si>
    <t>dkdewaard@midstatesd.net</t>
  </si>
  <si>
    <t>shaunaletellerkarlak1@noemail.com</t>
  </si>
  <si>
    <t>vickycampbell097@gmail.com</t>
  </si>
  <si>
    <t>swaltner@byapex.com</t>
  </si>
  <si>
    <t>bryanchapman1@noemail.com</t>
  </si>
  <si>
    <t>raymondvelyan1@noemail.com</t>
  </si>
  <si>
    <t>raymondvelyanmattbla1@noemail.com</t>
  </si>
  <si>
    <t>mander.177380@guest.booking.com</t>
  </si>
  <si>
    <t>kashrob3@gmail.com</t>
  </si>
  <si>
    <t>2021-12-30</t>
  </si>
  <si>
    <t>troyredmond1@noemail.com</t>
  </si>
  <si>
    <t>killsinwater24@gmail.com</t>
  </si>
  <si>
    <t>tessa4488@gmail.com</t>
  </si>
  <si>
    <t>bennyhernandez1@noemail.com</t>
  </si>
  <si>
    <t>herbiday@gmail.com</t>
  </si>
  <si>
    <t>ashlynnjones1@noemail.com</t>
  </si>
  <si>
    <t>jaredcatts1@noemail.com</t>
  </si>
  <si>
    <t>jema021988@gmail.com</t>
  </si>
  <si>
    <t>jhothem@gmail.com</t>
  </si>
  <si>
    <t>blwipf@yahoo.com</t>
  </si>
  <si>
    <t>jessica.paul12@gmail.com</t>
  </si>
  <si>
    <t>2022-01-09</t>
  </si>
  <si>
    <t>tbaum.873282@guest.booking.com</t>
  </si>
  <si>
    <t>2021-11-22</t>
  </si>
  <si>
    <t>hodkinsonmg@aol.com</t>
  </si>
  <si>
    <t>richard.foltz@yahoo.com</t>
  </si>
  <si>
    <t>greg.n.diane@gmail.com</t>
  </si>
  <si>
    <t>2022-05-15</t>
  </si>
  <si>
    <t>2022-05-14</t>
  </si>
  <si>
    <t>margiemueller1@noemail.com</t>
  </si>
  <si>
    <t>2021-11-23</t>
  </si>
  <si>
    <t>joanjohnson1@noemail.com</t>
  </si>
  <si>
    <t>vkdehaai@outlook.com</t>
  </si>
  <si>
    <t>jennifer.ringler@corteva.com</t>
  </si>
  <si>
    <t>joshwoolley1@noemail.com</t>
  </si>
  <si>
    <t>bmary.388650@guest.booking.com</t>
  </si>
  <si>
    <t>2022-05-16</t>
  </si>
  <si>
    <t>rachelsd2001@yahoo.com</t>
  </si>
  <si>
    <t>lanceshaver1@noemail.com</t>
  </si>
  <si>
    <t>vickiegrant1@noemail.com</t>
  </si>
  <si>
    <t>kamand.464558@guest.booking.com</t>
  </si>
  <si>
    <t>2021-12-23</t>
  </si>
  <si>
    <t>jmauls.357798@guest.booking.com</t>
  </si>
  <si>
    <t>2021-12-02</t>
  </si>
  <si>
    <t>miketolbert1@noemail.com</t>
  </si>
  <si>
    <t>donnakahn1@noemail.com</t>
  </si>
  <si>
    <t>judyholt1@noemail.com</t>
  </si>
  <si>
    <t>johnpoole1@noemail.com</t>
  </si>
  <si>
    <t>davemccandles1@noemail.com</t>
  </si>
  <si>
    <t>egbertohling1@noemail.com</t>
  </si>
  <si>
    <t>2022-01-01</t>
  </si>
  <si>
    <t>allisonbowles1@noemail.com</t>
  </si>
  <si>
    <t>karibartling1@noemail.com</t>
  </si>
  <si>
    <t>keithharvey1@noemail.com</t>
  </si>
  <si>
    <t>mbrohde@live.com</t>
  </si>
  <si>
    <t>xaviersmith1@noemail.com</t>
  </si>
  <si>
    <t>jmarek1@yahoo.com</t>
  </si>
  <si>
    <t>scottkudlock@yahoo.com</t>
  </si>
  <si>
    <t>tabatharaepeterson@gmail.com</t>
  </si>
  <si>
    <t>2021-12-07</t>
  </si>
  <si>
    <t>lytlelawyer@gmail.com</t>
  </si>
  <si>
    <t>angelicatoribiovilla1@noemail.com</t>
  </si>
  <si>
    <t>rebeccadixon1@noemail.com</t>
  </si>
  <si>
    <t>abdulahiali1@noemail.com</t>
  </si>
  <si>
    <t>mirmade1@hickorytech.net</t>
  </si>
  <si>
    <t>kheyn.859493@guest.booking.com</t>
  </si>
  <si>
    <t>2021-11-30</t>
  </si>
  <si>
    <t>mindichase1@noemail.com</t>
  </si>
  <si>
    <t>rebeccaklehr@gmail.com</t>
  </si>
  <si>
    <t>melissa.nelson@omnicell.com</t>
  </si>
  <si>
    <t>kovash007@hotmail.com</t>
  </si>
  <si>
    <t>katierboyle24@gmail.com</t>
  </si>
  <si>
    <t>randyshamp@gmail.com</t>
  </si>
  <si>
    <t>sa00ra@hotmail.com</t>
  </si>
  <si>
    <t>didiroes@gmail.com</t>
  </si>
  <si>
    <t>lowryharvey1@noemail.com</t>
  </si>
  <si>
    <t>itssewyoukim@gmail.com</t>
  </si>
  <si>
    <t>johnsonr9294@frontier.com</t>
  </si>
  <si>
    <t>hannah.l.dibble@gmail.com</t>
  </si>
  <si>
    <t>veronicaavila1@noemail.com</t>
  </si>
  <si>
    <t>mnoel@precisionkiosktech.com</t>
  </si>
  <si>
    <t>jenniferfischer1@noemail.com</t>
  </si>
  <si>
    <t>timothypage1@noemail.com</t>
  </si>
  <si>
    <t>2021-12-01</t>
  </si>
  <si>
    <t>ethan.bloomgren@gmail.com</t>
  </si>
  <si>
    <t>gregorywilson1@noemail.com</t>
  </si>
  <si>
    <t>chrismkelly316@gmail.com</t>
  </si>
  <si>
    <t>dougsjensen7@hotmail.com</t>
  </si>
  <si>
    <t>matthewkditzler1@noemail.com</t>
  </si>
  <si>
    <t>jodyosmond1@noemail.com</t>
  </si>
  <si>
    <t>dawnkoenig1@noemail.com</t>
  </si>
  <si>
    <t>robertbernhardt1@noemail.com</t>
  </si>
  <si>
    <t>fosterb1116@gmail.com</t>
  </si>
  <si>
    <t>alfredomandragon1@noemail.com</t>
  </si>
  <si>
    <t>tamnhotty@premieronline.net</t>
  </si>
  <si>
    <t>krisonpope1@noemail.com</t>
  </si>
  <si>
    <t>carolanntoup@gmail.com</t>
  </si>
  <si>
    <t>rrodge.433060@guest.booking.com</t>
  </si>
  <si>
    <t>steph_dreyer@hotmail.com</t>
  </si>
  <si>
    <t>coleman.drake@gmail.com</t>
  </si>
  <si>
    <t>patrickgustin1@noemail.com</t>
  </si>
  <si>
    <t>inrvoice@myemc.net</t>
  </si>
  <si>
    <t>2021-12-06</t>
  </si>
  <si>
    <t>msuing.426920@guest.booking.com</t>
  </si>
  <si>
    <t>lstern.727179@guest.booking.com</t>
  </si>
  <si>
    <t>2021-12-08</t>
  </si>
  <si>
    <t>dnewborg@sio.midco.net</t>
  </si>
  <si>
    <t>makeahnave28@gmail.com</t>
  </si>
  <si>
    <t>2021-12-21</t>
  </si>
  <si>
    <t>matthewbala1@noemail.com</t>
  </si>
  <si>
    <t>2021-12-13</t>
  </si>
  <si>
    <t>bill.j.pedersen@gmail.com</t>
  </si>
  <si>
    <t>mci3606@hotmail.com</t>
  </si>
  <si>
    <t>2021-12-09</t>
  </si>
  <si>
    <t>julieannpatter3@gmail.com</t>
  </si>
  <si>
    <t>r.m.baker@gmx.com</t>
  </si>
  <si>
    <t>2021-12-11</t>
  </si>
  <si>
    <t>dentonmechels1@noemail.com</t>
  </si>
  <si>
    <t>brentbolte1@noemail.com</t>
  </si>
  <si>
    <t>stephmetzger3733@icould.com</t>
  </si>
  <si>
    <t>ritaulloa12@gmail.com</t>
  </si>
  <si>
    <t>dword74@yahoo.com</t>
  </si>
  <si>
    <t>nathanbremer1@noemail.com</t>
  </si>
  <si>
    <t>yoandesdiaz1@noemail.com</t>
  </si>
  <si>
    <t>jmeyer.777837@guest.booking.com</t>
  </si>
  <si>
    <t>tonyhagen1@noemail.com</t>
  </si>
  <si>
    <t>jeromyulmer1@noemail.com</t>
  </si>
  <si>
    <t>derrik1kerns@gmail.com</t>
  </si>
  <si>
    <t>nsmichels@yahoo.com</t>
  </si>
  <si>
    <t>2022-04-25</t>
  </si>
  <si>
    <t>butterfly0897@hotmail.com</t>
  </si>
  <si>
    <t>2021-12-16</t>
  </si>
  <si>
    <t>conradlucero1@noemail.com</t>
  </si>
  <si>
    <t>2021-12-20</t>
  </si>
  <si>
    <t>eirnm82@hotmail.com</t>
  </si>
  <si>
    <t>2022-01-16</t>
  </si>
  <si>
    <t>jessicasmiles86@gmail.com</t>
  </si>
  <si>
    <t>jillkontz1@noemail.com</t>
  </si>
  <si>
    <t>chriswielenga1@noemail.com</t>
  </si>
  <si>
    <t>2022-01-08</t>
  </si>
  <si>
    <t>ynnemariekuper1@noemail.com</t>
  </si>
  <si>
    <t>smason.560291@guest.booking.com</t>
  </si>
  <si>
    <t>ralphlunders1@gmail.com</t>
  </si>
  <si>
    <t>2021-12-10</t>
  </si>
  <si>
    <t>rmflaskey@gmail.com</t>
  </si>
  <si>
    <t>voyager@bringfido.com</t>
  </si>
  <si>
    <t>2021-12-17</t>
  </si>
  <si>
    <t>doug@dougcarlsondev.com</t>
  </si>
  <si>
    <t>kimrothe25@gmail.com</t>
  </si>
  <si>
    <t>m.cozy@yahoo.ca</t>
  </si>
  <si>
    <t>sigep25@hotmail.com</t>
  </si>
  <si>
    <t>corywhite1@noemail.com</t>
  </si>
  <si>
    <t>minnbecks@comcast.net</t>
  </si>
  <si>
    <t>jaysan69@gmail.com</t>
  </si>
  <si>
    <t>jaxdog123@gmail.com</t>
  </si>
  <si>
    <t>2021-12-14</t>
  </si>
  <si>
    <t>mary.kohler12@gmail.com</t>
  </si>
  <si>
    <t>sara_studer012905@hotmail.com</t>
  </si>
  <si>
    <t>cjaspengren@hotmail.com</t>
  </si>
  <si>
    <t>mattleonard1@noemail.com</t>
  </si>
  <si>
    <t>cscharffenberg@gmail.com</t>
  </si>
  <si>
    <t>peggim@grandstayhospitality.com</t>
  </si>
  <si>
    <t>vlgroeneveld28@yahoo.com</t>
  </si>
  <si>
    <t>ctetzl.872445@guest.booking.com</t>
  </si>
  <si>
    <t>triciaschaffer@hotmail.com</t>
  </si>
  <si>
    <t>raywhite1@noemail.com</t>
  </si>
  <si>
    <t>clarencedevney1@noemail.com</t>
  </si>
  <si>
    <t>bwlarsonmn@gmail.com</t>
  </si>
  <si>
    <t>2021-12-15</t>
  </si>
  <si>
    <t>ahmedibrahimi1@noemail.com</t>
  </si>
  <si>
    <t>aprilwaldner@gmail.com</t>
  </si>
  <si>
    <t>daveknudson1@noemail.com</t>
  </si>
  <si>
    <t>2021-12-31</t>
  </si>
  <si>
    <t>mspreferred@gmail.com</t>
  </si>
  <si>
    <t>kelli_21@live.com</t>
  </si>
  <si>
    <t>jeremearruda1@noemail.com</t>
  </si>
  <si>
    <t>aolson.706478@guest.booking.com</t>
  </si>
  <si>
    <t>craigreikofski1@noemail.com</t>
  </si>
  <si>
    <t>mbevin.791781@guest.booking.com</t>
  </si>
  <si>
    <t>pannellelaine2@gmail.com</t>
  </si>
  <si>
    <t>2022-02-14</t>
  </si>
  <si>
    <t>datkidsilly@gmail.com</t>
  </si>
  <si>
    <t>2022-01-14</t>
  </si>
  <si>
    <t>darrelvanderheiden1@noemail.com</t>
  </si>
  <si>
    <t>mlleins@yahoo.com</t>
  </si>
  <si>
    <t>codysingleton34@gmail.com</t>
  </si>
  <si>
    <t>kypper98@hotmail.com</t>
  </si>
  <si>
    <t>2021-12-29</t>
  </si>
  <si>
    <t>ahmadyaraebrahimi1@noemail.com</t>
  </si>
  <si>
    <t>brentbischof1@noemail.com</t>
  </si>
  <si>
    <t>niebel_al@hotmai.com</t>
  </si>
  <si>
    <t>cindychaplin1@noemail.com</t>
  </si>
  <si>
    <t>angelaarends5@gmail.com</t>
  </si>
  <si>
    <t>immrsgee@gmail.com</t>
  </si>
  <si>
    <t>jordangass1@noemail.com</t>
  </si>
  <si>
    <t>ckmader@yahoo.com</t>
  </si>
  <si>
    <t>jfpsdmn@gmail.com</t>
  </si>
  <si>
    <t>mechanicalmatt76@yahoo.com</t>
  </si>
  <si>
    <t>ecochr.111561@guest.booking.com</t>
  </si>
  <si>
    <t>brethekins46@gmail.com</t>
  </si>
  <si>
    <t>2021-12-22</t>
  </si>
  <si>
    <t>danielnelson1@noemail.com</t>
  </si>
  <si>
    <t>rickhurd1@noemail.com</t>
  </si>
  <si>
    <t>jaclynanna@hotmail.com</t>
  </si>
  <si>
    <t>trishbublitz@gmail.com</t>
  </si>
  <si>
    <t>annalieannaliecastro1@noemail.com</t>
  </si>
  <si>
    <t>dawnhawkey@hotmail.com</t>
  </si>
  <si>
    <t>2022-01-22</t>
  </si>
  <si>
    <t>srenefielder42@gmail.com</t>
  </si>
  <si>
    <t>mary.kinder@k12.sd.us</t>
  </si>
  <si>
    <t>kamile.vandyke@gmail.com</t>
  </si>
  <si>
    <t>2022-06-12</t>
  </si>
  <si>
    <t>janetmolohon1@noemail.com</t>
  </si>
  <si>
    <t>sodakpenny@gmail.com</t>
  </si>
  <si>
    <t>mermaid1@hickorytech.net</t>
  </si>
  <si>
    <t>swilco.689002@guest.booking.com</t>
  </si>
  <si>
    <t>rboby.371501@guest.booking.com</t>
  </si>
  <si>
    <t>ldaiker@me.com</t>
  </si>
  <si>
    <t>zach_quien@yahoo.com</t>
  </si>
  <si>
    <t>holleerbst@gmail.com</t>
  </si>
  <si>
    <t>2021-12-24</t>
  </si>
  <si>
    <t>toridannen@aol.com</t>
  </si>
  <si>
    <t>amylouise71@yahoo.com</t>
  </si>
  <si>
    <t>brandonprimeaux1@noemail.com</t>
  </si>
  <si>
    <t>matthewallen1@noemail.com</t>
  </si>
  <si>
    <t>ahmadebrahimi1@noemail.com</t>
  </si>
  <si>
    <t>ggustafson1966@gmail.com</t>
  </si>
  <si>
    <t>2022-01-15</t>
  </si>
  <si>
    <t>mattdeboer1@noemail.com</t>
  </si>
  <si>
    <t>bryanmoe1@noemail.com</t>
  </si>
  <si>
    <t>arlynewernsmann1@noemail.com</t>
  </si>
  <si>
    <t>ctmcpeck@msn.com</t>
  </si>
  <si>
    <t>yara.yara@gfs.com</t>
  </si>
  <si>
    <t>lboett.752112@guest.booking.com</t>
  </si>
  <si>
    <t>pedroajanel1@noemail.com</t>
  </si>
  <si>
    <t>troypetersen1@noemail.com</t>
  </si>
  <si>
    <t>janhansen1980@me.com</t>
  </si>
  <si>
    <t>tbreth@yahoo.com</t>
  </si>
  <si>
    <t>hansen.lindsey@gmail.com</t>
  </si>
  <si>
    <t>bradleyweatherford1@noemail.com</t>
  </si>
  <si>
    <t>katiedale2021@gmail.com</t>
  </si>
  <si>
    <t>maddiedeeaguirre@outlook.com</t>
  </si>
  <si>
    <t>martiknoblock1@noemail.com</t>
  </si>
  <si>
    <t>2022-01-20</t>
  </si>
  <si>
    <t>keri.a.hansen@gmail.com</t>
  </si>
  <si>
    <t>vogelj@deerequipment.com</t>
  </si>
  <si>
    <t>docmonte@doctormontesauto.com</t>
  </si>
  <si>
    <t>2022-01-29</t>
  </si>
  <si>
    <t>jess.bratrud@gmail.com</t>
  </si>
  <si>
    <t>alimarker@msn.com</t>
  </si>
  <si>
    <t>anthonythooft1@noemail.com</t>
  </si>
  <si>
    <t>jhopso.702476@guest.booking.com</t>
  </si>
  <si>
    <t>kfj031891@gmail.com</t>
  </si>
  <si>
    <t>mitchrific@yahoo.com</t>
  </si>
  <si>
    <t>harini.devulapalli@gmail.com</t>
  </si>
  <si>
    <t>so11ball@yahoo.com</t>
  </si>
  <si>
    <t>corrinedavies1@noemail.com</t>
  </si>
  <si>
    <t>desmondfitzgerald57@gmail.com</t>
  </si>
  <si>
    <t>2022-04-24</t>
  </si>
  <si>
    <t>eramos.668835@guest.booking.com</t>
  </si>
  <si>
    <t>kayleebruce1@noemail.com</t>
  </si>
  <si>
    <t>kriswesthoff1@noemail.com</t>
  </si>
  <si>
    <t>k_nida@att.net</t>
  </si>
  <si>
    <t>terestiaysaguirre1@noemail.com</t>
  </si>
  <si>
    <t>bstothall@live.com</t>
  </si>
  <si>
    <t>mattholmes1@noemail.com</t>
  </si>
  <si>
    <t>jagbluesbait@icloud.com</t>
  </si>
  <si>
    <t>net-workman@hotmail.com</t>
  </si>
  <si>
    <t>2022-01-31</t>
  </si>
  <si>
    <t>velasco335@gmail.com</t>
  </si>
  <si>
    <t>ahcuttingimage@frontiernet.net</t>
  </si>
  <si>
    <t>sryan.929449@guest.booking.com</t>
  </si>
  <si>
    <t>marktepstra1@noemail.com</t>
  </si>
  <si>
    <t>jbird@larsondoors.com</t>
  </si>
  <si>
    <t>baronvanheel@gmail.com</t>
  </si>
  <si>
    <t>sryan.125925@guest.booking.com</t>
  </si>
  <si>
    <t>dan.frederiksen@vossdist.com</t>
  </si>
  <si>
    <t>donnagreenfield1@noemail.com</t>
  </si>
  <si>
    <t>hillary.md@hotmail.com</t>
  </si>
  <si>
    <t>daleopdahl1@noemail.com</t>
  </si>
  <si>
    <t>dmeyer.837660@guest.booking.com</t>
  </si>
  <si>
    <t>2022-07-10</t>
  </si>
  <si>
    <t>christopherwright1@noemail.com</t>
  </si>
  <si>
    <t>lobrie.643968@guest.booking.com</t>
  </si>
  <si>
    <t>cjerber@gmail.com</t>
  </si>
  <si>
    <t>gregrm@gwtc.net</t>
  </si>
  <si>
    <t>chadholm1@noemail.com</t>
  </si>
  <si>
    <t>jessica.vanderham@gmail.com</t>
  </si>
  <si>
    <t>yaraebrahimi1@noemail.com</t>
  </si>
  <si>
    <t>dseverson555@gmail.com</t>
  </si>
  <si>
    <t>deryl.oldag@gmail.com</t>
  </si>
  <si>
    <t>shannonzoglmann1@noemail.com</t>
  </si>
  <si>
    <t>2022-03-20</t>
  </si>
  <si>
    <t>hotelsupport.tps@hotelbeds.com</t>
  </si>
  <si>
    <t>firestorm.mmc@gmail.com</t>
  </si>
  <si>
    <t>lucassolberg1@noemail.com</t>
  </si>
  <si>
    <t>marcfrishman@yahoo.com</t>
  </si>
  <si>
    <t>wayder_ercisson@hotmail.com</t>
  </si>
  <si>
    <t>pamplatz1@noemail.com</t>
  </si>
  <si>
    <t>jskesy@yahoo.com</t>
  </si>
  <si>
    <t>gregingeorgia14@gmail.com</t>
  </si>
  <si>
    <t>shawnmischel1@noemail.com</t>
  </si>
  <si>
    <t>abdulahijama1@noemail.com</t>
  </si>
  <si>
    <t>slpete@hotmail.com</t>
  </si>
  <si>
    <t>tannerstewart1@noemail.com</t>
  </si>
  <si>
    <t>jsselchert@yahoo.com</t>
  </si>
  <si>
    <t>rladd.912810@guest.booking.com</t>
  </si>
  <si>
    <t>enspired@live.com</t>
  </si>
  <si>
    <t>2022-02-06</t>
  </si>
  <si>
    <t>cody.free@icloud.com</t>
  </si>
  <si>
    <t>2022-01-04</t>
  </si>
  <si>
    <t>ryanhoerster1@noemail.com</t>
  </si>
  <si>
    <t>wmacone@gmail.com</t>
  </si>
  <si>
    <t>fredandkathy@abe.midco.net</t>
  </si>
  <si>
    <t>2022-07-16</t>
  </si>
  <si>
    <t>kenyont30@hotmail.com</t>
  </si>
  <si>
    <t>kaya_ann31@hotmail.com</t>
  </si>
  <si>
    <t>2022-01-23</t>
  </si>
  <si>
    <t>aprilcolborn1@noemail.com</t>
  </si>
  <si>
    <t>loriboyer1@noemail.com</t>
  </si>
  <si>
    <t>codyhall1@noemail.com</t>
  </si>
  <si>
    <t>crayelectrician@gmail.com</t>
  </si>
  <si>
    <t>yvonne.beyer@state.sd.us</t>
  </si>
  <si>
    <t>brit98hamann@gmail.com</t>
  </si>
  <si>
    <t>2022-01-10</t>
  </si>
  <si>
    <t>leah.haaland@yahoo.com</t>
  </si>
  <si>
    <t>2022-07-17</t>
  </si>
  <si>
    <t>2022-01-11</t>
  </si>
  <si>
    <t>hamand.734283@guest.booking.com</t>
  </si>
  <si>
    <t>smsteineke0329@gmail.com</t>
  </si>
  <si>
    <t>hralverson@hotmail.com</t>
  </si>
  <si>
    <t>2022-01-06</t>
  </si>
  <si>
    <t>lgoode.587431@guest.booking.com</t>
  </si>
  <si>
    <t>2022-01-05</t>
  </si>
  <si>
    <t>jnunez.796074@guest.booking.com</t>
  </si>
  <si>
    <t>codyfree1@noemail.com</t>
  </si>
  <si>
    <t>kerinkuszak@hotmail.com</t>
  </si>
  <si>
    <t>sheilasinclair1@noemail.com</t>
  </si>
  <si>
    <t>bobhook1@noemail.com</t>
  </si>
  <si>
    <t>sjre2273@yahoo.com</t>
  </si>
  <si>
    <t>skim.635496@guest.booking.com</t>
  </si>
  <si>
    <t>2022-01-19</t>
  </si>
  <si>
    <t>msmith.900148@guest.booking.com</t>
  </si>
  <si>
    <t>highpines88@gmail.com</t>
  </si>
  <si>
    <t>pcellensohn@gmail.com</t>
  </si>
  <si>
    <t>vickieschultz1@noemail.com</t>
  </si>
  <si>
    <t>nylatornow1@noemail.com</t>
  </si>
  <si>
    <t>hleir24@yahoo.com</t>
  </si>
  <si>
    <t>gregnoteboom@digitalplus.biz</t>
  </si>
  <si>
    <t>leannehonrud1@noemail.com</t>
  </si>
  <si>
    <t>egomz213@gmail.com</t>
  </si>
  <si>
    <t>2022-01-07</t>
  </si>
  <si>
    <t>jsiege.580266@guest.booking.com</t>
  </si>
  <si>
    <t>2022-04-09</t>
  </si>
  <si>
    <t>donmartin1@noemail.com</t>
  </si>
  <si>
    <t>jbdhdn.809459@guest.booking.com</t>
  </si>
  <si>
    <t>l84hnks@gmail.com</t>
  </si>
  <si>
    <t>2022-06-13</t>
  </si>
  <si>
    <t>ladoon@hotmail.com</t>
  </si>
  <si>
    <t>barbaraduffey@yahoo.com</t>
  </si>
  <si>
    <t>frankdavis1@noemail.com</t>
  </si>
  <si>
    <t>monkeyworx.jhb@gmail.com</t>
  </si>
  <si>
    <t>keatherrisken@gmail.com</t>
  </si>
  <si>
    <t>annlesch@yahoo.com</t>
  </si>
  <si>
    <t>thomasobarnett@yahoo.com</t>
  </si>
  <si>
    <t>2022-06-20</t>
  </si>
  <si>
    <t>abrahamv@shearink.com</t>
  </si>
  <si>
    <t>2022-01-28</t>
  </si>
  <si>
    <t>zacar@gmail.com</t>
  </si>
  <si>
    <t>gergsters@juno.com</t>
  </si>
  <si>
    <t>2022-01-24</t>
  </si>
  <si>
    <t>k9doc_3@sbcglobal.net</t>
  </si>
  <si>
    <t>caseymeredith60@gmail.com</t>
  </si>
  <si>
    <t>2022-04-16</t>
  </si>
  <si>
    <t>2022-01-13</t>
  </si>
  <si>
    <t>philrafferty1@noemail.com</t>
  </si>
  <si>
    <t>thewallranch@hotmail.com</t>
  </si>
  <si>
    <t>nathieljohnson1@noemail.com</t>
  </si>
  <si>
    <t>hadleymagilke@gmail.com</t>
  </si>
  <si>
    <t>2022-01-12</t>
  </si>
  <si>
    <t>katlinthebault1@noemail.com</t>
  </si>
  <si>
    <t>catrishafisher@live.com</t>
  </si>
  <si>
    <t>michaelvanwoerkom1@noemail.com</t>
  </si>
  <si>
    <t>regzula@gmail.com</t>
  </si>
  <si>
    <t>jerry_kovorka@hotmail.com</t>
  </si>
  <si>
    <t>joseydurham1@noemail.com</t>
  </si>
  <si>
    <t>anderberg316@gmail.com</t>
  </si>
  <si>
    <t>rschwe.339541@guest.booking.com</t>
  </si>
  <si>
    <t>jasonstanley1@noemail.com</t>
  </si>
  <si>
    <t>alexkylefriestreifer1@noemail.com</t>
  </si>
  <si>
    <t>spencerallen1@noemail.com</t>
  </si>
  <si>
    <t>akonda.373427@guest.booking.com</t>
  </si>
  <si>
    <t>mattstone321@gmail.com</t>
  </si>
  <si>
    <t>mrwarnermd@yahoo.com</t>
  </si>
  <si>
    <t>wadetalkington1@noemail.com</t>
  </si>
  <si>
    <t>mjrnsb@gmail.com</t>
  </si>
  <si>
    <t>morts@santel.net</t>
  </si>
  <si>
    <t>ktvermeer@gmail.com</t>
  </si>
  <si>
    <t>cindyvanepps1@noemail.com</t>
  </si>
  <si>
    <t>reginaldonline@hotmail.com</t>
  </si>
  <si>
    <t>ryan@vanssanitation.com</t>
  </si>
  <si>
    <t>bartlammers1@noemail.com</t>
  </si>
  <si>
    <t>randallmcclure1@noemail.com</t>
  </si>
  <si>
    <t>jillwilliams1@noemail.com</t>
  </si>
  <si>
    <t>2022-02-21</t>
  </si>
  <si>
    <t>josephhenry1@noemail.com</t>
  </si>
  <si>
    <t>jdodge5@hotmail.com</t>
  </si>
  <si>
    <t>2022-02-27</t>
  </si>
  <si>
    <t>joevillarral1@noemail.com</t>
  </si>
  <si>
    <t>sonyasimons1@noemail.com</t>
  </si>
  <si>
    <t>nathanielscottnewman@yahoo.com</t>
  </si>
  <si>
    <t>speedwayshot@gmail.com</t>
  </si>
  <si>
    <t>jessicasargent1@noemail.com</t>
  </si>
  <si>
    <t>kimberly.jenen4200@yahoo.com</t>
  </si>
  <si>
    <t>jensenm007@yahoo.com</t>
  </si>
  <si>
    <t>jennifervolkmer1@noemail.com</t>
  </si>
  <si>
    <t>debrawiesen1@noemail.com</t>
  </si>
  <si>
    <t>amandakumlein1@noemail.com</t>
  </si>
  <si>
    <t>nathankshonda@yahoo.com</t>
  </si>
  <si>
    <t>aaronroberts1@noemail.com</t>
  </si>
  <si>
    <t>tracyanton1@noemail.com</t>
  </si>
  <si>
    <t>voucher@didatravel.com</t>
  </si>
  <si>
    <t>milanstojsavljevig1@noemail.com</t>
  </si>
  <si>
    <t>2022-01-17</t>
  </si>
  <si>
    <t>kayla.gangl.2@gmail.com</t>
  </si>
  <si>
    <t>mhood9@juno.com</t>
  </si>
  <si>
    <t>kelly.oehlerking@aol.com</t>
  </si>
  <si>
    <t>calekern1@noemail.com</t>
  </si>
  <si>
    <t>2022-01-18</t>
  </si>
  <si>
    <t>nicholashill1@noemail.com</t>
  </si>
  <si>
    <t>judsonmarvel@gmail.com</t>
  </si>
  <si>
    <t>juliannperrigo1@noemail.com</t>
  </si>
  <si>
    <t>2022-01-21</t>
  </si>
  <si>
    <t>larsthejl@gmail.com</t>
  </si>
  <si>
    <t>robertmanzo1@noemail.com</t>
  </si>
  <si>
    <t>ekooima@siouxfallschristian.org</t>
  </si>
  <si>
    <t>rmfeltz123@gmail.com</t>
  </si>
  <si>
    <t>williamaarndt1@noemail.com</t>
  </si>
  <si>
    <t>golittlered@yahoo.com</t>
  </si>
  <si>
    <t>caballowhisper@hotmail.com</t>
  </si>
  <si>
    <t>justinweatherford1@noemail.com</t>
  </si>
  <si>
    <t>teaghen.malone17@gmail.com</t>
  </si>
  <si>
    <t>chadu1372@gmail.com</t>
  </si>
  <si>
    <t>2022-01-26</t>
  </si>
  <si>
    <t>jackieormand1@noemail.com</t>
  </si>
  <si>
    <t>trevsaralease@yahoo.com</t>
  </si>
  <si>
    <t>lartist1818@icloud.com</t>
  </si>
  <si>
    <t>2022-02-23</t>
  </si>
  <si>
    <t>hthomp.876217@guest.booking.com</t>
  </si>
  <si>
    <t>jcolli.740421@guest.booking.com</t>
  </si>
  <si>
    <t>d.berendragan@americafence.com</t>
  </si>
  <si>
    <t>hotelreservation@joyfuljourneysg.com</t>
  </si>
  <si>
    <t>lizsarahw.17@gmail.com</t>
  </si>
  <si>
    <t>2022-09-18</t>
  </si>
  <si>
    <t>aprilkolb1@noemail.com</t>
  </si>
  <si>
    <t>dhollister@etmi.com</t>
  </si>
  <si>
    <t>hotel.mpt@pkfare.com</t>
  </si>
  <si>
    <t>waldrop813@gmail.com</t>
  </si>
  <si>
    <t>2022-03-13</t>
  </si>
  <si>
    <t>adin.yoon@gmail.com</t>
  </si>
  <si>
    <t>gabbyandwoody@gmail.com</t>
  </si>
  <si>
    <t>jadler.984807@guest.booking.com</t>
  </si>
  <si>
    <t>farmkerr@gmail.com</t>
  </si>
  <si>
    <t>bolldustin@yahoo.com</t>
  </si>
  <si>
    <t>stephanliljenquist1@noemail.com</t>
  </si>
  <si>
    <t>jodileighharris@yahoo.com</t>
  </si>
  <si>
    <t>natalee.chapin@yahoo.com</t>
  </si>
  <si>
    <t>angela.aquino06@gmail.com</t>
  </si>
  <si>
    <t>scottkuzel1@noemail.com</t>
  </si>
  <si>
    <t>rkpheasant@msn.com</t>
  </si>
  <si>
    <t>sorsburn08@gmail.com</t>
  </si>
  <si>
    <t>codybrinkman1@noemail.com</t>
  </si>
  <si>
    <t>love31doolittle@yahoo.com</t>
  </si>
  <si>
    <t>2022-02-05</t>
  </si>
  <si>
    <t>jillcomes1@noemail.com</t>
  </si>
  <si>
    <t>niallanderson1@noemail.com</t>
  </si>
  <si>
    <t>kpiercy2008@gmail.com</t>
  </si>
  <si>
    <t>marshmaylo@hotmail.com</t>
  </si>
  <si>
    <t>ibrodzafic1@noemail.com</t>
  </si>
  <si>
    <t>tadhalferty1@noemail.com</t>
  </si>
  <si>
    <t>2022-01-27</t>
  </si>
  <si>
    <t>lindamcfall1@noemail.com</t>
  </si>
  <si>
    <t>barbdon@valleytel.net</t>
  </si>
  <si>
    <t>tembre.371785@guest.booking.com</t>
  </si>
  <si>
    <t>2022-06-02</t>
  </si>
  <si>
    <t>9ironequine@gmail.com</t>
  </si>
  <si>
    <t>dnwalth@nvc.net</t>
  </si>
  <si>
    <t>beverlythompson1@noemail.com</t>
  </si>
  <si>
    <t>ethanenwiller1@noemail.com</t>
  </si>
  <si>
    <t>2022-01-25</t>
  </si>
  <si>
    <t>pmarczak1@hotmail.com</t>
  </si>
  <si>
    <t>dkhollenbeck5@gmail.com</t>
  </si>
  <si>
    <t>matthewdeboer1@noemail.com</t>
  </si>
  <si>
    <t>ashya.comes@centralsquare.com</t>
  </si>
  <si>
    <t>brandonnaccarato1@noemail.com</t>
  </si>
  <si>
    <t>jillelaine13@gmail.com</t>
  </si>
  <si>
    <t>susaneliza54@outlook.com</t>
  </si>
  <si>
    <t>christinenelson1@noemail.com</t>
  </si>
  <si>
    <t>ajtag0413@gmail.com</t>
  </si>
  <si>
    <t>2022-02-20</t>
  </si>
  <si>
    <t>charitywaldner1@noemail.com</t>
  </si>
  <si>
    <t>chadplambeck1@noemail.com</t>
  </si>
  <si>
    <t>2022-02-11</t>
  </si>
  <si>
    <t>vanessamisola1@noemail.com</t>
  </si>
  <si>
    <t>danielkliegel1@noemail.com</t>
  </si>
  <si>
    <t>joleenniles1@noemail.com</t>
  </si>
  <si>
    <t>2022-04-10</t>
  </si>
  <si>
    <t>lacyons@gmail.com</t>
  </si>
  <si>
    <t>2022-03-17</t>
  </si>
  <si>
    <t>allenstratmeyer1@noemail.com</t>
  </si>
  <si>
    <t>2022-03-25</t>
  </si>
  <si>
    <t>2022-02-15</t>
  </si>
  <si>
    <t>cjneikirk@gmail.com</t>
  </si>
  <si>
    <t>brandonprimeus1@noemail.com</t>
  </si>
  <si>
    <t>larrywendtland1@noemail.com</t>
  </si>
  <si>
    <t>karlabedow@gmail.com</t>
  </si>
  <si>
    <t>rosemiller1@noemail.com</t>
  </si>
  <si>
    <t>jake.spencer2@outlook.com</t>
  </si>
  <si>
    <t>2022-02-16</t>
  </si>
  <si>
    <t>karlahoffmann22@gmail.com</t>
  </si>
  <si>
    <t>bigjim4844@yahoo.com</t>
  </si>
  <si>
    <t>leeannwoods@sbcglobal.net</t>
  </si>
  <si>
    <t>randybarnhardt1@noemail.com</t>
  </si>
  <si>
    <t>jrpete6@hotmail.com</t>
  </si>
  <si>
    <t>shawnraymond1@noemail.com</t>
  </si>
  <si>
    <t>larson.katiea@gmail.com</t>
  </si>
  <si>
    <t>gkurtz.822290@guest.booking.com</t>
  </si>
  <si>
    <t>2022-05-23</t>
  </si>
  <si>
    <t>cindyvaneeps1@noemail.com</t>
  </si>
  <si>
    <t>rissakay21@gmail.com</t>
  </si>
  <si>
    <t>2022-02-19</t>
  </si>
  <si>
    <t>brewer@itctel.com</t>
  </si>
  <si>
    <t>sherri.schneck@icloud.com</t>
  </si>
  <si>
    <t>echanten@midstatesd.net</t>
  </si>
  <si>
    <t>2022-10-03</t>
  </si>
  <si>
    <t>2022-02-26</t>
  </si>
  <si>
    <t>maggiefiscel069@outlook.com</t>
  </si>
  <si>
    <t>dbelte.482462@guest.booking.com</t>
  </si>
  <si>
    <t>eworm.716441@guest.booking.com</t>
  </si>
  <si>
    <t>broncovolcouple@yahoo.com</t>
  </si>
  <si>
    <t>jhilleson@tnics.com</t>
  </si>
  <si>
    <t>brandonclaussen1@noemail.com</t>
  </si>
  <si>
    <t>brooki1998@icloud.com</t>
  </si>
  <si>
    <t>almond_233@yahoo.com</t>
  </si>
  <si>
    <t>rramireztrejo0001@gmail.com</t>
  </si>
  <si>
    <t>tamrockdriller@yahoo.com</t>
  </si>
  <si>
    <t>2022-02-01</t>
  </si>
  <si>
    <t>cheffe.906775@guest.booking.com</t>
  </si>
  <si>
    <t>rrank1220@aol.com</t>
  </si>
  <si>
    <t>2022-10-02</t>
  </si>
  <si>
    <t>ghannahlacy@gmail.com</t>
  </si>
  <si>
    <t>2022-02-02</t>
  </si>
  <si>
    <t>ccherd@yahoo.com</t>
  </si>
  <si>
    <t>rv3c@live.com</t>
  </si>
  <si>
    <t>svizecky@gmail.com</t>
  </si>
  <si>
    <t>josh.finstad97@gmail.com</t>
  </si>
  <si>
    <t>2022-02-09</t>
  </si>
  <si>
    <t>akesverle@gmail.com</t>
  </si>
  <si>
    <t>2022-03-01</t>
  </si>
  <si>
    <t>andrew.kinter@gmail.com</t>
  </si>
  <si>
    <t>jlukow@comcast.net</t>
  </si>
  <si>
    <t>haybus@gmail.com</t>
  </si>
  <si>
    <t>timandhollykohn1@noemail.com</t>
  </si>
  <si>
    <t>wilmotb@aol.com</t>
  </si>
  <si>
    <t>2022-02-18</t>
  </si>
  <si>
    <t>danielthyen1@noemail.com</t>
  </si>
  <si>
    <t>2022-02-03</t>
  </si>
  <si>
    <t>brandonhinrichs1@noemail.com</t>
  </si>
  <si>
    <t>brianvisser1@noemail.com</t>
  </si>
  <si>
    <t>jennifer.boushee@northernlightsdiesel.com</t>
  </si>
  <si>
    <t>bwest@adamsgrp.com</t>
  </si>
  <si>
    <t>edgarcia7379@yahoo.com</t>
  </si>
  <si>
    <t>kswoman22@gmail.com</t>
  </si>
  <si>
    <t>jamesfritz1@noemail.com</t>
  </si>
  <si>
    <t>sethamgardner@gmail.com</t>
  </si>
  <si>
    <t>kim_j_03@hotmail.com</t>
  </si>
  <si>
    <t>thomasjurgens1@noemail.com</t>
  </si>
  <si>
    <t>deviney_29@hotmail.com</t>
  </si>
  <si>
    <t>bgabri.658029@guest.booking.com</t>
  </si>
  <si>
    <t>shandamadsen1@noemail.com</t>
  </si>
  <si>
    <t>traynorgerard1@noemail.com</t>
  </si>
  <si>
    <t>ckolson@midstatesd.net</t>
  </si>
  <si>
    <t>kpaper@hardincountyia.gov</t>
  </si>
  <si>
    <t>dennisadjahli1@noemail.com</t>
  </si>
  <si>
    <t>raena_mcdowell@yahoo.com</t>
  </si>
  <si>
    <t>2022-03-28</t>
  </si>
  <si>
    <t>moort.257270@guest.booking.com</t>
  </si>
  <si>
    <t>axy@goldenwest.net</t>
  </si>
  <si>
    <t>vitaliykharkovets@gmail.com</t>
  </si>
  <si>
    <t>2022-02-04</t>
  </si>
  <si>
    <t>2022-02-08</t>
  </si>
  <si>
    <t>hitominakasone1@noemail.com</t>
  </si>
  <si>
    <t>sstewa.826804@guest.booking.com</t>
  </si>
  <si>
    <t>cbrown.322334@guest.booking.com</t>
  </si>
  <si>
    <t>davidgoberish1@noemail.com</t>
  </si>
  <si>
    <t>hbertalo@hotmail.com</t>
  </si>
  <si>
    <t>cindypearce65@gmail.com</t>
  </si>
  <si>
    <t>2022-07-03</t>
  </si>
  <si>
    <t>alyssa@poshboutiquesf.com</t>
  </si>
  <si>
    <t>ironbite@itctel.com</t>
  </si>
  <si>
    <t>mike.vanoort@hotmail.com</t>
  </si>
  <si>
    <t>mardelochsner@gmail.com</t>
  </si>
  <si>
    <t>irrationallikepi@gmail.com</t>
  </si>
  <si>
    <t>2022-03-06</t>
  </si>
  <si>
    <t>michaelschacherer1@noemail.com</t>
  </si>
  <si>
    <t>lenhartka1@noemail.com</t>
  </si>
  <si>
    <t>2022-03-07</t>
  </si>
  <si>
    <t>cameronsemmler1@noemail.com</t>
  </si>
  <si>
    <t>genewesterbuhr1@noemail.com</t>
  </si>
  <si>
    <t>alyssa@poshbotiquesf.com</t>
  </si>
  <si>
    <t>jackiejones1@noemail.com</t>
  </si>
  <si>
    <t>kellyhuot1228@hotmail.com</t>
  </si>
  <si>
    <t>cathyolsonschaefer053@gmail.com</t>
  </si>
  <si>
    <t>cathyschaefer1@noemail.com</t>
  </si>
  <si>
    <t>mpfaxon@gmail.com</t>
  </si>
  <si>
    <t>dale_estey@hotmail.com</t>
  </si>
  <si>
    <t>warrior_anthony@hotmail.com</t>
  </si>
  <si>
    <t>eriksmiley1@noemail.com</t>
  </si>
  <si>
    <t>janelle.branson@gmail.com</t>
  </si>
  <si>
    <t>cary.christensen@mnsu.edu</t>
  </si>
  <si>
    <t>mindirchase@gmail.com</t>
  </si>
  <si>
    <t>charlesmayse1@noemail.com</t>
  </si>
  <si>
    <t>2022-02-07</t>
  </si>
  <si>
    <t>neaveluna1@gmail.com</t>
  </si>
  <si>
    <t>2022-02-12</t>
  </si>
  <si>
    <t>negger.715252@guest.booking.com</t>
  </si>
  <si>
    <t>dtstorm1980@gmail.com</t>
  </si>
  <si>
    <t>eeisen.851697@guest.booking.com</t>
  </si>
  <si>
    <t>eloraeisenbraun1@noemail.com</t>
  </si>
  <si>
    <t>2022-02-10</t>
  </si>
  <si>
    <t>jefferycounter1@noemail.com</t>
  </si>
  <si>
    <t>cory_holen@yahoo.com</t>
  </si>
  <si>
    <t>bradleysteiner1@noemail.com</t>
  </si>
  <si>
    <t>cfoxhoven13@gmail.com</t>
  </si>
  <si>
    <t>morganryan1@noemail.com</t>
  </si>
  <si>
    <t>nylatorney1@noemail.com</t>
  </si>
  <si>
    <t>sgalli.865395@guest.booking.com</t>
  </si>
  <si>
    <t>berneyhj@gmail.com</t>
  </si>
  <si>
    <t>johnbenson1@noemail.com</t>
  </si>
  <si>
    <t>treif@eccsfsd.com</t>
  </si>
  <si>
    <t>kathy.tyler@k12.sd.us</t>
  </si>
  <si>
    <t>ahv2bjfrkt@m.expediapartnercentral.com</t>
  </si>
  <si>
    <t>jerrytullier1@noemail.com</t>
  </si>
  <si>
    <t>timstautz@yahoo.com</t>
  </si>
  <si>
    <t>alicia@degeestmfg.com</t>
  </si>
  <si>
    <t>2022-02-25</t>
  </si>
  <si>
    <t>rcherv@gmail.com</t>
  </si>
  <si>
    <t>levicole1@noemail.com</t>
  </si>
  <si>
    <t>2022-02-22</t>
  </si>
  <si>
    <t>larryhalse1@noemail.com</t>
  </si>
  <si>
    <t>blsandbulte@hotmail.com</t>
  </si>
  <si>
    <t>jennifer.boushee@northernlightsdisel.com</t>
  </si>
  <si>
    <t>jennjurgensen97@gmail.com</t>
  </si>
  <si>
    <t>ec@facetter.dk</t>
  </si>
  <si>
    <t>tbplooster@siouxvalley.net</t>
  </si>
  <si>
    <t>2022-08-21</t>
  </si>
  <si>
    <t>jmichaels@rendemptionplus.com</t>
  </si>
  <si>
    <t>mjake.106708@guest.booking.com</t>
  </si>
  <si>
    <t>ckarst.139446@guest.booking.com</t>
  </si>
  <si>
    <t>lilydesantis1@noemail.com</t>
  </si>
  <si>
    <t>2022-08-20</t>
  </si>
  <si>
    <t>larrytrautman1@noemail.com</t>
  </si>
  <si>
    <t>vevans.303990@guest.booking.com</t>
  </si>
  <si>
    <t>2022-06-18</t>
  </si>
  <si>
    <t>hansenann_26@hotmail.com</t>
  </si>
  <si>
    <t>jill.m.gran@hotmail.com</t>
  </si>
  <si>
    <t>jacobsen31@msn.com</t>
  </si>
  <si>
    <t>dpoolrn@gmail.com</t>
  </si>
  <si>
    <t>brctorkelson@gmail.com</t>
  </si>
  <si>
    <t>nathan.vandersnick@gmail.com</t>
  </si>
  <si>
    <t>loriserverson1@gmail.com</t>
  </si>
  <si>
    <t>shivanshiby1@noemail.com</t>
  </si>
  <si>
    <t>paulpeterson1@noemail.com</t>
  </si>
  <si>
    <t>c_kempema@hotmail.com</t>
  </si>
  <si>
    <t>abby.kuper@sanfordheslth.org</t>
  </si>
  <si>
    <t>johnrobin797@gmail.com</t>
  </si>
  <si>
    <t>dupree.tesmer@gmail.com</t>
  </si>
  <si>
    <t>howie0@usa.com</t>
  </si>
  <si>
    <t>2022-02-17</t>
  </si>
  <si>
    <t>rouseelizabeth1@noemail.com</t>
  </si>
  <si>
    <t>mfolke.969062@guest.booking.com</t>
  </si>
  <si>
    <t>jgiedd.554748@guest.booking.com</t>
  </si>
  <si>
    <t>nicholashoffman1@noemail.com</t>
  </si>
  <si>
    <t>danamcdowell1@noemail.com</t>
  </si>
  <si>
    <t>cameronwylie1@noemail.com</t>
  </si>
  <si>
    <t>coreyglick1@noemail.com</t>
  </si>
  <si>
    <t>olson_johan@yahoo.com</t>
  </si>
  <si>
    <t>norngustafson1@noemail.com</t>
  </si>
  <si>
    <t>nicholasconradstabil1@noemail.com</t>
  </si>
  <si>
    <t>kimanderson1@noemail.com</t>
  </si>
  <si>
    <t>dlarson85@hotmail.com</t>
  </si>
  <si>
    <t>johnwerdel1@noemail.com</t>
  </si>
  <si>
    <t>missyjoelbaarstad1@noemail.com</t>
  </si>
  <si>
    <t>brianbrady1@noemail.com</t>
  </si>
  <si>
    <t>kayleajohnson1@noemail.com</t>
  </si>
  <si>
    <t>ocjohnson23@yahoo.com</t>
  </si>
  <si>
    <t>rkaczo.305095@guest.booking.com</t>
  </si>
  <si>
    <t>stacyhuber1@noemail.com</t>
  </si>
  <si>
    <t>2022-09-17</t>
  </si>
  <si>
    <t>huber.stacy@gmail.com</t>
  </si>
  <si>
    <t>daleanderson@growmark.com</t>
  </si>
  <si>
    <t>danofmany@gmail.com</t>
  </si>
  <si>
    <t>rwood.754090@guest.booking.com</t>
  </si>
  <si>
    <t>adam.shriver@ubc.ca</t>
  </si>
  <si>
    <t>2022-02-28</t>
  </si>
  <si>
    <t>mammafitch@yahoo.com</t>
  </si>
  <si>
    <t>blitztransit@gmail.com</t>
  </si>
  <si>
    <t>llayce_gebs@live.com</t>
  </si>
  <si>
    <t>juliperrigo1@noemail.com</t>
  </si>
  <si>
    <t>lthockenbary@goldenwest.net</t>
  </si>
  <si>
    <t>2022-05-21</t>
  </si>
  <si>
    <t>wesleykrause1@noemail.com</t>
  </si>
  <si>
    <t>g.apridonidze77@gmail.com</t>
  </si>
  <si>
    <t>trenton.wiese@state.sd.us</t>
  </si>
  <si>
    <t>davis242136@gmail.com</t>
  </si>
  <si>
    <t>sematernowski@gmail.com</t>
  </si>
  <si>
    <t>brian.nyborg@state.mn.us</t>
  </si>
  <si>
    <t>2022-03-14</t>
  </si>
  <si>
    <t>rileystevens1@noemail.com</t>
  </si>
  <si>
    <t>luis.alberto@weisserdistributing.com</t>
  </si>
  <si>
    <t>2022-03-04</t>
  </si>
  <si>
    <t>jayzoss@live.com</t>
  </si>
  <si>
    <t>reginoldchevis1@noemail.com</t>
  </si>
  <si>
    <t>jrmyfrost@gmail.com</t>
  </si>
  <si>
    <t>sareese51@yahoo.com</t>
  </si>
  <si>
    <t>mtnriderrmk@gmail.com</t>
  </si>
  <si>
    <t>jengbrecht@pie.midco.net</t>
  </si>
  <si>
    <t>emerywenz@gmail.com</t>
  </si>
  <si>
    <t>blongf.855577@guest.booking.com</t>
  </si>
  <si>
    <t>2022-06-11</t>
  </si>
  <si>
    <t>a.holli@gmail.com</t>
  </si>
  <si>
    <t>gregkirby555@gmail.com</t>
  </si>
  <si>
    <t>2022-03-03</t>
  </si>
  <si>
    <t>keithfrink1@noemail.com</t>
  </si>
  <si>
    <t>amysfrench@gmail.com</t>
  </si>
  <si>
    <t>sjmoret@hotmail.com</t>
  </si>
  <si>
    <t>matthewhaggulind1@noemail.com</t>
  </si>
  <si>
    <t>srusse.186397@guest.booking.com</t>
  </si>
  <si>
    <t>mlippe@adairschools.org</t>
  </si>
  <si>
    <t>marcik39@yahoo.com</t>
  </si>
  <si>
    <t>jmoet.329163@guest.booking.com</t>
  </si>
  <si>
    <t>juliezuidema041@gmail.com</t>
  </si>
  <si>
    <t>lissaturbak1@noemail.com</t>
  </si>
  <si>
    <t>leahmaemurphy@yahoo.com</t>
  </si>
  <si>
    <t>rachelrandyjanik@gmail.com</t>
  </si>
  <si>
    <t>tracy.austin1001@gmail.com</t>
  </si>
  <si>
    <t>zhendr.999694@guest.booking.com</t>
  </si>
  <si>
    <t>paulaj.latson@hotmail.com</t>
  </si>
  <si>
    <t>karenrose519@hotmail.com</t>
  </si>
  <si>
    <t>derekmoderegger1@noemail.com</t>
  </si>
  <si>
    <t>melissadavis1@noemail.com</t>
  </si>
  <si>
    <t>bstabe.939487@guest.booking.com</t>
  </si>
  <si>
    <t>2022-03-19</t>
  </si>
  <si>
    <t>jordanjanulewicz1@noemail.com</t>
  </si>
  <si>
    <t>kmille.173845@guest.booking.com</t>
  </si>
  <si>
    <t>randjdunbar@centurytel.net</t>
  </si>
  <si>
    <t>cevers1997@hotmail.com</t>
  </si>
  <si>
    <t>lynnemariekuper1@noemail.com</t>
  </si>
  <si>
    <t>racheljohnson1@noemail.com</t>
  </si>
  <si>
    <t>xxejijxx@gmail.com</t>
  </si>
  <si>
    <t>cjfischer@wat.midco.net</t>
  </si>
  <si>
    <t>tsmith.238184@guest.booking.com</t>
  </si>
  <si>
    <t>skylarzomer1@gmail.com</t>
  </si>
  <si>
    <t>2022-03-26</t>
  </si>
  <si>
    <t>kcherievans@gmail.com</t>
  </si>
  <si>
    <t>alexramkisson1@noemail.com</t>
  </si>
  <si>
    <t>splaine1959@hotmail.com</t>
  </si>
  <si>
    <t>gredda.795598@guest.booking.com</t>
  </si>
  <si>
    <t>2022-02-24</t>
  </si>
  <si>
    <t>michaelschnell1@noemail.com</t>
  </si>
  <si>
    <t>bighornmalamutes@gmail.com</t>
  </si>
  <si>
    <t>tundlin@pheasantsforever.org</t>
  </si>
  <si>
    <t>jessegraves1@noemail.com</t>
  </si>
  <si>
    <t>alvingeekor1@noemail.com</t>
  </si>
  <si>
    <t>smucho.161948@guest.booking.com</t>
  </si>
  <si>
    <t>2022-03-02</t>
  </si>
  <si>
    <t>tracystevenmoore1@noemail.com</t>
  </si>
  <si>
    <t>jizzchew@hotmail.com</t>
  </si>
  <si>
    <t>trish.exsted@gmail.com</t>
  </si>
  <si>
    <t>dllind@starpoint.net</t>
  </si>
  <si>
    <t>rooneyfamily4@yahoo.com</t>
  </si>
  <si>
    <t>4thaveflr@goldenwest.net</t>
  </si>
  <si>
    <t>2022-03-05</t>
  </si>
  <si>
    <t>ntdykstra@midstatesd.net</t>
  </si>
  <si>
    <t>solltrucking@gmail.com</t>
  </si>
  <si>
    <t>jplongendyke@yahoo.com</t>
  </si>
  <si>
    <t>tmbrohrbach@abe.midco.net</t>
  </si>
  <si>
    <t>heatherrussell1@noemail.com</t>
  </si>
  <si>
    <t>shanesehuette1@noemail.com</t>
  </si>
  <si>
    <t>alyssiaknight@outlook.com</t>
  </si>
  <si>
    <t>2022-03-12</t>
  </si>
  <si>
    <t>stemarwest@gmail.com</t>
  </si>
  <si>
    <t>hollyzome@gmail.com</t>
  </si>
  <si>
    <t>2022-04-11</t>
  </si>
  <si>
    <t>irfanali1@noemail.com</t>
  </si>
  <si>
    <t>phyllisklinkhammer@gmail.com</t>
  </si>
  <si>
    <t>nwingo.731222@guest.booking.com</t>
  </si>
  <si>
    <t>sabriabrownhall1@noemail.com</t>
  </si>
  <si>
    <t>blondi_2007_89@hotmail.com</t>
  </si>
  <si>
    <t>nataliebrinkman@hotmail.com</t>
  </si>
  <si>
    <t>kailey_corkill@hotmail.com</t>
  </si>
  <si>
    <t>tclaps.788515@guest.booking.com</t>
  </si>
  <si>
    <t>sacirfan@yahoo.com</t>
  </si>
  <si>
    <t>stetsonihnenfarm81@gmail.com</t>
  </si>
  <si>
    <t>redrussian169@gmail.com</t>
  </si>
  <si>
    <t>walztaylor14@gmail.com</t>
  </si>
  <si>
    <t>leongriffen1@noemail.com</t>
  </si>
  <si>
    <t>danbrosz1@noemail.com</t>
  </si>
  <si>
    <t>jthoem.337110@guest.booking.com</t>
  </si>
  <si>
    <t>mjplooster@hotmail.com</t>
  </si>
  <si>
    <t>dapple.914713@guest.booking.com</t>
  </si>
  <si>
    <t>changingseasons@goldenwest.net</t>
  </si>
  <si>
    <t>kdrury.155640@guest.booking.com</t>
  </si>
  <si>
    <t>ryanjohnson1@noemail.com</t>
  </si>
  <si>
    <t>herbuttecht1@noemail.com</t>
  </si>
  <si>
    <t>rogersieck1@noemail.com</t>
  </si>
  <si>
    <t>2022-03-10</t>
  </si>
  <si>
    <t>davidallengreely1@noemail.com</t>
  </si>
  <si>
    <t>bryanthomas1@noemail.com</t>
  </si>
  <si>
    <t>keithloberg1@noemail.com</t>
  </si>
  <si>
    <t>srubin.976084@guest.booking.com</t>
  </si>
  <si>
    <t>2022-07-23</t>
  </si>
  <si>
    <t>vplooster@hotmail.com</t>
  </si>
  <si>
    <t>daycorey571@yahoo.com</t>
  </si>
  <si>
    <t>jwagne.106363@guest.booking.com</t>
  </si>
  <si>
    <t>joshschenk1@noemail.com</t>
  </si>
  <si>
    <t>rodolforodriguez1@noemail.com</t>
  </si>
  <si>
    <t>mntnman94@yahoo.com</t>
  </si>
  <si>
    <t>njlafleur0605@gmail.com</t>
  </si>
  <si>
    <t>levibrown1@noemail.com</t>
  </si>
  <si>
    <t>2022-04-22</t>
  </si>
  <si>
    <t>georgetteweavill1@noemail.com</t>
  </si>
  <si>
    <t>gerts1@hotmail.com</t>
  </si>
  <si>
    <t>mcfigland@santel.net</t>
  </si>
  <si>
    <t>paulpetersengreatpla1@noemail.com</t>
  </si>
  <si>
    <t>mhanse.556946@guest.booking.com</t>
  </si>
  <si>
    <t>alyssathiesen@hotmail.com</t>
  </si>
  <si>
    <t>bransiebrecht@gmail.com</t>
  </si>
  <si>
    <t>2022-04-12</t>
  </si>
  <si>
    <t>lisat-g@comcast.net</t>
  </si>
  <si>
    <t>nancyfoxhoven@gmail.com</t>
  </si>
  <si>
    <t>michelleconner1@noemail.com</t>
  </si>
  <si>
    <t>2022-03-29</t>
  </si>
  <si>
    <t>theninger6@gmail.com</t>
  </si>
  <si>
    <t>jsarge.431631@guest.booking.com</t>
  </si>
  <si>
    <t>aphayden@hotmail.com</t>
  </si>
  <si>
    <t>brdzomer@mitchelltelecom.net</t>
  </si>
  <si>
    <t>bradleysteinergreatp1@noemail.com</t>
  </si>
  <si>
    <t>jaysonmcelhaneygreat1@noemail.com</t>
  </si>
  <si>
    <t>krhoss@bluebunny.com</t>
  </si>
  <si>
    <t>kevingerry19@gmail.com</t>
  </si>
  <si>
    <t>danielpaulseargreatp1@noemail.com</t>
  </si>
  <si>
    <t>amberjaenisch@gmail.com</t>
  </si>
  <si>
    <t>2022-04-02</t>
  </si>
  <si>
    <t>lukemuckey1@noemail.com</t>
  </si>
  <si>
    <t>pame@landmsupply.com</t>
  </si>
  <si>
    <t>paulboerboom1@noemail.com</t>
  </si>
  <si>
    <t>beverleywhitmeire1@noemail.com</t>
  </si>
  <si>
    <t>abystyron1@noemail.com</t>
  </si>
  <si>
    <t>sarahlynnduq122@gmail.com</t>
  </si>
  <si>
    <t>2022-03-31</t>
  </si>
  <si>
    <t>barb_hallberg@yahoo.com</t>
  </si>
  <si>
    <t>ssorellwy@gmail.com</t>
  </si>
  <si>
    <t>sandraliebe1@noemail.com</t>
  </si>
  <si>
    <t>susanzimmermanzimmer1@noemail.com</t>
  </si>
  <si>
    <t>rjperlinger@yahoo.com</t>
  </si>
  <si>
    <t>dkeltgen30@gmail.com</t>
  </si>
  <si>
    <t>2022-03-09</t>
  </si>
  <si>
    <t>clgrosz@yahoo.com</t>
  </si>
  <si>
    <t>nickpooch1@noemail.com</t>
  </si>
  <si>
    <t>rwilfa.205909@guest.booking.com</t>
  </si>
  <si>
    <t>lanice_miner@icloud.com</t>
  </si>
  <si>
    <t>rbhaug35@gmail.com</t>
  </si>
  <si>
    <t>2022-03-08</t>
  </si>
  <si>
    <t>dianevarikek1@noemail.com</t>
  </si>
  <si>
    <t>kingsway7272@gmail.com</t>
  </si>
  <si>
    <t>julianperrigo1@noemail.com</t>
  </si>
  <si>
    <t>corneyhofer1@noemail.com</t>
  </si>
  <si>
    <t>beverlywittmeier1@noemail.com</t>
  </si>
  <si>
    <t>charleswhansen1@noemail.com</t>
  </si>
  <si>
    <t>kkline.201875@guest.booking.com</t>
  </si>
  <si>
    <t>2022-05-28</t>
  </si>
  <si>
    <t>gkastn.760652@guest.booking.com</t>
  </si>
  <si>
    <t>2022-03-18</t>
  </si>
  <si>
    <t>tkeating4@gmail.com</t>
  </si>
  <si>
    <t>2022-03-16</t>
  </si>
  <si>
    <t>lcline.334875@guest.booking.com</t>
  </si>
  <si>
    <t>roriebeyer1@noemail.com</t>
  </si>
  <si>
    <t>ggthsn@aol.com</t>
  </si>
  <si>
    <t>mwelch.486759@guest.booking.com</t>
  </si>
  <si>
    <t>ppezza.161209@guest.booking.com</t>
  </si>
  <si>
    <t>gartheddiereassauwal1@noemail.com</t>
  </si>
  <si>
    <t>angelaziegler1@noemail.com</t>
  </si>
  <si>
    <t>susankangethe26@gmail.com</t>
  </si>
  <si>
    <t>qlaura.924924@guest.booking.com</t>
  </si>
  <si>
    <t>tfalke.271518@guest.booking.com</t>
  </si>
  <si>
    <t>2022-03-15</t>
  </si>
  <si>
    <t>cindy@cindyobrien.com</t>
  </si>
  <si>
    <t>tannergubbelsethan1@noemail.com</t>
  </si>
  <si>
    <t>sarascandlecottage@gmail.com</t>
  </si>
  <si>
    <t>tannergubbels1@noemail.com</t>
  </si>
  <si>
    <t>brentparker68@gmail.com</t>
  </si>
  <si>
    <t>john.schibi@gmail.com</t>
  </si>
  <si>
    <t>ap@usiburial.com</t>
  </si>
  <si>
    <t>andrew.quintana@icloud.com</t>
  </si>
  <si>
    <t>kholasapa@gmail.com</t>
  </si>
  <si>
    <t>trace.meyer@outlook.com</t>
  </si>
  <si>
    <t>mcarmi.579858@guest.booking.com</t>
  </si>
  <si>
    <t>leins.emily@gmail.com</t>
  </si>
  <si>
    <t>jackietrudeau1@noemail.com</t>
  </si>
  <si>
    <t>tmoser.267240@guest.booking.com</t>
  </si>
  <si>
    <t>olsonrd1@gmail.com</t>
  </si>
  <si>
    <t>jeffrey.leejack@state.mn.us</t>
  </si>
  <si>
    <t>mschli.892887@guest.booking.com</t>
  </si>
  <si>
    <t>tcalla.149592@guest.booking.com</t>
  </si>
  <si>
    <t>2022-05-01</t>
  </si>
  <si>
    <t>mwoesfner68@midco.net</t>
  </si>
  <si>
    <t>b_salazar00@hotmail.com</t>
  </si>
  <si>
    <t>davidmccandless1@noemail.com</t>
  </si>
  <si>
    <t>stevewalling1@noemail.com</t>
  </si>
  <si>
    <t>mary@washcard.com</t>
  </si>
  <si>
    <t>jess.kroger@gmail.com</t>
  </si>
  <si>
    <t>crystalharrison1@noemail.com</t>
  </si>
  <si>
    <t>2022-04-01</t>
  </si>
  <si>
    <t>talkiw@bellsouth.net</t>
  </si>
  <si>
    <t>bob@gps-tanks.com</t>
  </si>
  <si>
    <t>janetringstmeier1@noemail.com</t>
  </si>
  <si>
    <t>markkanitz@hotmail.com</t>
  </si>
  <si>
    <t>2022-10-22</t>
  </si>
  <si>
    <t>krakowm54@gmail.com</t>
  </si>
  <si>
    <t>gphillips50@hotmail.com</t>
  </si>
  <si>
    <t>2022-04-20</t>
  </si>
  <si>
    <t>rjurge.408634@guest.booking.com</t>
  </si>
  <si>
    <t>2022-07-02</t>
  </si>
  <si>
    <t>jasonmitchell1@noemail.com</t>
  </si>
  <si>
    <t>bridget@vibulla.com</t>
  </si>
  <si>
    <t>nielsen.sharon@yahoo.com</t>
  </si>
  <si>
    <t>2022-04-23</t>
  </si>
  <si>
    <t>wiedrichc@yahoo.com</t>
  </si>
  <si>
    <t>jefferymancl1@noemail.com</t>
  </si>
  <si>
    <t>jclinc@sbcglobal.net</t>
  </si>
  <si>
    <t>rickdanielle@yahoo.com</t>
  </si>
  <si>
    <t>cherylcmarsh@yahoo.com</t>
  </si>
  <si>
    <t>joshuaalspaugh1@noemail.com</t>
  </si>
  <si>
    <t>tbrigh.179269@guest.booking.com</t>
  </si>
  <si>
    <t>rene.n.smith@gmail.com</t>
  </si>
  <si>
    <t>2022-05-08</t>
  </si>
  <si>
    <t>cameronwiley1@noemail.com</t>
  </si>
  <si>
    <t>samspringer1@noemail.com</t>
  </si>
  <si>
    <t>lbroz.617176@guest.booking.com</t>
  </si>
  <si>
    <t>rcgertsema@charter.net</t>
  </si>
  <si>
    <t>paglanzer@far.midco.net</t>
  </si>
  <si>
    <t>gusmansker1969@gmail.com</t>
  </si>
  <si>
    <t>tim_pugh@pie.midco.net</t>
  </si>
  <si>
    <t>carmenbussard@hotmail.com</t>
  </si>
  <si>
    <t>2022-07-04</t>
  </si>
  <si>
    <t>judy.toelle2012@midco.net</t>
  </si>
  <si>
    <t>rchere.829928@guest.booking.com</t>
  </si>
  <si>
    <t>lhuffman@rap.midco.net</t>
  </si>
  <si>
    <t>meghannhartman1@noemail.com</t>
  </si>
  <si>
    <t>loribryant1@noemail.com</t>
  </si>
  <si>
    <t>baileyanthony1@noemail.com</t>
  </si>
  <si>
    <t>jmattson542@gmail.com</t>
  </si>
  <si>
    <t>debsusemihl@yahoo.com</t>
  </si>
  <si>
    <t>2022-08-14</t>
  </si>
  <si>
    <t>carriethelen1@noemail.com</t>
  </si>
  <si>
    <t>timandbrandiramsey@gmail.com</t>
  </si>
  <si>
    <t>2022-05-29</t>
  </si>
  <si>
    <t>rassultya2005@yahoo.com</t>
  </si>
  <si>
    <t>2022-03-21</t>
  </si>
  <si>
    <t>nickwhit@yahoo.com</t>
  </si>
  <si>
    <t>rmccre.395206@guest.booking.com</t>
  </si>
  <si>
    <t>dakota4u@aol.com</t>
  </si>
  <si>
    <t>2022-05-20</t>
  </si>
  <si>
    <t>rlesko.927136@guest.booking.com</t>
  </si>
  <si>
    <t>severanceje79@gmail.com</t>
  </si>
  <si>
    <t>karenmunoz1@noemail.com</t>
  </si>
  <si>
    <t>mariahurley48@yahoo.com</t>
  </si>
  <si>
    <t>2022-03-23</t>
  </si>
  <si>
    <t>kimlindsley@hotmail.com</t>
  </si>
  <si>
    <t>russgrim1@noemail.com</t>
  </si>
  <si>
    <t>dmatlo.460045@guest.booking.com</t>
  </si>
  <si>
    <t>maggiegiese1@noemail.com</t>
  </si>
  <si>
    <t>kt_94@hotmail.com</t>
  </si>
  <si>
    <t>andreadiedrich1@noemail.com</t>
  </si>
  <si>
    <t>rachel.brown@pfgc.com</t>
  </si>
  <si>
    <t>alecia_12@hotmail.com</t>
  </si>
  <si>
    <t>mzwisfler@tessmanseed.com</t>
  </si>
  <si>
    <t>cjones.172014@guest.booking.com</t>
  </si>
  <si>
    <t>sandyjons1@noemail.com</t>
  </si>
  <si>
    <t>hall.cody09@gmail.com</t>
  </si>
  <si>
    <t>jessicafisher1@noemail.com</t>
  </si>
  <si>
    <t>zawilpierre1@noemail.com</t>
  </si>
  <si>
    <t>aaron.ana@midconetwork.com</t>
  </si>
  <si>
    <t>solutionsunderground1@noemail.com</t>
  </si>
  <si>
    <t>mrmrsdehaai1@noemail.com</t>
  </si>
  <si>
    <t>lcrawford@weston7.org</t>
  </si>
  <si>
    <t>pearcebvp2019@gmail.com</t>
  </si>
  <si>
    <t>niderbills@gmail.com</t>
  </si>
  <si>
    <t>michaelflinner1@noemail.com</t>
  </si>
  <si>
    <t>kholla.324977@guest.booking.com</t>
  </si>
  <si>
    <t>kstar.401538@guest.booking.com</t>
  </si>
  <si>
    <t>mandypearson1@noemail.com</t>
  </si>
  <si>
    <t>coreylynm1@gmail.com</t>
  </si>
  <si>
    <t>tambro.912230@guest.booking.com</t>
  </si>
  <si>
    <t>kevinklein1@noemail.com</t>
  </si>
  <si>
    <t>tomgannon76@gmail.com</t>
  </si>
  <si>
    <t>2022-06-10</t>
  </si>
  <si>
    <t>kathyoveraas@gmail.com</t>
  </si>
  <si>
    <t>liewerent@gwtc.net</t>
  </si>
  <si>
    <t>2022-05-07</t>
  </si>
  <si>
    <t>chargerho@gmail.com</t>
  </si>
  <si>
    <t>2022-04-06</t>
  </si>
  <si>
    <t>retrobrospinball@gmail.com</t>
  </si>
  <si>
    <t>stephenly1@noemail.com</t>
  </si>
  <si>
    <t>leabell23@yahoo.com</t>
  </si>
  <si>
    <t>jessica.scheer@life-vertical.com</t>
  </si>
  <si>
    <t>2022-03-22</t>
  </si>
  <si>
    <t>jbyamster@gmail.com</t>
  </si>
  <si>
    <t>2022-04-08</t>
  </si>
  <si>
    <t>kweber.673013@guest.booking.com</t>
  </si>
  <si>
    <t>2022-04-29</t>
  </si>
  <si>
    <t>dannievaughin1@noemail.com</t>
  </si>
  <si>
    <t>jessking13@hotmail.com</t>
  </si>
  <si>
    <t>nathanmaher@sitechdakotas.com</t>
  </si>
  <si>
    <t>hiemstrarentals@gmail.com</t>
  </si>
  <si>
    <t>cmarku.787953@guest.booking.com</t>
  </si>
  <si>
    <t>cherylwem@hotmail.com</t>
  </si>
  <si>
    <t>federickhundley1@noemail.com</t>
  </si>
  <si>
    <t>2022-03-24</t>
  </si>
  <si>
    <t>tadroccaro1@noemail.com</t>
  </si>
  <si>
    <t>achlebek116@gmail.com</t>
  </si>
  <si>
    <t>jillmariebecker1@noemail.com</t>
  </si>
  <si>
    <t>cardinallee1982@gmail.com</t>
  </si>
  <si>
    <t>emanuelbensonundergr1@noemail.com</t>
  </si>
  <si>
    <t>deelawrenceundergrou1@noemail.com</t>
  </si>
  <si>
    <t>2022-04-17</t>
  </si>
  <si>
    <t>susanthomas1@noemail.com</t>
  </si>
  <si>
    <t>cindyderksen1@noemail.com</t>
  </si>
  <si>
    <t>benjaminbacherok1@noemail.com</t>
  </si>
  <si>
    <t>williambodin1@noemail.com</t>
  </si>
  <si>
    <t>srenee.290916@guest.booking.com</t>
  </si>
  <si>
    <t>catherine.friesen@yahoo.com</t>
  </si>
  <si>
    <t>arosso.444719@guest.booking.com</t>
  </si>
  <si>
    <t>israelreedy1@noemail.com</t>
  </si>
  <si>
    <t>mhanso.681005@guest.booking.com</t>
  </si>
  <si>
    <t>brigs_jesse@hotmail.com</t>
  </si>
  <si>
    <t>2022-07-31</t>
  </si>
  <si>
    <t>jedski3031@gmail.com</t>
  </si>
  <si>
    <t>2022-05-17</t>
  </si>
  <si>
    <t>rob.april@hotmail.com</t>
  </si>
  <si>
    <t>jwater.299336@guest.booking.com</t>
  </si>
  <si>
    <t>dhughb.261561@guest.booking.com</t>
  </si>
  <si>
    <t>joelwaldron1@noemail.com</t>
  </si>
  <si>
    <t>cindytemme1@noemail.com</t>
  </si>
  <si>
    <t>kdidon.713408@guest.booking.com</t>
  </si>
  <si>
    <t>justintemme1@noemail.com</t>
  </si>
  <si>
    <t>kristaatyeogortmaker1@noemail.com</t>
  </si>
  <si>
    <t>2022-04-13</t>
  </si>
  <si>
    <t>sadeoyates1@noemail.com</t>
  </si>
  <si>
    <t>jessicavoelker1@noemail.com</t>
  </si>
  <si>
    <t>medufrane@yahoo.com</t>
  </si>
  <si>
    <t>wsarah.935650@guest.booking.com</t>
  </si>
  <si>
    <t>angela47marie@yahoo.com</t>
  </si>
  <si>
    <t>tteske.833458@guest.booking.com</t>
  </si>
  <si>
    <t>tombussard@netnis.net</t>
  </si>
  <si>
    <t>paula@bakerplace.net</t>
  </si>
  <si>
    <t>rebeccakrenik1@noemail.com</t>
  </si>
  <si>
    <t>bpanitzke@gmail.com</t>
  </si>
  <si>
    <t>murban.174203@guest.booking.com</t>
  </si>
  <si>
    <t>amberolson1@noemail.com</t>
  </si>
  <si>
    <t>leo861125@gmail.com</t>
  </si>
  <si>
    <t>kylewayn3@gmail.com</t>
  </si>
  <si>
    <t>emazzi.528401@guest.booking.com</t>
  </si>
  <si>
    <t>raywilliambell1@noemail.com</t>
  </si>
  <si>
    <t>mpierc.328161@guest.booking.com</t>
  </si>
  <si>
    <t>hermanjolene454@gmail.com</t>
  </si>
  <si>
    <t>jrobin.188054@guest.booking.com</t>
  </si>
  <si>
    <t>mglodo.476319@guest.booking.com</t>
  </si>
  <si>
    <t>jamieturpin2432@gmail.com</t>
  </si>
  <si>
    <t>clintondunwoody1@noemail.com</t>
  </si>
  <si>
    <t>blpage@siouxvally.net</t>
  </si>
  <si>
    <t>wkathy.131917@guest.booking.com</t>
  </si>
  <si>
    <t>cbye.212631@guest.booking.com</t>
  </si>
  <si>
    <t>maditaylor.27@gmail.com</t>
  </si>
  <si>
    <t>jczarn.782532@guest.booking.com</t>
  </si>
  <si>
    <t>robertreemts1@noemail.com</t>
  </si>
  <si>
    <t>tjl007@hotmail.com</t>
  </si>
  <si>
    <t>krawli.612353@guest.booking.com</t>
  </si>
  <si>
    <t>2022-03-30</t>
  </si>
  <si>
    <t>eugeneneumann1@noemail.com</t>
  </si>
  <si>
    <t>emersonleid1@noemail.com</t>
  </si>
  <si>
    <t>onalou74@gmail.com</t>
  </si>
  <si>
    <t>kim.squilla@gmail.com</t>
  </si>
  <si>
    <t>2022-04-26</t>
  </si>
  <si>
    <t>mkoopm.351490@guest.booking.com</t>
  </si>
  <si>
    <t>keithlesneister1@noemail.com</t>
  </si>
  <si>
    <t>juliussmith1@noemail.com</t>
  </si>
  <si>
    <t>scottendres1@noemail.com</t>
  </si>
  <si>
    <t>jstone.691657@guest.booking.com</t>
  </si>
  <si>
    <t>ksmit.613224@guest.booking.com</t>
  </si>
  <si>
    <t>kendraroberts1@noemail.com</t>
  </si>
  <si>
    <t>dtrca63@gmail.com</t>
  </si>
  <si>
    <t>mike@gertsema.net</t>
  </si>
  <si>
    <t>pengitoremicah@yahoo.com</t>
  </si>
  <si>
    <t>grafton3@windstream.net</t>
  </si>
  <si>
    <t>machellekenzy1@noemail.com</t>
  </si>
  <si>
    <t>admeyerd@gmail.com</t>
  </si>
  <si>
    <t>aaronbetts1@noemail.com</t>
  </si>
  <si>
    <t>lynnekuper1@noemail.com</t>
  </si>
  <si>
    <t>klogan.872176@guest.booking.com</t>
  </si>
  <si>
    <t>lorireinbold@yahoo.com</t>
  </si>
  <si>
    <t>cbstangler@icloud.com</t>
  </si>
  <si>
    <t>chadhump77@yahoo.com</t>
  </si>
  <si>
    <t>marlamyer1@noemail.com</t>
  </si>
  <si>
    <t>denisstegall1@noemail.com</t>
  </si>
  <si>
    <t>dahl27@gmail.com</t>
  </si>
  <si>
    <t>viva.jagow@yahoo.com</t>
  </si>
  <si>
    <t>claireanderson1@noemail.com</t>
  </si>
  <si>
    <t>cherylvanderbrink1@noemail.com</t>
  </si>
  <si>
    <t>stephenrandolph1912@gmail.com</t>
  </si>
  <si>
    <t>2022-04-07</t>
  </si>
  <si>
    <t>slenz5152@charter.net</t>
  </si>
  <si>
    <t>brettgreiner1@noemail.com</t>
  </si>
  <si>
    <t>msouryachak@yahoo.com</t>
  </si>
  <si>
    <t>autopart1al@gmail.com</t>
  </si>
  <si>
    <t>kappel.923612@guest.booking.com</t>
  </si>
  <si>
    <t>2022-04-28</t>
  </si>
  <si>
    <t>jvandke@bargeninc.com</t>
  </si>
  <si>
    <t>danielbye1@noemail.com</t>
  </si>
  <si>
    <t>cummings1@noemail.com</t>
  </si>
  <si>
    <t>traviserdman1@noemail.com</t>
  </si>
  <si>
    <t>djkagkw_@hotmail.com</t>
  </si>
  <si>
    <t>josh@harlanonline.com</t>
  </si>
  <si>
    <t>eldintricic1@noemail.com</t>
  </si>
  <si>
    <t>wamurray@midrivers.com</t>
  </si>
  <si>
    <t>abigaleschroeder1@noemail.com</t>
  </si>
  <si>
    <t>pamschwartz1@noemail.com</t>
  </si>
  <si>
    <t>azerademovic1@noemail.com</t>
  </si>
  <si>
    <t>avosbu.176719@guest.booking.com</t>
  </si>
  <si>
    <t>kirschba@hotmail.com</t>
  </si>
  <si>
    <t>tchartier33@gmail.com</t>
  </si>
  <si>
    <t>darren.lorenz@gmail.com</t>
  </si>
  <si>
    <t>2022-04-04</t>
  </si>
  <si>
    <t>adam.juba12@gmail.com</t>
  </si>
  <si>
    <t>ritakelley82@yahoo.com</t>
  </si>
  <si>
    <t>tinyshoe_10@yahoo.com</t>
  </si>
  <si>
    <t>jandjrodriguez@hotmail.com</t>
  </si>
  <si>
    <t>chris.heier75@gmail.com</t>
  </si>
  <si>
    <t>satter.477922@guest.booking.com</t>
  </si>
  <si>
    <t>2022-06-04</t>
  </si>
  <si>
    <t>mandiday1@noemail.com</t>
  </si>
  <si>
    <t>lindslj@hotmail.com</t>
  </si>
  <si>
    <t>holowkrist@gmail.com</t>
  </si>
  <si>
    <t>afisch.665398@guest.booking.com</t>
  </si>
  <si>
    <t>a_kkruger@yahoo.com</t>
  </si>
  <si>
    <t>syherrig@gmail.com</t>
  </si>
  <si>
    <t>dmiles.442175@guest.booking.com</t>
  </si>
  <si>
    <t>2022-04-05</t>
  </si>
  <si>
    <t>jeremywiese1@noemail.com</t>
  </si>
  <si>
    <t>lgsweany@aol.com</t>
  </si>
  <si>
    <t>ktaylo.998642@guest.booking.com</t>
  </si>
  <si>
    <t>trevorhrubes1@noemail.com</t>
  </si>
  <si>
    <t>2022-04-18</t>
  </si>
  <si>
    <t>mmille.961830@guest.booking.com</t>
  </si>
  <si>
    <t>sevensasha@gmail.com</t>
  </si>
  <si>
    <t>akthiner@gmail.com</t>
  </si>
  <si>
    <t>trevormulgrew1@noemail.com</t>
  </si>
  <si>
    <t>andreausrussel1@noemail.com</t>
  </si>
  <si>
    <t>jayjamespickthorn1@noemail.com</t>
  </si>
  <si>
    <t>oltaylor@yahoo.com</t>
  </si>
  <si>
    <t>courtneyhenkel333@gmail.com</t>
  </si>
  <si>
    <t>nicolettenorton1@noemail.com</t>
  </si>
  <si>
    <t>di2rec@longlines.com</t>
  </si>
  <si>
    <t>gmitch.504384@guest.booking.com</t>
  </si>
  <si>
    <t>tonyellingson1@noemail.com</t>
  </si>
  <si>
    <t>maureennjiiri1@noemail.com</t>
  </si>
  <si>
    <t>brad.jking84@gmail.com</t>
  </si>
  <si>
    <t>cdj1962@hotmail.com</t>
  </si>
  <si>
    <t>rsylvester@coreslab.com</t>
  </si>
  <si>
    <t>mariska799@gmail.com</t>
  </si>
  <si>
    <t>sam.kirstein@gmail.com</t>
  </si>
  <si>
    <t>darbac.211104@guest.booking.com</t>
  </si>
  <si>
    <t>akvan@alliancecom.net</t>
  </si>
  <si>
    <t>andrewritzert1@noemail.com</t>
  </si>
  <si>
    <t>wesgall1@noemail.com</t>
  </si>
  <si>
    <t>loriwright1@noemail.com</t>
  </si>
  <si>
    <t>bolbbookings@expediagroup.com</t>
  </si>
  <si>
    <t>bgbrandt@charter.net</t>
  </si>
  <si>
    <t>yvonte.ery@state.sd.us</t>
  </si>
  <si>
    <t>chelseanielsen1@noemail.com</t>
  </si>
  <si>
    <t>raulcontreras1@noemail.com</t>
  </si>
  <si>
    <t>nancyjeseritz1@noemail.com</t>
  </si>
  <si>
    <t>2022-04-14</t>
  </si>
  <si>
    <t>houghtalingdeb@gmail.com</t>
  </si>
  <si>
    <t>2022-05-30</t>
  </si>
  <si>
    <t>murphymatt12@gmail.com</t>
  </si>
  <si>
    <t>lbruye.904998@guest.booking.com</t>
  </si>
  <si>
    <t>christopherjacobson1@noemail.com</t>
  </si>
  <si>
    <t>danielmuscha1@noemail.com</t>
  </si>
  <si>
    <t>mdunn.934362@guest.booking.com</t>
  </si>
  <si>
    <t>krystaltool1@noemail.com</t>
  </si>
  <si>
    <t>damick2397@gmail.com</t>
  </si>
  <si>
    <t>2022-04-15</t>
  </si>
  <si>
    <t>julie.erisman@navenergy.com</t>
  </si>
  <si>
    <t>darylvanderheiden1@noemail.com</t>
  </si>
  <si>
    <t>ryanjolly1@noemail.com</t>
  </si>
  <si>
    <t>mrsnobudy@hotmail.com</t>
  </si>
  <si>
    <t>sewmeup@gmail.com</t>
  </si>
  <si>
    <t>jettysteelman1@noemail.com</t>
  </si>
  <si>
    <t>evelynstiefel1@noemail.com</t>
  </si>
  <si>
    <t>pilllpusher@charter.net</t>
  </si>
  <si>
    <t>reneeschroeder1@noemail.com</t>
  </si>
  <si>
    <t>alexandernewcomb1@noemail.com</t>
  </si>
  <si>
    <t>mrhodes1954@hotmail.com</t>
  </si>
  <si>
    <t>butterflies732@gmail.com</t>
  </si>
  <si>
    <t>bryleecallender1@noemail.com</t>
  </si>
  <si>
    <t>msauvain7@gmail.com</t>
  </si>
  <si>
    <t>2022-09-04</t>
  </si>
  <si>
    <t>katherine.fernette@gmail.com</t>
  </si>
  <si>
    <t>devinkruup1@noemail.com</t>
  </si>
  <si>
    <t>jsalinas2540@gmail.com</t>
  </si>
  <si>
    <t>austin.luebne1996@gmail.com</t>
  </si>
  <si>
    <t>schaeferd1956@gmail.com</t>
  </si>
  <si>
    <t>matthewsouryachak1@noemail.com</t>
  </si>
  <si>
    <t>2022-08-04</t>
  </si>
  <si>
    <t>gregory.jagielo@clclodging.com</t>
  </si>
  <si>
    <t>2022-07-21</t>
  </si>
  <si>
    <t>jordan.thull@outlook.com</t>
  </si>
  <si>
    <t>2022-09-01</t>
  </si>
  <si>
    <t>2022-05-19</t>
  </si>
  <si>
    <t>2022-07-07</t>
  </si>
  <si>
    <t>2022-04-21</t>
  </si>
  <si>
    <t>2022-11-10</t>
  </si>
  <si>
    <t>2022-12-29</t>
  </si>
  <si>
    <t>2022-10-06</t>
  </si>
  <si>
    <t>stevenfriedrichsen1@noemail.com</t>
  </si>
  <si>
    <t>2022-07-28</t>
  </si>
  <si>
    <t>2022-12-08</t>
  </si>
  <si>
    <t>2022-12-01</t>
  </si>
  <si>
    <t>2022-09-22</t>
  </si>
  <si>
    <t>2022-08-11</t>
  </si>
  <si>
    <t>2022-11-24</t>
  </si>
  <si>
    <t>2022-06-30</t>
  </si>
  <si>
    <t>2022-10-13</t>
  </si>
  <si>
    <t>andreamm15@yahoo.com</t>
  </si>
  <si>
    <t>ronicajean@gmail.com</t>
  </si>
  <si>
    <t>2022-05-26</t>
  </si>
  <si>
    <t>2022-09-29</t>
  </si>
  <si>
    <t>2022-08-18</t>
  </si>
  <si>
    <t>2022-06-16</t>
  </si>
  <si>
    <t>anna.wyly@yahoo.com</t>
  </si>
  <si>
    <t>2022-05-18</t>
  </si>
  <si>
    <t>2022-11-03</t>
  </si>
  <si>
    <t>2022-10-20</t>
  </si>
  <si>
    <t>2022-05-12</t>
  </si>
  <si>
    <t>2022-09-08</t>
  </si>
  <si>
    <t>2022-09-15</t>
  </si>
  <si>
    <t>d0n0tchangethish0tel1t1nerary@qrt.bz</t>
  </si>
  <si>
    <t>2022-04-19</t>
  </si>
  <si>
    <t>jlewis.952376@guest.booking.com</t>
  </si>
  <si>
    <t>2022-12-22</t>
  </si>
  <si>
    <t>2022-06-09</t>
  </si>
  <si>
    <t>2022-08-25</t>
  </si>
  <si>
    <t>2022-10-27</t>
  </si>
  <si>
    <t>2022-07-14</t>
  </si>
  <si>
    <t>798hand@gmail.com</t>
  </si>
  <si>
    <t>kkfjbailey@msn.com</t>
  </si>
  <si>
    <t>2022-06-27</t>
  </si>
  <si>
    <t>pmckinney@precisionkiosktech.com</t>
  </si>
  <si>
    <t>americansports@goldenwest.net</t>
  </si>
  <si>
    <t>2022-05-02</t>
  </si>
  <si>
    <t>jeremiahpierre1@noemail.com</t>
  </si>
  <si>
    <t>garneson@heorotpower.com</t>
  </si>
  <si>
    <t>2022-10-28</t>
  </si>
  <si>
    <t>lcramlet@luckyduck.com</t>
  </si>
  <si>
    <t>mindy.roeder@hotmail.com</t>
  </si>
  <si>
    <t>bloodytilt2000@yahoo.com</t>
  </si>
  <si>
    <t>hailee.eisenbeisz@gmail.com</t>
  </si>
  <si>
    <t>jess@eracrc.com</t>
  </si>
  <si>
    <t>m.murphy@americafence.com</t>
  </si>
  <si>
    <t>kimberly_winchester@yahoo.com</t>
  </si>
  <si>
    <t>gordonwoods1@noemail.com</t>
  </si>
  <si>
    <t>martinhood1@noemail.com</t>
  </si>
  <si>
    <t>yumyum238@gmail.com</t>
  </si>
  <si>
    <t>ajbonderman@gmail.com</t>
  </si>
  <si>
    <t>louiseweis2021@gmail.com</t>
  </si>
  <si>
    <t>nylarosetornow1@noemail.com</t>
  </si>
  <si>
    <t>danielpfanstiel1@noemail.com</t>
  </si>
  <si>
    <t>arheckman@live.com</t>
  </si>
  <si>
    <t>kbaker@gwtc.net</t>
  </si>
  <si>
    <t>joshstumm1@noemail.com</t>
  </si>
  <si>
    <t>nicholasludwig1@noemail.com</t>
  </si>
  <si>
    <t>erikswanson1@noemail.com</t>
  </si>
  <si>
    <t>travisandshaneunderg1@noemail.com</t>
  </si>
  <si>
    <t>darylepetrzilka1@noemail.com</t>
  </si>
  <si>
    <t>lordskout@gmail.com</t>
  </si>
  <si>
    <t>davedawesrep@yahoo.com</t>
  </si>
  <si>
    <t>nuhl.398070@guest.booking.com</t>
  </si>
  <si>
    <t>ashley.kolbeck@gmail.com</t>
  </si>
  <si>
    <t>venti72@hotmail.com</t>
  </si>
  <si>
    <t>kariwynia@gmail.com</t>
  </si>
  <si>
    <t>jefferyrykhus1@noemail.com</t>
  </si>
  <si>
    <t>craigmiller1@noemail.com</t>
  </si>
  <si>
    <t>paulstevenson1@noemail.com</t>
  </si>
  <si>
    <t>scottdacas1@noemail.com</t>
  </si>
  <si>
    <t>ashleysherman1@noemail.com</t>
  </si>
  <si>
    <t>mikkiingridrunning1@noemail.com</t>
  </si>
  <si>
    <t>2022-05-05</t>
  </si>
  <si>
    <t>tramst.235073@guest.booking.com</t>
  </si>
  <si>
    <t>apple@hitsolutions.org</t>
  </si>
  <si>
    <t>du1@noemail.com</t>
  </si>
  <si>
    <t>courtcurry@gmail.com</t>
  </si>
  <si>
    <t>shari.hofer@gmail.com</t>
  </si>
  <si>
    <t>jastrow402@gmail.com</t>
  </si>
  <si>
    <t>littlephotos@charter.net</t>
  </si>
  <si>
    <t>daric.bossman@verizon.net</t>
  </si>
  <si>
    <t>2022-07-05</t>
  </si>
  <si>
    <t>justinhenion1@noemail.com</t>
  </si>
  <si>
    <t>user19204522@bakkt.com</t>
  </si>
  <si>
    <t>lzandtb@gmail.com</t>
  </si>
  <si>
    <t>zdavis.925156@guest.booking.com</t>
  </si>
  <si>
    <t>yvonnei@comcast.net</t>
  </si>
  <si>
    <t>jeffsolem76@gmail.com</t>
  </si>
  <si>
    <t>glenndagenais1@noemail.com</t>
  </si>
  <si>
    <t>andybarth1@noemail.com</t>
  </si>
  <si>
    <t>mfisch.729263@guest.booking.com</t>
  </si>
  <si>
    <t>2022-05-06</t>
  </si>
  <si>
    <t>bkoste.815249@guest.booking.com</t>
  </si>
  <si>
    <t>mattraneapaa1@noemail.com</t>
  </si>
  <si>
    <t>robertreiser1@noemail.com</t>
  </si>
  <si>
    <t>lisarickman@msn.com</t>
  </si>
  <si>
    <t>dkstelton@charter.net</t>
  </si>
  <si>
    <t>stephanymurphy1@noemail.com</t>
  </si>
  <si>
    <t>2022-04-27</t>
  </si>
  <si>
    <t>kortney_nicole@yahoo.com</t>
  </si>
  <si>
    <t>tamijean67@gmail.com</t>
  </si>
  <si>
    <t>austinjensen3@gmail.com</t>
  </si>
  <si>
    <t>kmikol.976071@guest.booking.com</t>
  </si>
  <si>
    <t>kbruns1980@gmail.com</t>
  </si>
  <si>
    <t>roberta.n.watts@gmail.com</t>
  </si>
  <si>
    <t>gina.stylist.beyer1@gmail.com</t>
  </si>
  <si>
    <t>2022-10-09</t>
  </si>
  <si>
    <t>kimberpilger@gmail.com</t>
  </si>
  <si>
    <t>lbergh.738371@guest.booking.com</t>
  </si>
  <si>
    <t>sburre.468454@guest.booking.com</t>
  </si>
  <si>
    <t>hotelbooking@id90t.com</t>
  </si>
  <si>
    <t>ronjulie@yahoo.com</t>
  </si>
  <si>
    <t>randypatnoe1@noemail.com</t>
  </si>
  <si>
    <t>joetewksbury1@noemail.com</t>
  </si>
  <si>
    <t>eric71ande@yahoo.com</t>
  </si>
  <si>
    <t>pambarbershop@abbnebraska.com</t>
  </si>
  <si>
    <t>wiksusan@gmail.com</t>
  </si>
  <si>
    <t>andrewbarth1@noemail.com</t>
  </si>
  <si>
    <t>rjwik@msn.com</t>
  </si>
  <si>
    <t>rnwik@gwtc.net</t>
  </si>
  <si>
    <t>sdwikco@yahoo.com</t>
  </si>
  <si>
    <t>vwiske.656585@guest.booking.com</t>
  </si>
  <si>
    <t>waynerabine1@noemail.com</t>
  </si>
  <si>
    <t>tylerlund1@noemail.com</t>
  </si>
  <si>
    <t>jcarso.906089@guest.booking.com</t>
  </si>
  <si>
    <t>chadschemehorn1@noemail.com</t>
  </si>
  <si>
    <t>nancylimbach1@noemail.com</t>
  </si>
  <si>
    <t>mjones.853529@guest.booking.com</t>
  </si>
  <si>
    <t>danielkahlstorf1@noemail.com</t>
  </si>
  <si>
    <t>hmg86@yahoo.com</t>
  </si>
  <si>
    <t>2022-05-27</t>
  </si>
  <si>
    <t>tommyleebakken1@noemail.com</t>
  </si>
  <si>
    <t>klimek3@midwestinfo.net</t>
  </si>
  <si>
    <t>2022-07-24</t>
  </si>
  <si>
    <t>fbrumm.974746@guest.booking.com</t>
  </si>
  <si>
    <t>terrijoannpeery1@noemail.com</t>
  </si>
  <si>
    <t>tara.marcsisak@gmail.com</t>
  </si>
  <si>
    <t>miguelangelplacencia1@noemail.com</t>
  </si>
  <si>
    <t>dporter@costelloporter.com</t>
  </si>
  <si>
    <t>paulmeinert1@noemail.com</t>
  </si>
  <si>
    <t>danweber1@noemail.com</t>
  </si>
  <si>
    <t>melissaanneradley1@noemail.com</t>
  </si>
  <si>
    <t>tcox.913522@guest.booking.com</t>
  </si>
  <si>
    <t>amanwa.498642@guest.booking.com</t>
  </si>
  <si>
    <t>bobwillenburg1@noemail.com</t>
  </si>
  <si>
    <t>pmello.721847@guest.booking.com</t>
  </si>
  <si>
    <t>stephanieleader1@noemail.com</t>
  </si>
  <si>
    <t>cjones.514272@guest.booking.com</t>
  </si>
  <si>
    <t>2022-05-03</t>
  </si>
  <si>
    <t>kapertater5198@gmail.com</t>
  </si>
  <si>
    <t>justin.fischer83@yahoo.com</t>
  </si>
  <si>
    <t>clifford232@aol.com</t>
  </si>
  <si>
    <t>jjveurink@hotmail.com</t>
  </si>
  <si>
    <t>branic20@midstatesd.net</t>
  </si>
  <si>
    <t>kaduffy0614@gmail.com</t>
  </si>
  <si>
    <t>ericmjs@msn.com</t>
  </si>
  <si>
    <t>mike@wilhelmi.mn</t>
  </si>
  <si>
    <t>brookebarsell1@noemail.com</t>
  </si>
  <si>
    <t>tappleguyk@msn.com</t>
  </si>
  <si>
    <t>maryernesti1@noemail.com</t>
  </si>
  <si>
    <t>arlintoddzoellner1@noemail.com</t>
  </si>
  <si>
    <t>tbiber.473759@guest.booking.com</t>
  </si>
  <si>
    <t>2022-10-10</t>
  </si>
  <si>
    <t>markpetersendpt@gmail.com</t>
  </si>
  <si>
    <t>rafaelrosario1@noemail.com</t>
  </si>
  <si>
    <t>mbursi.691740@guest.booking.com</t>
  </si>
  <si>
    <t>trheadrick@msn.com</t>
  </si>
  <si>
    <t>dsumme.896620@guest.booking.com</t>
  </si>
  <si>
    <t>puckettlori01@gmail.com</t>
  </si>
  <si>
    <t>mondo910@yahoo.com</t>
  </si>
  <si>
    <t>lisaengbrecht@yahoo.com</t>
  </si>
  <si>
    <t>stevesettje1@noemail.com</t>
  </si>
  <si>
    <t>k_graesser@yahoo.com</t>
  </si>
  <si>
    <t>deniseduffy1@noemail.com</t>
  </si>
  <si>
    <t>2022-05-04</t>
  </si>
  <si>
    <t>lwargo.241740@guest.booking.com</t>
  </si>
  <si>
    <t>samanthainked@gmail.com</t>
  </si>
  <si>
    <t>2022-05-09</t>
  </si>
  <si>
    <t>kbeacom20@gmail.com</t>
  </si>
  <si>
    <t>timothyrobertrhode1@noemail.com</t>
  </si>
  <si>
    <t>nikkihardin88@gmail.com</t>
  </si>
  <si>
    <t>jchriste@cord.edu</t>
  </si>
  <si>
    <t>skje7715@gmail.com</t>
  </si>
  <si>
    <t>qinxu1@noemail.com</t>
  </si>
  <si>
    <t>yanyanchen1@noemail.com</t>
  </si>
  <si>
    <t>codyschoenrock1@noemail.com</t>
  </si>
  <si>
    <t>2022-09-24</t>
  </si>
  <si>
    <t>marrisaleander1@noemail.com</t>
  </si>
  <si>
    <t>katie.bortnem@gmail.com</t>
  </si>
  <si>
    <t>russeldavis1@noemail.com</t>
  </si>
  <si>
    <t>2022-09-25</t>
  </si>
  <si>
    <t>mitchellschoenrock1@noemail.com</t>
  </si>
  <si>
    <t>claeys@claeysbrothers.com</t>
  </si>
  <si>
    <t>plattesm@midstatesd.net</t>
  </si>
  <si>
    <t>prestonheflin1@noemail.com</t>
  </si>
  <si>
    <t>swansonaustin15@gmail.com</t>
  </si>
  <si>
    <t>antonioferrer1@noemail.com</t>
  </si>
  <si>
    <t>gaileilers45@gmail.com</t>
  </si>
  <si>
    <t>donnaringling1@noemail.com</t>
  </si>
  <si>
    <t>dankahlstorf1@noemail.com</t>
  </si>
  <si>
    <t>herkejoffer1@noemail.com</t>
  </si>
  <si>
    <t>timreha1@noemail.com</t>
  </si>
  <si>
    <t>schaunaman_troy@yahoo.com</t>
  </si>
  <si>
    <t>vietor24@gmail.com</t>
  </si>
  <si>
    <t>josephklein1@noemail.com</t>
  </si>
  <si>
    <t>randers80601@yahoo.com</t>
  </si>
  <si>
    <t>rgilbe.559007@guest.booking.com</t>
  </si>
  <si>
    <t>2022-06-28</t>
  </si>
  <si>
    <t>andrew.tejral@outlook.com</t>
  </si>
  <si>
    <t>doug.schauer@k12.sd.us</t>
  </si>
  <si>
    <t>jojkt@hotmail.com</t>
  </si>
  <si>
    <t>2022-05-10</t>
  </si>
  <si>
    <t>cynthiawithrow1@noemail.com</t>
  </si>
  <si>
    <t>elizabeth@verveeventsolutions.com</t>
  </si>
  <si>
    <t>petevrooman@yahoo.com</t>
  </si>
  <si>
    <t>nightrain06@yahoo.com</t>
  </si>
  <si>
    <t>gbtolliver@midco.net</t>
  </si>
  <si>
    <t>nread.480140@guest.booking.com</t>
  </si>
  <si>
    <t>kenthamilton1@noemail.com</t>
  </si>
  <si>
    <t>brittneymeans@gmail.com</t>
  </si>
  <si>
    <t>little124u2@yahoo.com</t>
  </si>
  <si>
    <t>jeremy_schroeder@bismarckschools.org</t>
  </si>
  <si>
    <t>christinaweeks1@noemail.com</t>
  </si>
  <si>
    <t>2022-05-13</t>
  </si>
  <si>
    <t>smallpenn15@hotmail.com</t>
  </si>
  <si>
    <t>bathma.804870@guest.booking.com</t>
  </si>
  <si>
    <t>2022-08-07</t>
  </si>
  <si>
    <t>pennyn1959@hotmail.com</t>
  </si>
  <si>
    <t>beth6244312@yahoo.com</t>
  </si>
  <si>
    <t>gerick.598507@guest.booking.com</t>
  </si>
  <si>
    <t>gregorybaxtorfitzwil1@noemail.com</t>
  </si>
  <si>
    <t>carla.mace@gmail.com</t>
  </si>
  <si>
    <t>katioliver8@gmail.com</t>
  </si>
  <si>
    <t>somisfamily@gmail.com</t>
  </si>
  <si>
    <t>2022-06-22</t>
  </si>
  <si>
    <t>chrislarson1@noemail.com</t>
  </si>
  <si>
    <t>katiekeegan17@gmail.com</t>
  </si>
  <si>
    <t>bpatterson@railroad-consultants.com</t>
  </si>
  <si>
    <t>charlesoleson1@noemail.com</t>
  </si>
  <si>
    <t>mboedi.184071@guest.booking.com</t>
  </si>
  <si>
    <t>lori.a.schrader@gmail.com</t>
  </si>
  <si>
    <t>jdrury.990578@guest.booking.com</t>
  </si>
  <si>
    <t>greenways@mitchelltelecom.net</t>
  </si>
  <si>
    <t>2022-08-06</t>
  </si>
  <si>
    <t>edrzew.966523@guest.booking.com</t>
  </si>
  <si>
    <t>welsne@gmail.com</t>
  </si>
  <si>
    <t>bob.sue.lommel@gmail.com</t>
  </si>
  <si>
    <t>dave.tolliver@k12.sd.us</t>
  </si>
  <si>
    <t>kim.frazee@hotmail.com</t>
  </si>
  <si>
    <t>mk196363@aol.com</t>
  </si>
  <si>
    <t>2022-06-01</t>
  </si>
  <si>
    <t>2022-05-11</t>
  </si>
  <si>
    <t>ajsybouts@hotmail.com</t>
  </si>
  <si>
    <t>suter008@gmail.com</t>
  </si>
  <si>
    <t>gpoffe.563154@guest.booking.com</t>
  </si>
  <si>
    <t>yourcustomvision@yahoo.com</t>
  </si>
  <si>
    <t>adam_bollman@yahoo.com</t>
  </si>
  <si>
    <t>josephsteventewksbur1@noemail.com</t>
  </si>
  <si>
    <t>austinroywhiteroadco1@noemail.com</t>
  </si>
  <si>
    <t>sandrawilliams1@noemail.com</t>
  </si>
  <si>
    <t>thumme.195523@guest.booking.com</t>
  </si>
  <si>
    <t>mroger.736158@guest.booking.com</t>
  </si>
  <si>
    <t>andrewmbarth@gmail.com</t>
  </si>
  <si>
    <t>patrickgilbertson605@gmail.com</t>
  </si>
  <si>
    <t>vonsmithrailroadcons1@noemail.com</t>
  </si>
  <si>
    <t>billypattersonrailro1@noemail.com</t>
  </si>
  <si>
    <t>maryberg1@noemail.com</t>
  </si>
  <si>
    <t>2022-10-30</t>
  </si>
  <si>
    <t>littauamy@gmail.com</t>
  </si>
  <si>
    <t>jgraha.309697@guest.booking.com</t>
  </si>
  <si>
    <t>kgertsema@yahoo.com</t>
  </si>
  <si>
    <t>ecosio.601176@guest.booking.com</t>
  </si>
  <si>
    <t>annandtrent@gmail.com</t>
  </si>
  <si>
    <t>williammack1@noemail.com</t>
  </si>
  <si>
    <t>mzarcadoolas@gmail.com</t>
  </si>
  <si>
    <t>shinz@isd2190.org</t>
  </si>
  <si>
    <t>2022-06-06</t>
  </si>
  <si>
    <t>dr_ivey@hotmail.com</t>
  </si>
  <si>
    <t>ma4life4444@gmail.com</t>
  </si>
  <si>
    <t>mmcross60@gmail.com</t>
  </si>
  <si>
    <t>lisa.tolliver@k12.sd.us</t>
  </si>
  <si>
    <t>hannatyndal@gmail.com</t>
  </si>
  <si>
    <t>paul.vig@rrvw.net</t>
  </si>
  <si>
    <t>cdlouhy@fmne.com</t>
  </si>
  <si>
    <t>conda.devries@cru.org</t>
  </si>
  <si>
    <t>2022-07-08</t>
  </si>
  <si>
    <t>pmvarnagis@gmail.com</t>
  </si>
  <si>
    <t>2022-09-13</t>
  </si>
  <si>
    <t>mackfamily19@gmail.com</t>
  </si>
  <si>
    <t>jjasp23@gmail.com</t>
  </si>
  <si>
    <t>amkuhs13@gmail.com</t>
  </si>
  <si>
    <t>ahmadyara1@noemail.com</t>
  </si>
  <si>
    <t>davisjennifer94@gmail.com</t>
  </si>
  <si>
    <t>ross.johnson2482@gmail.com</t>
  </si>
  <si>
    <t>evan3swany@gmail.com</t>
  </si>
  <si>
    <t>dspoulson@gmail.com</t>
  </si>
  <si>
    <t>stasse.609126@guest.booking.com</t>
  </si>
  <si>
    <t>jvalen.938382@guest.booking.com</t>
  </si>
  <si>
    <t>fosterfam1999@gmail.com</t>
  </si>
  <si>
    <t>levi.hurst27@gmail.com</t>
  </si>
  <si>
    <t>andyknewton@gmail.com</t>
  </si>
  <si>
    <t>scottdeprez1@noemail.com</t>
  </si>
  <si>
    <t>jenniferholdworth1@noemail.com</t>
  </si>
  <si>
    <t>cgess402@hotmail.com</t>
  </si>
  <si>
    <t>hoferandie@gmail.com</t>
  </si>
  <si>
    <t>ksween.401329@guest.booking.com</t>
  </si>
  <si>
    <t>lisa.felts@gmail.com</t>
  </si>
  <si>
    <t>rogerosland1@noemail.com</t>
  </si>
  <si>
    <t>paulabyers1@noemail.com</t>
  </si>
  <si>
    <t>jason.thyen96@gmail.com</t>
  </si>
  <si>
    <t>szoss.381163@guest.booking.com</t>
  </si>
  <si>
    <t>monagatz1@aol.com</t>
  </si>
  <si>
    <t>steventolrud1@noemail.com</t>
  </si>
  <si>
    <t>alemke.111604@guest.booking.com</t>
  </si>
  <si>
    <t>2022-06-25</t>
  </si>
  <si>
    <t>julia.dolinina@gmail.com</t>
  </si>
  <si>
    <t>2022-07-01</t>
  </si>
  <si>
    <t>dalvar.406555@guest.booking.com</t>
  </si>
  <si>
    <t>pauldatkins@hotmail.com</t>
  </si>
  <si>
    <t>adamlpederson@gmail.com</t>
  </si>
  <si>
    <t>2022-08-28</t>
  </si>
  <si>
    <t>evapohl1@noemail.com</t>
  </si>
  <si>
    <t>pmccla.338149@guest.booking.com</t>
  </si>
  <si>
    <t>shaniamackmyuki@gmail.com</t>
  </si>
  <si>
    <t>chuckrose25@gmail.com</t>
  </si>
  <si>
    <t>stiefel.mike@gmail.com</t>
  </si>
  <si>
    <t>kevingault1@noemail.com</t>
  </si>
  <si>
    <t>dturle.194910@guest.booking.com</t>
  </si>
  <si>
    <t>doyleemmel1@noemail.com</t>
  </si>
  <si>
    <t>kim@haddonheatingcooling.com</t>
  </si>
  <si>
    <t>brannonvalliant1@noemail.com</t>
  </si>
  <si>
    <t>culler.856747@guest.booking.com</t>
  </si>
  <si>
    <t>2022-06-03</t>
  </si>
  <si>
    <t>tayshaelizabeth1991@gmail.com</t>
  </si>
  <si>
    <t>mandersen@rmhcsodak.org</t>
  </si>
  <si>
    <t>adrianfishburn1@noemail.com</t>
  </si>
  <si>
    <t>cswelberg@hotmail.com</t>
  </si>
  <si>
    <t>sandy@itpros.net</t>
  </si>
  <si>
    <t>mbell@usadebusk.com</t>
  </si>
  <si>
    <t>bbiesiada@horwitzinc.com</t>
  </si>
  <si>
    <t>2022-06-07</t>
  </si>
  <si>
    <t>aliciarosales1@noemail.com</t>
  </si>
  <si>
    <t>kaylalux1@noemail.com</t>
  </si>
  <si>
    <t>tinanelson93@hotmail.com</t>
  </si>
  <si>
    <t>bmnoltimier@gmail.com</t>
  </si>
  <si>
    <t>bradsmrcina1@noemail.com</t>
  </si>
  <si>
    <t>donovanrose1@noemail.com</t>
  </si>
  <si>
    <t>roskam1@premieronline.net</t>
  </si>
  <si>
    <t>lalalabeck@gmail.com</t>
  </si>
  <si>
    <t>tjohns.661754@guest.booking.com</t>
  </si>
  <si>
    <t>kdbriz@aol.com</t>
  </si>
  <si>
    <t>djs4356@yahoo.com</t>
  </si>
  <si>
    <t>justindgoodwin@gmail.com</t>
  </si>
  <si>
    <t>ccboushek@yahoo.com</t>
  </si>
  <si>
    <t>terry.milham@tnnl.gov</t>
  </si>
  <si>
    <t>melissa.romsa@yahoo.com</t>
  </si>
  <si>
    <t>sveurink@midstatesd.net</t>
  </si>
  <si>
    <t>johnfalconberry1@noemail.com</t>
  </si>
  <si>
    <t>birish.665012@guest.booking.com</t>
  </si>
  <si>
    <t>jvande.215007@guest.booking.com</t>
  </si>
  <si>
    <t>kbrula.349062@guest.booking.com</t>
  </si>
  <si>
    <t>2022-07-06</t>
  </si>
  <si>
    <t>stosun.456532@guest.booking.com</t>
  </si>
  <si>
    <t>2000ssmike@gmail.com</t>
  </si>
  <si>
    <t>aaronkuhs1@noemail.com</t>
  </si>
  <si>
    <t>kolbiannsmom@gmail.com</t>
  </si>
  <si>
    <t>anitaleighs@gmail.com</t>
  </si>
  <si>
    <t>amortensonbhsc@gwtc.net</t>
  </si>
  <si>
    <t>sharonhammaker1@noemail.com</t>
  </si>
  <si>
    <t>lmendo.450328@guest.booking.com</t>
  </si>
  <si>
    <t>cablejunior@hotmail.com</t>
  </si>
  <si>
    <t>8yywrk9nak@m.expediapartnercentral.com</t>
  </si>
  <si>
    <t>eastonhunt1@noemail.com</t>
  </si>
  <si>
    <t>kevinsouza1@noemail.com</t>
  </si>
  <si>
    <t>katieiwanka1@noemail.com</t>
  </si>
  <si>
    <t>lynchroofing@iowatelecom.net</t>
  </si>
  <si>
    <t>2022-05-24</t>
  </si>
  <si>
    <t>ilr_99@yahoo.com</t>
  </si>
  <si>
    <t>lucy.a@goldenwest.net</t>
  </si>
  <si>
    <t>kcfx2pk71p@m.expediapartnercentral.com</t>
  </si>
  <si>
    <t>2022-10-08</t>
  </si>
  <si>
    <t>grebo1@longlines.com</t>
  </si>
  <si>
    <t>4swaewb56o@m.expediapartnercentral.com</t>
  </si>
  <si>
    <t>2022-06-24</t>
  </si>
  <si>
    <t>ilircami1@noemail.com</t>
  </si>
  <si>
    <t>iveymommy@yahoo.com</t>
  </si>
  <si>
    <t>dq1hgb0gdy@m.expediapartnercentral.com</t>
  </si>
  <si>
    <t>kalsey.smith@k12.sd.us</t>
  </si>
  <si>
    <t>cpyfferoen@aol.com</t>
  </si>
  <si>
    <t>curtis@valleytel.net</t>
  </si>
  <si>
    <t>hlschmitt.sconnie@gmail.com</t>
  </si>
  <si>
    <t>g859obc0eq@m.expediapartnercentral.com</t>
  </si>
  <si>
    <t>keaton.storm0318@gmail.com</t>
  </si>
  <si>
    <t>ed.juliebarr@yahoo.com</t>
  </si>
  <si>
    <t>shane@heavensbestlicoln.com</t>
  </si>
  <si>
    <t>u1fp0fidlb@m.expediapartnercentral.com</t>
  </si>
  <si>
    <t>cannelson@midstatesd.net</t>
  </si>
  <si>
    <t>50qqm69wa9@m.expediapartnercentral.com</t>
  </si>
  <si>
    <t>rstein.631798@guest.booking.com</t>
  </si>
  <si>
    <t>sammyberg13@gmail.com</t>
  </si>
  <si>
    <t>ekhuntley16@gmail.com</t>
  </si>
  <si>
    <t>seanmcdannel1@noemail.com</t>
  </si>
  <si>
    <t>2022-05-25</t>
  </si>
  <si>
    <t>aelder.931536@guest.booking.com</t>
  </si>
  <si>
    <t>1nkmi9dp13@m.expediapartnercentral.com</t>
  </si>
  <si>
    <t>kar77lee@yahoo.com</t>
  </si>
  <si>
    <t>abarry.218028@guest.booking.com</t>
  </si>
  <si>
    <t>jkilli.924752@guest.booking.com</t>
  </si>
  <si>
    <t>mkaczm.137939@guest.booking.com</t>
  </si>
  <si>
    <t>benjaminjahn1@noemail.com</t>
  </si>
  <si>
    <t>justinsegler1@noemail.com</t>
  </si>
  <si>
    <t>kaurythiebaut1@noemail.com</t>
  </si>
  <si>
    <t>d8xyr1esmp@m.expediapartnercentral.com</t>
  </si>
  <si>
    <t>madams.490317@guest.booking.com</t>
  </si>
  <si>
    <t>brendaplese1@noemail.com</t>
  </si>
  <si>
    <t>edwinruther1@noemail.com</t>
  </si>
  <si>
    <t>melissa-_1978@hotmail.com</t>
  </si>
  <si>
    <t>dion8tride@yahoo.com</t>
  </si>
  <si>
    <t>8lobiqbv4u@m.expediapartnercentral.com</t>
  </si>
  <si>
    <t>dluo.990783@guest.booking.com</t>
  </si>
  <si>
    <t>baasjudy@gmail.com</t>
  </si>
  <si>
    <t>tjfuller@itctel.com</t>
  </si>
  <si>
    <t>karllemckinney1@noemail.com</t>
  </si>
  <si>
    <t>donnampadden1@noemail.com</t>
  </si>
  <si>
    <t>dlhertel3@gmail.com</t>
  </si>
  <si>
    <t>ywvcwvypv6@m.expediapartnercentral.com</t>
  </si>
  <si>
    <t>wwl7y87vtr@m.expediapartnercentral.com</t>
  </si>
  <si>
    <t>uqqubwnta2@m.expediapartnercentral.com</t>
  </si>
  <si>
    <t>ddcampbell08@gmail.com</t>
  </si>
  <si>
    <t>lizadawn66@gmail.com</t>
  </si>
  <si>
    <t>melvinmenjivar1@noemail.com</t>
  </si>
  <si>
    <t>8yj1u24ki4@m.expediapartnercentral.com</t>
  </si>
  <si>
    <t>i1ci6gfc83@m.expediapartnercentral.com</t>
  </si>
  <si>
    <t>spharris@longlines.com</t>
  </si>
  <si>
    <t>ncksyrs5h0@m.expediapartnercentral.com</t>
  </si>
  <si>
    <t>2022-06-29</t>
  </si>
  <si>
    <t>esande.157234@guest.booking.com</t>
  </si>
  <si>
    <t>julie.wolf@k12.sd.us</t>
  </si>
  <si>
    <t>brad.oakley@chrsolutions.com</t>
  </si>
  <si>
    <t>palskitchen@gmail.com</t>
  </si>
  <si>
    <t>k65dl0cjpe@m.expediapartnercentral.com</t>
  </si>
  <si>
    <t>brandonlooper1@noemail.com</t>
  </si>
  <si>
    <t>minnis.151192@guest.booking.com</t>
  </si>
  <si>
    <t>calethompson1@noemail.com</t>
  </si>
  <si>
    <t>connorkuiper@outlook.com</t>
  </si>
  <si>
    <t>smichmil@gmail.com</t>
  </si>
  <si>
    <t>danhanson1@noemail.com</t>
  </si>
  <si>
    <t>jordash9818@gmail.com</t>
  </si>
  <si>
    <t>jamebuhrow1@noemail.com</t>
  </si>
  <si>
    <t>alicia.foster@lorenzbus.com</t>
  </si>
  <si>
    <t>jglynn.188682@guest.booking.com</t>
  </si>
  <si>
    <t>2022-06-23</t>
  </si>
  <si>
    <t>rvanva.304548@guest.booking.com</t>
  </si>
  <si>
    <t>lorirachel6@yahoo.com</t>
  </si>
  <si>
    <t>troyharder@icloud.com</t>
  </si>
  <si>
    <t>tillie_hope@yahoo.com</t>
  </si>
  <si>
    <t>joseangelvargas1@noemail.com</t>
  </si>
  <si>
    <t>amyboylyn1@noemail.com</t>
  </si>
  <si>
    <t>gabriellahernandez1@noemail.com</t>
  </si>
  <si>
    <t>christikuiper1@noemail.com</t>
  </si>
  <si>
    <t>jarodbucklyjedlicki1@noemail.com</t>
  </si>
  <si>
    <t>jason@jjathletics.com</t>
  </si>
  <si>
    <t>jennyh80@hotmail.com</t>
  </si>
  <si>
    <t>aodremy@gmail.com</t>
  </si>
  <si>
    <t>chris.belitz@gmail.com</t>
  </si>
  <si>
    <t>2022-05-31</t>
  </si>
  <si>
    <t>jasonthompson1@noemail.com</t>
  </si>
  <si>
    <t>kat120579@hotmail.com</t>
  </si>
  <si>
    <t>dale9003@gmail.com</t>
  </si>
  <si>
    <t>michellehez06@gmail.com</t>
  </si>
  <si>
    <t>9cr1ti40il@m.expediapartnercentral.com</t>
  </si>
  <si>
    <t>coreyeaglestaff1@noemail.com</t>
  </si>
  <si>
    <t>timothypeet1@noemail.com</t>
  </si>
  <si>
    <t>mfrant.203012@guest.booking.com</t>
  </si>
  <si>
    <t>laurahemenway1@noemail.com</t>
  </si>
  <si>
    <t>brookecebulla@gmail.com</t>
  </si>
  <si>
    <t>f2cudweh2h@m.expediapartnercentral.com</t>
  </si>
  <si>
    <t>jonathantreischel1@noemail.com</t>
  </si>
  <si>
    <t>bnotes.879917@guest.booking.com</t>
  </si>
  <si>
    <t>8y2ypubarf@m.expediapartnercentral.com</t>
  </si>
  <si>
    <t>lscholt@hotmail.com</t>
  </si>
  <si>
    <t>dnokes.380663@guest.booking.com</t>
  </si>
  <si>
    <t>ndegid.654545@guest.booking.com</t>
  </si>
  <si>
    <t>mwaugh.535196@guest.booking.com</t>
  </si>
  <si>
    <t>sheryltaylorclc1@noemail.com</t>
  </si>
  <si>
    <t>5yn6xnbtu4@m.expediapartnercentral.com</t>
  </si>
  <si>
    <t>oblg1ks2yf@m.expediapartnercentral.com</t>
  </si>
  <si>
    <t>sttowle@icloud.com</t>
  </si>
  <si>
    <t>larquanwashingtonclc1@noemail.com</t>
  </si>
  <si>
    <t>os5sk6c8t0@m.expediapartnercentral.com</t>
  </si>
  <si>
    <t>sapphirerossicoe1@noemail.com</t>
  </si>
  <si>
    <t>trevonfordclc1@noemail.com</t>
  </si>
  <si>
    <t>annesederstrom12@gmail.com</t>
  </si>
  <si>
    <t>g2eese76d4@m.expediapartnercentral.com</t>
  </si>
  <si>
    <t>th00msjxbr@m.expediapartnercentral.com</t>
  </si>
  <si>
    <t>w1fs5b0306@m.expediapartnercentral.com</t>
  </si>
  <si>
    <t>jamiegerber1@noemail.com</t>
  </si>
  <si>
    <t>johnketring1@noemail.com</t>
  </si>
  <si>
    <t>anthonyross1@noemail.com</t>
  </si>
  <si>
    <t>michael.schmidt92@gmail.com</t>
  </si>
  <si>
    <t>abarag.783203@guest.booking.com</t>
  </si>
  <si>
    <t>gailbeyer1@noemail.com</t>
  </si>
  <si>
    <t>trevorshiell1@noemail.com</t>
  </si>
  <si>
    <t>jamesbedard1@noemail.com</t>
  </si>
  <si>
    <t>ic7s9gdwhb@m.expediapartnercentral.com</t>
  </si>
  <si>
    <t>jvork.505858@guest.booking.com</t>
  </si>
  <si>
    <t>justinbedard1@noemail.com</t>
  </si>
  <si>
    <t>8ifm69fc1g@m.expediapartnercentral.com</t>
  </si>
  <si>
    <t>em1ln41sf1@m.expediapartnercentral.com</t>
  </si>
  <si>
    <t>austinclc1@noemail.com</t>
  </si>
  <si>
    <t>lowens.719051@guest.booking.com</t>
  </si>
  <si>
    <t>autumndiekamp1@noemail.com</t>
  </si>
  <si>
    <t>7bgby0ghm4@m.expediapartnercentral.com</t>
  </si>
  <si>
    <t>lakotanative97@gmail.com</t>
  </si>
  <si>
    <t>troos60@outlook.com</t>
  </si>
  <si>
    <t>cgbennett2268@gmail.com</t>
  </si>
  <si>
    <t>08mgjif7le@m.expediapartnercentral.com</t>
  </si>
  <si>
    <t>9tbeeiprg2@m.expediapartnercentral.com</t>
  </si>
  <si>
    <t>quicksilver525@gmail.com</t>
  </si>
  <si>
    <t>jpella.177357@guest.booking.com</t>
  </si>
  <si>
    <t>omatis.428586@guest.booking.com</t>
  </si>
  <si>
    <t>barbera.moore83@gmail.com</t>
  </si>
  <si>
    <t>brianherrera1@noemail.com</t>
  </si>
  <si>
    <t>jhendr.999944@guest.booking.com</t>
  </si>
  <si>
    <t>2022-06-17</t>
  </si>
  <si>
    <t>a83bawt170@m.expediapartnercentral.com</t>
  </si>
  <si>
    <t>kx64namf87@m.expediapartnercentral.com</t>
  </si>
  <si>
    <t>qlurhju5l3@m.expediapartnercentral.com</t>
  </si>
  <si>
    <t>isammorgan1@noemail.com</t>
  </si>
  <si>
    <t>rgilli.440949@guest.booking.com</t>
  </si>
  <si>
    <t>y7sgfyle4p@m.expediapartnercentral.com</t>
  </si>
  <si>
    <t>janice@brandenburgerconsulting.com</t>
  </si>
  <si>
    <t>xthbeld3rf@m.expediapartnercentral.com</t>
  </si>
  <si>
    <t>davidreisch1@noemail.com</t>
  </si>
  <si>
    <t>kole_mastel_5@hotmail.com</t>
  </si>
  <si>
    <t>teresatiedtke@gmail.com</t>
  </si>
  <si>
    <t>crmoprn2gc@m.expediapartnercentral.com</t>
  </si>
  <si>
    <t>nursefish@charter.net</t>
  </si>
  <si>
    <t>2022-07-11</t>
  </si>
  <si>
    <t>cdreinhart@comcast.net</t>
  </si>
  <si>
    <t>srudni.616489@guest.booking.com</t>
  </si>
  <si>
    <t>shandragoosen1@noemail.com</t>
  </si>
  <si>
    <t>1uqafmu1r2@m.expediapartnercentral.com</t>
  </si>
  <si>
    <t>morenacativo1@noemail.com</t>
  </si>
  <si>
    <t>bjreu2r7tm@m.expediapartnercentral.com</t>
  </si>
  <si>
    <t>qico0rhdmw@m.expediapartnercentral.com</t>
  </si>
  <si>
    <t>lauradray1@noemail.com</t>
  </si>
  <si>
    <t>gomeints@hotmail.com</t>
  </si>
  <si>
    <t>jsheehan@nwaea.org</t>
  </si>
  <si>
    <t>nkpooch@hotmail.com</t>
  </si>
  <si>
    <t>kathywillis1@noemail.com</t>
  </si>
  <si>
    <t>donaldhanser1@noemail.com</t>
  </si>
  <si>
    <t>gklees.651278@guest.booking.com</t>
  </si>
  <si>
    <t>lcox73@msn.com</t>
  </si>
  <si>
    <t>hannahwillis1@noemail.com</t>
  </si>
  <si>
    <t>veronicarudolphi1@noemail.com</t>
  </si>
  <si>
    <t>smcnal.989061@guest.booking.com</t>
  </si>
  <si>
    <t>bziebell76@gmail.com</t>
  </si>
  <si>
    <t>weedfree@nvc.net</t>
  </si>
  <si>
    <t>scottdwood@hotmail.com</t>
  </si>
  <si>
    <t>kristen.hurst@avera.org</t>
  </si>
  <si>
    <t>roberthorkheimer1@noemail.com</t>
  </si>
  <si>
    <t>tjohns.401267@guest.booking.com</t>
  </si>
  <si>
    <t>3lfierros@gmail.com</t>
  </si>
  <si>
    <t>kevinmortimer1@noemail.com</t>
  </si>
  <si>
    <t>baldies377@gmail.com</t>
  </si>
  <si>
    <t>paultesterman1@noemail.com</t>
  </si>
  <si>
    <t>lemertd@abe.midco.net</t>
  </si>
  <si>
    <t>35fblv2jo4@m.expediapartnercentral.com</t>
  </si>
  <si>
    <t>qdycbk8eav@m.expediapartnercentral.com</t>
  </si>
  <si>
    <t>karenlemay1@noemail.com</t>
  </si>
  <si>
    <t>kpichl.877285@guest.booking.com</t>
  </si>
  <si>
    <t>8rirf81qby@m.expediapartnercentral.com</t>
  </si>
  <si>
    <t>f32vnqkbuu@m.expediapartnercentral.com</t>
  </si>
  <si>
    <t>atyson.371669@guest.booking.com</t>
  </si>
  <si>
    <t>dalebradwaya1@noemail.com</t>
  </si>
  <si>
    <t>tjohns.317543@guest.booking.com</t>
  </si>
  <si>
    <t>breellebreaw1@noemail.com</t>
  </si>
  <si>
    <t>lc1ke5nm49@m.expediapartnercentral.com</t>
  </si>
  <si>
    <t>vcampb.159676@guest.booking.com</t>
  </si>
  <si>
    <t>dustingordon1@noemail.com</t>
  </si>
  <si>
    <t>codyweaver1@noemail.com</t>
  </si>
  <si>
    <t>2022-06-08</t>
  </si>
  <si>
    <t>anthonyjosephries1@noemail.com</t>
  </si>
  <si>
    <t>mschee.702058@guest.booking.com</t>
  </si>
  <si>
    <t>katylynncox@gmail.com</t>
  </si>
  <si>
    <t>pharri.559117@guest.booking.com</t>
  </si>
  <si>
    <t>mhofma.213994@guest.booking.com</t>
  </si>
  <si>
    <t>wadethurber@yahoo.com</t>
  </si>
  <si>
    <t>katiehofer1@noemail.com</t>
  </si>
  <si>
    <t>schoen1992@outlook.com</t>
  </si>
  <si>
    <t>bltiger9@hotmail.com</t>
  </si>
  <si>
    <t>lizeggers1@noemail.com</t>
  </si>
  <si>
    <t>2022-07-09</t>
  </si>
  <si>
    <t>chris.carlsen@deckersports.com</t>
  </si>
  <si>
    <t>lizwortmann1@noemail.com</t>
  </si>
  <si>
    <t>davenzette@msn.com</t>
  </si>
  <si>
    <t>cw5t1sjjo0@m.expediapartnercentral.com</t>
  </si>
  <si>
    <t>randikindle1@noemail.com</t>
  </si>
  <si>
    <t>b0uofo3h24@m.expediapartnercentral.com</t>
  </si>
  <si>
    <t>deborahhubley1@noemail.com</t>
  </si>
  <si>
    <t>karliemcnally1@noemail.com</t>
  </si>
  <si>
    <t>nxovl58kqm@m.expediapartnercentral.com</t>
  </si>
  <si>
    <t>sammilone2@gmail.com</t>
  </si>
  <si>
    <t>whitneydevine1@noemail.com</t>
  </si>
  <si>
    <t>josephdanner1@noemail.com</t>
  </si>
  <si>
    <t>i4ub5fbh3x@m.expediapartnercentral.com</t>
  </si>
  <si>
    <t>slafac.215233@guest.booking.com</t>
  </si>
  <si>
    <t>caseysloan1@noemail.com</t>
  </si>
  <si>
    <t>margeretdecker1@noemail.com</t>
  </si>
  <si>
    <t>jenjohanneson1@noemail.com</t>
  </si>
  <si>
    <t>ipdm5mrhx2@m.expediapartnercentral.com</t>
  </si>
  <si>
    <t>brianjarveis1@noemail.com</t>
  </si>
  <si>
    <t>robertrussell1@noemail.com</t>
  </si>
  <si>
    <t>ga26lk1lju@m.expediapartnercentral.com</t>
  </si>
  <si>
    <t>qvo0o9tqki@m.expediapartnercentral.com</t>
  </si>
  <si>
    <t>joemitchel1@noemail.com</t>
  </si>
  <si>
    <t>robertscottspurgeon1@noemail.com</t>
  </si>
  <si>
    <t>dmuhl.812968@guest.booking.com</t>
  </si>
  <si>
    <t>jeffblack1@noemail.com</t>
  </si>
  <si>
    <t>2022-11-20</t>
  </si>
  <si>
    <t>coreygoodwin1@noemail.com</t>
  </si>
  <si>
    <t>dpears.374711@guest.booking.com</t>
  </si>
  <si>
    <t>qerlsinhdw@m.expediapartnercentral.com</t>
  </si>
  <si>
    <t>yi8q5n94gk@m.expediapartnercentral.com</t>
  </si>
  <si>
    <t>0tv7ps7dcd@m.expediapartnercentral.com</t>
  </si>
  <si>
    <t>lnh2jdhn68@m.expediapartnercentral.com</t>
  </si>
  <si>
    <t>sfreun.868479@guest.booking.com</t>
  </si>
  <si>
    <t>nedjericho1@noemail.com</t>
  </si>
  <si>
    <t>bonnierobertsrandall1@noemail.com</t>
  </si>
  <si>
    <t>dflightman@aol.com</t>
  </si>
  <si>
    <t>2022-06-14</t>
  </si>
  <si>
    <t>jerrellfaulkner1@noemail.com</t>
  </si>
  <si>
    <t>tpasch.907803@guest.booking.com</t>
  </si>
  <si>
    <t>donryks1@noemail.com</t>
  </si>
  <si>
    <t>sandsboy2012@gmail.com</t>
  </si>
  <si>
    <t>lcmann6@gmail.com</t>
  </si>
  <si>
    <t>chrismarthaler1@noemail.com</t>
  </si>
  <si>
    <t>lee@mobilismed.com</t>
  </si>
  <si>
    <t>levans.552355@guest.booking.com</t>
  </si>
  <si>
    <t>robertlindell1@noemail.com</t>
  </si>
  <si>
    <t>0cto3aj9g3@m.expediapartnercentral.com</t>
  </si>
  <si>
    <t>sylviaioneengle1@noemail.com</t>
  </si>
  <si>
    <t>wzairi.537196@guest.booking.com</t>
  </si>
  <si>
    <t>sderstad@yahoo.com</t>
  </si>
  <si>
    <t>tomsands1@noemail.com</t>
  </si>
  <si>
    <t>jdavis.765717@guest.booking.com</t>
  </si>
  <si>
    <t>michael.d.mueller@gmail.com</t>
  </si>
  <si>
    <t>aaronswanson1@noemail.com</t>
  </si>
  <si>
    <t>slane.727899@guest.booking.com</t>
  </si>
  <si>
    <t>alexisw27@msn.com</t>
  </si>
  <si>
    <t>s767inseur@m.expediapartnercentral.com</t>
  </si>
  <si>
    <t>lawgal110@aol.com</t>
  </si>
  <si>
    <t>davidtrower1@noemail.com</t>
  </si>
  <si>
    <t>gweber.620566@guest.booking.com</t>
  </si>
  <si>
    <t>nu136f2n8d@m.expediapartnercentral.com</t>
  </si>
  <si>
    <t>larryanderson1@noemail.com</t>
  </si>
  <si>
    <t>jesse.vote@k12.nd.us</t>
  </si>
  <si>
    <t>hhepper@gmail.com</t>
  </si>
  <si>
    <t>renaevotejessie1@noemail.com</t>
  </si>
  <si>
    <t>87krxtr0m0@m.expediapartnercentral.com</t>
  </si>
  <si>
    <t>aprilvotejesse1@noemail.com</t>
  </si>
  <si>
    <t>stewart1623@hotmail.com</t>
  </si>
  <si>
    <t>tammyvotejesse1@noemail.com</t>
  </si>
  <si>
    <t>alowe.448428@guest.booking.com</t>
  </si>
  <si>
    <t>jennifer@roofing-technologies.com</t>
  </si>
  <si>
    <t>kritch.766180@guest.booking.com</t>
  </si>
  <si>
    <t>stephaniehowes28@gmail.com</t>
  </si>
  <si>
    <t>sstewa.290550@guest.booking.com</t>
  </si>
  <si>
    <t>2022-06-15</t>
  </si>
  <si>
    <t>sdd.killer@abe.midco.net</t>
  </si>
  <si>
    <t>mkurni.902159@guest.booking.com</t>
  </si>
  <si>
    <t>plf569@yahoo.com</t>
  </si>
  <si>
    <t>julieb@svmps.com</t>
  </si>
  <si>
    <t>jetwilliams11@gmail.com</t>
  </si>
  <si>
    <t>davionhurst1@noemail.com</t>
  </si>
  <si>
    <t>pvw@dutchlandfrozenfoods.com</t>
  </si>
  <si>
    <t>ppnajpwl7l@m.expediapartnercentral.com</t>
  </si>
  <si>
    <t>dlaltman@frontiernet.net</t>
  </si>
  <si>
    <t>gdee.268257@guest.booking.com</t>
  </si>
  <si>
    <t>2022-06-21</t>
  </si>
  <si>
    <t>s1ix6ntsrs@m.expediapartnercentral.com</t>
  </si>
  <si>
    <t>pienl2k974@m.expediapartnercentral.com</t>
  </si>
  <si>
    <t>aaronkoupal@yahoo.com</t>
  </si>
  <si>
    <t>kevinhurst1@noemail.com</t>
  </si>
  <si>
    <t>u3fbnjdr4w@m.expediapartnercentral.com</t>
  </si>
  <si>
    <t>vberon.312823@guest.booking.com</t>
  </si>
  <si>
    <t>mzimic.596919@guest.booking.com</t>
  </si>
  <si>
    <t>nsynovec@nwrespitory.com</t>
  </si>
  <si>
    <t>tbsyq92lk3@m.expediapartnercentral.com</t>
  </si>
  <si>
    <t>rbisho.686714@guest.booking.com</t>
  </si>
  <si>
    <t>pfr3r3xhar@m.expediapartnercentral.com</t>
  </si>
  <si>
    <t>stice.790106@guest.booking.com</t>
  </si>
  <si>
    <t>dbaker.321358@guest.booking.com</t>
  </si>
  <si>
    <t>mrespcfv3y@m.expediapartnercentral.com</t>
  </si>
  <si>
    <t>lim8jabw2e@m.expediapartnercentral.com</t>
  </si>
  <si>
    <t>burkhart.mw@gmail.com</t>
  </si>
  <si>
    <t>rogerprice1@noemail.com</t>
  </si>
  <si>
    <t>haeli621@yahoo.com</t>
  </si>
  <si>
    <t>goatrope57@gmail.com</t>
  </si>
  <si>
    <t>robertstaylor1@noemail.com</t>
  </si>
  <si>
    <t>echase.364470@guest.booking.com</t>
  </si>
  <si>
    <t>andreamedema1@noemail.com</t>
  </si>
  <si>
    <t>douglasbalcom1@noemail.com</t>
  </si>
  <si>
    <t>8y92dt7gaj@m.expediapartnercentral.com</t>
  </si>
  <si>
    <t>douglasburn1@noemail.com</t>
  </si>
  <si>
    <t>39xx4pvxgw@m.expediapartnercentral.com</t>
  </si>
  <si>
    <t>brittanystevens1@noemail.com</t>
  </si>
  <si>
    <t>nkumar.813028@guest.booking.com</t>
  </si>
  <si>
    <t>randycahoy1@noemail.com</t>
  </si>
  <si>
    <t>ct5x0v8re2@m.expediapartnercentral.com</t>
  </si>
  <si>
    <t>xmdiot9i8f@m.expediapartnercentral.com</t>
  </si>
  <si>
    <t>joannabodman1@noemail.com</t>
  </si>
  <si>
    <t>austinswenson1@noemail.com</t>
  </si>
  <si>
    <t>ou9wbkw28d@m.expediapartnercentral.com</t>
  </si>
  <si>
    <t>brianf@svmps.com</t>
  </si>
  <si>
    <t>faulknerjerrell1@noemail.com</t>
  </si>
  <si>
    <t>b1i990mndf@m.expediapartnercentral.com</t>
  </si>
  <si>
    <t>9a7qr5597c@m.expediapartnercentral.com</t>
  </si>
  <si>
    <t>tgeek8lc6b@m.expediapartnercentral.com</t>
  </si>
  <si>
    <t>yeycbm2g2y@m.expediapartnercentral.com</t>
  </si>
  <si>
    <t>lonajustesen@yahoo.com</t>
  </si>
  <si>
    <t>paige.tiffany@gmail.com</t>
  </si>
  <si>
    <t>xo6rb7u1ov@m.expediapartnercentral.com</t>
  </si>
  <si>
    <t>austiii.98@gmail.com</t>
  </si>
  <si>
    <t>4iiksm4kt2@m.expediapartnercentral.com</t>
  </si>
  <si>
    <t>oi63xvklub@m.expediapartnercentral.com</t>
  </si>
  <si>
    <t>janeteileenjoyce1@noemail.com</t>
  </si>
  <si>
    <t>or4q90it03@m.expediapartnercentral.com</t>
  </si>
  <si>
    <t>bsn88qkw5v@m.expediapartnercentral.com</t>
  </si>
  <si>
    <t>hoffman185@yahoo.com</t>
  </si>
  <si>
    <t>mtode.222228@guest.booking.com</t>
  </si>
  <si>
    <t>pmarbl.652476@guest.booking.com</t>
  </si>
  <si>
    <t>paulcornelison1@noemail.com</t>
  </si>
  <si>
    <t>elizabethbertozzi1@noemail.com</t>
  </si>
  <si>
    <t>lauriemaibaum1@noemail.com</t>
  </si>
  <si>
    <t>i3vuxek8u8@m.expediapartnercentral.com</t>
  </si>
  <si>
    <t>uh3t6hn74h@m.expediapartnercentral.com</t>
  </si>
  <si>
    <t>lamarwhittemore1@noemail.com</t>
  </si>
  <si>
    <t>mollybyer@gmail.com</t>
  </si>
  <si>
    <t>elkeking1@noemail.com</t>
  </si>
  <si>
    <t>rc4gvb5luf@m.expediapartnercentral.com</t>
  </si>
  <si>
    <t>sabxeq2df1@m.expediapartnercentral.com</t>
  </si>
  <si>
    <t>justinborman1@noemail.com</t>
  </si>
  <si>
    <t>daniel.duncan@aon.com</t>
  </si>
  <si>
    <t>landenthorsen1@gmail.com</t>
  </si>
  <si>
    <t>edvlaminck1@noemail.com</t>
  </si>
  <si>
    <t>5e8cc6rdsr@m.expediapartnercentral.com</t>
  </si>
  <si>
    <t>keidso.657180@guest.booking.com</t>
  </si>
  <si>
    <t>keidso.430133@guest.booking.com</t>
  </si>
  <si>
    <t>andywuebker1@noemail.com</t>
  </si>
  <si>
    <t>rjessi.533231@guest.booking.com</t>
  </si>
  <si>
    <t>ckamin.206704@guest.booking.com</t>
  </si>
  <si>
    <t>bmehlh@rap.midco.net</t>
  </si>
  <si>
    <t>dbucha.407145@guest.booking.com</t>
  </si>
  <si>
    <t>randyweischedel1@noemail.com</t>
  </si>
  <si>
    <t>amaura.324253@guest.booking.com</t>
  </si>
  <si>
    <t>jamesevans1@noemail.com</t>
  </si>
  <si>
    <t>kzarat.787028@guest.booking.com</t>
  </si>
  <si>
    <t>catherinewillis1@noemail.com</t>
  </si>
  <si>
    <t>adas.120091@guest.booking.com</t>
  </si>
  <si>
    <t>9y2vqhv463@m.expediapartnercentral.com</t>
  </si>
  <si>
    <t>5n3jsyq8qt@m.expediapartnercentral.com</t>
  </si>
  <si>
    <t>hnmbd1xk69@m.expediapartnercentral.com</t>
  </si>
  <si>
    <t>iwwehyjg27@m.expediapartnercentral.com</t>
  </si>
  <si>
    <t>denadegnan1@noemail.com</t>
  </si>
  <si>
    <t>2022-10-23</t>
  </si>
  <si>
    <t>47f19e0dtf@m.expediapartnercentral.com</t>
  </si>
  <si>
    <t>jwentw.246747@guest.booking.com</t>
  </si>
  <si>
    <t>jo.miles@jjdcompanies.com</t>
  </si>
  <si>
    <t>goettertz@gmail.com</t>
  </si>
  <si>
    <t>kennethhaynes1@noemail.com</t>
  </si>
  <si>
    <t>fj1yq5imnu@m.expediapartnercentral.com</t>
  </si>
  <si>
    <t>robertthompson1@noemail.com</t>
  </si>
  <si>
    <t>tjohns.360134@guest.booking.com</t>
  </si>
  <si>
    <t>chad@specializedmachine.com</t>
  </si>
  <si>
    <t>everettmoran12@gmail.com</t>
  </si>
  <si>
    <t>stacyramacher1@noemail.com</t>
  </si>
  <si>
    <t>slsmilesalot@yahoo.com</t>
  </si>
  <si>
    <t>danielanddainne@yahoo.com</t>
  </si>
  <si>
    <t>10dao6bxhp@m.expediapartnercentral.com</t>
  </si>
  <si>
    <t>ht441yjqvw@m.expediapartnercentral.com</t>
  </si>
  <si>
    <t>tlarki.135916@guest.booking.com</t>
  </si>
  <si>
    <t>jfixoou0rg@m.expediapartnercentral.com</t>
  </si>
  <si>
    <t>roberttroyer1@noemail.com</t>
  </si>
  <si>
    <t>edwardhagmann1@noemail.com</t>
  </si>
  <si>
    <t>ashafer71@gmail.com</t>
  </si>
  <si>
    <t>oliviawillis1@noemail.com</t>
  </si>
  <si>
    <t>williamlasserty1@noemail.com</t>
  </si>
  <si>
    <t>b8cc25pja5@m.expediapartnercentral.com</t>
  </si>
  <si>
    <t>1ietc1tk67@m.expediapartnercentral.com</t>
  </si>
  <si>
    <t>aujai8yrpf@m.expediapartnercentral.com</t>
  </si>
  <si>
    <t>mwsapper@gmail.com</t>
  </si>
  <si>
    <t>cwendt@pcikc.com</t>
  </si>
  <si>
    <t>charafajardo1@noemail.com</t>
  </si>
  <si>
    <t>mem490xmi4@m.expediapartnercentral.com</t>
  </si>
  <si>
    <t>astory.322729@guest.booking.com</t>
  </si>
  <si>
    <t>donleclere1@noemail.com</t>
  </si>
  <si>
    <t>2022-07-30</t>
  </si>
  <si>
    <t>mikebeavers1@noemail.com</t>
  </si>
  <si>
    <t>2022-07-12</t>
  </si>
  <si>
    <t>v7t0dcgd26@m.expediapartnercentral.com</t>
  </si>
  <si>
    <t>349ee2qapi@m.expediapartnercentral.com</t>
  </si>
  <si>
    <t>8o0r42a2mc@m.expediapartnercentral.com</t>
  </si>
  <si>
    <t>o71mleu0k5@m.expediapartnercentral.com</t>
  </si>
  <si>
    <t>josephpalumbo1@noemail.com</t>
  </si>
  <si>
    <t>tjon.721900@guest.booking.com</t>
  </si>
  <si>
    <t>shaneegge1@noemail.com</t>
  </si>
  <si>
    <t>rwillr.576421@guest.booking.com</t>
  </si>
  <si>
    <t>kerifrancl1@noemail.com</t>
  </si>
  <si>
    <t>pepper1371gmc@yahoo.com</t>
  </si>
  <si>
    <t>snsgeelan@gmail.com</t>
  </si>
  <si>
    <t>mali.341823@guest.booking.com</t>
  </si>
  <si>
    <t>2022-07-22</t>
  </si>
  <si>
    <t>mgagel.213163@guest.booking.com</t>
  </si>
  <si>
    <t>mkrapf02@gmail.com</t>
  </si>
  <si>
    <t>kfranc.166655@guest.booking.com</t>
  </si>
  <si>
    <t>hool39fhxu@m.expediapartnercentral.com</t>
  </si>
  <si>
    <t>brianweller1@noemail.com</t>
  </si>
  <si>
    <t>ujt5yiyic9@m.expediapartnercentral.com</t>
  </si>
  <si>
    <t>cg1ahgambb@m.expediapartnercentral.com</t>
  </si>
  <si>
    <t>wil7k6ebvs@m.expediapartnercentral.com</t>
  </si>
  <si>
    <t>qhnyjvmh7g@m.expediapartnercentral.com</t>
  </si>
  <si>
    <t>hxjrck94ww@m.expediapartnercentral.com</t>
  </si>
  <si>
    <t>edwingorder1@noemail.com</t>
  </si>
  <si>
    <t>fcampo.735776@guest.booking.com</t>
  </si>
  <si>
    <t>suzannesteffen1@noemail.com</t>
  </si>
  <si>
    <t>79r529butm@m.expediapartnercentral.com</t>
  </si>
  <si>
    <t>kifa7hg45e@m.expediapartnercentral.com</t>
  </si>
  <si>
    <t>ayn7ya213y@m.expediapartnercentral.com</t>
  </si>
  <si>
    <t>mburnw.402692@guest.booking.com</t>
  </si>
  <si>
    <t>adahl.272615@guest.booking.com</t>
  </si>
  <si>
    <t>sherri.holmes21@gmail.com</t>
  </si>
  <si>
    <t>09ekl0edov@m.expediapartnercentral.com</t>
  </si>
  <si>
    <t>rkirby.176783@guest.booking.com</t>
  </si>
  <si>
    <t>newagecryo1@noemail.com</t>
  </si>
  <si>
    <t>kaebis.104963@guest.booking.com</t>
  </si>
  <si>
    <t>fkpqollk65@m.expediapartnercentral.com</t>
  </si>
  <si>
    <t>kferra.231362@guest.booking.com</t>
  </si>
  <si>
    <t>jandre.617925@guest.booking.com</t>
  </si>
  <si>
    <t>larryhasche1@noemail.com</t>
  </si>
  <si>
    <t>jeffwood1@noemail.com</t>
  </si>
  <si>
    <t>jkling.117651@guest.booking.com</t>
  </si>
  <si>
    <t>cgould83@vastbb.net</t>
  </si>
  <si>
    <t>jennikonda1@noemail.com</t>
  </si>
  <si>
    <t>nrieck.721342@guest.booking.com</t>
  </si>
  <si>
    <t>tandtmann@yahoo.com</t>
  </si>
  <si>
    <t>rmarkwardt@hotmail.com</t>
  </si>
  <si>
    <t>xgwsivyote@m.expediapartnercentral.com</t>
  </si>
  <si>
    <t>brucehapeman1@noemail.com</t>
  </si>
  <si>
    <t>heartsandbunnies@hotmail.com</t>
  </si>
  <si>
    <t>nolan.c.davis@snapon.com</t>
  </si>
  <si>
    <t>nancyaho1@noemail.com</t>
  </si>
  <si>
    <t>8wxg3y8720@m.expediapartnercentral.com</t>
  </si>
  <si>
    <t>hbaker.735557@guest.booking.com</t>
  </si>
  <si>
    <t>lonnie.zelinske@aaelectricunderground.com</t>
  </si>
  <si>
    <t>caleblinn@ymail.com</t>
  </si>
  <si>
    <t>bgreen.699322@guest.booking.com</t>
  </si>
  <si>
    <t>2022-09-12</t>
  </si>
  <si>
    <t>jar6@clemson.edu</t>
  </si>
  <si>
    <t>jbeave.804321@guest.booking.com</t>
  </si>
  <si>
    <t>stran.265160@guest.booking.com</t>
  </si>
  <si>
    <t>mitchblocker1@noemail.com</t>
  </si>
  <si>
    <t>rpento.100814@guest.booking.com</t>
  </si>
  <si>
    <t>nibbles4md@aol.com</t>
  </si>
  <si>
    <t>05js45mpb4@m.expediapartnercentral.com</t>
  </si>
  <si>
    <t>b71yubu48g@m.expediapartnercentral.com</t>
  </si>
  <si>
    <t>lnixon.247541@guest.booking.com</t>
  </si>
  <si>
    <t>kurtj@i29rv.com</t>
  </si>
  <si>
    <t>rbowma.769398@guest.booking.com</t>
  </si>
  <si>
    <t>ctueth.267644@guest.booking.com</t>
  </si>
  <si>
    <t>jazzifae612@gmail.com</t>
  </si>
  <si>
    <t>cstark.709689@guest.booking.com</t>
  </si>
  <si>
    <t>sschmi.454915@guest.booking.com</t>
  </si>
  <si>
    <t>e3t9ivhxk7@m.expediapartnercentral.com</t>
  </si>
  <si>
    <t>2022-08-01</t>
  </si>
  <si>
    <t>1tswqegdtn@m.expediapartnercentral.com</t>
  </si>
  <si>
    <t>nv0ke2pxe2@m.expediapartnercentral.com</t>
  </si>
  <si>
    <t>adahlk.226313@guest.booking.com</t>
  </si>
  <si>
    <t>stewartjeri@yahoo.com</t>
  </si>
  <si>
    <t>2022-08-12</t>
  </si>
  <si>
    <t>7f9kl210qc@m.expediapartnercentral.com</t>
  </si>
  <si>
    <t>marcusvaughn1@noemail.com</t>
  </si>
  <si>
    <t>t4kwbvvd4y@m.expediapartnercentral.com</t>
  </si>
  <si>
    <t>sarahkokesh2011@hotmail.com</t>
  </si>
  <si>
    <t>freefall469@yahoo.com</t>
  </si>
  <si>
    <t>michellbrentlinger1@noemail.com</t>
  </si>
  <si>
    <t>landonmcgrew1@noemail.com</t>
  </si>
  <si>
    <t>spetri.857306@guest.booking.com</t>
  </si>
  <si>
    <t>erikburce1@noemail.com</t>
  </si>
  <si>
    <t>solarsolutionsf@outlook.com</t>
  </si>
  <si>
    <t>2022-07-26</t>
  </si>
  <si>
    <t>0tsqqsg3iv@m.expediapartnercentral.com</t>
  </si>
  <si>
    <t>wb778spu28@m.expediapartnercentral.com</t>
  </si>
  <si>
    <t>2022-07-27</t>
  </si>
  <si>
    <t>carlandlizgalloway@gmail.com</t>
  </si>
  <si>
    <t>donaldcarlbehrens1@noemail.com</t>
  </si>
  <si>
    <t>kentleevollstedt1@noemail.com</t>
  </si>
  <si>
    <t>april.molyneux@gmail.com</t>
  </si>
  <si>
    <t>paulena.hanten@gmail.com</t>
  </si>
  <si>
    <t>taraannbass1@noemail.com</t>
  </si>
  <si>
    <t>nylaantonsen1@noemail.com</t>
  </si>
  <si>
    <t>justin_struckman@yahoo.com</t>
  </si>
  <si>
    <t>tiffnbradp@gmail.com</t>
  </si>
  <si>
    <t>psarah.366027@guest.booking.com</t>
  </si>
  <si>
    <t>f2m1b49wq0@m.expediapartnercentral.com</t>
  </si>
  <si>
    <t>dainlarock@gmail.com</t>
  </si>
  <si>
    <t>ka52e20aw5@m.expediapartnercentral.com</t>
  </si>
  <si>
    <t>calebstephenson1@noemail.com</t>
  </si>
  <si>
    <t>pu9uc41mdh@m.expediapartnercentral.com</t>
  </si>
  <si>
    <t>samueltipton1@noemail.com</t>
  </si>
  <si>
    <t>michaelstiefel1@noemail.com</t>
  </si>
  <si>
    <t>2022-09-05</t>
  </si>
  <si>
    <t>jennifer.boushee@nothernlightsdiesel.com</t>
  </si>
  <si>
    <t>brandonmygland1@noemail.com</t>
  </si>
  <si>
    <t>xr7job4flr@m.expediapartnercentral.com</t>
  </si>
  <si>
    <t>i4fkvgsclv@m.expediapartnercentral.com</t>
  </si>
  <si>
    <t>dnutter@acegroup.cc</t>
  </si>
  <si>
    <t>2022-07-18</t>
  </si>
  <si>
    <t>adamhull1@noemail.com</t>
  </si>
  <si>
    <t>rhoyt@rap.midco.net</t>
  </si>
  <si>
    <t>cgkxntussv@m.expediapartnercentral.com</t>
  </si>
  <si>
    <t>n4irw8k0ap@m.expediapartnercentral.com</t>
  </si>
  <si>
    <t>5lc5esscs4@m.expediapartnercentral.com</t>
  </si>
  <si>
    <t>jwrigh.553335@guest.booking.com</t>
  </si>
  <si>
    <t>linebrusher@gmail.com</t>
  </si>
  <si>
    <t>ica39d7d4v@m.expediapartnercentral.com</t>
  </si>
  <si>
    <t>h9qpmm13id@m.expediapartnercentral.com</t>
  </si>
  <si>
    <t>cgxbr6cm66@m.expediapartnercentral.com</t>
  </si>
  <si>
    <t>ronaldrubsam1@noemail.com</t>
  </si>
  <si>
    <t>b.bergjod@americafence.com</t>
  </si>
  <si>
    <t>yxhir6cypt@m.expediapartnercentral.com</t>
  </si>
  <si>
    <t>ovafbgdk1u@m.expediapartnercentral.com</t>
  </si>
  <si>
    <t>dmuell.847838@guest.booking.com</t>
  </si>
  <si>
    <t>august.2007@yahoo.com</t>
  </si>
  <si>
    <t>2022-08-17</t>
  </si>
  <si>
    <t>williame22@msn.com</t>
  </si>
  <si>
    <t>2022-08-08</t>
  </si>
  <si>
    <t>angelahanten1@noemail.com</t>
  </si>
  <si>
    <t>jeffthompson1@noemail.com</t>
  </si>
  <si>
    <t>kbmeister@charter.net</t>
  </si>
  <si>
    <t>vhorgomyeg@m.expediapartnercentral.com</t>
  </si>
  <si>
    <t>diagoschoenrock1@noemail.com</t>
  </si>
  <si>
    <t>dschne.918490@guest.booking.com</t>
  </si>
  <si>
    <t>rogerfrankenstein1@noemail.com</t>
  </si>
  <si>
    <t>mmarqu.924896@guest.booking.com</t>
  </si>
  <si>
    <t>shaunalockwoodwilde@aol.com</t>
  </si>
  <si>
    <t>pnickl.244326@guest.booking.com</t>
  </si>
  <si>
    <t>peoh114knb@m.expediapartnercentral.com</t>
  </si>
  <si>
    <t>tausti.552035@guest.booking.com</t>
  </si>
  <si>
    <t>pe1oejou3f@m.expediapartnercentral.com</t>
  </si>
  <si>
    <t>qirj7k2eaw@m.expediapartnercentral.com</t>
  </si>
  <si>
    <t>2022-10-16</t>
  </si>
  <si>
    <t>jeanesimly1@noemail.com</t>
  </si>
  <si>
    <t>mdonal.645695@guest.booking.com</t>
  </si>
  <si>
    <t>xdbcs9jlcg@m.expediapartnercentral.com</t>
  </si>
  <si>
    <t>5ray63qe9t@m.expediapartnercentral.com</t>
  </si>
  <si>
    <t>craighall1@noemail.com</t>
  </si>
  <si>
    <t>jessijae75@gmail.com</t>
  </si>
  <si>
    <t>hl9e0pcpoh@m.expediapartnercentral.com</t>
  </si>
  <si>
    <t>d57m4h1428@m.expediapartnercentral.com</t>
  </si>
  <si>
    <t>tekiley1979@gmail.com</t>
  </si>
  <si>
    <t>bryan.batterton@gmail.com</t>
  </si>
  <si>
    <t>lowryh7@gmail.com</t>
  </si>
  <si>
    <t>madiwagaman1@noemail.com</t>
  </si>
  <si>
    <t>wrnhm8m9fy@m.expediapartnercentral.com</t>
  </si>
  <si>
    <t>brooklyntolliver1@noemail.com</t>
  </si>
  <si>
    <t>lindabrettschneider1@noemail.com</t>
  </si>
  <si>
    <t>1966grod@gmail.com</t>
  </si>
  <si>
    <t>cbenson979@gmail.com</t>
  </si>
  <si>
    <t>wdoll.894065@guest.booking.com</t>
  </si>
  <si>
    <t>dbblr24@hotmail.com</t>
  </si>
  <si>
    <t>291xb0xh2n@m.expediapartnercentral.com</t>
  </si>
  <si>
    <t>d2yh9jp8i9@m.expediapartnercentral.com</t>
  </si>
  <si>
    <t>oghrp94xa6@m.expediapartnercentral.com</t>
  </si>
  <si>
    <t>bmike.311662@guest.booking.com</t>
  </si>
  <si>
    <t>2022-08-31</t>
  </si>
  <si>
    <t>marniehart1@comcast.net</t>
  </si>
  <si>
    <t>mrbradbishop@gmail.com</t>
  </si>
  <si>
    <t>derik.selectseeds@hotmail.com</t>
  </si>
  <si>
    <t>2022-07-19</t>
  </si>
  <si>
    <t>m3lbsuikkb@m.expediapartnercentral.com</t>
  </si>
  <si>
    <t>kcody.578143@guest.booking.com</t>
  </si>
  <si>
    <t>sue.bell1329@gmail.com</t>
  </si>
  <si>
    <t>mjkotab@cme.coop</t>
  </si>
  <si>
    <t>djones.475953@guest.booking.com</t>
  </si>
  <si>
    <t>4qwct7sp52@m.expediapartnercentral.com</t>
  </si>
  <si>
    <t>ronaldpick1@noemail.com</t>
  </si>
  <si>
    <t>fc9l19ypqm@m.expediapartnercentral.com</t>
  </si>
  <si>
    <t>robertaslobodian1@noemail.com</t>
  </si>
  <si>
    <t>petersconstruction@midstatesd.net</t>
  </si>
  <si>
    <t>rhktcnem@gwtc.net</t>
  </si>
  <si>
    <t>jeffveen1@noemail.com</t>
  </si>
  <si>
    <t>y7837gc37g@m.expediapartnercentral.com</t>
  </si>
  <si>
    <t>bcamer.554636@guest.booking.com</t>
  </si>
  <si>
    <t>2022-08-03</t>
  </si>
  <si>
    <t>8g8s3ahi2g@m.expediapartnercentral.com</t>
  </si>
  <si>
    <t>eileen.baas@gmail.com</t>
  </si>
  <si>
    <t>jamesmarnette1@noemail.com</t>
  </si>
  <si>
    <t>chall.553473@guest.booking.com</t>
  </si>
  <si>
    <t>ronda@denningcompanies.com</t>
  </si>
  <si>
    <t>i8jx98dbma@m.expediapartnercentral.com</t>
  </si>
  <si>
    <t>2022-07-13</t>
  </si>
  <si>
    <t>rhopki.410214@guest.booking.com</t>
  </si>
  <si>
    <t>brianingram1@noemail.com</t>
  </si>
  <si>
    <t>kristinvega1@noemail.com</t>
  </si>
  <si>
    <t>sfoger.873381@guest.booking.com</t>
  </si>
  <si>
    <t>lynn.billett@gmail.com</t>
  </si>
  <si>
    <t>angelakaebot@gmail.com</t>
  </si>
  <si>
    <t>michaelterry1@noemail.com</t>
  </si>
  <si>
    <t>guybender@me.com</t>
  </si>
  <si>
    <t>slove@neighborhooddentalcare.com</t>
  </si>
  <si>
    <t>tahoethree@yahoo.com</t>
  </si>
  <si>
    <t>2022-08-10</t>
  </si>
  <si>
    <t>rogerlamfers1@noemail.com</t>
  </si>
  <si>
    <t>2022-12-31</t>
  </si>
  <si>
    <t>msherer@frhs.org</t>
  </si>
  <si>
    <t>steveningram1@noemail.com</t>
  </si>
  <si>
    <t>dmaple@charter.net</t>
  </si>
  <si>
    <t>rbrigg.872924@guest.booking.com</t>
  </si>
  <si>
    <t>paulsulzen1@noemail.com</t>
  </si>
  <si>
    <t>yr0j92hos3@m.expediapartnercentral.com</t>
  </si>
  <si>
    <t>johnnelson1@noemail.com</t>
  </si>
  <si>
    <t>bloncorich@gmail.com</t>
  </si>
  <si>
    <t>joel.dejongh86@gmail.com</t>
  </si>
  <si>
    <t>kkclaeys@aol.com</t>
  </si>
  <si>
    <t>dkromano96@gmail.com</t>
  </si>
  <si>
    <t>kaydancemommy@gmail.com</t>
  </si>
  <si>
    <t>i.devries24@yahoo.com</t>
  </si>
  <si>
    <t>35g189ry8k@m.expediapartnercentral.com</t>
  </si>
  <si>
    <t>barnack415@gmail.com</t>
  </si>
  <si>
    <t>jim@rtyconstruction.com</t>
  </si>
  <si>
    <t>8x4dvtb2io@m.expediapartnercentral.com</t>
  </si>
  <si>
    <t>reneeabc@gmail.com</t>
  </si>
  <si>
    <t>i4v9c8h3wt@m.expediapartnercentral.com</t>
  </si>
  <si>
    <t>apierc.611663@guest.booking.com</t>
  </si>
  <si>
    <t>4ue9hr72bn@m.expediapartnercentral.com</t>
  </si>
  <si>
    <t>mec6eui4ka@m.expediapartnercentral.com</t>
  </si>
  <si>
    <t>swilli.751473@guest.booking.com</t>
  </si>
  <si>
    <t>dthorpwv@aol.com</t>
  </si>
  <si>
    <t>ibgtqnkvxu@m.expediapartnercentral.com</t>
  </si>
  <si>
    <t>1ymfqnb1km@m.expediapartnercentral.com</t>
  </si>
  <si>
    <t>jeffreyhoeft1970@gmail.com</t>
  </si>
  <si>
    <t>barrykusnerik1@noemail.com</t>
  </si>
  <si>
    <t>nn6f8v5p3s@m.expediapartnercentral.com</t>
  </si>
  <si>
    <t>j.fitzsimmons@americafence.com</t>
  </si>
  <si>
    <t>2022-07-20</t>
  </si>
  <si>
    <t>angela_trinity_tavien@yahoo.com</t>
  </si>
  <si>
    <t>mjkemper@yahoo.com</t>
  </si>
  <si>
    <t>2023-05-14</t>
  </si>
  <si>
    <t>billielaleman@gmail.com</t>
  </si>
  <si>
    <t>bhoag.847815@guest.booking.com</t>
  </si>
  <si>
    <t>2022-08-02</t>
  </si>
  <si>
    <t>h94hljhrpd@m.expediapartnercentral.com</t>
  </si>
  <si>
    <t>xiaolusun1@noemail.com</t>
  </si>
  <si>
    <t>ericzavala1@noemail.com</t>
  </si>
  <si>
    <t>chuckdaugherty1@noemail.com</t>
  </si>
  <si>
    <t>rodneyhay1@noemail.com</t>
  </si>
  <si>
    <t>lmatthys0748@gmail.com</t>
  </si>
  <si>
    <t>rasbel.753900@guest.booking.com</t>
  </si>
  <si>
    <t>jamamathison@gmail.com</t>
  </si>
  <si>
    <t>jkingspade1605@aol.com</t>
  </si>
  <si>
    <t>jamesliston1@noemail.com</t>
  </si>
  <si>
    <t>2022-09-20</t>
  </si>
  <si>
    <t>vandusenbrady@gmail.com</t>
  </si>
  <si>
    <t>lpiers.740106@guest.booking.com</t>
  </si>
  <si>
    <t>cassielandsdowne@yahoo.com</t>
  </si>
  <si>
    <t>jmcmil.737609@guest.booking.com</t>
  </si>
  <si>
    <t>jacobdavenport8@gmail.com</t>
  </si>
  <si>
    <t>alexdouglasfriest1@noemail.com</t>
  </si>
  <si>
    <t>chrisblum1@noemail.com</t>
  </si>
  <si>
    <t>joel.alberts@aaelectricunderground.com</t>
  </si>
  <si>
    <t>cjrcjc@gmx.com</t>
  </si>
  <si>
    <t>kevin82mw@icloud.com</t>
  </si>
  <si>
    <t>2022-08-05</t>
  </si>
  <si>
    <t>susanrobertsjones1@noemail.com</t>
  </si>
  <si>
    <t>bparke.192959@guest.booking.com</t>
  </si>
  <si>
    <t>kennethajohnson1@noemail.com</t>
  </si>
  <si>
    <t>1gk0xh7vj3@m.expediapartnercentral.com</t>
  </si>
  <si>
    <t>wesdargavel1@noemail.com</t>
  </si>
  <si>
    <t>tes649oa69@m.expediapartnercentral.com</t>
  </si>
  <si>
    <t>tims@svmps.com</t>
  </si>
  <si>
    <t>0q8p377bvu@m.expediapartnercentral.com</t>
  </si>
  <si>
    <t>2022-09-03</t>
  </si>
  <si>
    <t>pjo03602xx@m.expediapartnercentral.com</t>
  </si>
  <si>
    <t>cwheat.258411@guest.booking.com</t>
  </si>
  <si>
    <t>wthoma.877197@guest.booking.com</t>
  </si>
  <si>
    <t>josh@harlandonline.com</t>
  </si>
  <si>
    <t>jonathansanz1@noemail.com</t>
  </si>
  <si>
    <t>codywheatley1@noemail.com</t>
  </si>
  <si>
    <t>c4n8a9ylfe@m.expediapartnercentral.com</t>
  </si>
  <si>
    <t>sandrahendinger1@noemail.com</t>
  </si>
  <si>
    <t>ac5t05puch@m.expediapartnercentral.com</t>
  </si>
  <si>
    <t>jenniferboomsmakelse1@noemail.com</t>
  </si>
  <si>
    <t>mdulan.924970@guest.booking.com</t>
  </si>
  <si>
    <t>jchen.543537@guest.booking.com</t>
  </si>
  <si>
    <t>joshjanousek1@noemail.com</t>
  </si>
  <si>
    <t>1vv1n4x6cs@m.expediapartnercentral.com</t>
  </si>
  <si>
    <t>dgilmo.860755@guest.booking.com</t>
  </si>
  <si>
    <t>cbangs.700167@guest.booking.com</t>
  </si>
  <si>
    <t>wthoma.955474@guest.booking.com</t>
  </si>
  <si>
    <t>celinecopelan1@noemail.com</t>
  </si>
  <si>
    <t>aron.607986@guest.booking.com</t>
  </si>
  <si>
    <t>russ.uttecht@k12.sd.us</t>
  </si>
  <si>
    <t>paularenay13@gmail.com</t>
  </si>
  <si>
    <t>lapagano54@windstream.net</t>
  </si>
  <si>
    <t>25butler25@gmail.com</t>
  </si>
  <si>
    <t>jeffg@montainalarm.com</t>
  </si>
  <si>
    <t>kristenwendte@creighton.edu</t>
  </si>
  <si>
    <t>jordanrichardszarkow1@noemail.com</t>
  </si>
  <si>
    <t>2if6d1727o@m.expediapartnercentral.com</t>
  </si>
  <si>
    <t>thoversten@horwitzinc.com</t>
  </si>
  <si>
    <t>ralbeck@horwitzinc.com</t>
  </si>
  <si>
    <t>brittboss13@gmail.com</t>
  </si>
  <si>
    <t>dmoore.713833@guest.booking.com</t>
  </si>
  <si>
    <t>carolynmuthonimuirar1@noemail.com</t>
  </si>
  <si>
    <t>ctdehning@yahoo.com</t>
  </si>
  <si>
    <t>ryandewitte1@noemail.com</t>
  </si>
  <si>
    <t>reneramon052@gmail.com</t>
  </si>
  <si>
    <t>nit9jlhwfh@m.expediapartnercentral.com</t>
  </si>
  <si>
    <t>swernke@karlsinc.com</t>
  </si>
  <si>
    <t>paulstriegel1@noemail.com</t>
  </si>
  <si>
    <t>scottzimmerman1@noemail.com</t>
  </si>
  <si>
    <t>tammymace1@noemail.com</t>
  </si>
  <si>
    <t>fe22et@gmail.com</t>
  </si>
  <si>
    <t>umk8eaq4cj@m.expediapartnercentral.com</t>
  </si>
  <si>
    <t>t3jlgt1u4r@m.expediapartnercentral.com</t>
  </si>
  <si>
    <t>nicktomeczko1@noemail.com</t>
  </si>
  <si>
    <t>trishalachaudhary1@noemail.com</t>
  </si>
  <si>
    <t>nclaus.927241@guest.booking.com</t>
  </si>
  <si>
    <t>bwambold@cox.net</t>
  </si>
  <si>
    <t>conniejensenolson1@noemail.com</t>
  </si>
  <si>
    <t>natekrull@msn.com</t>
  </si>
  <si>
    <t>jrappi.388074@guest.booking.com</t>
  </si>
  <si>
    <t>kimberlyjamtgaard1@noemail.com</t>
  </si>
  <si>
    <t>bjs@dominuscap.com</t>
  </si>
  <si>
    <t>kchris.697349@guest.booking.com</t>
  </si>
  <si>
    <t>2022-07-29</t>
  </si>
  <si>
    <t>jtwgobel@gmail.com</t>
  </si>
  <si>
    <t>youngring1@noemail.com</t>
  </si>
  <si>
    <t>y87c2eyru4@m.expediapartnercentral.com</t>
  </si>
  <si>
    <t>ysy8nxiqk4@m.expediapartnercentral.com</t>
  </si>
  <si>
    <t>jenniferpagonis1@noemail.com</t>
  </si>
  <si>
    <t>2022-08-15</t>
  </si>
  <si>
    <t>khjelmeland@hotmail.com</t>
  </si>
  <si>
    <t>shellferg7@gmail.com</t>
  </si>
  <si>
    <t>deborahhoercher1@noemail.com</t>
  </si>
  <si>
    <t>weslydargavel1@noemail.com</t>
  </si>
  <si>
    <t>jessicahanten87@gmail.com</t>
  </si>
  <si>
    <t>db89mm8jd9@m.expediapartnercentral.com</t>
  </si>
  <si>
    <t>dpaint.453212@guest.booking.com</t>
  </si>
  <si>
    <t>kkutz20@yahoo.com</t>
  </si>
  <si>
    <t>chadlockhart1@noemail.com</t>
  </si>
  <si>
    <t>slane.624996@guest.booking.com</t>
  </si>
  <si>
    <t>kaylapitlick1@noemail.com</t>
  </si>
  <si>
    <t>2022-07-25</t>
  </si>
  <si>
    <t>richpeters1@noemail.com</t>
  </si>
  <si>
    <t>fjritz2005@aol.com</t>
  </si>
  <si>
    <t>lucasericson1@noemail.com</t>
  </si>
  <si>
    <t>jmccre.823920@guest.booking.com</t>
  </si>
  <si>
    <t>bmerks.968021@guest.booking.com</t>
  </si>
  <si>
    <t>ork04gl2xg@m.expediapartnercentral.com</t>
  </si>
  <si>
    <t>ekwhitemlc@gmail.com</t>
  </si>
  <si>
    <t>qywa0j7xyk@m.expediapartnercentral.com</t>
  </si>
  <si>
    <t>davidhildebrandt1@noemail.com</t>
  </si>
  <si>
    <t>mbonne.554478@guest.booking.com</t>
  </si>
  <si>
    <t>jae@vermeerhp.com</t>
  </si>
  <si>
    <t>kspies.443627@guest.booking.com</t>
  </si>
  <si>
    <t>rsterb.756970@guest.booking.com</t>
  </si>
  <si>
    <t>richardmarkhennigan1@noemail.com</t>
  </si>
  <si>
    <t>k21jn6ix2b@m.expediapartnercentral.com</t>
  </si>
  <si>
    <t>edunn.684950@guest.booking.com</t>
  </si>
  <si>
    <t>bburnh.728957@guest.booking.com</t>
  </si>
  <si>
    <t>mccloskey_0301@yahoo.com</t>
  </si>
  <si>
    <t>ryanwilfahrt1@noemail.com</t>
  </si>
  <si>
    <t>u8k8oqnypt@m.expediapartnercentral.com</t>
  </si>
  <si>
    <t>chadspier1@noemail.com</t>
  </si>
  <si>
    <t>davidcatygreatplanes1@noemail.com</t>
  </si>
  <si>
    <t>structuresgreatplain1@noemail.com</t>
  </si>
  <si>
    <t>clintschendzielos1@noemail.com</t>
  </si>
  <si>
    <t>ksvare.257241@guest.booking.com</t>
  </si>
  <si>
    <t>2022-08-24</t>
  </si>
  <si>
    <t>tburto.566947@guest.booking.com</t>
  </si>
  <si>
    <t>lgoyet.913288@guest.booking.com</t>
  </si>
  <si>
    <t>k98291nrte@m.expediapartnercentral.com</t>
  </si>
  <si>
    <t>jimbrady1@noemail.com</t>
  </si>
  <si>
    <t>apharris99@gmail.com</t>
  </si>
  <si>
    <t>2023-05-20</t>
  </si>
  <si>
    <t>i8kb3lwpsu@m.expediapartnercentral.com</t>
  </si>
  <si>
    <t>mmargo.198393@guest.booking.com</t>
  </si>
  <si>
    <t>bmcpr21033@gmail.com</t>
  </si>
  <si>
    <t>2023-05-21</t>
  </si>
  <si>
    <t>jaedejong1@noemail.com</t>
  </si>
  <si>
    <t>6pxphjw8fc@m.expediapartnercentral.com</t>
  </si>
  <si>
    <t>gregjoines1@noemail.com</t>
  </si>
  <si>
    <t>shtle7jupl@m.expediapartnercentral.com</t>
  </si>
  <si>
    <t>pabenxrowa@m.expediapartnercentral.com</t>
  </si>
  <si>
    <t>jpgerb0883@gmail.com</t>
  </si>
  <si>
    <t>rickywood1@noemail.com</t>
  </si>
  <si>
    <t>3tr4u495aq@m.expediapartnercentral.com</t>
  </si>
  <si>
    <t>lkinney7@icloud.com</t>
  </si>
  <si>
    <t>famy.970578@guest.booking.com</t>
  </si>
  <si>
    <t>conniebearry1@noemail.com</t>
  </si>
  <si>
    <t>1pu2cmjy3f@m.expediapartnercentral.com</t>
  </si>
  <si>
    <t>brookeatteberry@yahoo.com</t>
  </si>
  <si>
    <t>hhwgerry@holmhickswhite.com</t>
  </si>
  <si>
    <t>johnscott1@noemail.com</t>
  </si>
  <si>
    <t>rvmchtt@gmail.com</t>
  </si>
  <si>
    <t>sgriep.375501@guest.booking.com</t>
  </si>
  <si>
    <t>chrissoderquist1@noemail.com</t>
  </si>
  <si>
    <t>tylerfulkerth1@noemail.com</t>
  </si>
  <si>
    <t>jwoods.780397@guest.booking.com</t>
  </si>
  <si>
    <t>paytonhardin1@noemail.com</t>
  </si>
  <si>
    <t>kirtcooper1@noemail.com</t>
  </si>
  <si>
    <t>xtoueiww6p@m.expediapartnercentral.com</t>
  </si>
  <si>
    <t>chriskroll12@gmail.com</t>
  </si>
  <si>
    <t>gleasonwilliams1@noemail.com</t>
  </si>
  <si>
    <t>tracibooe1@noemail.com</t>
  </si>
  <si>
    <t>jvette.916501@guest.booking.com</t>
  </si>
  <si>
    <t>kyle.kegley89@yahoo.com</t>
  </si>
  <si>
    <t>ernestkoch1@noemail.com</t>
  </si>
  <si>
    <t>a_kpela@q.com</t>
  </si>
  <si>
    <t>savogel40@gmail.com</t>
  </si>
  <si>
    <t>kerrytramp1@noemail.com</t>
  </si>
  <si>
    <t>rasbel.587582@guest.booking.com</t>
  </si>
  <si>
    <t>ernietjoelker1@noemail.com</t>
  </si>
  <si>
    <t>mzelle.286392@guest.booking.com</t>
  </si>
  <si>
    <t>nvrokd9l11@m.expediapartnercentral.com</t>
  </si>
  <si>
    <t>highplainsvermeer1@noemail.com</t>
  </si>
  <si>
    <t>dave.bult@merritt-trailers.com</t>
  </si>
  <si>
    <t>zackaryhumphrey1@noemail.com</t>
  </si>
  <si>
    <t>karlajoysenne1@noemail.com</t>
  </si>
  <si>
    <t>lomenbradley1@noemail.com</t>
  </si>
  <si>
    <t>smcgin.123713@guest.booking.com</t>
  </si>
  <si>
    <t>adamstam71@gmail.com</t>
  </si>
  <si>
    <t>lanecarpenter1@noemail.com</t>
  </si>
  <si>
    <t>brookejoy12@gmail.com</t>
  </si>
  <si>
    <t>desiraetielbur1@noemail.com</t>
  </si>
  <si>
    <t>cbraunsroth@codeactivity.com</t>
  </si>
  <si>
    <t>torijrussenberger@gmail.com</t>
  </si>
  <si>
    <t>ashleyjamros1@noemail.com</t>
  </si>
  <si>
    <t>kbkimes@gmail.com</t>
  </si>
  <si>
    <t>bmicke.309962@guest.booking.com</t>
  </si>
  <si>
    <t>moniqueortiz1@noemail.com</t>
  </si>
  <si>
    <t>sstewa.292903@guest.booking.com</t>
  </si>
  <si>
    <t>janeolson1@noemail.com</t>
  </si>
  <si>
    <t>t44wubydut@m.expediapartnercentral.com</t>
  </si>
  <si>
    <t>jimerson.liz@gmail.com</t>
  </si>
  <si>
    <t>vx1ng6mm0p@m.expediapartnercentral.com</t>
  </si>
  <si>
    <t>p64oeej324@m.expediapartnercentral.com</t>
  </si>
  <si>
    <t>2022-08-09</t>
  </si>
  <si>
    <t>joel.porch@oconnorco.com</t>
  </si>
  <si>
    <t>sbartley08@hotmail.com</t>
  </si>
  <si>
    <t>jwithe.320794@guest.booking.com</t>
  </si>
  <si>
    <t>danielleramirez1@noemail.com</t>
  </si>
  <si>
    <t>ehuhta.872279@guest.booking.com</t>
  </si>
  <si>
    <t>ronaldbaumgart1@noemail.com</t>
  </si>
  <si>
    <t>pam.oneill@hotmail.com</t>
  </si>
  <si>
    <t>beachpatratzweddingb1@noemail.com</t>
  </si>
  <si>
    <t>joshgortemaker1@noemail.com</t>
  </si>
  <si>
    <t>macman55407@yahoo.com</t>
  </si>
  <si>
    <t>louellamaymcfall1@noemail.com</t>
  </si>
  <si>
    <t>msadiq.486427@guest.booking.com</t>
  </si>
  <si>
    <t>g7qulwxnuw@m.expediapartnercentral.com</t>
  </si>
  <si>
    <t>kloker.440547@guest.booking.com</t>
  </si>
  <si>
    <t>davidpakiesser@hotmail.com</t>
  </si>
  <si>
    <t>ccovin.285279@guest.booking.com</t>
  </si>
  <si>
    <t>jodyneerschens1@noemail.com</t>
  </si>
  <si>
    <t>i3iev3dqoq@m.expediapartnercentral.com</t>
  </si>
  <si>
    <t>pillpusher@charter.net</t>
  </si>
  <si>
    <t>cvhshorty@gmail.com</t>
  </si>
  <si>
    <t>skoira.427497@guest.booking.com</t>
  </si>
  <si>
    <t>pamelakunert1@noemail.com</t>
  </si>
  <si>
    <t>rnote7qg5a@m.expediapartnercentral.com</t>
  </si>
  <si>
    <t>brendalong1@noemail.com</t>
  </si>
  <si>
    <t>w2x4pur2mi@m.expediapartnercentral.com</t>
  </si>
  <si>
    <t>terryzuch1@noemail.com</t>
  </si>
  <si>
    <t>sgtusmcpa@aol.com</t>
  </si>
  <si>
    <t>ralphbrown1@noemail.com</t>
  </si>
  <si>
    <t>fllslqp7aj@m.expediapartnercentral.com</t>
  </si>
  <si>
    <t>lucastrotter1@noemail.com</t>
  </si>
  <si>
    <t>3g82sees1w@m.expediapartnercentral.com</t>
  </si>
  <si>
    <t>patriciaschiebel1@noemail.com</t>
  </si>
  <si>
    <t>cherylbrossman1@noemail.com</t>
  </si>
  <si>
    <t>vincentthompson1@noemail.com</t>
  </si>
  <si>
    <t>l9nk2lihuy@m.expediapartnercentral.com</t>
  </si>
  <si>
    <t>2022-09-19</t>
  </si>
  <si>
    <t>ctomli.259910@guest.booking.com</t>
  </si>
  <si>
    <t>thesettje@yahoo.com</t>
  </si>
  <si>
    <t>jsoren.904883@guest.booking.com</t>
  </si>
  <si>
    <t>damoor01@gmail.com</t>
  </si>
  <si>
    <t>dirtymax2010@aol.com</t>
  </si>
  <si>
    <t>danielnielsen1@noemail.com</t>
  </si>
  <si>
    <t>jwelsi.324632@guest.booking.com</t>
  </si>
  <si>
    <t>tammybrockmoller1@noemail.com</t>
  </si>
  <si>
    <t>mpollm.109789@guest.booking.com</t>
  </si>
  <si>
    <t>thanna.917539@guest.booking.com</t>
  </si>
  <si>
    <t>b5kcm0147y@m.expediapartnercentral.com</t>
  </si>
  <si>
    <t>uwmlivqqaf@m.expediapartnercentral.com</t>
  </si>
  <si>
    <t>gq6kmyy5yh@m.expediapartnercentral.com</t>
  </si>
  <si>
    <t>chrisbellis1@noemail.com</t>
  </si>
  <si>
    <t>thomasstanleyjrsaege1@noemail.com</t>
  </si>
  <si>
    <t>charlescoffman1@noemail.com</t>
  </si>
  <si>
    <t>jameswillard1@noemail.com</t>
  </si>
  <si>
    <t>pattistapleton1@noemail.com</t>
  </si>
  <si>
    <t>arew.737668@guest.booking.com</t>
  </si>
  <si>
    <t>mkeene.878100@guest.booking.com</t>
  </si>
  <si>
    <t>churchcornerstonebap1@noemail.com</t>
  </si>
  <si>
    <t>kathrynnunn1@noemail.com</t>
  </si>
  <si>
    <t>sales@sunrisemn.com</t>
  </si>
  <si>
    <t>tgss8o2ksp@m.expediapartnercentral.com</t>
  </si>
  <si>
    <t>2022-09-21</t>
  </si>
  <si>
    <t>lwtusw9jkk@m.expediapartnercentral.com</t>
  </si>
  <si>
    <t>7hf2ryfyu0@m.expediapartnercentral.com</t>
  </si>
  <si>
    <t>katrinamurray1@noemail.com</t>
  </si>
  <si>
    <t>nikolaosdrenesis1@noemail.com</t>
  </si>
  <si>
    <t>patrickwaller1@noemail.com</t>
  </si>
  <si>
    <t>3uqscynyrq@m.expediapartnercentral.com</t>
  </si>
  <si>
    <t>francoisdemange1@noemail.com</t>
  </si>
  <si>
    <t>larryroesel1@noemail.com</t>
  </si>
  <si>
    <t>aarondesersa1@noemail.com</t>
  </si>
  <si>
    <t>cagad41@gmail.com</t>
  </si>
  <si>
    <t>christopherstevengra1@noemail.com</t>
  </si>
  <si>
    <t>ericstuckdct1@noemail.com</t>
  </si>
  <si>
    <t>roseannehutton@yahoo.com</t>
  </si>
  <si>
    <t>joanncomes1@noemail.com</t>
  </si>
  <si>
    <t>xficvvcbvc@m.expediapartnercentral.com</t>
  </si>
  <si>
    <t>tdoan.274027@guest.booking.com</t>
  </si>
  <si>
    <t>roma.frost@gmail.com</t>
  </si>
  <si>
    <t>2022-08-16</t>
  </si>
  <si>
    <t>duanecomes1@noemail.com</t>
  </si>
  <si>
    <t>qxyih6b8gd@m.expediapartnercentral.com</t>
  </si>
  <si>
    <t>robertosterhoudt1@noemail.com</t>
  </si>
  <si>
    <t>tyler1@noemail.com</t>
  </si>
  <si>
    <t>kranzfarms@hotmail.com</t>
  </si>
  <si>
    <t>pshea.588870@guest.booking.com</t>
  </si>
  <si>
    <t>jacismilden@gmail.com</t>
  </si>
  <si>
    <t>tylernagel1@noemail.com</t>
  </si>
  <si>
    <t>diannestark1@noemail.com</t>
  </si>
  <si>
    <t>richvergenecomes1@noemail.com</t>
  </si>
  <si>
    <t>paulsulven1@noemail.com</t>
  </si>
  <si>
    <t>mlopes.325164@guest.booking.com</t>
  </si>
  <si>
    <t>jamesreese1@noemail.com</t>
  </si>
  <si>
    <t>dmorri.612429@guest.booking.com</t>
  </si>
  <si>
    <t>2022-11-27</t>
  </si>
  <si>
    <t>mnsunbirds@gmail.com</t>
  </si>
  <si>
    <t>2022-09-10</t>
  </si>
  <si>
    <t>dennisbrown1@noemail.com</t>
  </si>
  <si>
    <t>wmoranti@icloud.com</t>
  </si>
  <si>
    <t>19oqvl317w@m.expediapartnercentral.com</t>
  </si>
  <si>
    <t>kcolto.302649@guest.booking.com</t>
  </si>
  <si>
    <t>mjb8185@gmail.com</t>
  </si>
  <si>
    <t>4m2xj3p2hl@m.expediapartnercentral.com</t>
  </si>
  <si>
    <t>ryanmitchell1@noemail.com</t>
  </si>
  <si>
    <t>melvinmendezcruz1@noemail.com</t>
  </si>
  <si>
    <t>nicolekroll1@noemail.com</t>
  </si>
  <si>
    <t>nikkiaasheim@gmail.com</t>
  </si>
  <si>
    <t>bseibe.438314@guest.booking.com</t>
  </si>
  <si>
    <t>m9869efvv0@m.expediapartnercentral.com</t>
  </si>
  <si>
    <t>bb4heeyt09@m.expediapartnercentral.com</t>
  </si>
  <si>
    <t>baileycolleen@hotmail.com</t>
  </si>
  <si>
    <t>2023-06-04</t>
  </si>
  <si>
    <t>jorobert19@gmail.com</t>
  </si>
  <si>
    <t>danbogusz1@noemail.com</t>
  </si>
  <si>
    <t>kberbe.630247@guest.booking.com</t>
  </si>
  <si>
    <t>jeffreyjayharper1@noemail.com</t>
  </si>
  <si>
    <t>nathanielreid1@noemail.com</t>
  </si>
  <si>
    <t>wts514@outlook.com</t>
  </si>
  <si>
    <t>charmaynesherrard@gmail.com</t>
  </si>
  <si>
    <t>hxqqxrcb83@m.expediapartnercentral.com</t>
  </si>
  <si>
    <t>terrylgaudette1@noemail.com</t>
  </si>
  <si>
    <t>brandonhincks1@noemail.com</t>
  </si>
  <si>
    <t>davidsoyk1@noemail.com</t>
  </si>
  <si>
    <t>2022-08-13</t>
  </si>
  <si>
    <t>wzhiha.706050@guest.booking.com</t>
  </si>
  <si>
    <t>mcclosky_0301@yahoo.com</t>
  </si>
  <si>
    <t>d6panyt1wu@m.expediapartnercentral.com</t>
  </si>
  <si>
    <t>ik995uxdm0@m.expediapartnercentral.com</t>
  </si>
  <si>
    <t>2023-08-05</t>
  </si>
  <si>
    <t>willbarrett1@noemail.com</t>
  </si>
  <si>
    <t>jamesmaxwell1@noemail.com</t>
  </si>
  <si>
    <t>9vnvpdj5kw@m.expediapartnercentral.com</t>
  </si>
  <si>
    <t>o4th5mf6l0@m.expediapartnercentral.com</t>
  </si>
  <si>
    <t>eboort.319473@guest.booking.com</t>
  </si>
  <si>
    <t>christalbot1@noemail.com</t>
  </si>
  <si>
    <t>nkdgk6o7re@m.expediapartnercentral.com</t>
  </si>
  <si>
    <t>ashleyschreurs1@noemail.com</t>
  </si>
  <si>
    <t>hs7ap9astl@m.expediapartnercentral.com</t>
  </si>
  <si>
    <t>carlpeterson1@noemail.com</t>
  </si>
  <si>
    <t>natestellricht1@noemail.com</t>
  </si>
  <si>
    <t>kellymeyers1@noemail.com</t>
  </si>
  <si>
    <t>cewrloef9v@m.expediapartnercentral.com</t>
  </si>
  <si>
    <t>joseisanchez6898@gmail.com</t>
  </si>
  <si>
    <t>williambrunick1@noemail.com</t>
  </si>
  <si>
    <t>clintthomsen1@noemail.com</t>
  </si>
  <si>
    <t>xiwr4hkt7r@m.expediapartnercentral.com</t>
  </si>
  <si>
    <t>savarykk@gmail.com</t>
  </si>
  <si>
    <t>pxeh8vonpr@m.expediapartnercentral.com</t>
  </si>
  <si>
    <t>2022-08-19</t>
  </si>
  <si>
    <t>allisonrasmussen1@noemail.com</t>
  </si>
  <si>
    <t>marilyneagleman1@noemail.com</t>
  </si>
  <si>
    <t>kellyhennrich1@noemail.com</t>
  </si>
  <si>
    <t>brittanystaton07@gmail.com</t>
  </si>
  <si>
    <t>jsumme.640625@guest.booking.com</t>
  </si>
  <si>
    <t>asturd.393770@guest.booking.com</t>
  </si>
  <si>
    <t>drmar5hu5n@m.expediapartnercentral.com</t>
  </si>
  <si>
    <t>caseycox1@noemail.com</t>
  </si>
  <si>
    <t>lukeronsiek1@noemail.com</t>
  </si>
  <si>
    <t>cstalc.757981@guest.booking.com</t>
  </si>
  <si>
    <t>cwagne.583981@guest.booking.com</t>
  </si>
  <si>
    <t>danperseke1@noemail.com</t>
  </si>
  <si>
    <t>erikmathys1@noemail.com</t>
  </si>
  <si>
    <t>barbvandrisse1@noemail.com</t>
  </si>
  <si>
    <t>cathymkreeger@yahoo.com</t>
  </si>
  <si>
    <t>michaelboone1@noemail.com</t>
  </si>
  <si>
    <t>lindahukill1@noemail.com</t>
  </si>
  <si>
    <t>taragranius1@noemail.com</t>
  </si>
  <si>
    <t>apriss.217796@guest.booking.com</t>
  </si>
  <si>
    <t>2022-08-22</t>
  </si>
  <si>
    <t>alyssachampagne1@noemail.com</t>
  </si>
  <si>
    <t>alexfriest1@noemail.com</t>
  </si>
  <si>
    <t>s.jerabek@frontier.com</t>
  </si>
  <si>
    <t>phyllisgross1@noemail.com</t>
  </si>
  <si>
    <t>trentsummers1@noemail.com</t>
  </si>
  <si>
    <t>cosminvasleardelean1@noemail.com</t>
  </si>
  <si>
    <t>richardwelsh1@noemail.com</t>
  </si>
  <si>
    <t>ericmarshall1@noemail.com</t>
  </si>
  <si>
    <t>vvq73dw3w3@m.expediapartnercentral.com</t>
  </si>
  <si>
    <t>wsadow.867219@guest.booking.com</t>
  </si>
  <si>
    <t>jennifermiller1@noemail.com</t>
  </si>
  <si>
    <t>danielhuisenga1@noemail.com</t>
  </si>
  <si>
    <t>janicekayschultz1@noemail.com</t>
  </si>
  <si>
    <t>dwalle.981018@guest.booking.com</t>
  </si>
  <si>
    <t>dave.reese@rocketmail.com</t>
  </si>
  <si>
    <t>alanprobst1@noemail.com</t>
  </si>
  <si>
    <t>cindykrakow1@noemail.com</t>
  </si>
  <si>
    <t>chilson@wapa.gov</t>
  </si>
  <si>
    <t>sliebig55@gmail.com</t>
  </si>
  <si>
    <t>9qwekisqh6@m.expediapartnercentral.com</t>
  </si>
  <si>
    <t>ocbderim66@m.expediapartnercentral.com</t>
  </si>
  <si>
    <t>ghouler23@gmail.com</t>
  </si>
  <si>
    <t>jeremysandstrom1@noemail.com</t>
  </si>
  <si>
    <t>karenschmidt1@noemail.com</t>
  </si>
  <si>
    <t>jlevin.976470@guest.booking.com</t>
  </si>
  <si>
    <t>kd-mcneil@msn.com</t>
  </si>
  <si>
    <t>xoohmjk9p9@m.expediapartnercentral.com</t>
  </si>
  <si>
    <t>8ep8mon4up@m.expediapartnercentral.com</t>
  </si>
  <si>
    <t>mbrunerhowell@kc.rr.com</t>
  </si>
  <si>
    <t>jmielk.213832@guest.booking.com</t>
  </si>
  <si>
    <t>lkthiner@hotmail.com</t>
  </si>
  <si>
    <t>neilopdahl@yahoo.com</t>
  </si>
  <si>
    <t>2023-02-26</t>
  </si>
  <si>
    <t>ftp8lpliuk@m.expediapartnercentral.com</t>
  </si>
  <si>
    <t>2022-09-23</t>
  </si>
  <si>
    <t>randyshamp1@noemail.com</t>
  </si>
  <si>
    <t>cheri.heissel@hotmail.com</t>
  </si>
  <si>
    <t>susanbenney@aol.com</t>
  </si>
  <si>
    <t>xut4ot7k2c@m.expediapartnercentral.com</t>
  </si>
  <si>
    <t>42qak8xn1n@m.expediapartnercentral.com</t>
  </si>
  <si>
    <t>ekoch@productivity.com</t>
  </si>
  <si>
    <t>2022-08-26</t>
  </si>
  <si>
    <t>bruce_irving@hotmail.com</t>
  </si>
  <si>
    <t>pete762@aol.com</t>
  </si>
  <si>
    <t>andrewdewaynejackson1@noemail.com</t>
  </si>
  <si>
    <t>kelsie.tiner@hotmail.com</t>
  </si>
  <si>
    <t>7suqtrkvnl@m.expediapartnercentral.com</t>
  </si>
  <si>
    <t>kipgearey1@noemail.com</t>
  </si>
  <si>
    <t>dflami.915282@guest.booking.com</t>
  </si>
  <si>
    <t>danal@iw.net</t>
  </si>
  <si>
    <t>4j7fxwcki8@m.expediapartnercentral.com</t>
  </si>
  <si>
    <t>2022-08-23</t>
  </si>
  <si>
    <t>kbahlers@gmail.com</t>
  </si>
  <si>
    <t>2022-11-05</t>
  </si>
  <si>
    <t>cody2589@gmail.com</t>
  </si>
  <si>
    <t>jljm9iowd2@m.expediapartnercentral.com</t>
  </si>
  <si>
    <t>almetamadelinelebarr1@noemail.com</t>
  </si>
  <si>
    <t>jamesroberts1@noemail.com</t>
  </si>
  <si>
    <t>earlmdunn@aol.com</t>
  </si>
  <si>
    <t>donwuertz1@noemail.com</t>
  </si>
  <si>
    <t>bryant_k2007@yahoo.com</t>
  </si>
  <si>
    <t>jane@minot.com</t>
  </si>
  <si>
    <t>nlazya@rap.midco.net</t>
  </si>
  <si>
    <t>lschoenrock@msn.com</t>
  </si>
  <si>
    <t>krbuysse@outlook.com</t>
  </si>
  <si>
    <t>chdi1so293@m.expediapartnercentral.com</t>
  </si>
  <si>
    <t>masksqueeze@msn.com</t>
  </si>
  <si>
    <t>dckrburg@comcast.net</t>
  </si>
  <si>
    <t>u4xm1nueu4@m.expediapartnercentral.com</t>
  </si>
  <si>
    <t>shx5uv8r26@m.expediapartnercentral.com</t>
  </si>
  <si>
    <t>charritysimons1@noemail.com</t>
  </si>
  <si>
    <t>pearson_brittney@hotmail.com</t>
  </si>
  <si>
    <t>brittanypearson1@noemail.com</t>
  </si>
  <si>
    <t>emilykk86@hotmail.com</t>
  </si>
  <si>
    <t>audreylewis1@noemail.com</t>
  </si>
  <si>
    <t>2022-08-27</t>
  </si>
  <si>
    <t>ibariella@gmail.com</t>
  </si>
  <si>
    <t>rjohnsonltd@gmail.com</t>
  </si>
  <si>
    <t>tom.d.rawls@gmail.com</t>
  </si>
  <si>
    <t>bruceanderson1@noemail.com</t>
  </si>
  <si>
    <t>michellejohnson4178@yahoo.com</t>
  </si>
  <si>
    <t>williamrowe1@noemail.com</t>
  </si>
  <si>
    <t>v9l5t2q83h@m.expediapartnercentral.com</t>
  </si>
  <si>
    <t>jketch.543186@guest.booking.com</t>
  </si>
  <si>
    <t>m3kmfdh04v@m.expediapartnercentral.com</t>
  </si>
  <si>
    <t>keimbrandi@gmail.com</t>
  </si>
  <si>
    <t>burbachmegan@gmail.com</t>
  </si>
  <si>
    <t>cnazariogt2@gmail.com</t>
  </si>
  <si>
    <t>rickydamron1@noemail.com</t>
  </si>
  <si>
    <t>sevariog@gmail.com</t>
  </si>
  <si>
    <t>2022-08-29</t>
  </si>
  <si>
    <t>qal7m0j3c2@m.expediapartnercentral.com</t>
  </si>
  <si>
    <t>7647my6pdb@m.expediapartnercentral.com</t>
  </si>
  <si>
    <t>cmeyer.319417@guest.booking.com</t>
  </si>
  <si>
    <t>114glennis@gmail.com</t>
  </si>
  <si>
    <t>2022-09-09</t>
  </si>
  <si>
    <t>sarah.farniok@yahoo.com</t>
  </si>
  <si>
    <t>jasonrenneke1@noemail.com</t>
  </si>
  <si>
    <t>horsepowerdrainage@icloud.com</t>
  </si>
  <si>
    <t>jsydnes@hotmail.com</t>
  </si>
  <si>
    <t>wscott.630822@guest.booking.com</t>
  </si>
  <si>
    <t>2022-09-14</t>
  </si>
  <si>
    <t>sschoi.543726@guest.booking.com</t>
  </si>
  <si>
    <t>samatha_opdahl@hotmail.com</t>
  </si>
  <si>
    <t>lschmidt@hcinet.net</t>
  </si>
  <si>
    <t>2022-09-06</t>
  </si>
  <si>
    <t>jlyste.876096@guest.booking.com</t>
  </si>
  <si>
    <t>kschil.449440@guest.booking.com</t>
  </si>
  <si>
    <t>tu5qtgrpso@m.expediapartnercentral.com</t>
  </si>
  <si>
    <t>justinjohnyutrzenka1@noemail.com</t>
  </si>
  <si>
    <t>lindsey.parkinson@yahoo.com</t>
  </si>
  <si>
    <t>sherrischneck1@noemail.com</t>
  </si>
  <si>
    <t>sjsellers05@outlook.com</t>
  </si>
  <si>
    <t>n8stell@gmail.com</t>
  </si>
  <si>
    <t>sgardn.472035@guest.booking.com</t>
  </si>
  <si>
    <t>rny1nhstaq@m.expediapartnercentral.com</t>
  </si>
  <si>
    <t>2022-09-16</t>
  </si>
  <si>
    <t>debrakuntz1@noemail.com</t>
  </si>
  <si>
    <t>twalke.328115@guest.booking.com</t>
  </si>
  <si>
    <t>lizarmitage3@gmail.com</t>
  </si>
  <si>
    <t>cierabennett86@gmail.com</t>
  </si>
  <si>
    <t>dcsherm@msn.com</t>
  </si>
  <si>
    <t>bcsherm@msn.com</t>
  </si>
  <si>
    <t>dazionhurst1@noemail.com</t>
  </si>
  <si>
    <t>2022-08-30</t>
  </si>
  <si>
    <t>hunter613@bellsouth.net</t>
  </si>
  <si>
    <t>jimbraun1@noemail.com</t>
  </si>
  <si>
    <t>dedry001@umn.edu</t>
  </si>
  <si>
    <t>hollythroener@yahoo.com</t>
  </si>
  <si>
    <t>sreed.958373@guest.booking.com</t>
  </si>
  <si>
    <t>rgowri.127992@guest.booking.com</t>
  </si>
  <si>
    <t>pageburkum1@noemail.com</t>
  </si>
  <si>
    <t>tsatorie1@gmail.com</t>
  </si>
  <si>
    <t>dougschwaller1@noemail.com</t>
  </si>
  <si>
    <t>timothytedscott1@noemail.com</t>
  </si>
  <si>
    <t>cobrenbird1@noemail.com</t>
  </si>
  <si>
    <t>jwisne.634343@guest.booking.com</t>
  </si>
  <si>
    <t>bssherman1996@yahoo.com</t>
  </si>
  <si>
    <t>bbrods.325596@guest.booking.com</t>
  </si>
  <si>
    <t>marcalewelt@aleweltconcrete.com</t>
  </si>
  <si>
    <t>mowe251@hotmail.com</t>
  </si>
  <si>
    <t>slong.561519@guest.booking.com</t>
  </si>
  <si>
    <t>stacybaas1@noemail.com</t>
  </si>
  <si>
    <t>w4op12qhmi@m.expediapartnercentral.com</t>
  </si>
  <si>
    <t>71me262g8j@m.expediapartnercentral.com</t>
  </si>
  <si>
    <t>r3eivhnyyx@m.expediapartnercentral.com</t>
  </si>
  <si>
    <t>jonnyoglesby1@noemail.com</t>
  </si>
  <si>
    <t>mgrohe.426144@guest.booking.com</t>
  </si>
  <si>
    <t>sean.tammy2018@gmail.com</t>
  </si>
  <si>
    <t>35ajtmyg9c@m.expediapartnercentral.com</t>
  </si>
  <si>
    <t>rustylalone@yahoo.com</t>
  </si>
  <si>
    <t>palleschi64@gmail.com</t>
  </si>
  <si>
    <t>2022-09-07</t>
  </si>
  <si>
    <t>ucpivno5by@m.expediapartnercentral.com</t>
  </si>
  <si>
    <t>dturnberg@northlandcm.com</t>
  </si>
  <si>
    <t>fqkacs4xbj@m.expediapartnercentral.com</t>
  </si>
  <si>
    <t>2022-09-30</t>
  </si>
  <si>
    <t>darylepetrzilka@yahoo.com</t>
  </si>
  <si>
    <t>msu597fwdo@m.expediapartnercentral.com</t>
  </si>
  <si>
    <t>johnlapeze1@noemail.com</t>
  </si>
  <si>
    <t>doneil@wat.midco.net</t>
  </si>
  <si>
    <t>hhb5qxpsdr@m.expediapartnercentral.com</t>
  </si>
  <si>
    <t>2022-10-04</t>
  </si>
  <si>
    <t>tannerfarnsworth1@noemail.com</t>
  </si>
  <si>
    <t>marckirsch1@noemail.com</t>
  </si>
  <si>
    <t>shawnking77@hotmail.com</t>
  </si>
  <si>
    <t>heidis@schererinc.com</t>
  </si>
  <si>
    <t>jody_sykora@hotmail.com</t>
  </si>
  <si>
    <t>joe1501@hotmail.com</t>
  </si>
  <si>
    <t>cbuchholz_09@hotmail.com</t>
  </si>
  <si>
    <t>jmills.444673@guest.booking.com</t>
  </si>
  <si>
    <t>rglos.841068@guest.booking.com</t>
  </si>
  <si>
    <t>stevea@auendist.com</t>
  </si>
  <si>
    <t>llyoddarrenmcclain1@noemail.com</t>
  </si>
  <si>
    <t>rogerthomasprice1@noemail.com</t>
  </si>
  <si>
    <t>sierralynn535@gmail.com</t>
  </si>
  <si>
    <t>jimkeaton78@gmail.com</t>
  </si>
  <si>
    <t>trevorkrcil1@noemail.com</t>
  </si>
  <si>
    <t>2a90xetj4q@m.expediapartnercentral.com</t>
  </si>
  <si>
    <t>kelstin.olson@gmail.com</t>
  </si>
  <si>
    <t>mokleven11@gmail.com</t>
  </si>
  <si>
    <t>rspaul.695252@guest.booking.com</t>
  </si>
  <si>
    <t>angelajune_71@yahoo.com</t>
  </si>
  <si>
    <t>devinsmith1@noemail.com</t>
  </si>
  <si>
    <t>seydyrivasbatres1@noemail.com</t>
  </si>
  <si>
    <t>santiago.84dias@gmail.com</t>
  </si>
  <si>
    <t>reneesharonpaulson1@noemail.com</t>
  </si>
  <si>
    <t>bdrees.863319@guest.booking.com</t>
  </si>
  <si>
    <t>alisonhoelpzner1@noemail.com</t>
  </si>
  <si>
    <t>kevin@vermeerhp.com</t>
  </si>
  <si>
    <t>chancedavies1@noemail.com</t>
  </si>
  <si>
    <t>djrgs7foln@m.expediapartnercentral.com</t>
  </si>
  <si>
    <t>l0k3fo2jj3@m.expediapartnercentral.com</t>
  </si>
  <si>
    <t>2022-10-26</t>
  </si>
  <si>
    <t>pdale.458011@guest.booking.com</t>
  </si>
  <si>
    <t>edwinware1@noemail.com</t>
  </si>
  <si>
    <t>kevindickey1@noemail.com</t>
  </si>
  <si>
    <t>weverb@earthlink.net</t>
  </si>
  <si>
    <t>tmeyer.194006@guest.booking.com</t>
  </si>
  <si>
    <t>martinwildermoth1@noemail.com</t>
  </si>
  <si>
    <t>chiefhachman@gmail.com</t>
  </si>
  <si>
    <t>garretjohnson1@noemail.com</t>
  </si>
  <si>
    <t>robertwilliampease1@noemail.com</t>
  </si>
  <si>
    <t>incorporatedwohlersc1@noemail.com</t>
  </si>
  <si>
    <t>juliemtnfolk4@gmail.com</t>
  </si>
  <si>
    <t>twilahanna1@noemail.com</t>
  </si>
  <si>
    <t>klamot.430281@guest.booking.com</t>
  </si>
  <si>
    <t>arthurowenmack1@noemail.com</t>
  </si>
  <si>
    <t>kyliemielitz1@noemail.com</t>
  </si>
  <si>
    <t>tenkleyt@aol.com</t>
  </si>
  <si>
    <t>gregscraw@gmail.com</t>
  </si>
  <si>
    <t>incorporatedwholersc1@noemail.com</t>
  </si>
  <si>
    <t>jake.kamps@ecolab.com</t>
  </si>
  <si>
    <t>5x8x4ckyv7@m.expediapartnercentral.com</t>
  </si>
  <si>
    <t>shemarwoodard1@noemail.com</t>
  </si>
  <si>
    <t>dawnreneeduffel1@noemail.com</t>
  </si>
  <si>
    <t>eavionhurst1@noemail.com</t>
  </si>
  <si>
    <t>denniscarr321@gmail.com</t>
  </si>
  <si>
    <t>ajuhnk.858153@guest.booking.com</t>
  </si>
  <si>
    <t>davidjones1@noemail.com</t>
  </si>
  <si>
    <t>michelleclemann1@noemail.com</t>
  </si>
  <si>
    <t>balmickd@live.com</t>
  </si>
  <si>
    <t>simrakhmahmood1@noemail.com</t>
  </si>
  <si>
    <t>susanwaterson1@noemail.com</t>
  </si>
  <si>
    <t>carrie.black@live.com</t>
  </si>
  <si>
    <t>ys711mffjg@m.expediapartnercentral.com</t>
  </si>
  <si>
    <t>2022-10-11</t>
  </si>
  <si>
    <t>brendacook1@noemail.com</t>
  </si>
  <si>
    <t>krboden@hotmail.com</t>
  </si>
  <si>
    <t>2023-06-11</t>
  </si>
  <si>
    <t>dcdinc590@gmail.com</t>
  </si>
  <si>
    <t>2022-10-15</t>
  </si>
  <si>
    <t>alisonenno16@gmail.com</t>
  </si>
  <si>
    <t>cjung252@gmail.com</t>
  </si>
  <si>
    <t>cindyzenk1@noemail.com</t>
  </si>
  <si>
    <t>brayanhernandezlozan1@noemail.com</t>
  </si>
  <si>
    <t>dangammeter@msn.com</t>
  </si>
  <si>
    <t>2022-11-25</t>
  </si>
  <si>
    <t>toddday1@noemail.com</t>
  </si>
  <si>
    <t>nick-clausen@hotmail.com</t>
  </si>
  <si>
    <t>romanmartynyuk1@noemail.com</t>
  </si>
  <si>
    <t>fswkax9ev5@m.expediapartnercentral.com</t>
  </si>
  <si>
    <t>davionhurts1@noemail.com</t>
  </si>
  <si>
    <t>dawn.nathan@state.sd.us</t>
  </si>
  <si>
    <t>wgoodl.313752@guest.booking.com</t>
  </si>
  <si>
    <t>douglasspenner1@noemail.com</t>
  </si>
  <si>
    <t>shamsa.764718@guest.booking.com</t>
  </si>
  <si>
    <t>pgoodl.637874@guest.booking.com</t>
  </si>
  <si>
    <t>agepha.321820@guest.booking.com</t>
  </si>
  <si>
    <t>t8kcom3xvd@m.expediapartnercentral.com</t>
  </si>
  <si>
    <t>mitchelroemer1@noemail.com</t>
  </si>
  <si>
    <t>derik@southeastern.coop</t>
  </si>
  <si>
    <t>rellabotha1@noemail.com</t>
  </si>
  <si>
    <t>jpopdahl@itctel.com</t>
  </si>
  <si>
    <t>dsteve.882156@guest.booking.com</t>
  </si>
  <si>
    <t>7esbuav9gc@m.expediapartnercentral.com</t>
  </si>
  <si>
    <t>scottbrady1@noemail.com</t>
  </si>
  <si>
    <t>hawkeyetony320@gmail.com</t>
  </si>
  <si>
    <t>grabb97@comcast.net</t>
  </si>
  <si>
    <t>chrissamek@hotmaill.com</t>
  </si>
  <si>
    <t>stanleydkapp1@noemail.com</t>
  </si>
  <si>
    <t>matthewbode1@noemail.com</t>
  </si>
  <si>
    <t>elizabethjenpges1@noemail.com</t>
  </si>
  <si>
    <t>bgrover8686@gmail.com</t>
  </si>
  <si>
    <t>jasonsargent1@noemail.com</t>
  </si>
  <si>
    <t>daxixeyd68@m.expediapartnercentral.com</t>
  </si>
  <si>
    <t>dalebriggs1955@yahoo.com</t>
  </si>
  <si>
    <t>arthurmack1@noemail.com</t>
  </si>
  <si>
    <t>benjamincharlesbarne1@noemail.com</t>
  </si>
  <si>
    <t>andrewhokom1@noemail.com</t>
  </si>
  <si>
    <t>burlegiy1@gmail.com</t>
  </si>
  <si>
    <t>nickhill1@noemail.com</t>
  </si>
  <si>
    <t>ryankoeck1@noemail.com</t>
  </si>
  <si>
    <t>lc607fnd20@m.expediapartnercentral.com</t>
  </si>
  <si>
    <t>2022-10-17</t>
  </si>
  <si>
    <t>erinmiller1@noemail.com</t>
  </si>
  <si>
    <t>petermcelmurry1@noemail.com</t>
  </si>
  <si>
    <t>gqiqpk3ghb@m.expediapartnercentral.com</t>
  </si>
  <si>
    <t>ev6tl0e0o2@m.expediapartnercentral.com</t>
  </si>
  <si>
    <t>audrarew1@noemail.com</t>
  </si>
  <si>
    <t>sheldonanhorn@yahoo.com</t>
  </si>
  <si>
    <t>jenniferkreager1@noemail.com</t>
  </si>
  <si>
    <t>liser1997@gmail.com</t>
  </si>
  <si>
    <t>reesewild@yahoo.com</t>
  </si>
  <si>
    <t>yolondapierce1@noemail.com</t>
  </si>
  <si>
    <t>kaylaek@gmail.com</t>
  </si>
  <si>
    <t>cu72wplbii@m.expediapartnercentral.com</t>
  </si>
  <si>
    <t>alderplumbing01@gmail.com</t>
  </si>
  <si>
    <t>skt5nj5ua9@m.expediapartnercentral.com</t>
  </si>
  <si>
    <t>frankrobertweimar1@noemail.com</t>
  </si>
  <si>
    <t>lindaswanson1@noemail.com</t>
  </si>
  <si>
    <t>richardbloomfield1@noemail.com</t>
  </si>
  <si>
    <t>jeremymyer1@noemail.com</t>
  </si>
  <si>
    <t>cc82848891@gmail.com</t>
  </si>
  <si>
    <t>2022-12-04</t>
  </si>
  <si>
    <t>2022-11-13</t>
  </si>
  <si>
    <t>alefeb.911853@guest.booking.com</t>
  </si>
  <si>
    <t>amwwp1qo5c@m.expediapartnercentral.com</t>
  </si>
  <si>
    <t>maralise4@gmail.com</t>
  </si>
  <si>
    <t>kaylaschelhaas1@noemail.com</t>
  </si>
  <si>
    <t>cidnpc8vaf@m.expediapartnercentral.com</t>
  </si>
  <si>
    <t>samtabitha1@noemail.com</t>
  </si>
  <si>
    <t>zearl.626762@guest.booking.com</t>
  </si>
  <si>
    <t>dv96jtua2c@m.expediapartnercentral.com</t>
  </si>
  <si>
    <t>patriciaschulke1@noemail.com</t>
  </si>
  <si>
    <t>russuttecht1@noemail.com</t>
  </si>
  <si>
    <t>2xnu9xaa8j@m.expediapartnercentral.com</t>
  </si>
  <si>
    <t>coreyhajek1@noemail.com</t>
  </si>
  <si>
    <t>meyertia@hotmail.com</t>
  </si>
  <si>
    <t>tanya.ludwick@k12.sd.us</t>
  </si>
  <si>
    <t>tonya.ludwick@k12.sd.us</t>
  </si>
  <si>
    <t>tayres@cormn.com</t>
  </si>
  <si>
    <t>myersjeremy1@noemail.com</t>
  </si>
  <si>
    <t>j.deditz@sbcglobal.net</t>
  </si>
  <si>
    <t>rvh5ie7tck@m.expediapartnercentral.com</t>
  </si>
  <si>
    <t>mbrewe.473997@guest.booking.com</t>
  </si>
  <si>
    <t>mmpmk5@premieronline.net</t>
  </si>
  <si>
    <t>2022-12-18</t>
  </si>
  <si>
    <t>eden@dakotaenv.com</t>
  </si>
  <si>
    <t>eriennefawcett1@noemail.com</t>
  </si>
  <si>
    <t>k8img5tcni@m.expediapartnercentral.com</t>
  </si>
  <si>
    <t>mfowler@vermeerhp.com</t>
  </si>
  <si>
    <t>janelled1990@gmail.com</t>
  </si>
  <si>
    <t>brianhinrichs1@noemail.com</t>
  </si>
  <si>
    <t>b2bdwtem32@m.expediapartnercentral.com</t>
  </si>
  <si>
    <t>aosuna.943581@guest.booking.com</t>
  </si>
  <si>
    <t>brandyamyers@yahoo.com</t>
  </si>
  <si>
    <t>nfirib.942380@guest.booking.com</t>
  </si>
  <si>
    <t>karric17@gmail.com</t>
  </si>
  <si>
    <t>2022-11-26</t>
  </si>
  <si>
    <t>tonyamaples1@noemail.com</t>
  </si>
  <si>
    <t>aosuna.544837@guest.booking.com</t>
  </si>
  <si>
    <t>6ea39qmo8b@m.expediapartnercentral.com</t>
  </si>
  <si>
    <t>nr9ag9mbrl@m.expediapartnercentral.com</t>
  </si>
  <si>
    <t>2022-09-27</t>
  </si>
  <si>
    <t>anthonypederson1@noemail.com</t>
  </si>
  <si>
    <t>jamiepeloquin1@noemail.com</t>
  </si>
  <si>
    <t>pogee67@hotmail.com</t>
  </si>
  <si>
    <t>fenix3103@ishsi.com</t>
  </si>
  <si>
    <t>jamiewood1@noemail.com</t>
  </si>
  <si>
    <t>schuler.yellow@gmail.com</t>
  </si>
  <si>
    <t>tylersomero1@noemail.com</t>
  </si>
  <si>
    <t>mnmopp@yahoo.com</t>
  </si>
  <si>
    <t>tchris.393471@guest.booking.com</t>
  </si>
  <si>
    <t>85wulnvgsd@m.expediapartnercentral.com</t>
  </si>
  <si>
    <t>jakededitz300@gmail.com</t>
  </si>
  <si>
    <t>natestellrecht1@noemail.com</t>
  </si>
  <si>
    <t>blangenbau@icloud.com</t>
  </si>
  <si>
    <t>dhlavac@morcon.com</t>
  </si>
  <si>
    <t>2022-11-08</t>
  </si>
  <si>
    <t>2022-11-23</t>
  </si>
  <si>
    <t>janiceirving1@noemail.com</t>
  </si>
  <si>
    <t>2022-11-09</t>
  </si>
  <si>
    <t>2022-10-19</t>
  </si>
  <si>
    <t>j8x5tt961i@m.expediapartnercentral.com</t>
  </si>
  <si>
    <t>lworth.664645@guest.booking.com</t>
  </si>
  <si>
    <t>angies@sfisk12.org</t>
  </si>
  <si>
    <t>2022-10-29</t>
  </si>
  <si>
    <t>allenlindsey1@noemail.com</t>
  </si>
  <si>
    <t>2022-09-28</t>
  </si>
  <si>
    <t>jeremyallenhugeback1@noemail.com</t>
  </si>
  <si>
    <t>evs9p4njol@m.expediapartnercentral.com</t>
  </si>
  <si>
    <t>danielsailor1@noemail.com</t>
  </si>
  <si>
    <t>jamesedwardtorborg1@noemail.com</t>
  </si>
  <si>
    <t>w.ethridge@yahoo.com</t>
  </si>
  <si>
    <t>2022-10-01</t>
  </si>
  <si>
    <t>vmdhsy5p28@m.expediapartnercentral.com</t>
  </si>
  <si>
    <t>5ibxhr614s@m.expediapartnercentral.com</t>
  </si>
  <si>
    <t>osclqi6w0h@m.expediapartnercentral.com</t>
  </si>
  <si>
    <t>jasonehlers1@noemail.com</t>
  </si>
  <si>
    <t>nathanhisel1@noemail.com</t>
  </si>
  <si>
    <t>kklogan1131@hotmail.com</t>
  </si>
  <si>
    <t>mindyhildremyr1@noemail.com</t>
  </si>
  <si>
    <t>highschoolcrosscount1@noemail.com</t>
  </si>
  <si>
    <t>03a5p0uhq8@m.expediapartnercentral.com</t>
  </si>
  <si>
    <t>jkermiller@yahoo.com</t>
  </si>
  <si>
    <t>gracie0800@yahoo.com</t>
  </si>
  <si>
    <t>dave_axt@live.com</t>
  </si>
  <si>
    <t>jkareli@yahoo.com</t>
  </si>
  <si>
    <t>valerie.woeste@gmail.com</t>
  </si>
  <si>
    <t>stottskeith1@noemail.com</t>
  </si>
  <si>
    <t>serdyutskiyviktor1@noemail.com</t>
  </si>
  <si>
    <t>lcs2006@msn.com</t>
  </si>
  <si>
    <t>allenallan1@noemail.com</t>
  </si>
  <si>
    <t>twurgler@hitinc.org</t>
  </si>
  <si>
    <t>myronstorm1@noemail.com</t>
  </si>
  <si>
    <t>quincystroggins1@noemail.com</t>
  </si>
  <si>
    <t>andersonagservice@gmail.com</t>
  </si>
  <si>
    <t>marcygabbert1@noemail.com</t>
  </si>
  <si>
    <t>joelalisondahlin@gmail.com</t>
  </si>
  <si>
    <t>lisaobrien1@noemail.com</t>
  </si>
  <si>
    <t>jonstreet@rocketmail.com</t>
  </si>
  <si>
    <t>christahorn1@noemail.com</t>
  </si>
  <si>
    <t>2022-11-19</t>
  </si>
  <si>
    <t>coleshawd1@noemail.com</t>
  </si>
  <si>
    <t>bwe@pmiiowa.com</t>
  </si>
  <si>
    <t>rachel@north-trek.com</t>
  </si>
  <si>
    <t>dpriss.174696@guest.booking.com</t>
  </si>
  <si>
    <t>2022-12-11</t>
  </si>
  <si>
    <t>avanverwerf@live.com</t>
  </si>
  <si>
    <t>ryan.johnson@awggases.com</t>
  </si>
  <si>
    <t>snlsievers@gmail.com</t>
  </si>
  <si>
    <t>corey.tonjes@yahoo.com</t>
  </si>
  <si>
    <t>2022-10-07</t>
  </si>
  <si>
    <t>rews@mitcheltelchom.net</t>
  </si>
  <si>
    <t>brooke.irene33@gmail.com</t>
  </si>
  <si>
    <t>nanny_beck@hotmail.com</t>
  </si>
  <si>
    <t>cjewert227@hotmail.com</t>
  </si>
  <si>
    <t>2022-10-05</t>
  </si>
  <si>
    <t>katielienert1@noemail.com</t>
  </si>
  <si>
    <t>jsamaas@ptcnet.net</t>
  </si>
  <si>
    <t>sdmatheson@icloud.com</t>
  </si>
  <si>
    <t>leanneclark1@noemail.com</t>
  </si>
  <si>
    <t>2022-10-14</t>
  </si>
  <si>
    <t>gplaya.553647@guest.booking.com</t>
  </si>
  <si>
    <t>joehanson1@noemail.com</t>
  </si>
  <si>
    <t>margiecaviezel1@noemail.com</t>
  </si>
  <si>
    <t>gustavoargueta1@noemail.com</t>
  </si>
  <si>
    <t>packplaytravel@gmail.com</t>
  </si>
  <si>
    <t>b.smith3@verizon.net</t>
  </si>
  <si>
    <t>dumbcook@hotmail.com</t>
  </si>
  <si>
    <t>trosal.949612@guest.booking.com</t>
  </si>
  <si>
    <t>robertportscheller1@noemail.com</t>
  </si>
  <si>
    <t>joycejolenevankooten1@noemail.com</t>
  </si>
  <si>
    <t>accounts@gps-tanks.com</t>
  </si>
  <si>
    <t>sharonheying1@noemail.com</t>
  </si>
  <si>
    <t>wesdreyer@aol.com</t>
  </si>
  <si>
    <t>bettyrisseeu1@noemail.com</t>
  </si>
  <si>
    <t>jeffreydeanvankooten1@noemail.com</t>
  </si>
  <si>
    <t>barryjohn1@noemail.com</t>
  </si>
  <si>
    <t>escoubatanthony@yahoo.com</t>
  </si>
  <si>
    <t>2022-10-25</t>
  </si>
  <si>
    <t>joetwetovick1@noemail.com</t>
  </si>
  <si>
    <t>alvindeboer1@noemail.com</t>
  </si>
  <si>
    <t>mkuma347@gmail.com</t>
  </si>
  <si>
    <t>estonross@gmail.com</t>
  </si>
  <si>
    <t>harris.k253@gmail.com</t>
  </si>
  <si>
    <t>seppsamuel1@noemail.com</t>
  </si>
  <si>
    <t>danielsamuel1@noemail.com</t>
  </si>
  <si>
    <t>justinblade1@noemail.com</t>
  </si>
  <si>
    <t>samuelseppanen1@noemail.com</t>
  </si>
  <si>
    <t>jerrybusman1@noemail.com</t>
  </si>
  <si>
    <t>baronpennington1@noemail.com</t>
  </si>
  <si>
    <t>shielawetovick1@noemail.com</t>
  </si>
  <si>
    <t>ksands715@outlook.com</t>
  </si>
  <si>
    <t>shelbgt07@gmail.com</t>
  </si>
  <si>
    <t>marilynchana@missouristate.edu</t>
  </si>
  <si>
    <t>prestonkt91@yahoo.com</t>
  </si>
  <si>
    <t>2022-10-18</t>
  </si>
  <si>
    <t>stephaniemetzger1@noemail.com</t>
  </si>
  <si>
    <t>2022-10-31</t>
  </si>
  <si>
    <t>jojokt@hotmail.com</t>
  </si>
  <si>
    <t>2022-11-12</t>
  </si>
  <si>
    <t>timothysickler1@noemail.com</t>
  </si>
  <si>
    <t>jenniferharrell1@noemail.com</t>
  </si>
  <si>
    <t>glencharlessrjealous1@noemail.com</t>
  </si>
  <si>
    <t>ericpenn1@noemail.com</t>
  </si>
  <si>
    <t>2022-10-12</t>
  </si>
  <si>
    <t>johnodonnell1@noemail.com</t>
  </si>
  <si>
    <t>mbietz@icloud.com</t>
  </si>
  <si>
    <t>tejanssen10@gmail.com</t>
  </si>
  <si>
    <t>rmbruins@comcast.net</t>
  </si>
  <si>
    <t>tkdewaard@comm1net.net</t>
  </si>
  <si>
    <t>hinesa3008@gmail.com</t>
  </si>
  <si>
    <t>rickyhurd1@noemail.com</t>
  </si>
  <si>
    <t>waldopepper48@gmail.com</t>
  </si>
  <si>
    <t>edwardgilbert1@noemail.com</t>
  </si>
  <si>
    <t>jundtfamily@msn.com</t>
  </si>
  <si>
    <t>cdarling0517@gmail.com</t>
  </si>
  <si>
    <t>codyweaver@millerinsulation.com</t>
  </si>
  <si>
    <t>mariepalmer1@noemail.com</t>
  </si>
  <si>
    <t>johntschetter@gmail.com</t>
  </si>
  <si>
    <t>cara_22_lee@hotmail.com</t>
  </si>
  <si>
    <t>mikeerickson876@gmail.com</t>
  </si>
  <si>
    <t>shanewiedemann1@noemail.com</t>
  </si>
  <si>
    <t>barneyhd56@gmail.com</t>
  </si>
  <si>
    <t>renee1@itcmilbank.com</t>
  </si>
  <si>
    <t>shiellbarbara@gmail.com</t>
  </si>
  <si>
    <t>nate@inn-technologies.com</t>
  </si>
  <si>
    <t>wesleyschmidt1@noemail.com</t>
  </si>
  <si>
    <t>lilerinc3@yahoo.com</t>
  </si>
  <si>
    <t>ddfredrickson1977@gmail.com</t>
  </si>
  <si>
    <t>tracykleven1@noemail.com</t>
  </si>
  <si>
    <t>katrinagilpin1042001@icloud.com</t>
  </si>
  <si>
    <t>amandaphillips1@noemail.com</t>
  </si>
  <si>
    <t>paulamundson69@yahoo.com</t>
  </si>
  <si>
    <t>2022-10-24</t>
  </si>
  <si>
    <t>c4l2012@yahoo.com</t>
  </si>
  <si>
    <t>whiteheadsheri1@noemail.com</t>
  </si>
  <si>
    <t>hasbyeric@yahoo.com</t>
  </si>
  <si>
    <t>jordanfitch16@gmail.com</t>
  </si>
  <si>
    <t>karlredelfs1@noemail.com</t>
  </si>
  <si>
    <t>brianbarber1@noemail.com</t>
  </si>
  <si>
    <t>diann.killion@gmail.com</t>
  </si>
  <si>
    <t>2023-07-30</t>
  </si>
  <si>
    <t>2022-11-21</t>
  </si>
  <si>
    <t>sharriwirth1@noemail.com</t>
  </si>
  <si>
    <t>adorri.954246@guest.booking.com</t>
  </si>
  <si>
    <t>usmannasar1@noemail.com</t>
  </si>
  <si>
    <t>brianbrimer1@noemail.com</t>
  </si>
  <si>
    <t>garyhudson1@noemail.com</t>
  </si>
  <si>
    <t>page.zane@gmail.com</t>
  </si>
  <si>
    <t>sarahgoodhart1@noemail.com</t>
  </si>
  <si>
    <t>heartforprov31@gmail.com</t>
  </si>
  <si>
    <t>davidwright1@noemail.com</t>
  </si>
  <si>
    <t>2022-10-21</t>
  </si>
  <si>
    <t>justinkettwig1@noemail.com</t>
  </si>
  <si>
    <t>gurpreetsinghbrarnor1@noemail.com</t>
  </si>
  <si>
    <t>josh281tc@midco.net</t>
  </si>
  <si>
    <t>nickygilbertson1@noemail.com</t>
  </si>
  <si>
    <t>kpt1800@gmail.com</t>
  </si>
  <si>
    <t>gilbertsonnicholle1@noemail.com</t>
  </si>
  <si>
    <t>mandmspare@gmail.com</t>
  </si>
  <si>
    <t>susanwinker1@noemail.com</t>
  </si>
  <si>
    <t>breannaoveson10@gmail.com</t>
  </si>
  <si>
    <t>kylefritze1@noemail.com</t>
  </si>
  <si>
    <t>kellygrone69@gmail.com</t>
  </si>
  <si>
    <t>cntpotter@gmail.com</t>
  </si>
  <si>
    <t>carstymom@hotmail.com</t>
  </si>
  <si>
    <t>rlhenning2020@icloud.com</t>
  </si>
  <si>
    <t>tjmonick@gmail.com</t>
  </si>
  <si>
    <t>lorenvictor1@noemail.com</t>
  </si>
  <si>
    <t>kristinbuckmaster@outlook.com</t>
  </si>
  <si>
    <t>stevebenning1@noemail.com</t>
  </si>
  <si>
    <t>joleneherr1@noemail.com</t>
  </si>
  <si>
    <t>sherryanderson1@noemail.com</t>
  </si>
  <si>
    <t>mari5457@gmail.com</t>
  </si>
  <si>
    <t>bradyminer1@noemail.com</t>
  </si>
  <si>
    <t>robertwillanburt1@noemail.com</t>
  </si>
  <si>
    <t>loriweaver1@noemail.com</t>
  </si>
  <si>
    <t>moniquewalters1@noemail.com</t>
  </si>
  <si>
    <t>franknanchtman1@noemail.com</t>
  </si>
  <si>
    <t>nathanielroberthofer1@noemail.com</t>
  </si>
  <si>
    <t>bettyrager1@noemail.com</t>
  </si>
  <si>
    <t>milanbatula1@noemail.com</t>
  </si>
  <si>
    <t>kimberlylamm1@noemail.com</t>
  </si>
  <si>
    <t>wagnerjennifer13@gmail.com</t>
  </si>
  <si>
    <t>elsakamphuis@hotmail.com</t>
  </si>
  <si>
    <t>kandace21@gmail.com</t>
  </si>
  <si>
    <t>sandygaspar@gmail.com</t>
  </si>
  <si>
    <t>denniskrull1@noemail.com</t>
  </si>
  <si>
    <t>lori.kokes@yahoo.com</t>
  </si>
  <si>
    <t>anthony.j.sommerfeld@gmail.com</t>
  </si>
  <si>
    <t>jenn@ackermangruber.com</t>
  </si>
  <si>
    <t>erringlines@gmail.com</t>
  </si>
  <si>
    <t>barrywillemssen1@noemail.com</t>
  </si>
  <si>
    <t>rvick2001@yahoo.com</t>
  </si>
  <si>
    <t>kaciecrom@gmail.com</t>
  </si>
  <si>
    <t>craigjones1@noemail.com</t>
  </si>
  <si>
    <t>duanew@midstatesd.net</t>
  </si>
  <si>
    <t>2022-12-12</t>
  </si>
  <si>
    <t>mollysterk@hotmail.com</t>
  </si>
  <si>
    <t>heather.fischer75@yahoo.com</t>
  </si>
  <si>
    <t>allysonperry1@noemail.com</t>
  </si>
  <si>
    <t>sgirre.810491@guest.booking.com</t>
  </si>
  <si>
    <t>loeschkecy@gmail.com</t>
  </si>
  <si>
    <t>2023-02-19</t>
  </si>
  <si>
    <t>natkoc.579264@guest.booking.com</t>
  </si>
  <si>
    <t>richardillies1@noemail.com</t>
  </si>
  <si>
    <t>patrick.nate@miron-construction.com</t>
  </si>
  <si>
    <t>mickey1007@gmail.com</t>
  </si>
  <si>
    <t>lass.alexandria@gmail.com</t>
  </si>
  <si>
    <t>sreka55@hotmail.com</t>
  </si>
  <si>
    <t>joshleth1@noemail.com</t>
  </si>
  <si>
    <t>alankuchenbaker1@noemail.com</t>
  </si>
  <si>
    <t>tjpilant@hotmail.com</t>
  </si>
  <si>
    <t>mandi_b42@hotmail.com</t>
  </si>
  <si>
    <t>drvanderwerf@msn.com</t>
  </si>
  <si>
    <t>dalialopez83@gmail.com</t>
  </si>
  <si>
    <t>nickolasgreiner1@noemail.com</t>
  </si>
  <si>
    <t>branthollister@gmail.com</t>
  </si>
  <si>
    <t>omerlunaa@gmail.com</t>
  </si>
  <si>
    <t>elvinttado@yahoo.com</t>
  </si>
  <si>
    <t>abigailbruins@gmail.com</t>
  </si>
  <si>
    <t>leslymidhquiri1@noemail.com</t>
  </si>
  <si>
    <t>russfurby1@noemail.com</t>
  </si>
  <si>
    <t>dwaynebrown1@noemail.com</t>
  </si>
  <si>
    <t>scottdries1@noemail.com</t>
  </si>
  <si>
    <t>jerome.nesheim@k12.sd.us</t>
  </si>
  <si>
    <t>donley5917@gmail.com</t>
  </si>
  <si>
    <t>casbro79llc@gmail.com</t>
  </si>
  <si>
    <t>dtwiss78@gmail.com</t>
  </si>
  <si>
    <t>coryatchison1@noemail.com</t>
  </si>
  <si>
    <t>jeffreydeanhoyum1@noemail.com</t>
  </si>
  <si>
    <t>scottnichols1@noemail.com</t>
  </si>
  <si>
    <t>davidchamber1@noemail.com</t>
  </si>
  <si>
    <t>carna.hoglund@gmail.com</t>
  </si>
  <si>
    <t>djacobson814@gmail.com</t>
  </si>
  <si>
    <t>salvar.205713@guest.booking.com</t>
  </si>
  <si>
    <t>kofihester1@noemail.com</t>
  </si>
  <si>
    <t>2022-11-02</t>
  </si>
  <si>
    <t>danielpatch1@noemail.com</t>
  </si>
  <si>
    <t>tlarso.227674@guest.booking.com</t>
  </si>
  <si>
    <t>2023-04-02</t>
  </si>
  <si>
    <t>2shriners@gmail.com</t>
  </si>
  <si>
    <t>errolsoto1@noemail.com</t>
  </si>
  <si>
    <t>kylegratke1@noemail.com</t>
  </si>
  <si>
    <t>phemann63@gmail.com</t>
  </si>
  <si>
    <t>claudiageanine@hotmail.es</t>
  </si>
  <si>
    <t>maunuelpintobrizuela1@noemail.com</t>
  </si>
  <si>
    <t>brittbueckers@gmail.com</t>
  </si>
  <si>
    <t>patleitheiser1@noemail.com</t>
  </si>
  <si>
    <t>larryehultgren@gmail.com</t>
  </si>
  <si>
    <t>joe.becky.poehls@gmail.com</t>
  </si>
  <si>
    <t>tami.smithyahoo@gmail.com</t>
  </si>
  <si>
    <t>rawald@midlands.net</t>
  </si>
  <si>
    <t>brettjackson1@noemail.com</t>
  </si>
  <si>
    <t>cassie.araujo2020@gmail.com</t>
  </si>
  <si>
    <t>laurie@soldbyangie.com</t>
  </si>
  <si>
    <t>tannergassman92@gmail.com</t>
  </si>
  <si>
    <t>lasercreekinc@gmail.com</t>
  </si>
  <si>
    <t>kari@nvc.net</t>
  </si>
  <si>
    <t>douglassipma1@noemail.com</t>
  </si>
  <si>
    <t>kylen@arnorthamerica.com</t>
  </si>
  <si>
    <t>oand616@gmail.com</t>
  </si>
  <si>
    <t>jenna@dfsins.com</t>
  </si>
  <si>
    <t>2022-11-04</t>
  </si>
  <si>
    <t>tgates.812166@guest.booking.com</t>
  </si>
  <si>
    <t>lauraleelm541@gmail.com</t>
  </si>
  <si>
    <t>2022-11-18</t>
  </si>
  <si>
    <t>collin.lafrance@gmail.com</t>
  </si>
  <si>
    <t>gmaopal@hotmail.com</t>
  </si>
  <si>
    <t>kristopherwilliameva1@noemail.com</t>
  </si>
  <si>
    <t>schumatroy@gmail.com</t>
  </si>
  <si>
    <t>tip10plus10@gmail.com</t>
  </si>
  <si>
    <t>k67camaro@unitelsd.com</t>
  </si>
  <si>
    <t>josecruz1@noemail.com</t>
  </si>
  <si>
    <t>telegram1@hotmail.com</t>
  </si>
  <si>
    <t>kennethmeyer1@noemail.com</t>
  </si>
  <si>
    <t>tamigerhard1@noemail.com</t>
  </si>
  <si>
    <t>3mjfm399al@m.expediapartnercentral.com</t>
  </si>
  <si>
    <t>v7563hmoby@m.expediapartnercentral.com</t>
  </si>
  <si>
    <t>2022-11-07</t>
  </si>
  <si>
    <t>andymoon1@noemail.com</t>
  </si>
  <si>
    <t>2022-11-11</t>
  </si>
  <si>
    <t>paigemari32@hotmail.com</t>
  </si>
  <si>
    <t>porterlaw@rushmore.com</t>
  </si>
  <si>
    <t>jamesholland1@noemail.com</t>
  </si>
  <si>
    <t>angelafischer1@noemail.com</t>
  </si>
  <si>
    <t>wendyadams1@noemail.com</t>
  </si>
  <si>
    <t>jamesclintonrue1@noemail.com</t>
  </si>
  <si>
    <t>delcieschofieldhall1@noemail.com</t>
  </si>
  <si>
    <t>lindamrather@gmail.com</t>
  </si>
  <si>
    <t>niccis@svmps.com</t>
  </si>
  <si>
    <t>2022-11-17</t>
  </si>
  <si>
    <t>mooncreek@mvtzwirless.com</t>
  </si>
  <si>
    <t>markmayer1@noemail.com</t>
  </si>
  <si>
    <t>geareysautosales@hotmail.com</t>
  </si>
  <si>
    <t>joshgrooters1@noemail.com</t>
  </si>
  <si>
    <t>abrahammuhammad1@noemail.com</t>
  </si>
  <si>
    <t>jon.debondt95@gmail.com</t>
  </si>
  <si>
    <t>castlehenry@gmail.com</t>
  </si>
  <si>
    <t>mrchristiandraper@gmail.com</t>
  </si>
  <si>
    <t>2022-12-24</t>
  </si>
  <si>
    <t>jillschuman1@noemail.com</t>
  </si>
  <si>
    <t>rwid1@swiftel.net</t>
  </si>
  <si>
    <t>smurftasic18@gmail.com</t>
  </si>
  <si>
    <t>dvstange@nvc.net</t>
  </si>
  <si>
    <t>staceytschetter1@noemail.com</t>
  </si>
  <si>
    <t>eq0yakf3go@m.expediapartnercentral.com</t>
  </si>
  <si>
    <t>ag-coatings@live.com</t>
  </si>
  <si>
    <t>leannconn1@noemail.com</t>
  </si>
  <si>
    <t>varilekbulls@midstatesd.net</t>
  </si>
  <si>
    <t>brentstadt1@noemail.com</t>
  </si>
  <si>
    <t>2022-11-16</t>
  </si>
  <si>
    <t>barberange50@gmail.com</t>
  </si>
  <si>
    <t>plawler@agcocorp.com</t>
  </si>
  <si>
    <t>janet.anderegg@yahoo.com</t>
  </si>
  <si>
    <t>jhamilton@venturecomm.net</t>
  </si>
  <si>
    <t>kateortner1@noemail.com</t>
  </si>
  <si>
    <t>dominicdesloover1@noemail.com</t>
  </si>
  <si>
    <t>alejandrocesar1@noemail.com</t>
  </si>
  <si>
    <t>christopherflitton1@noemail.com</t>
  </si>
  <si>
    <t>kevinstalter1@noemail.com</t>
  </si>
  <si>
    <t>cjelli.117506@guest.booking.com</t>
  </si>
  <si>
    <t>2023-10-29</t>
  </si>
  <si>
    <t>stephanienafus1@noemail.com</t>
  </si>
  <si>
    <t>nm119404mmm@gmail.com</t>
  </si>
  <si>
    <t>kellymcdona@hotmail.com</t>
  </si>
  <si>
    <t>jgarvi.485217@guest.booking.com</t>
  </si>
  <si>
    <t>johnlafave1@noemail.com</t>
  </si>
  <si>
    <t>barbmeekhof@yahoo.com</t>
  </si>
  <si>
    <t>n9n437gtfy@m.expediapartnercentral.com</t>
  </si>
  <si>
    <t>mbmtujfk5a@m.expediapartnercentral.com</t>
  </si>
  <si>
    <t>2022-12-19</t>
  </si>
  <si>
    <t>converginttech1@noemail.com</t>
  </si>
  <si>
    <t>abbeerman@gmail.com</t>
  </si>
  <si>
    <t>2022-11-14</t>
  </si>
  <si>
    <t>jeffven1@noemail.com</t>
  </si>
  <si>
    <t>2022-11-15</t>
  </si>
  <si>
    <t>matthewashley1@noemail.com</t>
  </si>
  <si>
    <t>carrieschmidt1@noemail.com</t>
  </si>
  <si>
    <t>2022-12-05</t>
  </si>
  <si>
    <t>robert.holm@adesa.com</t>
  </si>
  <si>
    <t>flatland@frt.com</t>
  </si>
  <si>
    <t>luke.volden@gmail.com</t>
  </si>
  <si>
    <t>wilburgabbert1@noemail.com</t>
  </si>
  <si>
    <t>brianreynoldson1@noemail.com</t>
  </si>
  <si>
    <t>gregfry1@noemail.com</t>
  </si>
  <si>
    <t>ao04x6m6wo@m.expediapartnercentral.com</t>
  </si>
  <si>
    <t>bbrunello6@gmail.com</t>
  </si>
  <si>
    <t>rb7aep04h6@m.expediapartnercentral.com</t>
  </si>
  <si>
    <t>brittgay1@noemail.com</t>
  </si>
  <si>
    <t>breahow94@gmail.com</t>
  </si>
  <si>
    <t>alexlopezlopez1@noemail.com</t>
  </si>
  <si>
    <t>hannaleenagel1@noemail.com</t>
  </si>
  <si>
    <t>carolfields1@icloud.com</t>
  </si>
  <si>
    <t>2022-12-06</t>
  </si>
  <si>
    <t>roberttucker1@noemail.com</t>
  </si>
  <si>
    <t>jamieoveracker1@noemail.com</t>
  </si>
  <si>
    <t>j9vgae45gy@m.expediapartnercentral.com</t>
  </si>
  <si>
    <t>qoldr@qoldr.net</t>
  </si>
  <si>
    <t>tsdcia58k0@m.expediapartnercentral.com</t>
  </si>
  <si>
    <t>grantaschinger1@noemail.com</t>
  </si>
  <si>
    <t>q4q05yyda4@m.expediapartnercentral.com</t>
  </si>
  <si>
    <t>jenstroschein@gmail.com</t>
  </si>
  <si>
    <t>tamisaue1@noemail.com</t>
  </si>
  <si>
    <t>juliebrent91@gmail.com</t>
  </si>
  <si>
    <t>amandahenneberg1@noemail.com</t>
  </si>
  <si>
    <t>austondarnel1@noemail.com</t>
  </si>
  <si>
    <t>scottbauman1@noemail.com</t>
  </si>
  <si>
    <t>cindyschmitz33@gmail.com</t>
  </si>
  <si>
    <t>bdrees.509241@guest.booking.com</t>
  </si>
  <si>
    <t>2022-11-22</t>
  </si>
  <si>
    <t>teresa.dalman@gmail.com</t>
  </si>
  <si>
    <t>polson_gavin38@yahoo.com</t>
  </si>
  <si>
    <t>goodsell21@gmail.com</t>
  </si>
  <si>
    <t>andysihrer1@noemail.com</t>
  </si>
  <si>
    <t>alexourada@hotmail.com</t>
  </si>
  <si>
    <t>unavailable@noemailatall.com</t>
  </si>
  <si>
    <t>jmunger90@hotmail.com</t>
  </si>
  <si>
    <t>richardmontgomery1@noemail.com</t>
  </si>
  <si>
    <t>paulhauswald1@noemail.com</t>
  </si>
  <si>
    <t>lisa_amadahl@hotmail.com</t>
  </si>
  <si>
    <t>joshgrooterstundergr1@noemail.com</t>
  </si>
  <si>
    <t>armandoelizalde1@noemail.com</t>
  </si>
  <si>
    <t>kopp.linds@gmail.com</t>
  </si>
  <si>
    <t>dagenais35@gmail.com</t>
  </si>
  <si>
    <t>jlweber1989@gmail.com</t>
  </si>
  <si>
    <t>wp8291ntkd@m.expediapartnercentral.com</t>
  </si>
  <si>
    <t>2022-11-30</t>
  </si>
  <si>
    <t>sdparts@sabersfarm.com</t>
  </si>
  <si>
    <t>derekahlers1@noemail.com</t>
  </si>
  <si>
    <t>danielle16_31@hotmail.com</t>
  </si>
  <si>
    <t>stewartwaltner1@noemail.com</t>
  </si>
  <si>
    <t>jeffreywalz1@noemail.com</t>
  </si>
  <si>
    <t>matthewholbrook1@noemail.com</t>
  </si>
  <si>
    <t>verineblackelk1@noemail.com</t>
  </si>
  <si>
    <t>jrsteckline1@noemail.com</t>
  </si>
  <si>
    <t>laurieklein@msn.com</t>
  </si>
  <si>
    <t>ronaldosborn1@noemail.com</t>
  </si>
  <si>
    <t>markbosveld1@noemail.com</t>
  </si>
  <si>
    <t>valeriejune2071@gmail.com</t>
  </si>
  <si>
    <t>2023-01-01</t>
  </si>
  <si>
    <t>jameswynja1@noemail.com</t>
  </si>
  <si>
    <t>3k5xaes1um@m.expediapartnercentral.com</t>
  </si>
  <si>
    <t>2022-12-02</t>
  </si>
  <si>
    <t>n001lf0r8m@m.expediapartnercentral.com</t>
  </si>
  <si>
    <t>zfink00@gmail.com</t>
  </si>
  <si>
    <t>impherson@hotmail.com</t>
  </si>
  <si>
    <t>zacjohannsen72@gmail.com</t>
  </si>
  <si>
    <t>2022-12-26</t>
  </si>
  <si>
    <t>cbragd.308233@guest.booking.com</t>
  </si>
  <si>
    <t>2022-11-28</t>
  </si>
  <si>
    <t>chuckbeckman80@gmail.com</t>
  </si>
  <si>
    <t>firedown54@hotmail.com</t>
  </si>
  <si>
    <t>2022-12-30</t>
  </si>
  <si>
    <t>heidi@kohlskicking.com</t>
  </si>
  <si>
    <t>batulaaleksandar1@noemail.com</t>
  </si>
  <si>
    <t>2022-11-29</t>
  </si>
  <si>
    <t>cassie.larsen@outlook.com</t>
  </si>
  <si>
    <t>2022-12-10</t>
  </si>
  <si>
    <t>derekgors1@noemail.com</t>
  </si>
  <si>
    <t>ddeber.535597@guest.booking.com</t>
  </si>
  <si>
    <t>2023-01-08</t>
  </si>
  <si>
    <t>tylerlundberg28@gmail.com</t>
  </si>
  <si>
    <t>ropitz.751842@guest.booking.com</t>
  </si>
  <si>
    <t>2023-06-25</t>
  </si>
  <si>
    <t>jeffreyveen1@noemail.com</t>
  </si>
  <si>
    <t>kenny.reed@midwestfamily.com</t>
  </si>
  <si>
    <t>hotelfax@crsth.com</t>
  </si>
  <si>
    <t>sarahvarney1@noemail.com</t>
  </si>
  <si>
    <t>rehabeverlast1@noemail.com</t>
  </si>
  <si>
    <t>brettschneiderp@gmail.com</t>
  </si>
  <si>
    <t>ryanharr1@noemail.com</t>
  </si>
  <si>
    <t>2023-01-09</t>
  </si>
  <si>
    <t>srschook86@gmail.com</t>
  </si>
  <si>
    <t>charleshansen1@noemail.com</t>
  </si>
  <si>
    <t>lisa.collins9803@yahoo.com</t>
  </si>
  <si>
    <t>sarahgoodhart@hotmail.com</t>
  </si>
  <si>
    <t>joelvanorder1@noemail.com</t>
  </si>
  <si>
    <t>lmnmdove@gmail.com</t>
  </si>
  <si>
    <t>annelodobasic1@noemail.com</t>
  </si>
  <si>
    <t>rockingk@hotmail.com</t>
  </si>
  <si>
    <t>dmnorris2013@gmail.com</t>
  </si>
  <si>
    <t>laramiegoodsellnorth1@noemail.com</t>
  </si>
  <si>
    <t>lyndseepherson1@noemail.com</t>
  </si>
  <si>
    <t>2022-12-03</t>
  </si>
  <si>
    <t>o6vcgfbu0x@m.expediapartnercentral.com</t>
  </si>
  <si>
    <t>allisonhendrickson1@noemail.com</t>
  </si>
  <si>
    <t>alyshamortenson1@noemail.com</t>
  </si>
  <si>
    <t>austinsigsworth1@noemail.com</t>
  </si>
  <si>
    <t>9iahb3ts2b@m.expediapartnercentral.com</t>
  </si>
  <si>
    <t>lindseywalton@rocketmail.com</t>
  </si>
  <si>
    <t>jeffj75keiser@gmail.com</t>
  </si>
  <si>
    <t>sweber@santel.net</t>
  </si>
  <si>
    <t>2023-02-12</t>
  </si>
  <si>
    <t>kmiller@costelloco.com</t>
  </si>
  <si>
    <t>2022-12-09</t>
  </si>
  <si>
    <t>patricialarson1@noemail.com</t>
  </si>
  <si>
    <t>mcollison@sio.midco.net</t>
  </si>
  <si>
    <t>2022-12-07</t>
  </si>
  <si>
    <t>kpeterson@loretel.net</t>
  </si>
  <si>
    <t>mrmrsmatthewtvedt1@noemail.com</t>
  </si>
  <si>
    <t>derekmiles1@noemail.com</t>
  </si>
  <si>
    <t>chadbiedz1@noemail.com</t>
  </si>
  <si>
    <t>angiekaney@yahoo.com</t>
  </si>
  <si>
    <t>timothyollerich1@noemail.com</t>
  </si>
  <si>
    <t>t1omanm349@m.expediapartnercentral.com</t>
  </si>
  <si>
    <t>scottmattison1@noemail.com</t>
  </si>
  <si>
    <t>shannaneubauerbridea1@noemail.com</t>
  </si>
  <si>
    <t>2023-01-29</t>
  </si>
  <si>
    <t>larisatroupe_33@hotmail.com</t>
  </si>
  <si>
    <t>beckyreardon1@noemail.com</t>
  </si>
  <si>
    <t>kevinbecker@tbrothers.com</t>
  </si>
  <si>
    <t>aaronwohlleber1@noemail.com</t>
  </si>
  <si>
    <t>loganwalterredding1@noemail.com</t>
  </si>
  <si>
    <t>kare11bear@gmail.com</t>
  </si>
  <si>
    <t>2023-01-15</t>
  </si>
  <si>
    <t>jordanfreese06@gmail.com</t>
  </si>
  <si>
    <t>leroyslater1@noemail.com</t>
  </si>
  <si>
    <t>poiritd320@gmail.com</t>
  </si>
  <si>
    <t>rachelle.waldon@gmail.com</t>
  </si>
  <si>
    <t>2023-01-22</t>
  </si>
  <si>
    <t>terryhaugan1@noemail.com</t>
  </si>
  <si>
    <t>kemoseng80@gmail.com</t>
  </si>
  <si>
    <t>hope.palmer88@gmail.com</t>
  </si>
  <si>
    <t>skulbosj18@gmail.com</t>
  </si>
  <si>
    <t>manfredwise1@noemail.com</t>
  </si>
  <si>
    <t>tamarreed1@noemail.com</t>
  </si>
  <si>
    <t>jrlo03rhkw@m.expediapartnercentral.com</t>
  </si>
  <si>
    <t>2023-03-08</t>
  </si>
  <si>
    <t>e6q2gow4uw@m.expediapartnercentral.com</t>
  </si>
  <si>
    <t>2022-12-13</t>
  </si>
  <si>
    <t>myblue_eyez@yahoo.com</t>
  </si>
  <si>
    <t>2023-07-31</t>
  </si>
  <si>
    <t>2022-12-15</t>
  </si>
  <si>
    <t>kcbrockman@gmail.com</t>
  </si>
  <si>
    <t>jc64426@hotmail.com</t>
  </si>
  <si>
    <t>gschaefer2368@gmail.com</t>
  </si>
  <si>
    <t>kcwiebs@sio.midco.net</t>
  </si>
  <si>
    <t>korey.relph@gmail.com</t>
  </si>
  <si>
    <t>clintleevanholland1@noemail.com</t>
  </si>
  <si>
    <t>rdahl76@hotmail.com</t>
  </si>
  <si>
    <t>danward1@noemail.com</t>
  </si>
  <si>
    <t>blakewayneanderson1@noemail.com</t>
  </si>
  <si>
    <t>kovalt13@gmail.com</t>
  </si>
  <si>
    <t>chadrbent@gmail.com</t>
  </si>
  <si>
    <t>rickzib@outlook.com</t>
  </si>
  <si>
    <t>ha36m9i57b@m.expediapartnercentral.com</t>
  </si>
  <si>
    <t>berniecehansen1@noemail.com</t>
  </si>
  <si>
    <t>9qlt6arqbu@m.expediapartnercentral.com</t>
  </si>
  <si>
    <t>225lsw7qtd@m.expediapartnercentral.com</t>
  </si>
  <si>
    <t>paularyan@ymail.com</t>
  </si>
  <si>
    <t>2022-12-27</t>
  </si>
  <si>
    <t>cskinn.779450@guest.booking.com</t>
  </si>
  <si>
    <t>2022-12-14</t>
  </si>
  <si>
    <t>randallmays1@noemail.com</t>
  </si>
  <si>
    <t>2022-12-21</t>
  </si>
  <si>
    <t>3uooo313y8@m.expediapartnercentral.com</t>
  </si>
  <si>
    <t>2022-12-25</t>
  </si>
  <si>
    <t>4oql5w3sm5@m.expediapartnercentral.com</t>
  </si>
  <si>
    <t>9qm7svvx66@m.expediapartnercentral.com</t>
  </si>
  <si>
    <t>kevin_husby@yahoo.com</t>
  </si>
  <si>
    <t>swarraymimi1@noemail.com</t>
  </si>
  <si>
    <t>lynnoteri1@noemail.com</t>
  </si>
  <si>
    <t>justinorjohnathantem1@noemail.com</t>
  </si>
  <si>
    <t>casgkdoud3@m.expediapartnercentral.com</t>
  </si>
  <si>
    <t>2023-01-16</t>
  </si>
  <si>
    <t>vickystudelska1@noemail.com</t>
  </si>
  <si>
    <t>2022-12-16</t>
  </si>
  <si>
    <t>marchrdlicka1@noemail.com</t>
  </si>
  <si>
    <t>anthonyraystaudt1@noemail.com</t>
  </si>
  <si>
    <t>cameronjacobwhisler1@noemail.com</t>
  </si>
  <si>
    <t>thomasduncan1@noemail.com</t>
  </si>
  <si>
    <t>quentinmiles1@noemail.com</t>
  </si>
  <si>
    <t>christopherlounsbery1@noemail.com</t>
  </si>
  <si>
    <t>chadwagner1@noemail.com</t>
  </si>
  <si>
    <t>2023-01-06</t>
  </si>
  <si>
    <t>amygru@yahoo.com</t>
  </si>
  <si>
    <t>arthurpepper1@noemail.com</t>
  </si>
  <si>
    <t>adamcraig1@noemail.com</t>
  </si>
  <si>
    <t>donaldgeorgeheurcher1@noemail.com</t>
  </si>
  <si>
    <t>erickjdabbs@yahoo.com</t>
  </si>
  <si>
    <t>claytonangle1@noemail.com</t>
  </si>
  <si>
    <t>kathyl@doublehpaving.com</t>
  </si>
  <si>
    <t>rodgergodfrey1@noemail.com</t>
  </si>
  <si>
    <t>2022-12-17</t>
  </si>
  <si>
    <t>serenity.dougherty@huskers.unl.edu</t>
  </si>
  <si>
    <t>dansear1@noemail.com</t>
  </si>
  <si>
    <t>pimg6xxqr5@m.expediapartnercentral.com</t>
  </si>
  <si>
    <t>derekdvorak1@noemail.com</t>
  </si>
  <si>
    <t>gleenwaid1@noemail.com</t>
  </si>
  <si>
    <t>jwilkening@barnhartcrane.com</t>
  </si>
  <si>
    <t>tabanthok1@noemail.com</t>
  </si>
  <si>
    <t>nrfui25g9i@m.expediapartnercentral.com</t>
  </si>
  <si>
    <t>2gtn4d8iq5@m.expediapartnercentral.com</t>
  </si>
  <si>
    <t>nuc424g4wh@m.expediapartnercentral.com</t>
  </si>
  <si>
    <t>adamseverson@grossenburg.com</t>
  </si>
  <si>
    <t>2022-12-20</t>
  </si>
  <si>
    <t>ybp4n2d4ux@m.expediapartnercentral.com</t>
  </si>
  <si>
    <t>2023-03-31</t>
  </si>
  <si>
    <t>3uepexdpt8@m.expediapartnercentral.com</t>
  </si>
  <si>
    <t>adamseverson1@noemail.com</t>
  </si>
  <si>
    <t>kevinbennett1@noemail.com</t>
  </si>
  <si>
    <t>timmeiners1@noemail.com</t>
  </si>
  <si>
    <t>macluna1@noemail.com</t>
  </si>
  <si>
    <t>2022-12-23</t>
  </si>
  <si>
    <t>harlowthompson1@noemail.com</t>
  </si>
  <si>
    <t>je56r48is8@m.expediapartnercentral.com</t>
  </si>
  <si>
    <t>leebetty.holst@gmail.com</t>
  </si>
  <si>
    <t>andykolce1@noemail.com</t>
  </si>
  <si>
    <t>christopherwielenga1@noemail.com</t>
  </si>
  <si>
    <t>2023-01-14</t>
  </si>
  <si>
    <t>don.charlson@gmail.com</t>
  </si>
  <si>
    <t>carlabenton1@noemail.com</t>
  </si>
  <si>
    <t>lucas.wosje@gmail.com</t>
  </si>
  <si>
    <t>keithreinhard1@noemail.com</t>
  </si>
  <si>
    <t>tinajenkins56@gmail.com</t>
  </si>
  <si>
    <t>shantewoolet1@noemail.com</t>
  </si>
  <si>
    <t>amberbraithwaite1@noemail.com</t>
  </si>
  <si>
    <t>debolson94@yahoo.com</t>
  </si>
  <si>
    <t>austinpohlen@gmail.com</t>
  </si>
  <si>
    <t>ericsmith1@noemail.com</t>
  </si>
  <si>
    <t>michelleunruth1@noemail.com</t>
  </si>
  <si>
    <t>rbe_2812@hotmail.com</t>
  </si>
  <si>
    <t>josephandrewjohnson1@noemail.com</t>
  </si>
  <si>
    <t>tq5myu2t5a@m.expediapartnercentral.com</t>
  </si>
  <si>
    <t>denniswebber1@noemail.com</t>
  </si>
  <si>
    <t>matthewfortin1@noemail.com</t>
  </si>
  <si>
    <t>2022-12-28</t>
  </si>
  <si>
    <t>joshwilson337@gmail.com</t>
  </si>
  <si>
    <t>geovantyredeemer1@noemail.com</t>
  </si>
  <si>
    <t>idaplate1@noemail.com</t>
  </si>
  <si>
    <t>carlasd39@gmail.com</t>
  </si>
  <si>
    <t>caleblarson1@noemail.com</t>
  </si>
  <si>
    <t>bailey.hoffmann1765@gmail.com</t>
  </si>
  <si>
    <t>bbvanschepen@gmail.com</t>
  </si>
  <si>
    <t>cyndischnabel@gmail.com</t>
  </si>
  <si>
    <t>nanciwells@gmail.com</t>
  </si>
  <si>
    <t>lulugertsema@gmail.com</t>
  </si>
  <si>
    <t>2023-12-24</t>
  </si>
  <si>
    <t>whu009rklp@m.expediapartnercentral.com</t>
  </si>
  <si>
    <t>2023-01-02</t>
  </si>
  <si>
    <t>marandaslocum1@noemail.com</t>
  </si>
  <si>
    <t>yh1yjwgeoq@m.expediapartnercentral.com</t>
  </si>
  <si>
    <t>deanwaldner1@noemail.com</t>
  </si>
  <si>
    <t>davebult1@noemail.com</t>
  </si>
  <si>
    <t>a48ei62dr5@m.expediapartnercentral.com</t>
  </si>
  <si>
    <t>williamsamuelson1@noemail.com</t>
  </si>
  <si>
    <t>vicentpalmer1@noemail.com</t>
  </si>
  <si>
    <t>andrewpierce1@noemail.com</t>
  </si>
  <si>
    <t>joshuasmith1@noemail.com</t>
  </si>
  <si>
    <t>rajnjeff@hotmail.com</t>
  </si>
  <si>
    <t>clintonmcneil1@noemail.com</t>
  </si>
  <si>
    <t>qqu39wpy19@m.expediapartnercentral.com</t>
  </si>
  <si>
    <t>taylorballing1@noemail.com</t>
  </si>
  <si>
    <t>charleneswitzer1@noemail.com</t>
  </si>
  <si>
    <t>bradydiamond1@noemail.com</t>
  </si>
  <si>
    <t>annawoinarowicz1@noemail.com</t>
  </si>
  <si>
    <t>annaperea1984@hotmail.com</t>
  </si>
  <si>
    <t>claytonlong1@noemail.com</t>
  </si>
  <si>
    <t>layne5150@yahoo.com</t>
  </si>
  <si>
    <t>jrobertsthompson@gmail.com</t>
  </si>
  <si>
    <t>kenny52@hotmail.com</t>
  </si>
  <si>
    <t>minnibhet2@gmail.com</t>
  </si>
  <si>
    <t>zjames088@gmail.com</t>
  </si>
  <si>
    <t>mkoept82@hotmail.com</t>
  </si>
  <si>
    <t>2023-03-05</t>
  </si>
  <si>
    <t>krystleleclaire1@noemail.com</t>
  </si>
  <si>
    <t>stevenhanson1@noemail.com</t>
  </si>
  <si>
    <t>25bwn9vgsc@m.expediapartnercentral.com</t>
  </si>
  <si>
    <t>k8p9bdd263@m.expediapartnercentral.com</t>
  </si>
  <si>
    <t>wq2k028w6r@m.expediapartnercentral.com</t>
  </si>
  <si>
    <t>bgvkm9cx50@m.expediapartnercentral.com</t>
  </si>
  <si>
    <t>kipstertczs@hotmail.com</t>
  </si>
  <si>
    <t>kj6d5oyqnl@m.expediapartnercentral.com</t>
  </si>
  <si>
    <t>jrzuraff@gmail.com</t>
  </si>
  <si>
    <t>charlesgreer1@noemail.com</t>
  </si>
  <si>
    <t>rpsingh_3@hotmail.com</t>
  </si>
  <si>
    <t>2023-01-07</t>
  </si>
  <si>
    <t>crystalbothun1@noemail.com</t>
  </si>
  <si>
    <t>spencerolson1@noemail.com</t>
  </si>
  <si>
    <t>richardhonke1@noemail.com</t>
  </si>
  <si>
    <t>2023-01-05</t>
  </si>
  <si>
    <t>dwhite.701492@guest.booking.com</t>
  </si>
  <si>
    <t>2023-01-03</t>
  </si>
  <si>
    <t>justinbladow1@noemail.com</t>
  </si>
  <si>
    <t>tom@glanzer.org</t>
  </si>
  <si>
    <t>leslymizhquiri1@noemail.com</t>
  </si>
  <si>
    <t>2023-01-04</t>
  </si>
  <si>
    <t>bigtyme3174@gmail.com</t>
  </si>
  <si>
    <t>tbracht@gaccbluejays.org</t>
  </si>
  <si>
    <t>2023-02-04</t>
  </si>
  <si>
    <t>johntravnicek1@noemail.com</t>
  </si>
  <si>
    <t>teresasobiech1@noemail.com</t>
  </si>
  <si>
    <t>jessehamman1@noemail.com</t>
  </si>
  <si>
    <t>shanesiemonsma1@noemail.com</t>
  </si>
  <si>
    <t>travisallen1@noemail.com</t>
  </si>
  <si>
    <t>edavison08@gmail.com</t>
  </si>
  <si>
    <t>tylershiell1@noemail.com</t>
  </si>
  <si>
    <t>joegewksbury1@noemail.com</t>
  </si>
  <si>
    <t>scottsturtz1@noemail.com</t>
  </si>
  <si>
    <t>timothytooley1@noemail.com</t>
  </si>
  <si>
    <t>bcschreier@gmail.com</t>
  </si>
  <si>
    <t>cadconsd@gmail.com</t>
  </si>
  <si>
    <t>kristopherevans1@noemail.com</t>
  </si>
  <si>
    <t>davidrobledo1@noemail.com</t>
  </si>
  <si>
    <t>sdooli.730406@guest.booking.com</t>
  </si>
  <si>
    <t>wetterichgregorym@johndeere.com</t>
  </si>
  <si>
    <t>2023-01-11</t>
  </si>
  <si>
    <t>arnolodocantunorther1@noemail.com</t>
  </si>
  <si>
    <t>2023-01-10</t>
  </si>
  <si>
    <t>jfink99@sbcglobal.net</t>
  </si>
  <si>
    <t>andreahollis1@noemail.com</t>
  </si>
  <si>
    <t>brentvonk1@noemail.com</t>
  </si>
  <si>
    <t>kimkint@yahoo.com</t>
  </si>
  <si>
    <t>apokwou4fu@m.expediapartnercentral.com</t>
  </si>
  <si>
    <t>marilynyoumans1@noemail.com</t>
  </si>
  <si>
    <t>theresamilinkovich1@noemail.com</t>
  </si>
  <si>
    <t>nmatra.791918@guest.booking.com</t>
  </si>
  <si>
    <t>hollyschendel1@noemail.com</t>
  </si>
  <si>
    <t>jessrabin@hotmail.com</t>
  </si>
  <si>
    <t>2023-01-28</t>
  </si>
  <si>
    <t>derekwhite1@noemail.com</t>
  </si>
  <si>
    <t>2023-01-12</t>
  </si>
  <si>
    <t>davidmessineo1@noemail.com</t>
  </si>
  <si>
    <t>jacobmertz1@noemail.com</t>
  </si>
  <si>
    <t>2023-01-13</t>
  </si>
  <si>
    <t>whitlrus@hotmail.com</t>
  </si>
  <si>
    <t>dennisweber1@noemail.com</t>
  </si>
  <si>
    <t>lisab@acsdoor.com</t>
  </si>
  <si>
    <t>holteexcavation@hotmail.com</t>
  </si>
  <si>
    <t>andavidson@rocketmai.com</t>
  </si>
  <si>
    <t>2023-01-30</t>
  </si>
  <si>
    <t>barbraa1975@gmail.com</t>
  </si>
  <si>
    <t>dtscha.509715@guest.booking.com</t>
  </si>
  <si>
    <t>0bvkaujti1@m.expediapartnercentral.com</t>
  </si>
  <si>
    <t>a7srdl1lgp@m.expediapartnercentral.com</t>
  </si>
  <si>
    <t>toddtrauman1@noemail.com</t>
  </si>
  <si>
    <t>kroudabush@gmail.com</t>
  </si>
  <si>
    <t>cshippy@icloud.com</t>
  </si>
  <si>
    <t>412jayu4yf@m.expediapartnercentral.com</t>
  </si>
  <si>
    <t>2023-05-12</t>
  </si>
  <si>
    <t>shericarlson21@hotmail.com</t>
  </si>
  <si>
    <t>tnetsch@gmail.com</t>
  </si>
  <si>
    <t>dnomsen@gmail.com</t>
  </si>
  <si>
    <t>brandi@j-rmechanical.com</t>
  </si>
  <si>
    <t>yisc25qrb1@m.expediapartnercentral.com</t>
  </si>
  <si>
    <t>skhowells5@gmail.com</t>
  </si>
  <si>
    <t>2023-03-26</t>
  </si>
  <si>
    <t>joanvanderwaal1@noemail.com</t>
  </si>
  <si>
    <t>austinpatzel032@gmail.com</t>
  </si>
  <si>
    <t>weilerbog@hotmail.com</t>
  </si>
  <si>
    <t>brianbarrett1@noemail.com</t>
  </si>
  <si>
    <t>damiondavidson1@noemail.com</t>
  </si>
  <si>
    <t>keitha@g4cm.com</t>
  </si>
  <si>
    <t>2023-01-20</t>
  </si>
  <si>
    <t>suzieipina78@yahoo.com</t>
  </si>
  <si>
    <t>shorty211985@gmail.com</t>
  </si>
  <si>
    <t>scerny.927102@guest.booking.com</t>
  </si>
  <si>
    <t>2023-08-27</t>
  </si>
  <si>
    <t>drewieruckman1@noemail.com</t>
  </si>
  <si>
    <t>16j6rdmnio@m.expediapartnercentral.com</t>
  </si>
  <si>
    <t>tylerhummel@grossenburg.com</t>
  </si>
  <si>
    <t>2023-01-18</t>
  </si>
  <si>
    <t>39ui1cxjdb@m.expediapartnercentral.com</t>
  </si>
  <si>
    <t>2023-01-23</t>
  </si>
  <si>
    <t>garyleejones1@noemail.com</t>
  </si>
  <si>
    <t>w15qrkhta4@m.expediapartnercentral.com</t>
  </si>
  <si>
    <t>shall.676366@guest.booking.com</t>
  </si>
  <si>
    <t>bsifri.472861@guest.booking.com</t>
  </si>
  <si>
    <t>rodneyminor1@noemail.com</t>
  </si>
  <si>
    <t>jasonbradshaw1@noemail.com</t>
  </si>
  <si>
    <t>deannacollins1@noemail.com</t>
  </si>
  <si>
    <t>hayleeraehuke@icloud.com</t>
  </si>
  <si>
    <t>y9y7ceuek0@m.expediapartnercentral.com</t>
  </si>
  <si>
    <t>2023-01-19</t>
  </si>
  <si>
    <t>dillonangel1@noemail.com</t>
  </si>
  <si>
    <t>tjohns.639684@guest.booking.com</t>
  </si>
  <si>
    <t>jc@metrocon.us</t>
  </si>
  <si>
    <t>jeremywilliamson1@noemail.com</t>
  </si>
  <si>
    <t>jefnchk@venturecomm.net</t>
  </si>
  <si>
    <t>klabat.905483@guest.booking.com</t>
  </si>
  <si>
    <t>jlrenner_7@hotmail.com</t>
  </si>
  <si>
    <t>ealeitheiser@hotmail.com</t>
  </si>
  <si>
    <t>anthony.pritzaau@state.sd.us</t>
  </si>
  <si>
    <t>2023-04-17</t>
  </si>
  <si>
    <t>inoj_76@yahoo.com</t>
  </si>
  <si>
    <t>cmeink.291628@guest.booking.com</t>
  </si>
  <si>
    <t>alexandra.henry31788@icloud.com</t>
  </si>
  <si>
    <t>sharri.hermosa@gmail.com</t>
  </si>
  <si>
    <t>lebreibenbach4@gmail.com</t>
  </si>
  <si>
    <t>gthesi.666550@guest.booking.com</t>
  </si>
  <si>
    <t>rwrigh.209019@guest.booking.com</t>
  </si>
  <si>
    <t>spurlingnjohnorthern1@noemail.com</t>
  </si>
  <si>
    <t>cjc@drtel.net</t>
  </si>
  <si>
    <t>jacquerieffer@yahoo.com</t>
  </si>
  <si>
    <t>littleftandandjewels@yahoo.com</t>
  </si>
  <si>
    <t>peder.788252@guest.booking.com</t>
  </si>
  <si>
    <t>4kbng9dc13@m.expediapartnercentral.com</t>
  </si>
  <si>
    <t>2023-06-08</t>
  </si>
  <si>
    <t>lilysteinhaus@gmail.com</t>
  </si>
  <si>
    <t>i6j5jd9ihs@m.expediapartnercentral.com</t>
  </si>
  <si>
    <t>yvettedumont1@noemail.com</t>
  </si>
  <si>
    <t>jerry453@hotmail.com</t>
  </si>
  <si>
    <t>2023-02-18</t>
  </si>
  <si>
    <t>hayengatim@gmail.com</t>
  </si>
  <si>
    <t>ianthatcher1@noemail.com</t>
  </si>
  <si>
    <t>scott.sauder@yahoo.com</t>
  </si>
  <si>
    <t>gnicho.479195@guest.booking.com</t>
  </si>
  <si>
    <t>788o2lq48v@m.expediapartnercentral.com</t>
  </si>
  <si>
    <t>michealjones1@noemail.com</t>
  </si>
  <si>
    <t>2023-01-17</t>
  </si>
  <si>
    <t>satnamsingh1@noemail.com</t>
  </si>
  <si>
    <t>ferrisbauman1@noemail.com</t>
  </si>
  <si>
    <t>2023-01-21</t>
  </si>
  <si>
    <t>arlen.gortmaker@gmail.com</t>
  </si>
  <si>
    <t>2023-04-16</t>
  </si>
  <si>
    <t>zachareyscottballard1@noemail.com</t>
  </si>
  <si>
    <t>chelseakadinger21@icloud.com</t>
  </si>
  <si>
    <t>se.tractors@aol.com</t>
  </si>
  <si>
    <t>marksteig@gmail.com</t>
  </si>
  <si>
    <t>hsenjem@gmail.com</t>
  </si>
  <si>
    <t>brandihaaven1@noemail.com</t>
  </si>
  <si>
    <t>jome5i8fxp@m.expediapartnercentral.com</t>
  </si>
  <si>
    <t>heavensangel16171617@gmail.com</t>
  </si>
  <si>
    <t>ericabbymetzger@gmail.com</t>
  </si>
  <si>
    <t>melindan43@yahoo.com</t>
  </si>
  <si>
    <t>rebeccasandy1@noemail.com</t>
  </si>
  <si>
    <t>hgfcho2un6@m.expediapartnercentral.com</t>
  </si>
  <si>
    <t>l1vhene3xg@m.expediapartnercentral.com</t>
  </si>
  <si>
    <t>brucegroen1@noemail.com</t>
  </si>
  <si>
    <t>adamjonspooner1@noemail.com</t>
  </si>
  <si>
    <t>arendsbill41@gmail.com</t>
  </si>
  <si>
    <t>brian@access2tanzania.com</t>
  </si>
  <si>
    <t>cedstr.728233@guest.booking.com</t>
  </si>
  <si>
    <t>pattyt1982@gamil.com</t>
  </si>
  <si>
    <t>lo7hnlmllk@m.expediapartnercentral.com</t>
  </si>
  <si>
    <t>kvanzee1@gmail.com</t>
  </si>
  <si>
    <t>cacputz@gmail.com</t>
  </si>
  <si>
    <t>dlkonoll@gwtc.net</t>
  </si>
  <si>
    <t>erikhansen1@noemail.com</t>
  </si>
  <si>
    <t>clgudowjje@m.expediapartnercentral.com</t>
  </si>
  <si>
    <t>2023-01-26</t>
  </si>
  <si>
    <t>a8ghtv83yo@m.expediapartnercentral.com</t>
  </si>
  <si>
    <t>jtracer16@gmail.com</t>
  </si>
  <si>
    <t>martha.pagel@frontier.com</t>
  </si>
  <si>
    <t>nmusyk.713293@guest.booking.com</t>
  </si>
  <si>
    <t>cheetia710@gmail.com</t>
  </si>
  <si>
    <t>dan.murphy@murphycrs.com</t>
  </si>
  <si>
    <t>2023-02-05</t>
  </si>
  <si>
    <t>brandon@allaround.com</t>
  </si>
  <si>
    <t>kellywinter1@noemail.com</t>
  </si>
  <si>
    <t>aldenaecklein1@noemail.com</t>
  </si>
  <si>
    <t>aliciahall022@gmail.com</t>
  </si>
  <si>
    <t>cwel7wpoku@m.expediapartnercentral.com</t>
  </si>
  <si>
    <t>jeromegeorgeson1@noemail.com</t>
  </si>
  <si>
    <t>jbrand.712721@guest.booking.com</t>
  </si>
  <si>
    <t>ctmagic24@yahoo.com</t>
  </si>
  <si>
    <t>dagd2diclk@m.expediapartnercentral.com</t>
  </si>
  <si>
    <t>jamespolk1@noemail.com</t>
  </si>
  <si>
    <t>terraheilman5@gmail.com</t>
  </si>
  <si>
    <t>stuartgraesser1@noemail.com</t>
  </si>
  <si>
    <t>prd522@yahoo.com</t>
  </si>
  <si>
    <t>2023-01-31</t>
  </si>
  <si>
    <t>rebecca.johnson@ghec.k12.mn.us</t>
  </si>
  <si>
    <t>2023-04-23</t>
  </si>
  <si>
    <t>lvhonrud@outlook.com</t>
  </si>
  <si>
    <t>jacobmueller1@noemail.com</t>
  </si>
  <si>
    <t>tonihill1@noemail.com</t>
  </si>
  <si>
    <t>michellevirtue1@noemail.com</t>
  </si>
  <si>
    <t>marykruta2@gmail.com</t>
  </si>
  <si>
    <t>fhhbqe6hcb@m.expediapartnercentral.com</t>
  </si>
  <si>
    <t>o079fail5g@m.expediapartnercentral.com</t>
  </si>
  <si>
    <t>2023-01-27</t>
  </si>
  <si>
    <t>nicholaspeters1@noemail.com</t>
  </si>
  <si>
    <t>2023-01-24</t>
  </si>
  <si>
    <t>cluden.836422@guest.booking.com</t>
  </si>
  <si>
    <t>jjeffers_969@hotmail.com</t>
  </si>
  <si>
    <t>la_bola128@hotmail.com</t>
  </si>
  <si>
    <t>2023-01-25</t>
  </si>
  <si>
    <t>lisa@justsomagical.com</t>
  </si>
  <si>
    <t>patrickjohnson1@noemail.com</t>
  </si>
  <si>
    <t>francisvoracek1@noemail.com</t>
  </si>
  <si>
    <t>dennisakers1@noemail.com</t>
  </si>
  <si>
    <t>randyascheman1@noemail.com</t>
  </si>
  <si>
    <t>christopherchoyce1@noemail.com</t>
  </si>
  <si>
    <t>onxv975pse@m.expediapartnercentral.com</t>
  </si>
  <si>
    <t>jamesleenorthernligh1@noemail.com</t>
  </si>
  <si>
    <t>2023-02-01</t>
  </si>
  <si>
    <t>lbartges@homfurniture.com</t>
  </si>
  <si>
    <t>2023-07-03</t>
  </si>
  <si>
    <t>tjamms9294@gmail.com</t>
  </si>
  <si>
    <t>2023-02-15</t>
  </si>
  <si>
    <t>rpchristenson@kfi-eng.com</t>
  </si>
  <si>
    <t>hgvgn6ggor@m.expediapartnercentral.com</t>
  </si>
  <si>
    <t>2023-02-08</t>
  </si>
  <si>
    <t>blsdvv6es8@m.expediapartnercentral.com</t>
  </si>
  <si>
    <t>2023-02-14</t>
  </si>
  <si>
    <t>jerrykosner1@noemail.com</t>
  </si>
  <si>
    <t>fg28ec3bxh@m.expediapartnercentral.com</t>
  </si>
  <si>
    <t>2023-02-03</t>
  </si>
  <si>
    <t>janell@twowaysolutionsinc.com</t>
  </si>
  <si>
    <t>shaneirwin1@noemail.com</t>
  </si>
  <si>
    <t>anncatherineahart@hotmail.com</t>
  </si>
  <si>
    <t>zigambrosek1@noemail.com</t>
  </si>
  <si>
    <t>keithvanwesten1@noemail.com</t>
  </si>
  <si>
    <t>shannonopitz1@noemail.com</t>
  </si>
  <si>
    <t>jsriedjr@gmail.com</t>
  </si>
  <si>
    <t>paul.r.howland@gmail.com</t>
  </si>
  <si>
    <t>2023-05-30</t>
  </si>
  <si>
    <t>kaleb.david@miron-construction.com</t>
  </si>
  <si>
    <t>terryreck52@gmail.com</t>
  </si>
  <si>
    <t>tinkerbell208@yahoo.com</t>
  </si>
  <si>
    <t>h57y5bd7ip@m.expediapartnercentral.com</t>
  </si>
  <si>
    <t>candancenannenga1@noemail.com</t>
  </si>
  <si>
    <t>phillipdowns1@noemail.com</t>
  </si>
  <si>
    <t>gailmiller6006@gmail.com</t>
  </si>
  <si>
    <t>xk5lvep5jq@m.expediapartnercentral.com</t>
  </si>
  <si>
    <t>chaseallenwilliams1@noemail.com</t>
  </si>
  <si>
    <t>joelalvarado1@noemail.com</t>
  </si>
  <si>
    <t>jgvotetgs2@m.expediapartnercentral.com</t>
  </si>
  <si>
    <t>jessehirsch1@noemail.com</t>
  </si>
  <si>
    <t>2023-02-02</t>
  </si>
  <si>
    <t>klmarf@msn.com</t>
  </si>
  <si>
    <t>2023-04-30</t>
  </si>
  <si>
    <t>melanielschneider95@gmail.com</t>
  </si>
  <si>
    <t>pattin1964@yahoo.com</t>
  </si>
  <si>
    <t>2023-03-04</t>
  </si>
  <si>
    <t>roberthoffmann1@noemail.com</t>
  </si>
  <si>
    <t>kaneamadou1@noemail.com</t>
  </si>
  <si>
    <t>jchapp.492193@guest.booking.com</t>
  </si>
  <si>
    <t>uvbffh8aet@m.expediapartnercentral.com</t>
  </si>
  <si>
    <t>kristinamalecek1@noemail.com</t>
  </si>
  <si>
    <t>7y0icik8xh@m.expediapartnercentral.com</t>
  </si>
  <si>
    <t>bradywersinger51@gmail.com</t>
  </si>
  <si>
    <t>2023-02-20</t>
  </si>
  <si>
    <t>zacharyjohnson1@noemail.com</t>
  </si>
  <si>
    <t>wtysda.869526@guest.booking.com</t>
  </si>
  <si>
    <t>40xq5go5s3@m.expediapartnercentral.com</t>
  </si>
  <si>
    <t>stevenwestley1@noemail.com</t>
  </si>
  <si>
    <t>2023-02-11</t>
  </si>
  <si>
    <t>bbruch.364528@guest.booking.com</t>
  </si>
  <si>
    <t>2023-02-06</t>
  </si>
  <si>
    <t>jacobdonaldglossenge1@noemail.com</t>
  </si>
  <si>
    <t>megancarsons1@noemail.com</t>
  </si>
  <si>
    <t>ktveid.841974@guest.booking.com</t>
  </si>
  <si>
    <t>mark@psiroof.com</t>
  </si>
  <si>
    <t>andrewrichardgangl1@noemail.com</t>
  </si>
  <si>
    <t>bbruch.163038@guest.booking.com</t>
  </si>
  <si>
    <t>acevesrosy21@gmail.com</t>
  </si>
  <si>
    <t>laurareyna1@noemail.com</t>
  </si>
  <si>
    <t>joelbernet40@yahoo.com</t>
  </si>
  <si>
    <t>leechytka1@noemail.com</t>
  </si>
  <si>
    <t>jolson@sumainsurance.com</t>
  </si>
  <si>
    <t>tejohnson@simplot.com</t>
  </si>
  <si>
    <t>kateandryanortner1@noemail.com</t>
  </si>
  <si>
    <t>jessicaskretta1@noemail.com</t>
  </si>
  <si>
    <t>2023-02-16</t>
  </si>
  <si>
    <t>lesliegray1@noemail.com</t>
  </si>
  <si>
    <t>2023-02-09</t>
  </si>
  <si>
    <t>coltonjungjohan1@noemail.com</t>
  </si>
  <si>
    <t>2023-03-02</t>
  </si>
  <si>
    <t>natekaim1@noemail.com</t>
  </si>
  <si>
    <t>2023-02-23</t>
  </si>
  <si>
    <t>mkling@mvtvwireless.com</t>
  </si>
  <si>
    <t>jadanelsonclark22@gmail.com</t>
  </si>
  <si>
    <t>kirstiehoon1@noemail.com</t>
  </si>
  <si>
    <t>2023-06-09</t>
  </si>
  <si>
    <t>mjbietz@aol.com</t>
  </si>
  <si>
    <t>tbuck0373@gmail.com</t>
  </si>
  <si>
    <t>edabbs.ncm@gmail.com</t>
  </si>
  <si>
    <t>kimberlekaye@gmail.com</t>
  </si>
  <si>
    <t>2023-02-07</t>
  </si>
  <si>
    <t>2023-04-21</t>
  </si>
  <si>
    <t>2023-03-24</t>
  </si>
  <si>
    <t>kellyjohnson1515@hotmail.com</t>
  </si>
  <si>
    <t>2023-03-17</t>
  </si>
  <si>
    <t>2023-03-10</t>
  </si>
  <si>
    <t>2023-05-05</t>
  </si>
  <si>
    <t>2023-04-28</t>
  </si>
  <si>
    <t>2023-03-03</t>
  </si>
  <si>
    <t>2023-02-10</t>
  </si>
  <si>
    <t>2023-02-21</t>
  </si>
  <si>
    <t>2023-02-17</t>
  </si>
  <si>
    <t>2023-04-14</t>
  </si>
  <si>
    <t>2023-04-07</t>
  </si>
  <si>
    <t>zachjrhofer1@noemail.com</t>
  </si>
  <si>
    <t>cmd009@morningside.edu</t>
  </si>
  <si>
    <t>cgreen@neighborhooddentalcare.com</t>
  </si>
  <si>
    <t>squeakkerisme@gmail.com</t>
  </si>
  <si>
    <t>tstoya.934215@guest.booking.com</t>
  </si>
  <si>
    <t>garyandsteph@yahoo.com</t>
  </si>
  <si>
    <t>2023-05-22</t>
  </si>
  <si>
    <t>concretenorthland1@noemail.com</t>
  </si>
  <si>
    <t>s_teslaa09@yahoo.com</t>
  </si>
  <si>
    <t>2023-03-25</t>
  </si>
  <si>
    <t>michaelstevenson1@noemail.com</t>
  </si>
  <si>
    <t>kevinquinn1@noemail.com</t>
  </si>
  <si>
    <t>mklatt.634755@guest.booking.com</t>
  </si>
  <si>
    <t>baileyweems1@noemail.com</t>
  </si>
  <si>
    <t>2023-02-13</t>
  </si>
  <si>
    <t>billkelsey1@noemail.com</t>
  </si>
  <si>
    <t>gmcintosh555@icloud.com</t>
  </si>
  <si>
    <t>ryandemers1@noemail.com</t>
  </si>
  <si>
    <t>tonak@wavecom.net</t>
  </si>
  <si>
    <t>troyopdahl1@noemail.com</t>
  </si>
  <si>
    <t>charlesterrell1@noemail.com</t>
  </si>
  <si>
    <t>mdkoerner79@gmail.com</t>
  </si>
  <si>
    <t>jeanne@reachchurhne.org</t>
  </si>
  <si>
    <t>ozziesmj@hotmail.com</t>
  </si>
  <si>
    <t>richmcmahon1@noemail.com</t>
  </si>
  <si>
    <t>lxrdi4t7br@m.expediapartnercentral.com</t>
  </si>
  <si>
    <t>7h5ss9cmgt@m.expediapartnercentral.com</t>
  </si>
  <si>
    <t>letigir@aol.com</t>
  </si>
  <si>
    <t>janettecwagner@gmail.com</t>
  </si>
  <si>
    <t>cmtiedtke@msn.com</t>
  </si>
  <si>
    <t>m5nm0xfpf2@m.expediapartnercentral.com</t>
  </si>
  <si>
    <t>sjsauder@itctel.com</t>
  </si>
  <si>
    <t>nicole.dardis@gmail.com</t>
  </si>
  <si>
    <t>charityannewaldner1@noemail.com</t>
  </si>
  <si>
    <t>chrisluden1@noemail.com</t>
  </si>
  <si>
    <t>gcolemanfarm@hotmail.com</t>
  </si>
  <si>
    <t>amy.akers@yahoo.com</t>
  </si>
  <si>
    <t>r_sperry@hotmail.com</t>
  </si>
  <si>
    <t>cschoe.249714@guest.booking.com</t>
  </si>
  <si>
    <t>charlesbeckman1@noemail.com</t>
  </si>
  <si>
    <t>husmanjessica1@noemail.com</t>
  </si>
  <si>
    <t>matthewschnabel1@noemail.com</t>
  </si>
  <si>
    <t>kristen21@hotmail.com</t>
  </si>
  <si>
    <t>jacobpeterson1@noemail.com</t>
  </si>
  <si>
    <t>kger2016@gmail.com</t>
  </si>
  <si>
    <t>janetraesmith1@noemail.com</t>
  </si>
  <si>
    <t>mmmtcranie@gmail.com</t>
  </si>
  <si>
    <t>sickerson.t@gmail.com</t>
  </si>
  <si>
    <t>dgschultze@gmail.com</t>
  </si>
  <si>
    <t>gahbriellesharaimcbr1@noemail.com</t>
  </si>
  <si>
    <t>hannaattema@gmail.com</t>
  </si>
  <si>
    <t>dahengel05@gmail.com</t>
  </si>
  <si>
    <t>kaitlynchristian1@noemail.com</t>
  </si>
  <si>
    <t>andrewsihrer1@noemail.com</t>
  </si>
  <si>
    <t>hummelsmoving@hotmail.com</t>
  </si>
  <si>
    <t>taylorbell1@noemail.com</t>
  </si>
  <si>
    <t>welter.anna@yahoo.com</t>
  </si>
  <si>
    <t>2023-02-27</t>
  </si>
  <si>
    <t>jhanss222@gmail.com</t>
  </si>
  <si>
    <t>annmr63@hotmail.com</t>
  </si>
  <si>
    <t>taylor@perrinetech.com</t>
  </si>
  <si>
    <t>2023-03-20</t>
  </si>
  <si>
    <t>joshuapape1@noemail.com</t>
  </si>
  <si>
    <t>lewisgalloway1@noemail.com</t>
  </si>
  <si>
    <t>rick.shoeheart@gmail.com</t>
  </si>
  <si>
    <t>marci@rebuildsocal.org</t>
  </si>
  <si>
    <t>2023-03-12</t>
  </si>
  <si>
    <t>katoduncan@gmail.com</t>
  </si>
  <si>
    <t>2023-07-04</t>
  </si>
  <si>
    <t>skvanness@outlook.com</t>
  </si>
  <si>
    <t>debrafinzen1@noemail.com</t>
  </si>
  <si>
    <t>roseann.schauer@state.mn.us</t>
  </si>
  <si>
    <t>michelleheeren1@noemail.com</t>
  </si>
  <si>
    <t>lv92s8kl2g@m.expediapartnercentral.com</t>
  </si>
  <si>
    <t>xs7de5ay08@m.expediapartnercentral.com</t>
  </si>
  <si>
    <t>2023-03-11</t>
  </si>
  <si>
    <t>veurink_35@hotmail.com</t>
  </si>
  <si>
    <t>scottnorton1@noemail.com</t>
  </si>
  <si>
    <t>2023-02-24</t>
  </si>
  <si>
    <t>halliebretsch2000@gmail.com</t>
  </si>
  <si>
    <t>nxsf0mqcxc@m.expediapartnercentral.com</t>
  </si>
  <si>
    <t>hart.keri22@gmail.com</t>
  </si>
  <si>
    <t>sk6qwy9fgx@m.expediapartnercentral.com</t>
  </si>
  <si>
    <t>2023-08-15</t>
  </si>
  <si>
    <t>sethchristman1@noemail.com</t>
  </si>
  <si>
    <t>53c0rs8b1m@m.expediapartnercentral.com</t>
  </si>
  <si>
    <t>loganstiening@sitechdakotas.com</t>
  </si>
  <si>
    <t>szbiko.571596@guest.booking.com</t>
  </si>
  <si>
    <t>zachscultz1365@gmail.com</t>
  </si>
  <si>
    <t>riley.christensen24@gmail.com</t>
  </si>
  <si>
    <t>chrisengeseth1@noemail.com</t>
  </si>
  <si>
    <t>bdrees.515771@guest.booking.com</t>
  </si>
  <si>
    <t>jordansulsberger@gmail.com</t>
  </si>
  <si>
    <t>qtopn2ofhx@m.expediapartnercentral.com</t>
  </si>
  <si>
    <t>laura.ellsworth@gmail.com</t>
  </si>
  <si>
    <t>jb862005@yahoo.com</t>
  </si>
  <si>
    <t>suzannehokeman@gmail.com</t>
  </si>
  <si>
    <t>jenbahn@gmail.com</t>
  </si>
  <si>
    <t>leoryfoley1@noemail.com</t>
  </si>
  <si>
    <t>2023-02-25</t>
  </si>
  <si>
    <t>ralliartfire@gmail.com</t>
  </si>
  <si>
    <t>abelardonunezaguilar1@noemail.com</t>
  </si>
  <si>
    <t>david_scholle@yahoo.com</t>
  </si>
  <si>
    <t>reichert4218@earthlink.net</t>
  </si>
  <si>
    <t>heather.m.heath@gmail.com</t>
  </si>
  <si>
    <t>travisentzel1@noemail.com</t>
  </si>
  <si>
    <t>cwinters74@gmail.com</t>
  </si>
  <si>
    <t>rachbuesgens@yahoo.com</t>
  </si>
  <si>
    <t>michael.l.winters@gmail.com</t>
  </si>
  <si>
    <t>sfritzke@isd717.org</t>
  </si>
  <si>
    <t>marvinwelch1@noemail.com</t>
  </si>
  <si>
    <t>garyschumacher1@noemail.com</t>
  </si>
  <si>
    <t>dwlac1983@gmail.com</t>
  </si>
  <si>
    <t>janetsjingles@gmail.com</t>
  </si>
  <si>
    <t>shall.273839@guest.booking.com</t>
  </si>
  <si>
    <t>2023-03-23</t>
  </si>
  <si>
    <t>brentfrier1@noemail.com</t>
  </si>
  <si>
    <t>2023-02-22</t>
  </si>
  <si>
    <t>grantanderson1@noemail.com</t>
  </si>
  <si>
    <t>mreesmith@gmail.com</t>
  </si>
  <si>
    <t>jamiejacobson1@noemail.com</t>
  </si>
  <si>
    <t>sonjabeckwith1@noemail.com</t>
  </si>
  <si>
    <t>jasonvonderharr1@noemail.com</t>
  </si>
  <si>
    <t>k552oj339f@m.expediapartnercentral.com</t>
  </si>
  <si>
    <t>robinberens1@noemail.com</t>
  </si>
  <si>
    <t>mikelewissing1@noemail.com</t>
  </si>
  <si>
    <t>schell1968@hotmail.com</t>
  </si>
  <si>
    <t>gaodo27flu@m.expediapartnercentral.com</t>
  </si>
  <si>
    <t>chris.wallraf@gmail.com</t>
  </si>
  <si>
    <t>missymuckey@gmail.com</t>
  </si>
  <si>
    <t>e3f1jihheo@m.expediapartnercentral.com</t>
  </si>
  <si>
    <t>3rb7ulbxe1@m.expediapartnercentral.com</t>
  </si>
  <si>
    <t>i8bfy74d7y@m.expediapartnercentral.com</t>
  </si>
  <si>
    <t>55dujp1mx8@m.expediapartnercentral.com</t>
  </si>
  <si>
    <t>kaitlynn.schultz@gmail.com</t>
  </si>
  <si>
    <t>jbking0415@hotmail.com</t>
  </si>
  <si>
    <t>2023-04-09</t>
  </si>
  <si>
    <t>qxn1wq4u5t@m.expediapartnercentral.com</t>
  </si>
  <si>
    <t>2023-04-13</t>
  </si>
  <si>
    <t>sharriegirres@icloud.com</t>
  </si>
  <si>
    <t>lklebel@hotmail.com</t>
  </si>
  <si>
    <t>2023-04-29</t>
  </si>
  <si>
    <t>radloffbrooklynn1@noemail.com</t>
  </si>
  <si>
    <t>pmxlpwi9lv@m.expediapartnercentral.com</t>
  </si>
  <si>
    <t>dg7kpb66t1@m.expediapartnercentral.com</t>
  </si>
  <si>
    <t>av9vcrcol6@m.expediapartnercentral.com</t>
  </si>
  <si>
    <t>kristin.heyne@gmail.com</t>
  </si>
  <si>
    <t>2023-05-27</t>
  </si>
  <si>
    <t>kelsey.m.kniffen@usace.army.mil</t>
  </si>
  <si>
    <t>ceahl8n6pb@m.expediapartnercentral.com</t>
  </si>
  <si>
    <t>kylenelynnknettel1@noemail.com</t>
  </si>
  <si>
    <t>des.edwards@gmail.com</t>
  </si>
  <si>
    <t>q7b44n113c@m.expediapartnercentral.com</t>
  </si>
  <si>
    <t>darla.krueger@mccrossan.org</t>
  </si>
  <si>
    <t>2023-03-01</t>
  </si>
  <si>
    <t>mryman.416206@guest.booking.com</t>
  </si>
  <si>
    <t>2023-06-03</t>
  </si>
  <si>
    <t>2023-11-01</t>
  </si>
  <si>
    <t>2023-03-06</t>
  </si>
  <si>
    <t>ioturtqvsa@m.expediapartnercentral.com</t>
  </si>
  <si>
    <t>2023-03-09</t>
  </si>
  <si>
    <t>mac.5976@gmail.com</t>
  </si>
  <si>
    <t>2023-03-07</t>
  </si>
  <si>
    <t>hhut37lnqn@m.expediapartnercentral.com</t>
  </si>
  <si>
    <t>2023-03-19</t>
  </si>
  <si>
    <t>rhavka70@gmail.com</t>
  </si>
  <si>
    <t>2023-03-16</t>
  </si>
  <si>
    <t>2023-12-04</t>
  </si>
  <si>
    <t>2023-03-30</t>
  </si>
  <si>
    <t>jimb@activeeatinginc.com</t>
  </si>
  <si>
    <t>sbriggs@nvc.net</t>
  </si>
  <si>
    <t>2023-09-03</t>
  </si>
  <si>
    <t>behrenschris@hotmail.com</t>
  </si>
  <si>
    <t>alyssacarlomusto1@noemail.com</t>
  </si>
  <si>
    <t>lalashalala@yahoo.com</t>
  </si>
  <si>
    <t>garyarfman1@noemail.com</t>
  </si>
  <si>
    <t>karlajacobsen1@noemail.com</t>
  </si>
  <si>
    <t>j.leinbaugh@mchsi.com</t>
  </si>
  <si>
    <t>2023-05-07</t>
  </si>
  <si>
    <t>bethhanson1@noemail.com</t>
  </si>
  <si>
    <t>2023-04-15</t>
  </si>
  <si>
    <t>2023-05-02</t>
  </si>
  <si>
    <t>alissaschilling1@noemail.com</t>
  </si>
  <si>
    <t>ap@usiburealal.com</t>
  </si>
  <si>
    <t>6c2yt00lov@m.expediapartnercentral.com</t>
  </si>
  <si>
    <t>hollybradford1@noemail.com</t>
  </si>
  <si>
    <t>anelsen@hotmail.com</t>
  </si>
  <si>
    <t>gordkeesic@icloud.com</t>
  </si>
  <si>
    <t>kafransen@hotmail.com</t>
  </si>
  <si>
    <t>tracinamken1@noemail.com</t>
  </si>
  <si>
    <t>3tc812fw63@m.expediapartnercentral.com</t>
  </si>
  <si>
    <t>nate.jachow@gmail.com</t>
  </si>
  <si>
    <t>beth.freeburd@usd.edu</t>
  </si>
  <si>
    <t>amsteeneck8611@hotmail.com</t>
  </si>
  <si>
    <t>crowh73@gmail.com</t>
  </si>
  <si>
    <t>ruffcorn@gmail.com</t>
  </si>
  <si>
    <t>bryndonwentz1@noemail.com</t>
  </si>
  <si>
    <t>tiffanywhiteeyes1@noemail.com</t>
  </si>
  <si>
    <t>2023-03-13</t>
  </si>
  <si>
    <t>thorson.dustin@hotmail.com</t>
  </si>
  <si>
    <t>ssoldan818@att.net</t>
  </si>
  <si>
    <t>eric.tutt@ymail.com</t>
  </si>
  <si>
    <t>lisagray1@noemail.com</t>
  </si>
  <si>
    <t>johnsonm655@yahoo.com</t>
  </si>
  <si>
    <t>lisa.graybookshelf@gmail.com</t>
  </si>
  <si>
    <t>765j7tfdpc@m.expediapartnercentral.com</t>
  </si>
  <si>
    <t>m14dj6rr31@m.expediapartnercentral.com</t>
  </si>
  <si>
    <t>3bb2jjrwwm@m.expediapartnercentral.com</t>
  </si>
  <si>
    <t>rickymunch1@noemail.com</t>
  </si>
  <si>
    <t>dstate.629914@guest.booking.com</t>
  </si>
  <si>
    <t>2023-03-15</t>
  </si>
  <si>
    <t>cmaurer11@hotmail.com</t>
  </si>
  <si>
    <t>g7hbtjb9qj@m.expediapartnercentral.com</t>
  </si>
  <si>
    <t>2023-04-24</t>
  </si>
  <si>
    <t>nhondo@proton.me</t>
  </si>
  <si>
    <t>joycefortin1@noemail.com</t>
  </si>
  <si>
    <t>jones_kris@ymail.com</t>
  </si>
  <si>
    <t>rkboden@outlook.com</t>
  </si>
  <si>
    <t>ywuyydq1qj@m.expediapartnercentral.com</t>
  </si>
  <si>
    <t>poghvrtxqe@m.expediapartnercentral.com</t>
  </si>
  <si>
    <t>richardsmith1@noemail.com</t>
  </si>
  <si>
    <t>fernandovillalpando1@noemail.com</t>
  </si>
  <si>
    <t>mrslizyk@gmail.com</t>
  </si>
  <si>
    <t>adam.kleinschimdt@state.mn.us</t>
  </si>
  <si>
    <t>2023-03-14</t>
  </si>
  <si>
    <t>johnbourne94@gmail.com</t>
  </si>
  <si>
    <t>tnbwls@gmail.com</t>
  </si>
  <si>
    <t>tinaflores1@noemail.com</t>
  </si>
  <si>
    <t>jamesjohnson1@noemail.com</t>
  </si>
  <si>
    <t>hagan.messer@state.mn.us</t>
  </si>
  <si>
    <t>14jv8f4nrb@m.expediapartnercentral.com</t>
  </si>
  <si>
    <t>hgshanks01@gmail.com</t>
  </si>
  <si>
    <t>whitney.pankonin@gmail.com</t>
  </si>
  <si>
    <t>marlawoessner1@noemail.com</t>
  </si>
  <si>
    <t>2023-04-01</t>
  </si>
  <si>
    <t>26q78can5j@m.expediapartnercentral.com</t>
  </si>
  <si>
    <t>kris.miner34@gmail.com</t>
  </si>
  <si>
    <t>vasiliypilat1@noemail.com</t>
  </si>
  <si>
    <t>x9u50kvodh@m.expediapartnercentral.com</t>
  </si>
  <si>
    <t>2023-08-31</t>
  </si>
  <si>
    <t>schweitzer.ranch@gmail.com</t>
  </si>
  <si>
    <t>2023-05-28</t>
  </si>
  <si>
    <t>yv2vbsahd2@m.expediapartnercentral.com</t>
  </si>
  <si>
    <t>jakej9300@gmail.com</t>
  </si>
  <si>
    <t>8l9qyaljgn@m.expediapartnercentral.com</t>
  </si>
  <si>
    <t>p55s3anyp9@m.expediapartnercentral.com</t>
  </si>
  <si>
    <t>wendyhuffer1@noemail.com</t>
  </si>
  <si>
    <t>amandabllard64@gmail.com</t>
  </si>
  <si>
    <t>rfmconstruction2013@gmail.com</t>
  </si>
  <si>
    <t>daniellelucas1@noemail.com</t>
  </si>
  <si>
    <t>kaedynbrown1@noemail.com</t>
  </si>
  <si>
    <t>kiwi.armi@icloud.com</t>
  </si>
  <si>
    <t>jodiblom@hotmail.com</t>
  </si>
  <si>
    <t>jimfritz1@noemail.com</t>
  </si>
  <si>
    <t>chmkhambkd@m.expediapartnercentral.com</t>
  </si>
  <si>
    <t>si1ieg1ri9@m.expediapartnercentral.com</t>
  </si>
  <si>
    <t>tara_wels@yahoo.com</t>
  </si>
  <si>
    <t>scottthate1@noemail.com</t>
  </si>
  <si>
    <t>malcomstafford1@noemail.com</t>
  </si>
  <si>
    <t>tlbarbour53@gmail.com</t>
  </si>
  <si>
    <t>n11hgq9agf@m.expediapartnercentral.com</t>
  </si>
  <si>
    <t>2023-04-03</t>
  </si>
  <si>
    <t>mardellhochstein1@noemail.com</t>
  </si>
  <si>
    <t>stevenbrown1@noemail.com</t>
  </si>
  <si>
    <t>loganhulst1@noemail.com</t>
  </si>
  <si>
    <t>wandapritzel1@noemail.com</t>
  </si>
  <si>
    <t>mollywestling_05@hotmail.com</t>
  </si>
  <si>
    <t>c1g1a2vtsi@m.expediapartnercentral.com</t>
  </si>
  <si>
    <t>julie2809@comcast.net</t>
  </si>
  <si>
    <t>thomasmcclelland1@noemail.com</t>
  </si>
  <si>
    <t>dustinager1@noemail.com</t>
  </si>
  <si>
    <t>zeman@ringtelco.com</t>
  </si>
  <si>
    <t>2023-09-30</t>
  </si>
  <si>
    <t>dethomson42@gmail.com</t>
  </si>
  <si>
    <t>2023-04-22</t>
  </si>
  <si>
    <t>stacysquibbs1@noemail.com</t>
  </si>
  <si>
    <t>2023-03-18</t>
  </si>
  <si>
    <t>abbyfrieze@icloud.com</t>
  </si>
  <si>
    <t>emmaghenrich03@gmail.com</t>
  </si>
  <si>
    <t>qjmeu57mkt@m.expediapartnercentral.com</t>
  </si>
  <si>
    <t>vandenbergjane4@gmail.com</t>
  </si>
  <si>
    <t>2023-03-21</t>
  </si>
  <si>
    <t>jhenderson1769@gmail.com</t>
  </si>
  <si>
    <t>cameronwhisler1@noemail.com</t>
  </si>
  <si>
    <t>joe.fisher@equipmentblades.com</t>
  </si>
  <si>
    <t>andyvogel1@noemail.com</t>
  </si>
  <si>
    <t>lanceroper1@noemail.com</t>
  </si>
  <si>
    <t>zachc4420@icloud.com</t>
  </si>
  <si>
    <t>sean@rcmbuild.com</t>
  </si>
  <si>
    <t>jpeter.159418@guest.booking.com</t>
  </si>
  <si>
    <t>dhuwe.988451@guest.booking.com</t>
  </si>
  <si>
    <t>g9fpmgidmj@m.expediapartnercentral.com</t>
  </si>
  <si>
    <t>tjxmyxog8p@m.expediapartnercentral.com</t>
  </si>
  <si>
    <t>1m2yp4db6m@m.expediapartnercentral.com</t>
  </si>
  <si>
    <t>kott28@hotmail.com</t>
  </si>
  <si>
    <t>fni2333bqo@m.expediapartnercentral.com</t>
  </si>
  <si>
    <t>tkremi.646346@guest.booking.com</t>
  </si>
  <si>
    <t>shaneconway1@noemail.com</t>
  </si>
  <si>
    <t>angiebroughton1@noemail.com</t>
  </si>
  <si>
    <t>o6en85xcn3@m.expediapartnercentral.com</t>
  </si>
  <si>
    <t>claytoncasebolt1@noemail.com</t>
  </si>
  <si>
    <t>harryredding1@noemail.com</t>
  </si>
  <si>
    <t>i253p86oe6@m.expediapartnercentral.com</t>
  </si>
  <si>
    <t>gl9xcrom4o@m.expediapartnercentral.com</t>
  </si>
  <si>
    <t>dustinkuehl@gmail.com</t>
  </si>
  <si>
    <t>daniellerowland1@noemail.com</t>
  </si>
  <si>
    <t>mitchellmacek1@noemail.com</t>
  </si>
  <si>
    <t>dustinhasper1@noemail.com</t>
  </si>
  <si>
    <t>ooktt98n4e@m.expediapartnercentral.com</t>
  </si>
  <si>
    <t>michelinecourtney1@noemail.com</t>
  </si>
  <si>
    <t>bcain.498758@guest.booking.com</t>
  </si>
  <si>
    <t>2023-03-28</t>
  </si>
  <si>
    <t>hjtx56abfa@m.expediapartnercentral.com</t>
  </si>
  <si>
    <t>marythomas025@gmail.com</t>
  </si>
  <si>
    <t>989rjij20f@m.expediapartnercentral.com</t>
  </si>
  <si>
    <t>j9xu5un1c1@m.expediapartnercentral.com</t>
  </si>
  <si>
    <t>2023-03-22</t>
  </si>
  <si>
    <t>chadkruger1@noemail.com</t>
  </si>
  <si>
    <t>ajehit@yahoo.com</t>
  </si>
  <si>
    <t>boweheid@showplacewood.com</t>
  </si>
  <si>
    <t>kphjntr8fw@m.expediapartnercentral.com</t>
  </si>
  <si>
    <t>rrpieces@gmi.com</t>
  </si>
  <si>
    <t>l3g4k6r3wt@m.expediapartnercentral.com</t>
  </si>
  <si>
    <t>dianngayer@hotmail.com</t>
  </si>
  <si>
    <t>2023-07-16</t>
  </si>
  <si>
    <t>curtis.loveing@gmail.com</t>
  </si>
  <si>
    <t>tirciahess07@gmail.com</t>
  </si>
  <si>
    <t>bordercolliemom1@gmail.com</t>
  </si>
  <si>
    <t>2023-04-08</t>
  </si>
  <si>
    <t>6ot2ftgg1j@m.expediapartnercentral.com</t>
  </si>
  <si>
    <t>toddwilson1@noemail.com</t>
  </si>
  <si>
    <t>2024-07-14</t>
  </si>
  <si>
    <t>7xs99lxf1x@m.expediapartnercentral.com</t>
  </si>
  <si>
    <t>kayla14sd@yahoo.com</t>
  </si>
  <si>
    <t>lranch@gwtc.net</t>
  </si>
  <si>
    <t>lmckown@dwundercon.com</t>
  </si>
  <si>
    <t>debgettner@yahoo.com</t>
  </si>
  <si>
    <t>hartman.rebecca@mayo.edu</t>
  </si>
  <si>
    <t>2023-05-13</t>
  </si>
  <si>
    <t>tm3l6g8h81@m.expediapartnercentral.com</t>
  </si>
  <si>
    <t>mattrogers1@noemail.com</t>
  </si>
  <si>
    <t>tdlaventure@gmail.com</t>
  </si>
  <si>
    <t>smeyer.555244@guest.booking.com</t>
  </si>
  <si>
    <t>tammylarson1@noemail.com</t>
  </si>
  <si>
    <t>maryherlihy1@noemail.com</t>
  </si>
  <si>
    <t>c7m3k4gqun@m.expediapartnercentral.com</t>
  </si>
  <si>
    <t>benjerminmichaelburn1@noemail.com</t>
  </si>
  <si>
    <t>shall.306298@guest.booking.com</t>
  </si>
  <si>
    <t>yirn8oonr8@m.expediapartnercentral.com</t>
  </si>
  <si>
    <t>ecruygbm6x@m.expediapartnercentral.com</t>
  </si>
  <si>
    <t>tim.yseth@graybar.com</t>
  </si>
  <si>
    <t>kaylamaurer1@noemail.com</t>
  </si>
  <si>
    <t>u4xaj6iolr@m.expediapartnercentral.com</t>
  </si>
  <si>
    <t>knockcrystal@hotmail.com</t>
  </si>
  <si>
    <t>chrisedinger1@noemail.com</t>
  </si>
  <si>
    <t>lfhcmdipke@m.expediapartnercentral.com</t>
  </si>
  <si>
    <t>barbfish1@noemail.com</t>
  </si>
  <si>
    <t>beckijobeer@gmail.com</t>
  </si>
  <si>
    <t>rg9dpmxi4y@m.expediapartnercentral.com</t>
  </si>
  <si>
    <t>2023-03-27</t>
  </si>
  <si>
    <t>q14jlvd1q3@m.expediapartnercentral.com</t>
  </si>
  <si>
    <t>fredhall@iastate.edu</t>
  </si>
  <si>
    <t>08mjq7232s@m.expediapartnercentral.com</t>
  </si>
  <si>
    <t>tcveld@yahoo.com</t>
  </si>
  <si>
    <t>u98e4yhgb7@m.expediapartnercentral.com</t>
  </si>
  <si>
    <t>tj0yuqemk5@m.expediapartnercentral.com</t>
  </si>
  <si>
    <t>calebsepp@gmail.com</t>
  </si>
  <si>
    <t>aldenaecklin1@noemail.com</t>
  </si>
  <si>
    <t>nicole9877@gmail.com</t>
  </si>
  <si>
    <t>2023-05-06</t>
  </si>
  <si>
    <t>brthmltn@gmail.com</t>
  </si>
  <si>
    <t>9mqiw2hs1c@m.expediapartnercentral.com</t>
  </si>
  <si>
    <t>0gje08nc4v@m.expediapartnercentral.com</t>
  </si>
  <si>
    <t>qg9p149dhb@m.expediapartnercentral.com</t>
  </si>
  <si>
    <t>6ysawu3ibh@m.expediapartnercentral.com</t>
  </si>
  <si>
    <t>peterrood1@noemail.com</t>
  </si>
  <si>
    <t>uhl.nathan@yahoo.com</t>
  </si>
  <si>
    <t>joshua.harvey24@hotmail.com</t>
  </si>
  <si>
    <t>mbalch@scottshelicopter.com</t>
  </si>
  <si>
    <t>2023-03-29</t>
  </si>
  <si>
    <t>mikebalch1@noemail.com</t>
  </si>
  <si>
    <t>scott.roney97@gmail.com</t>
  </si>
  <si>
    <t>ojdvie9k76@m.expediapartnercentral.com</t>
  </si>
  <si>
    <t>suzanne.harwood@icloud.com</t>
  </si>
  <si>
    <t>akane@judsontank.com</t>
  </si>
  <si>
    <t>richardclark1@noemail.com</t>
  </si>
  <si>
    <t>jscher.404251@guest.booking.com</t>
  </si>
  <si>
    <t>brianpick83@gmail.com</t>
  </si>
  <si>
    <t>alliewaldner96@gmail.com</t>
  </si>
  <si>
    <t>jessephillips1@noemail.com</t>
  </si>
  <si>
    <t>confirmations@fleetcor.com</t>
  </si>
  <si>
    <t>bmk12@verizon.net</t>
  </si>
  <si>
    <t>stacy.zeisler@nebraska.gov</t>
  </si>
  <si>
    <t>austondarnell1@noemail.com</t>
  </si>
  <si>
    <t>mattsp6288@yahoo.com</t>
  </si>
  <si>
    <t>ericburce1@noemail.com</t>
  </si>
  <si>
    <t>amyhockert@hotmail.com</t>
  </si>
  <si>
    <t>3dmy5wg5y0@m.expediapartnercentral.com</t>
  </si>
  <si>
    <t>rebeccalayman123@gmail.com</t>
  </si>
  <si>
    <t>ciy22jg46e@m.expediapartnercentral.com</t>
  </si>
  <si>
    <t>marvinhochstein1@noemail.com</t>
  </si>
  <si>
    <t>dalelatshaw1@noemail.com</t>
  </si>
  <si>
    <t>heathhinz1@noemail.com</t>
  </si>
  <si>
    <t>eas202urbc@m.expediapartnercentral.com</t>
  </si>
  <si>
    <t>40or6ydcgp@m.expediapartnercentral.com</t>
  </si>
  <si>
    <t>cartnernewton8@gmail.com</t>
  </si>
  <si>
    <t>shopperstad@me.com</t>
  </si>
  <si>
    <t>jqdty1be3f@m.expediapartnercentral.com</t>
  </si>
  <si>
    <t>lesleyjpearson@gmail.com</t>
  </si>
  <si>
    <t>2023-05-31</t>
  </si>
  <si>
    <t>kathykruskamp1@noemail.com</t>
  </si>
  <si>
    <t>herbshadewald1@noemail.com</t>
  </si>
  <si>
    <t>fpena.241707@guest.booking.com</t>
  </si>
  <si>
    <t>6v8wr70bed@m.expediapartnercentral.com</t>
  </si>
  <si>
    <t>yurybogomolsky1@noemail.com</t>
  </si>
  <si>
    <t>jameschristie1@noemail.com</t>
  </si>
  <si>
    <t>ryantracy1@noemail.com</t>
  </si>
  <si>
    <t>erohde@mail.com</t>
  </si>
  <si>
    <t>richardness1@noemail.com</t>
  </si>
  <si>
    <t>drasch.224586@guest.booking.com</t>
  </si>
  <si>
    <t>ginamdamm@gmail.com</t>
  </si>
  <si>
    <t>shaunoneill1@noemail.com</t>
  </si>
  <si>
    <t>matthewrogers1@noemail.com</t>
  </si>
  <si>
    <t>2023-04-06</t>
  </si>
  <si>
    <t>2bgppq2uac@m.expediapartnercentral.com</t>
  </si>
  <si>
    <t>seblake1993@gmail.com</t>
  </si>
  <si>
    <t>maryschooley1@noemail.com</t>
  </si>
  <si>
    <t>jennacarl1@noemail.com</t>
  </si>
  <si>
    <t>mattspreng1@noemail.com</t>
  </si>
  <si>
    <t>cylw2prf58@m.expediapartnercentral.com</t>
  </si>
  <si>
    <t>2023-04-04</t>
  </si>
  <si>
    <t>joellenheffron@hotmail.com</t>
  </si>
  <si>
    <t>7eoad6o74y@m.expediapartnercentral.com</t>
  </si>
  <si>
    <t>larsentj@yahoo.com</t>
  </si>
  <si>
    <t>qxau9tjt8g@m.expediapartnercentral.com</t>
  </si>
  <si>
    <t>deeannbrost1@noemail.com</t>
  </si>
  <si>
    <t>kraidjkraigjohnso1@noemail.com</t>
  </si>
  <si>
    <t>findoutwhoisinthisro1@noemail.com</t>
  </si>
  <si>
    <t>candice.tvinnereim@gmail.com</t>
  </si>
  <si>
    <t>62sbd6gwx1@m.expediapartnercentral.com</t>
  </si>
  <si>
    <t>2vnc8wwnor@m.expediapartnercentral.com</t>
  </si>
  <si>
    <t>jportz90@hotmail.com</t>
  </si>
  <si>
    <t>kristen.tvinnereim@gmail.com</t>
  </si>
  <si>
    <t>unlacsg573@m.expediapartnercentral.com</t>
  </si>
  <si>
    <t>2023-09-04</t>
  </si>
  <si>
    <t>aaron.j.colby@gmail.com</t>
  </si>
  <si>
    <t>cheryl.winch@gmail.com</t>
  </si>
  <si>
    <t>tashwa26@gmail.com</t>
  </si>
  <si>
    <t>jpeter.353069@guest.booking.com</t>
  </si>
  <si>
    <t>dlhutton@icloud.com</t>
  </si>
  <si>
    <t>jonathan.raborn@cubbys.com</t>
  </si>
  <si>
    <t>nsut@me.com</t>
  </si>
  <si>
    <t>denyce.campbell@live.com</t>
  </si>
  <si>
    <t>dencye.campbell@live.com</t>
  </si>
  <si>
    <t>fredbisaro@msn.com</t>
  </si>
  <si>
    <t>2023-04-20</t>
  </si>
  <si>
    <t>my39yss64t@m.expediapartnercentral.com</t>
  </si>
  <si>
    <t>curtislentz1@noemail.com</t>
  </si>
  <si>
    <t>2023-04-05</t>
  </si>
  <si>
    <t>amandawagner117@gmail.com</t>
  </si>
  <si>
    <t>tambam@usfamily.net</t>
  </si>
  <si>
    <t>0rfhwebv7r@m.expediapartnercentral.com</t>
  </si>
  <si>
    <t>dawsonpehowski1@noemail.com</t>
  </si>
  <si>
    <t>collinwodtke1@noemail.com</t>
  </si>
  <si>
    <t>u1xdscxgpv@m.expediapartnercentral.com</t>
  </si>
  <si>
    <t>2023-05-01</t>
  </si>
  <si>
    <t>angelak@millirongq.com</t>
  </si>
  <si>
    <t>jtimp@ptcnet.net</t>
  </si>
  <si>
    <t>devonwellingr@gmail.com</t>
  </si>
  <si>
    <t>teresariley1@noemail.com</t>
  </si>
  <si>
    <t>stevenlgaskill@gmail.com</t>
  </si>
  <si>
    <t>rileyw@summersmfg.com</t>
  </si>
  <si>
    <t>makensieray@gmail.com</t>
  </si>
  <si>
    <t>lorrainkintz1@noemail.com</t>
  </si>
  <si>
    <t>e9fk46lmj1@m.expediapartnercentral.com</t>
  </si>
  <si>
    <t>nelsonc@thebakergroup.com</t>
  </si>
  <si>
    <t>mackenziedelong1@noemail.com</t>
  </si>
  <si>
    <t>dockterk1982@hotmail.com</t>
  </si>
  <si>
    <t>barrybentley1@noemail.com</t>
  </si>
  <si>
    <t>jbs9hv52yi@m.expediapartnercentral.com</t>
  </si>
  <si>
    <t>2023-06-19</t>
  </si>
  <si>
    <t>bryandale1@noemail.com</t>
  </si>
  <si>
    <t>alecjohnson1@noemail.com</t>
  </si>
  <si>
    <t>jasonbentley1@noemail.com</t>
  </si>
  <si>
    <t>jleduc@southerncarslon.com</t>
  </si>
  <si>
    <t>gloriahines1@noemail.com</t>
  </si>
  <si>
    <t>19hoffmanm@gmail.com</t>
  </si>
  <si>
    <t>xxy51gdagp@m.expediapartnercentral.com</t>
  </si>
  <si>
    <t>2023-04-10</t>
  </si>
  <si>
    <t>sheanbrennan1@noemail.com</t>
  </si>
  <si>
    <t>caspergrey1@noemail.com</t>
  </si>
  <si>
    <t>caitlin.tisdall@gmail.com</t>
  </si>
  <si>
    <t>f5cgx4mbax@m.expediapartnercentral.com</t>
  </si>
  <si>
    <t>deq0h8a5oj@m.expediapartnercentral.com</t>
  </si>
  <si>
    <t>salthrugod@hotmail.com</t>
  </si>
  <si>
    <t>2023-06-12</t>
  </si>
  <si>
    <t>huskerswain@gmail.com</t>
  </si>
  <si>
    <t>thahner@electricpump.com</t>
  </si>
  <si>
    <t>2023-04-11</t>
  </si>
  <si>
    <t>ujpvb5dvop@m.expediapartnercentral.com</t>
  </si>
  <si>
    <t>334acc957k@m.expediapartnercentral.com</t>
  </si>
  <si>
    <t>t8sy02p1wa@m.expediapartnercentral.com</t>
  </si>
  <si>
    <t>billsamuelson1@noemail.com</t>
  </si>
  <si>
    <t>mollysybesma1@noemail.com</t>
  </si>
  <si>
    <t>ktyler@itctel.com</t>
  </si>
  <si>
    <t>emmagentzler@gmail.com</t>
  </si>
  <si>
    <t>qt3os21l51@m.expediapartnercentral.com</t>
  </si>
  <si>
    <t>bohara.840289@guest.booking.com</t>
  </si>
  <si>
    <t>jmclau.648126@guest.booking.com</t>
  </si>
  <si>
    <t>dqvhkwdomw@m.expediapartnercentral.com</t>
  </si>
  <si>
    <t>kfarri.991572@guest.booking.com</t>
  </si>
  <si>
    <t>jandahl5@yahoo.com</t>
  </si>
  <si>
    <t>2023-04-12</t>
  </si>
  <si>
    <t>kkatho.847466@guest.booking.com</t>
  </si>
  <si>
    <t>bschre.569862@guest.booking.com</t>
  </si>
  <si>
    <t>ckhowells19@gmail.com</t>
  </si>
  <si>
    <t>iqesqt3mfw@m.expediapartnercentral.com</t>
  </si>
  <si>
    <t>2023-05-11</t>
  </si>
  <si>
    <t>russellutesch@gmail.com</t>
  </si>
  <si>
    <t>2023-05-25</t>
  </si>
  <si>
    <t>carolaturpin@yahoo.com</t>
  </si>
  <si>
    <t>2023-05-18</t>
  </si>
  <si>
    <t>jvork.143083@guest.booking.com</t>
  </si>
  <si>
    <t>2023-04-27</t>
  </si>
  <si>
    <t>dannylasoski1@noemail.com</t>
  </si>
  <si>
    <t>jaynenj@charter.net</t>
  </si>
  <si>
    <t>u4weyvsvku@m.expediapartnercentral.com</t>
  </si>
  <si>
    <t>dolpor@hotmail.com</t>
  </si>
  <si>
    <t>2pux0yk4y8@m.expediapartnercentral.com</t>
  </si>
  <si>
    <t>2023-10-01</t>
  </si>
  <si>
    <t>vcampb.166526@guest.booking.com</t>
  </si>
  <si>
    <t>rileylake1@noemail.com</t>
  </si>
  <si>
    <t>vickiecartwright1@noemail.com</t>
  </si>
  <si>
    <t>sumonsd@vyn.midco.net</t>
  </si>
  <si>
    <t>terrylusk1@noemail.com</t>
  </si>
  <si>
    <t>m3udciwsje@m.expediapartnercentral.com</t>
  </si>
  <si>
    <t>scottr8420@gmail.com</t>
  </si>
  <si>
    <t>codybrumbaugh1@noemail.com</t>
  </si>
  <si>
    <t>l.jackson@americafence.com</t>
  </si>
  <si>
    <t>2023-04-19</t>
  </si>
  <si>
    <t>eprkpfv9ir@m.expediapartnercentral.com</t>
  </si>
  <si>
    <t>melissajerve@yahoo.com</t>
  </si>
  <si>
    <t>2023-04-18</t>
  </si>
  <si>
    <t>mcquistionj@gmail.com</t>
  </si>
  <si>
    <t>kevinvanoverschelde1@noemail.com</t>
  </si>
  <si>
    <t>kendraott1@noemail.com</t>
  </si>
  <si>
    <t>forrestscott1@noemail.com</t>
  </si>
  <si>
    <t>krjandahl@gmail.com</t>
  </si>
  <si>
    <t>larissa.holmgren@hotmail.com</t>
  </si>
  <si>
    <t>cl3ujjy348@m.expediapartnercentral.com</t>
  </si>
  <si>
    <t>2023-05-24</t>
  </si>
  <si>
    <t>almj_witt@msn.com</t>
  </si>
  <si>
    <t>fstukel@gwtc.net</t>
  </si>
  <si>
    <t>yqm3pj1rbc@m.expediapartnercentral.com</t>
  </si>
  <si>
    <t>2023-06-05</t>
  </si>
  <si>
    <t>adriannedep2011@hotmail.com</t>
  </si>
  <si>
    <t>allisa.bahney@gmail.com</t>
  </si>
  <si>
    <t>2023-06-10</t>
  </si>
  <si>
    <t>emallo.914209@guest.booking.com</t>
  </si>
  <si>
    <t>mbliss.900145@guest.booking.com</t>
  </si>
  <si>
    <t>hgsmith9396@gmail.com</t>
  </si>
  <si>
    <t>kcmiller33@charter.net</t>
  </si>
  <si>
    <t>blackhermeier@gmail.com</t>
  </si>
  <si>
    <t>2023-10-22</t>
  </si>
  <si>
    <t>gtfkcnb7jr@m.expediapartnercentral.com</t>
  </si>
  <si>
    <t>rogerlstrom@gmail.com</t>
  </si>
  <si>
    <t>e7jcb0h2nx@m.expediapartnercentral.com</t>
  </si>
  <si>
    <t>i4ibixrh5q@m.expediapartnercentral.com</t>
  </si>
  <si>
    <t>braydenanderson1@noemail.com</t>
  </si>
  <si>
    <t>dougmayer1@noemail.com</t>
  </si>
  <si>
    <t>sherirdeardoff@gmail.com</t>
  </si>
  <si>
    <t>anelisezamarron1@noemail.com</t>
  </si>
  <si>
    <t>vgreim.568800@guest.booking.com</t>
  </si>
  <si>
    <t>alexkane1@noemail.com</t>
  </si>
  <si>
    <t>txfjb3wydq@m.expediapartnercentral.com</t>
  </si>
  <si>
    <t>sarahschumann1@noemail.com</t>
  </si>
  <si>
    <t>autogeary1@noemail.com</t>
  </si>
  <si>
    <t>jeffkeiser1@noemail.com</t>
  </si>
  <si>
    <t>elihibler1@noemail.com</t>
  </si>
  <si>
    <t>jfcalder@comcast.net</t>
  </si>
  <si>
    <t>shaneegge@everlastrehab.com</t>
  </si>
  <si>
    <t>mirandabmurphey@gmail.com</t>
  </si>
  <si>
    <t>robbiedvl@gmail.com</t>
  </si>
  <si>
    <t>junglc@abe.midco.net</t>
  </si>
  <si>
    <t>87eygyvibw@m.expediapartnercentral.com</t>
  </si>
  <si>
    <t>janicehooker64@gmail.com</t>
  </si>
  <si>
    <t>k5iod1xim9@m.expediapartnercentral.com</t>
  </si>
  <si>
    <t>swanny081@yahoo.com</t>
  </si>
  <si>
    <t>rorybeyer1@noemail.com</t>
  </si>
  <si>
    <t>jamiewhitley707@gmail.com</t>
  </si>
  <si>
    <t>sarahesb1000@gmail.com</t>
  </si>
  <si>
    <t>casey.nelson9109@gmail.com</t>
  </si>
  <si>
    <t>janet.mallin@bldr.com</t>
  </si>
  <si>
    <t>2023-04-26</t>
  </si>
  <si>
    <t>heatherhotpockets@gmail.com</t>
  </si>
  <si>
    <t>marykoblika1@noemail.com</t>
  </si>
  <si>
    <t>q0kbxjo27m@m.expediapartnercentral.com</t>
  </si>
  <si>
    <t>b.speck@comcast.net</t>
  </si>
  <si>
    <t>71lguyoppe@m.expediapartnercentral.com</t>
  </si>
  <si>
    <t>davidmendoza1@noemail.com</t>
  </si>
  <si>
    <t>ld3s9wiqcr@m.expediapartnercentral.com</t>
  </si>
  <si>
    <t>p4q8w04l4t@m.expediapartnercentral.com</t>
  </si>
  <si>
    <t>7x7rish1pt@m.expediapartnercentral.com</t>
  </si>
  <si>
    <t>youngones01@gmail.com</t>
  </si>
  <si>
    <t>vgorden@hotmail.com</t>
  </si>
  <si>
    <t>b6aw6cnla0@m.expediapartnercentral.com</t>
  </si>
  <si>
    <t>tbailey79@ymail.com</t>
  </si>
  <si>
    <t>rockyarmitage1@noemail.com</t>
  </si>
  <si>
    <t>alijaheco1@noemail.com</t>
  </si>
  <si>
    <t>juliegetscustomers4u@gmail.com</t>
  </si>
  <si>
    <t>uqm0j8c63o@m.expediapartnercentral.com</t>
  </si>
  <si>
    <t>kayshanibblink1@noemail.com</t>
  </si>
  <si>
    <t>fpcc0swunp@m.expediapartnercentral.com</t>
  </si>
  <si>
    <t>connorosell1@noemail.com</t>
  </si>
  <si>
    <t>kennethkuhle1@noemail.com</t>
  </si>
  <si>
    <t>adammielke1@noemail.com</t>
  </si>
  <si>
    <t>bj324v4uuc@m.expediapartnercentral.com</t>
  </si>
  <si>
    <t>9f24r0qt39@m.expediapartnercentral.com</t>
  </si>
  <si>
    <t>vkincaid@dairymd.com</t>
  </si>
  <si>
    <t>2023-05-04</t>
  </si>
  <si>
    <t>vw10yepi12@m.expediapartnercentral.com</t>
  </si>
  <si>
    <t>marcalwelt1@noemail.com</t>
  </si>
  <si>
    <t>esoban.463195@guest.booking.com</t>
  </si>
  <si>
    <t>f3gu1jf69d@m.expediapartnercentral.com</t>
  </si>
  <si>
    <t>mdm6l8v5nw@m.expediapartnercentral.com</t>
  </si>
  <si>
    <t>2023-06-16</t>
  </si>
  <si>
    <t>laurenann9@gmail.com</t>
  </si>
  <si>
    <t>kayshanibbelink1@noemail.com</t>
  </si>
  <si>
    <t>codyschmidlin1@noemail.com</t>
  </si>
  <si>
    <t>2023-05-03</t>
  </si>
  <si>
    <t>jennifer.boushee@northernlights.com</t>
  </si>
  <si>
    <t>2023-04-25</t>
  </si>
  <si>
    <t>colleenbudniak1@noemail.com</t>
  </si>
  <si>
    <t>epf6f30eie@m.expediapartnercentral.com</t>
  </si>
  <si>
    <t>vsb69w1d6s@m.expediapartnercentral.com</t>
  </si>
  <si>
    <t>angelaarends1@noemail.com</t>
  </si>
  <si>
    <t>jdeaustin@gmail.com</t>
  </si>
  <si>
    <t>51nn9njkke@m.expediapartnercentral.com</t>
  </si>
  <si>
    <t>eb0la13n8q@m.expediapartnercentral.com</t>
  </si>
  <si>
    <t>m6yteiqafw@m.expediapartnercentral.com</t>
  </si>
  <si>
    <t>dgarsk.748150@guest.booking.com</t>
  </si>
  <si>
    <t>jenniferkopfmann1@noemail.com</t>
  </si>
  <si>
    <t>dnd@hbci.com</t>
  </si>
  <si>
    <t>brydonwentz1@noemail.com</t>
  </si>
  <si>
    <t>mmfreight1@outlook.com</t>
  </si>
  <si>
    <t>izberglund@gmail.com</t>
  </si>
  <si>
    <t>2023-09-10</t>
  </si>
  <si>
    <t>williamhealy1@noemail.com</t>
  </si>
  <si>
    <t>2023-08-13</t>
  </si>
  <si>
    <t>sara@thecompasscenter.org</t>
  </si>
  <si>
    <t>taylor.yliniemi@gmail.com</t>
  </si>
  <si>
    <t>timothyhealy1@noemail.com</t>
  </si>
  <si>
    <t>geraldhealy1@noemail.com</t>
  </si>
  <si>
    <t>cvtqhhq1or@m.expediapartnercentral.com</t>
  </si>
  <si>
    <t>ejswifthawk1979@hotmail.com</t>
  </si>
  <si>
    <t>jij93ip27s@m.expediapartnercentral.com</t>
  </si>
  <si>
    <t>kjorge.599093@guest.booking.com</t>
  </si>
  <si>
    <t>sjons61@hotmail.com</t>
  </si>
  <si>
    <t>sukhadlouprasong1@noemail.com</t>
  </si>
  <si>
    <t>elihofer1@noemail.com</t>
  </si>
  <si>
    <t>d_townsley@hotmail.com</t>
  </si>
  <si>
    <t>zanerohde@gmail.com</t>
  </si>
  <si>
    <t>tjdsb@msn.com</t>
  </si>
  <si>
    <t>2023-08-22</t>
  </si>
  <si>
    <t>lafongt@yahoo.com</t>
  </si>
  <si>
    <t>3wp79gyxgo@m.expediapartnercentral.com</t>
  </si>
  <si>
    <t>kderose04@yahoo.com</t>
  </si>
  <si>
    <t>jesseungs1@noemail.com</t>
  </si>
  <si>
    <t>tek_velocity316@yahoo.com</t>
  </si>
  <si>
    <t>devinjones1@noemail.com</t>
  </si>
  <si>
    <t>hqpny16bqv@m.expediapartnercentral.com</t>
  </si>
  <si>
    <t>winstoncarlson1@noemail.com</t>
  </si>
  <si>
    <t>johnboden1@noemail.com</t>
  </si>
  <si>
    <t>2023-05-23</t>
  </si>
  <si>
    <t>vikewheels@sio.midco.net</t>
  </si>
  <si>
    <t>wbjdhorner@gmail.com</t>
  </si>
  <si>
    <t>pattyhughes1@noemail.com</t>
  </si>
  <si>
    <t>angelachristensen1@noemail.com</t>
  </si>
  <si>
    <t>markmcnulty1@noemail.com</t>
  </si>
  <si>
    <t>dt@forceequip.com</t>
  </si>
  <si>
    <t>jkanportz@charter.net</t>
  </si>
  <si>
    <t>sarahortmeier@yahoo.com</t>
  </si>
  <si>
    <t>seyllerjls@foxvalley.net</t>
  </si>
  <si>
    <t>rogernetz1@noemail.com</t>
  </si>
  <si>
    <t>cebroderson@hotmail.com</t>
  </si>
  <si>
    <t>aliciaschneckloth1@noemail.com</t>
  </si>
  <si>
    <t>joelalberts1@noemail.com</t>
  </si>
  <si>
    <t>brookpierson1@noemail.com</t>
  </si>
  <si>
    <t>beccaanderson37@gmail.com</t>
  </si>
  <si>
    <t>mjamdahl1@gmail.com</t>
  </si>
  <si>
    <t>jennie_jo@yahoo.com</t>
  </si>
  <si>
    <t>mikaelahoeke1@noemail.com</t>
  </si>
  <si>
    <t>k2hot2r0ui@m.expediapartnercentral.com</t>
  </si>
  <si>
    <t>2023-05-29</t>
  </si>
  <si>
    <t>donnashoenrock1@noemail.com</t>
  </si>
  <si>
    <t>kf0axr09i4@m.expediapartnercentral.com</t>
  </si>
  <si>
    <t>sheilasanders1@noemail.com</t>
  </si>
  <si>
    <t>mail@rapidshuttle.com</t>
  </si>
  <si>
    <t>seeger1007@msn.com</t>
  </si>
  <si>
    <t>eyefanatic@gmail.com</t>
  </si>
  <si>
    <t>jhalbu.710284@guest.booking.com</t>
  </si>
  <si>
    <t>uecker13@gmail.com</t>
  </si>
  <si>
    <t>richardlocy1@noemail.com</t>
  </si>
  <si>
    <t>jameswunschel1@noemail.com</t>
  </si>
  <si>
    <t>christopherrossan1@noemail.com</t>
  </si>
  <si>
    <t>carrieselchert1@noemail.com</t>
  </si>
  <si>
    <t>alexortiz1@noemail.com</t>
  </si>
  <si>
    <t>fxrbokard7@m.expediapartnercentral.com</t>
  </si>
  <si>
    <t>lisakrapf1@noemail.com</t>
  </si>
  <si>
    <t>lynngrochow1@noemail.com</t>
  </si>
  <si>
    <t>donnagrant1@noemail.com</t>
  </si>
  <si>
    <t>lyleportz1@noemail.com</t>
  </si>
  <si>
    <t>kari.lyn.flanagan@gmail.com</t>
  </si>
  <si>
    <t>susanlickmes1@noemail.com</t>
  </si>
  <si>
    <t>janeiebelisle1@noemail.com</t>
  </si>
  <si>
    <t>jacobpeters1@noemail.com</t>
  </si>
  <si>
    <t>302qd9trvu@m.expediapartnercentral.com</t>
  </si>
  <si>
    <t>alechiaflores1@noemail.com</t>
  </si>
  <si>
    <t>alanmaloney1@noemail.com</t>
  </si>
  <si>
    <t>maddy_endersbe@outlook.com</t>
  </si>
  <si>
    <t>2023-07-21</t>
  </si>
  <si>
    <t>emarsh.742504@guest.booking.com</t>
  </si>
  <si>
    <t>am1ycpp9b1@m.expediapartnercentral.com</t>
  </si>
  <si>
    <t>fbtekhrnia@m.expediapartnercentral.com</t>
  </si>
  <si>
    <t>arykamharvey@gmail.com</t>
  </si>
  <si>
    <t>lxjqww3lg6@m.expediapartnercentral.com</t>
  </si>
  <si>
    <t>levifrakmilironangel1@noemail.com</t>
  </si>
  <si>
    <t>jonithiem1@noemail.com</t>
  </si>
  <si>
    <t>bug86n271u@m.expediapartnercentral.com</t>
  </si>
  <si>
    <t>2023-05-10</t>
  </si>
  <si>
    <t>isaiah.gotz@gmail.com</t>
  </si>
  <si>
    <t>i0m5ul2e4r@m.expediapartnercentral.com</t>
  </si>
  <si>
    <t>3a768xpht6@m.expediapartnercentral.com</t>
  </si>
  <si>
    <t>seandoyle1@noemail.com</t>
  </si>
  <si>
    <t>sarah@arntson.net</t>
  </si>
  <si>
    <t>sdsgf3al9r@m.expediapartnercentral.com</t>
  </si>
  <si>
    <t>u7fkeme1ol@m.expediapartnercentral.com</t>
  </si>
  <si>
    <t>jhorosh@yahoo.com</t>
  </si>
  <si>
    <t>o0okvhelhg@m.expediapartnercentral.com</t>
  </si>
  <si>
    <t>erickgonzalez1@noemail.com</t>
  </si>
  <si>
    <t>sbretsch@nvc.net</t>
  </si>
  <si>
    <t>shelley.r.jensen@gmail.com</t>
  </si>
  <si>
    <t>louislovoy1@noemail.com</t>
  </si>
  <si>
    <t>erswaoiyc8@m.expediapartnercentral.com</t>
  </si>
  <si>
    <t>rjurge.575350@guest.booking.com</t>
  </si>
  <si>
    <t>lfriedges@plsas.org</t>
  </si>
  <si>
    <t>2023-06-18</t>
  </si>
  <si>
    <t>je9xn49f1t@m.expediapartnercentral.com</t>
  </si>
  <si>
    <t>sonja@comcast.net</t>
  </si>
  <si>
    <t>2023-07-02</t>
  </si>
  <si>
    <t>sschmi.768109@guest.booking.com</t>
  </si>
  <si>
    <t>cmckil.981845@guest.booking.com</t>
  </si>
  <si>
    <t>bogdangapuik1@noemail.com</t>
  </si>
  <si>
    <t>allmyjunkmailhere@zohomail.com</t>
  </si>
  <si>
    <t>mernaheyl1@noemail.com</t>
  </si>
  <si>
    <t>lolamcdonald1@noemail.com</t>
  </si>
  <si>
    <t>antoinettjohnson1@noemail.com</t>
  </si>
  <si>
    <t>s2td7slkui@m.expediapartnercentral.com</t>
  </si>
  <si>
    <t>smb88@rap.midco.net</t>
  </si>
  <si>
    <t>mkaing.172129@guest.booking.com</t>
  </si>
  <si>
    <t>katliynbladow1@noemail.com</t>
  </si>
  <si>
    <t>2023-06-24</t>
  </si>
  <si>
    <t>mcl2byord6@m.expediapartnercentral.com</t>
  </si>
  <si>
    <t>tashanovotny1@noemail.com</t>
  </si>
  <si>
    <t>nreddy.531360@guest.booking.com</t>
  </si>
  <si>
    <t>jamiegall1@noemail.com</t>
  </si>
  <si>
    <t>dlscfg@yahoo.com</t>
  </si>
  <si>
    <t>je03edxg5h@m.expediapartnercentral.com</t>
  </si>
  <si>
    <t>3ys3qcl1x2@m.expediapartnercentral.com</t>
  </si>
  <si>
    <t>2023-05-15</t>
  </si>
  <si>
    <t>7wscb28vfb@m.expediapartnercentral.com</t>
  </si>
  <si>
    <t>2023-05-19</t>
  </si>
  <si>
    <t>atkehm6@gmail.com</t>
  </si>
  <si>
    <t>2023-09-05</t>
  </si>
  <si>
    <t>dlangl.774536@guest.booking.com</t>
  </si>
  <si>
    <t>teresakent1@noemail.com</t>
  </si>
  <si>
    <t>2023-05-08</t>
  </si>
  <si>
    <t>hunhoff.me@gmail.com</t>
  </si>
  <si>
    <t>2023-07-05</t>
  </si>
  <si>
    <t>2023-05-09</t>
  </si>
  <si>
    <t>no0dnx2bkf@m.expediapartnercentral.com</t>
  </si>
  <si>
    <t>bgriggs@mc-mail.com</t>
  </si>
  <si>
    <t>spswheelock@sio.net</t>
  </si>
  <si>
    <t>lmxprsy8c9@m.expediapartnercentral.com</t>
  </si>
  <si>
    <t>2023-09-25</t>
  </si>
  <si>
    <t>pamelapolark@gmail.com</t>
  </si>
  <si>
    <t>patsystevenson1@noemail.com</t>
  </si>
  <si>
    <t>carlasfreddo@gmail.com</t>
  </si>
  <si>
    <t>korykolbe1@noemail.com</t>
  </si>
  <si>
    <t>dhchickenrun@yahoo.com</t>
  </si>
  <si>
    <t>kiberg12@icloud.com</t>
  </si>
  <si>
    <t>joshuaharvey1@noemail.com</t>
  </si>
  <si>
    <t>jpeter.507157@guest.booking.com</t>
  </si>
  <si>
    <t>lgw73491fm@m.expediapartnercentral.com</t>
  </si>
  <si>
    <t>rheajeanmcbride1@noemail.com</t>
  </si>
  <si>
    <t>garryanderson1@noemail.com</t>
  </si>
  <si>
    <t>briankirk1@noemail.com</t>
  </si>
  <si>
    <t>wp0357uy5s@m.expediapartnercentral.com</t>
  </si>
  <si>
    <t>rachel@doublehpaving.com</t>
  </si>
  <si>
    <t>mmerge.218684@guest.booking.com</t>
  </si>
  <si>
    <t>tomcandclair@yahoo.com</t>
  </si>
  <si>
    <t>jaymiedeyo1@noemail.com</t>
  </si>
  <si>
    <t>jacquelinebader1@noemail.com</t>
  </si>
  <si>
    <t>lindamoyer1@noemail.com</t>
  </si>
  <si>
    <t>6lkxc9y9fk@m.expediapartnercentral.com</t>
  </si>
  <si>
    <t>tomstodolka1@noemail.com</t>
  </si>
  <si>
    <t>dannenbk@sdcglobal.net</t>
  </si>
  <si>
    <t>2023-06-23</t>
  </si>
  <si>
    <t>tsoderberg75@gmail.com</t>
  </si>
  <si>
    <t>lharty2@vyn.midco.net</t>
  </si>
  <si>
    <t>travishulstein1@noemail.com</t>
  </si>
  <si>
    <t>bobandstacy3@gmail.com</t>
  </si>
  <si>
    <t>loribell1@noemail.com</t>
  </si>
  <si>
    <t>autumnchetrit1@noemail.com</t>
  </si>
  <si>
    <t>gpov965w8u@m.expediapartnercentral.com</t>
  </si>
  <si>
    <t>2023-06-15</t>
  </si>
  <si>
    <t>glangp.392129@guest.booking.com</t>
  </si>
  <si>
    <t>2023-07-25</t>
  </si>
  <si>
    <t>joegaa1@hotmail.com</t>
  </si>
  <si>
    <t>2023-05-16</t>
  </si>
  <si>
    <t>q5deibv6h0@m.expediapartnercentral.com</t>
  </si>
  <si>
    <t>lizcannon33@gmail.com</t>
  </si>
  <si>
    <t>joshbyers1@noemail.com</t>
  </si>
  <si>
    <t>deonne.ep@gmail.com</t>
  </si>
  <si>
    <t>2023-09-17</t>
  </si>
  <si>
    <t>briansiefker1@noemail.com</t>
  </si>
  <si>
    <t>tristan.kruger0506@gmail.com</t>
  </si>
  <si>
    <t>sammudlin1@noemail.com</t>
  </si>
  <si>
    <t>michael@autoclinix.com</t>
  </si>
  <si>
    <t>yc93dshnch@m.expediapartnercentral.com</t>
  </si>
  <si>
    <t>cindyzuehlke1@noemail.com</t>
  </si>
  <si>
    <t>christophercarlson1@noemail.com</t>
  </si>
  <si>
    <t>2023-05-17</t>
  </si>
  <si>
    <t>70ogjl5msw@m.expediapartnercentral.com</t>
  </si>
  <si>
    <t>dhbctx76ad@m.expediapartnercentral.com</t>
  </si>
  <si>
    <t>7pdtanhva2@m.expediapartnercentral.com</t>
  </si>
  <si>
    <t>2023-07-01</t>
  </si>
  <si>
    <t>abjrdpk5n4@m.expediapartnercentral.com</t>
  </si>
  <si>
    <t>karaheaton1@noemail.com</t>
  </si>
  <si>
    <t>michaellovell1@noemail.com</t>
  </si>
  <si>
    <t>sjones.479547@guest.booking.com</t>
  </si>
  <si>
    <t>j.curtis772@gmail.com</t>
  </si>
  <si>
    <t>adamhall1@noemail.com</t>
  </si>
  <si>
    <t>dannyayers1@noemail.com</t>
  </si>
  <si>
    <t>sharonsnuttjer1@noemail.com</t>
  </si>
  <si>
    <t>suebeegt@gmail.com</t>
  </si>
  <si>
    <t>2023-06-26</t>
  </si>
  <si>
    <t>leonardgeiken1@noemail.com</t>
  </si>
  <si>
    <t>aliviyasmommy99@gmail.com</t>
  </si>
  <si>
    <t>jremil.650450@guest.booking.com</t>
  </si>
  <si>
    <t>2023-07-23</t>
  </si>
  <si>
    <t>v343lyuwm2@m.expediapartnercentral.com</t>
  </si>
  <si>
    <t>mmitzel46@gmail.com</t>
  </si>
  <si>
    <t>vladyslavshumilov1@noemail.com</t>
  </si>
  <si>
    <t>paullambert1@noemail.com</t>
  </si>
  <si>
    <t>2023-05-26</t>
  </si>
  <si>
    <t>davidbrandt1@noemail.com</t>
  </si>
  <si>
    <t>alec.sauer198@gmail.com</t>
  </si>
  <si>
    <t>mtfrach@gmail.com</t>
  </si>
  <si>
    <t>2023-06-22</t>
  </si>
  <si>
    <t>yrkoski258@gmail.com</t>
  </si>
  <si>
    <t>s5mi0d53l1@m.expediapartnercentral.com</t>
  </si>
  <si>
    <t>whitneyvirkula@gmail.com</t>
  </si>
  <si>
    <t>joe@joealaska.com</t>
  </si>
  <si>
    <t>packerjarv@goldenwest.net</t>
  </si>
  <si>
    <t>jmolacek19@gmail.com</t>
  </si>
  <si>
    <t>witlock@live.com</t>
  </si>
  <si>
    <t>paulbrungardt1@noemail.com</t>
  </si>
  <si>
    <t>selinathurow@gmail.com</t>
  </si>
  <si>
    <t>srober.590394@guest.booking.com</t>
  </si>
  <si>
    <t>bobkint1@noemail.com</t>
  </si>
  <si>
    <t>billarmour1@hotmail.com</t>
  </si>
  <si>
    <t>colvinsamuel1@noemail.com</t>
  </si>
  <si>
    <t>anthonymueller1@noemail.com</t>
  </si>
  <si>
    <t>bambiknutson1@noemail.com</t>
  </si>
  <si>
    <t>lherman@santel.net</t>
  </si>
  <si>
    <t>brainmcnary1@noemail.com</t>
  </si>
  <si>
    <t>dianebarker1@noemail.com</t>
  </si>
  <si>
    <t>paulgerber1@noemail.com</t>
  </si>
  <si>
    <t>susansprouse64@gmail.com</t>
  </si>
  <si>
    <t>2023-07-08</t>
  </si>
  <si>
    <t>3x4np8wj6l@m.expediapartnercentral.com</t>
  </si>
  <si>
    <t>lelsasser02@gmail.com</t>
  </si>
  <si>
    <t>vldmrvadiuk@gmail.com</t>
  </si>
  <si>
    <t>7jrbpgde0k@m.expediapartnercentral.com</t>
  </si>
  <si>
    <t>lbcig18xl8@m.expediapartnercentral.com</t>
  </si>
  <si>
    <t>rv8dqvpp2e@m.expediapartnercentral.com</t>
  </si>
  <si>
    <t>pqutr4q8aq@m.expediapartnercentral.com</t>
  </si>
  <si>
    <t>q9lxoe55d4@m.expediapartnercentral.com</t>
  </si>
  <si>
    <t>2fc4f7svh4@m.expediapartnercentral.com</t>
  </si>
  <si>
    <t>jimlosinski@gmail.com</t>
  </si>
  <si>
    <t>w568s3jpbj@m.expediapartnercentral.com</t>
  </si>
  <si>
    <t>jimjoraanstad1@noemail.com</t>
  </si>
  <si>
    <t>justinhood1@noemail.com</t>
  </si>
  <si>
    <t>bbolan.671426@guest.booking.com</t>
  </si>
  <si>
    <t>peggypodhradsky1@noemail.com</t>
  </si>
  <si>
    <t>nqm75iydj3@m.expediapartnercentral.com</t>
  </si>
  <si>
    <t>eoneal.203516@guest.booking.com</t>
  </si>
  <si>
    <t>smcgrath@fourteenfoods.com</t>
  </si>
  <si>
    <t>mkjpr09614@m.expediapartnercentral.com</t>
  </si>
  <si>
    <t>michelle.lindee@gmail.com</t>
  </si>
  <si>
    <t>justinfortine1@noemail.com</t>
  </si>
  <si>
    <t>ronmcnichols1@noemail.com</t>
  </si>
  <si>
    <t>stacy.acklie@gmail.com</t>
  </si>
  <si>
    <t>tycaldwell1@noemail.com</t>
  </si>
  <si>
    <t>rpacka.642696@guest.booking.com</t>
  </si>
  <si>
    <t>1u2v89kx3o@m.expediapartnercentral.com</t>
  </si>
  <si>
    <t>9pnceli0nf@m.expediapartnercentral.com</t>
  </si>
  <si>
    <t>pvgtvfguom@m.expediapartnercentral.com</t>
  </si>
  <si>
    <t>bert.griggs@mc-mail.com</t>
  </si>
  <si>
    <t>adamhaull1@noemail.com</t>
  </si>
  <si>
    <t>bjscar7@gmail.com</t>
  </si>
  <si>
    <t>jendibley@gmail.com</t>
  </si>
  <si>
    <t>brycelunde1@noemail.com</t>
  </si>
  <si>
    <t>keiththepainter1@gmail.com</t>
  </si>
  <si>
    <t>jefffinke1@noemail.com</t>
  </si>
  <si>
    <t>mark.anderson@k12.sd.us</t>
  </si>
  <si>
    <t>shanegannon1@gmail.com</t>
  </si>
  <si>
    <t>bunker616@gmail.com</t>
  </si>
  <si>
    <t>shawnchief1@noemail.com</t>
  </si>
  <si>
    <t>vea7n1r9o8@m.expediapartnercentral.com</t>
  </si>
  <si>
    <t>coleswafford@gmail.com</t>
  </si>
  <si>
    <t>justinlunde1@noemail.com</t>
  </si>
  <si>
    <t>rent1@comcast.net</t>
  </si>
  <si>
    <t>susies150@yahoo.com</t>
  </si>
  <si>
    <t>2023-06-01</t>
  </si>
  <si>
    <t>smglawson@gmail.com</t>
  </si>
  <si>
    <t>rmw25@vcn.com</t>
  </si>
  <si>
    <t>russellfugitt1@noemail.com</t>
  </si>
  <si>
    <t>426jli9qn6@m.expediapartnercentral.com</t>
  </si>
  <si>
    <t>jennyspencer1@noemail.com</t>
  </si>
  <si>
    <t>jamieduran1@noemail.com</t>
  </si>
  <si>
    <t>m1um291et2@m.expediapartnercentral.com</t>
  </si>
  <si>
    <t>2023-06-17</t>
  </si>
  <si>
    <t>bdriscole3@gmail.com</t>
  </si>
  <si>
    <t>jordanfitch1@noemail.com</t>
  </si>
  <si>
    <t>abbyhummel1@noemail.com</t>
  </si>
  <si>
    <t>douglastabb1@noemail.com</t>
  </si>
  <si>
    <t>suo43is3un@m.expediapartnercentral.com</t>
  </si>
  <si>
    <t>colesoutherland1@noemail.com</t>
  </si>
  <si>
    <t>06npbkw9bb@m.expediapartnercentral.com</t>
  </si>
  <si>
    <t>mike@thortoncarpets.com</t>
  </si>
  <si>
    <t>2023-06-02</t>
  </si>
  <si>
    <t>johndevore1@noemail.com</t>
  </si>
  <si>
    <t>tylernorenberg1@noemail.com</t>
  </si>
  <si>
    <t>6qm0nea1y0@m.expediapartnercentral.com</t>
  </si>
  <si>
    <t>larabridi1@noemail.com</t>
  </si>
  <si>
    <t>u7ev6nsc9r@m.expediapartnercentral.com</t>
  </si>
  <si>
    <t>ew0cutcy3i@m.expediapartnercentral.com</t>
  </si>
  <si>
    <t>a66k3cdgyd@m.expediapartnercentral.com</t>
  </si>
  <si>
    <t>mlwallen86@itctl.com</t>
  </si>
  <si>
    <t>rpmonn@hotmail.com</t>
  </si>
  <si>
    <t>albertthomerson1@noemail.com</t>
  </si>
  <si>
    <t>wp497fyvnk@m.expediapartnercentral.com</t>
  </si>
  <si>
    <t>jenniferwyzykowski1@noemail.com</t>
  </si>
  <si>
    <t>e4orr12ia8@m.expediapartnercentral.com</t>
  </si>
  <si>
    <t>hailey.neubauer@outlook.com</t>
  </si>
  <si>
    <t>rodneystahl1@noemail.com</t>
  </si>
  <si>
    <t>hw1lqat08k@m.expediapartnercentral.com</t>
  </si>
  <si>
    <t>thomasmcclelland.tm@gmail.com</t>
  </si>
  <si>
    <t>2tanc86yqt@m.expediapartnercentral.com</t>
  </si>
  <si>
    <t>sammaabdurahman1@noemail.com</t>
  </si>
  <si>
    <t>jgalle.602552@guest.booking.com</t>
  </si>
  <si>
    <t>2023-08-06</t>
  </si>
  <si>
    <t>levere.355312@guest.booking.com</t>
  </si>
  <si>
    <t>adambertsch1@noemail.com</t>
  </si>
  <si>
    <t>d6m5m52@yahoo.com</t>
  </si>
  <si>
    <t>2023-07-13</t>
  </si>
  <si>
    <t>kwise.229947@guest.booking.com</t>
  </si>
  <si>
    <t>kaiseemurphy@gmail.com</t>
  </si>
  <si>
    <t>tornow@kctc.net</t>
  </si>
  <si>
    <t>dbarenie@gmail.com</t>
  </si>
  <si>
    <t>michaelhahn1@noemail.com</t>
  </si>
  <si>
    <t>2023-06-06</t>
  </si>
  <si>
    <t>myselfdu@gmail.com</t>
  </si>
  <si>
    <t>2023-08-04</t>
  </si>
  <si>
    <t>ebonygrochow1@noemail.com</t>
  </si>
  <si>
    <t>54jq8mwft6@m.expediapartnercentral.com</t>
  </si>
  <si>
    <t>walter.pelowski@ipsamerica.biz</t>
  </si>
  <si>
    <t>andfrie1@gmail.com</t>
  </si>
  <si>
    <t>t6qe2yv7m0@m.expediapartnercentral.com</t>
  </si>
  <si>
    <t>williamtrinaldi@gmail.com</t>
  </si>
  <si>
    <t>jilla5016@aol.com</t>
  </si>
  <si>
    <t>skscherer4@gmail.com</t>
  </si>
  <si>
    <t>2023-07-09</t>
  </si>
  <si>
    <t>brad96kari@gmail.com</t>
  </si>
  <si>
    <t>jessica38@live.com</t>
  </si>
  <si>
    <t>2023-11-24</t>
  </si>
  <si>
    <t>justinfortin1@noemail.com</t>
  </si>
  <si>
    <t>9p1vpwsfsf@m.expediapartnercentral.com</t>
  </si>
  <si>
    <t>rjohansen@homefurniture.com</t>
  </si>
  <si>
    <t>prafulpatel1@noemail.com</t>
  </si>
  <si>
    <t>n4wxfgsh3m@m.expediapartnercentral.com</t>
  </si>
  <si>
    <t>i8qcxmb0u9@m.expediapartnercentral.com</t>
  </si>
  <si>
    <t>trevorsimpson1@noemail.com</t>
  </si>
  <si>
    <t>darincorcoran1@noemail.com</t>
  </si>
  <si>
    <t>thekaylasmith@gmail.com</t>
  </si>
  <si>
    <t>sphill.862592@guest.booking.com</t>
  </si>
  <si>
    <t>bhaave.183344@guest.booking.com</t>
  </si>
  <si>
    <t>q9mo8iujv3@m.expediapartnercentral.com</t>
  </si>
  <si>
    <t>nicholassherman1@noemail.com</t>
  </si>
  <si>
    <t>chelseyfalzone1@noemail.com</t>
  </si>
  <si>
    <t>2023-07-06</t>
  </si>
  <si>
    <t>chelseyfalzone@twins.com</t>
  </si>
  <si>
    <t>jameslee1@noemail.com</t>
  </si>
  <si>
    <t>2023-07-24</t>
  </si>
  <si>
    <t>briansmith1@noemail.com</t>
  </si>
  <si>
    <t>srbsf@yahoo.com</t>
  </si>
  <si>
    <t>6b6s3hjixu@m.expediapartnercentral.com</t>
  </si>
  <si>
    <t>k48oxxfqx8@m.expediapartnercentral.com</t>
  </si>
  <si>
    <t>35g95tbwsm@m.expediapartnercentral.com</t>
  </si>
  <si>
    <t>4p98alnd0q@m.expediapartnercentral.com</t>
  </si>
  <si>
    <t>nicholas.blommer@ferguson.com</t>
  </si>
  <si>
    <t>2023-06-07</t>
  </si>
  <si>
    <t>ilariablackwell@yahoo.com</t>
  </si>
  <si>
    <t>2023-07-14</t>
  </si>
  <si>
    <t>timothylocken1@noemail.com</t>
  </si>
  <si>
    <t>mortenhildebrandt1@noemail.com</t>
  </si>
  <si>
    <t>robertprinsen1@noemail.com</t>
  </si>
  <si>
    <t>clintbray1@noemail.com</t>
  </si>
  <si>
    <t>stasse.751688@guest.booking.com</t>
  </si>
  <si>
    <t>j3ti9vcsra@m.expediapartnercentral.com</t>
  </si>
  <si>
    <t>jaciclauson1@noemail.com</t>
  </si>
  <si>
    <t>brookdarnell1@noemail.com</t>
  </si>
  <si>
    <t>katenelsonpe@gmail.com</t>
  </si>
  <si>
    <t>smbargstadt64@gmail.com</t>
  </si>
  <si>
    <t>arleneeaisterman1@noemail.com</t>
  </si>
  <si>
    <t>sara.berghorst@gmail.com</t>
  </si>
  <si>
    <t>richardkleis1@noemail.com</t>
  </si>
  <si>
    <t>jaynegrismer@cox.net</t>
  </si>
  <si>
    <t>niceguyext@hotmail.com</t>
  </si>
  <si>
    <t>cbcarnes@hotmail.com</t>
  </si>
  <si>
    <t>annhovdenes1@noemail.com</t>
  </si>
  <si>
    <t>rrobinson3542@gmail.com</t>
  </si>
  <si>
    <t>87ccinx4ol@m.expediapartnercentral.com</t>
  </si>
  <si>
    <t>s2qm1pjop8@m.expediapartnercentral.com</t>
  </si>
  <si>
    <t>samileesd97@gmail.com</t>
  </si>
  <si>
    <t>c4scr9b4lw@m.expediapartnercentral.com</t>
  </si>
  <si>
    <t>destiny_traversie14@hotmail.com</t>
  </si>
  <si>
    <t>7gjd9cq5qx@m.expediapartnercentral.com</t>
  </si>
  <si>
    <t>8u85c3sn46@m.expediapartnercentral.com</t>
  </si>
  <si>
    <t>markphone1970@gmail.com</t>
  </si>
  <si>
    <t>mbfunk2018@gmail.com</t>
  </si>
  <si>
    <t>toddseltun1@noemail.com</t>
  </si>
  <si>
    <t>joshroberts1@noemail.com</t>
  </si>
  <si>
    <t>nicktimmerman1@noemail.com</t>
  </si>
  <si>
    <t>beth.kamano@gmail.com</t>
  </si>
  <si>
    <t>2023-07-12</t>
  </si>
  <si>
    <t>mathewlikins1@noemail.com</t>
  </si>
  <si>
    <t>jentrysprang@gmail.com</t>
  </si>
  <si>
    <t>2023-06-21</t>
  </si>
  <si>
    <t>andrewblencoe1@noemail.com</t>
  </si>
  <si>
    <t>thomasemmanuelricks1@noemail.com</t>
  </si>
  <si>
    <t>r_knut@hotmail.com</t>
  </si>
  <si>
    <t>tgroen92@gmail.com</t>
  </si>
  <si>
    <t>g-jmarois@hotmail.com</t>
  </si>
  <si>
    <t>ux9fx6ljlu@m.expediapartnercentral.com</t>
  </si>
  <si>
    <t>jimmywoo345@gmail.com</t>
  </si>
  <si>
    <t>93n8xrk8yy@m.expediapartnercentral.com</t>
  </si>
  <si>
    <t>ql94781hru@m.expediapartnercentral.com</t>
  </si>
  <si>
    <t>christopher.clime82@gmail.com</t>
  </si>
  <si>
    <t>eliz.wortmann@gmail.com</t>
  </si>
  <si>
    <t>phj3mi6o71@m.expediapartnercentral.com</t>
  </si>
  <si>
    <t>greghausser1@noemail.com</t>
  </si>
  <si>
    <t>qw3nmm3a70@m.expediapartnercentral.com</t>
  </si>
  <si>
    <t>wykmmdbwxl@m.expediapartnercentral.com</t>
  </si>
  <si>
    <t>2023-07-15</t>
  </si>
  <si>
    <t>n7j5o6tqwo@m.expediapartnercentral.com</t>
  </si>
  <si>
    <t>pc0bysqw8l@m.expediapartnercentral.com</t>
  </si>
  <si>
    <t>curtisplumb1@noemail.com</t>
  </si>
  <si>
    <t>wpritzel@gmail.com</t>
  </si>
  <si>
    <t>bad2ux2a3f@m.expediapartnercentral.com</t>
  </si>
  <si>
    <t>6kwgm9ui3q@m.expediapartnercentral.com</t>
  </si>
  <si>
    <t>bethholzwarth1@noemail.com</t>
  </si>
  <si>
    <t>3to0sco4yg@m.expediapartnercentral.com</t>
  </si>
  <si>
    <t>haloflee@gmail.com</t>
  </si>
  <si>
    <t>kl70sg69bc@m.expediapartnercentral.com</t>
  </si>
  <si>
    <t>kevin.quinn@nextelectricllc.com</t>
  </si>
  <si>
    <t>crawfoj1990@gmail.com</t>
  </si>
  <si>
    <t>malloryhouse1@noemail.com</t>
  </si>
  <si>
    <t>rachellebutler1@noemail.com</t>
  </si>
  <si>
    <t>cassiajirsa1@noemail.com</t>
  </si>
  <si>
    <t>keithanderson1@noemail.com</t>
  </si>
  <si>
    <t>mwade@bbc.net</t>
  </si>
  <si>
    <t>saralayton1@noemail.com</t>
  </si>
  <si>
    <t>krisstuckey1@noemail.com</t>
  </si>
  <si>
    <t>mckinzie1005@gmail.com</t>
  </si>
  <si>
    <t>cole.millerbernd@gmail.com</t>
  </si>
  <si>
    <t>paulaames1@noemail.com</t>
  </si>
  <si>
    <t>2023-06-13</t>
  </si>
  <si>
    <t>haleyhutton1@noemail.com</t>
  </si>
  <si>
    <t>kelly_a_json@hotmail.com</t>
  </si>
  <si>
    <t>mndjg310ok@m.expediapartnercentral.com</t>
  </si>
  <si>
    <t>egyljgcn2a@m.expediapartnercentral.com</t>
  </si>
  <si>
    <t>molly.redpath@poplarschools.com</t>
  </si>
  <si>
    <t>ajwalker0415@gmail.com</t>
  </si>
  <si>
    <t>eric.grochow@gmail.com</t>
  </si>
  <si>
    <t>whitecobra.58@gmail.com</t>
  </si>
  <si>
    <t>jenwitt1@noemail.com</t>
  </si>
  <si>
    <t>dnisse.542695@guest.booking.com</t>
  </si>
  <si>
    <t>fmydqxpnue@m.expediapartnercentral.com</t>
  </si>
  <si>
    <t>8gqhoiukro@m.expediapartnercentral.com</t>
  </si>
  <si>
    <t>cfox.559739@guest.booking.com</t>
  </si>
  <si>
    <t>bradgrismer1@noemail.com</t>
  </si>
  <si>
    <t>grismerk@gmail.com</t>
  </si>
  <si>
    <t>caseyasloan@gmail.com</t>
  </si>
  <si>
    <t>kingmsapril022@hotmail.com</t>
  </si>
  <si>
    <t>2023-07-26</t>
  </si>
  <si>
    <t>q0cm2swp73@m.expediapartnercentral.com</t>
  </si>
  <si>
    <t>2023-06-28</t>
  </si>
  <si>
    <t>kterlinde@fourteenfoods.com</t>
  </si>
  <si>
    <t>keith.e.wagner@icloud.com</t>
  </si>
  <si>
    <t>vdlmw901@att.net</t>
  </si>
  <si>
    <t>82cdffmmtu@m.expediapartnercentral.com</t>
  </si>
  <si>
    <t>susan.ackerman@comcast.net</t>
  </si>
  <si>
    <t>agriebel@hcws.com</t>
  </si>
  <si>
    <t>swehye.828566@guest.booking.com</t>
  </si>
  <si>
    <t>jamescvoyles@gmail.com</t>
  </si>
  <si>
    <t>saml@schererinc.com</t>
  </si>
  <si>
    <t>petejdailey@gmail.com</t>
  </si>
  <si>
    <t>4mmj8bs91g@m.expediapartnercentral.com</t>
  </si>
  <si>
    <t>brookedarnell@gmail.com</t>
  </si>
  <si>
    <t>fx9kmo7wps@m.expediapartnercentral.com</t>
  </si>
  <si>
    <t>tiffanydanko1@noemail.com</t>
  </si>
  <si>
    <t>jfresch@pneumatech.com</t>
  </si>
  <si>
    <t>2023-06-14</t>
  </si>
  <si>
    <t>robertkrystyniak1@noemail.com</t>
  </si>
  <si>
    <t>scottdavenport1@noemail.com</t>
  </si>
  <si>
    <t>howardroth1@noemail.com</t>
  </si>
  <si>
    <t>boden.7287@gmail.com</t>
  </si>
  <si>
    <t>hwitt.541827@guest.booking.com</t>
  </si>
  <si>
    <t>cbmanfredi@gmail.com</t>
  </si>
  <si>
    <t>vxp7o2s7r7@m.expediapartnercentral.com</t>
  </si>
  <si>
    <t>vondam@wcnx.org</t>
  </si>
  <si>
    <t>esaath.420011@guest.booking.com</t>
  </si>
  <si>
    <t>2023-07-19</t>
  </si>
  <si>
    <t>loripaulson63@gmail.com</t>
  </si>
  <si>
    <t>tylerdavenport1@noemail.com</t>
  </si>
  <si>
    <t>skpurcella@gmail.com</t>
  </si>
  <si>
    <t>lynnconey1@noemail.com</t>
  </si>
  <si>
    <t>cindymith120@gmail.com</t>
  </si>
  <si>
    <t>22jdoo1sbi@m.expediapartnercentral.com</t>
  </si>
  <si>
    <t>kflieh.617914@guest.booking.com</t>
  </si>
  <si>
    <t>njasimon@hotmail.com</t>
  </si>
  <si>
    <t>randimithun@yahoo.com</t>
  </si>
  <si>
    <t>wthurb.534267@guest.booking.com</t>
  </si>
  <si>
    <t>stelladyer50@yahoo.com</t>
  </si>
  <si>
    <t>karencaraway1@noemail.com</t>
  </si>
  <si>
    <t>calebostrander1@noemail.com</t>
  </si>
  <si>
    <t>brent.hawkinson81@gmail.com</t>
  </si>
  <si>
    <t>welchfam84@msn.com</t>
  </si>
  <si>
    <t>2023-08-28</t>
  </si>
  <si>
    <t>jimgrott@gmail.com</t>
  </si>
  <si>
    <t>nickcws82@gmail.com</t>
  </si>
  <si>
    <t>kafliehs@gmail.com</t>
  </si>
  <si>
    <t>02bigd@gmail.com</t>
  </si>
  <si>
    <t>kristambenson@gmail.com</t>
  </si>
  <si>
    <t>ah0o2lwx40@m.expediapartnercentral.com</t>
  </si>
  <si>
    <t>1a8esm8mqi@m.expediapartnercentral.com</t>
  </si>
  <si>
    <t>chadhauck1@noemail.com</t>
  </si>
  <si>
    <t>dhv7yj1xud@m.expediapartnercentral.com</t>
  </si>
  <si>
    <t>saxmanheuser@gmail.com</t>
  </si>
  <si>
    <t>2023-08-16</t>
  </si>
  <si>
    <t>3sar7j7c19@m.expediapartnercentral.com</t>
  </si>
  <si>
    <t>marksteigleder1@noemail.com</t>
  </si>
  <si>
    <t>stephaniemttinas1@noemail.com</t>
  </si>
  <si>
    <t>docjthompson@gmail.com</t>
  </si>
  <si>
    <t>waynesemerad1@noemail.com</t>
  </si>
  <si>
    <t>brook2582@yahoo.com</t>
  </si>
  <si>
    <t>6kft0av5tt@m.expediapartnercentral.com</t>
  </si>
  <si>
    <t>pkmn84ybli@m.expediapartnercentral.com</t>
  </si>
  <si>
    <t>davidcloke1@noemail.com</t>
  </si>
  <si>
    <t>cxelejuc3b@m.expediapartnercentral.com</t>
  </si>
  <si>
    <t>2023-09-24</t>
  </si>
  <si>
    <t>rustyflack@yahoo.com</t>
  </si>
  <si>
    <t>vanessahonomichl1@noemail.com</t>
  </si>
  <si>
    <t>rowleylar@aol.com</t>
  </si>
  <si>
    <t>phreaked@gmail.com</t>
  </si>
  <si>
    <t>alice.johnson123@gmail.com</t>
  </si>
  <si>
    <t>gordensbodyshop@hotmail.com</t>
  </si>
  <si>
    <t>iszler.eliz@gmail.com</t>
  </si>
  <si>
    <t>2023-08-12</t>
  </si>
  <si>
    <t>ki3yxdjkt9@m.expediapartnercentral.com</t>
  </si>
  <si>
    <t>briankuhn1@noemail.com</t>
  </si>
  <si>
    <t>ireneabels15@gmail.com</t>
  </si>
  <si>
    <t>aeliza.788422@guest.booking.com</t>
  </si>
  <si>
    <t>kmcnally32@gmail.com</t>
  </si>
  <si>
    <t>void@gmail.com</t>
  </si>
  <si>
    <t>hmh6n5qsbw@m.expediapartnercentral.com</t>
  </si>
  <si>
    <t>westwayne@hotmail.com</t>
  </si>
  <si>
    <t>katelyn.lineweber@gmail.com</t>
  </si>
  <si>
    <t>2023-11-12</t>
  </si>
  <si>
    <t>dawn_imrie@yahoo.com</t>
  </si>
  <si>
    <t>tvwvwghd69@m.expediapartnercentral.com</t>
  </si>
  <si>
    <t>brownslp17@gmail.com</t>
  </si>
  <si>
    <t>2023-11-26</t>
  </si>
  <si>
    <t>h3w20ijj1s@m.expediapartnercentral.com</t>
  </si>
  <si>
    <t>aaron_onder@hotmail.com</t>
  </si>
  <si>
    <t>c71dhotbyd@m.expediapartnercentral.com</t>
  </si>
  <si>
    <t>rodhenderson1@noemail.com</t>
  </si>
  <si>
    <t>kirkrikansrud1@noemail.com</t>
  </si>
  <si>
    <t>tima@svmps.com</t>
  </si>
  <si>
    <t>bcrote@comcast.net</t>
  </si>
  <si>
    <t>jiz98@yahoo.com</t>
  </si>
  <si>
    <t>cb3helkenn@gmail.com</t>
  </si>
  <si>
    <t>ttrauman@verneide.com</t>
  </si>
  <si>
    <t>indiolover85@gmail.com</t>
  </si>
  <si>
    <t>ellsworthashley21@yahoo.com</t>
  </si>
  <si>
    <t>cowen.806159@guest.booking.com</t>
  </si>
  <si>
    <t>kelseybeving@gmail.com</t>
  </si>
  <si>
    <t>candraforest@icloud.com</t>
  </si>
  <si>
    <t>amanda.d.ahrens@gmail.com</t>
  </si>
  <si>
    <t>beth.severson@k12.sd.us</t>
  </si>
  <si>
    <t>amoran@nwrespiratory.com</t>
  </si>
  <si>
    <t>escsl9bbvu@m.expediapartnercentral.com</t>
  </si>
  <si>
    <t>2023-08-14</t>
  </si>
  <si>
    <t>3ed3ry9s1q@m.expediapartnercentral.com</t>
  </si>
  <si>
    <t>2023-08-18</t>
  </si>
  <si>
    <t>jlkamyhre@charger.net</t>
  </si>
  <si>
    <t>2023-06-20</t>
  </si>
  <si>
    <t>jdoll.622193@guest.booking.com</t>
  </si>
  <si>
    <t>julieblair1@noemail.com</t>
  </si>
  <si>
    <t>williamcampbell1@noemail.com</t>
  </si>
  <si>
    <t>lh5qfeyg12@m.expediapartnercentral.com</t>
  </si>
  <si>
    <t>nhartl.151210@guest.booking.com</t>
  </si>
  <si>
    <t>jamiefrankenstein1@noemail.com</t>
  </si>
  <si>
    <t>edward_g16@hotmail.com</t>
  </si>
  <si>
    <t>karltonposey1@noemail.com</t>
  </si>
  <si>
    <t>2023-06-30</t>
  </si>
  <si>
    <t>cbuckingham@acimech.com</t>
  </si>
  <si>
    <t>nlf7a22dx4@m.expediapartnercentral.com</t>
  </si>
  <si>
    <t>benjaminperry1@noemail.com</t>
  </si>
  <si>
    <t>mike@thorntoncarpets.com</t>
  </si>
  <si>
    <t>tylerhummel1@noemail.com</t>
  </si>
  <si>
    <t>dvgdmub0om@m.expediapartnercentral.com</t>
  </si>
  <si>
    <t>kadendyck1@noemail.com</t>
  </si>
  <si>
    <t>kganderson49@icloud.com</t>
  </si>
  <si>
    <t>bryan.brost@gogpac.com</t>
  </si>
  <si>
    <t>jthyen.711893@guest.booking.com</t>
  </si>
  <si>
    <t>2023-07-22</t>
  </si>
  <si>
    <t>jaimedurancortes1@noemail.com</t>
  </si>
  <si>
    <t>dk_25_williams@hotmail.com</t>
  </si>
  <si>
    <t>timothyronan@icloud.com</t>
  </si>
  <si>
    <t>crhans27@gmail.com</t>
  </si>
  <si>
    <t>tomschirber1@noemail.com</t>
  </si>
  <si>
    <t>emilyweyandt2180@gmail.com</t>
  </si>
  <si>
    <t>lucyeasterling1@noemail.com</t>
  </si>
  <si>
    <t>qibehd4a4d@m.expediapartnercentral.com</t>
  </si>
  <si>
    <t>pn3kngyusk@m.expediapartnercentral.com</t>
  </si>
  <si>
    <t>wey143@gmail.com</t>
  </si>
  <si>
    <t>thecheatums@msn.com</t>
  </si>
  <si>
    <t>rsukup@yahoo.com</t>
  </si>
  <si>
    <t>brendadecurtins1@noemail.com</t>
  </si>
  <si>
    <t>x89jw6flrd@m.expediapartnercentral.com</t>
  </si>
  <si>
    <t>2023-07-17</t>
  </si>
  <si>
    <t>91c77mrfk1@m.expediapartnercentral.com</t>
  </si>
  <si>
    <t>matthewskornicka1@noemail.com</t>
  </si>
  <si>
    <t>arielbradley1@noemail.com</t>
  </si>
  <si>
    <t>casyomalley1@noemail.com</t>
  </si>
  <si>
    <t>2023-06-29</t>
  </si>
  <si>
    <t>ei2ho4ksoq@m.expediapartnercentral.com</t>
  </si>
  <si>
    <t>yvndbyi4wm@m.expediapartnercentral.com</t>
  </si>
  <si>
    <t>5ns6a54d4m@m.expediapartnercentral.com</t>
  </si>
  <si>
    <t>xxa8tfl8eo@m.expediapartnercentral.com</t>
  </si>
  <si>
    <t>t15unah7nt@m.expediapartnercentral.com</t>
  </si>
  <si>
    <t>joeheimann1@noemail.com</t>
  </si>
  <si>
    <t>hi8a22vkcj@m.expediapartnercentral.com</t>
  </si>
  <si>
    <t>jfaithabove@gmail.com</t>
  </si>
  <si>
    <t>gostercamp@gmail.com</t>
  </si>
  <si>
    <t>s.mermans@hotmail.com</t>
  </si>
  <si>
    <t>4ucbvwfttd@m.expediapartnercentral.com</t>
  </si>
  <si>
    <t>jernst22@yahoo.com</t>
  </si>
  <si>
    <t>rgarnh.971654@guest.booking.com</t>
  </si>
  <si>
    <t>mil242@midco.net</t>
  </si>
  <si>
    <t>hoke5@frontiernet.net</t>
  </si>
  <si>
    <t>0ckxfc73k4@m.expediapartnercentral.com</t>
  </si>
  <si>
    <t>48pxyvco8h@m.expediapartnercentral.com</t>
  </si>
  <si>
    <t>kbatcts2013@gmail.com</t>
  </si>
  <si>
    <t>jxmfo6s9lu@m.expediapartnercentral.com</t>
  </si>
  <si>
    <t>ashleyugah1@noemail.com</t>
  </si>
  <si>
    <t>tinadives@att.net</t>
  </si>
  <si>
    <t>dzrdon@yahoo.com</t>
  </si>
  <si>
    <t>5b4mjs0ma1@m.expediapartnercentral.com</t>
  </si>
  <si>
    <t>6v0w4kand0@m.expediapartnercentral.com</t>
  </si>
  <si>
    <t>apk75jwf25@m.expediapartnercentral.com</t>
  </si>
  <si>
    <t>s2aq51l4x3@m.expediapartnercentral.com</t>
  </si>
  <si>
    <t>4vo521p8kw@m.expediapartnercentral.com</t>
  </si>
  <si>
    <t>3g1y4em6kd@m.expediapartnercentral.com</t>
  </si>
  <si>
    <t>tracieconway.a@gmail.com</t>
  </si>
  <si>
    <t>2023-09-09</t>
  </si>
  <si>
    <t>wendyjohnson1@noemail.com</t>
  </si>
  <si>
    <t>qu1ykw3l62@m.expediapartnercentral.com</t>
  </si>
  <si>
    <t>gmb0vh1kk8@m.expediapartnercentral.com</t>
  </si>
  <si>
    <t>vah6rn8d0v@m.expediapartnercentral.com</t>
  </si>
  <si>
    <t>rickyreinicke1@noemail.com</t>
  </si>
  <si>
    <t>tamela.eitle@gmail.com</t>
  </si>
  <si>
    <t>timanderson1@noemail.com</t>
  </si>
  <si>
    <t>michaelmcginnis1@noemail.com</t>
  </si>
  <si>
    <t>jodyschindler@icloud.com</t>
  </si>
  <si>
    <t>donnamason1@noemail.com</t>
  </si>
  <si>
    <t>codyarvik1@noemail.com</t>
  </si>
  <si>
    <t>tdaltwine@gmail.com</t>
  </si>
  <si>
    <t>keribostwick@gmail.com</t>
  </si>
  <si>
    <t>chadfleer1@noemail.com</t>
  </si>
  <si>
    <t>2023-06-27</t>
  </si>
  <si>
    <t>ginakoenig1@noemail.com</t>
  </si>
  <si>
    <t>karennapier1@noemail.com</t>
  </si>
  <si>
    <t>ynegus.324545@guest.booking.com</t>
  </si>
  <si>
    <t>hartmanao43@gmail.com</t>
  </si>
  <si>
    <t>2023-09-18</t>
  </si>
  <si>
    <t>sherismith7@cox.net</t>
  </si>
  <si>
    <t>rrgv166nnr@m.expediapartnercentral.com</t>
  </si>
  <si>
    <t>srsxrauk22@m.expediapartnercentral.com</t>
  </si>
  <si>
    <t>lancechase1@noemail.com</t>
  </si>
  <si>
    <t>rworden20@me.com</t>
  </si>
  <si>
    <t>6s02wdpkkf@m.expediapartnercentral.com</t>
  </si>
  <si>
    <t>2023-07-07</t>
  </si>
  <si>
    <t>2frs32qmob@m.expediapartnercentral.com</t>
  </si>
  <si>
    <t>nbe0tcsouf@m.expediapartnercentral.com</t>
  </si>
  <si>
    <t>brookedarnell1@noemail.com</t>
  </si>
  <si>
    <t>gxg8gmgqg2@m.expediapartnercentral.com</t>
  </si>
  <si>
    <t>obermeier1010@gmail.com</t>
  </si>
  <si>
    <t>stacymara1128@gmail.com</t>
  </si>
  <si>
    <t>mbergman85@hotmail.com</t>
  </si>
  <si>
    <t>accbroutuu@m.expediapartnercentral.com</t>
  </si>
  <si>
    <t>mariangehrls1@noemail.com</t>
  </si>
  <si>
    <t>msxpredators@gmail.com</t>
  </si>
  <si>
    <t>saleenho@nvc.net</t>
  </si>
  <si>
    <t>darciebendix@hotmail.com</t>
  </si>
  <si>
    <t>maynardpuetz@yahoo.com</t>
  </si>
  <si>
    <t>hfraze.932453@guest.booking.com</t>
  </si>
  <si>
    <t>jim@mccrain.net</t>
  </si>
  <si>
    <t>rossjohnson1@noemail.com</t>
  </si>
  <si>
    <t>jennieb2324@charter.net</t>
  </si>
  <si>
    <t>genevachristie1@noemail.com</t>
  </si>
  <si>
    <t>dawnschlaffman1@noemail.com</t>
  </si>
  <si>
    <t>1spmvdy67c@m.expediapartnercentral.com</t>
  </si>
  <si>
    <t>abolin.344997@guest.booking.com</t>
  </si>
  <si>
    <t>techiepenguin@gmail.com</t>
  </si>
  <si>
    <t>saltnessam@icloud.com</t>
  </si>
  <si>
    <t>36datggxki@m.expediapartnercentral.com</t>
  </si>
  <si>
    <t>keithjohnson1@noemail.com</t>
  </si>
  <si>
    <t>nsamph.348494@guest.booking.com</t>
  </si>
  <si>
    <t>rodneyhenderson1@noemail.com</t>
  </si>
  <si>
    <t>kgotth.691867@guest.booking.com</t>
  </si>
  <si>
    <t>2023-07-20</t>
  </si>
  <si>
    <t>blaynestenersen1@noemail.com</t>
  </si>
  <si>
    <t>russellsmith1@noemail.com</t>
  </si>
  <si>
    <t>1g8qwle55v@m.expediapartnercentral.com</t>
  </si>
  <si>
    <t>2023-10-02</t>
  </si>
  <si>
    <t>ar2a5a8tye@m.expediapartnercentral.com</t>
  </si>
  <si>
    <t>torimcmahon.10@gmail.com</t>
  </si>
  <si>
    <t>arthurwilson1@noemail.com</t>
  </si>
  <si>
    <t>seanfaughn1@noemail.com</t>
  </si>
  <si>
    <t>melatlw@hotmail.com</t>
  </si>
  <si>
    <t>2023-09-12</t>
  </si>
  <si>
    <t>ggg0qqrevs@m.expediapartnercentral.com</t>
  </si>
  <si>
    <t>8ru1ne6wi1@m.expediapartnercentral.com</t>
  </si>
  <si>
    <t>leonardsalvin1@noemail.com</t>
  </si>
  <si>
    <t>i4ohaktoh0@m.expediapartnercentral.com</t>
  </si>
  <si>
    <t>2023-10-03</t>
  </si>
  <si>
    <t>klemasz@hotmail.com</t>
  </si>
  <si>
    <t>alexdonnay1@noemail.com</t>
  </si>
  <si>
    <t>2023-07-18</t>
  </si>
  <si>
    <t>ya1lhgowsb@m.expediapartnercentral.com</t>
  </si>
  <si>
    <t>xavdbcp35k@m.expediapartnercentral.com</t>
  </si>
  <si>
    <t>2023-08-02</t>
  </si>
  <si>
    <t>chelsiebothun1@noemail.com</t>
  </si>
  <si>
    <t>l20pbd5dm8@m.expediapartnercentral.com</t>
  </si>
  <si>
    <t>ryan.j.beattie@hotmail.com</t>
  </si>
  <si>
    <t>adonnay@arnoldsinc.com</t>
  </si>
  <si>
    <t>4wfs3sepev@m.expediapartnercentral.com</t>
  </si>
  <si>
    <t>sg4ey2a6t5@m.expediapartnercentral.com</t>
  </si>
  <si>
    <t>rriley.366297@guest.booking.com</t>
  </si>
  <si>
    <t>jessicahaines1226@gmail.com</t>
  </si>
  <si>
    <t>ryantobin1@noemail.com</t>
  </si>
  <si>
    <t>lynnelle_52@hotmail.com</t>
  </si>
  <si>
    <t>zobe0010@gmail.com</t>
  </si>
  <si>
    <t>johnharmelink1@noemail.com</t>
  </si>
  <si>
    <t>breannenoble1@noemail.com</t>
  </si>
  <si>
    <t>debmoorse1@noemail.com</t>
  </si>
  <si>
    <t>haugejmichael@gmail.com</t>
  </si>
  <si>
    <t>6aus492hp0@m.expediapartnercentral.com</t>
  </si>
  <si>
    <t>jn0dfbks7h@m.expediapartnercentral.com</t>
  </si>
  <si>
    <t>jwmaggi@gmail.com</t>
  </si>
  <si>
    <t>2023-10-10</t>
  </si>
  <si>
    <t>bstacy.984649@guest.booking.com</t>
  </si>
  <si>
    <t>chucol1012@msn.com</t>
  </si>
  <si>
    <t>2023-08-03</t>
  </si>
  <si>
    <t>vkincaid@dairy.com</t>
  </si>
  <si>
    <t>ariellenichols1@noemail.com</t>
  </si>
  <si>
    <t>margemiller1@noemail.com</t>
  </si>
  <si>
    <t>jordancornelius1@noemail.com</t>
  </si>
  <si>
    <t>tbrenn.522637@guest.booking.com</t>
  </si>
  <si>
    <t>garyradel@santel.net</t>
  </si>
  <si>
    <t>jgreen.587716@guest.booking.com</t>
  </si>
  <si>
    <t>blake22brooks@gmail.com</t>
  </si>
  <si>
    <t>7chuyf6jhb@m.expediapartnercentral.com</t>
  </si>
  <si>
    <t>hollie7083@gmail.com</t>
  </si>
  <si>
    <t>andrewisaacandersen@gmail.com</t>
  </si>
  <si>
    <t>8vh8cvpaq5@m.expediapartnercentral.com</t>
  </si>
  <si>
    <t>2023-07-11</t>
  </si>
  <si>
    <t>rarrandall1@gmail.com</t>
  </si>
  <si>
    <t>2023-12-25</t>
  </si>
  <si>
    <t>willardthompson1@noemail.com</t>
  </si>
  <si>
    <t>mlstilp@live.com</t>
  </si>
  <si>
    <t>jasonwhitt1@noemail.com</t>
  </si>
  <si>
    <t>rocky.funk@gmail.com</t>
  </si>
  <si>
    <t>scottpack@email.com</t>
  </si>
  <si>
    <t>colsenwilber1@noemail.com</t>
  </si>
  <si>
    <t>diannemurray5599@gmail.com</t>
  </si>
  <si>
    <t>sestakmichelle13@gmail.com</t>
  </si>
  <si>
    <t>2024-07-22</t>
  </si>
  <si>
    <t>nancyeckels47@gmail.com</t>
  </si>
  <si>
    <t>jsearl.854953@guest.booking.com</t>
  </si>
  <si>
    <t>kschutte0417@gmail.com</t>
  </si>
  <si>
    <t>kevin@foxysushi.com</t>
  </si>
  <si>
    <t>jlhanson2@comcast.net</t>
  </si>
  <si>
    <t>bunkar@mail.uc.edu</t>
  </si>
  <si>
    <t>ksakj@msn.com</t>
  </si>
  <si>
    <t>r5oy7t5add@m.expediapartnercentral.com</t>
  </si>
  <si>
    <t>w.kerby99@gmail.com</t>
  </si>
  <si>
    <t>paulnahnsen@gmail.com</t>
  </si>
  <si>
    <t>brettaadson1@noemail.com</t>
  </si>
  <si>
    <t>anncarroll77@gmail.com</t>
  </si>
  <si>
    <t>stetzels@aol.com</t>
  </si>
  <si>
    <t>lakasmalls@hotmail.com</t>
  </si>
  <si>
    <t>witkokodanwin@gmail.com</t>
  </si>
  <si>
    <t>jg4ln2elut@m.expediapartnercentral.com</t>
  </si>
  <si>
    <t>pattilwilliams55@gmail.com</t>
  </si>
  <si>
    <t>laryyjunker1@noemail.com</t>
  </si>
  <si>
    <t>vs5lr92mxi@m.expediapartnercentral.com</t>
  </si>
  <si>
    <t>79sfk2rsui@m.expediapartnercentral.com</t>
  </si>
  <si>
    <t>2023-07-10</t>
  </si>
  <si>
    <t>ydr61ll6oc@m.expediapartnercentral.com</t>
  </si>
  <si>
    <t>2023-07-29</t>
  </si>
  <si>
    <t>manojkumarnagarajan1@noemail.com</t>
  </si>
  <si>
    <t>nf2hocigyl@m.expediapartnercentral.com</t>
  </si>
  <si>
    <t>rosehildebrandt80@gmail.com</t>
  </si>
  <si>
    <t>paulmoore1@noemail.com</t>
  </si>
  <si>
    <t>estone.404622@guest.booking.com</t>
  </si>
  <si>
    <t>2023-10-08</t>
  </si>
  <si>
    <t>efriedme@hotmail.com</t>
  </si>
  <si>
    <t>bjmaruska75@mail.com</t>
  </si>
  <si>
    <t>sriggi.572396@guest.booking.com</t>
  </si>
  <si>
    <t>2023-10-21</t>
  </si>
  <si>
    <t>walterr@thebakergroup.com</t>
  </si>
  <si>
    <t>tbrenn.132434@guest.booking.com</t>
  </si>
  <si>
    <t>seanswanson1@noemail.com</t>
  </si>
  <si>
    <t>darla_lloyd@yahoo.com</t>
  </si>
  <si>
    <t>n3mti5hfkm@m.expediapartnercentral.com</t>
  </si>
  <si>
    <t>keithbroyphy1@noemail.com</t>
  </si>
  <si>
    <t>sjmueller61@gmail.com</t>
  </si>
  <si>
    <t>luthervan75@yahoo.com</t>
  </si>
  <si>
    <t>kylie.hawkins14@gmail.com</t>
  </si>
  <si>
    <t>pyp1stsx3b@m.expediapartnercentral.com</t>
  </si>
  <si>
    <t>mhilde.320873@guest.booking.com</t>
  </si>
  <si>
    <t>nick_schrapp@yanmar.com</t>
  </si>
  <si>
    <t>barbaradouglas1@noemail.com</t>
  </si>
  <si>
    <t>courtney.blenner@hotmail.com</t>
  </si>
  <si>
    <t>kathidarrenstephen1@noemail.com</t>
  </si>
  <si>
    <t>connollybrady@gmail.com</t>
  </si>
  <si>
    <t>pharty93@gmail.com</t>
  </si>
  <si>
    <t>christenbettin@yahoo.com</t>
  </si>
  <si>
    <t>6wn0yudeqa@m.expediapartnercentral.com</t>
  </si>
  <si>
    <t>ceridwenescobedo1@noemail.com</t>
  </si>
  <si>
    <t>xt5juo2lhr@m.expediapartnercentral.com</t>
  </si>
  <si>
    <t>mjlotus7@gmail.com</t>
  </si>
  <si>
    <t>2023-10-15</t>
  </si>
  <si>
    <t>vollerartie@gmail.com</t>
  </si>
  <si>
    <t>holycrab007@gmail.com</t>
  </si>
  <si>
    <t>noemail@no.com</t>
  </si>
  <si>
    <t>2023-09-14</t>
  </si>
  <si>
    <t>6fvuham1k2@m.expediapartnercentral.com</t>
  </si>
  <si>
    <t>natashabosselait@yahoo.com</t>
  </si>
  <si>
    <t>jerchertd@gmail.com</t>
  </si>
  <si>
    <t>iverdog@gmail.com</t>
  </si>
  <si>
    <t>gigglegirl69@att.net</t>
  </si>
  <si>
    <t>baladwig@msn.com</t>
  </si>
  <si>
    <t>jpiatz.292472@guest.booking.com</t>
  </si>
  <si>
    <t>codell@greenhills.net</t>
  </si>
  <si>
    <t>nicksherman1@noemail.com</t>
  </si>
  <si>
    <t>jacobtheturk@proton.me</t>
  </si>
  <si>
    <t>sofiachristofi1@gmail.com</t>
  </si>
  <si>
    <t>0db5ivwg66@m.expediapartnercentral.com</t>
  </si>
  <si>
    <t>tylerhockett1@noemail.com</t>
  </si>
  <si>
    <t>2024-06-04</t>
  </si>
  <si>
    <t>dariobarron1@noemail.com</t>
  </si>
  <si>
    <t>colsenwilbermironcon1@noemail.com</t>
  </si>
  <si>
    <t>7y0xtvgmo8@m.expediapartnercentral.com</t>
  </si>
  <si>
    <t>5x9axiqjaq@m.expediapartnercentral.com</t>
  </si>
  <si>
    <t>jodifoley1@noemail.com</t>
  </si>
  <si>
    <t>ug0o3dcqvk@m.expediapartnercentral.com</t>
  </si>
  <si>
    <t>davidralston@live.com</t>
  </si>
  <si>
    <t>bradleyevans1@noemail.com</t>
  </si>
  <si>
    <t>hcefxbdjag@m.expediapartnercentral.com</t>
  </si>
  <si>
    <t>michellermaxwell@hotmail.com</t>
  </si>
  <si>
    <t>gq3fm1gyee@m.expediapartnercentral.com</t>
  </si>
  <si>
    <t>sjbrodersen@yahoo.com</t>
  </si>
  <si>
    <t>jefferyallenbyrad1@noemail.com</t>
  </si>
  <si>
    <t>noemail@email.com</t>
  </si>
  <si>
    <t>alfredpalumbo1@noemail.com</t>
  </si>
  <si>
    <t>sherrielynnpendleton1@noemail.com</t>
  </si>
  <si>
    <t>texkotapanel@gmail.com</t>
  </si>
  <si>
    <t>jamikit07@gmail.com</t>
  </si>
  <si>
    <t>h7p0ken6u4@m.expediapartnercentral.com</t>
  </si>
  <si>
    <t>jackolson1@noemail.com</t>
  </si>
  <si>
    <t>jakeobb03@gmail.com</t>
  </si>
  <si>
    <t>2nu9kqneit@m.expediapartnercentral.com</t>
  </si>
  <si>
    <t>jbwhite@santel.net</t>
  </si>
  <si>
    <t>7rf3yiq0km@m.expediapartnercentral.com</t>
  </si>
  <si>
    <t>dustyndickhaut@gmail.com</t>
  </si>
  <si>
    <t>t0tj3y84nx@m.expediapartnercentral.com</t>
  </si>
  <si>
    <t>jessedennis1@noemail.com</t>
  </si>
  <si>
    <t>shawnvincich1@noemail.com</t>
  </si>
  <si>
    <t>v03wic3nc6@m.expediapartnercentral.com</t>
  </si>
  <si>
    <t>scottmortensen1@noemail.com</t>
  </si>
  <si>
    <t>danielhofer1@noemail.com</t>
  </si>
  <si>
    <t>lynnanderson1@noemail.com</t>
  </si>
  <si>
    <t>jessica@myguyinc.com</t>
  </si>
  <si>
    <t>5y121n0b0w@m.expediapartnercentral.com</t>
  </si>
  <si>
    <t>jhuson.317930@guest.booking.com</t>
  </si>
  <si>
    <t>2023-09-07</t>
  </si>
  <si>
    <t>raisemrank@gmail.com</t>
  </si>
  <si>
    <t>schlosse@msn.com</t>
  </si>
  <si>
    <t>cander.994278@guest.booking.com</t>
  </si>
  <si>
    <t>jasond_25@hotmail.com</t>
  </si>
  <si>
    <t>lshort.570620@guest.booking.com</t>
  </si>
  <si>
    <t>stacyrmueller@hotmail.com</t>
  </si>
  <si>
    <t>taite7133@gmail.com</t>
  </si>
  <si>
    <t>2vqybuxgp4@m.expediapartnercentral.com</t>
  </si>
  <si>
    <t>cbruhn84@gmail.com</t>
  </si>
  <si>
    <t>cjq7nfevt9@m.expediapartnercentral.com</t>
  </si>
  <si>
    <t>mturlacher@windstream.net</t>
  </si>
  <si>
    <t>bsetti10@gmail.com</t>
  </si>
  <si>
    <t>lschweitzberger@k-pcsd.org</t>
  </si>
  <si>
    <t>vmcine.743939@guest.booking.com</t>
  </si>
  <si>
    <t>e7tgmlgvum@m.expediapartnercentral.com</t>
  </si>
  <si>
    <t>2023-08-19</t>
  </si>
  <si>
    <t>swampdonky@gmail.com</t>
  </si>
  <si>
    <t>jaycharison1@noemail.com</t>
  </si>
  <si>
    <t>suny3mitzi@aol.com</t>
  </si>
  <si>
    <t>stephanspade1@noemail.com</t>
  </si>
  <si>
    <t>p_swift_55@yahoo.com</t>
  </si>
  <si>
    <t>joycebrosz@gmail.com</t>
  </si>
  <si>
    <t>2023-08-20</t>
  </si>
  <si>
    <t>dmonfi.954906@guest.booking.com</t>
  </si>
  <si>
    <t>h9m4cspuc3@m.expediapartnercentral.com</t>
  </si>
  <si>
    <t>mperfe.163877@guest.booking.com</t>
  </si>
  <si>
    <t>momx10_96@yahoo.com</t>
  </si>
  <si>
    <t>2023-07-28</t>
  </si>
  <si>
    <t>evotten@hotmail.com</t>
  </si>
  <si>
    <t>11jl.stein@gmail.com</t>
  </si>
  <si>
    <t>loydjanice17@gmail.com</t>
  </si>
  <si>
    <t>joedwards1@noemail.com</t>
  </si>
  <si>
    <t>lindawaterman1@noemail.com</t>
  </si>
  <si>
    <t>nowrqk3if5@m.expediapartnercentral.com</t>
  </si>
  <si>
    <t>jamesplicker1@noemail.com</t>
  </si>
  <si>
    <t>fivx5r832t@m.expediapartnercentral.com</t>
  </si>
  <si>
    <t>vhanna.320124@guest.booking.com</t>
  </si>
  <si>
    <t>jeffstantonre@gmail.com</t>
  </si>
  <si>
    <t>lisa.sestak@k12.sd.us</t>
  </si>
  <si>
    <t>2024-07-21</t>
  </si>
  <si>
    <t>jinnydee82@yahoo.com</t>
  </si>
  <si>
    <t>aheisner44@yahoo.com</t>
  </si>
  <si>
    <t>julieb@svms.com</t>
  </si>
  <si>
    <t>8gv5v0clmr@m.expediapartnercentral.com</t>
  </si>
  <si>
    <t>2023-08-09</t>
  </si>
  <si>
    <t>scleveland95123@gmail.com</t>
  </si>
  <si>
    <t>deryn.beck@gmail.com</t>
  </si>
  <si>
    <t>joeyreiser@yahoo.com</t>
  </si>
  <si>
    <t>audreyewalt1@noemail.com</t>
  </si>
  <si>
    <t>jedsmeenk1@noemail.com</t>
  </si>
  <si>
    <t>n1vhrg7200@m.expediapartnercentral.com</t>
  </si>
  <si>
    <t>saesoph@icloud.com</t>
  </si>
  <si>
    <t>eric.chryst@mjelectric.com</t>
  </si>
  <si>
    <t>2023-07-27</t>
  </si>
  <si>
    <t>bgub5ndskd@m.expediapartnercentral.com</t>
  </si>
  <si>
    <t>ts7v70c3ip@m.expediapartnercentral.com</t>
  </si>
  <si>
    <t>nathanopdahl1@noemail.com</t>
  </si>
  <si>
    <t>dplant.142871@guest.booking.com</t>
  </si>
  <si>
    <t>yvkmetu14j@m.expediapartnercentral.com</t>
  </si>
  <si>
    <t>brockway74@gmail.com</t>
  </si>
  <si>
    <t>g8rggns79d@m.expediapartnercentral.com</t>
  </si>
  <si>
    <t>jwisne.326590@guest.booking.com</t>
  </si>
  <si>
    <t>russellutesch1@noemail.com</t>
  </si>
  <si>
    <t>ye1b60vcya@m.expediapartnercentral.com</t>
  </si>
  <si>
    <t>furtadordms@gmail.com</t>
  </si>
  <si>
    <t>dennisbuckridge1@noemail.com</t>
  </si>
  <si>
    <t>lvgrisham@gmail.com</t>
  </si>
  <si>
    <t>frftr713@yahoo.com</t>
  </si>
  <si>
    <t>chrisnstacy@netins.net</t>
  </si>
  <si>
    <t>sknappenberger@gmail.com</t>
  </si>
  <si>
    <t>stheller27@icloud.com</t>
  </si>
  <si>
    <t>shane@qcbyzeke.com</t>
  </si>
  <si>
    <t>jjames.275057@guest.booking.com</t>
  </si>
  <si>
    <t>qgtoggprnh@m.expediapartnercentral.com</t>
  </si>
  <si>
    <t>d1t92ppc5u@m.expediapartnercentral.com</t>
  </si>
  <si>
    <t>ynur600g96@m.expediapartnercentral.com</t>
  </si>
  <si>
    <t>skbuller16@gmail.com</t>
  </si>
  <si>
    <t>warddenning1@noemail.com</t>
  </si>
  <si>
    <t>kerrinicolettewilson@yahoo.com</t>
  </si>
  <si>
    <t>jwhart.833839@guest.booking.com</t>
  </si>
  <si>
    <t>aamezc.563729@guest.booking.com</t>
  </si>
  <si>
    <t>catherinebeck777@gmail.com</t>
  </si>
  <si>
    <t>psnutt.579015@guest.booking.com</t>
  </si>
  <si>
    <t>h8auei6ld0@m.expediapartnercentral.com</t>
  </si>
  <si>
    <t>ua6ys343i3@m.expediapartnercentral.com</t>
  </si>
  <si>
    <t>becky@bkcustomsd.com</t>
  </si>
  <si>
    <t>c445ga3rgs@m.expediapartnercentral.com</t>
  </si>
  <si>
    <t>kkraus.526364@guest.booking.com</t>
  </si>
  <si>
    <t>christopheryunker1@noemail.com</t>
  </si>
  <si>
    <t>claycaudill2022@outlook.com</t>
  </si>
  <si>
    <t>dc.ellison@att.net</t>
  </si>
  <si>
    <t>0lx4dt1h04@m.expediapartnercentral.com</t>
  </si>
  <si>
    <t>8wqghwg7k2@m.expediapartnercentral.com</t>
  </si>
  <si>
    <t>tgrimm.304333@guest.booking.com</t>
  </si>
  <si>
    <t>ypoeuyk76b@m.expediapartnercentral.com</t>
  </si>
  <si>
    <t>fjessi.380646@guest.booking.com</t>
  </si>
  <si>
    <t>tonyrayyoung1@noemail.com</t>
  </si>
  <si>
    <t>2023-08-07</t>
  </si>
  <si>
    <t>joni.groeblinghoff@k12.sd.us</t>
  </si>
  <si>
    <t>hwinfi.728719@guest.booking.com</t>
  </si>
  <si>
    <t>lammers_r@yahoo.com</t>
  </si>
  <si>
    <t>joeleist1@noemail.com</t>
  </si>
  <si>
    <t>jjanes@ecentral.com</t>
  </si>
  <si>
    <t>kwahlf.186639@guest.booking.com</t>
  </si>
  <si>
    <t>englund@nvc.net</t>
  </si>
  <si>
    <t>hawthornesusan67@yahoo.com</t>
  </si>
  <si>
    <t>srhy3ayxik@m.expediapartnercentral.com</t>
  </si>
  <si>
    <t>ov4946k5il@m.expediapartnercentral.com</t>
  </si>
  <si>
    <t>morganwangrud@yahoo.com</t>
  </si>
  <si>
    <t>jlstangle@gmail.com</t>
  </si>
  <si>
    <t>lizrhodes1@noemail.com</t>
  </si>
  <si>
    <t>christinekuchac1@noemail.com</t>
  </si>
  <si>
    <t>jasonburfeindt1@noemail.com</t>
  </si>
  <si>
    <t>aimeeparsons1@noemail.com</t>
  </si>
  <si>
    <t>rjorda.444663@guest.booking.com</t>
  </si>
  <si>
    <t>brendahyde1@noemail.com</t>
  </si>
  <si>
    <t>j544xevxg9@m.expediapartnercentral.com</t>
  </si>
  <si>
    <t>o8j3i4f6g1@m.expediapartnercentral.com</t>
  </si>
  <si>
    <t>jhansen0811@hotmail.com</t>
  </si>
  <si>
    <t>2023-08-11</t>
  </si>
  <si>
    <t>isiahwicklund1@noemail.com</t>
  </si>
  <si>
    <t>donaldandtiffanywhip1@noemail.com</t>
  </si>
  <si>
    <t>dakota155@yahoo.com</t>
  </si>
  <si>
    <t>quigley.june@gmail.com</t>
  </si>
  <si>
    <t>shughes250@aol.com</t>
  </si>
  <si>
    <t>ed09y3mf61@m.expediapartnercentral.com</t>
  </si>
  <si>
    <t>hodgesjess83@hotmail.com</t>
  </si>
  <si>
    <t>lhartenhoff@yahoo.com</t>
  </si>
  <si>
    <t>jack.lineweber@gmail.com</t>
  </si>
  <si>
    <t>keenanhanson1@noemail.com</t>
  </si>
  <si>
    <t>1flf3s77mt@m.expediapartnercentral.com</t>
  </si>
  <si>
    <t>2024-04-21</t>
  </si>
  <si>
    <t>imaspoiledmommy@yahoo.com</t>
  </si>
  <si>
    <t>davidhaworth1@noemail.com</t>
  </si>
  <si>
    <t>k1zurow@gmail.com</t>
  </si>
  <si>
    <t>2023-09-23</t>
  </si>
  <si>
    <t>2023-11-13</t>
  </si>
  <si>
    <t>redstone83@yahoo.com</t>
  </si>
  <si>
    <t>b5dauywl9v@m.expediapartnercentral.com</t>
  </si>
  <si>
    <t>javerjud@gmail.com</t>
  </si>
  <si>
    <t>mckenziebnsfjohnson1@noemail.com</t>
  </si>
  <si>
    <t>2023-08-01</t>
  </si>
  <si>
    <t>donaldmeyer1@noemail.com</t>
  </si>
  <si>
    <t>8ccrojukxk@m.expediapartnercentral.com</t>
  </si>
  <si>
    <t>kvanausdall@dmacc.edu</t>
  </si>
  <si>
    <t>dustinwatson1@noemail.com</t>
  </si>
  <si>
    <t>1woodbw@gmail.com</t>
  </si>
  <si>
    <t>rodneyhunsberger1@noemail.com</t>
  </si>
  <si>
    <t>cjhanscom@gmail.com</t>
  </si>
  <si>
    <t>robertlammers1@noemail.com</t>
  </si>
  <si>
    <t>chantelpike1@noemail.com</t>
  </si>
  <si>
    <t>kliewe.551862@guest.booking.com</t>
  </si>
  <si>
    <t>sue.p.volk@gmail.com</t>
  </si>
  <si>
    <t>cjqdesigns@gmail.com</t>
  </si>
  <si>
    <t>timsuevolk@frontier.com</t>
  </si>
  <si>
    <t>kdkupkake@gmail.com</t>
  </si>
  <si>
    <t>2023-09-02</t>
  </si>
  <si>
    <t>ahcuttingimage@frontieernet.net</t>
  </si>
  <si>
    <t>1hxpj6uh73@m.expediapartnercentral.com</t>
  </si>
  <si>
    <t>xlo154wl6k@m.expediapartnercentral.com</t>
  </si>
  <si>
    <t>mrthompson1625@gmail.com</t>
  </si>
  <si>
    <t>katiedanielle96@outlook.com</t>
  </si>
  <si>
    <t>carriejquist@gmail.com</t>
  </si>
  <si>
    <t>bgabel.229932@guest.booking.com</t>
  </si>
  <si>
    <t>sherriestrand4@gmail.com</t>
  </si>
  <si>
    <t>cye5xmel3x@m.expediapartnercentral.com</t>
  </si>
  <si>
    <t>robinmotz1@noemail.com</t>
  </si>
  <si>
    <t>deanmotter1@noemail.com</t>
  </si>
  <si>
    <t>marlynpoppens1@noemail.com</t>
  </si>
  <si>
    <t>ronaldness1@noemail.com</t>
  </si>
  <si>
    <t>eoasheim@yahoo.com</t>
  </si>
  <si>
    <t>lisamcclure2013@gmail.com</t>
  </si>
  <si>
    <t>anthonywellentn1@noemail.com</t>
  </si>
  <si>
    <t>watertightcorp@gmail.com</t>
  </si>
  <si>
    <t>1234minn@gmail.com</t>
  </si>
  <si>
    <t>trenth@svmps.com</t>
  </si>
  <si>
    <t>3iucgmki0m@m.expediapartnercentral.com</t>
  </si>
  <si>
    <t>cklein425@gmail.com</t>
  </si>
  <si>
    <t>9k3otm0cmn@m.expediapartnercentral.com</t>
  </si>
  <si>
    <t>edxjvdme4n@m.expediapartnercentral.com</t>
  </si>
  <si>
    <t>2023-08-21</t>
  </si>
  <si>
    <t>rebecca.honetschlager@gmail.com</t>
  </si>
  <si>
    <t>6lsxwe5n8t@m.expediapartnercentral.com</t>
  </si>
  <si>
    <t>rlschoenfelder@gmail.com</t>
  </si>
  <si>
    <t>timl8y5iqm@m.expediapartnercentral.com</t>
  </si>
  <si>
    <t>0lekwx71kf@m.expediapartnercentral.com</t>
  </si>
  <si>
    <t>6nruh1g6lc@m.expediapartnercentral.com</t>
  </si>
  <si>
    <t>qnv21boyt5@m.expediapartnercentral.com</t>
  </si>
  <si>
    <t>2023-09-15</t>
  </si>
  <si>
    <t>7norh9g5dt@m.expediapartnercentral.com</t>
  </si>
  <si>
    <t>qudlws006n@m.expediapartnercentral.com</t>
  </si>
  <si>
    <t>caseyomalley1@noemail.com</t>
  </si>
  <si>
    <t>meganhansenlinthorne1@noemail.com</t>
  </si>
  <si>
    <t>monsters.soup@gmail.com</t>
  </si>
  <si>
    <t>2023-08-08</t>
  </si>
  <si>
    <t>abel.bubuli@gmail.com</t>
  </si>
  <si>
    <t>danp480@hotmail.com</t>
  </si>
  <si>
    <t>2023-08-10</t>
  </si>
  <si>
    <t>katie.hammer86@gmail.com</t>
  </si>
  <si>
    <t>sherrilperkins@gmail.com</t>
  </si>
  <si>
    <t>hwsftf6l7e@m.expediapartnercentral.com</t>
  </si>
  <si>
    <t>scottmlynch@hotmail.com</t>
  </si>
  <si>
    <t>rickschoenfelder1@noemail.com</t>
  </si>
  <si>
    <t>clfoley940@ymail.com</t>
  </si>
  <si>
    <t>mklein9696@gmail.com</t>
  </si>
  <si>
    <t>2023-08-17</t>
  </si>
  <si>
    <t>mlewis80831@gmail.com</t>
  </si>
  <si>
    <t>deeburk@sbcglobal.net</t>
  </si>
  <si>
    <t>2023-08-23</t>
  </si>
  <si>
    <t>josephabornetto1@noemail.com</t>
  </si>
  <si>
    <t>d2rxj5vewb@m.expediapartnercentral.com</t>
  </si>
  <si>
    <t>breann.roozenboo@gmail.com</t>
  </si>
  <si>
    <t>calebsmith1@noemail.com</t>
  </si>
  <si>
    <t>amy.olds@outlook.com</t>
  </si>
  <si>
    <t>jameabond0503.jm@gmail.com</t>
  </si>
  <si>
    <t>stormyhere@yahoo.com</t>
  </si>
  <si>
    <t>kvrooz0810@hotmail.com</t>
  </si>
  <si>
    <t>annawyly1@noemail.com</t>
  </si>
  <si>
    <t>pawelk@wildbluecoop.com</t>
  </si>
  <si>
    <t>r2rexpressllc@gmail.com</t>
  </si>
  <si>
    <t>kbartholow0201@gmail.com</t>
  </si>
  <si>
    <t>nicholasbaxley1@noemail.com</t>
  </si>
  <si>
    <t>loraineandheathe@gmail.com</t>
  </si>
  <si>
    <t>sy3u9o9rdo@m.expediapartnercentral.com</t>
  </si>
  <si>
    <t>fieldstonefamilyfarm@gmail.com</t>
  </si>
  <si>
    <t>jim.smeenk@gmail.com</t>
  </si>
  <si>
    <t>mlksmelton@sunflower.com</t>
  </si>
  <si>
    <t>beccafranzen@hotmail.com</t>
  </si>
  <si>
    <t>ndmintz@gmail.com</t>
  </si>
  <si>
    <t>cmcgui.806206@guest.booking.com</t>
  </si>
  <si>
    <t>jimsundall1@noemail.com</t>
  </si>
  <si>
    <t>2023-11-05</t>
  </si>
  <si>
    <t>kelleyh222@gmail.com</t>
  </si>
  <si>
    <t>rqr2hu2k78@m.expediapartnercentral.com</t>
  </si>
  <si>
    <t>gsteel.617763@guest.booking.com</t>
  </si>
  <si>
    <t>tammie.eichmann@gmail.com</t>
  </si>
  <si>
    <t>joshsackmann@yahoo.com</t>
  </si>
  <si>
    <t>tiwegxj2o3@m.expediapartnercentral.com</t>
  </si>
  <si>
    <t>bjiver@yahoo.com</t>
  </si>
  <si>
    <t>arlynjohns1@noemail.com</t>
  </si>
  <si>
    <t>womble.chase@gmail.com</t>
  </si>
  <si>
    <t>elizabethandjaygeist1@noemail.com</t>
  </si>
  <si>
    <t>jasonderby1@noemail.com</t>
  </si>
  <si>
    <t>lplind@hotmail.com</t>
  </si>
  <si>
    <t>edsundall1@noemail.com</t>
  </si>
  <si>
    <t>k6d8uqokhf@m.expediapartnercentral.com</t>
  </si>
  <si>
    <t>danielreams1@noemail.com</t>
  </si>
  <si>
    <t>laurahupke1@noemail.com</t>
  </si>
  <si>
    <t>5brefwqcs2@m.expediapartnercentral.com</t>
  </si>
  <si>
    <t>angelaseverson99@gmail.com</t>
  </si>
  <si>
    <t>mschic.390065@guest.booking.com</t>
  </si>
  <si>
    <t>ase6ynun0v@m.expediapartnercentral.com</t>
  </si>
  <si>
    <t>cindy_midas@hotmail.com</t>
  </si>
  <si>
    <t>n_hansen23@yahoo.com</t>
  </si>
  <si>
    <t>kq42ncsqms@m.expediapartnercentral.com</t>
  </si>
  <si>
    <t>jweick.851318@guest.booking.com</t>
  </si>
  <si>
    <t>timothycashion1@noemail.com</t>
  </si>
  <si>
    <t>danielcameron1@noemail.com</t>
  </si>
  <si>
    <t>q849qgxxkf@m.expediapartnercentral.com</t>
  </si>
  <si>
    <t>b3efak1j1b@m.expediapartnercentral.com</t>
  </si>
  <si>
    <t>rigo3262@icloud.com</t>
  </si>
  <si>
    <t>rodneylanz1@noemail.com</t>
  </si>
  <si>
    <t>qgpwi5v0ob@m.expediapartnercentral.com</t>
  </si>
  <si>
    <t>garylaibe1@noemail.com</t>
  </si>
  <si>
    <t>rc1r1t4jnu@m.expediapartnercentral.com</t>
  </si>
  <si>
    <t>tjames.967980@guest.booking.com</t>
  </si>
  <si>
    <t>4779e1y880@m.expediapartnercentral.com</t>
  </si>
  <si>
    <t>s2q7pg6u7r@m.expediapartnercentral.com</t>
  </si>
  <si>
    <t>1dnv1v3f0f@m.expediapartnercentral.com</t>
  </si>
  <si>
    <t>aigv40tsy0@m.expediapartnercentral.com</t>
  </si>
  <si>
    <t>7gf5o9p72g@m.expediapartnercentral.com</t>
  </si>
  <si>
    <t>rgilbe.466281@guest.booking.com</t>
  </si>
  <si>
    <t>zack.randolph@htetech.com</t>
  </si>
  <si>
    <t>jkoste.538532@guest.booking.com</t>
  </si>
  <si>
    <t>tbiala.637807@guest.booking.com</t>
  </si>
  <si>
    <t>brian.lindwall@htetech.com</t>
  </si>
  <si>
    <t>cfleck@nvc.net</t>
  </si>
  <si>
    <t>beausaiers@yahoo.com</t>
  </si>
  <si>
    <t>smshga1spr@m.expediapartnercentral.com</t>
  </si>
  <si>
    <t>megla1@aol.com</t>
  </si>
  <si>
    <t>jimfrank1@hotmail.com</t>
  </si>
  <si>
    <t>amy.backstrand@scr-mn.com</t>
  </si>
  <si>
    <t>nxjqc2xoa5@m.expediapartnercentral.com</t>
  </si>
  <si>
    <t>tjames.713350@guest.booking.com</t>
  </si>
  <si>
    <t>kylerrjordan.jr@icloud.com</t>
  </si>
  <si>
    <t>n3dk112y5b@m.expediapartnercentral.com</t>
  </si>
  <si>
    <t>mfisch.310036@guest.booking.com</t>
  </si>
  <si>
    <t>vacksy1440@m.expediapartnercentral.com</t>
  </si>
  <si>
    <t>robinakkerman@yahoo.com</t>
  </si>
  <si>
    <t>gpgonefishin@gmail.com</t>
  </si>
  <si>
    <t>anitajoy71@gmail.com</t>
  </si>
  <si>
    <t>amanda.gonzalez@pipestone.com</t>
  </si>
  <si>
    <t>jeffskulsky1@noemail.com</t>
  </si>
  <si>
    <t>tw136b428h@m.expediapartnercentral.com</t>
  </si>
  <si>
    <t>ekotz8@hotmail.com</t>
  </si>
  <si>
    <t>tycade2@hotmail.com</t>
  </si>
  <si>
    <t>edward.a.sims@gmail.com</t>
  </si>
  <si>
    <t>rfisch.842839@guest.booking.com</t>
  </si>
  <si>
    <t>s38ylk2d7w@m.expediapartnercentral.com</t>
  </si>
  <si>
    <t>renaehoven@yahoo.com</t>
  </si>
  <si>
    <t>danibrunsvold1@noemail.com</t>
  </si>
  <si>
    <t>astach12@yahoo.com</t>
  </si>
  <si>
    <t>gregschaefer1@noemail.com</t>
  </si>
  <si>
    <t>dalenettiefarmer1216@gmail.com</t>
  </si>
  <si>
    <t>gkhoven@abe.midco.net</t>
  </si>
  <si>
    <t>edwardbortmeier1@noemail.com</t>
  </si>
  <si>
    <t>iedkvl05rt@m.expediapartnercentral.com</t>
  </si>
  <si>
    <t>janenebell1@noemail.com</t>
  </si>
  <si>
    <t>kennymanning1@noemail.com</t>
  </si>
  <si>
    <t>evanwiseman1@noemail.com</t>
  </si>
  <si>
    <t>8tkk792ljb@m.expediapartnercentral.com</t>
  </si>
  <si>
    <t>sawkyaw1@noemail.com</t>
  </si>
  <si>
    <t>24sek19ihl@m.expediapartnercentral.com</t>
  </si>
  <si>
    <t>hwgvo750ua@m.expediapartnercentral.com</t>
  </si>
  <si>
    <t>rcanoy.829792@guest.booking.com</t>
  </si>
  <si>
    <t>mkhauge@live.com</t>
  </si>
  <si>
    <t>vg1ems63j1@m.expediapartnercentral.com</t>
  </si>
  <si>
    <t>dsipma.583628@guest.booking.com</t>
  </si>
  <si>
    <t>2023-08-30</t>
  </si>
  <si>
    <t>2023-08-25</t>
  </si>
  <si>
    <t>tombzak.tatum@gmail.com</t>
  </si>
  <si>
    <t>koepsell.scott@gmail.com</t>
  </si>
  <si>
    <t>golivi.712574@guest.booking.com</t>
  </si>
  <si>
    <t>mtaylo.959203@guest.booking.com</t>
  </si>
  <si>
    <t>mljanz20@yahoo.com</t>
  </si>
  <si>
    <t>bburri.477539@guest.booking.com</t>
  </si>
  <si>
    <t>vjohnson3@abe.midco.net</t>
  </si>
  <si>
    <t>kaylavirtues5@gmail.com</t>
  </si>
  <si>
    <t>hairandmakeuproombri1@noemail.com</t>
  </si>
  <si>
    <t>rms1vutj0h@m.expediapartnercentral.com</t>
  </si>
  <si>
    <t>john.doleman@kreislers.com</t>
  </si>
  <si>
    <t>mommafritz4@hotmail.com</t>
  </si>
  <si>
    <t>2023-09-16</t>
  </si>
  <si>
    <t>audryorclarkmortense1@noemail.com</t>
  </si>
  <si>
    <t>mikeyoung1@noemail.com</t>
  </si>
  <si>
    <t>mmurph.375022@guest.booking.com</t>
  </si>
  <si>
    <t>shawnakramme1982@gmail.com</t>
  </si>
  <si>
    <t>hdave.780404@guest.booking.com</t>
  </si>
  <si>
    <t>783ak4xt9n@m.expediapartnercentral.com</t>
  </si>
  <si>
    <t>0rootxcalu@m.expediapartnercentral.com</t>
  </si>
  <si>
    <t>robertfoster1@noemail.com</t>
  </si>
  <si>
    <t>dfrandritz9159@gmail.com</t>
  </si>
  <si>
    <t>rfritz.657692@guest.booking.com</t>
  </si>
  <si>
    <t>jctre@bresnan.net</t>
  </si>
  <si>
    <t>jmslls1775@hotmail.com</t>
  </si>
  <si>
    <t>0kpd71ehqo@m.expediapartnercentral.com</t>
  </si>
  <si>
    <t>bobbriscoe1@noemail.com</t>
  </si>
  <si>
    <t>billboever1@noemail.com</t>
  </si>
  <si>
    <t>leighathelen@gmail.com</t>
  </si>
  <si>
    <t>ncpmv3hxbl@m.expediapartnercentral.com</t>
  </si>
  <si>
    <t>lucas.debera@gmail.com</t>
  </si>
  <si>
    <t>2023-09-27</t>
  </si>
  <si>
    <t>eliudduran1@noemail.com</t>
  </si>
  <si>
    <t>robertwilson1@noemail.com</t>
  </si>
  <si>
    <t>rickieolson1@noemail.com</t>
  </si>
  <si>
    <t>zachryjohnson1@noemail.com</t>
  </si>
  <si>
    <t>cdogman911@gmail.com</t>
  </si>
  <si>
    <t>jennifervditlevson1@noemail.com</t>
  </si>
  <si>
    <t>artinebouladian1@noemail.com</t>
  </si>
  <si>
    <t>ombdjxt3id@m.expediapartnercentral.com</t>
  </si>
  <si>
    <t>ljeanburrell@hotmail.com</t>
  </si>
  <si>
    <t>victoriaburnley1@noemail.com</t>
  </si>
  <si>
    <t>ct.lz.miller@mchsi.com</t>
  </si>
  <si>
    <t>ikg3xw72dj@m.expediapartnercentral.com</t>
  </si>
  <si>
    <t>wprentic@me.com</t>
  </si>
  <si>
    <t>2023-08-26</t>
  </si>
  <si>
    <t>joellenfafching1@noemail.com</t>
  </si>
  <si>
    <t>mary_boyce907@hotmail.com</t>
  </si>
  <si>
    <t>ranchmom82432@hotmail.com</t>
  </si>
  <si>
    <t>bvx1vhppl3@m.expediapartnercentral.com</t>
  </si>
  <si>
    <t>dstriha1@gmail.com</t>
  </si>
  <si>
    <t>cassierogers1@noemail.com</t>
  </si>
  <si>
    <t>k_hopp@yahoo.com</t>
  </si>
  <si>
    <t>jdh@delaneyherefords.com</t>
  </si>
  <si>
    <t>jmbach3321@gmail.com</t>
  </si>
  <si>
    <t>kassi.hartley@gmail.com</t>
  </si>
  <si>
    <t>dusty@vermeerhp.com</t>
  </si>
  <si>
    <t>claymh1234@gmail.com</t>
  </si>
  <si>
    <t>susanhansen1@noemail.com</t>
  </si>
  <si>
    <t>scmayer428@gmail.com</t>
  </si>
  <si>
    <t>2023-09-01</t>
  </si>
  <si>
    <t>4v72qulr3g@m.expediapartnercentral.com</t>
  </si>
  <si>
    <t>trinalein1@noemail.com</t>
  </si>
  <si>
    <t>eemery.917448@guest.booking.com</t>
  </si>
  <si>
    <t>bkpu0ra2th@m.expediapartnercentral.com</t>
  </si>
  <si>
    <t>christinehanten1@noemail.com</t>
  </si>
  <si>
    <t>shatlestad11@gmail.com</t>
  </si>
  <si>
    <t>farmers@nbc.net</t>
  </si>
  <si>
    <t>jmoore56065@gmail.com</t>
  </si>
  <si>
    <t>2023-08-24</t>
  </si>
  <si>
    <t>jmgobely@gmail.com</t>
  </si>
  <si>
    <t>jimwheels1@noemail.com</t>
  </si>
  <si>
    <t>lsk5un894g@m.expediapartnercentral.com</t>
  </si>
  <si>
    <t>masonlebeda1@noemail.com</t>
  </si>
  <si>
    <t>codylunders1@noemail.com</t>
  </si>
  <si>
    <t>tbunger220@gmail.com</t>
  </si>
  <si>
    <t>olenasav1@noemail.com</t>
  </si>
  <si>
    <t>rloser.632742@guest.booking.com</t>
  </si>
  <si>
    <t>koryjschwan@gmail.com</t>
  </si>
  <si>
    <t>jeremyrempel1@noemail.com</t>
  </si>
  <si>
    <t>michaelbahneman1@noemail.com</t>
  </si>
  <si>
    <t>jlde6sdk8h@m.expediapartnercentral.com</t>
  </si>
  <si>
    <t>donbehnke1@noemail.com</t>
  </si>
  <si>
    <t>davidalquist1@noemail.com</t>
  </si>
  <si>
    <t>rjones@hrg.com</t>
  </si>
  <si>
    <t>dougrodencal1@noemail.com</t>
  </si>
  <si>
    <t>e05i6k9sxa@m.expediapartnercentral.com</t>
  </si>
  <si>
    <t>2023-09-20</t>
  </si>
  <si>
    <t>zacharyswift1@noemail.com</t>
  </si>
  <si>
    <t>kellyrogers1@noemail.com</t>
  </si>
  <si>
    <t>linda.sue.buss@gmail.com</t>
  </si>
  <si>
    <t>be3rcar09q@m.expediapartnercentral.com</t>
  </si>
  <si>
    <t>lisavetter1@noemail.com</t>
  </si>
  <si>
    <t>cadencerogers1@noemail.com</t>
  </si>
  <si>
    <t>bthswanson@yahoo.com</t>
  </si>
  <si>
    <t>stephaniehansen1@noemail.com</t>
  </si>
  <si>
    <t>somogsp@gmail.com</t>
  </si>
  <si>
    <t>renkenjill@gmail.com</t>
  </si>
  <si>
    <t>jschli.606093@guest.booking.com</t>
  </si>
  <si>
    <t>2023-09-08</t>
  </si>
  <si>
    <t>cthacker2009@gmail.com</t>
  </si>
  <si>
    <t>jjhojnacki@yahoo.com</t>
  </si>
  <si>
    <t>lwietrzykowski@gmail.com</t>
  </si>
  <si>
    <t>khaak.966831@guest.booking.com</t>
  </si>
  <si>
    <t>jennyknade@yahoo.com</t>
  </si>
  <si>
    <t>98m1hv3auf@m.expediapartnercentral.com</t>
  </si>
  <si>
    <t>schiszik@gmail.com</t>
  </si>
  <si>
    <t>rvanpereen@hotmail.com</t>
  </si>
  <si>
    <t>stepanshevchuk1@noemail.com</t>
  </si>
  <si>
    <t>ablom.829311@guest.booking.com</t>
  </si>
  <si>
    <t>jenmathismd@gmail.com</t>
  </si>
  <si>
    <t>2023-08-29</t>
  </si>
  <si>
    <t>deannmotter1@noemail.com</t>
  </si>
  <si>
    <t>imtheprecious@yahoo.com</t>
  </si>
  <si>
    <t>gerodolivier1@noemail.com</t>
  </si>
  <si>
    <t>georgemartinnygaard1@noemail.com</t>
  </si>
  <si>
    <t>jbirr@morrismidwest.com</t>
  </si>
  <si>
    <t>xmq69vt6ab@m.expediapartnercentral.com</t>
  </si>
  <si>
    <t>raqniky2bl@m.expediapartnercentral.com</t>
  </si>
  <si>
    <t>chris.manthey@gmail.com</t>
  </si>
  <si>
    <t>bubbles03@comcast.net</t>
  </si>
  <si>
    <t>ronaldcornman1@noemail.com</t>
  </si>
  <si>
    <t>brj4nrxhgt@m.expediapartnercentral.com</t>
  </si>
  <si>
    <t>kevingoebel1@noemail.com</t>
  </si>
  <si>
    <t>mackenzie82810@gmail.com</t>
  </si>
  <si>
    <t>janiceschuman1@noemail.com</t>
  </si>
  <si>
    <t>nxy6tkdpaw@m.expediapartnercentral.com</t>
  </si>
  <si>
    <t>2023-09-22</t>
  </si>
  <si>
    <t>dmoen.936291@guest.booking.com</t>
  </si>
  <si>
    <t>luischino17587@gmail.com</t>
  </si>
  <si>
    <t>2023-09-06</t>
  </si>
  <si>
    <t>robertkroll1@noemail.com</t>
  </si>
  <si>
    <t>mrsmrssimms1@noemail.com</t>
  </si>
  <si>
    <t>jgcleveland@nbc.net</t>
  </si>
  <si>
    <t>swansonfilane@gmail.com</t>
  </si>
  <si>
    <t>2024-06-15</t>
  </si>
  <si>
    <t>clayhuston1@noemail.com</t>
  </si>
  <si>
    <t>sideout29@gmail.com</t>
  </si>
  <si>
    <t>smitharooney@msn.com</t>
  </si>
  <si>
    <t>jmpeterson0205@gmail.com</t>
  </si>
  <si>
    <t>jrsobi@yahoo.com</t>
  </si>
  <si>
    <t>jtoenn.577791@guest.booking.com</t>
  </si>
  <si>
    <t>markgodar1@gmail.com</t>
  </si>
  <si>
    <t>2023-10-06</t>
  </si>
  <si>
    <t>michelledelaney1@noemail.com</t>
  </si>
  <si>
    <t>wlr8hr8ryp@m.expediapartnercentral.com</t>
  </si>
  <si>
    <t>custeraccountspayable@k12.sd.us</t>
  </si>
  <si>
    <t>dlmcmanigal@gmail.com</t>
  </si>
  <si>
    <t>tammymoothedan@comcast.net</t>
  </si>
  <si>
    <t>0fwrp9f93e@m.expediapartnercentral.com</t>
  </si>
  <si>
    <t>wei71p7qcs@m.expediapartnercentral.com</t>
  </si>
  <si>
    <t>mel.aidyn.2021@gmail.com</t>
  </si>
  <si>
    <t>justinmaggert1@noemail.com</t>
  </si>
  <si>
    <t>alexlopez1@noemail.com</t>
  </si>
  <si>
    <t>mr.swickwiki@icloud.com</t>
  </si>
  <si>
    <t>fingib@comcast.net</t>
  </si>
  <si>
    <t>bronsh.128102@guest.booking.com</t>
  </si>
  <si>
    <t>lexy.ann.93@hotmail.com</t>
  </si>
  <si>
    <t>jean.hudson@k12.sd.us</t>
  </si>
  <si>
    <t>marywickershamprivat1@noemail.com</t>
  </si>
  <si>
    <t>mstar.627019@guest.booking.com</t>
  </si>
  <si>
    <t>olsongloria543@gmail.com</t>
  </si>
  <si>
    <t>jennifergause75@gmail.com</t>
  </si>
  <si>
    <t>winfal6407@msn.com</t>
  </si>
  <si>
    <t>matthew1@noemail.com</t>
  </si>
  <si>
    <t>w5fajfakhk@m.expediapartnercentral.com</t>
  </si>
  <si>
    <t>gracienjames1@noemail.com</t>
  </si>
  <si>
    <t>lonniehail1@noemail.com</t>
  </si>
  <si>
    <t>tdowns.909733@guest.booking.com</t>
  </si>
  <si>
    <t>lisamiller1@noemail.com</t>
  </si>
  <si>
    <t>garybartleson1@noemail.com</t>
  </si>
  <si>
    <t>coryandserson1@noemail.com</t>
  </si>
  <si>
    <t>rotharrows@yahoo.com</t>
  </si>
  <si>
    <t>2023-11-19</t>
  </si>
  <si>
    <t>steve.gaskill@rmcontractor.com</t>
  </si>
  <si>
    <t>cgalla.886211@guest.booking.com</t>
  </si>
  <si>
    <t>briancruz1@noemail.com</t>
  </si>
  <si>
    <t>bruce@thomasherfords.com</t>
  </si>
  <si>
    <t>rdejong@itctel.com</t>
  </si>
  <si>
    <t>kennywilburn1@noemail.com</t>
  </si>
  <si>
    <t>powerhousecafe@hotmail.com</t>
  </si>
  <si>
    <t>mtzlnherman@q.com</t>
  </si>
  <si>
    <t>sgoeke.676542@guest.booking.com</t>
  </si>
  <si>
    <t>h4ubydwm1p@m.expediapartnercentral.com</t>
  </si>
  <si>
    <t>2023-09-11</t>
  </si>
  <si>
    <t>carriefirle@hotmail.com</t>
  </si>
  <si>
    <t>anthonyschwed1@noemail.com</t>
  </si>
  <si>
    <t>judsonmaggert1@noemail.com</t>
  </si>
  <si>
    <t>jcasey044@hotmail.com</t>
  </si>
  <si>
    <t>janethjosefinacolina1@noemail.com</t>
  </si>
  <si>
    <t>2023-09-13</t>
  </si>
  <si>
    <t>delorisbergland1@noemail.com</t>
  </si>
  <si>
    <t>jeanoelke1@noemail.com</t>
  </si>
  <si>
    <t>xae4ulby7w@m.expediapartnercentral.com</t>
  </si>
  <si>
    <t>nathkoi21@icloud.com</t>
  </si>
  <si>
    <t>pamstransky1@noemail.com</t>
  </si>
  <si>
    <t>carlaborge@hotmail.com</t>
  </si>
  <si>
    <t>2023-10-14</t>
  </si>
  <si>
    <t>mbohlman9790@charger.net</t>
  </si>
  <si>
    <t>jeralford14@gmail.com</t>
  </si>
  <si>
    <t>gewstebuhr@live.com</t>
  </si>
  <si>
    <t>brian.kloss@benjaminmoore.com</t>
  </si>
  <si>
    <t>charliepatterson1@noemail.com</t>
  </si>
  <si>
    <t>chuckyager@cox.net</t>
  </si>
  <si>
    <t>xdr5ul6xaf@m.expediapartnercentral.com</t>
  </si>
  <si>
    <t>tomclassen@yahoo.com</t>
  </si>
  <si>
    <t>axwivpngv2@m.expediapartnercentral.com</t>
  </si>
  <si>
    <t>2023-10-17</t>
  </si>
  <si>
    <t>carsongreen1@noemail.com</t>
  </si>
  <si>
    <t>angelalk@millirongq.com</t>
  </si>
  <si>
    <t>mikecain1@noemail.com</t>
  </si>
  <si>
    <t>lauriesundall@yahoo.com</t>
  </si>
  <si>
    <t>brandyberinger1@noemail.com</t>
  </si>
  <si>
    <t>argo.melanie@gmail.com</t>
  </si>
  <si>
    <t>mrmrshahn1@noemail.com</t>
  </si>
  <si>
    <t>2024-08-04</t>
  </si>
  <si>
    <t>nr76goakdd@m.expediapartnercentral.com</t>
  </si>
  <si>
    <t>kmower.973778@guest.booking.com</t>
  </si>
  <si>
    <t>dorothymcubrich1@noemail.com</t>
  </si>
  <si>
    <t>maryjohnson1@noemail.com</t>
  </si>
  <si>
    <t>kevnygp3ne@m.expediapartnercentral.com</t>
  </si>
  <si>
    <t>2023-10-07</t>
  </si>
  <si>
    <t>danieldolan1@noemail.com</t>
  </si>
  <si>
    <t>02gmv5un6k@m.expediapartnercentral.com</t>
  </si>
  <si>
    <t>lgrunk.496459@guest.booking.com</t>
  </si>
  <si>
    <t>scottcarroll1@noemail.com</t>
  </si>
  <si>
    <t>naturesmith@hotmail.com</t>
  </si>
  <si>
    <t>2023-11-11</t>
  </si>
  <si>
    <t>o106lij91o@m.expediapartnercentral.com</t>
  </si>
  <si>
    <t>zachherman1@noemail.com</t>
  </si>
  <si>
    <t>mfc7erd9g5@m.expediapartnercentral.com</t>
  </si>
  <si>
    <t>dtice.219111@guest.booking.com</t>
  </si>
  <si>
    <t>kridgway10@gmail.com</t>
  </si>
  <si>
    <t>vsh6216dwv@m.expediapartnercentral.com</t>
  </si>
  <si>
    <t>andrew.webster@poettinger.us</t>
  </si>
  <si>
    <t>0sptl51hb7@m.expediapartnercentral.com</t>
  </si>
  <si>
    <t>bryandeboer@mtcnet.net</t>
  </si>
  <si>
    <t>shadow6010@gmail.com</t>
  </si>
  <si>
    <t>69p4ycflav@m.expediapartnercentral.com</t>
  </si>
  <si>
    <t>seandoyle74@yahoo.com</t>
  </si>
  <si>
    <t>wqyytj903m@m.expediapartnercentral.com</t>
  </si>
  <si>
    <t>tjruen@gmail.com</t>
  </si>
  <si>
    <t>drew@kourislaw.com</t>
  </si>
  <si>
    <t>susanryan409@hotmail.com</t>
  </si>
  <si>
    <t>1f5rt59dny@m.expediapartnercentral.com</t>
  </si>
  <si>
    <t>dant480@hotmail.com</t>
  </si>
  <si>
    <t>wicheese@hotmail.com</t>
  </si>
  <si>
    <t>thunder@venturecomm.net</t>
  </si>
  <si>
    <t>johnseverson1@noemail.com</t>
  </si>
  <si>
    <t>dolson4423@gmail.com</t>
  </si>
  <si>
    <t>pqorkf6qsj@m.expediapartnercentral.com</t>
  </si>
  <si>
    <t>dsaylo.857958@guest.booking.com</t>
  </si>
  <si>
    <t>jenmees31@gmail.com</t>
  </si>
  <si>
    <t>sgonso.398960@guest.booking.com</t>
  </si>
  <si>
    <t>skoblund.nicole99@hotmail.com</t>
  </si>
  <si>
    <t>patriciateveldal1@noemail.com</t>
  </si>
  <si>
    <t>renettekroupa1@noemail.com</t>
  </si>
  <si>
    <t>teresaannshepherd1@noemail.com</t>
  </si>
  <si>
    <t>awbupdtmlo@m.expediapartnercentral.com</t>
  </si>
  <si>
    <t>craig_froehling@cargill.com</t>
  </si>
  <si>
    <t>mikestokesrealtor@gmail.com</t>
  </si>
  <si>
    <t>justinashaver1@noemail.com</t>
  </si>
  <si>
    <t>skylarwalker1@noemail.com</t>
  </si>
  <si>
    <t>denicegoetz1@noemail.com</t>
  </si>
  <si>
    <t>djohns.436341@guest.booking.com</t>
  </si>
  <si>
    <t>rodrigopalacios1@noemail.com</t>
  </si>
  <si>
    <t>9m0finb93e@m.expediapartnercentral.com</t>
  </si>
  <si>
    <t>yyosb2ty67@m.expediapartnercentral.com</t>
  </si>
  <si>
    <t>2023-09-21</t>
  </si>
  <si>
    <t>miguel@clnebraska.com</t>
  </si>
  <si>
    <t>jefferymulhair1@noemail.com</t>
  </si>
  <si>
    <t>nbyqoasmg1@m.expediapartnercentral.com</t>
  </si>
  <si>
    <t>2023-09-28</t>
  </si>
  <si>
    <t>rchenoweth36@gmail.com</t>
  </si>
  <si>
    <t>desi7749@hotmail.com</t>
  </si>
  <si>
    <t>ibrigg.514504@guest.booking.com</t>
  </si>
  <si>
    <t>2023-10-12</t>
  </si>
  <si>
    <t>dawfam@yahoo.com</t>
  </si>
  <si>
    <t>8rsd2y6pkk@m.expediapartnercentral.com</t>
  </si>
  <si>
    <t>cjvandyke@daktel.com</t>
  </si>
  <si>
    <t>krystalktool@gmail.com</t>
  </si>
  <si>
    <t>meri.erickson@k12.sd.us</t>
  </si>
  <si>
    <t>brianhatlesbad1@noemail.com</t>
  </si>
  <si>
    <t>dawn@mad-peak.com</t>
  </si>
  <si>
    <t>dsaylo.137190@guest.booking.com</t>
  </si>
  <si>
    <t>chanceyodell@hotmail.com</t>
  </si>
  <si>
    <t>hrodah.308384@guest.booking.com</t>
  </si>
  <si>
    <t>2023-10-16</t>
  </si>
  <si>
    <t>sukgsxr750@live.com</t>
  </si>
  <si>
    <t>u297o5wf8c@m.expediapartnercentral.com</t>
  </si>
  <si>
    <t>terrytodd1@noemail.com</t>
  </si>
  <si>
    <t>50c9qb80f8@m.expediapartnercentral.com</t>
  </si>
  <si>
    <t>7pgwygwotn@m.expediapartnercentral.com</t>
  </si>
  <si>
    <t>carlyespanto1@noemail.com</t>
  </si>
  <si>
    <t>jsomer.243922@guest.booking.com</t>
  </si>
  <si>
    <t>mahmetkahramen1@noemail.com</t>
  </si>
  <si>
    <t>2023-10-27</t>
  </si>
  <si>
    <t>lvat@msn.com</t>
  </si>
  <si>
    <t>wvf36brqqu@m.expediapartnercentral.com</t>
  </si>
  <si>
    <t>buffyt91@yahoo.com</t>
  </si>
  <si>
    <t>2023-10-09</t>
  </si>
  <si>
    <t>sfcdavidparker@gmail.com</t>
  </si>
  <si>
    <t>hstein0330@yahoo.com</t>
  </si>
  <si>
    <t>ncoleyy@gmail.com</t>
  </si>
  <si>
    <t>ronja@thomaslift.com</t>
  </si>
  <si>
    <t>cassieyager1@noemail.com</t>
  </si>
  <si>
    <t>2023-11-03</t>
  </si>
  <si>
    <t>jasonbeisel1@noemail.com</t>
  </si>
  <si>
    <t>2023-11-04</t>
  </si>
  <si>
    <t>vbr8syhpk3@m.expediapartnercentral.com</t>
  </si>
  <si>
    <t>vickikrappel1@noemail.com</t>
  </si>
  <si>
    <t>dsprin.727831@guest.booking.com</t>
  </si>
  <si>
    <t>andreaengler1@noemail.com</t>
  </si>
  <si>
    <t>bwinso.552116@guest.booking.com</t>
  </si>
  <si>
    <t>cjgonsor@yahoo.com</t>
  </si>
  <si>
    <t>cathycox1@noemail.com</t>
  </si>
  <si>
    <t>qyang.274289@guest.booking.com</t>
  </si>
  <si>
    <t>2023-09-19</t>
  </si>
  <si>
    <t>vickikrapfl1@noemail.com</t>
  </si>
  <si>
    <t>blessonglaywea1@noemail.com</t>
  </si>
  <si>
    <t>isakfila1@noemail.com</t>
  </si>
  <si>
    <t>ashleymccormick1@noemail.com</t>
  </si>
  <si>
    <t>a0qcmkoili@m.expediapartnercentral.com</t>
  </si>
  <si>
    <t>2023-10-13</t>
  </si>
  <si>
    <t>dalton.webster94@gmail.com</t>
  </si>
  <si>
    <t>haydenherzog1@noemail.com</t>
  </si>
  <si>
    <t>qe21vp0y4h@m.expediapartnercentral.com</t>
  </si>
  <si>
    <t>ccarlson5039@gmail.com</t>
  </si>
  <si>
    <t>kevinphan1@noemail.com</t>
  </si>
  <si>
    <t>jeroldanderson1@noemail.com</t>
  </si>
  <si>
    <t>2023-09-29</t>
  </si>
  <si>
    <t>pwn1tocqgi@m.expediapartnercentral.com</t>
  </si>
  <si>
    <t>corybyron@precisemechanichalinsulation.com</t>
  </si>
  <si>
    <t>lisae1987@outlook.com</t>
  </si>
  <si>
    <t>2024-06-16</t>
  </si>
  <si>
    <t>lronning29@gmail.com</t>
  </si>
  <si>
    <t>x81k1e09bs@m.expediapartnercentral.com</t>
  </si>
  <si>
    <t>ericengstrom1@noemail.com</t>
  </si>
  <si>
    <t>ryanaudiss1@noemail.com</t>
  </si>
  <si>
    <t>austinbriggs1@noemail.com</t>
  </si>
  <si>
    <t>jrhdw68yyj@m.expediapartnercentral.com</t>
  </si>
  <si>
    <t>josephmccormick1@noemail.com</t>
  </si>
  <si>
    <t>lukegallow1@noemail.com</t>
  </si>
  <si>
    <t>marileerounds1@noemail.com</t>
  </si>
  <si>
    <t>rvbnjuycka@m.expediapartnercentral.com</t>
  </si>
  <si>
    <t>mbruni.498178@guest.booking.com</t>
  </si>
  <si>
    <t>bonnie.brueshoff@gmail.com</t>
  </si>
  <si>
    <t>kmspaulding@me.com</t>
  </si>
  <si>
    <t>molq5debko@m.expediapartnercentral.com</t>
  </si>
  <si>
    <t>08xn0bac81@m.expediapartnercentral.com</t>
  </si>
  <si>
    <t>vitaliikharuk1@noemail.com</t>
  </si>
  <si>
    <t>benjaminkolbe1@noemail.com</t>
  </si>
  <si>
    <t>allencihak1@noemail.com</t>
  </si>
  <si>
    <t>georgekaufenberg1@noemail.com</t>
  </si>
  <si>
    <t>petersteiner1@noemail.com</t>
  </si>
  <si>
    <t>eq6qfcr7uo@m.expediapartnercentral.com</t>
  </si>
  <si>
    <t>1lc7bw8v9j@m.expediapartnercentral.com</t>
  </si>
  <si>
    <t>ddwnlaw@yahoo.com</t>
  </si>
  <si>
    <t>paulhilina1@noemail.com</t>
  </si>
  <si>
    <t>vickianderson1@frontier.com</t>
  </si>
  <si>
    <t>larmijo@hemetusd.org</t>
  </si>
  <si>
    <t>2023-11-15</t>
  </si>
  <si>
    <t>edepriest@hemetusd.org</t>
  </si>
  <si>
    <t>kanderson@hemetusd.org</t>
  </si>
  <si>
    <t>ngonzalez@hemetusd.org</t>
  </si>
  <si>
    <t>jmartin@hemetusd.org</t>
  </si>
  <si>
    <t>daviwarner1@noemail.com</t>
  </si>
  <si>
    <t>kiehlercurry1@noemail.com</t>
  </si>
  <si>
    <t>woahitscj@gmail.com</t>
  </si>
  <si>
    <t>quinn@edwardsstone.com</t>
  </si>
  <si>
    <t>ryankalina1@noemail.com</t>
  </si>
  <si>
    <t>brianhatlestad1@noemail.com</t>
  </si>
  <si>
    <t>kromeril@hemetusd.org</t>
  </si>
  <si>
    <t>jhockman@hemetusd.org</t>
  </si>
  <si>
    <t>mcassidy@hemetusd.org</t>
  </si>
  <si>
    <t>pmontgomery@hemetusd.org</t>
  </si>
  <si>
    <t>aholmes@hemetusd.org</t>
  </si>
  <si>
    <t>tgrant@hemetusd.org</t>
  </si>
  <si>
    <t>ecarr@hemetusd.org</t>
  </si>
  <si>
    <t>dmattoon@hemetusd.org</t>
  </si>
  <si>
    <t>gzavala@hemetusd.org</t>
  </si>
  <si>
    <t>furquiza@hemetusd.org</t>
  </si>
  <si>
    <t>adamlambert1@noemail.com</t>
  </si>
  <si>
    <t>antrestone1@noemail.com</t>
  </si>
  <si>
    <t>mtodd@hemetusd.org</t>
  </si>
  <si>
    <t>fhill@hemetusd.org</t>
  </si>
  <si>
    <t>2023-10-28</t>
  </si>
  <si>
    <t>slgayley@gmail.com</t>
  </si>
  <si>
    <t>melissahansen1@noemail.com</t>
  </si>
  <si>
    <t>gnkbf39m51@m.expediapartnercentral.com</t>
  </si>
  <si>
    <t>tstoya.197502@guest.booking.com</t>
  </si>
  <si>
    <t>w6978gkf0x@m.expediapartnercentral.com</t>
  </si>
  <si>
    <t>jschmidt@easystand.com</t>
  </si>
  <si>
    <t>n7l9dk5wix@m.expediapartnercentral.com</t>
  </si>
  <si>
    <t>8xm8b1vcn4@m.expediapartnercentral.com</t>
  </si>
  <si>
    <t>2023-09-26</t>
  </si>
  <si>
    <t>vilyjelo@sio.midco.net</t>
  </si>
  <si>
    <t>7gqte853r3@m.expediapartnercentral.com</t>
  </si>
  <si>
    <t>jessica@qualityalign.com</t>
  </si>
  <si>
    <t>tqgriggs@gmail.com</t>
  </si>
  <si>
    <t>oruljf1l3t@m.expediapartnercentral.com</t>
  </si>
  <si>
    <t>danielharmon1@noemail.com</t>
  </si>
  <si>
    <t>2b9x8liid8@m.expediapartnercentral.com</t>
  </si>
  <si>
    <t>markfrederickson1@noemail.com</t>
  </si>
  <si>
    <t>7gjpd11d95@m.expediapartnercentral.com</t>
  </si>
  <si>
    <t>rrabenberg@icloud.com</t>
  </si>
  <si>
    <t>toddjmathison@gmail.com</t>
  </si>
  <si>
    <t>fwj31sgnyx@m.expediapartnercentral.com</t>
  </si>
  <si>
    <t>1yfa8qoxby@m.expediapartnercentral.com</t>
  </si>
  <si>
    <t>lossroc@yahoo.com</t>
  </si>
  <si>
    <t>86robmcv21@m.expediapartnercentral.com</t>
  </si>
  <si>
    <t>ihkfc08bde@m.expediapartnercentral.com</t>
  </si>
  <si>
    <t>2024-05-13</t>
  </si>
  <si>
    <t>cgraha.938058@guest.booking.com</t>
  </si>
  <si>
    <t>davidohara1@noemail.com</t>
  </si>
  <si>
    <t>bdavis_88@hotmail.com</t>
  </si>
  <si>
    <t>michael.beckershp@gmail.com</t>
  </si>
  <si>
    <t>rora2l9ogy@m.expediapartnercentral.com</t>
  </si>
  <si>
    <t>charlie.dotzler@ricecompanies.com</t>
  </si>
  <si>
    <t>2023-10-04</t>
  </si>
  <si>
    <t>katieroggow1@noemail.com</t>
  </si>
  <si>
    <t>jammiekoepp@gmail.com</t>
  </si>
  <si>
    <t>trevinjwaddell@gmail.com</t>
  </si>
  <si>
    <t>laurenbing1@noemail.com</t>
  </si>
  <si>
    <t>ashkynobryan1@noemail.com</t>
  </si>
  <si>
    <t>lkoepk.552972@guest.booking.com</t>
  </si>
  <si>
    <t>ggvt7pwqjs@m.expediapartnercentral.com</t>
  </si>
  <si>
    <t>venhuizen18@gmail.com</t>
  </si>
  <si>
    <t>2023-10-23</t>
  </si>
  <si>
    <t>deelshannon8@gmail.com</t>
  </si>
  <si>
    <t>pashwi.424021@guest.booking.com</t>
  </si>
  <si>
    <t>bk13lnup5w@m.expediapartnercentral.com</t>
  </si>
  <si>
    <t>allison@claflinexcavating.com</t>
  </si>
  <si>
    <t>rncconstruction01@gmail.com</t>
  </si>
  <si>
    <t>judsonmaggort1@noemail.com</t>
  </si>
  <si>
    <t>oymxb44upo@m.expediapartnercentral.com</t>
  </si>
  <si>
    <t>johnmarciathurston1@noemail.com</t>
  </si>
  <si>
    <t>2023-10-05</t>
  </si>
  <si>
    <t>kevinmanley1@noemail.com</t>
  </si>
  <si>
    <t>jherbster@1solutionsgroup.com</t>
  </si>
  <si>
    <t>2023-10-26</t>
  </si>
  <si>
    <t>davewiese1@noemail.com</t>
  </si>
  <si>
    <t>9ge7ncopid@m.expediapartnercentral.com</t>
  </si>
  <si>
    <t>charlesbeining1@gmail.com</t>
  </si>
  <si>
    <t>michealriley1@noemail.com</t>
  </si>
  <si>
    <t>mattjames85@gmail.com</t>
  </si>
  <si>
    <t>rm9rdu1qe6@m.expediapartnercentral.com</t>
  </si>
  <si>
    <t>sonyadeboer1@noemail.com</t>
  </si>
  <si>
    <t>darrennewborg1@noemail.com</t>
  </si>
  <si>
    <t>jkloos11@gmail.com</t>
  </si>
  <si>
    <t>hlsheldon24@gmail.com</t>
  </si>
  <si>
    <t>j.r.thoele@gmail.com</t>
  </si>
  <si>
    <t>dianneclark1@noemail.com</t>
  </si>
  <si>
    <t>sbarcl.828591@guest.booking.com</t>
  </si>
  <si>
    <t>7vt33g4mu9@m.expediapartnercentral.com</t>
  </si>
  <si>
    <t>rachel.hansen605@gmail.com</t>
  </si>
  <si>
    <t>ry78k2c2pe@m.expediapartnercentral.com</t>
  </si>
  <si>
    <t>kgokt01mwy@m.expediapartnercentral.com</t>
  </si>
  <si>
    <t>christopherscheid1@noemail.com</t>
  </si>
  <si>
    <t>dickbehl1@noemail.com</t>
  </si>
  <si>
    <t>brianh@johnrylieeonst.com</t>
  </si>
  <si>
    <t>lindashoemaker@ymail.com</t>
  </si>
  <si>
    <t>jordanlentz1@noemail.com</t>
  </si>
  <si>
    <t>jenn_richter@corvel.com</t>
  </si>
  <si>
    <t>mcyager4@gmail.com</t>
  </si>
  <si>
    <t>cmorri.165026@guest.booking.com</t>
  </si>
  <si>
    <t>maxpeterson1@noemail.com</t>
  </si>
  <si>
    <t>marychewakin1@noemail.com</t>
  </si>
  <si>
    <t>osterhoudtzoo@yahoo.com</t>
  </si>
  <si>
    <t>2023-10-11</t>
  </si>
  <si>
    <t>siobhanshellenshier1@noemail.com</t>
  </si>
  <si>
    <t>donnasmith1@noemail.com</t>
  </si>
  <si>
    <t>garyollinger1@noemail.com</t>
  </si>
  <si>
    <t>tcharl.217963@guest.booking.com</t>
  </si>
  <si>
    <t>wolfchild22@live.com</t>
  </si>
  <si>
    <t>wdba2np8xk@m.expediapartnercentral.com</t>
  </si>
  <si>
    <t>enm151@live.com</t>
  </si>
  <si>
    <t>thesmartblock@gmail.com</t>
  </si>
  <si>
    <t>2023-10-20</t>
  </si>
  <si>
    <t>lucaszebroski1@noemail.com</t>
  </si>
  <si>
    <t>mdkpogj904@m.expediapartnercentral.com</t>
  </si>
  <si>
    <t>loveoldjunk02@gmail.com</t>
  </si>
  <si>
    <t>vang-s@hotmail.com</t>
  </si>
  <si>
    <t>pro58@yahoo.com</t>
  </si>
  <si>
    <t>2023-10-19</t>
  </si>
  <si>
    <t>jonathanjundt1@noemail.com</t>
  </si>
  <si>
    <t>timothyobanion1@noemail.com</t>
  </si>
  <si>
    <t>iuujnxe50j@m.expediapartnercentral.com</t>
  </si>
  <si>
    <t>rhonda.ginter@yahoo.com</t>
  </si>
  <si>
    <t>seanhofstadter1@noemail.com</t>
  </si>
  <si>
    <t>brandonh@prinsco.com</t>
  </si>
  <si>
    <t>q0y2ej10n1@m.expediapartnercentral.com</t>
  </si>
  <si>
    <t>johnklien1@noemail.com</t>
  </si>
  <si>
    <t>ronaldbeckman1@noemail.com</t>
  </si>
  <si>
    <t>jsmcdonough@comcast.net</t>
  </si>
  <si>
    <t>rickyfleming1@noemail.com</t>
  </si>
  <si>
    <t>tt049420@gmail.com</t>
  </si>
  <si>
    <t>dfrank.805553@guest.booking.com</t>
  </si>
  <si>
    <t>timothyobannion1@noemail.com</t>
  </si>
  <si>
    <t>susanroberts1@noemail.com</t>
  </si>
  <si>
    <t>2023-12-02</t>
  </si>
  <si>
    <t>susanschavee1@noemail.com</t>
  </si>
  <si>
    <t>2023-12-14</t>
  </si>
  <si>
    <t>donavankautzman1@noemail.com</t>
  </si>
  <si>
    <t>johnsnyder1@mediacombb.net</t>
  </si>
  <si>
    <t>jim@dakotaenv.com</t>
  </si>
  <si>
    <t>8udg5kirwq@m.expediapartnercentral.com</t>
  </si>
  <si>
    <t>lhillman@fedtel.net</t>
  </si>
  <si>
    <t>1gnkux85vq@m.expediapartnercentral.com</t>
  </si>
  <si>
    <t>8r777no6oy@m.expediapartnercentral.com</t>
  </si>
  <si>
    <t>lyndaelaine2016@gmail.com</t>
  </si>
  <si>
    <t>pbeck.930922@guest.booking.com</t>
  </si>
  <si>
    <t>igormarchuk1@noemail.com</t>
  </si>
  <si>
    <t>ann.ortega@newagecryo.com</t>
  </si>
  <si>
    <t>julielowy@hotmail.com</t>
  </si>
  <si>
    <t>2023-12-18</t>
  </si>
  <si>
    <t>pamc1156@yahoo.com</t>
  </si>
  <si>
    <t>0pf7xhklfr@m.expediapartnercentral.com</t>
  </si>
  <si>
    <t>jsviall@comcast.net</t>
  </si>
  <si>
    <t>p34xml9yto@m.expediapartnercentral.com</t>
  </si>
  <si>
    <t>jamesv_apc@yahoo.com</t>
  </si>
  <si>
    <t>r40thevylakers@gmail.com</t>
  </si>
  <si>
    <t>shawnschroeder1@noemail.com</t>
  </si>
  <si>
    <t>don@upstateag.com</t>
  </si>
  <si>
    <t>2023-10-24</t>
  </si>
  <si>
    <t>76rf3ndmsd@m.expediapartnercentral.com</t>
  </si>
  <si>
    <t>aaronsattler1@noemail.com</t>
  </si>
  <si>
    <t>djenesse@yahoo.com</t>
  </si>
  <si>
    <t>munstermanjesse@yahoo.com</t>
  </si>
  <si>
    <t>patriciaweingartz@icloud.com</t>
  </si>
  <si>
    <t>pat.ebke@gmail.com</t>
  </si>
  <si>
    <t>kimwiling1@noemail.com</t>
  </si>
  <si>
    <t>4dcpraw1nn@m.expediapartnercentral.com</t>
  </si>
  <si>
    <t>bradhaese1@noemail.com</t>
  </si>
  <si>
    <t>jgossen@carlsonstewart.com</t>
  </si>
  <si>
    <t>allencolte1@noemail.com</t>
  </si>
  <si>
    <t>heathsa02@gmail.com</t>
  </si>
  <si>
    <t>jaymeschoevers@gmail.com</t>
  </si>
  <si>
    <t>a7vbfqum2d@m.expediapartnercentral.com</t>
  </si>
  <si>
    <t>anniecuddie1@noemail.com</t>
  </si>
  <si>
    <t>joshfrost68.jf@gmail.com</t>
  </si>
  <si>
    <t>cadankoerlin1@noemail.com</t>
  </si>
  <si>
    <t>marklainie@hotmail.com</t>
  </si>
  <si>
    <t>irene.nelson12@gmail.com</t>
  </si>
  <si>
    <t>josh.hanson182@gmail.com</t>
  </si>
  <si>
    <t>rodneystoeser1@noemail.com</t>
  </si>
  <si>
    <t>karrie.alberts@gmail.com</t>
  </si>
  <si>
    <t>amandaklien1831@gmail.com</t>
  </si>
  <si>
    <t>jacoballee1@noemail.com</t>
  </si>
  <si>
    <t>kgkinney@hur.midco.net</t>
  </si>
  <si>
    <t>2023-11-10</t>
  </si>
  <si>
    <t>katiegilmore1@noemail.com</t>
  </si>
  <si>
    <t>nic.montague@gmail.com</t>
  </si>
  <si>
    <t>deand22@gmail.com</t>
  </si>
  <si>
    <t>suemunserman1@noemail.com</t>
  </si>
  <si>
    <t>melodymccalla1@noemail.com</t>
  </si>
  <si>
    <t>ecdfc2cxcq@m.expediapartnercentral.com</t>
  </si>
  <si>
    <t>katyhaltvick1@noemail.com</t>
  </si>
  <si>
    <t>andrew.engen@icloud.com</t>
  </si>
  <si>
    <t>bjw2ousfpr@m.expediapartnercentral.com</t>
  </si>
  <si>
    <t>qt8f4wokom@m.expediapartnercentral.com</t>
  </si>
  <si>
    <t>samanthabruce1@noemail.com</t>
  </si>
  <si>
    <t>kvit0sr5ql@m.expediapartnercentral.com</t>
  </si>
  <si>
    <t>2023-11-16</t>
  </si>
  <si>
    <t>jeanripp69@gmail.com</t>
  </si>
  <si>
    <t>titon@arvig.net</t>
  </si>
  <si>
    <t>tuscherer@gmail.com</t>
  </si>
  <si>
    <t>bmarkley@hemetusd.org</t>
  </si>
  <si>
    <t>derris.buus@k12.sd.us</t>
  </si>
  <si>
    <t>7hvo31lqnw@m.expediapartnercentral.com</t>
  </si>
  <si>
    <t>jefferyjankord1@noemail.com</t>
  </si>
  <si>
    <t>gx22604@gmail.com</t>
  </si>
  <si>
    <t>rickdvorak1@noemail.com</t>
  </si>
  <si>
    <t>hansenchels21@gmail.com</t>
  </si>
  <si>
    <t>aballard@hemetusd.org</t>
  </si>
  <si>
    <t>0aowyftxcq@m.expediapartnercentral.com</t>
  </si>
  <si>
    <t>bobby.strom@yahoo.com</t>
  </si>
  <si>
    <t>notraxn@gmail.com</t>
  </si>
  <si>
    <t>mpmanemann@gmail.com</t>
  </si>
  <si>
    <t>devera32@gmail.com</t>
  </si>
  <si>
    <t>2024-05-05</t>
  </si>
  <si>
    <t>nyemily42@gmail.com</t>
  </si>
  <si>
    <t>arianam2151@gmail.com</t>
  </si>
  <si>
    <t>stevenrounds1@noemail.com</t>
  </si>
  <si>
    <t>chein.886991@guest.booking.com</t>
  </si>
  <si>
    <t>fi59c4ugg6@m.expediapartnercentral.com</t>
  </si>
  <si>
    <t>i6i9hev2rt@m.expediapartnercentral.com</t>
  </si>
  <si>
    <t>jschli.655651@guest.booking.com</t>
  </si>
  <si>
    <t>jennifer.kenaston98@outlook.com</t>
  </si>
  <si>
    <t>ckcbc55555@bevcomm.net</t>
  </si>
  <si>
    <t>dwhite112@yahoo.com</t>
  </si>
  <si>
    <t>branptonelmparknorth1@noemail.com</t>
  </si>
  <si>
    <t>2023-10-18</t>
  </si>
  <si>
    <t>lisakounkel1@noemail.com</t>
  </si>
  <si>
    <t>dbaker9999@yahoo.com</t>
  </si>
  <si>
    <t>caseyadolphsen@gmail.com</t>
  </si>
  <si>
    <t>ianeidsvold1@noemail.com</t>
  </si>
  <si>
    <t>1g22yktm8g@m.expediapartnercentral.com</t>
  </si>
  <si>
    <t>danielwalvatne1@noemail.com</t>
  </si>
  <si>
    <t>pcci@swiftel.net</t>
  </si>
  <si>
    <t>kohlmanconstruction@gmail.com</t>
  </si>
  <si>
    <t>dillondawson1@noemail.com</t>
  </si>
  <si>
    <t>rexhoover1@noemail.com</t>
  </si>
  <si>
    <t>joanhamman1@noemail.com</t>
  </si>
  <si>
    <t>matthenkelman@gmail.com</t>
  </si>
  <si>
    <t>danielwalvaten1@noemail.com</t>
  </si>
  <si>
    <t>timerens1@noemail.com</t>
  </si>
  <si>
    <t>jerrymccarty1@noemail.com</t>
  </si>
  <si>
    <t>icghdlg7aq@m.expediapartnercentral.com</t>
  </si>
  <si>
    <t>johnmoreau1@noemail.com</t>
  </si>
  <si>
    <t>keljensen13@gmial.com</t>
  </si>
  <si>
    <t>denisemerrigan1@noemail.com</t>
  </si>
  <si>
    <t>dallasness1@noemail.com</t>
  </si>
  <si>
    <t>travisroth1@noemail.com</t>
  </si>
  <si>
    <t>d31ux1ovvq@m.expediapartnercentral.com</t>
  </si>
  <si>
    <t>alxea8j5ew@m.expediapartnercentral.com</t>
  </si>
  <si>
    <t>no1shguleo@m.expediapartnercentral.com</t>
  </si>
  <si>
    <t>trafficsolutionsalex1@noemail.com</t>
  </si>
  <si>
    <t>uy1b9rv4y6@m.expediapartnercentral.com</t>
  </si>
  <si>
    <t>m0kgqhae6f@m.expediapartnercentral.com</t>
  </si>
  <si>
    <t>benajaminipsen1@noemail.com</t>
  </si>
  <si>
    <t>1r25bdv0jw@m.expediapartnercentral.com</t>
  </si>
  <si>
    <t>omuojhwd74@m.expediapartnercentral.com</t>
  </si>
  <si>
    <t>garyswane1@noemail.com</t>
  </si>
  <si>
    <t>elijahfjerstad1@noemail.com</t>
  </si>
  <si>
    <t>3fnvycqdrm@m.expediapartnercentral.com</t>
  </si>
  <si>
    <t>koarico2@yahoo.ca</t>
  </si>
  <si>
    <t>7iwikc4edc@m.expediapartnercentral.com</t>
  </si>
  <si>
    <t>derringer9@gmail.com</t>
  </si>
  <si>
    <t>chadholland1@noemail.com</t>
  </si>
  <si>
    <t>coachbaron@gmail.com</t>
  </si>
  <si>
    <t>injfs48jpx@m.expediapartnercentral.com</t>
  </si>
  <si>
    <t>melissaviessman@hotmail.com</t>
  </si>
  <si>
    <t>a79eersvpu@m.expediapartnercentral.com</t>
  </si>
  <si>
    <t>levialli@yahoo.com</t>
  </si>
  <si>
    <t>2024-06-23</t>
  </si>
  <si>
    <t>fcc345fdgs@m.expediapartnercentral.com</t>
  </si>
  <si>
    <t>wes@americanheroesoutdoors.com</t>
  </si>
  <si>
    <t>bdeari.987075@guest.booking.com</t>
  </si>
  <si>
    <t>jeremiahmanns1@noemail.com</t>
  </si>
  <si>
    <t>2o2mpp6fv6@m.expediapartnercentral.com</t>
  </si>
  <si>
    <t>svrozik1953@gmail.com</t>
  </si>
  <si>
    <t>jennifermees1@noemail.com</t>
  </si>
  <si>
    <t>brandonanderson1@noemail.com</t>
  </si>
  <si>
    <t>skrueger@thompsoncoe.com</t>
  </si>
  <si>
    <t>tfwdss5tax@m.expediapartnercentral.com</t>
  </si>
  <si>
    <t>samkirby077@gmail.com</t>
  </si>
  <si>
    <t>mitmit904@hotmail.com</t>
  </si>
  <si>
    <t>0jfdurqw9f@m.expediapartnercentral.com</t>
  </si>
  <si>
    <t>lonnybartling@hotmail.com</t>
  </si>
  <si>
    <t>steve@assist2sell.com</t>
  </si>
  <si>
    <t>u9s1lfciel@m.expediapartnercentral.com</t>
  </si>
  <si>
    <t>jamisonvw@gmail.com</t>
  </si>
  <si>
    <t>2023-12-23</t>
  </si>
  <si>
    <t>thowar.217183@guest.booking.com</t>
  </si>
  <si>
    <t>jtaxelson@comcast.net</t>
  </si>
  <si>
    <t>eknodel31@gmail.com</t>
  </si>
  <si>
    <t>colsen.wilber@miron-construction.com</t>
  </si>
  <si>
    <t>2023-10-25</t>
  </si>
  <si>
    <t>jmwest90@gmail.com</t>
  </si>
  <si>
    <t>aaspf2c2h0@m.expediapartnercentral.com</t>
  </si>
  <si>
    <t>erbesrepairamazone@gmail.com</t>
  </si>
  <si>
    <t>nickmonague1@noemail.com</t>
  </si>
  <si>
    <t>2023-12-01</t>
  </si>
  <si>
    <t>qnmo5wsnax@m.expediapartnercentral.com</t>
  </si>
  <si>
    <t>2023-11-17</t>
  </si>
  <si>
    <t>bdrees.973162@guest.booking.com</t>
  </si>
  <si>
    <t>donaldjones1@noemail.com</t>
  </si>
  <si>
    <t>stevensolivia1@gmail.com</t>
  </si>
  <si>
    <t>4ukeva829k@m.expediapartnercentral.com</t>
  </si>
  <si>
    <t>cnorga.619291@guest.booking.com</t>
  </si>
  <si>
    <t>speideljoe@gmail.com</t>
  </si>
  <si>
    <t>rockingkb52ranch@gmail.com</t>
  </si>
  <si>
    <t>2023-11-02</t>
  </si>
  <si>
    <t>johj5fqc3d@m.expediapartnercentral.com</t>
  </si>
  <si>
    <t>2023-10-30</t>
  </si>
  <si>
    <t>ala783@hotmail.com</t>
  </si>
  <si>
    <t>2023-11-18</t>
  </si>
  <si>
    <t>duanechristensen1@noemail.com</t>
  </si>
  <si>
    <t>msteve.120271@guest.booking.com</t>
  </si>
  <si>
    <t>deanna.kildea@centrallinn.k12.or.us</t>
  </si>
  <si>
    <t>acdietrich@rap.midco.net</t>
  </si>
  <si>
    <t>v9m82axhvo@m.expediapartnercentral.com</t>
  </si>
  <si>
    <t>lisaschloeder1@noemail.com</t>
  </si>
  <si>
    <t>joel.sauter@centrallinn.k12.or.us</t>
  </si>
  <si>
    <t>shannon.edwards@centrallinn.k12.or.us</t>
  </si>
  <si>
    <t>barbaralewis1@noemail.com</t>
  </si>
  <si>
    <t>dkvign.262172@guest.booking.com</t>
  </si>
  <si>
    <t>rickeyhenderson1@noemail.com</t>
  </si>
  <si>
    <t>jbrusfarms@outlook.com</t>
  </si>
  <si>
    <t>rjdqf0fbw2@m.expediapartnercentral.com</t>
  </si>
  <si>
    <t>kwolf@hipco.com</t>
  </si>
  <si>
    <t>cgillig20@gmail.com</t>
  </si>
  <si>
    <t>mattschere@hotmail.com</t>
  </si>
  <si>
    <t>hopferk484@gmail.com</t>
  </si>
  <si>
    <t>dennisnelson1@noemail.com</t>
  </si>
  <si>
    <t>hasmus.309102@guest.booking.com</t>
  </si>
  <si>
    <t>2023-11-25</t>
  </si>
  <si>
    <t>2023-11-09</t>
  </si>
  <si>
    <t>dianereid1@noemail.com</t>
  </si>
  <si>
    <t>2023-10-31</t>
  </si>
  <si>
    <t>brendyn.nordyke9@gmail.com</t>
  </si>
  <si>
    <t>nvvqkohcu3@m.expediapartnercentral.com</t>
  </si>
  <si>
    <t>patmcnaughton1@noemail.com</t>
  </si>
  <si>
    <t>logancowan1@noemail.com</t>
  </si>
  <si>
    <t>karin.walmer@outlook.com</t>
  </si>
  <si>
    <t>2024-02-18</t>
  </si>
  <si>
    <t>juliedocter1@noemail.com</t>
  </si>
  <si>
    <t>29m0nw4sy2@m.expediapartnercentral.com</t>
  </si>
  <si>
    <t>hosieahzed1@noemail.com</t>
  </si>
  <si>
    <t>jaymestienblock1@noemail.com</t>
  </si>
  <si>
    <t>dlodiggs@gmail.com</t>
  </si>
  <si>
    <t>2024-04-13</t>
  </si>
  <si>
    <t>loris@svmps.com</t>
  </si>
  <si>
    <t>dsunderland@hemetusd.org</t>
  </si>
  <si>
    <t>stephenraymondistasi1@noemail.com</t>
  </si>
  <si>
    <t>mitchjorgensen@k12.nd.us</t>
  </si>
  <si>
    <t>shdavis681@yahoo.com</t>
  </si>
  <si>
    <t>macmrwxhtm@m.expediapartnercentral.com</t>
  </si>
  <si>
    <t>ai5vs7o6q7@m.expediapartnercentral.com</t>
  </si>
  <si>
    <t>brianwaldner1@noemail.com</t>
  </si>
  <si>
    <t>meganrufernaldhedari1@noemail.com</t>
  </si>
  <si>
    <t>tschaef08@gmail.com</t>
  </si>
  <si>
    <t>paydenpeterson1@noemail.com</t>
  </si>
  <si>
    <t>josephlemke1@noemail.com</t>
  </si>
  <si>
    <t>b9vjxtgwnp@m.expediapartnercentral.com</t>
  </si>
  <si>
    <t>trentherman1@noemail.com</t>
  </si>
  <si>
    <t>wfje5r5ags@m.expediapartnercentral.com</t>
  </si>
  <si>
    <t>mosesikiugu1@noemail.com</t>
  </si>
  <si>
    <t>owen2607@gmail.com</t>
  </si>
  <si>
    <t>kisach.854594@guest.booking.com</t>
  </si>
  <si>
    <t>v2kytfc04k@m.expediapartnercentral.com</t>
  </si>
  <si>
    <t>larryrexroth@windstream.net</t>
  </si>
  <si>
    <t>ku5qmgb71p@m.expediapartnercentral.com</t>
  </si>
  <si>
    <t>kjallen@abbnebraska.com</t>
  </si>
  <si>
    <t>2023-11-06</t>
  </si>
  <si>
    <t>dellafoolish1@noemail.com</t>
  </si>
  <si>
    <t>perleyclawson@yahoo.com</t>
  </si>
  <si>
    <t>bjjr10td83@m.expediapartnercentral.com</t>
  </si>
  <si>
    <t>danelle.elsen@k12.sd.us</t>
  </si>
  <si>
    <t>cornwally24@gmail.com</t>
  </si>
  <si>
    <t>2023-11-23</t>
  </si>
  <si>
    <t>jermyphillips1@noemail.com</t>
  </si>
  <si>
    <t>samsunokane1@noemail.com</t>
  </si>
  <si>
    <t>amywilliams1@noemail.com</t>
  </si>
  <si>
    <t>7ivghhhnld@m.expediapartnercentral.com</t>
  </si>
  <si>
    <t>csp7@outlook.com</t>
  </si>
  <si>
    <t>mayrae518@icloud.com</t>
  </si>
  <si>
    <t>jordanbarnes1@noemail.com</t>
  </si>
  <si>
    <t>navigatorvgm@gmail.com</t>
  </si>
  <si>
    <t>cmuell.311526@guest.booking.com</t>
  </si>
  <si>
    <t>glarso.418765@guest.booking.com</t>
  </si>
  <si>
    <t>3131276@gmail.com</t>
  </si>
  <si>
    <t>terrygodbey1@noemail.com</t>
  </si>
  <si>
    <t>2023-11-07</t>
  </si>
  <si>
    <t>ljungers84@hotmail.com</t>
  </si>
  <si>
    <t>connollyturek1@noemail.com</t>
  </si>
  <si>
    <t>jefferyparker1@noemail.com</t>
  </si>
  <si>
    <t>classytbird@gmail.com</t>
  </si>
  <si>
    <t>2023-11-08</t>
  </si>
  <si>
    <t>joesphpetrzilka1@noemail.com</t>
  </si>
  <si>
    <t>2023-11-22</t>
  </si>
  <si>
    <t>grvqup8gtd@m.expediapartnercentral.com</t>
  </si>
  <si>
    <t>6kt4o09itm@m.expediapartnercentral.com</t>
  </si>
  <si>
    <t>b.young2287@gmail.com</t>
  </si>
  <si>
    <t>maddijaeger9@gmail.com</t>
  </si>
  <si>
    <t>joyruiz@aol.com</t>
  </si>
  <si>
    <t>claytonbarg@hotmail.com</t>
  </si>
  <si>
    <t>12cdjrvrw0@m.expediapartnercentral.com</t>
  </si>
  <si>
    <t>mxys06j2gm@m.expediapartnercentral.com</t>
  </si>
  <si>
    <t>2023-11-20</t>
  </si>
  <si>
    <t>amyweldon1@noemail.com</t>
  </si>
  <si>
    <t>btran.893589@guest.booking.com</t>
  </si>
  <si>
    <t>pasa0006@d.umn.edu</t>
  </si>
  <si>
    <t>ffeuer.436651@guest.booking.com</t>
  </si>
  <si>
    <t>gillfarms@valleytel.net</t>
  </si>
  <si>
    <t>voha2kwk8f@m.expediapartnercentral.com</t>
  </si>
  <si>
    <t>vickinicki.vr@gmail.com</t>
  </si>
  <si>
    <t>ko689t7agi@m.expediapartnercentral.com</t>
  </si>
  <si>
    <t>2023-12-11</t>
  </si>
  <si>
    <t>michaelsaplla1@noemail.com</t>
  </si>
  <si>
    <t>folios@hotelengine.com</t>
  </si>
  <si>
    <t>2023-11-14</t>
  </si>
  <si>
    <t>b6gdwno7yk@m.expediapartnercentral.com</t>
  </si>
  <si>
    <t>tucci.mike@yahoo.com</t>
  </si>
  <si>
    <t>pd218@hotmail.com</t>
  </si>
  <si>
    <t>dsipma.617656@guest.booking.com</t>
  </si>
  <si>
    <t>rvvt8iny0m@m.expediapartnercentral.com</t>
  </si>
  <si>
    <t>gsbruins@comcast.net</t>
  </si>
  <si>
    <t>martinisermann1@noemail.com</t>
  </si>
  <si>
    <t>jksm2th@outlook.com</t>
  </si>
  <si>
    <t>geck106@hotmail.com</t>
  </si>
  <si>
    <t>andrewreid1@noemail.com</t>
  </si>
  <si>
    <t>nwhite.101264@guest.booking.com</t>
  </si>
  <si>
    <t>kyleemerrigan@gmail.com</t>
  </si>
  <si>
    <t>dawngrothe@hotmail.com</t>
  </si>
  <si>
    <t>ronjorgensen79@gmail.com</t>
  </si>
  <si>
    <t>kgilmore61@gmail.com</t>
  </si>
  <si>
    <t>95tmchbryq@m.expediapartnercentral.com</t>
  </si>
  <si>
    <t>jkokesch.07@gmail.com</t>
  </si>
  <si>
    <t>gaiolakin1@noemail.com</t>
  </si>
  <si>
    <t>devinmaher1@noemail.com</t>
  </si>
  <si>
    <t>n47ohobyxs@m.expediapartnercentral.com</t>
  </si>
  <si>
    <t>stylin4jesus@gmail.com</t>
  </si>
  <si>
    <t>t41m8yt76q@m.expediapartnercentral.com</t>
  </si>
  <si>
    <t>sydneyrexroth@gmail.com</t>
  </si>
  <si>
    <t>stevenmartens1@noemail.com</t>
  </si>
  <si>
    <t>wendigilbert98@gmail.com</t>
  </si>
  <si>
    <t>coltonlaubach@gmail.com</t>
  </si>
  <si>
    <t>hsebring03@gmail.com</t>
  </si>
  <si>
    <t>2024-01-01</t>
  </si>
  <si>
    <t>mclinn178@gmail.com</t>
  </si>
  <si>
    <t>kttnuw2eh6@m.expediapartnercentral.com</t>
  </si>
  <si>
    <t>beyerprecisionpumping@gmail.com</t>
  </si>
  <si>
    <t>donnieshannon1@noemail.com</t>
  </si>
  <si>
    <t>chelseabothun1@noemail.com</t>
  </si>
  <si>
    <t>alexandnic007@gmail.com</t>
  </si>
  <si>
    <t>laura.iverson@k12.sd.edu</t>
  </si>
  <si>
    <t>shellybartels9@gmail.com</t>
  </si>
  <si>
    <t>kbraun2@hotmail.com</t>
  </si>
  <si>
    <t>mbrown451@hotmail.com</t>
  </si>
  <si>
    <t>mheppler@williamsconstruction.com</t>
  </si>
  <si>
    <t>laurel.laubach@hotmail.com</t>
  </si>
  <si>
    <t>bethany.taylor@convergint.com</t>
  </si>
  <si>
    <t>jdprather@alliancecom.net</t>
  </si>
  <si>
    <t>coberle@nvc.net</t>
  </si>
  <si>
    <t>joelwilkens@yahoo.com</t>
  </si>
  <si>
    <t>joshua.prather68@gmail.com</t>
  </si>
  <si>
    <t>addison19981@hotmail.com</t>
  </si>
  <si>
    <t>dsipma.271735@guest.booking.com</t>
  </si>
  <si>
    <t>2023-11-27</t>
  </si>
  <si>
    <t>eyrmo5lo57@m.expediapartnercentral.com</t>
  </si>
  <si>
    <t>2023-12-17</t>
  </si>
  <si>
    <t>eschroed99@gmail.com</t>
  </si>
  <si>
    <t>brendaburton1@noemail.com</t>
  </si>
  <si>
    <t>qeub66mona@m.expediapartnercentral.com</t>
  </si>
  <si>
    <t>ee9jm2tw4w@m.expediapartnercentral.com</t>
  </si>
  <si>
    <t>mtwedt.460548@guest.booking.com</t>
  </si>
  <si>
    <t>jasonpavansuchy1@noemail.com</t>
  </si>
  <si>
    <t>cwinte.635646@guest.booking.com</t>
  </si>
  <si>
    <t>2023-12-05</t>
  </si>
  <si>
    <t>ellyjowagner1@noemail.com</t>
  </si>
  <si>
    <t>jseppanen@pifers.com</t>
  </si>
  <si>
    <t>neilhylla1@noemail.com</t>
  </si>
  <si>
    <t>jake@blacktopservice.com</t>
  </si>
  <si>
    <t>blowrebecca1@noemail.com</t>
  </si>
  <si>
    <t>brigittedelk1@noemail.com</t>
  </si>
  <si>
    <t>maryannslobin1@noemail.com</t>
  </si>
  <si>
    <t>2023-12-03</t>
  </si>
  <si>
    <t>4q8pef5sr8@m.expediapartnercentral.com</t>
  </si>
  <si>
    <t>courtneysmith1@noemail.com</t>
  </si>
  <si>
    <t>jthovson@mac.com</t>
  </si>
  <si>
    <t>gordonvincelette1@noemail.com</t>
  </si>
  <si>
    <t>2023-11-21</t>
  </si>
  <si>
    <t>2023-12-26</t>
  </si>
  <si>
    <t>steveolson1@noemail.com</t>
  </si>
  <si>
    <t>mpedlin@gmail.com</t>
  </si>
  <si>
    <t>wkoppm.395122@guest.booking.com</t>
  </si>
  <si>
    <t>2023-12-10</t>
  </si>
  <si>
    <t>mamotvalara899@gmail.com</t>
  </si>
  <si>
    <t>molly.gunderson1@yahoo.com</t>
  </si>
  <si>
    <t>j4vandyke@gmail.com</t>
  </si>
  <si>
    <t>rob.allen.johnston@hotmail.com</t>
  </si>
  <si>
    <t>leannmadison@hotmail.com</t>
  </si>
  <si>
    <t>albertoliver874@gmail.com</t>
  </si>
  <si>
    <t>amy.omalley@hotmail.com</t>
  </si>
  <si>
    <t>bjpeymann@frontiernet.net</t>
  </si>
  <si>
    <t>2024-04-07</t>
  </si>
  <si>
    <t>carlospizarro1@noemail.com</t>
  </si>
  <si>
    <t>2023-11-28</t>
  </si>
  <si>
    <t>2023-11-29</t>
  </si>
  <si>
    <t>adammaskowski1@noemail.com</t>
  </si>
  <si>
    <t>jameslivingston1@noemail.com</t>
  </si>
  <si>
    <t>k9vcoldejt@m.expediapartnercentral.com</t>
  </si>
  <si>
    <t>vugfair2pf@m.expediapartnercentral.com</t>
  </si>
  <si>
    <t>konnjoe@gmail.com</t>
  </si>
  <si>
    <t>gkjtichy@yahoo.com</t>
  </si>
  <si>
    <t>2023-12-29</t>
  </si>
  <si>
    <t>mariarempel1@noemail.com</t>
  </si>
  <si>
    <t>mcdonalds_314@hotmail.com</t>
  </si>
  <si>
    <t>mlandsverk@icloud.com</t>
  </si>
  <si>
    <t>melvinfrazier1@noemail.com</t>
  </si>
  <si>
    <t>the5krolls@bis.midco.net</t>
  </si>
  <si>
    <t>norrismmolly@gmail.com</t>
  </si>
  <si>
    <t>k6uxqg0eld@m.expediapartnercentral.com</t>
  </si>
  <si>
    <t>op2nythogo@m.expediapartnercentral.com</t>
  </si>
  <si>
    <t>srpsunriselane@hotmail.com</t>
  </si>
  <si>
    <t>akame@judsontank.com</t>
  </si>
  <si>
    <t>2023-11-30</t>
  </si>
  <si>
    <t>creightoncockerham1@noemail.com</t>
  </si>
  <si>
    <t>mrs.marcia.goodwin@gmail.com</t>
  </si>
  <si>
    <t>ericpeterka1@noemail.com</t>
  </si>
  <si>
    <t>3j5cyn59nj@m.expediapartnercentral.com</t>
  </si>
  <si>
    <t>h5k8p536kt@m.expediapartnercentral.com</t>
  </si>
  <si>
    <t>joel@northcentralinc.com</t>
  </si>
  <si>
    <t>tylerryokema1@noemail.com</t>
  </si>
  <si>
    <t>l48vrdcqyj@m.expediapartnercentral.com</t>
  </si>
  <si>
    <t>r3ob6glv99@m.expediapartnercentral.com</t>
  </si>
  <si>
    <t>brendarouse@edinarealty.com</t>
  </si>
  <si>
    <t>2023-12-09</t>
  </si>
  <si>
    <t>jasonpavancuhy1@noemail.com</t>
  </si>
  <si>
    <t>jeffreydonwen1@noemail.com</t>
  </si>
  <si>
    <t>greg.klein95@gmail.com</t>
  </si>
  <si>
    <t>kevinmahoney1@noemail.com</t>
  </si>
  <si>
    <t>michaeltessler1@noemail.com</t>
  </si>
  <si>
    <t>ahogan.807918@guest.booking.com</t>
  </si>
  <si>
    <t>benjaminpederson1@noemail.com</t>
  </si>
  <si>
    <t>travis@genesagservice.com</t>
  </si>
  <si>
    <t>2023-12-07</t>
  </si>
  <si>
    <t>jacobwright1@noemail.com</t>
  </si>
  <si>
    <t>wlinehan@redpathcpas.com</t>
  </si>
  <si>
    <t>2023-12-12</t>
  </si>
  <si>
    <t>2024-05-19</t>
  </si>
  <si>
    <t>u36lqbaqwj@m.expediapartnercentral.com</t>
  </si>
  <si>
    <t>whitneychristensen1@noemail.com</t>
  </si>
  <si>
    <t>lqo8slqlyi@m.expediapartnercentral.com</t>
  </si>
  <si>
    <t>coxcathylpn@gmail.com</t>
  </si>
  <si>
    <t>bradlydonabauer1@noemail.com</t>
  </si>
  <si>
    <t>8qmfl39m45@m.expediapartnercentral.com</t>
  </si>
  <si>
    <t>kestella1@gmail.com</t>
  </si>
  <si>
    <t>sarahinvie@yahoo.com</t>
  </si>
  <si>
    <t>2023-12-27</t>
  </si>
  <si>
    <t>snoot21301@gmail.com</t>
  </si>
  <si>
    <t>hdrune.311391@guest.booking.com</t>
  </si>
  <si>
    <t>2023-12-30</t>
  </si>
  <si>
    <t>codyjohn244@gmail.com</t>
  </si>
  <si>
    <t>2023-12-16</t>
  </si>
  <si>
    <t>2024-05-04</t>
  </si>
  <si>
    <t>9b62hwe90q@m.expediapartnercentral.com</t>
  </si>
  <si>
    <t>2024-03-10</t>
  </si>
  <si>
    <t>ng7qrn6nn4@m.expediapartnercentral.com</t>
  </si>
  <si>
    <t>amymbrady@live.com</t>
  </si>
  <si>
    <t>2023-12-06</t>
  </si>
  <si>
    <t>rodolforvara1@noemail.com</t>
  </si>
  <si>
    <t>2023-12-13</t>
  </si>
  <si>
    <t>s7obn4w7a9@m.expediapartnercentral.com</t>
  </si>
  <si>
    <t>2024-04-06</t>
  </si>
  <si>
    <t>xng78euev9@m.expediapartnercentral.com</t>
  </si>
  <si>
    <t>mike.macintosh@midwestbath.com</t>
  </si>
  <si>
    <t>1ob5yv6ht3@m.expediapartnercentral.com</t>
  </si>
  <si>
    <t>2023-12-08</t>
  </si>
  <si>
    <t>ltjhrgrtws@m.expediapartnercentral.com</t>
  </si>
  <si>
    <t>a606097wyt@m.expediapartnercentral.com</t>
  </si>
  <si>
    <t>karinwalmer1@noemail.com</t>
  </si>
  <si>
    <t>2024-02-19</t>
  </si>
  <si>
    <t>roukwects4@m.expediapartnercentral.com</t>
  </si>
  <si>
    <t>melissakinnetz1@noemail.com</t>
  </si>
  <si>
    <t>shawpjs@gmail.com</t>
  </si>
  <si>
    <t>2024-04-17</t>
  </si>
  <si>
    <t>benjamin.reece93@gmail.com</t>
  </si>
  <si>
    <t>marksiudut1@noemail.com</t>
  </si>
  <si>
    <t>melissalw2009@gmail.com</t>
  </si>
  <si>
    <t>olivia@ahorizonagresearch.ca</t>
  </si>
  <si>
    <t>halferty72@charter.net</t>
  </si>
  <si>
    <t>timarens1@noemail.com</t>
  </si>
  <si>
    <t>2023-12-20</t>
  </si>
  <si>
    <t>carlosmaldonado1@noemail.com</t>
  </si>
  <si>
    <t>mattpodany@gmail.com</t>
  </si>
  <si>
    <t>douglashackett8@gmail.com</t>
  </si>
  <si>
    <t>kenzie_177@hotmail.com</t>
  </si>
  <si>
    <t>5vopo6jefn@m.expediapartnercentral.com</t>
  </si>
  <si>
    <t>ryanhemmingson1@noemail.com</t>
  </si>
  <si>
    <t>trenttidaback@sitechdakotas.com</t>
  </si>
  <si>
    <t>henry.rogotzke@gmail.com</t>
  </si>
  <si>
    <t>shuicif6gg@m.expediapartnercentral.com</t>
  </si>
  <si>
    <t>nicholasgrace1@noemail.com</t>
  </si>
  <si>
    <t>8e475vhue0@m.expediapartnercentral.com</t>
  </si>
  <si>
    <t>andrewclemen1@noemail.com</t>
  </si>
  <si>
    <t>landonyoung@icloud.com</t>
  </si>
  <si>
    <t>chadpederson1@noemail.com</t>
  </si>
  <si>
    <t>charlesspence1@noemail.com</t>
  </si>
  <si>
    <t>77fn6172ak@m.expediapartnercentral.com</t>
  </si>
  <si>
    <t>2024-06-22</t>
  </si>
  <si>
    <t>barbb@midstatesd.net</t>
  </si>
  <si>
    <t>roribeyer1@noemail.com</t>
  </si>
  <si>
    <t>bakytkurmanov1@noemail.com</t>
  </si>
  <si>
    <t>robertdube1@noemail.com</t>
  </si>
  <si>
    <t>2023-12-22</t>
  </si>
  <si>
    <t>craigmattheis1@noemail.com</t>
  </si>
  <si>
    <t>lowelltillotson1@noemail.com</t>
  </si>
  <si>
    <t>jamessmithson1@noemail.com</t>
  </si>
  <si>
    <t>2023-12-15</t>
  </si>
  <si>
    <t>jasongrund@hotmail.com</t>
  </si>
  <si>
    <t>shirleywiese1@noemail.com</t>
  </si>
  <si>
    <t>k.rounds@hotmail.com</t>
  </si>
  <si>
    <t>conniemckneely1@noemail.com</t>
  </si>
  <si>
    <t>andresrasmussen1@noemail.com</t>
  </si>
  <si>
    <t>2024-01-24</t>
  </si>
  <si>
    <t>2023-12-19</t>
  </si>
  <si>
    <t>rdelga.965810@guest.booking.com</t>
  </si>
  <si>
    <t>martymay1@noemail.com</t>
  </si>
  <si>
    <t>gpmf62qflj@m.expediapartnercentral.com</t>
  </si>
  <si>
    <t>jweatherford89@hotmail.com</t>
  </si>
  <si>
    <t>awelle.946295@guest.booking.com</t>
  </si>
  <si>
    <t>stevefarris1@noemail.com</t>
  </si>
  <si>
    <t>kf0jdt86k2@m.expediapartnercentral.com</t>
  </si>
  <si>
    <t>65nmrsnxsg@m.expediapartnercentral.com</t>
  </si>
  <si>
    <t>sylviabialaf1@noemail.com</t>
  </si>
  <si>
    <t>yf67ckkih4@m.expediapartnercentral.com</t>
  </si>
  <si>
    <t>2024-02-24</t>
  </si>
  <si>
    <t>marileerounds@hotmail.com</t>
  </si>
  <si>
    <t>bryonalder@gmail.com</t>
  </si>
  <si>
    <t>k9srfisch@yahoo.com</t>
  </si>
  <si>
    <t>okh02bt77t@m.expediapartnercentral.com</t>
  </si>
  <si>
    <t>2024-01-06</t>
  </si>
  <si>
    <t>77ys07xab5@m.expediapartnercentral.com</t>
  </si>
  <si>
    <t>rhilde.711138@guest.booking.com</t>
  </si>
  <si>
    <t>p.jason49@yahoo.com</t>
  </si>
  <si>
    <t>fno4vtcso5@m.expediapartnercentral.com</t>
  </si>
  <si>
    <t>reneeboeve1@noemail.com</t>
  </si>
  <si>
    <t>gordonvaruska@gmail.com</t>
  </si>
  <si>
    <t>maryhedstrom68@gmail.com</t>
  </si>
  <si>
    <t>7l6exrute1@m.expediapartnercentral.com</t>
  </si>
  <si>
    <t>jowell@nvc.net</t>
  </si>
  <si>
    <t>mnewma.234651@guest.booking.com</t>
  </si>
  <si>
    <t>mikelory@abe.midco.net</t>
  </si>
  <si>
    <t>arisbetf126@gmail.com</t>
  </si>
  <si>
    <t>clinthiettelke1@noemail.com</t>
  </si>
  <si>
    <t>celticslb@yahoo.com</t>
  </si>
  <si>
    <t>2024-09-15</t>
  </si>
  <si>
    <t>dewittejill@gmail.com</t>
  </si>
  <si>
    <t>fireeagleinfo@gmail.com</t>
  </si>
  <si>
    <t>careless_01@yahoo.com</t>
  </si>
  <si>
    <t>2023-12-21</t>
  </si>
  <si>
    <t>ampishar1997@gmail.com</t>
  </si>
  <si>
    <t>5chgn2nsih@m.expediapartnercentral.com</t>
  </si>
  <si>
    <t>nathanaelriley564@gmail.com</t>
  </si>
  <si>
    <t>kywekcdyrm@m.expediapartnercentral.com</t>
  </si>
  <si>
    <t>61y6mwmgw5@m.expediapartnercentral.com</t>
  </si>
  <si>
    <t>kccjthshft@m.expediapartnercentral.com</t>
  </si>
  <si>
    <t>9ta1g2dubr@m.expediapartnercentral.com</t>
  </si>
  <si>
    <t>2bcym5l1nq@m.expediapartnercentral.com</t>
  </si>
  <si>
    <t>donaldboyle1@noemail.com</t>
  </si>
  <si>
    <t>ocucwdd93r@m.expediapartnercentral.com</t>
  </si>
  <si>
    <t>mtraxlerjr@aol.com</t>
  </si>
  <si>
    <t>jonathangalaviz1@noemail.com</t>
  </si>
  <si>
    <t>ralphgreen1@noemail.com</t>
  </si>
  <si>
    <t>tannermoncur1@noemail.com</t>
  </si>
  <si>
    <t>runninglow237@yahoo.com</t>
  </si>
  <si>
    <t>306mqopktq@m.expediapartnercentral.com</t>
  </si>
  <si>
    <t>richarddutt1@noemail.com</t>
  </si>
  <si>
    <t>sherwoodgoossen1@noemail.com</t>
  </si>
  <si>
    <t>rodneyfroemming1@noemail.com</t>
  </si>
  <si>
    <t>jodyhebbert1@noemail.com</t>
  </si>
  <si>
    <t>2024-02-20</t>
  </si>
  <si>
    <t>8q5aaitflp@m.expediapartnercentral.com</t>
  </si>
  <si>
    <t>oxs13f2hp5@m.expediapartnercentral.com</t>
  </si>
  <si>
    <t>labuchholz@hotmail.com</t>
  </si>
  <si>
    <t>2024-03-01</t>
  </si>
  <si>
    <t>philip.christine.bacon@gmail.com</t>
  </si>
  <si>
    <t>morgangentry1@noemail.com</t>
  </si>
  <si>
    <t>kathyannek@gmail.com</t>
  </si>
  <si>
    <t>teamrohwedder@gmail.com</t>
  </si>
  <si>
    <t>durgin.sandra375@hotmail.com</t>
  </si>
  <si>
    <t>elaytonsr@icloud.com</t>
  </si>
  <si>
    <t>det@itctel.com</t>
  </si>
  <si>
    <t>2023-12-31</t>
  </si>
  <si>
    <t>bgtemple@itctel.com</t>
  </si>
  <si>
    <t>kathybrink1@noemail.com</t>
  </si>
  <si>
    <t>maryraile1@noemail.com</t>
  </si>
  <si>
    <t>stevebrink1@noemail.com</t>
  </si>
  <si>
    <t>samanthabrink1@noemail.com</t>
  </si>
  <si>
    <t>w3mlqwjaoa@m.expediapartnercentral.com</t>
  </si>
  <si>
    <t>2024-01-05</t>
  </si>
  <si>
    <t>dviihnh0a8@m.expediapartnercentral.com</t>
  </si>
  <si>
    <t>2023-12-28</t>
  </si>
  <si>
    <t>matthewpolzin1@noemail.com</t>
  </si>
  <si>
    <t>aaron.ringgenberg@jacks.sdstate.edu</t>
  </si>
  <si>
    <t>2024-01-21</t>
  </si>
  <si>
    <t>sjlamer@outlook.com</t>
  </si>
  <si>
    <t>mvaughn593@gmail.com</t>
  </si>
  <si>
    <t>uh0314nj94@m.expediapartnercentral.com</t>
  </si>
  <si>
    <t>nanavhon23@outlook.com</t>
  </si>
  <si>
    <t>2024-08-29</t>
  </si>
  <si>
    <t>jills@psychassocyankton.com</t>
  </si>
  <si>
    <t>slwright84@me.com</t>
  </si>
  <si>
    <t>2024-01-20</t>
  </si>
  <si>
    <t>laceyj4life@gmail.com</t>
  </si>
  <si>
    <t>tammyoltmanns1@noemail.com</t>
  </si>
  <si>
    <t>aleciaamezcua1@noemail.com</t>
  </si>
  <si>
    <t>rdeelewis@yahoo.com</t>
  </si>
  <si>
    <t>2024-03-24</t>
  </si>
  <si>
    <t>timmoore1@noemail.com</t>
  </si>
  <si>
    <t>ron.derby@smeco.coop</t>
  </si>
  <si>
    <t>ryanwerbalowsky1@noemail.com</t>
  </si>
  <si>
    <t>2024-01-14</t>
  </si>
  <si>
    <t>poolnoe@msn.com</t>
  </si>
  <si>
    <t>jessebjornson1@noemail.com</t>
  </si>
  <si>
    <t>2024-01-04</t>
  </si>
  <si>
    <t>petebjork02@gmail.com</t>
  </si>
  <si>
    <t>kuhl52@hotmail.com</t>
  </si>
  <si>
    <t>jason.larson@siouxfalls.gov</t>
  </si>
  <si>
    <t>elizabethdelcid1@noemail.com</t>
  </si>
  <si>
    <t>p2gbur6tnb@m.expediapartnercentral.com</t>
  </si>
  <si>
    <t>2024-01-03</t>
  </si>
  <si>
    <t>g8tkgrssmb@m.expediapartnercentral.com</t>
  </si>
  <si>
    <t>drezac.142652@guest.booking.com</t>
  </si>
  <si>
    <t>dave.d@tuckman.com</t>
  </si>
  <si>
    <t>brandon@eccoatings.co</t>
  </si>
  <si>
    <t>lawrenceschwarz1@noemail.com</t>
  </si>
  <si>
    <t>adschaef@itctell.com</t>
  </si>
  <si>
    <t>2024-02-11</t>
  </si>
  <si>
    <t>thorklarson@gmail.com</t>
  </si>
  <si>
    <t>paulchavez24@gmail.com</t>
  </si>
  <si>
    <t>shannaanderson1@noemail.com</t>
  </si>
  <si>
    <t>2024-01-07</t>
  </si>
  <si>
    <t>thoralarson@gmail.com</t>
  </si>
  <si>
    <t>ebiller02@gmail.com</t>
  </si>
  <si>
    <t>vhrw885nhq@m.expediapartnercentral.com</t>
  </si>
  <si>
    <t>raymondgrajeda1@noemail.com</t>
  </si>
  <si>
    <t>9oexn59nen@m.expediapartnercentral.com</t>
  </si>
  <si>
    <t>benfrohling1@noemail.com</t>
  </si>
  <si>
    <t>jackiethill1@noemail.com</t>
  </si>
  <si>
    <t>emilykrueger1@noemail.com</t>
  </si>
  <si>
    <t>khauck.867235@guest.booking.com</t>
  </si>
  <si>
    <t>2024-02-25</t>
  </si>
  <si>
    <t>7u9s76ri1e@m.expediapartnercentral.com</t>
  </si>
  <si>
    <t>justicebrandt1@noemail.com</t>
  </si>
  <si>
    <t>w9gry1ycri@m.expediapartnercentral.com</t>
  </si>
  <si>
    <t>2024-01-12</t>
  </si>
  <si>
    <t>jsclanderson@hotmail.com</t>
  </si>
  <si>
    <t>2024-02-01</t>
  </si>
  <si>
    <t>kim.wilking@yahoo.com</t>
  </si>
  <si>
    <t>twalke.989519@guest.booking.com</t>
  </si>
  <si>
    <t>eharaldson86@gmail.com</t>
  </si>
  <si>
    <t>2024-09-22</t>
  </si>
  <si>
    <t>dan@madison-lawns.com</t>
  </si>
  <si>
    <t>2024-01-09</t>
  </si>
  <si>
    <t>peter_white@me.com</t>
  </si>
  <si>
    <t>thomasgilchrist1@noemail.com</t>
  </si>
  <si>
    <t>darinbowling1@noemail.com</t>
  </si>
  <si>
    <t>fc875ih90i@m.expediapartnercentral.com</t>
  </si>
  <si>
    <t>2024-01-28</t>
  </si>
  <si>
    <t>donaldraylandriault1@noemail.com</t>
  </si>
  <si>
    <t>2024-01-10</t>
  </si>
  <si>
    <t>chohn.353126@guest.booking.com</t>
  </si>
  <si>
    <t>steveolsonwaterplumb1@noemail.com</t>
  </si>
  <si>
    <t>sbunkosske@hotmail.com</t>
  </si>
  <si>
    <t>jkh35a2iqe@m.expediapartnercentral.com</t>
  </si>
  <si>
    <t>8karpgue1k@m.expediapartnercentral.com</t>
  </si>
  <si>
    <t>cietaddfrb@m.expediapartnercentral.com</t>
  </si>
  <si>
    <t>markt55@icloud.com</t>
  </si>
  <si>
    <t>2024-02-04</t>
  </si>
  <si>
    <t>spannell914@gmail.com</t>
  </si>
  <si>
    <t>2024-01-16</t>
  </si>
  <si>
    <t>9p1tawxi30@m.expediapartnercentral.com</t>
  </si>
  <si>
    <t>2024-02-15</t>
  </si>
  <si>
    <t>kxwwx8d5mc@m.expediapartnercentral.com</t>
  </si>
  <si>
    <t>jennaannmagalsky1@noemail.com</t>
  </si>
  <si>
    <t>stacyheimenz@gmail.com</t>
  </si>
  <si>
    <t>douglassnorton1@noemail.com</t>
  </si>
  <si>
    <t>2024-01-11</t>
  </si>
  <si>
    <t>kochjm06@hotmail.com</t>
  </si>
  <si>
    <t>7xo77wx87o@m.expediapartnercentral.com</t>
  </si>
  <si>
    <t>willydealacruz1@noemail.com</t>
  </si>
  <si>
    <t>saraspisak1@noemail.com</t>
  </si>
  <si>
    <t>spellmanm@ymail.com</t>
  </si>
  <si>
    <t>2024-01-15</t>
  </si>
  <si>
    <t>qc5uum0bwf@m.expediapartnercentral.com</t>
  </si>
  <si>
    <t>hbmu2eqv2d@m.expediapartnercentral.com</t>
  </si>
  <si>
    <t>dustinhiriarte1@noemail.com</t>
  </si>
  <si>
    <t>dschro.440710@guest.booking.com</t>
  </si>
  <si>
    <t>mrizzoetto95@yahoo.com</t>
  </si>
  <si>
    <t>jenniferissendorf1@noemail.com</t>
  </si>
  <si>
    <t>craigpederson1@noemail.com</t>
  </si>
  <si>
    <t>zoe@midco.net</t>
  </si>
  <si>
    <t>2024-06-09</t>
  </si>
  <si>
    <t>jasonhetterley1@noemail.com</t>
  </si>
  <si>
    <t>2024-01-17</t>
  </si>
  <si>
    <t>8ucslm46em@m.expediapartnercentral.com</t>
  </si>
  <si>
    <t>jenniferhoffart1@noemail.com</t>
  </si>
  <si>
    <t>danielwaldner123@gmail.com</t>
  </si>
  <si>
    <t>scount.744704@guest.booking.com</t>
  </si>
  <si>
    <t>2024-01-13</t>
  </si>
  <si>
    <t>sudbeck_00@hotmail.com</t>
  </si>
  <si>
    <t>scount.331922@guest.booking.com</t>
  </si>
  <si>
    <t>vanbeekllc@yahoo.com</t>
  </si>
  <si>
    <t>6l8abc9kj3@m.expediapartnercentral.com</t>
  </si>
  <si>
    <t>2024-03-03</t>
  </si>
  <si>
    <t>yulierfaildelugo1@noemail.com</t>
  </si>
  <si>
    <t>mmiller@productivity.com</t>
  </si>
  <si>
    <t>kenengel1@noemail.com</t>
  </si>
  <si>
    <t>tmaeschen@gmail.com</t>
  </si>
  <si>
    <t>matt@theconcreteguy.com</t>
  </si>
  <si>
    <t>2024-01-18</t>
  </si>
  <si>
    <t>lnaber.969683@guest.booking.com</t>
  </si>
  <si>
    <t>kv7u4ns4n2@m.expediapartnercentral.com</t>
  </si>
  <si>
    <t>2024-02-10</t>
  </si>
  <si>
    <t>sheturbak@hotmail.com</t>
  </si>
  <si>
    <t>rbarnhardt@mobilmini.com</t>
  </si>
  <si>
    <t>2024-01-22</t>
  </si>
  <si>
    <t>upg22nwl1b@m.expediapartnercentral.com</t>
  </si>
  <si>
    <t>2024-05-03</t>
  </si>
  <si>
    <t>aaronaurzada1@noemail.com</t>
  </si>
  <si>
    <t>logandbz@hotmail.com</t>
  </si>
  <si>
    <t>rachel.manwarren@gmail.com</t>
  </si>
  <si>
    <t>eagles1976fields@outlook.com</t>
  </si>
  <si>
    <t>caseyhultquist1@noemail.com</t>
  </si>
  <si>
    <t>karialverson08@gmail.com</t>
  </si>
  <si>
    <t>saraklapperich@yahoo.com</t>
  </si>
  <si>
    <t>leeanne_smith72@yahoo.com</t>
  </si>
  <si>
    <t>jill.schaefer@wolves.northern.edu</t>
  </si>
  <si>
    <t>42odi2xbgc@m.expediapartnercentral.com</t>
  </si>
  <si>
    <t>upwuxhhur4@m.expediapartnercentral.com</t>
  </si>
  <si>
    <t>lacey.deberg@gmail.com</t>
  </si>
  <si>
    <t>erikharrison1@noemail.com</t>
  </si>
  <si>
    <t>lschle.567514@guest.booking.com</t>
  </si>
  <si>
    <t>coltnavrat1@noemail.com</t>
  </si>
  <si>
    <t>2024-01-19</t>
  </si>
  <si>
    <t>samanthabach1@noemail.com</t>
  </si>
  <si>
    <t>rstolt.197486@guest.booking.com</t>
  </si>
  <si>
    <t>kristynepaulson2@gmail.com</t>
  </si>
  <si>
    <t>gregorywolff1@noemail.com</t>
  </si>
  <si>
    <t>qavpby8ng1@m.expediapartnercentral.com</t>
  </si>
  <si>
    <t>t541g47ypw@m.expediapartnercentral.com</t>
  </si>
  <si>
    <t>cjupqp44v2@m.expediapartnercentral.com</t>
  </si>
  <si>
    <t>marchellescholl1@noemail.com</t>
  </si>
  <si>
    <t>jaytieszen1@noemail.com</t>
  </si>
  <si>
    <t>ddmabus1@gmail.com</t>
  </si>
  <si>
    <t>qyywcmviv6@m.expediapartnercentral.com</t>
  </si>
  <si>
    <t>sherry@vrscpa.com</t>
  </si>
  <si>
    <t>dorothyross1@noemail.com</t>
  </si>
  <si>
    <t>reneethomas7800@gmail.com</t>
  </si>
  <si>
    <t>missmoe8@gmail.com</t>
  </si>
  <si>
    <t>tinaschuman1@noemail.com</t>
  </si>
  <si>
    <t>ddrake.449960@guest.booking.com</t>
  </si>
  <si>
    <t>q8jd7p256y@m.expediapartnercentral.com</t>
  </si>
  <si>
    <t>le8kks7fk5@m.expediapartnercentral.com</t>
  </si>
  <si>
    <t>g0eeydygu5@m.expediapartnercentral.com</t>
  </si>
  <si>
    <t>jhuber10@yahoo.com</t>
  </si>
  <si>
    <t>5bub8d37v4@m.expediapartnercentral.com</t>
  </si>
  <si>
    <t>randybarnhardt1@gmail.com</t>
  </si>
  <si>
    <t>deroincj@gmail.com</t>
  </si>
  <si>
    <t>2024-01-23</t>
  </si>
  <si>
    <t>karihall1@noemail.com</t>
  </si>
  <si>
    <t>lyssamarit-013@hotmail.com</t>
  </si>
  <si>
    <t>courtney.promes@wingsgym.com</t>
  </si>
  <si>
    <t>gwesterbuhr@live.com</t>
  </si>
  <si>
    <t>aharwo.817672@guest.booking.com</t>
  </si>
  <si>
    <t>2024-05-20</t>
  </si>
  <si>
    <t>danielle_riele@yahoo.com</t>
  </si>
  <si>
    <t>2024-01-27</t>
  </si>
  <si>
    <t>breellebreaw2469@icloud.com</t>
  </si>
  <si>
    <t>meganrabe@outlook.com</t>
  </si>
  <si>
    <t>clansd.815649@guest.booking.com</t>
  </si>
  <si>
    <t>2024-01-25</t>
  </si>
  <si>
    <t>samantha.sargent@hotmail.com</t>
  </si>
  <si>
    <t>hn7jpyvrwh@m.expediapartnercentral.com</t>
  </si>
  <si>
    <t>cdonovan0923@yahoo.com</t>
  </si>
  <si>
    <t>leslielundquist1@noemail.com</t>
  </si>
  <si>
    <t>p89dlt5nnc@m.expediapartnercentral.com</t>
  </si>
  <si>
    <t>laurawright@pineappleescapes.com</t>
  </si>
  <si>
    <t>tifvs6r31j@m.expediapartnercentral.com</t>
  </si>
  <si>
    <t>paulmoret@premieronline.net</t>
  </si>
  <si>
    <t>david@tecmaengineering.com</t>
  </si>
  <si>
    <t>rkjg97@gmail.com</t>
  </si>
  <si>
    <t>2024-07-28</t>
  </si>
  <si>
    <t>kurtseeger1@noemail.com</t>
  </si>
  <si>
    <t>2024-01-26</t>
  </si>
  <si>
    <t>rudikitching1@noemail.com</t>
  </si>
  <si>
    <t>loginlau1@noemail.com</t>
  </si>
  <si>
    <t>loganmiller1@noemail.com</t>
  </si>
  <si>
    <t>odegaardmn@gmail.com</t>
  </si>
  <si>
    <t>matthaglund1@noemail.com</t>
  </si>
  <si>
    <t>aqyr7fj8gg@m.expediapartnercentral.com</t>
  </si>
  <si>
    <t>kentallen1@noemail.com</t>
  </si>
  <si>
    <t>joshpape1@noemail.com</t>
  </si>
  <si>
    <t>lisa0130@comcast.net</t>
  </si>
  <si>
    <t>tpeiwr6les@m.expediapartnercentral.com</t>
  </si>
  <si>
    <t>shainag@kw.com</t>
  </si>
  <si>
    <t>dougwelte1@noemail.com</t>
  </si>
  <si>
    <t>cindykrull1@noemail.com</t>
  </si>
  <si>
    <t>teddylamb1@noemail.com</t>
  </si>
  <si>
    <t>kylievoecks1@noemail.com</t>
  </si>
  <si>
    <t>ketbk7w502@m.expediapartnercentral.com</t>
  </si>
  <si>
    <t>buddyshemi@yahoo.com</t>
  </si>
  <si>
    <t>jessicajirele1@noemail.com</t>
  </si>
  <si>
    <t>cory.donlyn@gmail.com</t>
  </si>
  <si>
    <t>justin@ebcokeing.co</t>
  </si>
  <si>
    <t>2024-01-30</t>
  </si>
  <si>
    <t>pstoeser@gmail.com</t>
  </si>
  <si>
    <t>polleyanna@iw.net</t>
  </si>
  <si>
    <t>7icvq3cs1f@m.expediapartnercentral.com</t>
  </si>
  <si>
    <t>kellyprice1@noemail.com</t>
  </si>
  <si>
    <t>gregoryjohnson1@noemail.com</t>
  </si>
  <si>
    <t>erictrottier1@noemail.com</t>
  </si>
  <si>
    <t>alyssagurnsey1@noemail.com</t>
  </si>
  <si>
    <t>dreine.501783@guest.booking.com</t>
  </si>
  <si>
    <t>hannahdostal1@noemail.com</t>
  </si>
  <si>
    <t>wranch@goldenwest.net</t>
  </si>
  <si>
    <t>jjanou.852942@guest.booking.com</t>
  </si>
  <si>
    <t>stephaniechute1@noemail.com</t>
  </si>
  <si>
    <t>mattwagner737@gmail.com</t>
  </si>
  <si>
    <t>lisafrahm@ruhlhomes.com</t>
  </si>
  <si>
    <t>joel_kroll@yahoo.com</t>
  </si>
  <si>
    <t>chadreilly1@noemail.com</t>
  </si>
  <si>
    <t>russfurby3@gmail.com</t>
  </si>
  <si>
    <t>robwertcrantz1@noemail.com</t>
  </si>
  <si>
    <t>2024-02-02</t>
  </si>
  <si>
    <t>mglemon7@gmail.com</t>
  </si>
  <si>
    <t>jfoste.406210@guest.booking.com</t>
  </si>
  <si>
    <t>pbeck.622269@guest.booking.com</t>
  </si>
  <si>
    <t>ryan.good@gogtac.com</t>
  </si>
  <si>
    <t>stevepfaff1@noemail.com</t>
  </si>
  <si>
    <t>smeyers0917@hotmail.com</t>
  </si>
  <si>
    <t>2024-09-08</t>
  </si>
  <si>
    <t>mirandajoyce1@noemail.com</t>
  </si>
  <si>
    <t>2024-02-03</t>
  </si>
  <si>
    <t>nicole.scholten@fora.travel</t>
  </si>
  <si>
    <t>bbuckm.280097@guest.booking.com</t>
  </si>
  <si>
    <t>2024-02-17</t>
  </si>
  <si>
    <t>axch36n6my@m.expediapartnercentral.com</t>
  </si>
  <si>
    <t>susiehaugly1@noemail.com</t>
  </si>
  <si>
    <t>g6i1kp7dj6@m.expediapartnercentral.com</t>
  </si>
  <si>
    <t>ahonke31356@gmail.com</t>
  </si>
  <si>
    <t>hammsjm2@gmail.com</t>
  </si>
  <si>
    <t>astave.192961@guest.booking.com</t>
  </si>
  <si>
    <t>brandon_m_hofer@graco.com</t>
  </si>
  <si>
    <t>rislynlam@live.com</t>
  </si>
  <si>
    <t>7raq7xa65m@m.expediapartnercentral.com</t>
  </si>
  <si>
    <t>2024-03-02</t>
  </si>
  <si>
    <t>shanep2223@yahoo.com</t>
  </si>
  <si>
    <t>bgg7qn64dq@m.expediapartnercentral.com</t>
  </si>
  <si>
    <t>bjason.603005@guest.booking.com</t>
  </si>
  <si>
    <t>ycalde.601849@guest.booking.com</t>
  </si>
  <si>
    <t>alicepodvin@gmail.com</t>
  </si>
  <si>
    <t>heia3a7xs0@m.expediapartnercentral.com</t>
  </si>
  <si>
    <t>courtneydorer@yahoo.com</t>
  </si>
  <si>
    <t>dsboom77@gmail.com</t>
  </si>
  <si>
    <t>2024-02-05</t>
  </si>
  <si>
    <t>smtlgross@gmail.com</t>
  </si>
  <si>
    <t>wymkevgnvp@m.expediapartnercentral.com</t>
  </si>
  <si>
    <t>2024-02-06</t>
  </si>
  <si>
    <t>dawn.gross@k12.sd.us</t>
  </si>
  <si>
    <t>timthole@yahoo.com</t>
  </si>
  <si>
    <t>budge_51@yahoo.com</t>
  </si>
  <si>
    <t>michaelschwake1@noemail.com</t>
  </si>
  <si>
    <t>2024-02-09</t>
  </si>
  <si>
    <t>kgoeri.221387@guest.booking.com</t>
  </si>
  <si>
    <t>david.brink.msp@gmail.com</t>
  </si>
  <si>
    <t>u2rqdpcv9y@m.expediapartnercentral.com</t>
  </si>
  <si>
    <t>kosd2@hotmail.com</t>
  </si>
  <si>
    <t>tarynhoffman1@noemail.com</t>
  </si>
  <si>
    <t>steve@capitolemb.com</t>
  </si>
  <si>
    <t>rdd3blsce4@m.expediapartnercentral.com</t>
  </si>
  <si>
    <t>2024-03-17</t>
  </si>
  <si>
    <t>gracemsmith2999@gmail.com</t>
  </si>
  <si>
    <t>jdihykbihr@m.expediapartnercentral.com</t>
  </si>
  <si>
    <t>stacey.hamilin@k12.sd.us</t>
  </si>
  <si>
    <t>2024-04-08</t>
  </si>
  <si>
    <t>tdeurm.739507@guest.booking.com</t>
  </si>
  <si>
    <t>gabbyzantow1@noemail.com</t>
  </si>
  <si>
    <t>dibbetranch@mtcnet.net</t>
  </si>
  <si>
    <t>njhawke@msn.com</t>
  </si>
  <si>
    <t>caseykoch1@noemail.com</t>
  </si>
  <si>
    <t>2024-02-07</t>
  </si>
  <si>
    <t>y1vch63nd2@m.expediapartnercentral.com</t>
  </si>
  <si>
    <t>kpn5jy2lcf@m.expediapartnercentral.com</t>
  </si>
  <si>
    <t>jonny@efraimsonelectric.com</t>
  </si>
  <si>
    <t>jodjerdavis@gmail.com</t>
  </si>
  <si>
    <t>lsmith.455114@guest.booking.com</t>
  </si>
  <si>
    <t>wilsonap08@gmail.com</t>
  </si>
  <si>
    <t>bonjh3742@gmail.com</t>
  </si>
  <si>
    <t>matthewjohnunderwood@gmail.com</t>
  </si>
  <si>
    <t>2024-02-08</t>
  </si>
  <si>
    <t>cpost.888390@guest.booking.com</t>
  </si>
  <si>
    <t>hzilm.604384@guest.booking.com</t>
  </si>
  <si>
    <t>qrdyosvdku@m.expediapartnercentral.com</t>
  </si>
  <si>
    <t>76aiwn66e9@m.expediapartnercentral.com</t>
  </si>
  <si>
    <t>jconwa.457325@guest.booking.com</t>
  </si>
  <si>
    <t>2024-03-31</t>
  </si>
  <si>
    <t>jq298iaupq@m.expediapartnercentral.com</t>
  </si>
  <si>
    <t>coolpharmd@sanfordhealth.org</t>
  </si>
  <si>
    <t>cpost.490522@guest.booking.com</t>
  </si>
  <si>
    <t>jennybercezyk1@noemail.com</t>
  </si>
  <si>
    <t>jennygoodale@gmail.com</t>
  </si>
  <si>
    <t>cweins.563266@guest.booking.com</t>
  </si>
  <si>
    <t>burt7034@yahoo.com</t>
  </si>
  <si>
    <t>isaiahlopez1@noemail.com</t>
  </si>
  <si>
    <t>sjbeck5@hotmail.com</t>
  </si>
  <si>
    <t>bbourquin2013@outlook.com</t>
  </si>
  <si>
    <t>oin6dkmmvw@m.expediapartnercentral.com</t>
  </si>
  <si>
    <t>rschae.784274@guest.booking.com</t>
  </si>
  <si>
    <t>nolj9o2r4a@m.expediapartnercentral.com</t>
  </si>
  <si>
    <t>lorizirpel1@noemail.com</t>
  </si>
  <si>
    <t>cmarku.552383@guest.booking.com</t>
  </si>
  <si>
    <t>2024-02-14</t>
  </si>
  <si>
    <t>yxgqswdp77@m.expediapartnercentral.com</t>
  </si>
  <si>
    <t>fleas@wccta.net</t>
  </si>
  <si>
    <t>2024-05-11</t>
  </si>
  <si>
    <t>marlysjennings@gmail.com</t>
  </si>
  <si>
    <t>gholt.811961@guest.booking.com</t>
  </si>
  <si>
    <t>chad.vandenbosch@agropur.com</t>
  </si>
  <si>
    <t>9w88lws1gy@m.expediapartnercentral.com</t>
  </si>
  <si>
    <t>2024-02-13</t>
  </si>
  <si>
    <t>jeffhasllebrook1@noemail.com</t>
  </si>
  <si>
    <t>2024-02-12</t>
  </si>
  <si>
    <t>sjohan.238151@guest.booking.com</t>
  </si>
  <si>
    <t>josvwp1vcf@m.expediapartnercentral.com</t>
  </si>
  <si>
    <t>2024-03-04</t>
  </si>
  <si>
    <t>phyllis@denningcompanys.com</t>
  </si>
  <si>
    <t>2024-04-14</t>
  </si>
  <si>
    <t>jeanne.johnson@yahoo.com</t>
  </si>
  <si>
    <t>2024-03-09</t>
  </si>
  <si>
    <t>vx5mh0rfgw@m.expediapartnercentral.com</t>
  </si>
  <si>
    <t>rbreske@gregersonsalvage.com</t>
  </si>
  <si>
    <t>roadrunnerex@msn.com</t>
  </si>
  <si>
    <t>7hwlkxxpt4@m.expediapartnercentral.com</t>
  </si>
  <si>
    <t>lavonamerkwan@gmail.com</t>
  </si>
  <si>
    <t>germanvarelarecinos1@noemail.com</t>
  </si>
  <si>
    <t>gkcaraway@gmail.com</t>
  </si>
  <si>
    <t>yd88e34l2v@m.expediapartnercentral.com</t>
  </si>
  <si>
    <t>2024-02-22</t>
  </si>
  <si>
    <t>ssmith.800243@guest.booking.com</t>
  </si>
  <si>
    <t>kaelijohnson1@noemail.com</t>
  </si>
  <si>
    <t>jpavek.837759@guest.booking.com</t>
  </si>
  <si>
    <t>brookstang7@gmail.com</t>
  </si>
  <si>
    <t>loridecker1@noemail.com</t>
  </si>
  <si>
    <t>2024-06-30</t>
  </si>
  <si>
    <t>ryancarter1@noemail.com</t>
  </si>
  <si>
    <t>f7dr776nh1@m.expediapartnercentral.com</t>
  </si>
  <si>
    <t>2024-04-27</t>
  </si>
  <si>
    <t>brendapadilla1@noemail.com</t>
  </si>
  <si>
    <t>qmc2d4fumi@m.expediapartnercentral.com</t>
  </si>
  <si>
    <t>ashleyhesla1@noemail.com</t>
  </si>
  <si>
    <t>alisonhudelson1@noemail.com</t>
  </si>
  <si>
    <t>kylesmom96@hotmail.com</t>
  </si>
  <si>
    <t>kristinacarlson1@noemail.com</t>
  </si>
  <si>
    <t>2024-02-16</t>
  </si>
  <si>
    <t>esmyth@catalystsoftball.com</t>
  </si>
  <si>
    <t>dsipma.752159@guest.booking.com</t>
  </si>
  <si>
    <t>2024-03-30</t>
  </si>
  <si>
    <t>ch2013132@gmail.com</t>
  </si>
  <si>
    <t>3u72th89nj@m.expediapartnercentral.com</t>
  </si>
  <si>
    <t>2024-02-26</t>
  </si>
  <si>
    <t>dsipma.625425@guest.booking.com</t>
  </si>
  <si>
    <t>lindseycookston1@noemail.com</t>
  </si>
  <si>
    <t>robyates1@noemail.com</t>
  </si>
  <si>
    <t>gordon@sdipco.com</t>
  </si>
  <si>
    <t>donnapeek1@noemail.com</t>
  </si>
  <si>
    <t>tddevries11@gmail.com</t>
  </si>
  <si>
    <t>melanie1585@outlook.com</t>
  </si>
  <si>
    <t>2024-02-27</t>
  </si>
  <si>
    <t>dougweis1@noemail.com</t>
  </si>
  <si>
    <t>gilsdorf75@hotmail.com</t>
  </si>
  <si>
    <t>y1a3gk2mp4@m.expediapartnercentral.com</t>
  </si>
  <si>
    <t>2024-03-16</t>
  </si>
  <si>
    <t>ericaburton744@gmail.com</t>
  </si>
  <si>
    <t>2024-02-23</t>
  </si>
  <si>
    <t>4rlgws5ono@m.expediapartnercentral.com</t>
  </si>
  <si>
    <t>karanhenderson1@noemail.com</t>
  </si>
  <si>
    <t>2024-02-21</t>
  </si>
  <si>
    <t>timothy.goldsmith8@gmail.com</t>
  </si>
  <si>
    <t>terri.traxinger@gmail.com</t>
  </si>
  <si>
    <t>kellygoldsmith19@gmail.com</t>
  </si>
  <si>
    <t>rachp103@gmail.com</t>
  </si>
  <si>
    <t>gmajgold@gmail.com</t>
  </si>
  <si>
    <t>jp_consulting@charter.net</t>
  </si>
  <si>
    <t>2024-05-12</t>
  </si>
  <si>
    <t>speetty@premieronline.net</t>
  </si>
  <si>
    <t>tailtrends@live.com</t>
  </si>
  <si>
    <t>juliekonen1@noemail.com</t>
  </si>
  <si>
    <t>kasey.jo.mayclin@gmail.com</t>
  </si>
  <si>
    <t>artulomartinez1@noemail.com</t>
  </si>
  <si>
    <t>molly.j.niday@gmail.com</t>
  </si>
  <si>
    <t>travisboyd80@hotmail.com</t>
  </si>
  <si>
    <t>crystalmuller2@gmail.com</t>
  </si>
  <si>
    <t>kmeierhofer@powersystems-mn.com</t>
  </si>
  <si>
    <t>calebdockter1@noemail.com</t>
  </si>
  <si>
    <t>hdbobs52@gmail.com</t>
  </si>
  <si>
    <t>cmkaarup@gmail.com</t>
  </si>
  <si>
    <t>buknrut68@yahoo.com</t>
  </si>
  <si>
    <t>ethanbender1@noemail.com</t>
  </si>
  <si>
    <t>lorettalaabs1@noemail.com</t>
  </si>
  <si>
    <t>chrisgonzalez1@noemail.com</t>
  </si>
  <si>
    <t>mel@rakamarkinc.com</t>
  </si>
  <si>
    <t>littlejbonnema61@gmail.com</t>
  </si>
  <si>
    <t>ttrack@gwtc.net</t>
  </si>
  <si>
    <t>0fs489gl9x@m.expediapartnercentral.com</t>
  </si>
  <si>
    <t>2024-04-11</t>
  </si>
  <si>
    <t>dominicdiggs1@noemail.com</t>
  </si>
  <si>
    <t>pnmcdowell@hotmail.com</t>
  </si>
  <si>
    <t>0mqltlc1ov@m.expediapartnercentral.com</t>
  </si>
  <si>
    <t>clzanzee@siouxvalley.net</t>
  </si>
  <si>
    <t>michelleandevans@gmail.com</t>
  </si>
  <si>
    <t>2024-03-06</t>
  </si>
  <si>
    <t>anahernandezcruz1@noemail.com</t>
  </si>
  <si>
    <t>jeffreyharper1@noemail.com</t>
  </si>
  <si>
    <t>fredandkathy@ade.midco.net</t>
  </si>
  <si>
    <t>michelevan1023@gmail.com</t>
  </si>
  <si>
    <t>abossman84@gmail.com</t>
  </si>
  <si>
    <t>782dei7kr5@m.expediapartnercentral.com</t>
  </si>
  <si>
    <t>1qedwf81di@m.expediapartnercentral.com</t>
  </si>
  <si>
    <t>9n9key1xnj@m.expediapartnercentral.com</t>
  </si>
  <si>
    <t>bossmanbrittnie123@gmail.com</t>
  </si>
  <si>
    <t>bobtiedt1@noemail.com</t>
  </si>
  <si>
    <t>denizyasat@yahoo.com</t>
  </si>
  <si>
    <t>trevortibbetts1@noemail.com</t>
  </si>
  <si>
    <t>s1rmctr6pu@m.expediapartnercentral.com</t>
  </si>
  <si>
    <t>bradcastle1@noemail.com</t>
  </si>
  <si>
    <t>mahlahamapiloko1@noemail.com</t>
  </si>
  <si>
    <t>jaimebahena1@noemail.com</t>
  </si>
  <si>
    <t>peteschefflergf@gmail.com</t>
  </si>
  <si>
    <t>2024-03-12</t>
  </si>
  <si>
    <t>jenniferhovzenes1@noemail.com</t>
  </si>
  <si>
    <t>greglund1@noemail.com</t>
  </si>
  <si>
    <t>jburge.998236@guest.booking.com</t>
  </si>
  <si>
    <t>6qrwebmequ@m.expediapartnercentral.com</t>
  </si>
  <si>
    <t>2024-03-08</t>
  </si>
  <si>
    <t>fkm5mph0nk@m.expediapartnercentral.com</t>
  </si>
  <si>
    <t>ap@proformfabllc.com</t>
  </si>
  <si>
    <t>2024-03-07</t>
  </si>
  <si>
    <t>cabrahamson21@gmail.com</t>
  </si>
  <si>
    <t>2024-06-11</t>
  </si>
  <si>
    <t>ebrend.151740@guest.booking.com</t>
  </si>
  <si>
    <t>roberthudson1@noemail.com</t>
  </si>
  <si>
    <t>keithbaschew1@noemail.com</t>
  </si>
  <si>
    <t>morgansmith1@noemail.com</t>
  </si>
  <si>
    <t>arlinz@nvc.net</t>
  </si>
  <si>
    <t>aprilschultz_18@yahoo.com</t>
  </si>
  <si>
    <t>7esbrba7to@m.expediapartnercentral.com</t>
  </si>
  <si>
    <t>bmask85@gmail.com</t>
  </si>
  <si>
    <t>blauen.554102@guest.booking.com</t>
  </si>
  <si>
    <t>ksaban.817577@guest.booking.com</t>
  </si>
  <si>
    <t>nander.893888@guest.booking.com</t>
  </si>
  <si>
    <t>ryan@harryswtn.com</t>
  </si>
  <si>
    <t>ramiropruneda1@noemail.com</t>
  </si>
  <si>
    <t>raftermila@gmail.com</t>
  </si>
  <si>
    <t>tgilkison@kmtel.com</t>
  </si>
  <si>
    <t>bobbipearman1@noemail.com</t>
  </si>
  <si>
    <t>dareld.w@live.com</t>
  </si>
  <si>
    <t>acsex0xgcl@m.expediapartnercentral.com</t>
  </si>
  <si>
    <t>2024-02-29</t>
  </si>
  <si>
    <t>joshuaburgey1@noemail.com</t>
  </si>
  <si>
    <t>kmklein64@gmail.com</t>
  </si>
  <si>
    <t>rbyer.648616@guest.booking.com</t>
  </si>
  <si>
    <t>4klfaryajd@m.expediapartnercentral.com</t>
  </si>
  <si>
    <t>998i5xwan7@m.expediapartnercentral.com</t>
  </si>
  <si>
    <t>tvallery2@gmail.com</t>
  </si>
  <si>
    <t>2024-02-28</t>
  </si>
  <si>
    <t>dsosajr@gmail.com</t>
  </si>
  <si>
    <t>hotels@westat.com</t>
  </si>
  <si>
    <t>2024-03-11</t>
  </si>
  <si>
    <t>cr6c2ldljb@m.expediapartnercentral.com</t>
  </si>
  <si>
    <t>bo66drrtpj@m.expediapartnercentral.com</t>
  </si>
  <si>
    <t>stellagdtell@gmail.com</t>
  </si>
  <si>
    <t>klunknamy@goldenwest.net</t>
  </si>
  <si>
    <t>sjandl.680161@guest.booking.com</t>
  </si>
  <si>
    <t>a90bvqloi3@m.expediapartnercentral.com</t>
  </si>
  <si>
    <t>hatbouressa@gmail.com</t>
  </si>
  <si>
    <t>2024-03-05</t>
  </si>
  <si>
    <t>hardahhha@gmail.com</t>
  </si>
  <si>
    <t>twilson6525@gmail.com</t>
  </si>
  <si>
    <t>xlpalrnf1c@m.expediapartnercentral.com</t>
  </si>
  <si>
    <t>jheinz.890746@guest.booking.com</t>
  </si>
  <si>
    <t>bgxfu3ciwt@m.expediapartnercentral.com</t>
  </si>
  <si>
    <t>caseytempel1@noemail.com</t>
  </si>
  <si>
    <t>pambrowning1@hotmail.com</t>
  </si>
  <si>
    <t>janet.zubell@comcast.net</t>
  </si>
  <si>
    <t>heartmn63@gmail.com</t>
  </si>
  <si>
    <t>2024-04-04</t>
  </si>
  <si>
    <t>gabbyhill422@gmail.com</t>
  </si>
  <si>
    <t>cindy.krull@arnorah.com</t>
  </si>
  <si>
    <t>2024-03-22</t>
  </si>
  <si>
    <t>bryanrohe1@noemail.com</t>
  </si>
  <si>
    <t>2024-03-21</t>
  </si>
  <si>
    <t>cindy.krull@armorah.com</t>
  </si>
  <si>
    <t>mi4asoi5we@m.expediapartnercentral.com</t>
  </si>
  <si>
    <t>sheetskylie@yahoo.com</t>
  </si>
  <si>
    <t>2024-04-03</t>
  </si>
  <si>
    <t>jgfrance90@gmail.com</t>
  </si>
  <si>
    <t>csaboe11@hotmail.com</t>
  </si>
  <si>
    <t>shelly.quast@yahoo.com</t>
  </si>
  <si>
    <t>terstad09@yahoo.com</t>
  </si>
  <si>
    <t>timothyriley1@noemail.com</t>
  </si>
  <si>
    <t>danifoss07@gmail.com</t>
  </si>
  <si>
    <t>2024-03-15</t>
  </si>
  <si>
    <t>kassidi13@yahoo.com</t>
  </si>
  <si>
    <t>obsteffen@gwtc.net</t>
  </si>
  <si>
    <t>2024-06-29</t>
  </si>
  <si>
    <t>rokusek07@yahoo.com</t>
  </si>
  <si>
    <t>2024-03-23</t>
  </si>
  <si>
    <t>xf3qbiwih6@m.expediapartnercentral.com</t>
  </si>
  <si>
    <t>tilly@newulmtel.net</t>
  </si>
  <si>
    <t>2024-05-26</t>
  </si>
  <si>
    <t>hkknbd8xss@m.expediapartnercentral.com</t>
  </si>
  <si>
    <t>heidiwms@hotmail.com</t>
  </si>
  <si>
    <t>sarahbebnarek1@noemail.com</t>
  </si>
  <si>
    <t>christianhudec1@noemail.com</t>
  </si>
  <si>
    <t>jai7cvnyq2@m.expediapartnercentral.com</t>
  </si>
  <si>
    <t>hollandlad@gmail.com</t>
  </si>
  <si>
    <t>twilightdawn@live.com</t>
  </si>
  <si>
    <t>2024-04-15</t>
  </si>
  <si>
    <t>ashleyzemk@hotmail.com</t>
  </si>
  <si>
    <t>levipoppe1@noemail.com</t>
  </si>
  <si>
    <t>mkeating@newhomestar.com</t>
  </si>
  <si>
    <t>solobern32@gmail.com</t>
  </si>
  <si>
    <t>tabbas.987943@guest.booking.com</t>
  </si>
  <si>
    <t>2024-06-17</t>
  </si>
  <si>
    <t>lilerinbc3@yahoo.com</t>
  </si>
  <si>
    <t>BGETTINGER24@GMAIL.COM</t>
  </si>
  <si>
    <t>kxca9u11u6@m.expediapartnercentral.com</t>
  </si>
  <si>
    <t>2024-04-02</t>
  </si>
  <si>
    <t>ameyer.790603@guest.booking.com</t>
  </si>
  <si>
    <t>sandy.brandvold@gmail.com</t>
  </si>
  <si>
    <t>jgbhygrna6@m.expediapartnercentral.com</t>
  </si>
  <si>
    <t>2024-03-29</t>
  </si>
  <si>
    <t>tanaclarks1@noemail.com</t>
  </si>
  <si>
    <t>a.lenz@wholesalebatteries.net</t>
  </si>
  <si>
    <t>jbrock715@gmail.com</t>
  </si>
  <si>
    <t>axt1lbk0s2@m.expediapartnercentral.com</t>
  </si>
  <si>
    <t>6d54f60dx8@m.expediapartnercentral.com</t>
  </si>
  <si>
    <t>2024-03-13</t>
  </si>
  <si>
    <t>whodinkus99@outlook.com</t>
  </si>
  <si>
    <t>ianwright1@noemail.com</t>
  </si>
  <si>
    <t>kent@mge.coop</t>
  </si>
  <si>
    <t>jbqsie5ty4@m.expediapartnercentral.com</t>
  </si>
  <si>
    <t>traivsmagedanv1@noemail.com</t>
  </si>
  <si>
    <t>prine72@msn.com</t>
  </si>
  <si>
    <t>great8@live.com</t>
  </si>
  <si>
    <t>jdmuns35@gmail.com</t>
  </si>
  <si>
    <t>poshforte2013@gmail.com</t>
  </si>
  <si>
    <t>o0rd0yv9cv@m.expediapartnercentral.com</t>
  </si>
  <si>
    <t>lkjjjj7@yahoo.com</t>
  </si>
  <si>
    <t>bwestrealtylv@gmail.com</t>
  </si>
  <si>
    <t>lmastin@easy-automation.com</t>
  </si>
  <si>
    <t>joylnn.foster@gmail.com</t>
  </si>
  <si>
    <t>2024-08-10</t>
  </si>
  <si>
    <t>lkt5853@yahoo.com</t>
  </si>
  <si>
    <t>n9law0pm8u@m.expediapartnercentral.com</t>
  </si>
  <si>
    <t>williamstangl1@noemail.com</t>
  </si>
  <si>
    <t>5p901oq23j@m.expediapartnercentral.com</t>
  </si>
  <si>
    <t>uy5jl3w5de@m.expediapartnercentral.com</t>
  </si>
  <si>
    <t>2024-04-28</t>
  </si>
  <si>
    <t>abaske.534005@guest.booking.com</t>
  </si>
  <si>
    <t>5omup1f7hp@m.expediapartnercentral.com</t>
  </si>
  <si>
    <t>2u8m88bbue@m.expediapartnercentral.com</t>
  </si>
  <si>
    <t>sarah.gatica@yahoo.com</t>
  </si>
  <si>
    <t>shaffnerpam@gmail.com</t>
  </si>
  <si>
    <t>nbrehm.101500@guest.booking.com</t>
  </si>
  <si>
    <t>cassy7anndra0508@hotmail.com</t>
  </si>
  <si>
    <t>rick.sorensen@gmail.com</t>
  </si>
  <si>
    <t>allisonmcmartin@gmail.com</t>
  </si>
  <si>
    <t>anahiperezlopez1@noemail.com</t>
  </si>
  <si>
    <t>mmmsd97@gmail.com</t>
  </si>
  <si>
    <t>brettanderson123@outlook.com</t>
  </si>
  <si>
    <t>kennethengel1@noemail.com</t>
  </si>
  <si>
    <t>chrisneld_33@hotmail.com</t>
  </si>
  <si>
    <t>criehle5928@gmail.com</t>
  </si>
  <si>
    <t>lhillman@fredtel.net</t>
  </si>
  <si>
    <t>jordan.gormbey@gmail.com</t>
  </si>
  <si>
    <t>douglasjthroener1@noemail.com</t>
  </si>
  <si>
    <t>e.feldewerth@gmail.com</t>
  </si>
  <si>
    <t>2024-03-14</t>
  </si>
  <si>
    <t>sfisher4@san.rr.com</t>
  </si>
  <si>
    <t>bobwiggs2@gmail.com</t>
  </si>
  <si>
    <t>2024-04-22</t>
  </si>
  <si>
    <t>kevincozac1@noemail.com</t>
  </si>
  <si>
    <t>ratherbeonaboat@gmail.com</t>
  </si>
  <si>
    <t>michaelmacintosh1@noemail.com</t>
  </si>
  <si>
    <t>se1v3t7j91@m.expediapartnercentral.com</t>
  </si>
  <si>
    <t>chad@heckseeds.com</t>
  </si>
  <si>
    <t>rogergoodwin1@noemail.com</t>
  </si>
  <si>
    <t>dahc021@yahoo.com</t>
  </si>
  <si>
    <t>mindyharmelink@gmail.com</t>
  </si>
  <si>
    <t>glendaroepke1@gmail.com</t>
  </si>
  <si>
    <t>noahmaska@gmail.com</t>
  </si>
  <si>
    <t>abby.jorgensen148@gmail.com</t>
  </si>
  <si>
    <t>oscker1@gmail.com</t>
  </si>
  <si>
    <t>dlmrzfs63@gmail.com</t>
  </si>
  <si>
    <t>joelueck1@noemail.com</t>
  </si>
  <si>
    <t>yjhm9mttas@m.expediapartnercentral.com</t>
  </si>
  <si>
    <t>2024-03-19</t>
  </si>
  <si>
    <t>alex12kleitz@gmail.com</t>
  </si>
  <si>
    <t>akreiman@midrivers.com</t>
  </si>
  <si>
    <t>bob@menzelassociates.com</t>
  </si>
  <si>
    <t>jazrohde@gmail.com</t>
  </si>
  <si>
    <t>drkirkbrown@gmail.com</t>
  </si>
  <si>
    <t>shall.161144@guest.booking.com</t>
  </si>
  <si>
    <t>kimberlysanchez1@noemail.com</t>
  </si>
  <si>
    <t>magrigg@hotmail.com</t>
  </si>
  <si>
    <t>jclouse@impactgroup.us</t>
  </si>
  <si>
    <t>phillipchristian1@noemail.com</t>
  </si>
  <si>
    <t>conniehohn1@noemail.com</t>
  </si>
  <si>
    <t>alyssasauvageau1@noemail.com</t>
  </si>
  <si>
    <t>g9divt01ik@m.expediapartnercentral.com</t>
  </si>
  <si>
    <t>jkayb@wctatel.net</t>
  </si>
  <si>
    <t>dstabe03@gmail.com</t>
  </si>
  <si>
    <t>ddiggs.869976@guest.booking.com</t>
  </si>
  <si>
    <t>maviswalton1@noemail.com</t>
  </si>
  <si>
    <t>daledorrell1@noemail.com</t>
  </si>
  <si>
    <t>ianjacobsen1@noemail.com</t>
  </si>
  <si>
    <t>krinrykhus1@noemail.com</t>
  </si>
  <si>
    <t>twilli.634699@guest.booking.com</t>
  </si>
  <si>
    <t>jamesmorales1@noemail.com</t>
  </si>
  <si>
    <t>courtneylarson1@noemail.com</t>
  </si>
  <si>
    <t>breemiller010107@gmail.com</t>
  </si>
  <si>
    <t>7vsul8ho02@m.expediapartnercentral.com</t>
  </si>
  <si>
    <t>jjptjt14q5@m.expediapartnercentral.com</t>
  </si>
  <si>
    <t>chadpatch83@gmail.com</t>
  </si>
  <si>
    <t>2024-04-20</t>
  </si>
  <si>
    <t>Maoneil@westriv.com</t>
  </si>
  <si>
    <t>mirabelljones@hotmail.com</t>
  </si>
  <si>
    <t>du3vi319j4@m.expediapartnercentral.com</t>
  </si>
  <si>
    <t>jeffhoyum@gmail.com</t>
  </si>
  <si>
    <t>chrislarson.84@gmail.com</t>
  </si>
  <si>
    <t>2024-03-20</t>
  </si>
  <si>
    <t>butchweber@hotmail.com</t>
  </si>
  <si>
    <t>roberthaden1@noemail.com</t>
  </si>
  <si>
    <t>2024-03-18</t>
  </si>
  <si>
    <t>mmmccranie@gmail.com</t>
  </si>
  <si>
    <t>idqyxlevt4@m.expediapartnercentral.com</t>
  </si>
  <si>
    <t>dolphincdl@yahoo.com</t>
  </si>
  <si>
    <t>angelopoaletti1@noemail.com</t>
  </si>
  <si>
    <t>knml@comcast.net</t>
  </si>
  <si>
    <t>joshuabaumert1@noemail.com</t>
  </si>
  <si>
    <t>timdrong@gmail.com</t>
  </si>
  <si>
    <t>btkelderman@alliancecom.net</t>
  </si>
  <si>
    <t>janer@hartel.net</t>
  </si>
  <si>
    <t>shannonparrish1@noemail.com</t>
  </si>
  <si>
    <t>joshmccormick4@gmail.com</t>
  </si>
  <si>
    <t>mkinsley@iearad.com</t>
  </si>
  <si>
    <t>aronwollman1@noemail.com</t>
  </si>
  <si>
    <t>josephmitchell1@noemail.com</t>
  </si>
  <si>
    <t>23jam88@gmail.com</t>
  </si>
  <si>
    <t>etmuellenbach@gmail.com</t>
  </si>
  <si>
    <t>qn92yyivnv@m.expediapartnercentral.com</t>
  </si>
  <si>
    <t>evan.hansen@qlf.com</t>
  </si>
  <si>
    <t>tmickelson@jeskehardware.com</t>
  </si>
  <si>
    <t>2024-03-25</t>
  </si>
  <si>
    <t>troyhofer1@noemail.com</t>
  </si>
  <si>
    <t>shawnshelley1@noemail.com</t>
  </si>
  <si>
    <t>l8kgj4ejft@m.expediapartnercentral.com</t>
  </si>
  <si>
    <t>dlp@gwtc.net</t>
  </si>
  <si>
    <t>dane.larson88@gmail.com</t>
  </si>
  <si>
    <t>toniakvale1@noemail.com</t>
  </si>
  <si>
    <t>sanow@alliancecom.net</t>
  </si>
  <si>
    <t>hvtr14mks2@m.expediapartnercentral.com</t>
  </si>
  <si>
    <t>dlmarshall92146@gmail.com</t>
  </si>
  <si>
    <t>christybereghorst1@noemail.com</t>
  </si>
  <si>
    <t>jae.r.smith@gmail.com</t>
  </si>
  <si>
    <t>2024-07-10</t>
  </si>
  <si>
    <t>jameswhitcomb1@noemail.com</t>
  </si>
  <si>
    <t>hilhaven1@aol.com</t>
  </si>
  <si>
    <t>jarednevela1@noemail.com</t>
  </si>
  <si>
    <t>moriah_pellerin@hotmail.com</t>
  </si>
  <si>
    <t>liosdanirojas1@noemail.com</t>
  </si>
  <si>
    <t>mo9j2jxg0h@m.expediapartnercentral.com</t>
  </si>
  <si>
    <t>2024-04-30</t>
  </si>
  <si>
    <t>psjohn@chartermi.net</t>
  </si>
  <si>
    <t>tana.clark@k12.sd.us</t>
  </si>
  <si>
    <t>scott.crossfield7@gmail.com</t>
  </si>
  <si>
    <t>jennifer.doolittle@slumberland.com</t>
  </si>
  <si>
    <t>2024-03-27</t>
  </si>
  <si>
    <t>sjb10104@yahoo.com</t>
  </si>
  <si>
    <t>tinadraayer1@noemail.com</t>
  </si>
  <si>
    <t>cbrink25@gmail.com</t>
  </si>
  <si>
    <t>prago2@yahoo.com</t>
  </si>
  <si>
    <t>2024-03-28</t>
  </si>
  <si>
    <t>hajahill@adams.net</t>
  </si>
  <si>
    <t>a08touruhu@m.expediapartnercentral.com</t>
  </si>
  <si>
    <t>ylcd55ewp5@m.expediapartnercentral.com</t>
  </si>
  <si>
    <t>brendaellisreedy1966@gmail.com</t>
  </si>
  <si>
    <t>57xeyn1cjr@m.expediapartnercentral.com</t>
  </si>
  <si>
    <t>sarahfoss1@noemail.com</t>
  </si>
  <si>
    <t>ox62ybnfio@m.expediapartnercentral.com</t>
  </si>
  <si>
    <t>v0y5gfnfoh@m.expediapartnercentral.com</t>
  </si>
  <si>
    <t>josephschwartz1@noemail.com</t>
  </si>
  <si>
    <t>2024-12-08</t>
  </si>
  <si>
    <t>donaldhughes1@noemail.com</t>
  </si>
  <si>
    <t>ihq6tmdw0o@m.expediapartnercentral.com</t>
  </si>
  <si>
    <t>tdubberedubber@gmail.com</t>
  </si>
  <si>
    <t>a3p1rg14d6@m.expediapartnercentral.com</t>
  </si>
  <si>
    <t>mkoch.905785@guest.booking.com</t>
  </si>
  <si>
    <t>mredpath@fpcc.edu</t>
  </si>
  <si>
    <t>i7crh79tc5@m.expediapartnercentral.com</t>
  </si>
  <si>
    <t>csergeant@pheasantsforever.org</t>
  </si>
  <si>
    <t>rebecca.botten@wellerbrothers.com</t>
  </si>
  <si>
    <t>2024-03-26</t>
  </si>
  <si>
    <t>branine95@gmail.com</t>
  </si>
  <si>
    <t>chrisashburntkg@hotmail.com</t>
  </si>
  <si>
    <t>felipecortes1@noemail.com</t>
  </si>
  <si>
    <t>hchris.170426@guest.booking.com</t>
  </si>
  <si>
    <t>kdried.420245@guest.booking.com</t>
  </si>
  <si>
    <t>carmhenn@yahoo.com</t>
  </si>
  <si>
    <t>nathanwright9619@yahoo.com</t>
  </si>
  <si>
    <t>austindavidjameseyge1@noemail.com</t>
  </si>
  <si>
    <t>vyacheslavvrublevski1@noemail.com</t>
  </si>
  <si>
    <t>stchboyer@aol.com</t>
  </si>
  <si>
    <t>2024-06-12</t>
  </si>
  <si>
    <t>marksanow@gmail.com</t>
  </si>
  <si>
    <t>brandonscherman1@noemail.com</t>
  </si>
  <si>
    <t>amcelmury@yahoo.com</t>
  </si>
  <si>
    <t>heidi_schmit@hotmail.com</t>
  </si>
  <si>
    <t>nicholasleighton1@noemail.com</t>
  </si>
  <si>
    <t>fe0tt0u7xp@m.expediapartnercentral.com</t>
  </si>
  <si>
    <t>475d3o7gqh@m.expediapartnercentral.com</t>
  </si>
  <si>
    <t>b8kf6w2rhp@m.expediapartnercentral.com</t>
  </si>
  <si>
    <t>irvingurbatsch1@noemail.com</t>
  </si>
  <si>
    <t>olivia.baer30@gmail.com</t>
  </si>
  <si>
    <t>foxrob03@gmail.com</t>
  </si>
  <si>
    <t>malysjennings@gmail.com</t>
  </si>
  <si>
    <t>johnstonteresa0@gmail.com</t>
  </si>
  <si>
    <t>vmckin@iowatelecom.net</t>
  </si>
  <si>
    <t>2024-05-24</t>
  </si>
  <si>
    <t>le6ipcn3x2@m.expediapartnercentral.com</t>
  </si>
  <si>
    <t>phall.363086@guest.booking.com</t>
  </si>
  <si>
    <t>kellysmith1@noemail.com</t>
  </si>
  <si>
    <t>patriciahaugen1@noemail.com</t>
  </si>
  <si>
    <t>vedwardson16@gmail.com</t>
  </si>
  <si>
    <t>t.skjeie@hotmail.com</t>
  </si>
  <si>
    <t>y0c3qybc8p@m.expediapartnercentral.com</t>
  </si>
  <si>
    <t>e7wmmckehf@m.expediapartnercentral.com</t>
  </si>
  <si>
    <t>2024-05-02</t>
  </si>
  <si>
    <t>hu1qgdbyq5@m.expediapartnercentral.com</t>
  </si>
  <si>
    <t>dibsonthefireman@gmail.com</t>
  </si>
  <si>
    <t>mkoch.428714@guest.booking.com</t>
  </si>
  <si>
    <t>connie.aymar@mdrws.com</t>
  </si>
  <si>
    <t>bergenabram1@noemail.com</t>
  </si>
  <si>
    <t>shersch@wheaton.k12.mn.us</t>
  </si>
  <si>
    <t>davechambers1@noemail.com</t>
  </si>
  <si>
    <t>michaelwagner1@noemail.com</t>
  </si>
  <si>
    <t>sbrown.828710@guest.booking.com</t>
  </si>
  <si>
    <t>2024-05-27</t>
  </si>
  <si>
    <t>joshfischer1@noemail.com</t>
  </si>
  <si>
    <t>joe_chandler1987@yahoo.com</t>
  </si>
  <si>
    <t>2024-06-21</t>
  </si>
  <si>
    <t>philipsmithers1@noemail.com</t>
  </si>
  <si>
    <t>kellydoeden1@noemail.com</t>
  </si>
  <si>
    <t>2114mmknyi@m.expediapartnercentral.com</t>
  </si>
  <si>
    <t>2024-04-01</t>
  </si>
  <si>
    <t>tkirnmrxyg@m.expediapartnercentral.com</t>
  </si>
  <si>
    <t>2024-04-10</t>
  </si>
  <si>
    <t>dolginter@hotmail.com</t>
  </si>
  <si>
    <t>elube18@icloud.com</t>
  </si>
  <si>
    <t>paullarsen1@noemail.com</t>
  </si>
  <si>
    <t>aaronmattson1@noemail.com</t>
  </si>
  <si>
    <t>darcie@thorntoncarpets.com</t>
  </si>
  <si>
    <t>2024-04-05</t>
  </si>
  <si>
    <t>matthewpersinger1@noemail.com</t>
  </si>
  <si>
    <t>joe.gubbels@ricecompanies.com</t>
  </si>
  <si>
    <t>2024-04-09</t>
  </si>
  <si>
    <t>a0f38as9qd@m.expediapartnercentral.com</t>
  </si>
  <si>
    <t>jill.tieter.allen@gmail.com</t>
  </si>
  <si>
    <t>svetos@gerkin.com</t>
  </si>
  <si>
    <t>melissajohnson1097@gmail.com</t>
  </si>
  <si>
    <t>connodoherty1@noemail.com</t>
  </si>
  <si>
    <t>tstar7400@yahoo.com</t>
  </si>
  <si>
    <t>dennisroberts1@noemail.com</t>
  </si>
  <si>
    <t>brock.pashen@k12.sd.us</t>
  </si>
  <si>
    <t>svenericson1@noemail.com</t>
  </si>
  <si>
    <t>roberta.hindberg@gmail.com</t>
  </si>
  <si>
    <t>baknutson@nd.gov</t>
  </si>
  <si>
    <t>xwdpu9y5r9@m.expediapartnercentral.com</t>
  </si>
  <si>
    <t>mike@precisionmillwrightspecialsts.com</t>
  </si>
  <si>
    <t>gjhcd6y4ph@m.expediapartnercentral.com</t>
  </si>
  <si>
    <t>thanes.678641@guest.booking.com</t>
  </si>
  <si>
    <t>e45r85snxl@m.expediapartnercentral.com</t>
  </si>
  <si>
    <t>eremac@nvc.net</t>
  </si>
  <si>
    <t>phyr5timgh@m.expediapartnercentral.com</t>
  </si>
  <si>
    <t>todd.selvik@gmail.com</t>
  </si>
  <si>
    <t>dseema.602675@guest.booking.com</t>
  </si>
  <si>
    <t>timmorgan4@yahoo.com</t>
  </si>
  <si>
    <t>ch5jn30eag@m.expediapartnercentral.com</t>
  </si>
  <si>
    <t>jaywelk@grossenburg.com</t>
  </si>
  <si>
    <t>sheryllgeyer@gmail.com</t>
  </si>
  <si>
    <t>jaciwolfe@icloud.com</t>
  </si>
  <si>
    <t>emsholing@gmail.com</t>
  </si>
  <si>
    <t>kywuf48a3c@m.expediapartnercentral.com</t>
  </si>
  <si>
    <t>stevenhofer1@noemail.com</t>
  </si>
  <si>
    <t>tobysharp1@noemail.com</t>
  </si>
  <si>
    <t>albrechtisu@msn.com</t>
  </si>
  <si>
    <t>miniwuu@gmail.com</t>
  </si>
  <si>
    <t>s2lm47togt@m.expediapartnercentral.com</t>
  </si>
  <si>
    <t>bd6h7d72yb@m.expediapartnercentral.com</t>
  </si>
  <si>
    <t>jmathi.126050@guest.booking.com</t>
  </si>
  <si>
    <t>akkapser@techtonicarts.com</t>
  </si>
  <si>
    <t>ember.dale@avera.org</t>
  </si>
  <si>
    <t>brianbarthel1@noemail.com</t>
  </si>
  <si>
    <t>qi6pikv4ys@m.expediapartnercentral.com</t>
  </si>
  <si>
    <t>k.kneifl@hotmail.com</t>
  </si>
  <si>
    <t>dmachflqb4@m.expediapartnercentral.com</t>
  </si>
  <si>
    <t>mrmrscoats1@noemail.com</t>
  </si>
  <si>
    <t>2024-07-08</t>
  </si>
  <si>
    <t>glennsfrazier@gmail.com</t>
  </si>
  <si>
    <t>2024-04-12</t>
  </si>
  <si>
    <t>r5q8c9rghl@m.expediapartnercentral.com</t>
  </si>
  <si>
    <t>brady.rothschadl@state.sd.us</t>
  </si>
  <si>
    <t>1fkrwq3bya@m.expediapartnercentral.com</t>
  </si>
  <si>
    <t>sydneeclemens@gmail.com</t>
  </si>
  <si>
    <t>2024-08-19</t>
  </si>
  <si>
    <t>melwellnitz@icloud.com</t>
  </si>
  <si>
    <t>aa1ojevdgq@m.expediapartnercentral.com</t>
  </si>
  <si>
    <t>j323ddbxn4@m.expediapartnercentral.com</t>
  </si>
  <si>
    <t>bradford.tschetter@gmail.com</t>
  </si>
  <si>
    <t>elainetufte1@noemail.com</t>
  </si>
  <si>
    <t>drosso.724528@guest.booking.com</t>
  </si>
  <si>
    <t>johngliko9658@gmail.com</t>
  </si>
  <si>
    <t>swb3e6ytyj@m.expediapartnercentral.com</t>
  </si>
  <si>
    <t>2024-04-25</t>
  </si>
  <si>
    <t>taptout2000@gmail.com</t>
  </si>
  <si>
    <t>jheath2324@gmail.com</t>
  </si>
  <si>
    <t>2024-06-02</t>
  </si>
  <si>
    <t>kevinshotaoski1@noemail.com</t>
  </si>
  <si>
    <t>jerrytalsma1@noemail.com</t>
  </si>
  <si>
    <t>nerick9090@yahoo.com</t>
  </si>
  <si>
    <t>4ckg8tgaiu@m.expediapartnercentral.com</t>
  </si>
  <si>
    <t>7yvebq1fni@m.expediapartnercentral.com</t>
  </si>
  <si>
    <t>5af65irqyt@m.expediapartnercentral.com</t>
  </si>
  <si>
    <t>nancyandersonsmith@yahoo.com</t>
  </si>
  <si>
    <t>oubohitjl4@m.expediapartnercentral.com</t>
  </si>
  <si>
    <t>bennyjurkhart@hotmail.com</t>
  </si>
  <si>
    <t>chriscarolson1@noemail.com</t>
  </si>
  <si>
    <t>ericharrison1@noemail.com</t>
  </si>
  <si>
    <t>bjmcp1983@gmail.com</t>
  </si>
  <si>
    <t>r.bjerke@mediacombb.net</t>
  </si>
  <si>
    <t>chayseanderson1@noemail.com</t>
  </si>
  <si>
    <t>bobk17@ymail.com</t>
  </si>
  <si>
    <t>matthewgrover1@noemail.com</t>
  </si>
  <si>
    <t>gkcaraway44@gmail.com</t>
  </si>
  <si>
    <t>1x7m4mnvp1@m.expediapartnercentral.com</t>
  </si>
  <si>
    <t>fahimfahimpor1@noemail.com</t>
  </si>
  <si>
    <t>pattisywon@aol.com</t>
  </si>
  <si>
    <t>2024-04-26</t>
  </si>
  <si>
    <t>ce9hkqcuxi@m.expediapartnercentral.com</t>
  </si>
  <si>
    <t>shelly.tracey11@gmail.com</t>
  </si>
  <si>
    <t>m89ovpv0r8@m.expediapartnercentral.com</t>
  </si>
  <si>
    <t>brotasmith1@noemail.com</t>
  </si>
  <si>
    <t>tsleitheiser@gmail.com</t>
  </si>
  <si>
    <t>by7ejpblyn@m.expediapartnercentral.com</t>
  </si>
  <si>
    <t>w20ba306of@m.expediapartnercentral.com</t>
  </si>
  <si>
    <t>ldejong75@gmail.com</t>
  </si>
  <si>
    <t>2024-08-31</t>
  </si>
  <si>
    <t>rtb4sxtx48@m.expediapartnercentral.com</t>
  </si>
  <si>
    <t>stiyk6e2im@m.expediapartnercentral.com</t>
  </si>
  <si>
    <t>swallace427@aol.com</t>
  </si>
  <si>
    <t>leitheir@icloud.com</t>
  </si>
  <si>
    <t>jdmich13@gmail.com</t>
  </si>
  <si>
    <t>karizafft1@noemail.com</t>
  </si>
  <si>
    <t>juanitaefugaban@gmail.com</t>
  </si>
  <si>
    <t>aarongrn@hotmail.com</t>
  </si>
  <si>
    <t>2024-09-01</t>
  </si>
  <si>
    <t>mike@ecomsalesandmarketing.com</t>
  </si>
  <si>
    <t>lenoreschlichting1@noemail.com</t>
  </si>
  <si>
    <t>fmonta.178593@guest.booking.com</t>
  </si>
  <si>
    <t>vcasiano@iearad.com</t>
  </si>
  <si>
    <t>taylorholm2@gmail.com</t>
  </si>
  <si>
    <t>zahn.amy0714@gmail.com</t>
  </si>
  <si>
    <t>billyjoemoore1@noemail.com</t>
  </si>
  <si>
    <t>fl01x94d9c@m.expediapartnercentral.com</t>
  </si>
  <si>
    <t>domingodelapazcalvil1@noemail.com</t>
  </si>
  <si>
    <t>nicolelabenne@gmail.com</t>
  </si>
  <si>
    <t>sziegl.437226@guest.booking.com</t>
  </si>
  <si>
    <t>2024-04-19</t>
  </si>
  <si>
    <t>tim.lisatungett@outlook.com</t>
  </si>
  <si>
    <t>86beasley@gmail.com</t>
  </si>
  <si>
    <t>mariah.solma@gmail.com</t>
  </si>
  <si>
    <t>pw2sej3128@m.expediapartnercentral.com</t>
  </si>
  <si>
    <t>2024-05-09</t>
  </si>
  <si>
    <t>lhillerud@structuresinc-gf.com</t>
  </si>
  <si>
    <t>tessacurry1@hotmail.com</t>
  </si>
  <si>
    <t>stevenjohnson1@noemail.com</t>
  </si>
  <si>
    <t>ykb9c5hx5b@m.expediapartnercentral.com</t>
  </si>
  <si>
    <t>2024-07-15</t>
  </si>
  <si>
    <t>3qlqcfn4m0@m.expediapartnercentral.com</t>
  </si>
  <si>
    <t>lramos.921477@guest.booking.com</t>
  </si>
  <si>
    <t>cwinth.712864@guest.booking.com</t>
  </si>
  <si>
    <t>robertjackson1@noemail.com</t>
  </si>
  <si>
    <t>danielrathe1@noemail.com</t>
  </si>
  <si>
    <t>raymond.petersen@merck.com</t>
  </si>
  <si>
    <t>mu4swrqii7@m.expediapartnercentral.com</t>
  </si>
  <si>
    <t>natycorneja@hotmail.com</t>
  </si>
  <si>
    <t>clintonsmith1@noemail.com</t>
  </si>
  <si>
    <t>i4u8ln4j35@m.expediapartnercentral.com</t>
  </si>
  <si>
    <t>2024-04-16</t>
  </si>
  <si>
    <t>9fx8fr5uv7@m.expediapartnercentral.com</t>
  </si>
  <si>
    <t>tylergeers1@noemail.com</t>
  </si>
  <si>
    <t>andrea@itctel.com</t>
  </si>
  <si>
    <t>matt@aspentruck.com</t>
  </si>
  <si>
    <t>douglasstefanich1@noemail.com</t>
  </si>
  <si>
    <t>loganwilleck1@noemail.com</t>
  </si>
  <si>
    <t>2024-04-18</t>
  </si>
  <si>
    <t>samvoight1@noemail.com</t>
  </si>
  <si>
    <t>thewalstonskc@gmail.com</t>
  </si>
  <si>
    <t>2024-05-18</t>
  </si>
  <si>
    <t>kelli.castro21@gmail.com</t>
  </si>
  <si>
    <t>sandraholsteinjons1@noemail.com</t>
  </si>
  <si>
    <t>mevans5678@yahoo.com</t>
  </si>
  <si>
    <t>markbrekke1@noemail.com</t>
  </si>
  <si>
    <t>ethanweston1@noemail.com</t>
  </si>
  <si>
    <t>mindybrandt@dhlaw.co</t>
  </si>
  <si>
    <t>2024-07-13</t>
  </si>
  <si>
    <t>92d72b227u@m.expediapartnercentral.com</t>
  </si>
  <si>
    <t>zach.holma@outlook.com</t>
  </si>
  <si>
    <t>2024-05-25</t>
  </si>
  <si>
    <t>evelynramirez1@noemail.com</t>
  </si>
  <si>
    <t>ah4hao9wb1@m.expediapartnercentral.com</t>
  </si>
  <si>
    <t>burhart916@gmail.com</t>
  </si>
  <si>
    <t>brietv.976015@guest.booking.com</t>
  </si>
  <si>
    <t>ultimatebritishlabs@gmail.com</t>
  </si>
  <si>
    <t>melindabornterger1@noemail.com</t>
  </si>
  <si>
    <t>98idmom280@m.expediapartnercentral.com</t>
  </si>
  <si>
    <t>deberafinzen1@noemail.com</t>
  </si>
  <si>
    <t>scott@buchehardware.com</t>
  </si>
  <si>
    <t>2024-04-23</t>
  </si>
  <si>
    <t>3jheier@abe.midco.net</t>
  </si>
  <si>
    <t>janicerupert1@noemail.com</t>
  </si>
  <si>
    <t>becg2l9r7c@m.expediapartnercentral.com</t>
  </si>
  <si>
    <t>randylamer1@noemail.com</t>
  </si>
  <si>
    <t>jeremydeboer1@noemail.com</t>
  </si>
  <si>
    <t>maryallenmerges1@noemail.com</t>
  </si>
  <si>
    <t>shawna_duncan@hotmail.com</t>
  </si>
  <si>
    <t>sethkieffer1@noemail.com</t>
  </si>
  <si>
    <t>leemoir1@noemail.com</t>
  </si>
  <si>
    <t>dangtroske1@gmail.com</t>
  </si>
  <si>
    <t>clonefan1@msn.com</t>
  </si>
  <si>
    <t>kimberlygorter1@noemail.com</t>
  </si>
  <si>
    <t>s.huyser@hotmail.com</t>
  </si>
  <si>
    <t>riellesmom@gmail.com</t>
  </si>
  <si>
    <t>erikalagoon1@noemail.com</t>
  </si>
  <si>
    <t>roljoa@yahoo.com</t>
  </si>
  <si>
    <t>laloken@hotmail.com</t>
  </si>
  <si>
    <t>2024-07-07</t>
  </si>
  <si>
    <t>lrhinckley@gmail.com</t>
  </si>
  <si>
    <t>jpucc9mrbi@m.expediapartnercentral.com</t>
  </si>
  <si>
    <t>blpotts4@gmail.com</t>
  </si>
  <si>
    <t>2024-05-06</t>
  </si>
  <si>
    <t>terrymunson1@noemail.com</t>
  </si>
  <si>
    <t>briannakolb1@noemail.com</t>
  </si>
  <si>
    <t>2024-04-24</t>
  </si>
  <si>
    <t>sara.stensaaf1@gmail.com</t>
  </si>
  <si>
    <t>l6asrn84uk@m.expediapartnercentral.com</t>
  </si>
  <si>
    <t>claire.c.campion@gmail.com</t>
  </si>
  <si>
    <t>darylpetrozoca@yahoo.com</t>
  </si>
  <si>
    <t>joycebolin1@hotmail.com</t>
  </si>
  <si>
    <t>ziegstir@hotmail.com</t>
  </si>
  <si>
    <t>kljamison@hotmail.com</t>
  </si>
  <si>
    <t>tkoran.570368@guest.booking.com</t>
  </si>
  <si>
    <t>jimmiller1@noemail.com</t>
  </si>
  <si>
    <t>lubin.blay@pdqpos.com</t>
  </si>
  <si>
    <t>mary.buckman5032@gmail.com</t>
  </si>
  <si>
    <t>ben.simonson@odcvc.com</t>
  </si>
  <si>
    <t>lynnkeiser1@noemail.com</t>
  </si>
  <si>
    <t>darly864@gmail.com</t>
  </si>
  <si>
    <t>boztur.375814@guest.booking.com</t>
  </si>
  <si>
    <t>jtsons@valleytel.net</t>
  </si>
  <si>
    <t>jbolin.122185@guest.booking.com</t>
  </si>
  <si>
    <t>amecha.240614@guest.booking.com</t>
  </si>
  <si>
    <t>h.petersen@americafence.com</t>
  </si>
  <si>
    <t>6gr83lpoc7@m.expediapartnercentral.com</t>
  </si>
  <si>
    <t>2024-05-10</t>
  </si>
  <si>
    <t>friesttreeexperts@gmail.com</t>
  </si>
  <si>
    <t>phyllis@denningcompanies.com</t>
  </si>
  <si>
    <t>priscillanath17@gmail.com</t>
  </si>
  <si>
    <t>2024-04-29</t>
  </si>
  <si>
    <t>ajaheitkamp1@noemail.com</t>
  </si>
  <si>
    <t>jackie.slocum@state.sd.us</t>
  </si>
  <si>
    <t>2024-05-08</t>
  </si>
  <si>
    <t>klawyer@mcshi.com</t>
  </si>
  <si>
    <t>jon.johnson@cse-ne.com</t>
  </si>
  <si>
    <t>ncombs.810206@guest.booking.com</t>
  </si>
  <si>
    <t>brittany.rebekah@yahoo.com</t>
  </si>
  <si>
    <t>smarti.666181@guest.booking.com</t>
  </si>
  <si>
    <t>brandijo_hansen@hotmail.com</t>
  </si>
  <si>
    <t>jennyeichten@yahoo.com</t>
  </si>
  <si>
    <t>ilia.d.hu.teply@gmail.com</t>
  </si>
  <si>
    <t>erik@moderncraneservice.com</t>
  </si>
  <si>
    <t>melisssamhancke@hotmail.com</t>
  </si>
  <si>
    <t>dean122c@gmail.com</t>
  </si>
  <si>
    <t>janeconway1@noemail.com</t>
  </si>
  <si>
    <t>nancywelch1@noemail.com</t>
  </si>
  <si>
    <t>9qjgbn6u79@m.expediapartnercentral.com</t>
  </si>
  <si>
    <t>mehlhafmorgan@gmail.com</t>
  </si>
  <si>
    <t>kn7h902ufe@m.expediapartnercentral.com</t>
  </si>
  <si>
    <t>scottpennington1@noemail.com</t>
  </si>
  <si>
    <t>trentrus1@noemail.com</t>
  </si>
  <si>
    <t>gribst.652948@guest.booking.com</t>
  </si>
  <si>
    <t>cutlerpetersen1@noemail.com</t>
  </si>
  <si>
    <t>pzeig@hotmail.com</t>
  </si>
  <si>
    <t>lyn.ny2nd@gmail.com</t>
  </si>
  <si>
    <t>2024-06-13</t>
  </si>
  <si>
    <t>8kmhepiynx@m.expediapartnercentral.com</t>
  </si>
  <si>
    <t>stevelangel5454@icloud.com</t>
  </si>
  <si>
    <t>dnwqcebenk@m.expediapartnercentral.com</t>
  </si>
  <si>
    <t>hbrost93@gmail.com</t>
  </si>
  <si>
    <t>rhiannon.lunghi@gmail.com</t>
  </si>
  <si>
    <t>20e8dpuafq@m.expediapartnercentral.com</t>
  </si>
  <si>
    <t>keithoppold1@noemail.com</t>
  </si>
  <si>
    <t>clanderson@ymail.com</t>
  </si>
  <si>
    <t>2024-05-01</t>
  </si>
  <si>
    <t>jleitheiser@gmail.com</t>
  </si>
  <si>
    <t>rockyforman1@noemail.com</t>
  </si>
  <si>
    <t>3201bohlen@gmail.com</t>
  </si>
  <si>
    <t>raniegross@yahoo.com</t>
  </si>
  <si>
    <t>dennisphelps1@noemail.com</t>
  </si>
  <si>
    <t>davidscottstewart1@noemail.com</t>
  </si>
  <si>
    <t>os3sm3rosh@m.expediapartnercentral.com</t>
  </si>
  <si>
    <t>keven.morehart@k12.sd.us</t>
  </si>
  <si>
    <t>norman195658@yahoo.com</t>
  </si>
  <si>
    <t>tracy.laue@k12.sd.us</t>
  </si>
  <si>
    <t>2024-06-18</t>
  </si>
  <si>
    <t>nyu_knick@yahoo.com</t>
  </si>
  <si>
    <t>brookhanks12@gmail.com</t>
  </si>
  <si>
    <t>1ur0uo1gio@m.expediapartnercentral.com</t>
  </si>
  <si>
    <t>kspang.735674@guest.booking.com</t>
  </si>
  <si>
    <t>vernongollobit@yahoo.com</t>
  </si>
  <si>
    <t>samhahn19@gmail.com</t>
  </si>
  <si>
    <t>ramon-a-clemente@hotmail.com</t>
  </si>
  <si>
    <t>2024-07-06</t>
  </si>
  <si>
    <t>8nxpcnhasp@m.expediapartnercentral.com</t>
  </si>
  <si>
    <t>kojj49p0gy@m.expediapartnercentral.com</t>
  </si>
  <si>
    <t>roksunrise@gmail.com</t>
  </si>
  <si>
    <t>dlogan@iw.net</t>
  </si>
  <si>
    <t>8q8upayl84@m.expediapartnercentral.com</t>
  </si>
  <si>
    <t>marvinnakonechny1@noemail.com</t>
  </si>
  <si>
    <t>17x91iuryf@m.expediapartnercentral.com</t>
  </si>
  <si>
    <t>a7cpl9hgyw@m.expediapartnercentral.com</t>
  </si>
  <si>
    <t>djtex@cvdjs.com</t>
  </si>
  <si>
    <t>2024-05-14</t>
  </si>
  <si>
    <t>austgrace12@gmail.com</t>
  </si>
  <si>
    <t>yse5ap1ore@m.expediapartnercentral.com</t>
  </si>
  <si>
    <t>davidstewart1@noemail.com</t>
  </si>
  <si>
    <t>dfnwkhfdht@m.expediapartnercentral.com</t>
  </si>
  <si>
    <t>mkuper.556186@guest.booking.com</t>
  </si>
  <si>
    <t>94kwn5hgx4@m.expediapartnercentral.com</t>
  </si>
  <si>
    <t>2024-05-22</t>
  </si>
  <si>
    <t>stevekletschka@gmail.com</t>
  </si>
  <si>
    <t>yorektribe@yahoo.com</t>
  </si>
  <si>
    <t>kkholm@msn.com</t>
  </si>
  <si>
    <t>marzrsa@gmail.com</t>
  </si>
  <si>
    <t>bethm@ergoworksmn.com</t>
  </si>
  <si>
    <t>2024-05-21</t>
  </si>
  <si>
    <t>olsongirl3@yahoo.com</t>
  </si>
  <si>
    <t>bmruen@hotmail.com</t>
  </si>
  <si>
    <t>khodge.529036@guest.booking.com</t>
  </si>
  <si>
    <t>masonhanson1@noemail.com</t>
  </si>
  <si>
    <t>robertwillenburg1@noemail.com</t>
  </si>
  <si>
    <t>konrad@wat.midco.net</t>
  </si>
  <si>
    <t>kwalke.182287@guest.booking.com</t>
  </si>
  <si>
    <t>yuriivadiuk1@noemail.com</t>
  </si>
  <si>
    <t>irving10@yahoo.com</t>
  </si>
  <si>
    <t>millersofne4@gmail.com</t>
  </si>
  <si>
    <t>kschlichte@gmail.com</t>
  </si>
  <si>
    <t>epking@aol.com</t>
  </si>
  <si>
    <t>dlknut95@gmail.com</t>
  </si>
  <si>
    <t>ericchryst1@noemail.com</t>
  </si>
  <si>
    <t>2024-05-16</t>
  </si>
  <si>
    <t>leroynelson1@noemail.com</t>
  </si>
  <si>
    <t>aaronpaulson1@noemail.com</t>
  </si>
  <si>
    <t>becky.breece@state.sd.us</t>
  </si>
  <si>
    <t>qiw5586w32@m.expediapartnercentral.com</t>
  </si>
  <si>
    <t>mparrott0237@gmail.com</t>
  </si>
  <si>
    <t>bjerke.amanda5@gmail.com</t>
  </si>
  <si>
    <t>5ghdsxt8br@m.expediapartnercentral.com</t>
  </si>
  <si>
    <t>fin4269@hotmail.com</t>
  </si>
  <si>
    <t>b9oytla839@m.expediapartnercentral.com</t>
  </si>
  <si>
    <t>dkm4d1ti9k@m.expediapartnercentral.com</t>
  </si>
  <si>
    <t>s6b8r1j6io@m.expediapartnercentral.com</t>
  </si>
  <si>
    <t>wdoq6xcf4f@m.expediapartnercentral.com</t>
  </si>
  <si>
    <t>2024-05-15</t>
  </si>
  <si>
    <t>chaplainlt@hotmail.com</t>
  </si>
  <si>
    <t>2024-05-29</t>
  </si>
  <si>
    <t>darlenedahl@hotmail.com</t>
  </si>
  <si>
    <t>2024-06-19</t>
  </si>
  <si>
    <t>nbxp8k5ntr@m.expediapartnercentral.com</t>
  </si>
  <si>
    <t>2024-07-20</t>
  </si>
  <si>
    <t>c.i.snydle@gmail.com</t>
  </si>
  <si>
    <t>jadokken@chartermi.net</t>
  </si>
  <si>
    <t>saltsm01@gmail.com</t>
  </si>
  <si>
    <t>tntdek@gmail.com</t>
  </si>
  <si>
    <t>theklumpsare@yahoo.com</t>
  </si>
  <si>
    <t>ruhnkekael@gmail.com</t>
  </si>
  <si>
    <t>ericdailey1@noemail.com</t>
  </si>
  <si>
    <t>rodriguezwilson1@noemail.com</t>
  </si>
  <si>
    <t>njansaroradavid1@noemail.com</t>
  </si>
  <si>
    <t>sniksrodandcustom@gmail.com</t>
  </si>
  <si>
    <t>emilywilson86790@gmail.com</t>
  </si>
  <si>
    <t>dlmelaku24@yahoo.com</t>
  </si>
  <si>
    <t>wuic0blqy5@m.expediapartnercentral.com</t>
  </si>
  <si>
    <t>karimohs@hotmail.com</t>
  </si>
  <si>
    <t>jacobpannoh1@noemail.com</t>
  </si>
  <si>
    <t>elizabethravenscroft1@noemail.com</t>
  </si>
  <si>
    <t>fscharmota1951@gmail.com</t>
  </si>
  <si>
    <t>russellhohn1@noemail.com</t>
  </si>
  <si>
    <t>brayden.amelia08@gmail.com</t>
  </si>
  <si>
    <t>julianabelmont1@noemail.com</t>
  </si>
  <si>
    <t>joleenpederson1@noemail.com</t>
  </si>
  <si>
    <t>kim.eddy@usda.gov</t>
  </si>
  <si>
    <t>2024-05-17</t>
  </si>
  <si>
    <t>m8pfsv720v@m.expediapartnercentral.com</t>
  </si>
  <si>
    <t>volodymyrpushkarenko1@noemail.com</t>
  </si>
  <si>
    <t>spoo0mu1us@m.expediapartnercentral.com</t>
  </si>
  <si>
    <t>klambrecht67@icloud.com</t>
  </si>
  <si>
    <t>xsrcery006@m.expediapartnercentral.com</t>
  </si>
  <si>
    <t>cathy.ducheneaux@k12.sd.us</t>
  </si>
  <si>
    <t>wernstrom24mark@gmail.com</t>
  </si>
  <si>
    <t>kottonkrull1@noemail.com</t>
  </si>
  <si>
    <t>roycespeterson@gmail.com</t>
  </si>
  <si>
    <t>2024-06-28</t>
  </si>
  <si>
    <t>bgmdufy8m4@m.expediapartnercentral.com</t>
  </si>
  <si>
    <t>dylanrobertson5150@gmail.com</t>
  </si>
  <si>
    <t>jackshot85@gmail.com</t>
  </si>
  <si>
    <t>brentgerry1@noemail.com</t>
  </si>
  <si>
    <t>jamesgreenwood1@noemail.com</t>
  </si>
  <si>
    <t>gfg4ax7asc@m.expediapartnercentral.com</t>
  </si>
  <si>
    <t>ejaeger0913@gmail.com</t>
  </si>
  <si>
    <t>theoutlawoutpost@aol.com</t>
  </si>
  <si>
    <t>emily.woessner@k12.sd.us</t>
  </si>
  <si>
    <t>bigjay340@yahoo.com</t>
  </si>
  <si>
    <t>koesterii@yahoo.com</t>
  </si>
  <si>
    <t>jbarry0461@gmail.com</t>
  </si>
  <si>
    <t>2024-08-18</t>
  </si>
  <si>
    <t>blackhillsinstulation@gmail.com</t>
  </si>
  <si>
    <t>ghua.954888@guest.booking.com</t>
  </si>
  <si>
    <t>jwgeier@westernsugar.com</t>
  </si>
  <si>
    <t>james.stigler@dteenergy.com</t>
  </si>
  <si>
    <t>8w85eudnpq@m.expediapartnercentral.com</t>
  </si>
  <si>
    <t>allanprobst1@noemail.com</t>
  </si>
  <si>
    <t>2024-07-27</t>
  </si>
  <si>
    <t>jhwilliams485@gmail.com</t>
  </si>
  <si>
    <t>betsyhubert@rrcfalcons.org</t>
  </si>
  <si>
    <t>gilbertomaldonado1@noemail.com</t>
  </si>
  <si>
    <t>suzannarisse@americanhorse.us</t>
  </si>
  <si>
    <t>boland8@gmail.com</t>
  </si>
  <si>
    <t>katelosse@yahoo.com</t>
  </si>
  <si>
    <t>2024-06-14</t>
  </si>
  <si>
    <t>randykoefod@gmail.com</t>
  </si>
  <si>
    <t>kikihubert@yahoo.com</t>
  </si>
  <si>
    <t>haliespeiser@gmail.com</t>
  </si>
  <si>
    <t>zebthatcher1@noemail.com</t>
  </si>
  <si>
    <t>2024-05-23</t>
  </si>
  <si>
    <t>cdoud.661667@guest.booking.com</t>
  </si>
  <si>
    <t>michael@aleweltconcrete.com</t>
  </si>
  <si>
    <t>rewrlkam87@m.expediapartnercentral.com</t>
  </si>
  <si>
    <t>fredrickhignite1@noemail.com</t>
  </si>
  <si>
    <t>d4tr20c7pn@m.expediapartnercentral.com</t>
  </si>
  <si>
    <t>cindylien1@noemail.com</t>
  </si>
  <si>
    <t>2024-06-07</t>
  </si>
  <si>
    <t>kaylaschnellbach1@noemail.com</t>
  </si>
  <si>
    <t>idyd8dnv1q@m.expediapartnercentral.com</t>
  </si>
  <si>
    <t>drcbrowning@gmail.com</t>
  </si>
  <si>
    <t>ljsnyd@outlook.com</t>
  </si>
  <si>
    <t>cherylhammerstrom1@noemail.com</t>
  </si>
  <si>
    <t>drake.cary@wellerbrothers.com</t>
  </si>
  <si>
    <t>john.heinke@outlook.com</t>
  </si>
  <si>
    <t>9k6axepfqd@m.expediapartnercentral.com</t>
  </si>
  <si>
    <t>qgifi067sl@m.expediapartnercentral.com</t>
  </si>
  <si>
    <t>agimmj2ida@m.expediapartnercentral.com</t>
  </si>
  <si>
    <t>2024-07-09</t>
  </si>
  <si>
    <t>stephaniekunkel1@noemail.com</t>
  </si>
  <si>
    <t>noesanchezmurillo1@noemail.com</t>
  </si>
  <si>
    <t>rmailly77@gmail.com</t>
  </si>
  <si>
    <t>pyx2j6o6yd@m.expediapartnercentral.com</t>
  </si>
  <si>
    <t>hamfrawley@gmail.com</t>
  </si>
  <si>
    <t>m5k216i4td@m.expediapartnercentral.com</t>
  </si>
  <si>
    <t>earthbrown07@yahoo.com</t>
  </si>
  <si>
    <t>2024-06-06</t>
  </si>
  <si>
    <t>jimmyjames1@noemail.com</t>
  </si>
  <si>
    <t>chizobannamuchi1@noemail.com</t>
  </si>
  <si>
    <t>ssgretzinger@gmail.com</t>
  </si>
  <si>
    <t>i5k2g53yul@m.expediapartnercentral.com</t>
  </si>
  <si>
    <t>peterson.aaron34@gmail.com</t>
  </si>
  <si>
    <t>michealpryor1@noemail.com</t>
  </si>
  <si>
    <t>sharonmcdonald1@noemail.com</t>
  </si>
  <si>
    <t>lheida.490050@guest.booking.com</t>
  </si>
  <si>
    <t>shannonbileski1@noemail.com</t>
  </si>
  <si>
    <t>jimthun@hotmail.com</t>
  </si>
  <si>
    <t>moffatt19@gmail.com</t>
  </si>
  <si>
    <t>cnjlerum@gmail.com</t>
  </si>
  <si>
    <t>jamespeters1@noemail.com</t>
  </si>
  <si>
    <t>travisvandyke1@noemail.com</t>
  </si>
  <si>
    <t>teambachmann@hotmail.com</t>
  </si>
  <si>
    <t>a7ugrsmgxb@m.expediapartnercentral.com</t>
  </si>
  <si>
    <t>hullinger2016@gmail.com</t>
  </si>
  <si>
    <t>awr3evxbh8@m.expediapartnercentral.com</t>
  </si>
  <si>
    <t>willn@gartner-refrig.com</t>
  </si>
  <si>
    <t>jbomme.251708@guest.booking.com</t>
  </si>
  <si>
    <t>f7av4nmxbn@m.expediapartnercentral.com</t>
  </si>
  <si>
    <t>justinalexander1@noemail.com</t>
  </si>
  <si>
    <t>savannahdevalk@gmail.com</t>
  </si>
  <si>
    <t>jmrosheims@charter.net</t>
  </si>
  <si>
    <t>rchenoweth@amconconcreteproducts.com</t>
  </si>
  <si>
    <t>nicholasshepard1@noemail.com</t>
  </si>
  <si>
    <t>andrewlenz1@noemail.com</t>
  </si>
  <si>
    <t>bbuche.621570@guest.booking.com</t>
  </si>
  <si>
    <t>jaydelozier33@gmail.com</t>
  </si>
  <si>
    <t>egahoese@gmail.com</t>
  </si>
  <si>
    <t>dohear.759821@guest.booking.com</t>
  </si>
  <si>
    <t>2ad85a2mvs@m.expediapartnercentral.com</t>
  </si>
  <si>
    <t>morganturner1@noemail.com</t>
  </si>
  <si>
    <t>tinadraayer@yahoo.com</t>
  </si>
  <si>
    <t>pebbolie@hotmail.com</t>
  </si>
  <si>
    <t>2024-06-08</t>
  </si>
  <si>
    <t>chrisandpaige.cb@gmail.com</t>
  </si>
  <si>
    <t>kgnkam@gmail.com</t>
  </si>
  <si>
    <t>laramiegoodsell1@noemail.com</t>
  </si>
  <si>
    <t>jefffiegen1@noemail.com</t>
  </si>
  <si>
    <t>alisasadler1@noemail.com</t>
  </si>
  <si>
    <t>jenndiller@gmail.com</t>
  </si>
  <si>
    <t>brandthedquist1@noemail.com</t>
  </si>
  <si>
    <t>hqa83lc2oq@m.expediapartnercentral.com</t>
  </si>
  <si>
    <t>amy.stegmiller@gmail.com</t>
  </si>
  <si>
    <t>mytimm@hotmail.com</t>
  </si>
  <si>
    <t>tayiamontana1@noemail.com</t>
  </si>
  <si>
    <t>4iv2vpccxw@m.expediapartnercentral.com</t>
  </si>
  <si>
    <t>stephaniemyers1@noemail.com</t>
  </si>
  <si>
    <t>derekkeeling1@noemail.com</t>
  </si>
  <si>
    <t>kirbyreynolds1@noemail.com</t>
  </si>
  <si>
    <t>kimberlyannwalton1@noemail.com</t>
  </si>
  <si>
    <t>dkloeh.797367@guest.booking.com</t>
  </si>
  <si>
    <t>dalejuranek1@noemail.com</t>
  </si>
  <si>
    <t>bschol.917956@guest.booking.com</t>
  </si>
  <si>
    <t>kr.erickson88@gmail.com</t>
  </si>
  <si>
    <t>ragingbull4x4@yahoo.com</t>
  </si>
  <si>
    <t>2024-06-24</t>
  </si>
  <si>
    <t>lindalaib1@noemail.com</t>
  </si>
  <si>
    <t>2q7xq214ip@m.expediapartnercentral.com</t>
  </si>
  <si>
    <t>kkgregg@mitchelltelecom.net</t>
  </si>
  <si>
    <t>denicedegen@hotmail.com</t>
  </si>
  <si>
    <t>denanderson2@hotmail.com</t>
  </si>
  <si>
    <t>nmiles1725@gmail.com</t>
  </si>
  <si>
    <t>sipr6h0esg@m.expediapartnercentral.com</t>
  </si>
  <si>
    <t>ex2g3h4bkc@m.expediapartnercentral.com</t>
  </si>
  <si>
    <t>wdbcurrier@yahoo.com</t>
  </si>
  <si>
    <t>willydelacruz1@noemail.com</t>
  </si>
  <si>
    <t>samuelcurtisanderson@gmail.com</t>
  </si>
  <si>
    <t>chrissands19@gmail.com</t>
  </si>
  <si>
    <t>2024-05-28</t>
  </si>
  <si>
    <t>michaellofton1@noemail.com</t>
  </si>
  <si>
    <t>kaitemc@gmail.com</t>
  </si>
  <si>
    <t>llee.162765@guest.booking.com</t>
  </si>
  <si>
    <t>3p2h0poe8i@m.expediapartnercentral.com</t>
  </si>
  <si>
    <t>knapie.121159@guest.booking.com</t>
  </si>
  <si>
    <t>terrantolmandewitt@gmail.com</t>
  </si>
  <si>
    <t>robertlong1@noemail.com</t>
  </si>
  <si>
    <t>4v2bm1yqxd@m.expediapartnercentral.com</t>
  </si>
  <si>
    <t>afxfjn18yt@m.expediapartnercentral.com</t>
  </si>
  <si>
    <t>amberstowman@msn.com</t>
  </si>
  <si>
    <t>bobinthewoods63@gmail.com</t>
  </si>
  <si>
    <t>jgolburg@gmail.com</t>
  </si>
  <si>
    <t>cameronvosmek1@noemail.com</t>
  </si>
  <si>
    <t>e6xk7nb377@m.expediapartnercentral.com</t>
  </si>
  <si>
    <t>bietzj@dcmhsd.org</t>
  </si>
  <si>
    <t>jmherrboldt@hotmail.com</t>
  </si>
  <si>
    <t>braydenthurman1@noemail.com</t>
  </si>
  <si>
    <t>cmagura33@gmail.com</t>
  </si>
  <si>
    <t>andreaelena10332@gmail.com</t>
  </si>
  <si>
    <t>kkmcmcdaniel@msn.com</t>
  </si>
  <si>
    <t>charlieandcari5050@gmail.com</t>
  </si>
  <si>
    <t>schulte5@mt-rushmore.net</t>
  </si>
  <si>
    <t>2024-06-01</t>
  </si>
  <si>
    <t>bankpoles@hotmail.com</t>
  </si>
  <si>
    <t>2024-06-05</t>
  </si>
  <si>
    <t>karissarutherford1@noemail.com</t>
  </si>
  <si>
    <t>2024-05-30</t>
  </si>
  <si>
    <t>6808ghk2vd@m.expediapartnercentral.com</t>
  </si>
  <si>
    <t>jbomme.847365@guest.booking.com</t>
  </si>
  <si>
    <t>gn9l18lbw6@m.expediapartnercentral.com</t>
  </si>
  <si>
    <t>jordanbaker1@noemail.com</t>
  </si>
  <si>
    <t>amandabecker1@noemail.com</t>
  </si>
  <si>
    <t>1ism707vuv@m.expediapartnercentral.com</t>
  </si>
  <si>
    <t>vancemettlen1@noemail.com</t>
  </si>
  <si>
    <t>charlespotter1@noemail.com</t>
  </si>
  <si>
    <t>2024-05-31</t>
  </si>
  <si>
    <t>aaharo.392334@guest.booking.com</t>
  </si>
  <si>
    <t>amy@vanderpoldragline.com</t>
  </si>
  <si>
    <t>bergie83@yahoo.com</t>
  </si>
  <si>
    <t>034psqh0kg@m.expediapartnercentral.com</t>
  </si>
  <si>
    <t>topnvl32vi@m.expediapartnercentral.com</t>
  </si>
  <si>
    <t>mogler.autumn@gmail.com</t>
  </si>
  <si>
    <t>kathrynmah@hotmail.com</t>
  </si>
  <si>
    <t>edenvs@ntlifts.com</t>
  </si>
  <si>
    <t>juangonzaleshernande1@noemail.com</t>
  </si>
  <si>
    <t>rhondagreenfield1@noemail.com</t>
  </si>
  <si>
    <t>4um6x4wajq@m.expediapartnercentral.com</t>
  </si>
  <si>
    <t>metcol1942@gmail.com</t>
  </si>
  <si>
    <t>richardcarroll1@noemail.com</t>
  </si>
  <si>
    <t>sgroot.836459@guest.booking.com</t>
  </si>
  <si>
    <t>mrduller69@gmail.com</t>
  </si>
  <si>
    <t>jorgie66@charter.net</t>
  </si>
  <si>
    <t>patrickdoll2002@hotmail.com</t>
  </si>
  <si>
    <t>alexslichter1@noemail.com</t>
  </si>
  <si>
    <t>2024-06-03</t>
  </si>
  <si>
    <t>ordal7372@gmail.com</t>
  </si>
  <si>
    <t>mrmagicproductions@hotmail.com</t>
  </si>
  <si>
    <t>briannamariee07@hotmail.com</t>
  </si>
  <si>
    <t>josephhaman1@noemail.com</t>
  </si>
  <si>
    <t>brianfinch1@noemail.com</t>
  </si>
  <si>
    <t>wnenq0rjdv@m.expediapartnercentral.com</t>
  </si>
  <si>
    <t>albertstarsl1@noemail.com</t>
  </si>
  <si>
    <t>melissakotto@yahoo.com</t>
  </si>
  <si>
    <t>rnulb7s62v@m.expediapartnercentral.com</t>
  </si>
  <si>
    <t>troy.michelle@sbcglobal.net</t>
  </si>
  <si>
    <t>jesusdelvalle1@noemail.com</t>
  </si>
  <si>
    <t>tina.koletvky@hotmail.com</t>
  </si>
  <si>
    <t>jasonmatten1@noemail.com</t>
  </si>
  <si>
    <t>noelvegamijangos1@noemail.com</t>
  </si>
  <si>
    <t>andrewdejong7@gmail.com</t>
  </si>
  <si>
    <t>jliu.516810@guest.booking.com</t>
  </si>
  <si>
    <t>lesliemclenehan1@noemail.com</t>
  </si>
  <si>
    <t>olivia@abtflooring.com</t>
  </si>
  <si>
    <t>angela.b.johnson@ndsu.edu</t>
  </si>
  <si>
    <t>sarah.lund@caseys.com</t>
  </si>
  <si>
    <t>jbuech.905578@guest.booking.com</t>
  </si>
  <si>
    <t>robertgrandgenett1@noemail.com</t>
  </si>
  <si>
    <t>mattharter1@noemail.com</t>
  </si>
  <si>
    <t>kathyannmeyer@gmail.com</t>
  </si>
  <si>
    <t>2024-06-10</t>
  </si>
  <si>
    <t>jeremy.otkin@k12.sd.us</t>
  </si>
  <si>
    <t>stefanietwocrow@gmail.com</t>
  </si>
  <si>
    <t>lmn94111@gmail.com</t>
  </si>
  <si>
    <t>jliu.828387@guest.booking.com</t>
  </si>
  <si>
    <t>wpu7yya8u1@m.expediapartnercentral.com</t>
  </si>
  <si>
    <t>2024-07-05</t>
  </si>
  <si>
    <t>tcqr1bj6o1@m.expediapartnercentral.com</t>
  </si>
  <si>
    <t>birdwatcher00@aol.com</t>
  </si>
  <si>
    <t>jeleal@charter.net</t>
  </si>
  <si>
    <t>nthasher@msn.com</t>
  </si>
  <si>
    <t>2024-08-24</t>
  </si>
  <si>
    <t>condajean@msn.com</t>
  </si>
  <si>
    <t>kline.a.m@outlook.com</t>
  </si>
  <si>
    <t>patricksawadski1@noemail.com</t>
  </si>
  <si>
    <t>elaineerickson1@noemail.com</t>
  </si>
  <si>
    <t>rgxma4q2rk@m.expediapartnercentral.com</t>
  </si>
  <si>
    <t>jscar3@gmail.com</t>
  </si>
  <si>
    <t>carolwalling1@noemail.com</t>
  </si>
  <si>
    <t>81ysyej73t@m.expediapartnercentral.com</t>
  </si>
  <si>
    <t>olenochkayy@gmail.com</t>
  </si>
  <si>
    <t>royrueb1@noemail.com</t>
  </si>
  <si>
    <t>leemathison1@noemail.com</t>
  </si>
  <si>
    <t>oskj53dmlg@m.expediapartnercentral.com</t>
  </si>
  <si>
    <t>jliu.664964@guest.booking.com</t>
  </si>
  <si>
    <t>gcastroc17@icloud.com</t>
  </si>
  <si>
    <t>normabertsch1@noemail.com</t>
  </si>
  <si>
    <t>rgrabo.162388@guest.booking.com</t>
  </si>
  <si>
    <t>ycajymuiiv@m.expediapartnercentral.com</t>
  </si>
  <si>
    <t>timofiiyurchenao1@noemail.com</t>
  </si>
  <si>
    <t>ehalad.778763@guest.booking.com</t>
  </si>
  <si>
    <t>chadlindgren1@noemail.com</t>
  </si>
  <si>
    <t>0ktyr7431r@m.expediapartnercentral.com</t>
  </si>
  <si>
    <t>chyb3vyicc@m.expediapartnercentral.com</t>
  </si>
  <si>
    <t>afabre93@gmail.com</t>
  </si>
  <si>
    <t>kdegezelle@yahoo.com</t>
  </si>
  <si>
    <t>bbubach@yahoo.com</t>
  </si>
  <si>
    <t>lpqbk6wx49@m.expediapartnercentral.com</t>
  </si>
  <si>
    <t>avspilde2013@gmail.com</t>
  </si>
  <si>
    <t>2024-07-19</t>
  </si>
  <si>
    <t>ryanjellingson@gmail.com</t>
  </si>
  <si>
    <t>jasonwest1@noemail.com</t>
  </si>
  <si>
    <t>2024-07-25</t>
  </si>
  <si>
    <t>nicholasthompson1@noemail.com</t>
  </si>
  <si>
    <t>2024-06-20</t>
  </si>
  <si>
    <t>myleswassenberg@gmail.com</t>
  </si>
  <si>
    <t>cgwhitney9@yahoo.com</t>
  </si>
  <si>
    <t>th35987ptq@m.expediapartnercentral.com</t>
  </si>
  <si>
    <t>justinleiva366@gmail.com</t>
  </si>
  <si>
    <t>mrp4cajl8t@m.expediapartnercentral.com</t>
  </si>
  <si>
    <t>riley.schmeling55@gmail.com</t>
  </si>
  <si>
    <t>hoduqv6lhv@m.expediapartnercentral.com</t>
  </si>
  <si>
    <t>um2ndaulxv@m.expediapartnercentral.com</t>
  </si>
  <si>
    <t>karleahcp2020@gmail.com</t>
  </si>
  <si>
    <t>jimknobby@gmail.com</t>
  </si>
  <si>
    <t>mbergm.337835@guest.booking.com</t>
  </si>
  <si>
    <t>prestonnolan15@gmail.com</t>
  </si>
  <si>
    <t>caalsuchl@gmail.com</t>
  </si>
  <si>
    <t>2024-07-29</t>
  </si>
  <si>
    <t>shawnhanson@buttlermachinery.com</t>
  </si>
  <si>
    <t>abspilde2013@gmail.com</t>
  </si>
  <si>
    <t>kenfidler1@noemail.com</t>
  </si>
  <si>
    <t>rhorto.628415@guest.booking.com</t>
  </si>
  <si>
    <t>jasonbunger1@noemail.com</t>
  </si>
  <si>
    <t>matthewgeibel1@noemail.com</t>
  </si>
  <si>
    <t>ryanartz1@noemail.com</t>
  </si>
  <si>
    <t>carterjurrens@gmail.com</t>
  </si>
  <si>
    <t>6vt8kyxw5d@m.expediapartnercentral.com</t>
  </si>
  <si>
    <t>tanya3kids@hotmail.com</t>
  </si>
  <si>
    <t>rolanddalton1@noemail.com</t>
  </si>
  <si>
    <t>ericnordby1@noemail.com</t>
  </si>
  <si>
    <t>rdanderson1073@yahoo.com</t>
  </si>
  <si>
    <t>jerrydelpilargonzale1@noemail.com</t>
  </si>
  <si>
    <t>corinneader1@noemail.com</t>
  </si>
  <si>
    <t>debraholzhauer1@noemail.com</t>
  </si>
  <si>
    <t>fr8qxlf3yu@m.expediapartnercentral.com</t>
  </si>
  <si>
    <t>marchenline1@noemail.com</t>
  </si>
  <si>
    <t>s70vpece8c@m.expediapartnercentral.com</t>
  </si>
  <si>
    <t>brianseibold1@noemail.com</t>
  </si>
  <si>
    <t>robertvickers1@noemail.com</t>
  </si>
  <si>
    <t>lricha.873256@guest.booking.com</t>
  </si>
  <si>
    <t>gdias.308233@guest.booking.com</t>
  </si>
  <si>
    <t>cindyheidelberger1@noemail.com</t>
  </si>
  <si>
    <t>jc2g97wrfu@m.expediapartnercentral.com</t>
  </si>
  <si>
    <t>scqiwpgsau@m.expediapartnercentral.com</t>
  </si>
  <si>
    <t>stephanie.ewy@icloud.com</t>
  </si>
  <si>
    <t>neal.bjorklund@genlp.com</t>
  </si>
  <si>
    <t>2024-07-03</t>
  </si>
  <si>
    <t>lijll053m5@m.expediapartnercentral.com</t>
  </si>
  <si>
    <t>edy82jsd5s@m.expediapartnercentral.com</t>
  </si>
  <si>
    <t>darahn@lebahnco.com</t>
  </si>
  <si>
    <t>alyssamunce1@noemail.com</t>
  </si>
  <si>
    <t>rkietel3@gmail.com</t>
  </si>
  <si>
    <t>katelynnogbin1@noemail.com</t>
  </si>
  <si>
    <t>jessica.geiger@outlook.com</t>
  </si>
  <si>
    <t>rhubert1010@sbcglobal.net</t>
  </si>
  <si>
    <t>hte6kixlra@m.expediapartnercentral.com</t>
  </si>
  <si>
    <t>jimmy.gay96@gmail.com</t>
  </si>
  <si>
    <t>lmj891da0s@m.expediapartnercentral.com</t>
  </si>
  <si>
    <t>iryvmcuuyq@m.expediapartnercentral.com</t>
  </si>
  <si>
    <t>tdmoe1987@gmail.com</t>
  </si>
  <si>
    <t>lmill1967@aol.com</t>
  </si>
  <si>
    <t>kcockr.630135@guest.booking.com</t>
  </si>
  <si>
    <t>ihoi031lge@m.expediapartnercentral.com</t>
  </si>
  <si>
    <t>t5i9krjbv1@m.expediapartnercentral.com</t>
  </si>
  <si>
    <t>osup11co@gmail.com</t>
  </si>
  <si>
    <t>amandalavay@gmail.com</t>
  </si>
  <si>
    <t>dbaumg.452302@guest.booking.com</t>
  </si>
  <si>
    <t>fostermrmrs1@noemail.com</t>
  </si>
  <si>
    <t>crystalstorhaugh@yahoo.com</t>
  </si>
  <si>
    <t>ufanyc9vrf@m.expediapartnercentral.com</t>
  </si>
  <si>
    <t>eq7dcv31od@m.expediapartnercentral.com</t>
  </si>
  <si>
    <t>stevecindye@gmail.com</t>
  </si>
  <si>
    <t>0mdm84jaon@m.expediapartnercentral.com</t>
  </si>
  <si>
    <t>duaneandrewfischbach1@noemail.com</t>
  </si>
  <si>
    <t>zekej@broszeng.com</t>
  </si>
  <si>
    <t>aescob.208565@guest.booking.com</t>
  </si>
  <si>
    <t>AP@proformfabllc.com</t>
  </si>
  <si>
    <t>nathanmcd34@gmail.com</t>
  </si>
  <si>
    <t>jdough.215516@guest.booking.com</t>
  </si>
  <si>
    <t>a42p6ykdkg@m.expediapartnercentral.com</t>
  </si>
  <si>
    <t>rajaneenelson1@noemail.com</t>
  </si>
  <si>
    <t>xcm01u5kk1@m.expediapartnercentral.com</t>
  </si>
  <si>
    <t>jared.olstad.00@gmail.com</t>
  </si>
  <si>
    <t>spgg4b9911@m.expediapartnercentral.com</t>
  </si>
  <si>
    <t>dwightoconnel1@noemail.com</t>
  </si>
  <si>
    <t>171gwqy6gg@m.expediapartnercentral.com</t>
  </si>
  <si>
    <t>tq9tq7fiqq@m.expediapartnercentral.com</t>
  </si>
  <si>
    <t>m5sio7b8ej@m.expediapartnercentral.com</t>
  </si>
  <si>
    <t>mkyqe37oip@m.expediapartnercentral.com</t>
  </si>
  <si>
    <t>6h3x018il1@m.expediapartnercentral.com</t>
  </si>
  <si>
    <t>gflaa.904571@guest.booking.com</t>
  </si>
  <si>
    <t>ru42vgdeqt@m.expediapartnercentral.com</t>
  </si>
  <si>
    <t>agross2344@gmail.com</t>
  </si>
  <si>
    <t>pjr.601879@guest.booking.com</t>
  </si>
  <si>
    <t>victoria.sheridan92@gmail.com</t>
  </si>
  <si>
    <t>iqgms9trtj@m.expediapartnercentral.com</t>
  </si>
  <si>
    <t>lindseythomas713@gmail.com</t>
  </si>
  <si>
    <t>wkelly.432510@guest.booking.com</t>
  </si>
  <si>
    <t>edelmanbrenda9@gmail.com</t>
  </si>
  <si>
    <t>2024-08-25</t>
  </si>
  <si>
    <t>tmilli.807623@guest.booking.com</t>
  </si>
  <si>
    <t>kivcitml5g@m.expediapartnercentral.com</t>
  </si>
  <si>
    <t>brendawogen1@noemail.com</t>
  </si>
  <si>
    <t>cvmdon1@hotmail.com</t>
  </si>
  <si>
    <t>bizzycsg@aol.com</t>
  </si>
  <si>
    <t>postren77@gmail.com</t>
  </si>
  <si>
    <t>patriciaedler1@noemail.com</t>
  </si>
  <si>
    <t>alewis@hmsworldwide.com</t>
  </si>
  <si>
    <t>jamesstigler1@noemail.com</t>
  </si>
  <si>
    <t>pf0wvqildu@m.expediapartnercentral.com</t>
  </si>
  <si>
    <t>glangp.648575@guest.booking.com</t>
  </si>
  <si>
    <t>2024-07-17</t>
  </si>
  <si>
    <t>npearson@tegragroup.com</t>
  </si>
  <si>
    <t>wwayme.854926@guest.booking.com</t>
  </si>
  <si>
    <t>kellyclelland1@noemail.com</t>
  </si>
  <si>
    <t>patrickcowan1@noemail.com</t>
  </si>
  <si>
    <t>4x64ishkr4@m.expediapartnercentral.com</t>
  </si>
  <si>
    <t>solarsolutionssf@outlook.com</t>
  </si>
  <si>
    <t>q5efjff7rq@m.expediapartnercentral.com</t>
  </si>
  <si>
    <t>tdickinson52@gmail.com</t>
  </si>
  <si>
    <t>scottm@duinick.com</t>
  </si>
  <si>
    <t>2024-07-11</t>
  </si>
  <si>
    <t>ianroettger1@noemail.com</t>
  </si>
  <si>
    <t>monicahaeder@gmail.com</t>
  </si>
  <si>
    <t>spoiledbirddog@gmail.com</t>
  </si>
  <si>
    <t>0jwnkviopv@m.expediapartnercentral.com</t>
  </si>
  <si>
    <t>raynweis1@noemail.com</t>
  </si>
  <si>
    <t>2024-06-26</t>
  </si>
  <si>
    <t>umedsdupau@m.expediapartnercentral.com</t>
  </si>
  <si>
    <t>emilybmiller9@gmail.com</t>
  </si>
  <si>
    <t>9jgviu49o8@m.expediapartnercentral.com</t>
  </si>
  <si>
    <t>5g3i4gq21r@m.expediapartnercentral.com</t>
  </si>
  <si>
    <t>tabetha.pauly@gmail.com</t>
  </si>
  <si>
    <t>nu3xtwjo0o@m.expediapartnercentral.com</t>
  </si>
  <si>
    <t>98qg0nxw1w@m.expediapartnercentral.com</t>
  </si>
  <si>
    <t>lizetmedina1@noemail.com</t>
  </si>
  <si>
    <t>itf0vedho0@m.expediapartnercentral.com</t>
  </si>
  <si>
    <t>tpetty.383059@guest.booking.com</t>
  </si>
  <si>
    <t>2024-07-12</t>
  </si>
  <si>
    <t>haleypewe@gmail.com</t>
  </si>
  <si>
    <t>ehunte.764888@guest.booking.com</t>
  </si>
  <si>
    <t>bfishe.754945@guest.booking.com</t>
  </si>
  <si>
    <t>ao0jgl87p8@m.expediapartnercentral.com</t>
  </si>
  <si>
    <t>22gagman22@gmail.com</t>
  </si>
  <si>
    <t>maureentuominen1@noemail.com</t>
  </si>
  <si>
    <t>xru47loats@m.expediapartnercentral.com</t>
  </si>
  <si>
    <t>3x2fx50w25@m.expediapartnercentral.com</t>
  </si>
  <si>
    <t>k9bh4epms2@m.expediapartnercentral.com</t>
  </si>
  <si>
    <t>jeffcerny1@noemail.com</t>
  </si>
  <si>
    <t>paigetoll1@noemail.com</t>
  </si>
  <si>
    <t>cassandraeimers1@noemail.com</t>
  </si>
  <si>
    <t>schuettecarly@gmail.com</t>
  </si>
  <si>
    <t>susanlowrey1@noemail.com</t>
  </si>
  <si>
    <t>sherrikeppler4@gmail.com</t>
  </si>
  <si>
    <t>rinke5x@hotmail.com</t>
  </si>
  <si>
    <t>fbv7skuu0d@m.expediapartnercentral.com</t>
  </si>
  <si>
    <t>patramsay@sdcglobal.net</t>
  </si>
  <si>
    <t>7wyn3g5icp@m.expediapartnercentral.com</t>
  </si>
  <si>
    <t>c6tjenfffa@m.expediapartnercentral.com</t>
  </si>
  <si>
    <t>michaeldarville1@noemail.com</t>
  </si>
  <si>
    <t>hollidayj72@gmail.com</t>
  </si>
  <si>
    <t>9x13ouu3ge@m.expediapartnercentral.com</t>
  </si>
  <si>
    <t>victorbeggs1@noemail.com</t>
  </si>
  <si>
    <t>randyshifflett79@gmail.com</t>
  </si>
  <si>
    <t>7gfxkilxbf@m.expediapartnercentral.com</t>
  </si>
  <si>
    <t>2024-06-25</t>
  </si>
  <si>
    <t>harlanzaibart1@noemail.com</t>
  </si>
  <si>
    <t>iqp4tf63f0@m.expediapartnercentral.com</t>
  </si>
  <si>
    <t>annguddall@gmail.com</t>
  </si>
  <si>
    <t>2024-07-01</t>
  </si>
  <si>
    <t>elw2kibili@m.expediapartnercentral.com</t>
  </si>
  <si>
    <t>mikedewitt_71@icloud.com</t>
  </si>
  <si>
    <t>lindbrc@gmail.com</t>
  </si>
  <si>
    <t>bjsaje@hotmail.com</t>
  </si>
  <si>
    <t>shellyheimer@gmail.com</t>
  </si>
  <si>
    <t>hzilm.226231@guest.booking.com</t>
  </si>
  <si>
    <t>robertmueller1@noemail.com</t>
  </si>
  <si>
    <t>a.himes.2015@gmail.com</t>
  </si>
  <si>
    <t>erinchester1@noemail.com</t>
  </si>
  <si>
    <t>scottmenee1@noemail.com</t>
  </si>
  <si>
    <t>kmaher.249625@guest.booking.com</t>
  </si>
  <si>
    <t>robertalbers1@noemail.com</t>
  </si>
  <si>
    <t>breeding6and4@yahoo.com</t>
  </si>
  <si>
    <t>aria.braswell@gmail.com</t>
  </si>
  <si>
    <t>fjsmit58@gmail.com</t>
  </si>
  <si>
    <t>normamussell1@noemail.com</t>
  </si>
  <si>
    <t>jaw7vgdg7h@m.expediapartnercentral.com</t>
  </si>
  <si>
    <t>j_rognli@msn.com</t>
  </si>
  <si>
    <t>timothywistl1@noemail.com</t>
  </si>
  <si>
    <t>araegerrits@yahoo.com</t>
  </si>
  <si>
    <t>lori@monarkkustomservices.com</t>
  </si>
  <si>
    <t>robperryman1@noemail.com</t>
  </si>
  <si>
    <t>cseibe.464570@guest.booking.com</t>
  </si>
  <si>
    <t>2024-06-27</t>
  </si>
  <si>
    <t>9u33f4u57v@m.expediapartnercentral.com</t>
  </si>
  <si>
    <t>patrickrubendall1@noemail.com</t>
  </si>
  <si>
    <t>hitaga6@gmail.com</t>
  </si>
  <si>
    <t>servicemasterrestore1@noemail.com</t>
  </si>
  <si>
    <t>jessybarra1@noemail.com</t>
  </si>
  <si>
    <t>heatherhart1@noemail.com</t>
  </si>
  <si>
    <t>scottjensen1@noemail.com</t>
  </si>
  <si>
    <t>jill@risinghope605.com</t>
  </si>
  <si>
    <t>a1i6t7u8u0@m.expediapartnercentral.com</t>
  </si>
  <si>
    <t>toddmints1@noemail.com</t>
  </si>
  <si>
    <t>2024-11-10</t>
  </si>
  <si>
    <t>a4x7ev137d@m.expediapartnercentral.com</t>
  </si>
  <si>
    <t>hzilm.198684@guest.booking.com</t>
  </si>
  <si>
    <t>2024-07-23</t>
  </si>
  <si>
    <t>mandyhofstedt1@noemail.com</t>
  </si>
  <si>
    <t>5qcs5ognnd@m.expediapartnercentral.com</t>
  </si>
  <si>
    <t>cbenth.751105@guest.booking.com</t>
  </si>
  <si>
    <t>henrymagee1@noemail.com</t>
  </si>
  <si>
    <t>carlosreimer1@noemail.com</t>
  </si>
  <si>
    <t>lourdesortega1@noemail.com</t>
  </si>
  <si>
    <t>randy_stevens@msn.com</t>
  </si>
  <si>
    <t>cody@wheatleytrucking.com</t>
  </si>
  <si>
    <t>tinasield1@noemail.com</t>
  </si>
  <si>
    <t>joelmaas1@noemail.com</t>
  </si>
  <si>
    <t>nickbiriberti@hotmail.com</t>
  </si>
  <si>
    <t>bcf1027@gmail.com</t>
  </si>
  <si>
    <t>2yyr1w4uqm@m.expediapartnercentral.com</t>
  </si>
  <si>
    <t>markstrauss1@noemail.com</t>
  </si>
  <si>
    <t>nathanhopf1@noemail.com</t>
  </si>
  <si>
    <t>lyndseyallen1@noemail.com</t>
  </si>
  <si>
    <t>e4mdt1roea@m.expediapartnercentral.com</t>
  </si>
  <si>
    <t>isiaheebon1@noemail.com</t>
  </si>
  <si>
    <t>jasamsel@outlook.com</t>
  </si>
  <si>
    <t>2024-07-04</t>
  </si>
  <si>
    <t>paulburkholder1@noemail.com</t>
  </si>
  <si>
    <t>loislandis1@noemail.com</t>
  </si>
  <si>
    <t>l.evavold@yahoo.com</t>
  </si>
  <si>
    <t>nickeyrose717@gmail.com</t>
  </si>
  <si>
    <t>2024-08-11</t>
  </si>
  <si>
    <t>e7yb0fl844@m.expediapartnercentral.com</t>
  </si>
  <si>
    <t>mbjerke62@gmail.com</t>
  </si>
  <si>
    <t>kristelrogers@gmail.com</t>
  </si>
  <si>
    <t>jharms.819511@guest.booking.com</t>
  </si>
  <si>
    <t>s_k_arnold@yahoo.com</t>
  </si>
  <si>
    <t>falleasy@yahoo.com</t>
  </si>
  <si>
    <t>2024-07-24</t>
  </si>
  <si>
    <t>dopoien@comcast.net</t>
  </si>
  <si>
    <t>jtmonson32@gmail.com</t>
  </si>
  <si>
    <t>ir6uy7qvga@m.expediapartnercentral.com</t>
  </si>
  <si>
    <t>2024-07-02</t>
  </si>
  <si>
    <t>williamspangenberg1@noemail.com</t>
  </si>
  <si>
    <t>joaofidenciodasilva1@noemail.com</t>
  </si>
  <si>
    <t>meghananders8@hotmail.com</t>
  </si>
  <si>
    <t>bradenpaulburn@gmail.com</t>
  </si>
  <si>
    <t>bbecke.850384@guest.booking.com</t>
  </si>
  <si>
    <t>nickmattoon39@gmail.com</t>
  </si>
  <si>
    <t>yamrider92@hotmail.com</t>
  </si>
  <si>
    <t>rdammann52pk@yahoo.com</t>
  </si>
  <si>
    <t>p47dl1m8ax@m.expediapartnercentral.com</t>
  </si>
  <si>
    <t>hpritchard2@hotmail.com</t>
  </si>
  <si>
    <t>ben@northcountrysportingdogs.com</t>
  </si>
  <si>
    <t>jdimoc.905554@guest.booking.com</t>
  </si>
  <si>
    <t>a4gdg53ucv@m.expediapartnercentral.com</t>
  </si>
  <si>
    <t>d2f1luqhye@m.expediapartnercentral.com</t>
  </si>
  <si>
    <t>kristinaalbers1@noemail.com</t>
  </si>
  <si>
    <t>jrasmu.435439@guest.booking.com</t>
  </si>
  <si>
    <t>pedroajanelpol1@noemail.com</t>
  </si>
  <si>
    <t>vandervliet@valleytel.net</t>
  </si>
  <si>
    <t>kaitlyn.weston@gmail.com</t>
  </si>
  <si>
    <t>leroy5150me@gmail.com</t>
  </si>
  <si>
    <t>22heligfg3@m.expediapartnercentral.com</t>
  </si>
  <si>
    <t>charleswren1@noemail.com</t>
  </si>
  <si>
    <t>thgflc4qne@m.expediapartnercentral.com</t>
  </si>
  <si>
    <t>2024-09-10</t>
  </si>
  <si>
    <t>michellemilton68@gmail.com</t>
  </si>
  <si>
    <t>2wkdbljics@m.expediapartnercentral.com</t>
  </si>
  <si>
    <t>pendergirlscouts@yahoo.com</t>
  </si>
  <si>
    <t>kmjhaak@comcast.net</t>
  </si>
  <si>
    <t>2024-08-12</t>
  </si>
  <si>
    <t>j28rmth3sy@m.expediapartnercentral.com</t>
  </si>
  <si>
    <t>2024-07-18</t>
  </si>
  <si>
    <t>5ow9437x40@m.expediapartnercentral.com</t>
  </si>
  <si>
    <t>markdonahoo1@noemail.com</t>
  </si>
  <si>
    <t>5bxqnhbgvk@m.expediapartnercentral.com</t>
  </si>
  <si>
    <t>tgrell.538310@guest.booking.com</t>
  </si>
  <si>
    <t>david@ericksonworld.com</t>
  </si>
  <si>
    <t>jacob.patterson00@gmail.com</t>
  </si>
  <si>
    <t>92jl2y12ef@m.expediapartnercentral.com</t>
  </si>
  <si>
    <t>david.parsley4@gmail.com</t>
  </si>
  <si>
    <t>18msg6ovnm@m.expediapartnercentral.com</t>
  </si>
  <si>
    <t>x882uu4a3j@m.expediapartnercentral.com</t>
  </si>
  <si>
    <t>ls57i6a6xb@m.expediapartnercentral.com</t>
  </si>
  <si>
    <t>enc79uqmqc@m.expediapartnercentral.com</t>
  </si>
  <si>
    <t>michelletong1@noemail.com</t>
  </si>
  <si>
    <t>gailrasmussen1@noemail.com</t>
  </si>
  <si>
    <t>w730u9xtcn@m.expediapartnercentral.com</t>
  </si>
  <si>
    <t>mmartin4@amfam.com</t>
  </si>
  <si>
    <t>joshwright1@noemail.com</t>
  </si>
  <si>
    <t>rwjkkcuo8r@m.expediapartnercentral.com</t>
  </si>
  <si>
    <t>sandrazens1@noemail.com</t>
  </si>
  <si>
    <t>palpouch1@noemail.com</t>
  </si>
  <si>
    <t>rfogolf@gmail.com</t>
  </si>
  <si>
    <t>ksprin.426033@guest.booking.com</t>
  </si>
  <si>
    <t>bbrunick@hotmail.com</t>
  </si>
  <si>
    <t>livestocksystemsofdawson@outlook.com</t>
  </si>
  <si>
    <t>sd.scheef@gmail.com</t>
  </si>
  <si>
    <t>kmeneau@live.com</t>
  </si>
  <si>
    <t>jameswhipcomb1@noemail.com</t>
  </si>
  <si>
    <t>sy051rngf9@m.expediapartnercentral.com</t>
  </si>
  <si>
    <t>2e27giyf0u@m.expediapartnercentral.com</t>
  </si>
  <si>
    <t>tv0l5o3pwx@m.expediapartnercentral.com</t>
  </si>
  <si>
    <t>maragerke1@noemail.com</t>
  </si>
  <si>
    <t>iag7evqfg4@m.expediapartnercentral.com</t>
  </si>
  <si>
    <t>bobcain660@gmail.com</t>
  </si>
  <si>
    <t>krystalrks1960@gmail.com</t>
  </si>
  <si>
    <t>anthonyrangel1@noemail.com</t>
  </si>
  <si>
    <t>kelliedenhollander1@noemail.com</t>
  </si>
  <si>
    <t>bus411e7ms@m.expediapartnercentral.com</t>
  </si>
  <si>
    <t>stephentoburen1@noemail.com</t>
  </si>
  <si>
    <t>carter.mas33@gmail.com</t>
  </si>
  <si>
    <t>2024-08-02</t>
  </si>
  <si>
    <t>g94xq027e1@m.expediapartnercentral.com</t>
  </si>
  <si>
    <t>oster.jordan@hotmail.com</t>
  </si>
  <si>
    <t>apross.738170@guest.booking.com</t>
  </si>
  <si>
    <t>2024-08-09</t>
  </si>
  <si>
    <t>9nlsdtnddg@m.expediapartnercentral.com</t>
  </si>
  <si>
    <t>we3tf1e9jv@m.expediapartnercentral.com</t>
  </si>
  <si>
    <t>nfe9wmkn8u@m.expediapartnercentral.com</t>
  </si>
  <si>
    <t>qrdymmrps8@m.expediapartnercentral.com</t>
  </si>
  <si>
    <t>rgholtkamp@gmail.com</t>
  </si>
  <si>
    <t>claire@amplify7.com</t>
  </si>
  <si>
    <t>michellekeck1@noemail.com</t>
  </si>
  <si>
    <t>martimoore17@gmail.com</t>
  </si>
  <si>
    <t>cushingscoredrilling@gmail.com</t>
  </si>
  <si>
    <t>2024-07-16</t>
  </si>
  <si>
    <t>chadwaynebeagle1@noemail.com</t>
  </si>
  <si>
    <t>pshepp.694414@guest.booking.com</t>
  </si>
  <si>
    <t>2024-08-05</t>
  </si>
  <si>
    <t>contactclovercd@yahoo.com</t>
  </si>
  <si>
    <t>clj494@gmail.com</t>
  </si>
  <si>
    <t>2024-07-26</t>
  </si>
  <si>
    <t>hdq6104fon@m.expediapartnercentral.com</t>
  </si>
  <si>
    <t>johnmurphy1@noemail.com</t>
  </si>
  <si>
    <t>edwardrondeau1@noemail.com</t>
  </si>
  <si>
    <t>bgille.552275@guest.booking.com</t>
  </si>
  <si>
    <t>8ufk82axf2@m.expediapartnercentral.com</t>
  </si>
  <si>
    <t>bgeorg.201489@guest.booking.com</t>
  </si>
  <si>
    <t>c.corey@americafence.com</t>
  </si>
  <si>
    <t>matthewpotts1@noemail.com</t>
  </si>
  <si>
    <t>lselgestad@nativepartnership.org</t>
  </si>
  <si>
    <t>fsotc7asuh@m.expediapartnercentral.com</t>
  </si>
  <si>
    <t>tom@abtflooring.com</t>
  </si>
  <si>
    <t>brodri.115846@guest.booking.com</t>
  </si>
  <si>
    <t>mvefl5fvf3@m.expediapartnercentral.com</t>
  </si>
  <si>
    <t>7oaxdh03n9@m.expediapartnercentral.com</t>
  </si>
  <si>
    <t>jordan.gorombey@gmail.com</t>
  </si>
  <si>
    <t>brad_bridgman@hotmail.com</t>
  </si>
  <si>
    <t>hou5k@aol.com</t>
  </si>
  <si>
    <t>yoe36guom0@m.expediapartnercentral.com</t>
  </si>
  <si>
    <t>tylerulwelling1@noemail.com</t>
  </si>
  <si>
    <t>chinapips@gmail.com</t>
  </si>
  <si>
    <t>jimmie48fan@charter.net</t>
  </si>
  <si>
    <t>qv4vs4edic@m.expediapartnercentral.com</t>
  </si>
  <si>
    <t>kali.roesler@gmail.com</t>
  </si>
  <si>
    <t>kfritz.751396@guest.booking.com</t>
  </si>
  <si>
    <t>aqdfwcdjwt@m.expediapartnercentral.com</t>
  </si>
  <si>
    <t>darrinerdmann1@noemail.com</t>
  </si>
  <si>
    <t>wicw01m4wr@m.expediapartnercentral.com</t>
  </si>
  <si>
    <t>drewthurber1@noemail.com</t>
  </si>
  <si>
    <t>coreyaday@yahoo.com</t>
  </si>
  <si>
    <t>2024-08-06</t>
  </si>
  <si>
    <t>jtmaas@goldenwest.net</t>
  </si>
  <si>
    <t>clangan@concreatesi.com</t>
  </si>
  <si>
    <t>davelottmann@gmail.com</t>
  </si>
  <si>
    <t>ryfymhld13@m.expediapartnercentral.com</t>
  </si>
  <si>
    <t>qu920frcc8@m.expediapartnercentral.com</t>
  </si>
  <si>
    <t>lmattoon@prestigueautocorp.com</t>
  </si>
  <si>
    <t>maggieplord@gmail.com</t>
  </si>
  <si>
    <t>ubw3r22r5x@m.expediapartnercentral.com</t>
  </si>
  <si>
    <t>joel.leach@gmail.com</t>
  </si>
  <si>
    <t>brucegerlaugh1@noemail.com</t>
  </si>
  <si>
    <t>sb4yoblf5u@m.expediapartnercentral.com</t>
  </si>
  <si>
    <t>2024-08-03</t>
  </si>
  <si>
    <t>kyle.b.nichols@gmail.com</t>
  </si>
  <si>
    <t>mdvb4@yahoo.com</t>
  </si>
  <si>
    <t>jodeeshoell@gmail.com</t>
  </si>
  <si>
    <t>lvanzee21@charter.net</t>
  </si>
  <si>
    <t>amckasy@aol.com</t>
  </si>
  <si>
    <t>aflpayyxb0@m.expediapartnercentral.com</t>
  </si>
  <si>
    <t>donnaborer1@noemail.com</t>
  </si>
  <si>
    <t>kylethibodeaux1@noemail.com</t>
  </si>
  <si>
    <t>laurabrown1@noemail.com</t>
  </si>
  <si>
    <t>garyschiesser1@noemail.com</t>
  </si>
  <si>
    <t>mqiekxg1bw@m.expediapartnercentral.com</t>
  </si>
  <si>
    <t>georgevollmer1@noemail.com</t>
  </si>
  <si>
    <t>2024-07-30</t>
  </si>
  <si>
    <t>spencer.johnson.ghs@gmail.com</t>
  </si>
  <si>
    <t>1680racer@gmail.com</t>
  </si>
  <si>
    <t>hannah.jarka@gmail.com</t>
  </si>
  <si>
    <t>kdanes.266188@guest.booking.com</t>
  </si>
  <si>
    <t>x2d2axm9u5@m.expediapartnercentral.com</t>
  </si>
  <si>
    <t>toddbrown1@noemail.com</t>
  </si>
  <si>
    <t>8gk9ywc0nq@m.expediapartnercentral.com</t>
  </si>
  <si>
    <t>3re7ga9apt@m.expediapartnercentral.com</t>
  </si>
  <si>
    <t>lorinewhite1@noemail.com</t>
  </si>
  <si>
    <t>2024-07-31</t>
  </si>
  <si>
    <t>holmkim97@yahoo.com</t>
  </si>
  <si>
    <t>rossjohnanderson1@noemail.com</t>
  </si>
  <si>
    <t>bkrfox@sstel.net</t>
  </si>
  <si>
    <t>ohiobadger82@gmail.com</t>
  </si>
  <si>
    <t>ckilgo.383428@guest.booking.com</t>
  </si>
  <si>
    <t>r5labsqrbr@m.expediapartnercentral.com</t>
  </si>
  <si>
    <t>bmwendler@gmail.com</t>
  </si>
  <si>
    <t>jil47ehgs2@m.expediapartnercentral.com</t>
  </si>
  <si>
    <t>cole@denningcompanies.com</t>
  </si>
  <si>
    <t>vonpr0swpf@m.expediapartnercentral.com</t>
  </si>
  <si>
    <t>jjkokey@midco.net</t>
  </si>
  <si>
    <t>janetpotter1@noemail.com</t>
  </si>
  <si>
    <t>hannahrummel@icloud.com</t>
  </si>
  <si>
    <t>aaron.lagred@telcomconstruction.com</t>
  </si>
  <si>
    <t>8jfhnc91dp@m.expediapartnercentral.com</t>
  </si>
  <si>
    <t>sjackowsk09@alumni.uwosh.edu</t>
  </si>
  <si>
    <t>ctdunker@nvc.net</t>
  </si>
  <si>
    <t>trcashel@gmail.com</t>
  </si>
  <si>
    <t>jonathanmohr1@noemail.com</t>
  </si>
  <si>
    <t>thestevemathews@gmail.com</t>
  </si>
  <si>
    <t>1bshanson@gmail.com</t>
  </si>
  <si>
    <t>snellhaley@yahoo.com</t>
  </si>
  <si>
    <t>alsh8g8h1f@m.expediapartnercentral.com</t>
  </si>
  <si>
    <t>0rnwtww1hh@m.expediapartnercentral.com</t>
  </si>
  <si>
    <t>tmjones1982@hotmail.com</t>
  </si>
  <si>
    <t>0rplxjc55n@m.expediapartnercentral.com</t>
  </si>
  <si>
    <t>bethfiedler1@noemail.com</t>
  </si>
  <si>
    <t>hunterjohnson1@noemail.com</t>
  </si>
  <si>
    <t>dennisobrien1@noemail.com</t>
  </si>
  <si>
    <t>margarethildebrand1@noemail.com</t>
  </si>
  <si>
    <t>c1500custom@yahoo.com</t>
  </si>
  <si>
    <t>jostellner@hotmail.com</t>
  </si>
  <si>
    <t>ku60pd9fdu@m.expediapartnercentral.com</t>
  </si>
  <si>
    <t>kgarre.958841@guest.booking.com</t>
  </si>
  <si>
    <t>2024-08-01</t>
  </si>
  <si>
    <t>mgs4e6i489@m.expediapartnercentral.com</t>
  </si>
  <si>
    <t>brandondorn1@noemail.com</t>
  </si>
  <si>
    <t>janeycurrey@gmail.com</t>
  </si>
  <si>
    <t>7rc270p81y@m.expediapartnercentral.com</t>
  </si>
  <si>
    <t>renee.patrick@renric.com</t>
  </si>
  <si>
    <t>b6djeotcok@m.expediapartnercentral.com</t>
  </si>
  <si>
    <t>7x9ldanwgw@m.expediapartnercentral.com</t>
  </si>
  <si>
    <t>ra2b3pnxgh@m.expediapartnercentral.com</t>
  </si>
  <si>
    <t>0xtaolqcfv@m.expediapartnercentral.com</t>
  </si>
  <si>
    <t>gcook.285159@guest.booking.com</t>
  </si>
  <si>
    <t>ycwp5noxmk@m.expediapartnercentral.com</t>
  </si>
  <si>
    <t>1iqcv4sa8i@m.expediapartnercentral.com</t>
  </si>
  <si>
    <t>avehteb5x8@m.expediapartnercentral.com</t>
  </si>
  <si>
    <t>c8do2bf8ch@m.expediapartnercentral.com</t>
  </si>
  <si>
    <t>x4hngrl9sh@m.expediapartnercentral.com</t>
  </si>
  <si>
    <t>x8wxlms0ej@m.expediapartnercentral.com</t>
  </si>
  <si>
    <t>xrep26jwku@m.expediapartnercentral.com</t>
  </si>
  <si>
    <t>jennylynnpotter2@gmail.com</t>
  </si>
  <si>
    <t>christyberghorst1@noemail.com</t>
  </si>
  <si>
    <t>pkubat@installed.net</t>
  </si>
  <si>
    <t>nikospapanikolaou1@noemail.com</t>
  </si>
  <si>
    <t>negvrucbyj@m.expediapartnercentral.com</t>
  </si>
  <si>
    <t>johnhunter1@noemail.com</t>
  </si>
  <si>
    <t>emily-ann08@hotmail.com</t>
  </si>
  <si>
    <t>kg95@hotmail.com</t>
  </si>
  <si>
    <t>stevenbrings1@noemail.com</t>
  </si>
  <si>
    <t>allison.craker@gmail.com</t>
  </si>
  <si>
    <t>roemmickconstruction@aol.com</t>
  </si>
  <si>
    <t>ia88hem3vo@m.expediapartnercentral.com</t>
  </si>
  <si>
    <t>jenniferlarsen1@noemail.com</t>
  </si>
  <si>
    <t>tommonson88@yahoo.com</t>
  </si>
  <si>
    <t>xijuyy3ctd@m.expediapartnercentral.com</t>
  </si>
  <si>
    <t>jjwunschel@gmail.com</t>
  </si>
  <si>
    <t>cryan.351531@guest.booking.com</t>
  </si>
  <si>
    <t>crissingerkim@gmail.com</t>
  </si>
  <si>
    <t>bvwally@nvc.net</t>
  </si>
  <si>
    <t>jeffschleeter1@noemail.com</t>
  </si>
  <si>
    <t>bart_fisher@yahoo.com</t>
  </si>
  <si>
    <t>pegmarmar@comcast.net</t>
  </si>
  <si>
    <t>mq9qxwd09g@m.expediapartnercentral.com</t>
  </si>
  <si>
    <t>2024-08-08</t>
  </si>
  <si>
    <t>5qu6jpeynm@m.expediapartnercentral.com</t>
  </si>
  <si>
    <t>eddiefrogner1@noemail.com</t>
  </si>
  <si>
    <t>caseyhampton1@noemail.com</t>
  </si>
  <si>
    <t>patsybrown1@noemail.com</t>
  </si>
  <si>
    <t>dbffwlh4bu@m.expediapartnercentral.com</t>
  </si>
  <si>
    <t>armanmiller1@noemail.com</t>
  </si>
  <si>
    <t>mbruss.548197@guest.booking.com</t>
  </si>
  <si>
    <t>ewtv07wpvi@m.expediapartnercentral.com</t>
  </si>
  <si>
    <t>chawkner@icloud.com</t>
  </si>
  <si>
    <t>nmaksi.858056@guest.booking.com</t>
  </si>
  <si>
    <t>2024-08-27</t>
  </si>
  <si>
    <t>laurieblacroix@gmail.com</t>
  </si>
  <si>
    <t>christopherchinsee1@noemail.com</t>
  </si>
  <si>
    <t>symens@charter.net</t>
  </si>
  <si>
    <t>2024-09-14</t>
  </si>
  <si>
    <t>b8xggkvrp7@m.expediapartnercentral.com</t>
  </si>
  <si>
    <t>timminers1@noemail.com</t>
  </si>
  <si>
    <t>qc69juqdjh@m.expediapartnercentral.com</t>
  </si>
  <si>
    <t>kenbarber1@noemail.com</t>
  </si>
  <si>
    <t>royoday1@noemail.com</t>
  </si>
  <si>
    <t>kuyagwaan1@noemail.com</t>
  </si>
  <si>
    <t>patrickostermyer1@noemail.com</t>
  </si>
  <si>
    <t>douglas.throener@valmont.com</t>
  </si>
  <si>
    <t>garlandsizemore1@noemail.com</t>
  </si>
  <si>
    <t>rita_pavlik@yahoo.com</t>
  </si>
  <si>
    <t>kvf2wqe126@m.expediapartnercentral.com</t>
  </si>
  <si>
    <t>golfergal60@yahoo.com</t>
  </si>
  <si>
    <t>17px986c5w@m.expediapartnercentral.com</t>
  </si>
  <si>
    <t>taylorwidner1@noemail.com</t>
  </si>
  <si>
    <t>rt1c9amd0m@m.expediapartnercentral.com</t>
  </si>
  <si>
    <t>2024-08-07</t>
  </si>
  <si>
    <t>brandonalke1@noemail.com</t>
  </si>
  <si>
    <t>garylowe1@noemail.com</t>
  </si>
  <si>
    <t>josephschneider1@noemail.com</t>
  </si>
  <si>
    <t>1ohku4wdnq@m.expediapartnercentral.com</t>
  </si>
  <si>
    <t>mjylx348ek@m.expediapartnercentral.com</t>
  </si>
  <si>
    <t>marktigner1@noemail.com</t>
  </si>
  <si>
    <t>shanata54@yahoo.com</t>
  </si>
  <si>
    <t>vstelfox2000@yahoo.com</t>
  </si>
  <si>
    <t>kdprudd@aol.com</t>
  </si>
  <si>
    <t>pollyruth1@noemail.com</t>
  </si>
  <si>
    <t>mistyterrell1@noemail.com</t>
  </si>
  <si>
    <t>lee.maass06@gmail.com</t>
  </si>
  <si>
    <t>karleenfossum1@noemail.com</t>
  </si>
  <si>
    <t>tcowel.564682@guest.booking.com</t>
  </si>
  <si>
    <t>gschim.166006@guest.booking.com</t>
  </si>
  <si>
    <t>2024-08-21</t>
  </si>
  <si>
    <t>kathleenolson1@noemail.com</t>
  </si>
  <si>
    <t>gip03bclfw@m.expediapartnercentral.com</t>
  </si>
  <si>
    <t>alfredhauglid1@noemail.com</t>
  </si>
  <si>
    <t>cara.lee13@live.com</t>
  </si>
  <si>
    <t>staceystillwell1@noemail.com</t>
  </si>
  <si>
    <t>4adv9h3vco@m.expediapartnercentral.com</t>
  </si>
  <si>
    <t>2024-08-17</t>
  </si>
  <si>
    <t>michaelbreshears1@noemail.com</t>
  </si>
  <si>
    <t>jasoncibrin1@noemail.com</t>
  </si>
  <si>
    <t>lmnulom5yg@m.expediapartnercentral.com</t>
  </si>
  <si>
    <t>2024-08-22</t>
  </si>
  <si>
    <t>chrismoore1@noemail.com</t>
  </si>
  <si>
    <t>ukurt7322@gmail.com</t>
  </si>
  <si>
    <t>amyovery1@noemail.com</t>
  </si>
  <si>
    <t>kpfette@gmail.com</t>
  </si>
  <si>
    <t>casady.lathorm@gmail.com</t>
  </si>
  <si>
    <t>smithmrmrs1@noemail.com</t>
  </si>
  <si>
    <t>juliomolina1@noemail.com</t>
  </si>
  <si>
    <t>jillburg1@noemail.com</t>
  </si>
  <si>
    <t>jrandersen@me.com</t>
  </si>
  <si>
    <t>rjperrin@aol.com</t>
  </si>
  <si>
    <t>lindajriley1952@gmail.com</t>
  </si>
  <si>
    <t>mmartin@basepointba.com</t>
  </si>
  <si>
    <t>2024-08-15</t>
  </si>
  <si>
    <t>scottdeboef1@noemail.com</t>
  </si>
  <si>
    <t>carolreimer1@noemail.com</t>
  </si>
  <si>
    <t>sfredrickson@prattindustries.com</t>
  </si>
  <si>
    <t>faithcoplen1@noemail.com</t>
  </si>
  <si>
    <t>lynaejanke@yahoo.com</t>
  </si>
  <si>
    <t>cricha.174744@guest.booking.com</t>
  </si>
  <si>
    <t>2024-08-16</t>
  </si>
  <si>
    <t>m67ralvokh@m.expediapartnercentral.com</t>
  </si>
  <si>
    <t>mgrohe.119814@guest.booking.com</t>
  </si>
  <si>
    <t>kevin.suel@outlook.com</t>
  </si>
  <si>
    <t>arbidpeterson1@noemail.com</t>
  </si>
  <si>
    <t>jamiesonvision@gmail.com</t>
  </si>
  <si>
    <t>ritamtaggart@icloud.com</t>
  </si>
  <si>
    <t>9vobscskan@m.expediapartnercentral.com</t>
  </si>
  <si>
    <t>renaedarko1@noemail.com</t>
  </si>
  <si>
    <t>2024-08-20</t>
  </si>
  <si>
    <t>schenk02@yahoo.com</t>
  </si>
  <si>
    <t>ky7jiei08i@m.expediapartnercentral.com</t>
  </si>
  <si>
    <t>jennyeperryman@gmail.com</t>
  </si>
  <si>
    <t>hill.kj3@gmail.com</t>
  </si>
  <si>
    <t>kylemckenna1@noemail.com</t>
  </si>
  <si>
    <t>chasehowe1@noemail.com</t>
  </si>
  <si>
    <t>88v34ipkgg@m.expediapartnercentral.com</t>
  </si>
  <si>
    <t>davidmcgeary1@noemail.com</t>
  </si>
  <si>
    <t>randalljohnson1@noemail.com</t>
  </si>
  <si>
    <t>teresajumper1@noemail.com</t>
  </si>
  <si>
    <t>markruopp1@noemail.com</t>
  </si>
  <si>
    <t>mjoel.186612@guest.booking.com</t>
  </si>
  <si>
    <t>chuber.886432@guest.booking.com</t>
  </si>
  <si>
    <t>angelopoletti1@noemail.com</t>
  </si>
  <si>
    <t>2024-08-13</t>
  </si>
  <si>
    <t>amz_65@hotmail.com</t>
  </si>
  <si>
    <t>d57687@gmail.com</t>
  </si>
  <si>
    <t>chiroben1@gmail.com</t>
  </si>
  <si>
    <t>tim.sigdahl@gmail.com</t>
  </si>
  <si>
    <t>2024-08-14</t>
  </si>
  <si>
    <t>rnelson@vigenconstruction.com</t>
  </si>
  <si>
    <t>kristenpainter1@noemail.com</t>
  </si>
  <si>
    <t>hugootero1@noemail.com</t>
  </si>
  <si>
    <t>corbingodfrey1@noemail.com</t>
  </si>
  <si>
    <t>colinkelly1@noemail.com</t>
  </si>
  <si>
    <t>beckyruddle1@noemail.com</t>
  </si>
  <si>
    <t>aidantarango1@noemail.com</t>
  </si>
  <si>
    <t>benchristen1@noemail.com</t>
  </si>
  <si>
    <t>darlenenothnagel1@noemail.com</t>
  </si>
  <si>
    <t>jfritz.391714@guest.booking.com</t>
  </si>
  <si>
    <t>aaroncochran1@noemail.com</t>
  </si>
  <si>
    <t>1p2x5msuja@m.expediapartnercentral.com</t>
  </si>
  <si>
    <t>tomglines1@noemail.com</t>
  </si>
  <si>
    <t>bwallace@prestigeautocorp.com</t>
  </si>
  <si>
    <t>lornelarson1@noemail.com</t>
  </si>
  <si>
    <t>alexisvolkers1@noemail.com</t>
  </si>
  <si>
    <t>debgl57@gmail.com</t>
  </si>
  <si>
    <t>2024-09-02</t>
  </si>
  <si>
    <t>63wdqqv0qu@m.expediapartnercentral.com</t>
  </si>
  <si>
    <t>blaindamullin1@noemail.com</t>
  </si>
  <si>
    <t>mbrugg.658409@guest.booking.com</t>
  </si>
  <si>
    <t>wp6keg8icx@m.expediapartnercentral.com</t>
  </si>
  <si>
    <t>7rsuab77df@m.expediapartnercentral.com</t>
  </si>
  <si>
    <t>carolwahlen1@noemail.com</t>
  </si>
  <si>
    <t>jasongiovannettone1@noemail.com</t>
  </si>
  <si>
    <t>NA@NA.com</t>
  </si>
  <si>
    <t>tobysimpson1@noemail.com</t>
  </si>
  <si>
    <t>7ujvt7jkuy@m.expediapartnercentral.com</t>
  </si>
  <si>
    <t>danielluepke1@noemail.com</t>
  </si>
  <si>
    <t>pjburch1923@gmail.com</t>
  </si>
  <si>
    <t>2024-09-07</t>
  </si>
  <si>
    <t>lbarcalow@iearad.com</t>
  </si>
  <si>
    <t>clark.leslie92@gmail.com</t>
  </si>
  <si>
    <t>jjungwir@gmail.com</t>
  </si>
  <si>
    <t>marshamiller@cox.net</t>
  </si>
  <si>
    <t>qj2re52aer@m.expediapartnercentral.com</t>
  </si>
  <si>
    <t>2024-08-30</t>
  </si>
  <si>
    <t>mir82q6euw@m.expediapartnercentral.com</t>
  </si>
  <si>
    <t>tcole017@gmail.com</t>
  </si>
  <si>
    <t>9kxnokvhky@m.expediapartnercentral.com</t>
  </si>
  <si>
    <t>ronaldforbes1@noemail.com</t>
  </si>
  <si>
    <t>maryanderson1@noemail.com</t>
  </si>
  <si>
    <t>nander.882106@guest.booking.com</t>
  </si>
  <si>
    <t>2024-08-23</t>
  </si>
  <si>
    <t>4aj2ddb2k8@m.expediapartnercentral.com</t>
  </si>
  <si>
    <t>tonypalaniuk1@noemail.com</t>
  </si>
  <si>
    <t>marquesfox23@gmail.com</t>
  </si>
  <si>
    <t>emitoribio@gmail.com</t>
  </si>
  <si>
    <t>ysvnfvt5j3@m.expediapartnercentral.com</t>
  </si>
  <si>
    <t>cb97w63p06@m.expediapartnercentral.com</t>
  </si>
  <si>
    <t>deanheins1@noemail.com</t>
  </si>
  <si>
    <t>atorda.366180@guest.booking.com</t>
  </si>
  <si>
    <t>wise.blaine25@gmail.com</t>
  </si>
  <si>
    <t>scottfredrickson1@noemail.com</t>
  </si>
  <si>
    <t>sloves@neighborhooddentalcare.com</t>
  </si>
  <si>
    <t>rrubsam@tcaexpress.net</t>
  </si>
  <si>
    <t>8olll4ofas@m.expediapartnercentral.com</t>
  </si>
  <si>
    <t>mchuinard11@comcast.net</t>
  </si>
  <si>
    <t>steven.brings@telcomconstruction.com</t>
  </si>
  <si>
    <t>mskmusalx4@m.expediapartnercentral.com</t>
  </si>
  <si>
    <t>seney_melody@yahoo.com</t>
  </si>
  <si>
    <t>jessicavisser1@noemail.com</t>
  </si>
  <si>
    <t>gijones530@gmail.com</t>
  </si>
  <si>
    <t>djonaeujfj@m.expediapartnercentral.com</t>
  </si>
  <si>
    <t>cliftonyeager1@noemail.com</t>
  </si>
  <si>
    <t>6h3kpnjc29@m.expediapartnercentral.com</t>
  </si>
  <si>
    <t>dgsims@gmail.com</t>
  </si>
  <si>
    <t>h382l7lpt5@m.expediapartnercentral.com</t>
  </si>
  <si>
    <t>adrisc.825521@guest.booking.com</t>
  </si>
  <si>
    <t>2024-08-26</t>
  </si>
  <si>
    <t>8aa5qi205x@m.expediapartnercentral.com</t>
  </si>
  <si>
    <t>lance.searcy@yahoo.com</t>
  </si>
  <si>
    <t>1vox1ntmd8@m.expediapartnercentral.com</t>
  </si>
  <si>
    <t>cnolzy4@gmail.com</t>
  </si>
  <si>
    <t>8vf3itkbg7@m.expediapartnercentral.com</t>
  </si>
  <si>
    <t>2024-08-28</t>
  </si>
  <si>
    <t>7lsj2qvjfx@m.expediapartnercentral.com</t>
  </si>
  <si>
    <t>jangli.247657@guest.booking.com</t>
  </si>
  <si>
    <t>sscvfwu4ee@m.expediapartnercentral.com</t>
  </si>
  <si>
    <t>zpen1958@gmail.com</t>
  </si>
  <si>
    <t>acdrake@live.com</t>
  </si>
  <si>
    <t>greggschaefer1@noemail.com</t>
  </si>
  <si>
    <t>fossumg@puetzdesignbuild.com</t>
  </si>
  <si>
    <t>irqgg9l4mr@m.expediapartnercentral.com</t>
  </si>
  <si>
    <t>rjohan.637345@guest.booking.com</t>
  </si>
  <si>
    <t>2024-09-16</t>
  </si>
  <si>
    <t>2024-09-03</t>
  </si>
  <si>
    <t>matthewoxford1@noemail.com</t>
  </si>
  <si>
    <t>robertbinkley1@noemail.com</t>
  </si>
  <si>
    <t>waldemarchavez1@noemail.com</t>
  </si>
  <si>
    <t>jonhagen1@noemail.com</t>
  </si>
  <si>
    <t>andyrieffenberger1@noemail.com</t>
  </si>
  <si>
    <t>jolynnedwards1@noemail.com</t>
  </si>
  <si>
    <t>danesser@nrctv.com</t>
  </si>
  <si>
    <t>audrey.poskey@yahoo.com</t>
  </si>
  <si>
    <t>ishmealkeita1@noemail.com</t>
  </si>
  <si>
    <t>mariah.volesky@outlook.com</t>
  </si>
  <si>
    <t>anetamergen1@noemail.com</t>
  </si>
  <si>
    <t>kesn0001@d.umn.edu</t>
  </si>
  <si>
    <t>josephbarth1@noemail.com</t>
  </si>
  <si>
    <t>zsazsa104@gmail.com</t>
  </si>
  <si>
    <t>bhomeier@msn.com</t>
  </si>
  <si>
    <t>stevenhiggins1@noemail.com</t>
  </si>
  <si>
    <t>gianjama@ndsupernet.com</t>
  </si>
  <si>
    <t>niki.rethke@outlook.com</t>
  </si>
  <si>
    <t>cgpldow71u@m.expediapartnercentral.com</t>
  </si>
  <si>
    <t>if8pqckyta@m.expediapartnercentral.com</t>
  </si>
  <si>
    <t>fncu8mxk46@m.expediapartnercentral.com</t>
  </si>
  <si>
    <t>9h4wjo448v@m.expediapartnercentral.com</t>
  </si>
  <si>
    <t>3kq434154q@m.expediapartnercentral.com</t>
  </si>
  <si>
    <t>henrichempire@gmail.com</t>
  </si>
  <si>
    <t>jason.dukatz@gmail.com</t>
  </si>
  <si>
    <t>nrsg1994@yahoo.com</t>
  </si>
  <si>
    <t>dsteffenbrewer@yahoo.com</t>
  </si>
  <si>
    <t>2024-09-18</t>
  </si>
  <si>
    <t>jweber.219438@guest.booking.com</t>
  </si>
  <si>
    <t>stevenmacdonald1@noemail.com</t>
  </si>
  <si>
    <t>trabgye13@yahoo.com</t>
  </si>
  <si>
    <t>tracywatkins09@gmail.com</t>
  </si>
  <si>
    <t>ms.christina.hesslau@gmail.com</t>
  </si>
  <si>
    <t>brianaburk1@noemail.com</t>
  </si>
  <si>
    <t>cheohernandez1@noemail.com</t>
  </si>
  <si>
    <t>eileenscheidt1@noemail.com</t>
  </si>
  <si>
    <t>davidshumate1@noemail.com</t>
  </si>
  <si>
    <t>x9vck1jmaf@m.expediapartnercentral.com</t>
  </si>
  <si>
    <t>codysamelson1@noemail.com</t>
  </si>
  <si>
    <t>maryannjemtrud1@noemail.com</t>
  </si>
  <si>
    <t>i7702h8uoe@m.expediapartnercentral.com</t>
  </si>
  <si>
    <t>curtissantjer1@noemail.com</t>
  </si>
  <si>
    <t>patricktope1@noemail.com</t>
  </si>
  <si>
    <t>terrirussell1@noemail.com</t>
  </si>
  <si>
    <t>michaelohara1@noemail.com</t>
  </si>
  <si>
    <t>dawnaforward1@noemail.com</t>
  </si>
  <si>
    <t>18yhim78xm@m.expediapartnercentral.com</t>
  </si>
  <si>
    <t>timothysmith1@noemail.com</t>
  </si>
  <si>
    <t>stephengnade1@noemail.com</t>
  </si>
  <si>
    <t>michaelmishler1@noemail.com</t>
  </si>
  <si>
    <t>2024-09-06</t>
  </si>
  <si>
    <t>virginiacharles1@noemail.com</t>
  </si>
  <si>
    <t>jeffreymanke1@noemail.com</t>
  </si>
  <si>
    <t>abitvpgb0b@m.expediapartnercentral.com</t>
  </si>
  <si>
    <t>afenne.824858@guest.booking.com</t>
  </si>
  <si>
    <t>astear.499438@guest.booking.com</t>
  </si>
  <si>
    <t>kmalmquist@aol.com</t>
  </si>
  <si>
    <t>john.palmer@intergratedglobal.com</t>
  </si>
  <si>
    <t>timothyfields1@noemail.com</t>
  </si>
  <si>
    <t>amandazeisler1@noemail.com</t>
  </si>
  <si>
    <t>silasgross1@noemail.com</t>
  </si>
  <si>
    <t>joeymoore1@noemail.com</t>
  </si>
  <si>
    <t>frankschmitt1@noemail.com</t>
  </si>
  <si>
    <t>louispierro1@noemail.com</t>
  </si>
  <si>
    <t>2024-09-09</t>
  </si>
  <si>
    <t>aisha.abbink@outlook.com</t>
  </si>
  <si>
    <t>lundermanm33@gmail.com</t>
  </si>
  <si>
    <t>castle91355@aol.com</t>
  </si>
  <si>
    <t>noahbrown1@noemail.com</t>
  </si>
  <si>
    <t>rcu5vdj0dy@m.expediapartnercentral.com</t>
  </si>
  <si>
    <t>mdohm.232505@guest.booking.com</t>
  </si>
  <si>
    <t>2024-09-04</t>
  </si>
  <si>
    <t>deborahmiller254@gmail.com</t>
  </si>
  <si>
    <t>27a205w0mf@m.expediapartnercentral.com</t>
  </si>
  <si>
    <t>rebeccarogers52810@gmail.com</t>
  </si>
  <si>
    <t>2024-09-19</t>
  </si>
  <si>
    <t>jensyengle1@noemail.com</t>
  </si>
  <si>
    <t>ttomke22@gmail.com</t>
  </si>
  <si>
    <t>2024-09-13</t>
  </si>
  <si>
    <t>tpo-13@hotmail.com</t>
  </si>
  <si>
    <t>2024-09-05</t>
  </si>
  <si>
    <t>hs2r6ytsru@m.expediapartnercentral.com</t>
  </si>
  <si>
    <t>15cnk0xdbv@m.expediapartnercentral.com</t>
  </si>
  <si>
    <t>montanajedi@gmail.com</t>
  </si>
  <si>
    <t>bryanadarling@gmail.com</t>
  </si>
  <si>
    <t>kofiallen1@noemail.com</t>
  </si>
  <si>
    <t>diane@flrsanders.com</t>
  </si>
  <si>
    <t>q7tyddts6f@m.expediapartnercentral.com</t>
  </si>
  <si>
    <t>dilloncostello1@noemail.com</t>
  </si>
  <si>
    <t>s333sf8ts2@m.expediapartnercentral.com</t>
  </si>
  <si>
    <t>mjbmw78iiq@m.expediapartnercentral.com</t>
  </si>
  <si>
    <t>kocerjoe@gmail.com</t>
  </si>
  <si>
    <t>d.loeffelholz@yahoo.com</t>
  </si>
  <si>
    <t>gpmmxi7k0f@m.expediapartnercentral.com</t>
  </si>
  <si>
    <t>larson_sharon@hotmail.com</t>
  </si>
  <si>
    <t>vosbergtim@gmail.com</t>
  </si>
  <si>
    <t>andrewtaylor1@noemail.com</t>
  </si>
  <si>
    <t>jeffreyiverson1@noemail.com</t>
  </si>
  <si>
    <t>roxanne34@icloud.com</t>
  </si>
  <si>
    <t>elizabethdavis1@noemail.com</t>
  </si>
  <si>
    <t>iqivcdhw07@m.expediapartnercentral.com</t>
  </si>
  <si>
    <t>luisramos1@noemail.com</t>
  </si>
  <si>
    <t>5ss96d4e6h@m.expediapartnercentral.com</t>
  </si>
  <si>
    <t>h11hrn4csn@m.expediapartnercentral.com</t>
  </si>
  <si>
    <t>stevewhitaker1@noemail.com</t>
  </si>
  <si>
    <t>guyshalla1@noemail.com</t>
  </si>
  <si>
    <t>maxjenem@msn.com</t>
  </si>
  <si>
    <t>imfrzn@polarcomm.com</t>
  </si>
  <si>
    <t>justin.foss@kniferiver.com</t>
  </si>
  <si>
    <t>2024-09-11</t>
  </si>
  <si>
    <t>238b4cx5ep@m.expediapartnercentral.com</t>
  </si>
  <si>
    <t>s158tc4g8s@m.expediapartnercentral.com</t>
  </si>
  <si>
    <t>wr4mkshlja@m.expediapartnercentral.com</t>
  </si>
  <si>
    <t>jeffkoster1@noemail.com</t>
  </si>
  <si>
    <t>bobbalouhahoo@gmail.com</t>
  </si>
  <si>
    <t>calebherrington1@noemail.com</t>
  </si>
  <si>
    <t>antunezmartinez1@noemail.com</t>
  </si>
  <si>
    <t>samuelalimas1@noemail.com</t>
  </si>
  <si>
    <t>parkervybiral1@noemail.com</t>
  </si>
  <si>
    <t>angelovj@hotmail.com</t>
  </si>
  <si>
    <t>pc2k2ttnts@m.expediapartnercentral.com</t>
  </si>
  <si>
    <t>osjftv03ak@m.expediapartnercentral.com</t>
  </si>
  <si>
    <t>jamessadlowsky1@noemail.com</t>
  </si>
  <si>
    <t>tomglegassman@triotel.net</t>
  </si>
  <si>
    <t>pamtramp1@noemail.com</t>
  </si>
  <si>
    <t>tracyjohnston1@noemail.com</t>
  </si>
  <si>
    <t>larryberg1@noemail.com</t>
  </si>
  <si>
    <t>coachcollins.nick@gmail.com</t>
  </si>
  <si>
    <t>trinastephenson1@noemail.com</t>
  </si>
  <si>
    <t>l4vqiyk98a@m.expediapartnercentral.com</t>
  </si>
  <si>
    <t>2024-09-17</t>
  </si>
  <si>
    <t>laniceminer1@noemail.com</t>
  </si>
  <si>
    <t>n651ug69ro@m.expediapartnercentral.com</t>
  </si>
  <si>
    <t>lefforgejl89@outlook.com</t>
  </si>
  <si>
    <t>66ocwwp1h0@m.expediapartnercentral.com</t>
  </si>
  <si>
    <t>bpeepl.659190@guest.booking.com</t>
  </si>
  <si>
    <t>larryl@adamspestcontrol.com</t>
  </si>
  <si>
    <t>dsmith.145002@guest.booking.com</t>
  </si>
  <si>
    <t>thende.922493@guest.booking.com</t>
  </si>
  <si>
    <t>riley@flatlandusa.com</t>
  </si>
  <si>
    <t>nicolelhofman@gmail.com</t>
  </si>
  <si>
    <t>angelastephenson1@noemail.com</t>
  </si>
  <si>
    <t>kimberlytaylor1@noemail.com</t>
  </si>
  <si>
    <t>anewma.339065@guest.booking.com</t>
  </si>
  <si>
    <t>hollyrawlings1@noemail.com</t>
  </si>
  <si>
    <t>kyleadamdaniels1@noemail.com</t>
  </si>
  <si>
    <t>2024-09-20</t>
  </si>
  <si>
    <t>amandatheurer1@noemail.com</t>
  </si>
  <si>
    <t>2024-09-12</t>
  </si>
  <si>
    <t>harveymoon1@noemail.com</t>
  </si>
  <si>
    <t>43nmnl3dmw@m.expediapartnercentral.com</t>
  </si>
  <si>
    <t>lisafoley1@noemail.com</t>
  </si>
  <si>
    <t>mmorri.542900@guest.booking.com</t>
  </si>
  <si>
    <t>thadbriggs@grossenburg.com</t>
  </si>
  <si>
    <t>larissastrong1@gmail.com</t>
  </si>
  <si>
    <t>4wsawepprv@m.expediapartnercentral.com</t>
  </si>
  <si>
    <t>a2pia0l5ye@m.expediapartnercentral.com</t>
  </si>
  <si>
    <t>troykrieger1@noemail.com</t>
  </si>
  <si>
    <t>billyriley1@noemail.com</t>
  </si>
  <si>
    <t>ihti8xgfs2@m.expediapartnercentral.com</t>
  </si>
  <si>
    <t>danmaninga1@noemail.com</t>
  </si>
  <si>
    <t>allenschilling1@noemail.com</t>
  </si>
  <si>
    <t>paulabusack1@noemail.com</t>
  </si>
  <si>
    <t>anthonydobyns1@noemail.com</t>
  </si>
  <si>
    <t>lj40102.lj@gmail.com</t>
  </si>
  <si>
    <t>lx93nkyhj4@m.expediapartnercentral.com</t>
  </si>
  <si>
    <t>ei6jgt1vwo@m.expediapartnercentral.com</t>
  </si>
  <si>
    <t>hruckd.900369@guest.booking.com</t>
  </si>
  <si>
    <t>dbeek.455936@guest.booking.com</t>
  </si>
  <si>
    <t>tammybergerson1@noemail.com</t>
  </si>
  <si>
    <t>dmedy15jra@m.expediapartnercentral.com</t>
  </si>
  <si>
    <t>jrwurtzler@centurylink.net</t>
  </si>
  <si>
    <t>77488ivl2s@m.expediapartnercentral.com</t>
  </si>
  <si>
    <t>paytonjohnson084@gmail.com</t>
  </si>
  <si>
    <t>monicakayhaugen@yahoo.com</t>
  </si>
  <si>
    <t>ajohns.147334@guest.booking.com</t>
  </si>
  <si>
    <t>melody2840@icloud.com</t>
  </si>
  <si>
    <t>teundergroundoffice@gmail.com</t>
  </si>
  <si>
    <t>a7y6abmrlc@m.expediapartnercentral.com</t>
  </si>
  <si>
    <t>maxineclark1@noemail.com</t>
  </si>
  <si>
    <t>thomasmuller1@noemail.com</t>
  </si>
  <si>
    <t>7yv3ophtvv@m.expediapartnercentral.com</t>
  </si>
  <si>
    <t>stepanek.alex@gmail.com</t>
  </si>
  <si>
    <t>invuojmehv@m.expediapartnercentral.com</t>
  </si>
  <si>
    <t>michealmorris1@noemail.com</t>
  </si>
  <si>
    <t>corybingham1@noemail.com</t>
  </si>
  <si>
    <t>rrodri.786270@guest.booking.com</t>
  </si>
  <si>
    <t>johnnypeters1@noemail.com</t>
  </si>
  <si>
    <t>jw39uv0xhc@m.expediapartnercentral.com</t>
  </si>
  <si>
    <t>jeffreyburke1@noemail.com</t>
  </si>
  <si>
    <t>christophermakowieck1@noemail.com</t>
  </si>
  <si>
    <t>rodneygehrke1@noemail.com</t>
  </si>
  <si>
    <t>ravulrodriguez1@noemail.com</t>
  </si>
  <si>
    <t>lucaslessert1@noemail.com</t>
  </si>
  <si>
    <t>wesleythompson1@noemail.com</t>
  </si>
  <si>
    <t>Phone</t>
  </si>
  <si>
    <t>jpbusack@redred.com</t>
  </si>
  <si>
    <t>2024-09-26</t>
  </si>
  <si>
    <t>SiteMinder</t>
  </si>
  <si>
    <t>Walk-In</t>
  </si>
  <si>
    <t>tmorri.423486@guest.booking.com</t>
  </si>
  <si>
    <t>dkjoachim47@gmail.com</t>
  </si>
  <si>
    <t>2024-12-01</t>
  </si>
  <si>
    <t>trhode.849681@guest.booking.com</t>
  </si>
  <si>
    <t>i1q84712ub@m.expediapartnercentral.com</t>
  </si>
  <si>
    <t>2024-12-24</t>
  </si>
  <si>
    <t>ozimig.136753@guest.booking.com</t>
  </si>
  <si>
    <t>2025-04-14</t>
  </si>
  <si>
    <t>dschae.913480@guest.booking.com</t>
  </si>
  <si>
    <t>2025-03-31</t>
  </si>
  <si>
    <t>pmccall@rivertonwy.gov</t>
  </si>
  <si>
    <t>2025-05-24</t>
  </si>
  <si>
    <t>mkeste.952026@guest.booking.com</t>
  </si>
  <si>
    <t>2025-08-10</t>
  </si>
  <si>
    <t>cdubs.124018@guest.booking.com</t>
  </si>
  <si>
    <t>2025-07-16</t>
  </si>
  <si>
    <t>asopet.463954@guest.booking.com</t>
  </si>
  <si>
    <t>2025-06-27</t>
  </si>
  <si>
    <t>deborahdiss@gmail.com</t>
  </si>
  <si>
    <t>2025-09-13</t>
  </si>
  <si>
    <t>2026-01-15</t>
  </si>
  <si>
    <t>2026-03-30</t>
  </si>
  <si>
    <t>2026-04-29</t>
  </si>
  <si>
    <t>wg1pmb0kar@m.expediapartnercentral.com</t>
  </si>
  <si>
    <t>2026-04-17</t>
  </si>
  <si>
    <t>jayle.mccoy@gmail.com</t>
  </si>
  <si>
    <t>2026-04-30</t>
  </si>
  <si>
    <t>redpony448@gmail.com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</si>
</sst>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793"/>
  <sheetViews>
    <sheetView tabSelected="1" topLeftCell="A13770" workbookViewId="0">
      <selection activeCell="A13888" sqref="A13794:XFD13888"/>
    </sheetView>
  </sheetViews>
  <sheetFormatPr defaultRowHeight="14.4" x14ac:dyDescent="0.3"/>
  <cols>
    <col min="1" max="1" width="18.44140625" bestFit="1" customWidth="1"/>
    <col min="2" max="2" width="16.6640625" bestFit="1" customWidth="1"/>
    <col min="3" max="3" width="27" bestFit="1" customWidth="1"/>
    <col min="4" max="4" width="41.109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tr">
        <f>HYPERLINK("https://us2.cloudbeds.com/connect/10074733072513#/reservations/9080486848629225?display=4RP3DK343Q&amp;reservation_id=9080486848629225", "4RP3DK343Q")</f>
        <v>4RP3DK343Q</v>
      </c>
      <c r="B2" t="s">
        <v>10</v>
      </c>
      <c r="C2" t="s">
        <v>20</v>
      </c>
      <c r="D2" t="str">
        <f>HYPERLINK("https://us2.cloudbeds.com/connect/10074733072513#/reservations/9080486848629225?display=Lynette%20Helgeson&amp;reservation_id=9080486848629225&amp;guest_id=224688837238912", "Lynette Helgeson")</f>
        <v>Lynette Helgeson</v>
      </c>
      <c r="E2" t="s">
        <v>13460</v>
      </c>
      <c r="F2" t="s">
        <v>13455</v>
      </c>
      <c r="G2">
        <v>111.6</v>
      </c>
      <c r="H2">
        <v>151.31</v>
      </c>
      <c r="I2">
        <v>152.97999999999999</v>
      </c>
      <c r="J2">
        <v>-1.67</v>
      </c>
    </row>
    <row r="3" spans="1:10" x14ac:dyDescent="0.3">
      <c r="A3" t="str">
        <f>HYPERLINK("https://us2.cloudbeds.com/connect/10074733072513#/reservations/32490601336981?display=N3BT5YRN6&amp;reservation_id=32490601336981", "N3BT5YRN6")</f>
        <v>N3BT5YRN6</v>
      </c>
      <c r="B3" t="s">
        <v>10</v>
      </c>
      <c r="C3" t="s">
        <v>13431</v>
      </c>
      <c r="D3" t="str">
        <f>HYPERLINK("https://us2.cloudbeds.com/connect/10074733072513#/reservations/32490601336981?display=Tara%20Morris&amp;reservation_id=32490601336981&amp;guest_id=32490601336979", "Tara Morris")</f>
        <v>Tara Morris</v>
      </c>
      <c r="E3" t="s">
        <v>13433</v>
      </c>
      <c r="F3" t="s">
        <v>11883</v>
      </c>
      <c r="G3">
        <v>417.82</v>
      </c>
      <c r="H3">
        <v>454.17</v>
      </c>
      <c r="I3">
        <v>455.8</v>
      </c>
      <c r="J3">
        <v>-1.63</v>
      </c>
    </row>
    <row r="4" spans="1:10" x14ac:dyDescent="0.3">
      <c r="A4" t="str">
        <f>HYPERLINK("https://us2.cloudbeds.com/connect/10074733072513#/reservations/83898253435043?display=1QYJFRJSPD&amp;reservation_id=83898253435043", "1QYJFRJSPD")</f>
        <v>1QYJFRJSPD</v>
      </c>
      <c r="B4" t="s">
        <v>10</v>
      </c>
      <c r="C4" t="s">
        <v>20</v>
      </c>
      <c r="D4" t="str">
        <f>HYPERLINK("https://us2.cloudbeds.com/connect/10074733072513#/reservations/83898253435043?display=Deanna%20Schaefers&amp;reservation_id=83898253435043&amp;guest_id=83898253435041", "Deanna Schaefers")</f>
        <v>Deanna Schaefers</v>
      </c>
      <c r="E4" t="s">
        <v>13441</v>
      </c>
      <c r="F4" t="s">
        <v>13442</v>
      </c>
      <c r="G4">
        <v>536.45000000000005</v>
      </c>
      <c r="H4">
        <v>583.13</v>
      </c>
      <c r="I4">
        <v>584.73</v>
      </c>
      <c r="J4">
        <v>-1.6</v>
      </c>
    </row>
    <row r="5" spans="1:10" x14ac:dyDescent="0.3">
      <c r="A5" t="str">
        <f>HYPERLINK("https://us2.cloudbeds.com/connect/10074733072513#/reservations/214719546536128?display=4KM6233F2J&amp;reservation_id=214719546536128", "4KM6233F2J")</f>
        <v>4KM6233F2J</v>
      </c>
      <c r="B5" t="s">
        <v>10</v>
      </c>
      <c r="C5" t="s">
        <v>13432</v>
      </c>
      <c r="D5" t="str">
        <f>HYPERLINK("https://us2.cloudbeds.com/connect/10074733072513#/reservations/214719546536128?display=ihor%20korolevych&amp;reservation_id=214719546536128&amp;guest_id=214719545086144", "ihor korolevych")</f>
        <v>ihor korolevych</v>
      </c>
      <c r="E5" t="s">
        <v>9459</v>
      </c>
      <c r="F5" t="s">
        <v>13454</v>
      </c>
      <c r="G5">
        <v>102.6</v>
      </c>
      <c r="H5">
        <v>111.53</v>
      </c>
      <c r="I5">
        <v>113.05</v>
      </c>
      <c r="J5">
        <v>-1.52</v>
      </c>
    </row>
    <row r="6" spans="1:10" x14ac:dyDescent="0.3">
      <c r="A6" t="str">
        <f>HYPERLINK("https://us2.cloudbeds.com/connect/10074733072513#/reservations/9080486846206015?display=2GHKKF5BR0&amp;reservation_id=9080486846206015", "2GHKKF5BR0")</f>
        <v>2GHKKF5BR0</v>
      </c>
      <c r="B6" t="s">
        <v>10</v>
      </c>
      <c r="C6" t="s">
        <v>20</v>
      </c>
      <c r="D6" t="str">
        <f>HYPERLINK("https://us2.cloudbeds.com/connect/10074733072513#/reservations/9080486846206015?display=Aaron%20Sopeth&amp;reservation_id=9080486846206015&amp;guest_id=116076650274980", "Aaron Sopeth")</f>
        <v>Aaron Sopeth</v>
      </c>
      <c r="E6" t="s">
        <v>13449</v>
      </c>
      <c r="F6" t="s">
        <v>13450</v>
      </c>
      <c r="G6">
        <v>464.4</v>
      </c>
      <c r="H6">
        <v>504.8</v>
      </c>
      <c r="I6">
        <v>506.2</v>
      </c>
      <c r="J6">
        <v>-1.4</v>
      </c>
    </row>
    <row r="7" spans="1:10" x14ac:dyDescent="0.3">
      <c r="A7" t="str">
        <f>HYPERLINK("https://us2.cloudbeds.com/connect/10074733072513#/reservations/79934658117862?display=1NRJDQ1DCU&amp;reservation_id=79934658117862", "1NRJDQ1DCU")</f>
        <v>1NRJDQ1DCU</v>
      </c>
      <c r="B7" t="s">
        <v>10</v>
      </c>
      <c r="C7" t="s">
        <v>20</v>
      </c>
      <c r="D7" t="str">
        <f>HYPERLINK("https://us2.cloudbeds.com/connect/10074733072513#/reservations/79934658117862?display=Okoye%20Zimiga-Holloway&amp;reservation_id=79934658117862&amp;guest_id=79934658117859", "Okoye Zimiga-Holloway")</f>
        <v>Okoye Zimiga-Holloway</v>
      </c>
      <c r="E7" t="s">
        <v>13439</v>
      </c>
      <c r="F7" t="s">
        <v>13440</v>
      </c>
      <c r="G7">
        <v>468.3</v>
      </c>
      <c r="H7">
        <v>509.05</v>
      </c>
      <c r="I7">
        <v>510.36</v>
      </c>
      <c r="J7">
        <v>-1.31</v>
      </c>
    </row>
    <row r="8" spans="1:10" x14ac:dyDescent="0.3">
      <c r="A8" t="str">
        <f>HYPERLINK("https://us2.cloudbeds.com/connect/10074733072513#/reservations/9080486846052759?display=2BGQ1218DM&amp;reservation_id=9080486846052759", "2BGQ1218DM")</f>
        <v>2BGQ1218DM</v>
      </c>
      <c r="B8" t="s">
        <v>10</v>
      </c>
      <c r="C8" t="s">
        <v>20</v>
      </c>
      <c r="D8" t="str">
        <f>HYPERLINK("https://us2.cloudbeds.com/connect/10074733072513#/reservations/9080486846052759?display=CHARLENE%20DUBS&amp;reservation_id=9080486846052759&amp;guest_id=109008978411717", "CHARLENE DUBS")</f>
        <v>CHARLENE DUBS</v>
      </c>
      <c r="E8" t="s">
        <v>13447</v>
      </c>
      <c r="F8" t="s">
        <v>13448</v>
      </c>
      <c r="G8">
        <v>417</v>
      </c>
      <c r="H8">
        <v>453.3</v>
      </c>
      <c r="I8">
        <v>454.53</v>
      </c>
      <c r="J8">
        <v>-1.23</v>
      </c>
    </row>
    <row r="9" spans="1:10" x14ac:dyDescent="0.3">
      <c r="A9" t="str">
        <f>HYPERLINK("https://us2.cloudbeds.com/connect/10074733072513#/reservations/9080486845777841?display=1UE54593UW&amp;reservation_id=9080486845777841", "1UE54593UW")</f>
        <v>1UE54593UW</v>
      </c>
      <c r="B9" t="s">
        <v>10</v>
      </c>
      <c r="C9" t="s">
        <v>20</v>
      </c>
      <c r="D9" t="str">
        <f>HYPERLINK("https://us2.cloudbeds.com/connect/10074733072513#/reservations/9080486845777841?display=Missy%20Kestel&amp;reservation_id=9080486845777841&amp;guest_id=89207021289604", "Missy Kestel")</f>
        <v>Missy Kestel</v>
      </c>
      <c r="E9" t="s">
        <v>13445</v>
      </c>
      <c r="F9" t="s">
        <v>13446</v>
      </c>
      <c r="G9">
        <v>398</v>
      </c>
      <c r="H9">
        <v>432.64</v>
      </c>
      <c r="I9">
        <v>433.82</v>
      </c>
      <c r="J9">
        <v>-1.18</v>
      </c>
    </row>
    <row r="10" spans="1:10" x14ac:dyDescent="0.3">
      <c r="A10" t="str">
        <f>HYPERLINK("https://us2.cloudbeds.com/connect/10074733072513#/reservations/17963472675008?display=CPGBBW587&amp;reservation_id=17963472675008", "CPGBBW587")</f>
        <v>CPGBBW587</v>
      </c>
      <c r="B10" t="s">
        <v>10</v>
      </c>
      <c r="C10" t="s">
        <v>42</v>
      </c>
      <c r="D10" t="str">
        <f>HYPERLINK("https://us2.cloudbeds.com/connect/10074733072513#/reservations/17963472675008?display=Elsa%20Hemminger&amp;reservation_id=17963472675008&amp;guest_id=17963472670974", "Elsa Hemminger")</f>
        <v>Elsa Hemminger</v>
      </c>
      <c r="E10" t="s">
        <v>11239</v>
      </c>
      <c r="F10" t="s">
        <v>11240</v>
      </c>
      <c r="G10">
        <v>298</v>
      </c>
      <c r="H10">
        <v>323.94</v>
      </c>
      <c r="I10">
        <v>324.94</v>
      </c>
      <c r="J10">
        <v>-1</v>
      </c>
    </row>
    <row r="11" spans="1:10" x14ac:dyDescent="0.3">
      <c r="A11" t="str">
        <f>HYPERLINK("https://us2.cloudbeds.com/connect/10074733072513#/reservations/35779631403258?display=PEHKGUQW5&amp;reservation_id=35779631403258", "PEHKGUQW5")</f>
        <v>PEHKGUQW5</v>
      </c>
      <c r="B11" t="s">
        <v>10</v>
      </c>
      <c r="C11" t="s">
        <v>13431</v>
      </c>
      <c r="D11" t="str">
        <f>HYPERLINK("https://us2.cloudbeds.com/connect/10074733072513#/reservations/35779631403258?display=THOMAS%20RHODES&amp;reservation_id=35779631403258&amp;guest_id=35779631403256", "THOMAS RHODES")</f>
        <v>THOMAS RHODES</v>
      </c>
      <c r="E11" t="s">
        <v>13436</v>
      </c>
      <c r="F11" t="s">
        <v>12767</v>
      </c>
      <c r="G11">
        <v>391.5</v>
      </c>
      <c r="H11">
        <v>425.56</v>
      </c>
      <c r="I11">
        <v>426.56</v>
      </c>
      <c r="J11">
        <v>-1</v>
      </c>
    </row>
    <row r="12" spans="1:10" x14ac:dyDescent="0.3">
      <c r="A12" t="str">
        <f>HYPERLINK("https://us2.cloudbeds.com/connect/10074733072513#/reservations/9080486848601808?display=4R2KDYM8ZJ&amp;reservation_id=9080486848601808", "4R2KDYM8ZJ")</f>
        <v>4R2KDYM8ZJ</v>
      </c>
      <c r="B12" t="s">
        <v>10</v>
      </c>
      <c r="C12" t="s">
        <v>11</v>
      </c>
      <c r="D12" t="str">
        <f>HYPERLINK("https://us2.cloudbeds.com/connect/10074733072513#/reservations/9080486848601808?display=Jayle%20McCoy&amp;reservation_id=9080486848601808&amp;guest_id=223730569658496", "Jayle McCoy")</f>
        <v>Jayle McCoy</v>
      </c>
      <c r="E12" t="s">
        <v>13458</v>
      </c>
      <c r="F12" t="s">
        <v>13459</v>
      </c>
      <c r="G12">
        <v>76.42</v>
      </c>
      <c r="H12">
        <v>83.07</v>
      </c>
      <c r="I12">
        <v>83.7</v>
      </c>
      <c r="J12">
        <v>-0.63</v>
      </c>
    </row>
    <row r="13" spans="1:10" x14ac:dyDescent="0.3">
      <c r="A13" t="str">
        <f>HYPERLINK("https://us2.cloudbeds.com/connect/10074733072513#/reservations/9080486848503484?display=4ZPC8BEQKG&amp;reservation_id=9080486848503484", "4ZPC8BEQKG")</f>
        <v>4ZPC8BEQKG</v>
      </c>
      <c r="B13" t="s">
        <v>10</v>
      </c>
      <c r="C13" t="s">
        <v>11</v>
      </c>
      <c r="D13" t="str">
        <f>HYPERLINK("https://us2.cloudbeds.com/connect/10074733072513#/reservations/9080486848503484?display=John%20Morrison&amp;reservation_id=9080486848503484&amp;guest_id=220481028571264", "John Morrison")</f>
        <v>John Morrison</v>
      </c>
      <c r="E13" t="s">
        <v>13456</v>
      </c>
      <c r="F13" t="s">
        <v>13457</v>
      </c>
      <c r="G13">
        <v>83.5</v>
      </c>
      <c r="H13">
        <v>90.77</v>
      </c>
      <c r="I13">
        <v>91.24</v>
      </c>
      <c r="J13">
        <v>-0.47</v>
      </c>
    </row>
    <row r="14" spans="1:10" x14ac:dyDescent="0.3">
      <c r="A14" t="str">
        <f>HYPERLINK("https://us2.cloudbeds.com/connect/10074733072513#/reservations/144714318110935?display=33TJ487TG0&amp;reservation_id=144714318110935", "33TJ487TG0")</f>
        <v>33TJ487TG0</v>
      </c>
      <c r="B14" t="s">
        <v>10</v>
      </c>
      <c r="C14" t="s">
        <v>13428</v>
      </c>
      <c r="D14" t="str">
        <f>HYPERLINK("https://us2.cloudbeds.com/connect/10074733072513#/reservations/144714318110935?display=Deborah%20Diss&amp;reservation_id=144714318110935&amp;guest_id=144714318110933", "Deborah Diss")</f>
        <v>Deborah Diss</v>
      </c>
      <c r="E14" t="s">
        <v>13451</v>
      </c>
      <c r="F14" t="s">
        <v>13452</v>
      </c>
      <c r="G14">
        <v>638.84</v>
      </c>
      <c r="H14">
        <v>694.44</v>
      </c>
      <c r="I14">
        <v>694.83</v>
      </c>
      <c r="J14">
        <v>-0.39</v>
      </c>
    </row>
    <row r="15" spans="1:10" x14ac:dyDescent="0.3">
      <c r="A15" t="str">
        <f>HYPERLINK("https://us2.cloudbeds.com/connect/10074733072513#/reservations/30684150796537?display=YQW45NYE6&amp;reservation_id=30684150796537", "YQW45NYE6")</f>
        <v>YQW45NYE6</v>
      </c>
      <c r="B15" t="s">
        <v>10</v>
      </c>
      <c r="C15" t="s">
        <v>42</v>
      </c>
      <c r="D15" t="str">
        <f>HYPERLINK("https://us2.cloudbeds.com/connect/10074733072513#/reservations/30684150796537?display=John%20Pool&amp;reservation_id=30684150796537&amp;guest_id=30652368969925", "John Pool")</f>
        <v>John Pool</v>
      </c>
      <c r="E15" t="s">
        <v>1918</v>
      </c>
      <c r="F15" t="s">
        <v>3878</v>
      </c>
      <c r="G15">
        <v>2228</v>
      </c>
      <c r="H15">
        <v>2421.59</v>
      </c>
      <c r="I15">
        <v>2421.84</v>
      </c>
      <c r="J15">
        <v>-0.25</v>
      </c>
    </row>
    <row r="16" spans="1:10" x14ac:dyDescent="0.3">
      <c r="A16" t="str">
        <f>HYPERLINK("https://us2.cloudbeds.com/connect/10074733072513#/reservations/31693688643726?display=MHYR6PDMK&amp;reservation_id=31693688643726", "MHYR6PDMK")</f>
        <v>MHYR6PDMK</v>
      </c>
      <c r="B16" t="s">
        <v>10</v>
      </c>
      <c r="C16" t="s">
        <v>42</v>
      </c>
      <c r="D16" t="str">
        <f>HYPERLINK("https://us2.cloudbeds.com/connect/10074733072513#/reservations/31693688643726?display=Center%20Compass&amp;reservation_id=31693688643726&amp;guest_id=31693688643721", "Center Compass")</f>
        <v>Center Compass</v>
      </c>
      <c r="E16" t="s">
        <v>8921</v>
      </c>
      <c r="F16" t="s">
        <v>6742</v>
      </c>
      <c r="G16">
        <v>836.59</v>
      </c>
      <c r="H16">
        <v>909.13</v>
      </c>
      <c r="I16">
        <v>909.37</v>
      </c>
      <c r="J16">
        <v>-0.24</v>
      </c>
    </row>
    <row r="17" spans="1:10" x14ac:dyDescent="0.3">
      <c r="A17" t="str">
        <f>HYPERLINK("https://us2.cloudbeds.com/connect/10074733072513#/reservations/19481601040591?display=DS3S20UKX&amp;reservation_id=19481601040591", "DS3S20UKX")</f>
        <v>DS3S20UKX</v>
      </c>
      <c r="B17" t="s">
        <v>10</v>
      </c>
      <c r="C17" t="s">
        <v>13428</v>
      </c>
      <c r="D17" t="str">
        <f>HYPERLINK("https://us2.cloudbeds.com/connect/10074733072513#/reservations/19481601040591?display=Paula%20Bufack&amp;reservation_id=19481601040591&amp;guest_id=19481601040589", "Paula Bufack")</f>
        <v>Paula Bufack</v>
      </c>
      <c r="E17" t="s">
        <v>13429</v>
      </c>
      <c r="F17" t="s">
        <v>13430</v>
      </c>
      <c r="G17">
        <v>214</v>
      </c>
      <c r="H17">
        <v>232.62</v>
      </c>
      <c r="I17">
        <v>232.84</v>
      </c>
      <c r="J17">
        <v>-0.22</v>
      </c>
    </row>
    <row r="18" spans="1:10" x14ac:dyDescent="0.3">
      <c r="A18" t="str">
        <f>HYPERLINK("https://us2.cloudbeds.com/connect/10074733072513#/reservations/88801533300938?display=1U4Y5023BS&amp;reservation_id=88801533300938", "1U4Y5023BS")</f>
        <v>1U4Y5023BS</v>
      </c>
      <c r="B18" t="s">
        <v>10</v>
      </c>
      <c r="C18" t="s">
        <v>13428</v>
      </c>
      <c r="D18" t="str">
        <f>HYPERLINK("https://us2.cloudbeds.com/connect/10074733072513#/reservations/88801533300938?display=Peter%20Mcall&amp;reservation_id=88801533300938&amp;guest_id=88801533300936", "Peter Mcall")</f>
        <v>Peter Mcall</v>
      </c>
      <c r="E18" t="s">
        <v>13443</v>
      </c>
      <c r="F18" t="s">
        <v>13444</v>
      </c>
      <c r="G18">
        <v>550</v>
      </c>
      <c r="H18">
        <v>597.85</v>
      </c>
      <c r="I18">
        <v>717.92</v>
      </c>
      <c r="J18">
        <v>-0.18</v>
      </c>
    </row>
    <row r="19" spans="1:10" x14ac:dyDescent="0.3">
      <c r="A19" t="str">
        <f>HYPERLINK("https://us2.cloudbeds.com/connect/10074733072513#/reservations/30660172124329?display=YQDXF8ZMK&amp;reservation_id=30660172124329", "YQDXF8ZMK")</f>
        <v>YQDXF8ZMK</v>
      </c>
      <c r="B19" t="s">
        <v>10</v>
      </c>
      <c r="C19" t="s">
        <v>42</v>
      </c>
      <c r="D19" t="str">
        <f>HYPERLINK("https://us2.cloudbeds.com/connect/10074733072513#/reservations/30660172124329?display=Vernon%20Gollobit&amp;reservation_id=30660172124329&amp;guest_id=30658287263873", "Vernon Gollobit")</f>
        <v>Vernon Gollobit</v>
      </c>
      <c r="E19" t="s">
        <v>1543</v>
      </c>
      <c r="F19" t="s">
        <v>1544</v>
      </c>
      <c r="G19">
        <v>3433.5</v>
      </c>
      <c r="H19">
        <v>3732.05</v>
      </c>
      <c r="I19">
        <v>3732.21</v>
      </c>
      <c r="J19">
        <v>-0.16</v>
      </c>
    </row>
    <row r="20" spans="1:10" x14ac:dyDescent="0.3">
      <c r="A20" t="str">
        <f>HYPERLINK("https://us2.cloudbeds.com/connect/10074733072513#/reservations/30649663475853?display=YQ5DV33ZE&amp;reservation_id=30649663475853", "YQ5DV33ZE")</f>
        <v>YQ5DV33ZE</v>
      </c>
      <c r="B20" t="s">
        <v>10</v>
      </c>
      <c r="C20" t="s">
        <v>42</v>
      </c>
      <c r="D20" t="str">
        <f>HYPERLINK("https://us2.cloudbeds.com/connect/10074733072513#/reservations/30649663475853?display=Wayne%20Hanson&amp;reservation_id=30649663475853&amp;guest_id=30649103384744", "Wayne Hanson")</f>
        <v>Wayne Hanson</v>
      </c>
      <c r="E20" t="s">
        <v>558</v>
      </c>
      <c r="F20" t="s">
        <v>548</v>
      </c>
      <c r="G20">
        <v>2291.6</v>
      </c>
      <c r="H20">
        <v>2490.84</v>
      </c>
      <c r="I20">
        <v>2490.9699999999998</v>
      </c>
      <c r="J20">
        <v>-0.13</v>
      </c>
    </row>
    <row r="21" spans="1:10" x14ac:dyDescent="0.3">
      <c r="A21" t="str">
        <f>HYPERLINK("https://us2.cloudbeds.com/connect/10074733072513#/reservations/30665129558214?display=YQHD4GYXT&amp;reservation_id=30665129558214", "YQHD4GYXT")</f>
        <v>YQHD4GYXT</v>
      </c>
      <c r="B21" t="s">
        <v>10</v>
      </c>
      <c r="C21" t="s">
        <v>42</v>
      </c>
      <c r="D21" t="str">
        <f>HYPERLINK("https://us2.cloudbeds.com/connect/10074733072513#/reservations/30665129558214?display=John%20Pool&amp;reservation_id=30665129558214&amp;guest_id=30663414886578", "John Pool")</f>
        <v>John Pool</v>
      </c>
      <c r="E21" t="s">
        <v>1918</v>
      </c>
      <c r="F21" t="s">
        <v>1874</v>
      </c>
      <c r="G21">
        <v>640</v>
      </c>
      <c r="H21">
        <v>695.55</v>
      </c>
      <c r="I21">
        <v>695.68</v>
      </c>
      <c r="J21">
        <v>-0.13</v>
      </c>
    </row>
    <row r="22" spans="1:10" x14ac:dyDescent="0.3">
      <c r="A22" t="str">
        <f>HYPERLINK("https://us2.cloudbeds.com/connect/10074733072513#/reservations/31685159506049?display=MHF78PJB4&amp;reservation_id=31685159506049", "MHF78PJB4")</f>
        <v>MHF78PJB4</v>
      </c>
      <c r="B22" t="s">
        <v>10</v>
      </c>
      <c r="C22" t="s">
        <v>42</v>
      </c>
      <c r="D22" t="str">
        <f>HYPERLINK("https://us2.cloudbeds.com/connect/10074733072513#/reservations/31685159506049?display=Craig%20Patzer&amp;reservation_id=31685159506049&amp;guest_id=31685089194198", "Craig Patzer")</f>
        <v>Craig Patzer</v>
      </c>
      <c r="E22" t="s">
        <v>3882</v>
      </c>
      <c r="F22" t="s">
        <v>7269</v>
      </c>
      <c r="G22">
        <v>1546.9</v>
      </c>
      <c r="H22">
        <v>1681.36</v>
      </c>
      <c r="I22">
        <v>1681.48</v>
      </c>
      <c r="J22">
        <v>-0.12</v>
      </c>
    </row>
    <row r="23" spans="1:10" x14ac:dyDescent="0.3">
      <c r="A23" t="str">
        <f>HYPERLINK("https://us2.cloudbeds.com/connect/10074733072513#/reservations/31685310320837?display=MHFB3V7J7&amp;reservation_id=31685310320837", "MHFB3V7J7")</f>
        <v>MHFB3V7J7</v>
      </c>
      <c r="B23" t="s">
        <v>10</v>
      </c>
      <c r="C23" t="s">
        <v>42</v>
      </c>
      <c r="D23" t="str">
        <f>HYPERLINK("https://us2.cloudbeds.com/connect/10074733072513#/reservations/31685310320837?display=Craig%20Patzer&amp;reservation_id=31685310320837&amp;guest_id=31685224800387", "Craig Patzer")</f>
        <v>Craig Patzer</v>
      </c>
      <c r="E23" t="s">
        <v>3882</v>
      </c>
      <c r="F23" t="s">
        <v>7269</v>
      </c>
      <c r="G23">
        <v>1546.9</v>
      </c>
      <c r="H23">
        <v>1681.36</v>
      </c>
      <c r="I23">
        <v>1681.48</v>
      </c>
      <c r="J23">
        <v>-0.12</v>
      </c>
    </row>
    <row r="24" spans="1:10" x14ac:dyDescent="0.3">
      <c r="A24" t="str">
        <f>HYPERLINK("https://us2.cloudbeds.com/connect/10074733072513#/reservations/31717531402481?display=MX79EKAMM&amp;reservation_id=31717531402481", "MX79EKAMM")</f>
        <v>MX79EKAMM</v>
      </c>
      <c r="B24" t="s">
        <v>10</v>
      </c>
      <c r="C24" t="s">
        <v>42</v>
      </c>
      <c r="D24" t="str">
        <f>HYPERLINK("https://us2.cloudbeds.com/connect/10074733072513#/reservations/31717531402481?display=Matt%20Harter&amp;reservation_id=31717531402481&amp;guest_id=31717516787843", "Matt Harter")</f>
        <v>Matt Harter</v>
      </c>
      <c r="E24" t="s">
        <v>12520</v>
      </c>
      <c r="F24" t="s">
        <v>12371</v>
      </c>
      <c r="G24">
        <v>1417.8</v>
      </c>
      <c r="H24">
        <v>1541.04</v>
      </c>
      <c r="I24">
        <v>1541.15</v>
      </c>
      <c r="J24">
        <v>-0.11</v>
      </c>
    </row>
    <row r="25" spans="1:10" x14ac:dyDescent="0.3">
      <c r="A25" t="str">
        <f>HYPERLINK("https://us2.cloudbeds.com/connect/10074733072513#/reservations/30655848636634?display=YQA6WJAT0&amp;reservation_id=30655848636634", "YQA6WJAT0")</f>
        <v>YQA6WJAT0</v>
      </c>
      <c r="B25" t="s">
        <v>10</v>
      </c>
      <c r="C25" t="s">
        <v>42</v>
      </c>
      <c r="D25" t="str">
        <f>HYPERLINK("https://us2.cloudbeds.com/connect/10074733072513#/reservations/30655848636634?display=Kiel%20Mason&amp;reservation_id=30655848636634&amp;guest_id=30655848632514", "Kiel Mason")</f>
        <v>Kiel Mason</v>
      </c>
      <c r="E25" t="s">
        <v>922</v>
      </c>
      <c r="F25" t="s">
        <v>923</v>
      </c>
      <c r="G25">
        <v>1238.4000000000001</v>
      </c>
      <c r="H25">
        <v>1346.04</v>
      </c>
      <c r="I25">
        <v>1346.14</v>
      </c>
      <c r="J25">
        <v>-0.1</v>
      </c>
    </row>
    <row r="26" spans="1:10" x14ac:dyDescent="0.3">
      <c r="A26" t="str">
        <f>HYPERLINK("https://us2.cloudbeds.com/connect/10074733072513#/reservations/30655890653345?display=YQA820GNM&amp;reservation_id=30655890653345", "YQA820GNM")</f>
        <v>YQA820GNM</v>
      </c>
      <c r="B26" t="s">
        <v>10</v>
      </c>
      <c r="C26" t="s">
        <v>42</v>
      </c>
      <c r="D26" t="str">
        <f>HYPERLINK("https://us2.cloudbeds.com/connect/10074733072513#/reservations/30655890653345?display=Kiel%20Mason&amp;reservation_id=30655890653345&amp;guest_id=30655881375945", "Kiel Mason")</f>
        <v>Kiel Mason</v>
      </c>
      <c r="E26" t="s">
        <v>922</v>
      </c>
      <c r="F26" t="s">
        <v>923</v>
      </c>
      <c r="G26">
        <v>1238.4000000000001</v>
      </c>
      <c r="H26">
        <v>1346.04</v>
      </c>
      <c r="I26">
        <v>1346.14</v>
      </c>
      <c r="J26">
        <v>-0.1</v>
      </c>
    </row>
    <row r="27" spans="1:10" x14ac:dyDescent="0.3">
      <c r="A27" t="str">
        <f>HYPERLINK("https://us2.cloudbeds.com/connect/10074733072513#/reservations/30686775677065?display=YR1582R1C&amp;reservation_id=30686775677065", "YR1582R1C")</f>
        <v>YR1582R1C</v>
      </c>
      <c r="B27" t="s">
        <v>10</v>
      </c>
      <c r="C27" t="s">
        <v>42</v>
      </c>
      <c r="D27" t="str">
        <f>HYPERLINK("https://us2.cloudbeds.com/connect/10074733072513#/reservations/30686775677065?display=John%20Pool&amp;reservation_id=30686775677065&amp;guest_id=30681940979955", "John Pool")</f>
        <v>John Pool</v>
      </c>
      <c r="E27" t="s">
        <v>1918</v>
      </c>
      <c r="F27" t="s">
        <v>3141</v>
      </c>
      <c r="G27">
        <v>1074.1400000000001</v>
      </c>
      <c r="H27">
        <v>1167.49</v>
      </c>
      <c r="I27">
        <v>1167.5899999999999</v>
      </c>
      <c r="J27">
        <v>-0.1</v>
      </c>
    </row>
    <row r="28" spans="1:10" x14ac:dyDescent="0.3">
      <c r="A28" t="str">
        <f>HYPERLINK("https://us2.cloudbeds.com/connect/10074733072513#/reservations/31718521180318?display=MX81Z7BJF&amp;reservation_id=31718521180318", "MX81Z7BJF")</f>
        <v>MX81Z7BJF</v>
      </c>
      <c r="B28" t="s">
        <v>10</v>
      </c>
      <c r="C28" t="s">
        <v>42</v>
      </c>
      <c r="D28" t="str">
        <f>HYPERLINK("https://us2.cloudbeds.com/connect/10074733072513#/reservations/31718521180318?display=Vernon%20Gollobit&amp;reservation_id=31718521180318&amp;guest_id=31718480806050", "Vernon Gollobit")</f>
        <v>Vernon Gollobit</v>
      </c>
      <c r="E28" t="s">
        <v>12220</v>
      </c>
      <c r="F28" t="s">
        <v>12073</v>
      </c>
      <c r="G28">
        <v>3808</v>
      </c>
      <c r="H28">
        <v>4139.2</v>
      </c>
      <c r="I28">
        <v>4139.3</v>
      </c>
      <c r="J28">
        <v>-0.1</v>
      </c>
    </row>
    <row r="29" spans="1:10" x14ac:dyDescent="0.3">
      <c r="A29" t="str">
        <f>HYPERLINK("https://us2.cloudbeds.com/connect/10074733072513#/reservations/30655463137435?display=YQ9U4H843&amp;reservation_id=30655463137435", "YQ9U4H843")</f>
        <v>YQ9U4H843</v>
      </c>
      <c r="B29" t="s">
        <v>10</v>
      </c>
      <c r="C29" t="s">
        <v>42</v>
      </c>
      <c r="D29" t="str">
        <f>HYPERLINK("https://us2.cloudbeds.com/connect/10074733072513#/reservations/30655463137435?display=Casey%20Falletta&amp;reservation_id=30655463137435&amp;guest_id=30655463137432", "Casey Falletta")</f>
        <v>Casey Falletta</v>
      </c>
      <c r="E29" t="s">
        <v>1182</v>
      </c>
      <c r="F29" t="s">
        <v>945</v>
      </c>
      <c r="G29">
        <v>617.4</v>
      </c>
      <c r="H29">
        <v>671.02</v>
      </c>
      <c r="I29">
        <v>671.11</v>
      </c>
      <c r="J29">
        <v>-0.09</v>
      </c>
    </row>
    <row r="30" spans="1:10" x14ac:dyDescent="0.3">
      <c r="A30" t="str">
        <f>HYPERLINK("https://us2.cloudbeds.com/connect/10074733072513#/reservations/31733964976277?display=MXK0BRZDD&amp;reservation_id=31733964976277", "MXK0BRZDD")</f>
        <v>MXK0BRZDD</v>
      </c>
      <c r="B30" t="s">
        <v>10</v>
      </c>
      <c r="C30" t="s">
        <v>42</v>
      </c>
      <c r="D30" t="str">
        <f>HYPERLINK("https://us2.cloudbeds.com/connect/10074733072513#/reservations/31733964976277?display=Colleen%20Budniak&amp;reservation_id=31733964976277&amp;guest_id=31733955240181", "Colleen Budniak")</f>
        <v>Colleen Budniak</v>
      </c>
      <c r="E30" t="s">
        <v>8904</v>
      </c>
      <c r="F30" t="s">
        <v>7751</v>
      </c>
      <c r="G30">
        <v>1701</v>
      </c>
      <c r="H30">
        <v>1848.9</v>
      </c>
      <c r="I30">
        <v>1848.99</v>
      </c>
      <c r="J30">
        <v>-0.09</v>
      </c>
    </row>
    <row r="31" spans="1:10" x14ac:dyDescent="0.3">
      <c r="A31" t="str">
        <f>HYPERLINK("https://us2.cloudbeds.com/connect/10074733072513#/reservations/31735858819226?display=MXYFZPNFM&amp;reservation_id=31735858819226", "MXYFZPNFM")</f>
        <v>MXYFZPNFM</v>
      </c>
      <c r="B31" t="s">
        <v>10</v>
      </c>
      <c r="C31" t="s">
        <v>42</v>
      </c>
      <c r="D31" t="str">
        <f>HYPERLINK("https://us2.cloudbeds.com/connect/10074733072513#/reservations/31735858819226?display=Colleen%20Budniak&amp;reservation_id=31735858819226&amp;guest_id=31733955240181", "Colleen Budniak")</f>
        <v>Colleen Budniak</v>
      </c>
      <c r="E31" t="s">
        <v>8904</v>
      </c>
      <c r="F31" t="s">
        <v>7751</v>
      </c>
      <c r="G31">
        <v>1701</v>
      </c>
      <c r="H31">
        <v>1848.9</v>
      </c>
      <c r="I31">
        <v>1848.99</v>
      </c>
      <c r="J31">
        <v>-0.09</v>
      </c>
    </row>
    <row r="32" spans="1:10" x14ac:dyDescent="0.3">
      <c r="A32" t="str">
        <f>HYPERLINK("https://us2.cloudbeds.com/connect/10074733072513#/reservations/31702920409266?display=MHSW37TMH&amp;reservation_id=31702920409266", "MHSW37TMH")</f>
        <v>MHSW37TMH</v>
      </c>
      <c r="B32" t="s">
        <v>10</v>
      </c>
      <c r="C32" t="s">
        <v>42</v>
      </c>
      <c r="D32" t="str">
        <f>HYPERLINK("https://us2.cloudbeds.com/connect/10074733072513#/reservations/31702920409266?display=Ryan%20Obrian&amp;reservation_id=31702920409266&amp;guest_id=31702901813463", "Ryan Obrian")</f>
        <v>Ryan Obrian</v>
      </c>
      <c r="E32" t="s">
        <v>13146</v>
      </c>
      <c r="F32" t="s">
        <v>13096</v>
      </c>
      <c r="G32">
        <v>2625.65</v>
      </c>
      <c r="H32">
        <v>2853.99</v>
      </c>
      <c r="I32">
        <v>2854.08</v>
      </c>
      <c r="J32">
        <v>-0.09</v>
      </c>
    </row>
    <row r="33" spans="1:10" x14ac:dyDescent="0.3">
      <c r="A33" t="str">
        <f>HYPERLINK("https://us2.cloudbeds.com/connect/10074733072513#/reservations/30667574776027?display=YQJ9KCEYC&amp;reservation_id=30667574776027", "YQJ9KCEYC")</f>
        <v>YQJ9KCEYC</v>
      </c>
      <c r="B33" t="s">
        <v>10</v>
      </c>
      <c r="C33" t="s">
        <v>42</v>
      </c>
      <c r="D33" t="str">
        <f>HYPERLINK("https://us2.cloudbeds.com/connect/10074733072513#/reservations/30667574776027?display=Thomas%20Hernandez&amp;reservation_id=30667574776027&amp;guest_id=30666975748350", "Thomas Hernandez")</f>
        <v>Thomas Hernandez</v>
      </c>
      <c r="E33" t="s">
        <v>2133</v>
      </c>
      <c r="F33" t="s">
        <v>2134</v>
      </c>
      <c r="G33">
        <v>3136</v>
      </c>
      <c r="H33">
        <v>3408.75</v>
      </c>
      <c r="I33">
        <v>3408.83</v>
      </c>
      <c r="J33">
        <v>-0.08</v>
      </c>
    </row>
    <row r="34" spans="1:10" x14ac:dyDescent="0.3">
      <c r="A34" t="str">
        <f>HYPERLINK("https://us2.cloudbeds.com/connect/10074733072513#/reservations/31715441737921?display=MX5M1XAQ6&amp;reservation_id=31715441737921", "MX5M1XAQ6")</f>
        <v>MX5M1XAQ6</v>
      </c>
      <c r="B34" t="s">
        <v>10</v>
      </c>
      <c r="C34" t="s">
        <v>42</v>
      </c>
      <c r="D34" t="str">
        <f>HYPERLINK("https://us2.cloudbeds.com/connect/10074733072513#/reservations/31715441737921?display=Amy%20Carlson&amp;reservation_id=31715441737921&amp;guest_id=30657111453837", "Amy Carlson")</f>
        <v>Amy Carlson</v>
      </c>
      <c r="E34" t="s">
        <v>7818</v>
      </c>
      <c r="F34" t="s">
        <v>11694</v>
      </c>
      <c r="G34">
        <v>2453.4</v>
      </c>
      <c r="H34">
        <v>2666.77</v>
      </c>
      <c r="I34">
        <v>2666.85</v>
      </c>
      <c r="J34">
        <v>-0.08</v>
      </c>
    </row>
    <row r="35" spans="1:10" x14ac:dyDescent="0.3">
      <c r="A35" t="str">
        <f>HYPERLINK("https://us2.cloudbeds.com/connect/10074733072513#/reservations/31713644626083?display=MX49461BN&amp;reservation_id=31713644626083", "MX49461BN")</f>
        <v>MX49461BN</v>
      </c>
      <c r="B35" t="s">
        <v>10</v>
      </c>
      <c r="C35" t="s">
        <v>42</v>
      </c>
      <c r="D35" t="str">
        <f>HYPERLINK("https://us2.cloudbeds.com/connect/10074733072513#/reservations/31713644626083?display=Alexis%20Himes&amp;reservation_id=31713644626083&amp;guest_id=31713644626062", "Alexis Himes")</f>
        <v>Alexis Himes</v>
      </c>
      <c r="E35" t="s">
        <v>12740</v>
      </c>
      <c r="F35" t="s">
        <v>12609</v>
      </c>
      <c r="G35">
        <v>1288.8</v>
      </c>
      <c r="H35">
        <v>1400.85</v>
      </c>
      <c r="I35">
        <v>1400.93</v>
      </c>
      <c r="J35">
        <v>-0.08</v>
      </c>
    </row>
    <row r="36" spans="1:10" x14ac:dyDescent="0.3">
      <c r="A36" t="str">
        <f>HYPERLINK("https://us2.cloudbeds.com/connect/10074733072513#/reservations/31687541932228?display=MHH24N3GR&amp;reservation_id=31687541932228", "MHH24N3GR")</f>
        <v>MHH24N3GR</v>
      </c>
      <c r="B36" t="s">
        <v>10</v>
      </c>
      <c r="C36" t="s">
        <v>14</v>
      </c>
      <c r="D36" t="str">
        <f>HYPERLINK("https://us2.cloudbeds.com/connect/10074733072513#/reservations/31687541932228?display=Michael%20J%20Nosal&amp;reservation_id=31687541932228&amp;guest_id=31687541928142", "Michael J Nosal")</f>
        <v>Michael J Nosal</v>
      </c>
      <c r="E36" t="s">
        <v>8060</v>
      </c>
      <c r="F36" t="s">
        <v>8061</v>
      </c>
      <c r="G36">
        <v>985.6</v>
      </c>
      <c r="H36">
        <v>1071.28</v>
      </c>
      <c r="I36">
        <v>1071.3499999999999</v>
      </c>
      <c r="J36">
        <v>-7.0000000000000007E-2</v>
      </c>
    </row>
    <row r="37" spans="1:10" x14ac:dyDescent="0.3">
      <c r="A37" t="str">
        <f>HYPERLINK("https://us2.cloudbeds.com/connect/10074733072513#/reservations/31702349201558?display=MHSHGJ6N1&amp;reservation_id=31702349201558", "MHSHGJ6N1")</f>
        <v>MHSHGJ6N1</v>
      </c>
      <c r="B37" t="s">
        <v>10</v>
      </c>
      <c r="C37" t="s">
        <v>42</v>
      </c>
      <c r="D37" t="str">
        <f>HYPERLINK("https://us2.cloudbeds.com/connect/10074733072513#/reservations/31702349201558?display=Kole%20Ferge&amp;reservation_id=31702349201558&amp;guest_id=31702339571959", "Kole Ferge")</f>
        <v>Kole Ferge</v>
      </c>
      <c r="E37" t="s">
        <v>12869</v>
      </c>
      <c r="F37" t="s">
        <v>13116</v>
      </c>
      <c r="G37">
        <v>825.6</v>
      </c>
      <c r="H37">
        <v>897.36</v>
      </c>
      <c r="I37">
        <v>897.43</v>
      </c>
      <c r="J37">
        <v>-7.0000000000000007E-2</v>
      </c>
    </row>
    <row r="38" spans="1:10" x14ac:dyDescent="0.3">
      <c r="A38" t="str">
        <f>HYPERLINK("https://us2.cloudbeds.com/connect/10074733072513#/reservations/30648985530510?display=YQ4TKE9D5&amp;reservation_id=30648985530510", "YQ4TKE9D5")</f>
        <v>YQ4TKE9D5</v>
      </c>
      <c r="B38" t="s">
        <v>10</v>
      </c>
      <c r="C38" t="s">
        <v>42</v>
      </c>
      <c r="D38" t="str">
        <f>HYPERLINK("https://us2.cloudbeds.com/connect/10074733072513#/reservations/30648985530510?display=Randall%20Brant&amp;reservation_id=30648985530510&amp;guest_id=30648978153695", "Randall Brant")</f>
        <v>Randall Brant</v>
      </c>
      <c r="E38" t="s">
        <v>553</v>
      </c>
      <c r="F38" t="s">
        <v>554</v>
      </c>
      <c r="G38">
        <v>1001</v>
      </c>
      <c r="H38">
        <v>1088.03</v>
      </c>
      <c r="I38">
        <v>1088.0899999999999</v>
      </c>
      <c r="J38">
        <v>-0.06</v>
      </c>
    </row>
    <row r="39" spans="1:10" x14ac:dyDescent="0.3">
      <c r="A39" t="str">
        <f>HYPERLINK("https://us2.cloudbeds.com/connect/10074733072513#/reservations/30661258244287?display=YQED73Y0Y&amp;reservation_id=30661258244287", "YQED73Y0Y")</f>
        <v>YQED73Y0Y</v>
      </c>
      <c r="B39" t="s">
        <v>10</v>
      </c>
      <c r="C39" t="s">
        <v>11</v>
      </c>
      <c r="D39" t="str">
        <f>HYPERLINK("https://us2.cloudbeds.com/connect/10074733072513#/reservations/30661258244287?display=Richard%20Ray%20Norton&amp;reservation_id=30661258244287&amp;guest_id=30661258244274", "Richard Ray Norton")</f>
        <v>Richard Ray Norton</v>
      </c>
      <c r="E39" t="s">
        <v>1424</v>
      </c>
      <c r="F39" t="s">
        <v>1425</v>
      </c>
      <c r="G39">
        <v>672.84</v>
      </c>
      <c r="H39">
        <v>731.32</v>
      </c>
      <c r="I39">
        <v>731.38</v>
      </c>
      <c r="J39">
        <v>-0.06</v>
      </c>
    </row>
    <row r="40" spans="1:10" x14ac:dyDescent="0.3">
      <c r="A40" t="str">
        <f>HYPERLINK("https://us2.cloudbeds.com/connect/10074733072513#/reservations/30662512107767?display=YQFC8D7QM&amp;reservation_id=30662512107767", "YQFC8D7QM")</f>
        <v>YQFC8D7QM</v>
      </c>
      <c r="B40" t="s">
        <v>10</v>
      </c>
      <c r="C40" t="s">
        <v>42</v>
      </c>
      <c r="D40" t="str">
        <f>HYPERLINK("https://us2.cloudbeds.com/connect/10074733072513#/reservations/30662512107767?display=Oscar%20Agusto&amp;reservation_id=30662512107767&amp;guest_id=30662512107765", "Oscar Agusto")</f>
        <v>Oscar Agusto</v>
      </c>
      <c r="E40" t="s">
        <v>1704</v>
      </c>
      <c r="F40" t="s">
        <v>1705</v>
      </c>
      <c r="G40">
        <v>1169</v>
      </c>
      <c r="H40">
        <v>1270.6400000000001</v>
      </c>
      <c r="I40">
        <v>1270.7</v>
      </c>
      <c r="J40">
        <v>-0.06</v>
      </c>
    </row>
    <row r="41" spans="1:10" x14ac:dyDescent="0.3">
      <c r="A41" t="str">
        <f>HYPERLINK("https://us2.cloudbeds.com/connect/10074733072513#/reservations/30662063886568?display=YQF0QER33&amp;reservation_id=30662063886568", "YQF0QER33")</f>
        <v>YQF0QER33</v>
      </c>
      <c r="B41" t="s">
        <v>10</v>
      </c>
      <c r="C41" t="s">
        <v>14</v>
      </c>
      <c r="D41" t="str">
        <f>HYPERLINK("https://us2.cloudbeds.com/connect/10074733072513#/reservations/30662063886568?display=Randal%20Ames&amp;reservation_id=30662063886568&amp;guest_id=30662063886564", "Randal Ames")</f>
        <v>Randal Ames</v>
      </c>
      <c r="E41" t="s">
        <v>1775</v>
      </c>
      <c r="F41" t="s">
        <v>1754</v>
      </c>
      <c r="G41">
        <v>320.75</v>
      </c>
      <c r="H41">
        <v>348.6</v>
      </c>
      <c r="I41">
        <v>348.66</v>
      </c>
      <c r="J41">
        <v>-0.06</v>
      </c>
    </row>
    <row r="42" spans="1:10" x14ac:dyDescent="0.3">
      <c r="A42" t="str">
        <f>HYPERLINK("https://us2.cloudbeds.com/connect/10074733072513#/reservations/30665576579277?display=YQHZXEM7N&amp;reservation_id=30665576579277", "YQHZXEM7N")</f>
        <v>YQHZXEM7N</v>
      </c>
      <c r="B42" t="s">
        <v>10</v>
      </c>
      <c r="C42" t="s">
        <v>11</v>
      </c>
      <c r="D42" t="str">
        <f>HYPERLINK("https://us2.cloudbeds.com/connect/10074733072513#/reservations/30665576579277?display=Shawn%20Dunlap&amp;reservation_id=30665576579277&amp;guest_id=30665570275517", "Shawn Dunlap")</f>
        <v>Shawn Dunlap</v>
      </c>
      <c r="E42" t="s">
        <v>2051</v>
      </c>
      <c r="F42" t="s">
        <v>2052</v>
      </c>
      <c r="G42">
        <v>408.96</v>
      </c>
      <c r="H42">
        <v>444.48</v>
      </c>
      <c r="I42">
        <v>444.54</v>
      </c>
      <c r="J42">
        <v>-0.06</v>
      </c>
    </row>
    <row r="43" spans="1:10" x14ac:dyDescent="0.3">
      <c r="A43" t="str">
        <f>HYPERLINK("https://us2.cloudbeds.com/connect/10074733072513#/reservations/30665770328281?display=YQHTGR0RY&amp;reservation_id=30665770328281", "YQHTGR0RY")</f>
        <v>YQHTGR0RY</v>
      </c>
      <c r="B43" t="s">
        <v>10</v>
      </c>
      <c r="C43" t="s">
        <v>11</v>
      </c>
      <c r="D43" t="str">
        <f>HYPERLINK("https://us2.cloudbeds.com/connect/10074733072513#/reservations/30665770328281?display=Shawn%20Dunlap&amp;reservation_id=30665770328281&amp;guest_id=30664375726236", "Shawn Dunlap")</f>
        <v>Shawn Dunlap</v>
      </c>
      <c r="E43" t="s">
        <v>2051</v>
      </c>
      <c r="F43" t="s">
        <v>2095</v>
      </c>
      <c r="G43">
        <v>792.41</v>
      </c>
      <c r="H43">
        <v>861.29</v>
      </c>
      <c r="I43">
        <v>861.35</v>
      </c>
      <c r="J43">
        <v>-0.06</v>
      </c>
    </row>
    <row r="44" spans="1:10" x14ac:dyDescent="0.3">
      <c r="A44" t="str">
        <f>HYPERLINK("https://us2.cloudbeds.com/connect/10074733072513#/reservations/30667720597725?display=YQJDBB4SN&amp;reservation_id=30667720597725", "YQJDBB4SN")</f>
        <v>YQJDBB4SN</v>
      </c>
      <c r="B44" t="s">
        <v>10</v>
      </c>
      <c r="C44" t="s">
        <v>42</v>
      </c>
      <c r="D44" t="str">
        <f>HYPERLINK("https://us2.cloudbeds.com/connect/10074733072513#/reservations/30667720597725?display=Robert%20Stone&amp;reservation_id=30667720597725&amp;guest_id=30661774553323", "Robert Stone")</f>
        <v>Robert Stone</v>
      </c>
      <c r="E44" t="s">
        <v>2364</v>
      </c>
      <c r="F44" t="s">
        <v>2323</v>
      </c>
      <c r="G44">
        <v>1313.1</v>
      </c>
      <c r="H44">
        <v>1427.28</v>
      </c>
      <c r="I44">
        <v>1427.34</v>
      </c>
      <c r="J44">
        <v>-0.06</v>
      </c>
    </row>
    <row r="45" spans="1:10" x14ac:dyDescent="0.3">
      <c r="A45" t="str">
        <f>HYPERLINK("https://us2.cloudbeds.com/connect/10074733072513#/reservations/30677311377591?display=YQQRDHZ8K&amp;reservation_id=30677311377591", "YQQRDHZ8K")</f>
        <v>YQQRDHZ8K</v>
      </c>
      <c r="B45" t="s">
        <v>10</v>
      </c>
      <c r="C45" t="s">
        <v>17</v>
      </c>
      <c r="D45" t="str">
        <f>HYPERLINK("https://us2.cloudbeds.com/connect/10074733072513#/reservations/30677311377591?display=Gloria%20Vuoso&amp;reservation_id=30677311377591&amp;guest_id=30677311377541", "Gloria Vuoso")</f>
        <v>Gloria Vuoso</v>
      </c>
      <c r="E45" t="s">
        <v>2923</v>
      </c>
      <c r="F45" t="s">
        <v>2924</v>
      </c>
      <c r="G45">
        <v>1537.2</v>
      </c>
      <c r="H45">
        <v>1670.88</v>
      </c>
      <c r="I45">
        <v>1670.94</v>
      </c>
      <c r="J45">
        <v>-0.06</v>
      </c>
    </row>
    <row r="46" spans="1:10" x14ac:dyDescent="0.3">
      <c r="A46" t="str">
        <f>HYPERLINK("https://us2.cloudbeds.com/connect/10074733072513#/reservations/30684836471029?display=YQWYMTX83&amp;reservation_id=30684836471029", "YQWYMTX83")</f>
        <v>YQWYMTX83</v>
      </c>
      <c r="B46" t="s">
        <v>10</v>
      </c>
      <c r="C46" t="s">
        <v>14</v>
      </c>
      <c r="D46" t="str">
        <f>HYPERLINK("https://us2.cloudbeds.com/connect/10074733072513#/reservations/30684836471029?display=Aldeberto%20Arellano&amp;reservation_id=30684836471029&amp;guest_id=30684827144345", "Aldeberto Arellano")</f>
        <v>Aldeberto Arellano</v>
      </c>
      <c r="E46" t="s">
        <v>1229</v>
      </c>
      <c r="F46" t="s">
        <v>3920</v>
      </c>
      <c r="G46">
        <v>352.83</v>
      </c>
      <c r="H46">
        <v>383.47</v>
      </c>
      <c r="I46">
        <v>383.53</v>
      </c>
      <c r="J46">
        <v>-0.06</v>
      </c>
    </row>
    <row r="47" spans="1:10" x14ac:dyDescent="0.3">
      <c r="A47" t="str">
        <f>HYPERLINK("https://us2.cloudbeds.com/connect/10074733072513#/reservations/31672502808784?display=MH5DSAAQC&amp;reservation_id=31672502808784", "MH5DSAAQC")</f>
        <v>MH5DSAAQC</v>
      </c>
      <c r="B47" t="s">
        <v>10</v>
      </c>
      <c r="C47" t="s">
        <v>42</v>
      </c>
      <c r="D47" t="str">
        <f>HYPERLINK("https://us2.cloudbeds.com/connect/10074733072513#/reservations/31672502808784?display=Hillary%20Determan&amp;reservation_id=31672502808784&amp;guest_id=31672502808780", "Hillary Determan")</f>
        <v>Hillary Determan</v>
      </c>
      <c r="E47" t="s">
        <v>4597</v>
      </c>
      <c r="F47" t="s">
        <v>4566</v>
      </c>
      <c r="G47">
        <v>1008</v>
      </c>
      <c r="H47">
        <v>1095.6400000000001</v>
      </c>
      <c r="I47">
        <v>1095.7</v>
      </c>
      <c r="J47">
        <v>-0.06</v>
      </c>
    </row>
    <row r="48" spans="1:10" x14ac:dyDescent="0.3">
      <c r="A48" t="str">
        <f>HYPERLINK("https://us2.cloudbeds.com/connect/10074733072513#/reservations/31678835224711?display=MHAAYW4F3&amp;reservation_id=31678835224711", "MHAAYW4F3")</f>
        <v>MHAAYW4F3</v>
      </c>
      <c r="B48" t="s">
        <v>10</v>
      </c>
      <c r="C48" t="s">
        <v>11</v>
      </c>
      <c r="D48" t="str">
        <f>HYPERLINK("https://us2.cloudbeds.com/connect/10074733072513#/reservations/31678835224711?display=Wes%20Dargavel&amp;reservation_id=31678835224711&amp;guest_id=31678835224706", "Wes Dargavel")</f>
        <v>Wes Dargavel</v>
      </c>
      <c r="E48" t="s">
        <v>6529</v>
      </c>
      <c r="F48" t="s">
        <v>3531</v>
      </c>
      <c r="G48">
        <v>470.8</v>
      </c>
      <c r="H48">
        <v>511.7</v>
      </c>
      <c r="I48">
        <v>511.76</v>
      </c>
      <c r="J48">
        <v>-0.06</v>
      </c>
    </row>
    <row r="49" spans="1:10" x14ac:dyDescent="0.3">
      <c r="A49" t="str">
        <f>HYPERLINK("https://us2.cloudbeds.com/connect/10074733072513#/reservations/31680508907716?display=MHBKE8REU&amp;reservation_id=31680508907716", "MHBKE8REU")</f>
        <v>MHBKE8REU</v>
      </c>
      <c r="B49" t="s">
        <v>10</v>
      </c>
      <c r="C49" t="s">
        <v>11</v>
      </c>
      <c r="D49" t="str">
        <f>HYPERLINK("https://us2.cloudbeds.com/connect/10074733072513#/reservations/31680508907716?display=Wesly%20Dargavel&amp;reservation_id=31680508907716&amp;guest_id=31680503554263", "Wesly Dargavel")</f>
        <v>Wesly Dargavel</v>
      </c>
      <c r="E49" t="s">
        <v>6702</v>
      </c>
      <c r="F49" t="s">
        <v>6692</v>
      </c>
      <c r="G49">
        <v>470.8</v>
      </c>
      <c r="H49">
        <v>511.7</v>
      </c>
      <c r="I49">
        <v>511.76</v>
      </c>
      <c r="J49">
        <v>-0.06</v>
      </c>
    </row>
    <row r="50" spans="1:10" x14ac:dyDescent="0.3">
      <c r="A50" t="str">
        <f>HYPERLINK("https://us2.cloudbeds.com/connect/10074733072513#/reservations/31686945685683?display=MHGJTUM0M&amp;reservation_id=31686945685683", "MHGJTUM0M")</f>
        <v>MHGJTUM0M</v>
      </c>
      <c r="B50" t="s">
        <v>10</v>
      </c>
      <c r="C50" t="s">
        <v>42</v>
      </c>
      <c r="D50" t="str">
        <f>HYPERLINK("https://us2.cloudbeds.com/connect/10074733072513#/reservations/31686945685683?display=Leory%20Foley&amp;reservation_id=31686945685683&amp;guest_id=31686945685678", "Leory Foley")</f>
        <v>Leory Foley</v>
      </c>
      <c r="E50" t="s">
        <v>8370</v>
      </c>
      <c r="F50" t="s">
        <v>8371</v>
      </c>
      <c r="G50">
        <v>672</v>
      </c>
      <c r="H50">
        <v>730.4</v>
      </c>
      <c r="I50">
        <v>730.46</v>
      </c>
      <c r="J50">
        <v>-0.06</v>
      </c>
    </row>
    <row r="51" spans="1:10" x14ac:dyDescent="0.3">
      <c r="A51" t="str">
        <f>HYPERLINK("https://us2.cloudbeds.com/connect/10074733072513#/reservations/31713151103121?display=MX3TH117E&amp;reservation_id=31713151103121", "MX3TH117E")</f>
        <v>MX3TH117E</v>
      </c>
      <c r="B51" t="s">
        <v>10</v>
      </c>
      <c r="C51" t="s">
        <v>42</v>
      </c>
      <c r="D51" t="str">
        <f>HYPERLINK("https://us2.cloudbeds.com/connect/10074733072513#/reservations/31713151103121?display=Zak%20Bray&amp;reservation_id=31713151103121&amp;guest_id=31713151099070", "Zak Bray")</f>
        <v>Zak Bray</v>
      </c>
      <c r="E51" t="s">
        <v>11952</v>
      </c>
      <c r="F51" t="s">
        <v>11953</v>
      </c>
      <c r="G51">
        <v>476</v>
      </c>
      <c r="H51">
        <v>517.35</v>
      </c>
      <c r="I51">
        <v>517.41</v>
      </c>
      <c r="J51">
        <v>-0.06</v>
      </c>
    </row>
    <row r="52" spans="1:10" x14ac:dyDescent="0.3">
      <c r="A52" t="str">
        <f>HYPERLINK("https://us2.cloudbeds.com/connect/10074733072513#/reservations/31719070687448?display=MX8FPJ6GM&amp;reservation_id=31719070687448", "MX8FPJ6GM")</f>
        <v>MX8FPJ6GM</v>
      </c>
      <c r="B52" t="s">
        <v>10</v>
      </c>
      <c r="C52" t="s">
        <v>42</v>
      </c>
      <c r="D52" t="str">
        <f>HYPERLINK("https://us2.cloudbeds.com/connect/10074733072513#/reservations/31719070687448?display=Alex%20Friest&amp;reservation_id=31719070687448&amp;guest_id=31714274951327", "Alex Friest")</f>
        <v>Alex Friest</v>
      </c>
      <c r="E52" t="s">
        <v>12166</v>
      </c>
      <c r="F52" t="s">
        <v>11307</v>
      </c>
      <c r="G52">
        <v>1091</v>
      </c>
      <c r="H52">
        <v>1185.8599999999999</v>
      </c>
      <c r="I52">
        <v>1185.92</v>
      </c>
      <c r="J52">
        <v>-0.06</v>
      </c>
    </row>
    <row r="53" spans="1:10" x14ac:dyDescent="0.3">
      <c r="A53" t="str">
        <f>HYPERLINK("https://us2.cloudbeds.com/connect/10074733072513#/reservations/31702899544222?display=MHSVXY9SE&amp;reservation_id=31702899544222", "MHSVXY9SE")</f>
        <v>MHSVXY9SE</v>
      </c>
      <c r="B53" t="s">
        <v>10</v>
      </c>
      <c r="C53" t="s">
        <v>42</v>
      </c>
      <c r="D53" t="str">
        <f>HYPERLINK("https://us2.cloudbeds.com/connect/10074733072513#/reservations/31702899544222?display=Tim%20Sigdahl&amp;reservation_id=31702899544222&amp;guest_id=31702892417223", "Tim Sigdahl")</f>
        <v>Tim Sigdahl</v>
      </c>
      <c r="E53" t="s">
        <v>13144</v>
      </c>
      <c r="F53" t="s">
        <v>13096</v>
      </c>
      <c r="G53">
        <v>1115.2</v>
      </c>
      <c r="H53">
        <v>1212.1600000000001</v>
      </c>
      <c r="I53">
        <v>1212.22</v>
      </c>
      <c r="J53">
        <v>-0.06</v>
      </c>
    </row>
    <row r="54" spans="1:10" x14ac:dyDescent="0.3">
      <c r="A54" t="str">
        <f>HYPERLINK("https://us2.cloudbeds.com/connect/10074733072513#/reservations/30651885174917?display=YQ74NG5EG&amp;reservation_id=30651885174917", "YQ74NG5EG")</f>
        <v>YQ74NG5EG</v>
      </c>
      <c r="B54" t="s">
        <v>10</v>
      </c>
      <c r="C54" t="s">
        <v>14</v>
      </c>
      <c r="D54" t="str">
        <f>HYPERLINK("https://us2.cloudbeds.com/connect/10074733072513#/reservations/30651885174917?display=Renee%20Schlosberg&amp;reservation_id=30651885174917&amp;guest_id=30651885174915", "Renee Schlosberg")</f>
        <v>Renee Schlosberg</v>
      </c>
      <c r="E54" t="s">
        <v>809</v>
      </c>
      <c r="F54" t="s">
        <v>810</v>
      </c>
      <c r="G54">
        <v>312.8</v>
      </c>
      <c r="H54">
        <v>339.96</v>
      </c>
      <c r="I54">
        <v>340.01</v>
      </c>
      <c r="J54">
        <v>-0.05</v>
      </c>
    </row>
    <row r="55" spans="1:10" x14ac:dyDescent="0.3">
      <c r="A55" t="str">
        <f>HYPERLINK("https://us2.cloudbeds.com/connect/10074733072513#/reservations/30663973429482?display=YQGGJKM0T&amp;reservation_id=30663973429482", "YQGGJKM0T")</f>
        <v>YQGGJKM0T</v>
      </c>
      <c r="B55" t="s">
        <v>10</v>
      </c>
      <c r="C55" t="s">
        <v>14</v>
      </c>
      <c r="D55" t="str">
        <f>HYPERLINK("https://us2.cloudbeds.com/connect/10074733072513#/reservations/30663973429482?display=Nelson%20Camacho&amp;reservation_id=30663973429482&amp;guest_id=30663349854411", "Nelson Camacho")</f>
        <v>Nelson Camacho</v>
      </c>
      <c r="E55" t="s">
        <v>1845</v>
      </c>
      <c r="F55" t="s">
        <v>2004</v>
      </c>
      <c r="G55">
        <v>340.8</v>
      </c>
      <c r="H55">
        <v>370.4</v>
      </c>
      <c r="I55">
        <v>370.45</v>
      </c>
      <c r="J55">
        <v>-0.05</v>
      </c>
    </row>
    <row r="56" spans="1:10" x14ac:dyDescent="0.3">
      <c r="A56" t="str">
        <f>HYPERLINK("https://us2.cloudbeds.com/connect/10074733072513#/reservations/30663982047386?display=YQGGQTFKG&amp;reservation_id=30663982047386", "YQGGQTFKG")</f>
        <v>YQGGQTFKG</v>
      </c>
      <c r="B56" t="s">
        <v>10</v>
      </c>
      <c r="C56" t="s">
        <v>14</v>
      </c>
      <c r="D56" t="str">
        <f>HYPERLINK("https://us2.cloudbeds.com/connect/10074733072513#/reservations/30663982047386?display=Victor%20Gonzales&amp;reservation_id=30663982047386&amp;guest_id=30663982047383", "Victor Gonzales")</f>
        <v>Victor Gonzales</v>
      </c>
      <c r="E56" t="s">
        <v>1845</v>
      </c>
      <c r="F56" t="s">
        <v>2004</v>
      </c>
      <c r="G56">
        <v>340.8</v>
      </c>
      <c r="H56">
        <v>370.4</v>
      </c>
      <c r="I56">
        <v>370.45</v>
      </c>
      <c r="J56">
        <v>-0.05</v>
      </c>
    </row>
    <row r="57" spans="1:10" x14ac:dyDescent="0.3">
      <c r="A57" t="str">
        <f>HYPERLINK("https://us2.cloudbeds.com/connect/10074733072513#/reservations/30663994462361?display=YQGH4BUVS&amp;reservation_id=30663994462361", "YQGH4BUVS")</f>
        <v>YQGH4BUVS</v>
      </c>
      <c r="B57" t="s">
        <v>10</v>
      </c>
      <c r="C57" t="s">
        <v>14</v>
      </c>
      <c r="D57" t="str">
        <f>HYPERLINK("https://us2.cloudbeds.com/connect/10074733072513#/reservations/30663994462361?display=Efrain%20Adornoa&amp;reservation_id=30663994462361&amp;guest_id=30663994462348", "Efrain Adornoa")</f>
        <v>Efrain Adornoa</v>
      </c>
      <c r="E57" t="s">
        <v>1845</v>
      </c>
      <c r="F57" t="s">
        <v>2004</v>
      </c>
      <c r="G57">
        <v>340.8</v>
      </c>
      <c r="H57">
        <v>370.4</v>
      </c>
      <c r="I57">
        <v>370.45</v>
      </c>
      <c r="J57">
        <v>-0.05</v>
      </c>
    </row>
    <row r="58" spans="1:10" x14ac:dyDescent="0.3">
      <c r="A58" t="str">
        <f>HYPERLINK("https://us2.cloudbeds.com/connect/10074733072513#/reservations/30664006885595?display=YQGHERKTG&amp;reservation_id=30664006885595", "YQGHERKTG")</f>
        <v>YQGHERKTG</v>
      </c>
      <c r="B58" t="s">
        <v>10</v>
      </c>
      <c r="C58" t="s">
        <v>14</v>
      </c>
      <c r="D58" t="str">
        <f>HYPERLINK("https://us2.cloudbeds.com/connect/10074733072513#/reservations/30664006885595?display=Jose%20Guillermo&amp;reservation_id=30664006885595&amp;guest_id=30663354835072", "Jose Guillermo")</f>
        <v>Jose Guillermo</v>
      </c>
      <c r="E58" t="s">
        <v>1845</v>
      </c>
      <c r="F58" t="s">
        <v>2004</v>
      </c>
      <c r="G58">
        <v>340.8</v>
      </c>
      <c r="H58">
        <v>370.4</v>
      </c>
      <c r="I58">
        <v>370.45</v>
      </c>
      <c r="J58">
        <v>-0.05</v>
      </c>
    </row>
    <row r="59" spans="1:10" x14ac:dyDescent="0.3">
      <c r="A59" t="str">
        <f>HYPERLINK("https://us2.cloudbeds.com/connect/10074733072513#/reservations/30667993755842?display=YQJKAM5PD&amp;reservation_id=30667993755842", "YQJKAM5PD")</f>
        <v>YQJKAM5PD</v>
      </c>
      <c r="B59" t="s">
        <v>10</v>
      </c>
      <c r="C59" t="s">
        <v>14</v>
      </c>
      <c r="D59" t="str">
        <f>HYPERLINK("https://us2.cloudbeds.com/connect/10074733072513#/reservations/30667993755842?display=John%20Taft&amp;reservation_id=30667993755842&amp;guest_id=30667993755840", "John Taft")</f>
        <v>John Taft</v>
      </c>
      <c r="E59" t="s">
        <v>2170</v>
      </c>
      <c r="F59" t="s">
        <v>2171</v>
      </c>
      <c r="G59">
        <v>340.8</v>
      </c>
      <c r="H59">
        <v>370.4</v>
      </c>
      <c r="I59">
        <v>370.45</v>
      </c>
      <c r="J59">
        <v>-0.05</v>
      </c>
    </row>
    <row r="60" spans="1:10" x14ac:dyDescent="0.3">
      <c r="A60" t="str">
        <f>HYPERLINK("https://us2.cloudbeds.com/connect/10074733072513#/reservations/30687906861268?display=YR214UMMX&amp;reservation_id=30687906861268", "YR214UMMX")</f>
        <v>YR214UMMX</v>
      </c>
      <c r="B60" t="s">
        <v>10</v>
      </c>
      <c r="C60" t="s">
        <v>42</v>
      </c>
      <c r="D60" t="str">
        <f>HYPERLINK("https://us2.cloudbeds.com/connect/10074733072513#/reservations/30687906861268?display=Helene%20Carlson&amp;reservation_id=30687906861268&amp;guest_id=30687906861263", "Helene Carlson")</f>
        <v>Helene Carlson</v>
      </c>
      <c r="E60" t="s">
        <v>2575</v>
      </c>
      <c r="F60" t="s">
        <v>2481</v>
      </c>
      <c r="G60">
        <v>1751.4</v>
      </c>
      <c r="H60">
        <v>1903.72</v>
      </c>
      <c r="I60">
        <v>1903.77</v>
      </c>
      <c r="J60">
        <v>-0.05</v>
      </c>
    </row>
    <row r="61" spans="1:10" x14ac:dyDescent="0.3">
      <c r="A61" t="str">
        <f>HYPERLINK("https://us2.cloudbeds.com/connect/10074733072513#/reservations/30688364572868?display=YR2CRT661&amp;reservation_id=30688364572868", "YR2CRT661")</f>
        <v>YR2CRT661</v>
      </c>
      <c r="B61" t="s">
        <v>10</v>
      </c>
      <c r="C61" t="s">
        <v>11</v>
      </c>
      <c r="D61" t="str">
        <f>HYPERLINK("https://us2.cloudbeds.com/connect/10074733072513#/reservations/30688364572868?display=Kenneth%20Ohearn&amp;reservation_id=30688364572868&amp;guest_id=30688364568815", "Kenneth Ohearn")</f>
        <v>Kenneth Ohearn</v>
      </c>
      <c r="E61" t="s">
        <v>1319</v>
      </c>
      <c r="F61" t="s">
        <v>2998</v>
      </c>
      <c r="G61">
        <v>376.64</v>
      </c>
      <c r="H61">
        <v>409.36</v>
      </c>
      <c r="I61">
        <v>409.41</v>
      </c>
      <c r="J61">
        <v>-0.05</v>
      </c>
    </row>
    <row r="62" spans="1:10" x14ac:dyDescent="0.3">
      <c r="A62" t="str">
        <f>HYPERLINK("https://us2.cloudbeds.com/connect/10074733072513#/reservations/31675351883938?display=MH7KYZ1E3&amp;reservation_id=31675351883938", "MH7KYZ1E3")</f>
        <v>MH7KYZ1E3</v>
      </c>
      <c r="B62" t="s">
        <v>10</v>
      </c>
      <c r="C62" t="s">
        <v>23</v>
      </c>
      <c r="D62" t="str">
        <f>HYPERLINK("https://us2.cloudbeds.com/connect/10074733072513#/reservations/31675351883938?display=Deborah%20Richards&amp;reservation_id=31675351883938&amp;guest_id=30686385983674", "Deborah Richards")</f>
        <v>Deborah Richards</v>
      </c>
      <c r="E62" t="s">
        <v>1211</v>
      </c>
      <c r="F62" t="s">
        <v>5112</v>
      </c>
      <c r="G62">
        <v>938.7</v>
      </c>
      <c r="H62">
        <v>1020.32</v>
      </c>
      <c r="I62">
        <v>1020.37</v>
      </c>
      <c r="J62">
        <v>-0.05</v>
      </c>
    </row>
    <row r="63" spans="1:10" x14ac:dyDescent="0.3">
      <c r="A63" t="str">
        <f>HYPERLINK("https://us2.cloudbeds.com/connect/10074733072513#/reservations/31680975941765?display=MHBWC2ZGS&amp;reservation_id=31680975941765", "MHBWC2ZGS")</f>
        <v>MHBWC2ZGS</v>
      </c>
      <c r="B63" t="s">
        <v>10</v>
      </c>
      <c r="C63" t="s">
        <v>11</v>
      </c>
      <c r="D63" t="str">
        <f>HYPERLINK("https://us2.cloudbeds.com/connect/10074733072513#/reservations/31680975941765?display=Wes%20Dargavel&amp;reservation_id=31680975941765&amp;guest_id=31680971321498", "Wes Dargavel")</f>
        <v>Wes Dargavel</v>
      </c>
      <c r="E63" t="s">
        <v>6634</v>
      </c>
      <c r="F63" t="s">
        <v>5546</v>
      </c>
      <c r="G63">
        <v>376.64</v>
      </c>
      <c r="H63">
        <v>409.36</v>
      </c>
      <c r="I63">
        <v>409.41</v>
      </c>
      <c r="J63">
        <v>-0.05</v>
      </c>
    </row>
    <row r="64" spans="1:10" x14ac:dyDescent="0.3">
      <c r="A64" t="str">
        <f>HYPERLINK("https://us2.cloudbeds.com/connect/10074733072513#/reservations/31683277811919?display=MHDP62M6T&amp;reservation_id=31683277811919", "MHDP62M6T")</f>
        <v>MHDP62M6T</v>
      </c>
      <c r="B64" t="s">
        <v>10</v>
      </c>
      <c r="C64" t="s">
        <v>11</v>
      </c>
      <c r="D64" t="str">
        <f>HYPERLINK("https://us2.cloudbeds.com/connect/10074733072513#/reservations/31683277811919?display=Ashly%20Hafdahl&amp;reservation_id=31683277811919&amp;guest_id=31683277811916", "Ashly Hafdahl")</f>
        <v>Ashly Hafdahl</v>
      </c>
      <c r="E64" t="s">
        <v>6639</v>
      </c>
      <c r="F64" t="s">
        <v>6368</v>
      </c>
      <c r="G64">
        <v>376.64</v>
      </c>
      <c r="H64">
        <v>409.36</v>
      </c>
      <c r="I64">
        <v>409.41</v>
      </c>
      <c r="J64">
        <v>-0.05</v>
      </c>
    </row>
    <row r="65" spans="1:10" x14ac:dyDescent="0.3">
      <c r="A65" t="str">
        <f>HYPERLINK("https://us2.cloudbeds.com/connect/10074733072513#/reservations/31679430013065?display=MHAPSGWUK&amp;reservation_id=31679430013065", "MHAPSGWUK")</f>
        <v>MHAPSGWUK</v>
      </c>
      <c r="B65" t="s">
        <v>10</v>
      </c>
      <c r="C65" t="s">
        <v>14</v>
      </c>
      <c r="D65" t="str">
        <f>HYPERLINK("https://us2.cloudbeds.com/connect/10074733072513#/reservations/31679430013065?display=Sandra%20Hommel&amp;reservation_id=31679430013065&amp;guest_id=31679430009017", "Sandra Hommel")</f>
        <v>Sandra Hommel</v>
      </c>
      <c r="E65" t="s">
        <v>6730</v>
      </c>
      <c r="F65" t="s">
        <v>5544</v>
      </c>
      <c r="G65">
        <v>376.64</v>
      </c>
      <c r="H65">
        <v>409.36</v>
      </c>
      <c r="I65">
        <v>409.41</v>
      </c>
      <c r="J65">
        <v>-0.05</v>
      </c>
    </row>
    <row r="66" spans="1:10" x14ac:dyDescent="0.3">
      <c r="A66" t="str">
        <f>HYPERLINK("https://us2.cloudbeds.com/connect/10074733072513#/reservations/31680572305600?display=MHBM1NSBZ&amp;reservation_id=31680572305600", "MHBM1NSBZ")</f>
        <v>MHBM1NSBZ</v>
      </c>
      <c r="B66" t="s">
        <v>10</v>
      </c>
      <c r="C66" t="s">
        <v>11</v>
      </c>
      <c r="D66" t="str">
        <f>HYPERLINK("https://us2.cloudbeds.com/connect/10074733072513#/reservations/31680572305600?display=Avery%20Webb&amp;reservation_id=31680572305600&amp;guest_id=31680572301565", "Avery Webb")</f>
        <v>Avery Webb</v>
      </c>
      <c r="E66" t="s">
        <v>6854</v>
      </c>
      <c r="F66" t="s">
        <v>5560</v>
      </c>
      <c r="G66">
        <v>1020.6</v>
      </c>
      <c r="H66">
        <v>1109.3399999999999</v>
      </c>
      <c r="I66">
        <v>1109.3900000000001</v>
      </c>
      <c r="J66">
        <v>-0.05</v>
      </c>
    </row>
    <row r="67" spans="1:10" x14ac:dyDescent="0.3">
      <c r="A67" t="str">
        <f>HYPERLINK("https://us2.cloudbeds.com/connect/10074733072513#/reservations/31730918662375?display=MXHYH3XKU&amp;reservation_id=31730918662375", "MXHYH3XKU")</f>
        <v>MXHYH3XKU</v>
      </c>
      <c r="B67" t="s">
        <v>10</v>
      </c>
      <c r="C67" t="s">
        <v>23</v>
      </c>
      <c r="D67" t="str">
        <f>HYPERLINK("https://us2.cloudbeds.com/connect/10074733072513#/reservations/31730918662375?display=Amy%20Carlson&amp;reservation_id=31730918662375&amp;guest_id=31730907988108", "Amy Carlson")</f>
        <v>Amy Carlson</v>
      </c>
      <c r="E67" t="s">
        <v>7818</v>
      </c>
      <c r="F67" t="s">
        <v>7819</v>
      </c>
      <c r="G67">
        <v>3121.2</v>
      </c>
      <c r="H67">
        <v>3392.69</v>
      </c>
      <c r="I67">
        <v>3392.74</v>
      </c>
      <c r="J67">
        <v>-0.05</v>
      </c>
    </row>
    <row r="68" spans="1:10" x14ac:dyDescent="0.3">
      <c r="A68" t="str">
        <f>HYPERLINK("https://us2.cloudbeds.com/connect/10074733072513#/reservations/31689063710944?display=MHX80TRQC&amp;reservation_id=31689063710944", "MHX80TRQC")</f>
        <v>MHX80TRQC</v>
      </c>
      <c r="B68" t="s">
        <v>10</v>
      </c>
      <c r="C68" t="s">
        <v>11</v>
      </c>
      <c r="D68" t="str">
        <f>HYPERLINK("https://us2.cloudbeds.com/connect/10074733072513#/reservations/31689063710944?display=Bruce%20Irving&amp;reservation_id=31689063710944&amp;guest_id=31689063710939", "Bruce Irving")</f>
        <v>Bruce Irving</v>
      </c>
      <c r="E68" t="s">
        <v>8182</v>
      </c>
      <c r="F68" t="s">
        <v>8183</v>
      </c>
      <c r="G68">
        <v>1094.4000000000001</v>
      </c>
      <c r="H68">
        <v>1189.56</v>
      </c>
      <c r="I68">
        <v>1189.6099999999999</v>
      </c>
      <c r="J68">
        <v>-0.05</v>
      </c>
    </row>
    <row r="69" spans="1:10" x14ac:dyDescent="0.3">
      <c r="A69" t="str">
        <f>HYPERLINK("https://us2.cloudbeds.com/connect/10074733072513#/reservations/31690899882119?display=MHJYV70D4&amp;reservation_id=31690899882119", "MHJYV70D4")</f>
        <v>MHJYV70D4</v>
      </c>
      <c r="B69" t="s">
        <v>10</v>
      </c>
      <c r="C69" t="s">
        <v>42</v>
      </c>
      <c r="D69" t="str">
        <f>HYPERLINK("https://us2.cloudbeds.com/connect/10074733072513#/reservations/31690899882119?display=Kaye%20Marfell&amp;reservation_id=31690899882119&amp;guest_id=31690899878025", "Kaye Marfell")</f>
        <v>Kaye Marfell</v>
      </c>
      <c r="E69" t="s">
        <v>8209</v>
      </c>
      <c r="F69" t="s">
        <v>8210</v>
      </c>
      <c r="G69">
        <v>981</v>
      </c>
      <c r="H69">
        <v>1066.3</v>
      </c>
      <c r="I69">
        <v>1066.3499999999999</v>
      </c>
      <c r="J69">
        <v>-0.05</v>
      </c>
    </row>
    <row r="70" spans="1:10" x14ac:dyDescent="0.3">
      <c r="A70" t="str">
        <f>HYPERLINK("https://us2.cloudbeds.com/connect/10074733072513#/reservations/31690411737227?display=MHJ9FJYQM&amp;reservation_id=31690411737227", "MHJ9FJYQM")</f>
        <v>MHJ9FJYQM</v>
      </c>
      <c r="B70" t="s">
        <v>10</v>
      </c>
      <c r="C70" t="s">
        <v>14</v>
      </c>
      <c r="D70" t="str">
        <f>HYPERLINK("https://us2.cloudbeds.com/connect/10074733072513#/reservations/31690411737227?display=Michael%20J%20Nosal&amp;reservation_id=31690411737227&amp;guest_id=31690393960628", "Michael J Nosal")</f>
        <v>Michael J Nosal</v>
      </c>
      <c r="E70" t="s">
        <v>8527</v>
      </c>
      <c r="F70" t="s">
        <v>8260</v>
      </c>
      <c r="G70">
        <v>1584</v>
      </c>
      <c r="H70">
        <v>1721.76</v>
      </c>
      <c r="I70">
        <v>1721.81</v>
      </c>
      <c r="J70">
        <v>-0.05</v>
      </c>
    </row>
    <row r="71" spans="1:10" x14ac:dyDescent="0.3">
      <c r="A71" t="str">
        <f>HYPERLINK("https://us2.cloudbeds.com/connect/10074733072513#/reservations/31729824600302?display=MXGQXXM8P&amp;reservation_id=31729824600302", "MXGQXXM8P")</f>
        <v>MXGQXXM8P</v>
      </c>
      <c r="B71" t="s">
        <v>10</v>
      </c>
      <c r="C71" t="s">
        <v>42</v>
      </c>
      <c r="D71" t="str">
        <f>HYPERLINK("https://us2.cloudbeds.com/connect/10074733072513#/reservations/31729824600302?display=Audrey%20Ewalt&amp;reservation_id=31729824600302&amp;guest_id=31727979208906", "Audrey Ewalt")</f>
        <v>Audrey Ewalt</v>
      </c>
      <c r="E71" t="s">
        <v>9843</v>
      </c>
      <c r="F71" t="s">
        <v>9489</v>
      </c>
      <c r="G71">
        <v>504.9</v>
      </c>
      <c r="H71">
        <v>548.78</v>
      </c>
      <c r="I71">
        <v>548.83000000000004</v>
      </c>
      <c r="J71">
        <v>-0.05</v>
      </c>
    </row>
    <row r="72" spans="1:10" x14ac:dyDescent="0.3">
      <c r="A72" t="str">
        <f>HYPERLINK("https://us2.cloudbeds.com/connect/10074733072513#/reservations/31723494936790?display=MXBTR7F2X&amp;reservation_id=31723494936790", "MXBTR7F2X")</f>
        <v>MXBTR7F2X</v>
      </c>
      <c r="B72" t="s">
        <v>10</v>
      </c>
      <c r="C72" t="s">
        <v>42</v>
      </c>
      <c r="D72" t="str">
        <f>HYPERLINK("https://us2.cloudbeds.com/connect/10074733072513#/reservations/31723494936790?display=Jennifer%20Hoffart&amp;reservation_id=31723494936790&amp;guest_id=31721045840033", "Jennifer Hoffart")</f>
        <v>Jennifer Hoffart</v>
      </c>
      <c r="E72" t="s">
        <v>11285</v>
      </c>
      <c r="F72" t="s">
        <v>11191</v>
      </c>
      <c r="G72">
        <v>225</v>
      </c>
      <c r="H72">
        <v>244.53</v>
      </c>
      <c r="I72">
        <v>244.58</v>
      </c>
      <c r="J72">
        <v>-0.05</v>
      </c>
    </row>
    <row r="73" spans="1:10" x14ac:dyDescent="0.3">
      <c r="A73" t="str">
        <f>HYPERLINK("https://us2.cloudbeds.com/connect/10074733072513#/reservations/31715879047336?display=MX607A3GY&amp;reservation_id=31715879047336", "MX607A3GY")</f>
        <v>MX607A3GY</v>
      </c>
      <c r="B73" t="s">
        <v>10</v>
      </c>
      <c r="C73" t="s">
        <v>23</v>
      </c>
      <c r="D73" t="str">
        <f>HYPERLINK("https://us2.cloudbeds.com/connect/10074733072513#/reservations/31715879047336?display=Drake%20Cary&amp;reservation_id=31715879047336&amp;guest_id=31715868508376", "Drake Cary")</f>
        <v>Drake Cary</v>
      </c>
      <c r="E73" t="s">
        <v>12358</v>
      </c>
      <c r="F73" t="s">
        <v>12017</v>
      </c>
      <c r="G73">
        <v>1994.4</v>
      </c>
      <c r="H73">
        <v>2167.86</v>
      </c>
      <c r="I73">
        <v>2167.91</v>
      </c>
      <c r="J73">
        <v>-0.05</v>
      </c>
    </row>
    <row r="74" spans="1:10" x14ac:dyDescent="0.3">
      <c r="A74" t="str">
        <f>HYPERLINK("https://us2.cloudbeds.com/connect/10074733072513#/reservations/31712315244788?display=MX38571X1&amp;reservation_id=31712315244788", "MX38571X1")</f>
        <v>MX38571X1</v>
      </c>
      <c r="B74" t="s">
        <v>10</v>
      </c>
      <c r="C74" t="s">
        <v>42</v>
      </c>
      <c r="D74" t="str">
        <f>HYPERLINK("https://us2.cloudbeds.com/connect/10074733072513#/reservations/31712315244788?display=Clay%20Langan&amp;reservation_id=31712315244788&amp;guest_id=31712282329286", "Clay Langan")</f>
        <v>Clay Langan</v>
      </c>
      <c r="E74" t="s">
        <v>12929</v>
      </c>
      <c r="F74" t="s">
        <v>12837</v>
      </c>
      <c r="G74">
        <v>742.9</v>
      </c>
      <c r="H74">
        <v>807.48</v>
      </c>
      <c r="I74">
        <v>807.53</v>
      </c>
      <c r="J74">
        <v>-0.05</v>
      </c>
    </row>
    <row r="75" spans="1:10" x14ac:dyDescent="0.3">
      <c r="A75" t="str">
        <f>HYPERLINK("https://us2.cloudbeds.com/connect/10074733072513#/reservations/31702560956620?display=MHSMU4JQ3&amp;reservation_id=31702560956620", "MHSMU4JQ3")</f>
        <v>MHSMU4JQ3</v>
      </c>
      <c r="B75" t="s">
        <v>10</v>
      </c>
      <c r="C75" t="s">
        <v>42</v>
      </c>
      <c r="D75" t="str">
        <f>HYPERLINK("https://us2.cloudbeds.com/connect/10074733072513#/reservations/31702560956620?display=Laurie%20Lacroix&amp;reservation_id=31702560956620&amp;guest_id=31702543831285", "Laurie Lacroix")</f>
        <v>Laurie Lacroix</v>
      </c>
      <c r="E75" t="s">
        <v>13050</v>
      </c>
      <c r="F75" t="s">
        <v>12881</v>
      </c>
      <c r="G75">
        <v>859.2</v>
      </c>
      <c r="H75">
        <v>933.9</v>
      </c>
      <c r="I75">
        <v>933.95</v>
      </c>
      <c r="J75">
        <v>-0.05</v>
      </c>
    </row>
    <row r="76" spans="1:10" x14ac:dyDescent="0.3">
      <c r="A76" t="str">
        <f>HYPERLINK("https://us2.cloudbeds.com/connect/10074733072513#/reservations/31701075398801?display=MHRHVFP6G&amp;reservation_id=31701075398801", "MHRHVFP6G")</f>
        <v>MHRHVFP6G</v>
      </c>
      <c r="B76" t="s">
        <v>10</v>
      </c>
      <c r="C76" t="s">
        <v>42</v>
      </c>
      <c r="D76" t="str">
        <f>HYPERLINK("https://us2.cloudbeds.com/connect/10074733072513#/reservations/31701075398801?display=June%20Symens&amp;reservation_id=31701075398801&amp;guest_id=31675305484537", "June Symens")</f>
        <v>June Symens</v>
      </c>
      <c r="E76" t="s">
        <v>13052</v>
      </c>
      <c r="F76" t="s">
        <v>13053</v>
      </c>
      <c r="G76">
        <v>1017.6</v>
      </c>
      <c r="H76">
        <v>1106.08</v>
      </c>
      <c r="I76">
        <v>1106.1300000000001</v>
      </c>
      <c r="J76">
        <v>-0.05</v>
      </c>
    </row>
    <row r="77" spans="1:10" x14ac:dyDescent="0.3">
      <c r="A77" t="str">
        <f>HYPERLINK("https://us2.cloudbeds.com/connect/10074733072513#/reservations/17963495059682?display=CPGBUS56S&amp;reservation_id=17963495059682", "CPGBUS56S")</f>
        <v>CPGBUS56S</v>
      </c>
      <c r="B77" t="s">
        <v>10</v>
      </c>
      <c r="C77" t="s">
        <v>42</v>
      </c>
      <c r="D77" t="str">
        <f>HYPERLINK("https://us2.cloudbeds.com/connect/10074733072513#/reservations/17963495059682?display=Brady%20Fiscus&amp;reservation_id=17963495059682&amp;guest_id=17963495059679", "Brady Fiscus")</f>
        <v>Brady Fiscus</v>
      </c>
      <c r="E77" t="s">
        <v>4171</v>
      </c>
      <c r="F77" t="s">
        <v>13379</v>
      </c>
      <c r="G77">
        <v>376</v>
      </c>
      <c r="H77">
        <v>408.73</v>
      </c>
      <c r="I77">
        <v>1226.29</v>
      </c>
      <c r="J77">
        <v>-0.05</v>
      </c>
    </row>
    <row r="78" spans="1:10" x14ac:dyDescent="0.3">
      <c r="A78" t="str">
        <f>HYPERLINK("https://us2.cloudbeds.com/connect/10074733072513#/reservations/32570002493608?display=N57C1R28X&amp;reservation_id=32570002493608", "N57C1R28X")</f>
        <v>N57C1R28X</v>
      </c>
      <c r="B78" t="s">
        <v>10</v>
      </c>
      <c r="C78" t="s">
        <v>13428</v>
      </c>
      <c r="D78" t="str">
        <f>HYPERLINK("https://us2.cloudbeds.com/connect/10074733072513#/reservations/32570002493608?display=Dianne%20Joachim&amp;reservation_id=32570002493608&amp;guest_id=32570002493606", "Dianne Joachim")</f>
        <v>Dianne Joachim</v>
      </c>
      <c r="E78" t="s">
        <v>13434</v>
      </c>
      <c r="F78" t="s">
        <v>13435</v>
      </c>
      <c r="G78">
        <v>286.2</v>
      </c>
      <c r="H78">
        <v>311.10000000000002</v>
      </c>
      <c r="I78">
        <v>311.14999999999998</v>
      </c>
      <c r="J78">
        <v>-0.05</v>
      </c>
    </row>
    <row r="79" spans="1:10" x14ac:dyDescent="0.3">
      <c r="A79" t="str">
        <f>HYPERLINK("https://us2.cloudbeds.com/connect/10074733072513#/reservations/30645891289279?display=YQ2GX9F7C&amp;reservation_id=30645891289279", "YQ2GX9F7C")</f>
        <v>YQ2GX9F7C</v>
      </c>
      <c r="B79" t="s">
        <v>10</v>
      </c>
      <c r="C79" t="s">
        <v>42</v>
      </c>
      <c r="D79" t="str">
        <f>HYPERLINK("https://us2.cloudbeds.com/connect/10074733072513#/reservations/30645891289279?display=Susan%20Brandt&amp;reservation_id=30645891289279&amp;guest_id=30645891289277", "Susan Brandt")</f>
        <v>Susan Brandt</v>
      </c>
      <c r="E79" t="s">
        <v>64</v>
      </c>
      <c r="F79" t="s">
        <v>31</v>
      </c>
      <c r="G79">
        <v>472.6</v>
      </c>
      <c r="H79">
        <v>513.67999999999995</v>
      </c>
      <c r="I79">
        <v>513.72</v>
      </c>
      <c r="J79">
        <v>-0.04</v>
      </c>
    </row>
    <row r="80" spans="1:10" x14ac:dyDescent="0.3">
      <c r="A80" t="str">
        <f>HYPERLINK("https://us2.cloudbeds.com/connect/10074733072513#/reservations/30648707887347?display=YQ4MHAEWW&amp;reservation_id=30648707887347", "YQ4MHAEWW")</f>
        <v>YQ4MHAEWW</v>
      </c>
      <c r="B80" t="s">
        <v>10</v>
      </c>
      <c r="C80" t="s">
        <v>14</v>
      </c>
      <c r="D80" t="str">
        <f>HYPERLINK("https://us2.cloudbeds.com/connect/10074733072513#/reservations/30648707887347?display=Jerry%20Payne&amp;reservation_id=30648707887347&amp;guest_id=30648701055131", "Jerry Payne")</f>
        <v>Jerry Payne</v>
      </c>
      <c r="E80" t="s">
        <v>567</v>
      </c>
      <c r="F80" t="s">
        <v>548</v>
      </c>
      <c r="G80">
        <v>256.60000000000002</v>
      </c>
      <c r="H80">
        <v>278.88</v>
      </c>
      <c r="I80">
        <v>278.92</v>
      </c>
      <c r="J80">
        <v>-0.04</v>
      </c>
    </row>
    <row r="81" spans="1:10" x14ac:dyDescent="0.3">
      <c r="A81" t="str">
        <f>HYPERLINK("https://us2.cloudbeds.com/connect/10074733072513#/reservations/30651045929154?display=YQ6G4X8P7&amp;reservation_id=30651045929154", "YQ6G4X8P7")</f>
        <v>YQ6G4X8P7</v>
      </c>
      <c r="B81" t="s">
        <v>10</v>
      </c>
      <c r="C81" t="s">
        <v>42</v>
      </c>
      <c r="D81" t="str">
        <f>HYPERLINK("https://us2.cloudbeds.com/connect/10074733072513#/reservations/30651045929154?display=Gary%20Hannon&amp;reservation_id=30651045929154&amp;guest_id=30651040870570", "Gary Hannon")</f>
        <v>Gary Hannon</v>
      </c>
      <c r="E81" t="s">
        <v>680</v>
      </c>
      <c r="F81" t="s">
        <v>670</v>
      </c>
      <c r="G81">
        <v>336.6</v>
      </c>
      <c r="H81">
        <v>365.84</v>
      </c>
      <c r="I81">
        <v>365.88</v>
      </c>
      <c r="J81">
        <v>-0.04</v>
      </c>
    </row>
    <row r="82" spans="1:10" x14ac:dyDescent="0.3">
      <c r="A82" t="str">
        <f>HYPERLINK("https://us2.cloudbeds.com/connect/10074733072513#/reservations/30651915616455?display=YQ75G583B&amp;reservation_id=30651915616455", "YQ75G583B")</f>
        <v>YQ75G583B</v>
      </c>
      <c r="B82" t="s">
        <v>10</v>
      </c>
      <c r="C82" t="s">
        <v>14</v>
      </c>
      <c r="D82" t="str">
        <f>HYPERLINK("https://us2.cloudbeds.com/connect/10074733072513#/reservations/30651915616455?display=Jerad%20Warkenthien&amp;reservation_id=30651915616455&amp;guest_id=30651915616450", "Jerad Warkenthien")</f>
        <v>Jerad Warkenthien</v>
      </c>
      <c r="E82" t="s">
        <v>732</v>
      </c>
      <c r="F82" t="s">
        <v>733</v>
      </c>
      <c r="G82">
        <v>276.69</v>
      </c>
      <c r="H82">
        <v>300.72000000000003</v>
      </c>
      <c r="I82">
        <v>300.76</v>
      </c>
      <c r="J82">
        <v>-0.04</v>
      </c>
    </row>
    <row r="83" spans="1:10" x14ac:dyDescent="0.3">
      <c r="A83" t="str">
        <f>HYPERLINK("https://us2.cloudbeds.com/connect/10074733072513#/reservations/30651506716843?display=YQ6S1C0C0&amp;reservation_id=30651506716843", "YQ6S1C0C0")</f>
        <v>YQ6S1C0C0</v>
      </c>
      <c r="B83" t="s">
        <v>10</v>
      </c>
      <c r="C83" t="s">
        <v>14</v>
      </c>
      <c r="D83" t="str">
        <f>HYPERLINK("https://us2.cloudbeds.com/connect/10074733072513#/reservations/30651506716843?display=Tyler%20Martinmaas&amp;reservation_id=30651506716843&amp;guest_id=30651498983571", "Tyler Martinmaas")</f>
        <v>Tyler Martinmaas</v>
      </c>
      <c r="E83" t="s">
        <v>741</v>
      </c>
      <c r="F83" t="s">
        <v>647</v>
      </c>
      <c r="G83">
        <v>256.60000000000002</v>
      </c>
      <c r="H83">
        <v>278.88</v>
      </c>
      <c r="I83">
        <v>278.92</v>
      </c>
      <c r="J83">
        <v>-0.04</v>
      </c>
    </row>
    <row r="84" spans="1:10" x14ac:dyDescent="0.3">
      <c r="A84" t="str">
        <f>HYPERLINK("https://us2.cloudbeds.com/connect/10074733072513#/reservations/30652998471871?display=YQ80589MR&amp;reservation_id=30652998471871", "YQ80589MR")</f>
        <v>YQ80589MR</v>
      </c>
      <c r="B84" t="s">
        <v>10</v>
      </c>
      <c r="C84" t="s">
        <v>11</v>
      </c>
      <c r="D84" t="str">
        <f>HYPERLINK("https://us2.cloudbeds.com/connect/10074733072513#/reservations/30652998471871?display=Kevin%20Mattox&amp;reservation_id=30652998471871&amp;guest_id=30652998471866", "Kevin Mattox")</f>
        <v>Kevin Mattox</v>
      </c>
      <c r="E84" t="s">
        <v>1119</v>
      </c>
      <c r="F84" t="s">
        <v>1179</v>
      </c>
      <c r="G84">
        <v>256.60000000000002</v>
      </c>
      <c r="H84">
        <v>278.88</v>
      </c>
      <c r="I84">
        <v>278.92</v>
      </c>
      <c r="J84">
        <v>-0.04</v>
      </c>
    </row>
    <row r="85" spans="1:10" x14ac:dyDescent="0.3">
      <c r="A85" t="str">
        <f>HYPERLINK("https://us2.cloudbeds.com/connect/10074733072513#/reservations/30656983490788?display=YQB2WHAHR&amp;reservation_id=30656983490788", "YQB2WHAHR")</f>
        <v>YQB2WHAHR</v>
      </c>
      <c r="B85" t="s">
        <v>10</v>
      </c>
      <c r="C85" t="s">
        <v>42</v>
      </c>
      <c r="D85" t="str">
        <f>HYPERLINK("https://us2.cloudbeds.com/connect/10074733072513#/reservations/30656983490788?display=Kaisha%20Merrick&amp;reservation_id=30656983490788&amp;guest_id=30656983490783", "Kaisha Merrick")</f>
        <v>Kaisha Merrick</v>
      </c>
      <c r="E85" t="s">
        <v>1239</v>
      </c>
      <c r="F85" t="s">
        <v>1240</v>
      </c>
      <c r="G85">
        <v>912.05</v>
      </c>
      <c r="H85">
        <v>991.36</v>
      </c>
      <c r="I85">
        <v>991.4</v>
      </c>
      <c r="J85">
        <v>-0.04</v>
      </c>
    </row>
    <row r="86" spans="1:10" x14ac:dyDescent="0.3">
      <c r="A86" t="str">
        <f>HYPERLINK("https://us2.cloudbeds.com/connect/10074733072513#/reservations/30659019776141?display=YQCM0XVNJ&amp;reservation_id=30659019776141", "YQCM0XVNJ")</f>
        <v>YQCM0XVNJ</v>
      </c>
      <c r="B86" t="s">
        <v>10</v>
      </c>
      <c r="C86" t="s">
        <v>17</v>
      </c>
      <c r="D86" t="str">
        <f>HYPERLINK("https://us2.cloudbeds.com/connect/10074733072513#/reservations/30659019776141?display=Kristine%20Long&amp;reservation_id=30659019776141&amp;guest_id=30659019776139", "Kristine Long")</f>
        <v>Kristine Long</v>
      </c>
      <c r="E86" t="s">
        <v>1548</v>
      </c>
      <c r="F86" t="s">
        <v>1549</v>
      </c>
      <c r="G86">
        <v>1162.8</v>
      </c>
      <c r="H86">
        <v>1263.92</v>
      </c>
      <c r="I86">
        <v>1263.96</v>
      </c>
      <c r="J86">
        <v>-0.04</v>
      </c>
    </row>
    <row r="87" spans="1:10" x14ac:dyDescent="0.3">
      <c r="A87" t="str">
        <f>HYPERLINK("https://us2.cloudbeds.com/connect/10074733072513#/reservations/30661427568796?display=YQEHHTB8C&amp;reservation_id=30661427568796", "YQEHHTB8C")</f>
        <v>YQEHHTB8C</v>
      </c>
      <c r="B87" t="s">
        <v>10</v>
      </c>
      <c r="C87" t="s">
        <v>11</v>
      </c>
      <c r="D87" t="str">
        <f>HYPERLINK("https://us2.cloudbeds.com/connect/10074733072513#/reservations/30661427568796?display=J%20Hamilton&amp;reservation_id=30661427568796&amp;guest_id=30661427564704", "J Hamilton")</f>
        <v>J Hamilton</v>
      </c>
      <c r="E87" t="s">
        <v>1692</v>
      </c>
      <c r="F87" t="s">
        <v>1680</v>
      </c>
      <c r="G87">
        <v>336.6</v>
      </c>
      <c r="H87">
        <v>365.84</v>
      </c>
      <c r="I87">
        <v>365.88</v>
      </c>
      <c r="J87">
        <v>-0.04</v>
      </c>
    </row>
    <row r="88" spans="1:10" x14ac:dyDescent="0.3">
      <c r="A88" t="str">
        <f>HYPERLINK("https://us2.cloudbeds.com/connect/10074733072513#/reservations/30662071865493?display=YQF105RUN&amp;reservation_id=30662071865493", "YQF105RUN")</f>
        <v>YQF105RUN</v>
      </c>
      <c r="B88" t="s">
        <v>10</v>
      </c>
      <c r="C88" t="s">
        <v>14</v>
      </c>
      <c r="D88" t="str">
        <f>HYPERLINK("https://us2.cloudbeds.com/connect/10074733072513#/reservations/30662071865493?display=Andy%20Hetrick&amp;reservation_id=30662071865493&amp;guest_id=30662071865491", "Andy Hetrick")</f>
        <v>Andy Hetrick</v>
      </c>
      <c r="E88" t="s">
        <v>1753</v>
      </c>
      <c r="F88" t="s">
        <v>1754</v>
      </c>
      <c r="G88">
        <v>256.60000000000002</v>
      </c>
      <c r="H88">
        <v>278.88</v>
      </c>
      <c r="I88">
        <v>278.92</v>
      </c>
      <c r="J88">
        <v>-0.04</v>
      </c>
    </row>
    <row r="89" spans="1:10" x14ac:dyDescent="0.3">
      <c r="A89" t="str">
        <f>HYPERLINK("https://us2.cloudbeds.com/connect/10074733072513#/reservations/30662574883010?display=YQFDSB1YZ&amp;reservation_id=30662574883010", "YQFDSB1YZ")</f>
        <v>YQFDSB1YZ</v>
      </c>
      <c r="B89" t="s">
        <v>10</v>
      </c>
      <c r="C89" t="s">
        <v>14</v>
      </c>
      <c r="D89" t="str">
        <f>HYPERLINK("https://us2.cloudbeds.com/connect/10074733072513#/reservations/30662574883010?display=Dan%20Rieber&amp;reservation_id=30662574883010&amp;guest_id=30662574878924", "Dan Rieber")</f>
        <v>Dan Rieber</v>
      </c>
      <c r="E89" t="s">
        <v>1844</v>
      </c>
      <c r="F89" t="s">
        <v>1842</v>
      </c>
      <c r="G89">
        <v>256.60000000000002</v>
      </c>
      <c r="H89">
        <v>278.88</v>
      </c>
      <c r="I89">
        <v>278.92</v>
      </c>
      <c r="J89">
        <v>-0.04</v>
      </c>
    </row>
    <row r="90" spans="1:10" x14ac:dyDescent="0.3">
      <c r="A90" t="str">
        <f>HYPERLINK("https://us2.cloudbeds.com/connect/10074733072513#/reservations/30665412866208?display=YQHKCD3RK&amp;reservation_id=30665412866208", "YQHKCD3RK")</f>
        <v>YQHKCD3RK</v>
      </c>
      <c r="B90" t="s">
        <v>10</v>
      </c>
      <c r="C90" t="s">
        <v>42</v>
      </c>
      <c r="D90" t="str">
        <f>HYPERLINK("https://us2.cloudbeds.com/connect/10074733072513#/reservations/30665412866208?display=Terry%20Dairsow&amp;reservation_id=30665412866208&amp;guest_id=30646442700994", "Terry Dairsow")</f>
        <v>Terry Dairsow</v>
      </c>
      <c r="E90" t="s">
        <v>2030</v>
      </c>
      <c r="F90" t="s">
        <v>2006</v>
      </c>
      <c r="G90">
        <v>481.5</v>
      </c>
      <c r="H90">
        <v>523.35</v>
      </c>
      <c r="I90">
        <v>523.39</v>
      </c>
      <c r="J90">
        <v>-0.04</v>
      </c>
    </row>
    <row r="91" spans="1:10" x14ac:dyDescent="0.3">
      <c r="A91" t="str">
        <f>HYPERLINK("https://us2.cloudbeds.com/connect/10074733072513#/reservations/30668700061826?display=YQK5C85V1&amp;reservation_id=30668700061826", "YQK5C85V1")</f>
        <v>YQK5C85V1</v>
      </c>
      <c r="B91" t="s">
        <v>10</v>
      </c>
      <c r="C91" t="s">
        <v>11</v>
      </c>
      <c r="D91" t="str">
        <f>HYPERLINK("https://us2.cloudbeds.com/connect/10074733072513#/reservations/30668700061826?display=Kirk%20Shirar&amp;reservation_id=30668700061826&amp;guest_id=30661102420184", "Kirk Shirar")</f>
        <v>Kirk Shirar</v>
      </c>
      <c r="E91" t="s">
        <v>2238</v>
      </c>
      <c r="F91" t="s">
        <v>2268</v>
      </c>
      <c r="G91">
        <v>234.57</v>
      </c>
      <c r="H91">
        <v>254.94</v>
      </c>
      <c r="I91">
        <v>254.98</v>
      </c>
      <c r="J91">
        <v>-0.04</v>
      </c>
    </row>
    <row r="92" spans="1:10" x14ac:dyDescent="0.3">
      <c r="A92" t="str">
        <f>HYPERLINK("https://us2.cloudbeds.com/connect/10074733072513#/reservations/30668685713626?display=YQK504UC3&amp;reservation_id=30668685713626", "YQK504UC3")</f>
        <v>YQK504UC3</v>
      </c>
      <c r="B92" t="s">
        <v>10</v>
      </c>
      <c r="C92" t="s">
        <v>11</v>
      </c>
      <c r="D92" t="str">
        <f>HYPERLINK("https://us2.cloudbeds.com/connect/10074733072513#/reservations/30668685713626?display=Scott%20Danner&amp;reservation_id=30668685713626&amp;guest_id=30668685713621", "Scott Danner")</f>
        <v>Scott Danner</v>
      </c>
      <c r="E92" t="s">
        <v>2238</v>
      </c>
      <c r="F92" t="s">
        <v>2268</v>
      </c>
      <c r="G92">
        <v>234.57</v>
      </c>
      <c r="H92">
        <v>254.94</v>
      </c>
      <c r="I92">
        <v>254.98</v>
      </c>
      <c r="J92">
        <v>-0.04</v>
      </c>
    </row>
    <row r="93" spans="1:10" x14ac:dyDescent="0.3">
      <c r="A93" t="str">
        <f>HYPERLINK("https://us2.cloudbeds.com/connect/10074733072513#/reservations/30668670853267?display=YQK4KKDG5&amp;reservation_id=30668670853267", "YQK4KKDG5")</f>
        <v>YQK4KKDG5</v>
      </c>
      <c r="B93" t="s">
        <v>10</v>
      </c>
      <c r="C93" t="s">
        <v>11</v>
      </c>
      <c r="D93" t="str">
        <f>HYPERLINK("https://us2.cloudbeds.com/connect/10074733072513#/reservations/30668670853267?display=Tom%20Arneson&amp;reservation_id=30668670853267&amp;guest_id=30666949882049", "Tom Arneson")</f>
        <v>Tom Arneson</v>
      </c>
      <c r="E93" t="s">
        <v>2238</v>
      </c>
      <c r="F93" t="s">
        <v>2268</v>
      </c>
      <c r="G93">
        <v>234.57</v>
      </c>
      <c r="H93">
        <v>254.94</v>
      </c>
      <c r="I93">
        <v>254.98</v>
      </c>
      <c r="J93">
        <v>-0.04</v>
      </c>
    </row>
    <row r="94" spans="1:10" x14ac:dyDescent="0.3">
      <c r="A94" t="str">
        <f>HYPERLINK("https://us2.cloudbeds.com/connect/10074733072513#/reservations/30672588501162?display=YQN5Z2ZA2&amp;reservation_id=30672588501162", "YQN5Z2ZA2")</f>
        <v>YQN5Z2ZA2</v>
      </c>
      <c r="B94" t="s">
        <v>10</v>
      </c>
      <c r="C94" t="s">
        <v>42</v>
      </c>
      <c r="D94" t="str">
        <f>HYPERLINK("https://us2.cloudbeds.com/connect/10074733072513#/reservations/30672588501162?display=Paulette%20Mcdowell&amp;reservation_id=30672588501162&amp;guest_id=30672588501160", "Paulette Mcdowell")</f>
        <v>Paulette Mcdowell</v>
      </c>
      <c r="E94" t="s">
        <v>2539</v>
      </c>
      <c r="F94" t="s">
        <v>2420</v>
      </c>
      <c r="G94">
        <v>472.6</v>
      </c>
      <c r="H94">
        <v>513.67999999999995</v>
      </c>
      <c r="I94">
        <v>513.72</v>
      </c>
      <c r="J94">
        <v>-0.04</v>
      </c>
    </row>
    <row r="95" spans="1:10" x14ac:dyDescent="0.3">
      <c r="A95" t="str">
        <f>HYPERLINK("https://us2.cloudbeds.com/connect/10074733072513#/reservations/30673905414301?display=YQZ6CHPUR&amp;reservation_id=30673905414301", "YQZ6CHPUR")</f>
        <v>YQZ6CHPUR</v>
      </c>
      <c r="B95" t="s">
        <v>10</v>
      </c>
      <c r="C95" t="s">
        <v>42</v>
      </c>
      <c r="D95" t="str">
        <f>HYPERLINK("https://us2.cloudbeds.com/connect/10074733072513#/reservations/30673905414301?display=Alexia%20Werdel&amp;reservation_id=30673905414301&amp;guest_id=30671832187018", "Alexia Werdel")</f>
        <v>Alexia Werdel</v>
      </c>
      <c r="E95" t="s">
        <v>2543</v>
      </c>
      <c r="F95" t="s">
        <v>2544</v>
      </c>
      <c r="G95">
        <v>481.5</v>
      </c>
      <c r="H95">
        <v>523.35</v>
      </c>
      <c r="I95">
        <v>523.39</v>
      </c>
      <c r="J95">
        <v>-0.04</v>
      </c>
    </row>
    <row r="96" spans="1:10" x14ac:dyDescent="0.3">
      <c r="A96" t="str">
        <f>HYPERLINK("https://us2.cloudbeds.com/connect/10074733072513#/reservations/30672102060212?display=YQMQ9TQD7&amp;reservation_id=30672102060212", "YQMQ9TQD7")</f>
        <v>YQMQ9TQD7</v>
      </c>
      <c r="B96" t="s">
        <v>10</v>
      </c>
      <c r="C96" t="s">
        <v>42</v>
      </c>
      <c r="D96" t="str">
        <f>HYPERLINK("https://us2.cloudbeds.com/connect/10074733072513#/reservations/30672102060212?display=Tiffany%20Gilbert&amp;reservation_id=30672102060212&amp;guest_id=30672102060199", "Tiffany Gilbert")</f>
        <v>Tiffany Gilbert</v>
      </c>
      <c r="E96" t="s">
        <v>2558</v>
      </c>
      <c r="F96" t="s">
        <v>2559</v>
      </c>
      <c r="G96">
        <v>1079</v>
      </c>
      <c r="H96">
        <v>1172.83</v>
      </c>
      <c r="I96">
        <v>1172.8699999999999</v>
      </c>
      <c r="J96">
        <v>-0.04</v>
      </c>
    </row>
    <row r="97" spans="1:10" x14ac:dyDescent="0.3">
      <c r="A97" t="str">
        <f>HYPERLINK("https://us2.cloudbeds.com/connect/10074733072513#/reservations/30688089985170?display=YR25RBCHY&amp;reservation_id=30688089985170", "YR25RBCHY")</f>
        <v>YR25RBCHY</v>
      </c>
      <c r="B97" t="s">
        <v>10</v>
      </c>
      <c r="C97" t="s">
        <v>11</v>
      </c>
      <c r="D97" t="str">
        <f>HYPERLINK("https://us2.cloudbeds.com/connect/10074733072513#/reservations/30688089985170?display=June%20Jewett&amp;reservation_id=30688089985170&amp;guest_id=30688089981066", "June Jewett")</f>
        <v>June Jewett</v>
      </c>
      <c r="E97" t="s">
        <v>2856</v>
      </c>
      <c r="F97" t="s">
        <v>2857</v>
      </c>
      <c r="G97">
        <v>1224.9000000000001</v>
      </c>
      <c r="H97">
        <v>1331.43</v>
      </c>
      <c r="I97">
        <v>1331.47</v>
      </c>
      <c r="J97">
        <v>-0.04</v>
      </c>
    </row>
    <row r="98" spans="1:10" x14ac:dyDescent="0.3">
      <c r="A98" t="str">
        <f>HYPERLINK("https://us2.cloudbeds.com/connect/10074733072513#/reservations/30687171399843?display=YR1FBPCRN&amp;reservation_id=30687171399843", "YR1FBPCRN")</f>
        <v>YR1FBPCRN</v>
      </c>
      <c r="B98" t="s">
        <v>10</v>
      </c>
      <c r="C98" t="s">
        <v>23</v>
      </c>
      <c r="D98" t="str">
        <f>HYPERLINK("https://us2.cloudbeds.com/connect/10074733072513#/reservations/30687171399843?display=Darsi%20Aldrich&amp;reservation_id=30687171399843&amp;guest_id=30687160328400", "Darsi Aldrich")</f>
        <v>Darsi Aldrich</v>
      </c>
      <c r="E98" t="s">
        <v>2929</v>
      </c>
      <c r="F98" t="s">
        <v>2724</v>
      </c>
      <c r="G98">
        <v>804.6</v>
      </c>
      <c r="H98">
        <v>874.56</v>
      </c>
      <c r="I98">
        <v>874.6</v>
      </c>
      <c r="J98">
        <v>-0.04</v>
      </c>
    </row>
    <row r="99" spans="1:10" x14ac:dyDescent="0.3">
      <c r="A99" t="str">
        <f>HYPERLINK("https://us2.cloudbeds.com/connect/10074733072513#/reservations/30677389770902?display=YQQTDY4PG&amp;reservation_id=30677389770902", "YQQTDY4PG")</f>
        <v>YQQTDY4PG</v>
      </c>
      <c r="B99" t="s">
        <v>10</v>
      </c>
      <c r="C99" t="s">
        <v>42</v>
      </c>
      <c r="D99" t="str">
        <f>HYPERLINK("https://us2.cloudbeds.com/connect/10074733072513#/reservations/30677389770902?display=Brenda%20Moore&amp;reservation_id=30677389770902&amp;guest_id=30677389770896", "Brenda Moore")</f>
        <v>Brenda Moore</v>
      </c>
      <c r="E99" t="s">
        <v>2946</v>
      </c>
      <c r="F99" t="s">
        <v>2947</v>
      </c>
      <c r="G99">
        <v>1036.8</v>
      </c>
      <c r="H99">
        <v>1126.96</v>
      </c>
      <c r="I99">
        <v>1127</v>
      </c>
      <c r="J99">
        <v>-0.04</v>
      </c>
    </row>
    <row r="100" spans="1:10" x14ac:dyDescent="0.3">
      <c r="A100" t="str">
        <f>HYPERLINK("https://us2.cloudbeds.com/connect/10074733072513#/reservations/30676393050283?display=YQQ3V5UGC&amp;reservation_id=30676393050283", "YQQ3V5UGC")</f>
        <v>YQQ3V5UGC</v>
      </c>
      <c r="B100" t="s">
        <v>10</v>
      </c>
      <c r="C100" t="s">
        <v>23</v>
      </c>
      <c r="D100" t="str">
        <f>HYPERLINK("https://us2.cloudbeds.com/connect/10074733072513#/reservations/30676393050283?display=Chelsea%20Sweeney&amp;reservation_id=30676393050283&amp;guest_id=30676393050280", "Chelsea Sweeney")</f>
        <v>Chelsea Sweeney</v>
      </c>
      <c r="E100" t="s">
        <v>3040</v>
      </c>
      <c r="F100" t="s">
        <v>3015</v>
      </c>
      <c r="G100">
        <v>804.6</v>
      </c>
      <c r="H100">
        <v>874.56</v>
      </c>
      <c r="I100">
        <v>874.6</v>
      </c>
      <c r="J100">
        <v>-0.04</v>
      </c>
    </row>
    <row r="101" spans="1:10" x14ac:dyDescent="0.3">
      <c r="A101" t="str">
        <f>HYPERLINK("https://us2.cloudbeds.com/connect/10074733072513#/reservations/30683374915776?display=YQVH5GEJE&amp;reservation_id=30683374915776", "YQVH5GEJE")</f>
        <v>YQVH5GEJE</v>
      </c>
      <c r="B101" t="s">
        <v>10</v>
      </c>
      <c r="C101" t="s">
        <v>20</v>
      </c>
      <c r="D101" t="str">
        <f>HYPERLINK("https://us2.cloudbeds.com/connect/10074733072513#/reservations/30683374915776?display=Marina%20Atamanyuk&amp;reservation_id=30683374915776&amp;guest_id=30683367825587", "Marina Atamanyuk")</f>
        <v>Marina Atamanyuk</v>
      </c>
      <c r="E101" t="s">
        <v>4199</v>
      </c>
      <c r="F101" t="s">
        <v>4170</v>
      </c>
      <c r="G101">
        <v>336.72</v>
      </c>
      <c r="H101">
        <v>365.97</v>
      </c>
      <c r="I101">
        <v>366.01</v>
      </c>
      <c r="J101">
        <v>-0.04</v>
      </c>
    </row>
    <row r="102" spans="1:10" x14ac:dyDescent="0.3">
      <c r="A102" t="str">
        <f>HYPERLINK("https://us2.cloudbeds.com/connect/10074733072513#/reservations/30681263743180?display=YQTTD94DR&amp;reservation_id=30681263743180", "YQTTD94DR")</f>
        <v>YQTTD94DR</v>
      </c>
      <c r="B102" t="s">
        <v>10</v>
      </c>
      <c r="C102" t="s">
        <v>42</v>
      </c>
      <c r="D102" t="str">
        <f>HYPERLINK("https://us2.cloudbeds.com/connect/10074733072513#/reservations/30681263743180?display=Dennis%20Brinkman&amp;reservation_id=30681263743180&amp;guest_id=30657938403469", "Dennis Brinkman")</f>
        <v>Dennis Brinkman</v>
      </c>
      <c r="E102" t="s">
        <v>2349</v>
      </c>
      <c r="F102" t="s">
        <v>4318</v>
      </c>
      <c r="G102">
        <v>481.5</v>
      </c>
      <c r="H102">
        <v>523.35</v>
      </c>
      <c r="I102">
        <v>523.39</v>
      </c>
      <c r="J102">
        <v>-0.04</v>
      </c>
    </row>
    <row r="103" spans="1:10" x14ac:dyDescent="0.3">
      <c r="A103" t="str">
        <f>HYPERLINK("https://us2.cloudbeds.com/connect/10074733072513#/reservations/31673228542101?display=MH5WD8UJ2&amp;reservation_id=31673228542101", "MH5WD8UJ2")</f>
        <v>MH5WD8UJ2</v>
      </c>
      <c r="B103" t="s">
        <v>10</v>
      </c>
      <c r="C103" t="s">
        <v>11</v>
      </c>
      <c r="D103" t="str">
        <f>HYPERLINK("https://us2.cloudbeds.com/connect/10074733072513#/reservations/31673228542101?display=Heather%20Jean%20Berney&amp;reservation_id=31673228542101&amp;guest_id=31673228542086", "Heather Jean Berney")</f>
        <v>Heather Jean Berney</v>
      </c>
      <c r="E103" t="s">
        <v>4956</v>
      </c>
      <c r="F103" t="s">
        <v>3834</v>
      </c>
      <c r="G103">
        <v>282.48</v>
      </c>
      <c r="H103">
        <v>307.02</v>
      </c>
      <c r="I103">
        <v>307.06</v>
      </c>
      <c r="J103">
        <v>-0.04</v>
      </c>
    </row>
    <row r="104" spans="1:10" x14ac:dyDescent="0.3">
      <c r="A104" t="str">
        <f>HYPERLINK("https://us2.cloudbeds.com/connect/10074733072513#/reservations/31678130884752?display=MH9PM1RKW&amp;reservation_id=31678130884752", "MH9PM1RKW")</f>
        <v>MH9PM1RKW</v>
      </c>
      <c r="B104" t="s">
        <v>10</v>
      </c>
      <c r="C104" t="s">
        <v>14</v>
      </c>
      <c r="D104" t="str">
        <f>HYPERLINK("https://us2.cloudbeds.com/connect/10074733072513#/reservations/31678130884752?display=Pam%20Jones&amp;reservation_id=31678130884752&amp;guest_id=31678130880656", "Pam Jones")</f>
        <v>Pam Jones</v>
      </c>
      <c r="E104" t="s">
        <v>5982</v>
      </c>
      <c r="F104" t="s">
        <v>5887</v>
      </c>
      <c r="G104">
        <v>282.48</v>
      </c>
      <c r="H104">
        <v>307.02</v>
      </c>
      <c r="I104">
        <v>307.06</v>
      </c>
      <c r="J104">
        <v>-0.04</v>
      </c>
    </row>
    <row r="105" spans="1:10" x14ac:dyDescent="0.3">
      <c r="A105" t="str">
        <f>HYPERLINK("https://us2.cloudbeds.com/connect/10074733072513#/reservations/31678084366467?display=MH9ZFRD3W&amp;reservation_id=31678084366467", "MH9ZFRD3W")</f>
        <v>MH9ZFRD3W</v>
      </c>
      <c r="B105" t="s">
        <v>10</v>
      </c>
      <c r="C105" t="s">
        <v>11</v>
      </c>
      <c r="D105" t="str">
        <f>HYPERLINK("https://us2.cloudbeds.com/connect/10074733072513#/reservations/31678084366467?display=Clayton%20Staley&amp;reservation_id=31678084366467&amp;guest_id=31678084362381", "Clayton Staley")</f>
        <v>Clayton Staley</v>
      </c>
      <c r="E105" t="s">
        <v>6041</v>
      </c>
      <c r="F105" t="s">
        <v>5887</v>
      </c>
      <c r="G105">
        <v>282.48</v>
      </c>
      <c r="H105">
        <v>307.02</v>
      </c>
      <c r="I105">
        <v>307.06</v>
      </c>
      <c r="J105">
        <v>-0.04</v>
      </c>
    </row>
    <row r="106" spans="1:10" x14ac:dyDescent="0.3">
      <c r="A106" t="str">
        <f>HYPERLINK("https://us2.cloudbeds.com/connect/10074733072513#/reservations/31677400543402?display=MH97070DU&amp;reservation_id=31677400543402", "MH97070DU")</f>
        <v>MH97070DU</v>
      </c>
      <c r="B106" t="s">
        <v>10</v>
      </c>
      <c r="C106" t="s">
        <v>20</v>
      </c>
      <c r="D106" t="str">
        <f>HYPERLINK("https://us2.cloudbeds.com/connect/10074733072513#/reservations/31677400543402?display=Jake%20Vork&amp;reservation_id=31677400543402&amp;guest_id=31677400543391", "Jake Vork")</f>
        <v>Jake Vork</v>
      </c>
      <c r="E106" t="s">
        <v>6060</v>
      </c>
      <c r="F106" t="s">
        <v>5887</v>
      </c>
      <c r="G106">
        <v>336.72</v>
      </c>
      <c r="H106">
        <v>365.97</v>
      </c>
      <c r="I106">
        <v>366.01</v>
      </c>
      <c r="J106">
        <v>-0.04</v>
      </c>
    </row>
    <row r="107" spans="1:10" x14ac:dyDescent="0.3">
      <c r="A107" t="str">
        <f>HYPERLINK("https://us2.cloudbeds.com/connect/10074733072513#/reservations/31679743742151?display=MHB0T1W2K&amp;reservation_id=31679743742151", "MHB0T1W2K")</f>
        <v>MHB0T1W2K</v>
      </c>
      <c r="B107" t="s">
        <v>10</v>
      </c>
      <c r="C107" t="s">
        <v>11</v>
      </c>
      <c r="D107" t="str">
        <f>HYPERLINK("https://us2.cloudbeds.com/connect/10074733072513#/reservations/31679743742151?display=Qing%20Lin&amp;reservation_id=31679743742151&amp;guest_id=31679743742145", "Qing Lin")</f>
        <v>Qing Lin</v>
      </c>
      <c r="E107" t="s">
        <v>6292</v>
      </c>
      <c r="F107" t="s">
        <v>5546</v>
      </c>
      <c r="G107">
        <v>984.6</v>
      </c>
      <c r="H107">
        <v>1070.22</v>
      </c>
      <c r="I107">
        <v>1070.26</v>
      </c>
      <c r="J107">
        <v>-0.04</v>
      </c>
    </row>
    <row r="108" spans="1:10" x14ac:dyDescent="0.3">
      <c r="A108" t="str">
        <f>HYPERLINK("https://us2.cloudbeds.com/connect/10074733072513#/reservations/31678677082242?display=MHA6KKJD2&amp;reservation_id=31678677082242", "MHA6KKJD2")</f>
        <v>MHA6KKJD2</v>
      </c>
      <c r="B108" t="s">
        <v>10</v>
      </c>
      <c r="C108" t="s">
        <v>42</v>
      </c>
      <c r="D108" t="str">
        <f>HYPERLINK("https://us2.cloudbeds.com/connect/10074733072513#/reservations/31678677082242?display=New%20Age%20Cryo%20.&amp;reservation_id=31678677082242&amp;guest_id=31678658764953", "New Age Cryo .")</f>
        <v>New Age Cryo .</v>
      </c>
      <c r="E108" t="s">
        <v>3038</v>
      </c>
      <c r="F108" t="s">
        <v>5252</v>
      </c>
      <c r="G108">
        <v>1116</v>
      </c>
      <c r="H108">
        <v>1213.05</v>
      </c>
      <c r="I108">
        <v>1213.0899999999999</v>
      </c>
      <c r="J108">
        <v>-0.04</v>
      </c>
    </row>
    <row r="109" spans="1:10" x14ac:dyDescent="0.3">
      <c r="A109" t="str">
        <f>HYPERLINK("https://us2.cloudbeds.com/connect/10074733072513#/reservations/31679720415380?display=MHB09CSNP&amp;reservation_id=31679720415380", "MHB09CSNP")</f>
        <v>MHB09CSNP</v>
      </c>
      <c r="B109" t="s">
        <v>10</v>
      </c>
      <c r="C109" t="s">
        <v>14</v>
      </c>
      <c r="D109" t="str">
        <f>HYPERLINK("https://us2.cloudbeds.com/connect/10074733072513#/reservations/31679720415380?display=Teresa%20Meister&amp;reservation_id=31679720415380&amp;guest_id=31679720411295", "Teresa Meister")</f>
        <v>Teresa Meister</v>
      </c>
      <c r="E109" t="s">
        <v>6589</v>
      </c>
      <c r="F109" t="s">
        <v>5546</v>
      </c>
      <c r="G109">
        <v>282.48</v>
      </c>
      <c r="H109">
        <v>307.02</v>
      </c>
      <c r="I109">
        <v>307.06</v>
      </c>
      <c r="J109">
        <v>-0.04</v>
      </c>
    </row>
    <row r="110" spans="1:10" x14ac:dyDescent="0.3">
      <c r="A110" t="str">
        <f>HYPERLINK("https://us2.cloudbeds.com/connect/10074733072513#/reservations/31684047491227?display=MHEBS34E9&amp;reservation_id=31684047491227", "MHEBS34E9")</f>
        <v>MHEBS34E9</v>
      </c>
      <c r="B110" t="s">
        <v>10</v>
      </c>
      <c r="C110" t="s">
        <v>11</v>
      </c>
      <c r="D110" t="str">
        <f>HYPERLINK("https://us2.cloudbeds.com/connect/10074733072513#/reservations/31684047491227?display=Nancy%20Hornback&amp;reservation_id=31684047491227&amp;guest_id=31684033339594", "Nancy Hornback")</f>
        <v>Nancy Hornback</v>
      </c>
      <c r="E110" t="s">
        <v>6695</v>
      </c>
      <c r="F110" t="s">
        <v>5568</v>
      </c>
      <c r="G110">
        <v>282.48</v>
      </c>
      <c r="H110">
        <v>307.02</v>
      </c>
      <c r="I110">
        <v>307.06</v>
      </c>
      <c r="J110">
        <v>-0.04</v>
      </c>
    </row>
    <row r="111" spans="1:10" x14ac:dyDescent="0.3">
      <c r="A111" t="str">
        <f>HYPERLINK("https://us2.cloudbeds.com/connect/10074733072513#/reservations/31692817469633?display=MHY4V5NFM&amp;reservation_id=31692817469633", "MHY4V5NFM")</f>
        <v>MHY4V5NFM</v>
      </c>
      <c r="B111" t="s">
        <v>10</v>
      </c>
      <c r="C111" t="s">
        <v>42</v>
      </c>
      <c r="D111" t="str">
        <f>HYPERLINK("https://us2.cloudbeds.com/connect/10074733072513#/reservations/31692817469633?display=Paula%20Ryan&amp;reservation_id=31692817469633&amp;guest_id=31692806455520", "Paula Ryan")</f>
        <v>Paula Ryan</v>
      </c>
      <c r="E111" t="s">
        <v>7837</v>
      </c>
      <c r="F111" t="s">
        <v>7838</v>
      </c>
      <c r="G111">
        <v>1297</v>
      </c>
      <c r="H111">
        <v>1409.8</v>
      </c>
      <c r="I111">
        <v>1409.84</v>
      </c>
      <c r="J111">
        <v>-0.04</v>
      </c>
    </row>
    <row r="112" spans="1:10" x14ac:dyDescent="0.3">
      <c r="A112" t="str">
        <f>HYPERLINK("https://us2.cloudbeds.com/connect/10074733072513#/reservations/31693284638957?display=MHYGT3CZS&amp;reservation_id=31693284638957", "MHYGT3CZS")</f>
        <v>MHYGT3CZS</v>
      </c>
      <c r="B112" t="s">
        <v>10</v>
      </c>
      <c r="C112" t="s">
        <v>42</v>
      </c>
      <c r="D112" t="str">
        <f>HYPERLINK("https://us2.cloudbeds.com/connect/10074733072513#/reservations/31693284638957?display=Loretta%20Tonak&amp;reservation_id=31693284638957&amp;guest_id=31693268902038", "Loretta Tonak")</f>
        <v>Loretta Tonak</v>
      </c>
      <c r="E112" t="s">
        <v>8290</v>
      </c>
      <c r="F112" t="s">
        <v>7530</v>
      </c>
      <c r="G112">
        <v>1381.85</v>
      </c>
      <c r="H112">
        <v>1502.03</v>
      </c>
      <c r="I112">
        <v>1502.07</v>
      </c>
      <c r="J112">
        <v>-0.04</v>
      </c>
    </row>
    <row r="113" spans="1:10" x14ac:dyDescent="0.3">
      <c r="A113" t="str">
        <f>HYPERLINK("https://us2.cloudbeds.com/connect/10074733072513#/reservations/31734589644930?display=MXKGAXVF9&amp;reservation_id=31734589644930", "MXKGAXVF9")</f>
        <v>MXKGAXVF9</v>
      </c>
      <c r="B113" t="s">
        <v>10</v>
      </c>
      <c r="C113" t="s">
        <v>42</v>
      </c>
      <c r="D113" t="str">
        <f>HYPERLINK("https://us2.cloudbeds.com/connect/10074733072513#/reservations/31734589644930?display=June%20Jewett&amp;reservation_id=31734589644930&amp;guest_id=31734562926736", "June Jewett")</f>
        <v>June Jewett</v>
      </c>
      <c r="E113" t="s">
        <v>2856</v>
      </c>
      <c r="F113" t="s">
        <v>8340</v>
      </c>
      <c r="G113">
        <v>2281.5</v>
      </c>
      <c r="H113">
        <v>2479.9499999999998</v>
      </c>
      <c r="I113">
        <v>2479.9899999999998</v>
      </c>
      <c r="J113">
        <v>-0.04</v>
      </c>
    </row>
    <row r="114" spans="1:10" x14ac:dyDescent="0.3">
      <c r="A114" t="str">
        <f>HYPERLINK("https://us2.cloudbeds.com/connect/10074733072513#/reservations/31735645065428?display=MXYA9HMWS&amp;reservation_id=31735645065428", "MXYA9HMWS")</f>
        <v>MXYA9HMWS</v>
      </c>
      <c r="B114" t="s">
        <v>10</v>
      </c>
      <c r="C114" t="s">
        <v>11</v>
      </c>
      <c r="D114" t="str">
        <f>HYPERLINK("https://us2.cloudbeds.com/connect/10074733072513#/reservations/31735645065428?display=Esmeralda%20Alaniz&amp;reservation_id=31735645065428&amp;guest_id=31735634170042", "Esmeralda Alaniz")</f>
        <v>Esmeralda Alaniz</v>
      </c>
      <c r="E114" t="s">
        <v>9264</v>
      </c>
      <c r="F114" t="s">
        <v>8752</v>
      </c>
      <c r="G114">
        <v>456.56</v>
      </c>
      <c r="H114">
        <v>496.24</v>
      </c>
      <c r="I114">
        <v>496.28</v>
      </c>
      <c r="J114">
        <v>-0.04</v>
      </c>
    </row>
    <row r="115" spans="1:10" x14ac:dyDescent="0.3">
      <c r="A115" t="str">
        <f>HYPERLINK("https://us2.cloudbeds.com/connect/10074733072513#/reservations/31729284259989?display=MXGCZUTWT&amp;reservation_id=31729284259989", "MXGCZUTWT")</f>
        <v>MXGCZUTWT</v>
      </c>
      <c r="B115" t="s">
        <v>10</v>
      </c>
      <c r="C115" t="s">
        <v>17</v>
      </c>
      <c r="D115" t="str">
        <f>HYPERLINK("https://us2.cloudbeds.com/connect/10074733072513#/reservations/31729284259989?display=Jay%20Mcinerney&amp;reservation_id=31729284259989&amp;guest_id=31729270542467", "Jay Mcinerney")</f>
        <v>Jay Mcinerney</v>
      </c>
      <c r="E115" t="s">
        <v>9626</v>
      </c>
      <c r="F115" t="s">
        <v>9627</v>
      </c>
      <c r="G115">
        <v>931.5</v>
      </c>
      <c r="H115">
        <v>1012.5</v>
      </c>
      <c r="I115">
        <v>1012.54</v>
      </c>
      <c r="J115">
        <v>-0.04</v>
      </c>
    </row>
    <row r="116" spans="1:10" x14ac:dyDescent="0.3">
      <c r="A116" t="str">
        <f>HYPERLINK("https://us2.cloudbeds.com/connect/10074733072513#/reservations/31733904232579?display=MXJVQKF29&amp;reservation_id=31733904232579", "MXJVQKF29")</f>
        <v>MXJVQKF29</v>
      </c>
      <c r="B116" t="s">
        <v>10</v>
      </c>
      <c r="C116" t="s">
        <v>23</v>
      </c>
      <c r="D116" t="str">
        <f>HYPERLINK("https://us2.cloudbeds.com/connect/10074733072513#/reservations/31733904232579?display=Abel%20Bubuli&amp;reservation_id=31733904232579&amp;guest_id=31733904228533", "Abel Bubuli")</f>
        <v>Abel Bubuli</v>
      </c>
      <c r="E116" t="s">
        <v>9990</v>
      </c>
      <c r="F116" t="s">
        <v>9989</v>
      </c>
      <c r="G116">
        <v>931.5</v>
      </c>
      <c r="H116">
        <v>1012.5</v>
      </c>
      <c r="I116">
        <v>1012.54</v>
      </c>
      <c r="J116">
        <v>-0.04</v>
      </c>
    </row>
    <row r="117" spans="1:10" x14ac:dyDescent="0.3">
      <c r="A117" t="str">
        <f>HYPERLINK("https://us2.cloudbeds.com/connect/10074733072513#/reservations/31731293708423?display=MXHV3BPHM&amp;reservation_id=31731293708423", "MXHV3BPHM")</f>
        <v>MXHV3BPHM</v>
      </c>
      <c r="B117" t="s">
        <v>10</v>
      </c>
      <c r="C117" t="s">
        <v>42</v>
      </c>
      <c r="D117" t="str">
        <f>HYPERLINK("https://us2.cloudbeds.com/connect/10074733072513#/reservations/31731293708423?display=Artine%20Bouladian&amp;reservation_id=31731293708423&amp;guest_id=31731280965859", "Artine Bouladian")</f>
        <v>Artine Bouladian</v>
      </c>
      <c r="E117" t="s">
        <v>10153</v>
      </c>
      <c r="F117" t="s">
        <v>9975</v>
      </c>
      <c r="G117">
        <v>975.6</v>
      </c>
      <c r="H117">
        <v>1060.44</v>
      </c>
      <c r="I117">
        <v>1060.48</v>
      </c>
      <c r="J117">
        <v>-0.04</v>
      </c>
    </row>
    <row r="118" spans="1:10" x14ac:dyDescent="0.3">
      <c r="A118" t="str">
        <f>HYPERLINK("https://us2.cloudbeds.com/connect/10074733072513#/reservations/31723354456193?display=MXBQ7PCEP&amp;reservation_id=31723354456193", "MXBQ7PCEP")</f>
        <v>MXBQ7PCEP</v>
      </c>
      <c r="B118" t="s">
        <v>10</v>
      </c>
      <c r="C118" t="s">
        <v>121</v>
      </c>
      <c r="D118" t="str">
        <f>HYPERLINK("https://us2.cloudbeds.com/connect/10074733072513#/reservations/31723354456193?display=Michael%20Tessler&amp;reservation_id=31723354456193&amp;guest_id=31723342950625", "Michael Tessler")</f>
        <v>Michael Tessler</v>
      </c>
      <c r="E118" t="s">
        <v>11019</v>
      </c>
      <c r="F118" t="s">
        <v>8439</v>
      </c>
      <c r="G118">
        <v>472.6</v>
      </c>
      <c r="H118">
        <v>513.67999999999995</v>
      </c>
      <c r="I118">
        <v>513.72</v>
      </c>
      <c r="J118">
        <v>-0.04</v>
      </c>
    </row>
    <row r="119" spans="1:10" x14ac:dyDescent="0.3">
      <c r="A119" t="str">
        <f>HYPERLINK("https://us2.cloudbeds.com/connect/10074733072513#/reservations/31723113996489?display=MXBK307Y2&amp;reservation_id=31723113996489", "MXBK307Y2")</f>
        <v>MXBK307Y2</v>
      </c>
      <c r="B119" t="s">
        <v>10</v>
      </c>
      <c r="C119" t="s">
        <v>42</v>
      </c>
      <c r="D119" t="str">
        <f>HYPERLINK("https://us2.cloudbeds.com/connect/10074733072513#/reservations/31723113996489?display=Brayden%20Cleem&amp;reservation_id=31723113996489&amp;guest_id=31723113992395", "Brayden Cleem")</f>
        <v>Brayden Cleem</v>
      </c>
      <c r="E119" t="s">
        <v>8810</v>
      </c>
      <c r="F119" t="s">
        <v>11178</v>
      </c>
      <c r="G119">
        <v>523.20000000000005</v>
      </c>
      <c r="H119">
        <v>568.67999999999995</v>
      </c>
      <c r="I119">
        <v>568.72</v>
      </c>
      <c r="J119">
        <v>-0.04</v>
      </c>
    </row>
    <row r="120" spans="1:10" x14ac:dyDescent="0.3">
      <c r="A120" t="str">
        <f>HYPERLINK("https://us2.cloudbeds.com/connect/10074733072513#/reservations/31723097538813?display=MXBJM48WK&amp;reservation_id=31723097538813", "MXBJM48WK")</f>
        <v>MXBJM48WK</v>
      </c>
      <c r="B120" t="s">
        <v>10</v>
      </c>
      <c r="C120" t="s">
        <v>42</v>
      </c>
      <c r="D120" t="str">
        <f>HYPERLINK("https://us2.cloudbeds.com/connect/10074733072513#/reservations/31723097538813?display=Brayden%20Cleem&amp;reservation_id=31723097538813&amp;guest_id=31723088433308", "Brayden Cleem")</f>
        <v>Brayden Cleem</v>
      </c>
      <c r="E120" t="s">
        <v>8810</v>
      </c>
      <c r="F120" t="s">
        <v>11178</v>
      </c>
      <c r="G120">
        <v>523.20000000000005</v>
      </c>
      <c r="H120">
        <v>568.67999999999995</v>
      </c>
      <c r="I120">
        <v>568.72</v>
      </c>
      <c r="J120">
        <v>-0.04</v>
      </c>
    </row>
    <row r="121" spans="1:10" x14ac:dyDescent="0.3">
      <c r="A121" t="str">
        <f>HYPERLINK("https://us2.cloudbeds.com/connect/10074733072513#/reservations/31721426665690?display=MXA9W6P7Z&amp;reservation_id=31721426665690", "MXA9W6P7Z")</f>
        <v>MXA9W6P7Z</v>
      </c>
      <c r="B121" t="s">
        <v>10</v>
      </c>
      <c r="C121" t="s">
        <v>42</v>
      </c>
      <c r="D121" t="str">
        <f>HYPERLINK("https://us2.cloudbeds.com/connect/10074733072513#/reservations/31721426665690?display=Dale%20Opdahl&amp;reservation_id=31721426665690&amp;guest_id=31671711916190", "Dale Opdahl")</f>
        <v>Dale Opdahl</v>
      </c>
      <c r="E121" t="s">
        <v>4598</v>
      </c>
      <c r="F121" t="s">
        <v>11234</v>
      </c>
      <c r="G121">
        <v>481.5</v>
      </c>
      <c r="H121">
        <v>523.35</v>
      </c>
      <c r="I121">
        <v>523.39</v>
      </c>
      <c r="J121">
        <v>-0.04</v>
      </c>
    </row>
    <row r="122" spans="1:10" x14ac:dyDescent="0.3">
      <c r="A122" t="str">
        <f>HYPERLINK("https://us2.cloudbeds.com/connect/10074733072513#/reservations/31723132375242?display=MXBKXGYBW&amp;reservation_id=31723132375242", "MXBKXGYBW")</f>
        <v>MXBKXGYBW</v>
      </c>
      <c r="B122" t="s">
        <v>10</v>
      </c>
      <c r="C122" t="s">
        <v>42</v>
      </c>
      <c r="D122" t="str">
        <f>HYPERLINK("https://us2.cloudbeds.com/connect/10074733072513#/reservations/31723132375242?display=Chris%20Hewett&amp;reservation_id=31723132375242&amp;guest_id=31723132375238", "Chris Hewett")</f>
        <v>Chris Hewett</v>
      </c>
      <c r="E122" t="s">
        <v>11258</v>
      </c>
      <c r="F122" t="s">
        <v>11259</v>
      </c>
      <c r="G122">
        <v>516</v>
      </c>
      <c r="H122">
        <v>560.85</v>
      </c>
      <c r="I122">
        <v>560.89</v>
      </c>
      <c r="J122">
        <v>-0.04</v>
      </c>
    </row>
    <row r="123" spans="1:10" x14ac:dyDescent="0.3">
      <c r="A123" t="str">
        <f>HYPERLINK("https://us2.cloudbeds.com/connect/10074733072513#/reservations/31718714011850?display=MX86YR5N7&amp;reservation_id=31718714011850", "MX86YR5N7")</f>
        <v>MX86YR5N7</v>
      </c>
      <c r="B123" t="s">
        <v>10</v>
      </c>
      <c r="C123" t="s">
        <v>42</v>
      </c>
      <c r="D123" t="str">
        <f>HYPERLINK("https://us2.cloudbeds.com/connect/10074733072513#/reservations/31718714011850?display=Paulette%20Mcdowell&amp;reservation_id=31718714011850&amp;guest_id=31718694641876", "Paulette Mcdowell")</f>
        <v>Paulette Mcdowell</v>
      </c>
      <c r="E123" t="s">
        <v>11596</v>
      </c>
      <c r="F123" t="s">
        <v>11196</v>
      </c>
      <c r="G123">
        <v>856.6</v>
      </c>
      <c r="H123">
        <v>931.08</v>
      </c>
      <c r="I123">
        <v>931.12</v>
      </c>
      <c r="J123">
        <v>-0.04</v>
      </c>
    </row>
    <row r="124" spans="1:10" x14ac:dyDescent="0.3">
      <c r="A124" t="str">
        <f>HYPERLINK("https://us2.cloudbeds.com/connect/10074733072513#/reservations/31713387045101?display=MX42HWFHD&amp;reservation_id=31713387045101", "MX42HWFHD")</f>
        <v>MX42HWFHD</v>
      </c>
      <c r="B124" t="s">
        <v>10</v>
      </c>
      <c r="C124" t="s">
        <v>42</v>
      </c>
      <c r="D124" t="str">
        <f>HYPERLINK("https://us2.cloudbeds.com/connect/10074733072513#/reservations/31713387045101?display=Lynn%20Hinckley&amp;reservation_id=31713387045101&amp;guest_id=31713387045085", "Lynn Hinckley")</f>
        <v>Lynn Hinckley</v>
      </c>
      <c r="E124" t="s">
        <v>12138</v>
      </c>
      <c r="F124" t="s">
        <v>11533</v>
      </c>
      <c r="G124">
        <v>1164.5999999999999</v>
      </c>
      <c r="H124">
        <v>1265.8800000000001</v>
      </c>
      <c r="I124">
        <v>1265.92</v>
      </c>
      <c r="J124">
        <v>-0.04</v>
      </c>
    </row>
    <row r="125" spans="1:10" x14ac:dyDescent="0.3">
      <c r="A125" t="str">
        <f>HYPERLINK("https://us2.cloudbeds.com/connect/10074733072513#/reservations/31702968094958?display=MHT0AER6G&amp;reservation_id=31702968094958", "MHT0AER6G")</f>
        <v>MHT0AER6G</v>
      </c>
      <c r="B125" t="s">
        <v>10</v>
      </c>
      <c r="C125" t="s">
        <v>42</v>
      </c>
      <c r="D125" t="str">
        <f>HYPERLINK("https://us2.cloudbeds.com/connect/10074733072513#/reservations/31702968094958?display=Ryan%20Obrian&amp;reservation_id=31702968094958&amp;guest_id=31702901813463", "Ryan Obrian")</f>
        <v>Ryan Obrian</v>
      </c>
      <c r="E125" t="s">
        <v>13146</v>
      </c>
      <c r="F125" t="s">
        <v>13096</v>
      </c>
      <c r="G125">
        <v>1553.8</v>
      </c>
      <c r="H125">
        <v>1688.94</v>
      </c>
      <c r="I125">
        <v>1688.98</v>
      </c>
      <c r="J125">
        <v>-0.04</v>
      </c>
    </row>
    <row r="126" spans="1:10" x14ac:dyDescent="0.3">
      <c r="A126" t="str">
        <f>HYPERLINK("https://us2.cloudbeds.com/connect/10074733072513#/reservations/31701959807178?display=MHS7X7Z3B&amp;reservation_id=31701959807178", "MHS7X7Z3B")</f>
        <v>MHS7X7Z3B</v>
      </c>
      <c r="B126" t="s">
        <v>10</v>
      </c>
      <c r="C126" t="s">
        <v>23</v>
      </c>
      <c r="D126" t="str">
        <f>HYPERLINK("https://us2.cloudbeds.com/connect/10074733072513#/reservations/31701959807178?display=Michelle%20Anderson&amp;reservation_id=31701959807178&amp;guest_id=31701959807170", "Michelle Anderson")</f>
        <v>Michelle Anderson</v>
      </c>
      <c r="E126" t="s">
        <v>13220</v>
      </c>
      <c r="F126" t="s">
        <v>13221</v>
      </c>
      <c r="G126">
        <v>456.56</v>
      </c>
      <c r="H126">
        <v>496.24</v>
      </c>
      <c r="I126">
        <v>496.28</v>
      </c>
      <c r="J126">
        <v>-0.04</v>
      </c>
    </row>
    <row r="127" spans="1:10" x14ac:dyDescent="0.3">
      <c r="A127" t="str">
        <f>HYPERLINK("https://us2.cloudbeds.com/connect/10074733072513#/reservations/30647854330108?display=YQ40NXVT3&amp;reservation_id=30647854330108", "YQ40NXVT3")</f>
        <v>YQ40NXVT3</v>
      </c>
      <c r="B127" t="s">
        <v>10</v>
      </c>
      <c r="C127" t="s">
        <v>14</v>
      </c>
      <c r="D127" t="str">
        <f>HYPERLINK("https://us2.cloudbeds.com/connect/10074733072513#/reservations/30647854330108?display=Cindy%20Steever&amp;reservation_id=30647854330108&amp;guest_id=30647854330095", "Cindy Steever")</f>
        <v>Cindy Steever</v>
      </c>
      <c r="E127" t="s">
        <v>264</v>
      </c>
      <c r="F127" t="s">
        <v>176</v>
      </c>
      <c r="G127">
        <v>348.8</v>
      </c>
      <c r="H127">
        <v>379.12</v>
      </c>
      <c r="I127">
        <v>379.15</v>
      </c>
      <c r="J127">
        <v>-0.03</v>
      </c>
    </row>
    <row r="128" spans="1:10" x14ac:dyDescent="0.3">
      <c r="A128" t="str">
        <f>HYPERLINK("https://us2.cloudbeds.com/connect/10074733072513#/reservations/30646979362959?display=YQ3BBPNK2&amp;reservation_id=30646979362959", "YQ3BBPNK2")</f>
        <v>YQ3BBPNK2</v>
      </c>
      <c r="B128" t="s">
        <v>10</v>
      </c>
      <c r="C128" t="s">
        <v>20</v>
      </c>
      <c r="D128" t="str">
        <f>HYPERLINK("https://us2.cloudbeds.com/connect/10074733072513#/reservations/30646979362959?display=Katja%20Hudemann&amp;reservation_id=30646979362959&amp;guest_id=30646979358873", "Katja Hudemann")</f>
        <v>Katja Hudemann</v>
      </c>
      <c r="E128" t="s">
        <v>274</v>
      </c>
      <c r="F128" t="s">
        <v>176</v>
      </c>
      <c r="G128">
        <v>309.60000000000002</v>
      </c>
      <c r="H128">
        <v>336.51</v>
      </c>
      <c r="I128">
        <v>336.54</v>
      </c>
      <c r="J128">
        <v>-0.03</v>
      </c>
    </row>
    <row r="129" spans="1:10" x14ac:dyDescent="0.3">
      <c r="A129" t="str">
        <f>HYPERLINK("https://us2.cloudbeds.com/connect/10074733072513#/reservations/30648588382355?display=YQ4JFX1NJ&amp;reservation_id=30648588382355", "YQ4JFX1NJ")</f>
        <v>YQ4JFX1NJ</v>
      </c>
      <c r="B129" t="s">
        <v>10</v>
      </c>
      <c r="C129" t="s">
        <v>14</v>
      </c>
      <c r="D129" t="str">
        <f>HYPERLINK("https://us2.cloudbeds.com/connect/10074733072513#/reservations/30648588382355?display=Donna%20L%20Moss&amp;reservation_id=30648588382355&amp;guest_id=30648588382353", "Donna L Moss")</f>
        <v>Donna L Moss</v>
      </c>
      <c r="E129" t="s">
        <v>416</v>
      </c>
      <c r="F129" t="s">
        <v>417</v>
      </c>
      <c r="G129">
        <v>309.60000000000002</v>
      </c>
      <c r="H129">
        <v>336.51</v>
      </c>
      <c r="I129">
        <v>336.54</v>
      </c>
      <c r="J129">
        <v>-0.03</v>
      </c>
    </row>
    <row r="130" spans="1:10" x14ac:dyDescent="0.3">
      <c r="A130" t="str">
        <f>HYPERLINK("https://us2.cloudbeds.com/connect/10074733072513#/reservations/30649064652998?display=YQ4VY4WGA&amp;reservation_id=30649064652998", "YQ4VY4WGA")</f>
        <v>YQ4VY4WGA</v>
      </c>
      <c r="B130" t="s">
        <v>10</v>
      </c>
      <c r="C130" t="s">
        <v>20</v>
      </c>
      <c r="D130" t="str">
        <f>HYPERLINK("https://us2.cloudbeds.com/connect/10074733072513#/reservations/30649064652998?display=Walter%20Pike&amp;reservation_id=30649064652998&amp;guest_id=30649060364448", "Walter Pike")</f>
        <v>Walter Pike</v>
      </c>
      <c r="E130" t="s">
        <v>457</v>
      </c>
      <c r="F130" t="s">
        <v>458</v>
      </c>
      <c r="G130">
        <v>372.8</v>
      </c>
      <c r="H130">
        <v>405.2</v>
      </c>
      <c r="I130">
        <v>405.23</v>
      </c>
      <c r="J130">
        <v>-0.03</v>
      </c>
    </row>
    <row r="131" spans="1:10" x14ac:dyDescent="0.3">
      <c r="A131" t="str">
        <f>HYPERLINK("https://us2.cloudbeds.com/connect/10074733072513#/reservations/30651786129609?display=YQ725W2ZH&amp;reservation_id=30651786129609", "YQ725W2ZH")</f>
        <v>YQ725W2ZH</v>
      </c>
      <c r="B131" t="s">
        <v>10</v>
      </c>
      <c r="C131" t="s">
        <v>11</v>
      </c>
      <c r="D131" t="str">
        <f>HYPERLINK("https://us2.cloudbeds.com/connect/10074733072513#/reservations/30651786129609?display=Kristen%20Scheel&amp;reservation_id=30651786129609&amp;guest_id=30651786125520", "Kristen Scheel")</f>
        <v>Kristen Scheel</v>
      </c>
      <c r="E131" t="s">
        <v>519</v>
      </c>
      <c r="F131" t="s">
        <v>520</v>
      </c>
      <c r="G131">
        <v>388.8</v>
      </c>
      <c r="H131">
        <v>422.6</v>
      </c>
      <c r="I131">
        <v>422.63</v>
      </c>
      <c r="J131">
        <v>-0.03</v>
      </c>
    </row>
    <row r="132" spans="1:10" x14ac:dyDescent="0.3">
      <c r="A132" t="str">
        <f>HYPERLINK("https://us2.cloudbeds.com/connect/10074733072513#/reservations/30650123137172?display=YQ5PMMSKA&amp;reservation_id=30650123137172", "YQ5PMMSKA")</f>
        <v>YQ5PMMSKA</v>
      </c>
      <c r="B132" t="s">
        <v>10</v>
      </c>
      <c r="C132" t="s">
        <v>14</v>
      </c>
      <c r="D132" t="str">
        <f>HYPERLINK("https://us2.cloudbeds.com/connect/10074733072513#/reservations/30650123137172?display=Dale%20Keenan&amp;reservation_id=30650123137172&amp;guest_id=30650123137170", "Dale Keenan")</f>
        <v>Dale Keenan</v>
      </c>
      <c r="E132" t="s">
        <v>528</v>
      </c>
      <c r="F132" t="s">
        <v>529</v>
      </c>
      <c r="G132">
        <v>348.8</v>
      </c>
      <c r="H132">
        <v>379.12</v>
      </c>
      <c r="I132">
        <v>379.15</v>
      </c>
      <c r="J132">
        <v>-0.03</v>
      </c>
    </row>
    <row r="133" spans="1:10" x14ac:dyDescent="0.3">
      <c r="A133" t="str">
        <f>HYPERLINK("https://us2.cloudbeds.com/connect/10074733072513#/reservations/30649858658532?display=YQ5XUMBS2&amp;reservation_id=30649858658532", "YQ5XUMBS2")</f>
        <v>YQ5XUMBS2</v>
      </c>
      <c r="B133" t="s">
        <v>10</v>
      </c>
      <c r="C133" t="s">
        <v>14</v>
      </c>
      <c r="D133" t="str">
        <f>HYPERLINK("https://us2.cloudbeds.com/connect/10074733072513#/reservations/30649858658532?display=Edward%20Nelson&amp;reservation_id=30649858658532&amp;guest_id=30649858658526", "Edward Nelson")</f>
        <v>Edward Nelson</v>
      </c>
      <c r="E133" t="s">
        <v>620</v>
      </c>
      <c r="F133" t="s">
        <v>604</v>
      </c>
      <c r="G133">
        <v>192.45</v>
      </c>
      <c r="H133">
        <v>209.16</v>
      </c>
      <c r="I133">
        <v>209.19</v>
      </c>
      <c r="J133">
        <v>-0.03</v>
      </c>
    </row>
    <row r="134" spans="1:10" x14ac:dyDescent="0.3">
      <c r="A134" t="str">
        <f>HYPERLINK("https://us2.cloudbeds.com/connect/10074733072513#/reservations/30649357295829?display=YQ563U6MT&amp;reservation_id=30649357295829", "YQ563U6MT")</f>
        <v>YQ563U6MT</v>
      </c>
      <c r="B134" t="s">
        <v>10</v>
      </c>
      <c r="C134" t="s">
        <v>11</v>
      </c>
      <c r="D134" t="str">
        <f>HYPERLINK("https://us2.cloudbeds.com/connect/10074733072513#/reservations/30649357295829?display=Chris%20Kaseno&amp;reservation_id=30649357295829&amp;guest_id=30649357295816", "Chris Kaseno")</f>
        <v>Chris Kaseno</v>
      </c>
      <c r="E134" t="s">
        <v>635</v>
      </c>
      <c r="F134" t="s">
        <v>599</v>
      </c>
      <c r="G134">
        <v>192.45</v>
      </c>
      <c r="H134">
        <v>209.16</v>
      </c>
      <c r="I134">
        <v>209.19</v>
      </c>
      <c r="J134">
        <v>-0.03</v>
      </c>
    </row>
    <row r="135" spans="1:10" x14ac:dyDescent="0.3">
      <c r="A135" t="str">
        <f>HYPERLINK("https://us2.cloudbeds.com/connect/10074733072513#/reservations/30649821982872?display=YQ5HWZQXE&amp;reservation_id=30649821982872", "YQ5HWZQXE")</f>
        <v>YQ5HWZQXE</v>
      </c>
      <c r="B135" t="s">
        <v>10</v>
      </c>
      <c r="C135" t="s">
        <v>42</v>
      </c>
      <c r="D135" t="str">
        <f>HYPERLINK("https://us2.cloudbeds.com/connect/10074733072513#/reservations/30649821982872?display=Bruce%20Jacobs&amp;reservation_id=30649821982872&amp;guest_id=30649813893318", "Bruce Jacobs")</f>
        <v>Bruce Jacobs</v>
      </c>
      <c r="E135" t="s">
        <v>657</v>
      </c>
      <c r="F135" t="s">
        <v>658</v>
      </c>
      <c r="G135">
        <v>372.8</v>
      </c>
      <c r="H135">
        <v>405.2</v>
      </c>
      <c r="I135">
        <v>405.23</v>
      </c>
      <c r="J135">
        <v>-0.03</v>
      </c>
    </row>
    <row r="136" spans="1:10" x14ac:dyDescent="0.3">
      <c r="A136" t="str">
        <f>HYPERLINK("https://us2.cloudbeds.com/connect/10074733072513#/reservations/30650914177171?display=YQ6CTNNQC&amp;reservation_id=30650914177171", "YQ6CTNNQC")</f>
        <v>YQ6CTNNQC</v>
      </c>
      <c r="B136" t="s">
        <v>10</v>
      </c>
      <c r="C136" t="s">
        <v>42</v>
      </c>
      <c r="D136" t="str">
        <f>HYPERLINK("https://us2.cloudbeds.com/connect/10074733072513#/reservations/30650914177171?display=Taylor%20Jacobs&amp;reservation_id=30650914177171&amp;guest_id=30650914177167", "Taylor Jacobs")</f>
        <v>Taylor Jacobs</v>
      </c>
      <c r="E136" t="s">
        <v>664</v>
      </c>
      <c r="F136" t="s">
        <v>658</v>
      </c>
      <c r="G136">
        <v>372.8</v>
      </c>
      <c r="H136">
        <v>405.2</v>
      </c>
      <c r="I136">
        <v>405.23</v>
      </c>
      <c r="J136">
        <v>-0.03</v>
      </c>
    </row>
    <row r="137" spans="1:10" x14ac:dyDescent="0.3">
      <c r="A137" t="str">
        <f>HYPERLINK("https://us2.cloudbeds.com/connect/10074733072513#/reservations/30651049439388?display=YQ6GBPJHE&amp;reservation_id=30651049439388", "YQ6GBPJHE")</f>
        <v>YQ6GBPJHE</v>
      </c>
      <c r="B137" t="s">
        <v>10</v>
      </c>
      <c r="C137" t="s">
        <v>14</v>
      </c>
      <c r="D137" t="str">
        <f>HYPERLINK("https://us2.cloudbeds.com/connect/10074733072513#/reservations/30651049439388?display=Melisa%20Bracht-Wagner&amp;reservation_id=30651049439388&amp;guest_id=30651049435304", "Melisa Bracht-Wagner")</f>
        <v>Melisa Bracht-Wagner</v>
      </c>
      <c r="E137" t="s">
        <v>669</v>
      </c>
      <c r="F137" t="s">
        <v>670</v>
      </c>
      <c r="G137">
        <v>192.45</v>
      </c>
      <c r="H137">
        <v>209.16</v>
      </c>
      <c r="I137">
        <v>209.19</v>
      </c>
      <c r="J137">
        <v>-0.03</v>
      </c>
    </row>
    <row r="138" spans="1:10" x14ac:dyDescent="0.3">
      <c r="A138" t="str">
        <f>HYPERLINK("https://us2.cloudbeds.com/connect/10074733072513#/reservations/30650563182828?display=YQ63UZPV5&amp;reservation_id=30650563182828", "YQ63UZPV5")</f>
        <v>YQ63UZPV5</v>
      </c>
      <c r="B138" t="s">
        <v>10</v>
      </c>
      <c r="C138" t="s">
        <v>11</v>
      </c>
      <c r="D138" t="str">
        <f>HYPERLINK("https://us2.cloudbeds.com/connect/10074733072513#/reservations/30650563182828?display=Mike%20Towne&amp;reservation_id=30650563182828&amp;guest_id=30650563182824", "Mike Towne")</f>
        <v>Mike Towne</v>
      </c>
      <c r="E138" t="s">
        <v>692</v>
      </c>
      <c r="F138" t="s">
        <v>693</v>
      </c>
      <c r="G138">
        <v>192.45</v>
      </c>
      <c r="H138">
        <v>209.16</v>
      </c>
      <c r="I138">
        <v>209.19</v>
      </c>
      <c r="J138">
        <v>-0.03</v>
      </c>
    </row>
    <row r="139" spans="1:10" x14ac:dyDescent="0.3">
      <c r="A139" t="str">
        <f>HYPERLINK("https://us2.cloudbeds.com/connect/10074733072513#/reservations/30653275951232?display=YQ8787EW4&amp;reservation_id=30653275951232", "YQ8787EW4")</f>
        <v>YQ8787EW4</v>
      </c>
      <c r="B139" t="s">
        <v>10</v>
      </c>
      <c r="C139" t="s">
        <v>11</v>
      </c>
      <c r="D139" t="str">
        <f>HYPERLINK("https://us2.cloudbeds.com/connect/10074733072513#/reservations/30653275951232?display=Brad%20Maunders&amp;reservation_id=30653275951232&amp;guest_id=30653275947195", "Brad Maunders")</f>
        <v>Brad Maunders</v>
      </c>
      <c r="E139" t="s">
        <v>813</v>
      </c>
      <c r="F139" t="s">
        <v>812</v>
      </c>
      <c r="G139">
        <v>486</v>
      </c>
      <c r="H139">
        <v>528.25</v>
      </c>
      <c r="I139">
        <v>528.28</v>
      </c>
      <c r="J139">
        <v>-0.03</v>
      </c>
    </row>
    <row r="140" spans="1:10" x14ac:dyDescent="0.3">
      <c r="A140" t="str">
        <f>HYPERLINK("https://us2.cloudbeds.com/connect/10074733072513#/reservations/30652040568977?display=YQ78MH7NC&amp;reservation_id=30652040568977", "YQ78MH7NC")</f>
        <v>YQ78MH7NC</v>
      </c>
      <c r="B140" t="s">
        <v>10</v>
      </c>
      <c r="C140" t="s">
        <v>42</v>
      </c>
      <c r="D140" t="str">
        <f>HYPERLINK("https://us2.cloudbeds.com/connect/10074733072513#/reservations/30652040568977?display=Bryan%20Youngstrom&amp;reservation_id=30652040568977&amp;guest_id=30651999158474", "Bryan Youngstrom")</f>
        <v>Bryan Youngstrom</v>
      </c>
      <c r="E140" t="s">
        <v>883</v>
      </c>
      <c r="F140" t="s">
        <v>884</v>
      </c>
      <c r="G140">
        <v>879</v>
      </c>
      <c r="H140">
        <v>955.44</v>
      </c>
      <c r="I140">
        <v>955.47</v>
      </c>
      <c r="J140">
        <v>-0.03</v>
      </c>
    </row>
    <row r="141" spans="1:10" x14ac:dyDescent="0.3">
      <c r="A141" t="str">
        <f>HYPERLINK("https://us2.cloudbeds.com/connect/10074733072513#/reservations/30652437147834?display=YQ7XQUKKH&amp;reservation_id=30652437147834", "YQ7XQUKKH")</f>
        <v>YQ7XQUKKH</v>
      </c>
      <c r="B141" t="s">
        <v>10</v>
      </c>
      <c r="C141" t="s">
        <v>14</v>
      </c>
      <c r="D141" t="str">
        <f>HYPERLINK("https://us2.cloudbeds.com/connect/10074733072513#/reservations/30652437147834?display=Kjell%20Berglund&amp;reservation_id=30652437147834&amp;guest_id=30652431601890", "Kjell Berglund")</f>
        <v>Kjell Berglund</v>
      </c>
      <c r="E141" t="s">
        <v>914</v>
      </c>
      <c r="F141" t="s">
        <v>915</v>
      </c>
      <c r="G141">
        <v>436</v>
      </c>
      <c r="H141">
        <v>473.9</v>
      </c>
      <c r="I141">
        <v>473.93</v>
      </c>
      <c r="J141">
        <v>-0.03</v>
      </c>
    </row>
    <row r="142" spans="1:10" x14ac:dyDescent="0.3">
      <c r="A142" t="str">
        <f>HYPERLINK("https://us2.cloudbeds.com/connect/10074733072513#/reservations/30652026622177?display=YQ78AP4Z3&amp;reservation_id=30652026622177", "YQ78AP4Z3")</f>
        <v>YQ78AP4Z3</v>
      </c>
      <c r="B142" t="s">
        <v>10</v>
      </c>
      <c r="C142" t="s">
        <v>121</v>
      </c>
      <c r="D142" t="str">
        <f>HYPERLINK("https://us2.cloudbeds.com/connect/10074733072513#/reservations/30652026622177?display=Don%20Soloman&amp;reservation_id=30652026622177&amp;guest_id=30652026618090", "Don Soloman")</f>
        <v>Don Soloman</v>
      </c>
      <c r="E142" t="s">
        <v>916</v>
      </c>
      <c r="F142" t="s">
        <v>884</v>
      </c>
      <c r="G142">
        <v>1008</v>
      </c>
      <c r="H142">
        <v>1095.67</v>
      </c>
      <c r="I142">
        <v>1095.7</v>
      </c>
      <c r="J142">
        <v>-0.03</v>
      </c>
    </row>
    <row r="143" spans="1:10" x14ac:dyDescent="0.3">
      <c r="A143" t="str">
        <f>HYPERLINK("https://us2.cloudbeds.com/connect/10074733072513#/reservations/30652999528593?display=YQ8064N1N&amp;reservation_id=30652999528593", "YQ8064N1N")</f>
        <v>YQ8064N1N</v>
      </c>
      <c r="B143" t="s">
        <v>10</v>
      </c>
      <c r="C143" t="s">
        <v>20</v>
      </c>
      <c r="D143" t="str">
        <f>HYPERLINK("https://us2.cloudbeds.com/connect/10074733072513#/reservations/30652999528593?display=Paul%20Atkins&amp;reservation_id=30652999528593&amp;guest_id=30652994457793", "Paul Atkins")</f>
        <v>Paul Atkins</v>
      </c>
      <c r="E143" t="s">
        <v>955</v>
      </c>
      <c r="F143" t="s">
        <v>956</v>
      </c>
      <c r="G143">
        <v>309.60000000000002</v>
      </c>
      <c r="H143">
        <v>336.51</v>
      </c>
      <c r="I143">
        <v>336.54</v>
      </c>
      <c r="J143">
        <v>-0.03</v>
      </c>
    </row>
    <row r="144" spans="1:10" x14ac:dyDescent="0.3">
      <c r="A144" t="str">
        <f>HYPERLINK("https://us2.cloudbeds.com/connect/10074733072513#/reservations/30656173936825?display=YQAF9T9FX&amp;reservation_id=30656173936825", "YQAF9T9FX")</f>
        <v>YQAF9T9FX</v>
      </c>
      <c r="B144" t="s">
        <v>10</v>
      </c>
      <c r="C144" t="s">
        <v>14</v>
      </c>
      <c r="D144" t="str">
        <f>HYPERLINK("https://us2.cloudbeds.com/connect/10074733072513#/reservations/30656173936825?display=Brian%20Kirey&amp;reservation_id=30656173936825&amp;guest_id=30656173936776", "Brian Kirey")</f>
        <v>Brian Kirey</v>
      </c>
      <c r="E144" t="s">
        <v>989</v>
      </c>
      <c r="F144" t="s">
        <v>667</v>
      </c>
      <c r="G144">
        <v>192.45</v>
      </c>
      <c r="H144">
        <v>209.16</v>
      </c>
      <c r="I144">
        <v>209.19</v>
      </c>
      <c r="J144">
        <v>-0.03</v>
      </c>
    </row>
    <row r="145" spans="1:10" x14ac:dyDescent="0.3">
      <c r="A145" t="str">
        <f>HYPERLINK("https://us2.cloudbeds.com/connect/10074733072513#/reservations/30654161723596?display=YQ8TT4G33&amp;reservation_id=30654161723596", "YQ8TT4G33")</f>
        <v>YQ8TT4G33</v>
      </c>
      <c r="B145" t="s">
        <v>10</v>
      </c>
      <c r="C145" t="s">
        <v>20</v>
      </c>
      <c r="D145" t="str">
        <f>HYPERLINK("https://us2.cloudbeds.com/connect/10074733072513#/reservations/30654161723596?display=Janet%20Rand%20Orsak&amp;reservation_id=30654161723596&amp;guest_id=30654161719505", "Janet Rand Orsak")</f>
        <v>Janet Rand Orsak</v>
      </c>
      <c r="E145" t="s">
        <v>1007</v>
      </c>
      <c r="F145" t="s">
        <v>1008</v>
      </c>
      <c r="G145">
        <v>309.60000000000002</v>
      </c>
      <c r="H145">
        <v>336.51</v>
      </c>
      <c r="I145">
        <v>336.54</v>
      </c>
      <c r="J145">
        <v>-0.03</v>
      </c>
    </row>
    <row r="146" spans="1:10" x14ac:dyDescent="0.3">
      <c r="A146" t="str">
        <f>HYPERLINK("https://us2.cloudbeds.com/connect/10074733072513#/reservations/30654203338882?display=YQ8UV7GAC&amp;reservation_id=30654203338882", "YQ8UV7GAC")</f>
        <v>YQ8UV7GAC</v>
      </c>
      <c r="B146" t="s">
        <v>10</v>
      </c>
      <c r="C146" t="s">
        <v>11</v>
      </c>
      <c r="D146" t="str">
        <f>HYPERLINK("https://us2.cloudbeds.com/connect/10074733072513#/reservations/30654203338882?display=Kevin%20Mattox&amp;reservation_id=30654203338882&amp;guest_id=30652998471866", "Kevin Mattox")</f>
        <v>Kevin Mattox</v>
      </c>
      <c r="E146" t="s">
        <v>1119</v>
      </c>
      <c r="F146" t="s">
        <v>949</v>
      </c>
      <c r="G146">
        <v>192.45</v>
      </c>
      <c r="H146">
        <v>209.16</v>
      </c>
      <c r="I146">
        <v>209.19</v>
      </c>
      <c r="J146">
        <v>-0.03</v>
      </c>
    </row>
    <row r="147" spans="1:10" x14ac:dyDescent="0.3">
      <c r="A147" t="str">
        <f>HYPERLINK("https://us2.cloudbeds.com/connect/10074733072513#/reservations/30653656486117?display=YQ8GW3GRF&amp;reservation_id=30653656486117", "YQ8GW3GRF")</f>
        <v>YQ8GW3GRF</v>
      </c>
      <c r="B147" t="s">
        <v>10</v>
      </c>
      <c r="C147" t="s">
        <v>11</v>
      </c>
      <c r="D147" t="str">
        <f>HYPERLINK("https://us2.cloudbeds.com/connect/10074733072513#/reservations/30653656486117?display=Garrett%20West&amp;reservation_id=30653656486117&amp;guest_id=30653656486115", "Garrett West")</f>
        <v>Garrett West</v>
      </c>
      <c r="E147" t="s">
        <v>1119</v>
      </c>
      <c r="F147" t="s">
        <v>993</v>
      </c>
      <c r="G147">
        <v>192.45</v>
      </c>
      <c r="H147">
        <v>209.16</v>
      </c>
      <c r="I147">
        <v>209.19</v>
      </c>
      <c r="J147">
        <v>-0.03</v>
      </c>
    </row>
    <row r="148" spans="1:10" x14ac:dyDescent="0.3">
      <c r="A148" t="str">
        <f>HYPERLINK("https://us2.cloudbeds.com/connect/10074733072513#/reservations/30658963853567?display=YQCKJDRG4&amp;reservation_id=30658963853567", "YQCKJDRG4")</f>
        <v>YQCKJDRG4</v>
      </c>
      <c r="B148" t="s">
        <v>10</v>
      </c>
      <c r="C148" t="s">
        <v>42</v>
      </c>
      <c r="D148" t="str">
        <f>HYPERLINK("https://us2.cloudbeds.com/connect/10074733072513#/reservations/30658963853567?display=Keith%20Andersen&amp;reservation_id=30658963853567&amp;guest_id=30658963853551", "Keith Andersen")</f>
        <v>Keith Andersen</v>
      </c>
      <c r="E148" t="s">
        <v>1136</v>
      </c>
      <c r="F148" t="s">
        <v>1137</v>
      </c>
      <c r="G148">
        <v>354.45</v>
      </c>
      <c r="H148">
        <v>385.26</v>
      </c>
      <c r="I148">
        <v>385.29</v>
      </c>
      <c r="J148">
        <v>-0.03</v>
      </c>
    </row>
    <row r="149" spans="1:10" x14ac:dyDescent="0.3">
      <c r="A149" t="str">
        <f>HYPERLINK("https://us2.cloudbeds.com/connect/10074733072513#/reservations/30652674334895?display=YQ7ZSUN87&amp;reservation_id=30652674334895", "YQ7ZSUN87")</f>
        <v>YQ7ZSUN87</v>
      </c>
      <c r="B149" t="s">
        <v>10</v>
      </c>
      <c r="C149" t="s">
        <v>11</v>
      </c>
      <c r="D149" t="str">
        <f>HYPERLINK("https://us2.cloudbeds.com/connect/10074733072513#/reservations/30652674334895?display=Dalton%20Dankert&amp;reservation_id=30652674334895&amp;guest_id=30652674334876", "Dalton Dankert")</f>
        <v>Dalton Dankert</v>
      </c>
      <c r="E149" t="s">
        <v>1150</v>
      </c>
      <c r="F149" t="s">
        <v>1045</v>
      </c>
      <c r="G149">
        <v>192.45</v>
      </c>
      <c r="H149">
        <v>209.16</v>
      </c>
      <c r="I149">
        <v>209.19</v>
      </c>
      <c r="J149">
        <v>-0.03</v>
      </c>
    </row>
    <row r="150" spans="1:10" x14ac:dyDescent="0.3">
      <c r="A150" t="str">
        <f>HYPERLINK("https://us2.cloudbeds.com/connect/10074733072513#/reservations/30652686754022?display=YQ7P6D9DD&amp;reservation_id=30652686754022", "YQ7P6D9DD")</f>
        <v>YQ7P6D9DD</v>
      </c>
      <c r="B150" t="s">
        <v>10</v>
      </c>
      <c r="C150" t="s">
        <v>11</v>
      </c>
      <c r="D150" t="str">
        <f>HYPERLINK("https://us2.cloudbeds.com/connect/10074733072513#/reservations/30652686754022?display=Chris%20Chonto&amp;reservation_id=30652686754022&amp;guest_id=30652679766159", "Chris Chonto")</f>
        <v>Chris Chonto</v>
      </c>
      <c r="E150" t="s">
        <v>1150</v>
      </c>
      <c r="F150" t="s">
        <v>1045</v>
      </c>
      <c r="G150">
        <v>192.45</v>
      </c>
      <c r="H150">
        <v>209.16</v>
      </c>
      <c r="I150">
        <v>209.19</v>
      </c>
      <c r="J150">
        <v>-0.03</v>
      </c>
    </row>
    <row r="151" spans="1:10" x14ac:dyDescent="0.3">
      <c r="A151" t="str">
        <f>HYPERLINK("https://us2.cloudbeds.com/connect/10074733072513#/reservations/30654491623590?display=YQ95AAEXK&amp;reservation_id=30654491623590", "YQ95AAEXK")</f>
        <v>YQ95AAEXK</v>
      </c>
      <c r="B151" t="s">
        <v>10</v>
      </c>
      <c r="C151" t="s">
        <v>14</v>
      </c>
      <c r="D151" t="str">
        <f>HYPERLINK("https://us2.cloudbeds.com/connect/10074733072513#/reservations/30654491623590?display=Jerry%20Payne&amp;reservation_id=30654491623590&amp;guest_id=30648701055131", "Jerry Payne")</f>
        <v>Jerry Payne</v>
      </c>
      <c r="E151" t="s">
        <v>567</v>
      </c>
      <c r="F151" t="s">
        <v>1054</v>
      </c>
      <c r="G151">
        <v>348.8</v>
      </c>
      <c r="H151">
        <v>379.12</v>
      </c>
      <c r="I151">
        <v>379.15</v>
      </c>
      <c r="J151">
        <v>-0.03</v>
      </c>
    </row>
    <row r="152" spans="1:10" x14ac:dyDescent="0.3">
      <c r="A152" t="str">
        <f>HYPERLINK("https://us2.cloudbeds.com/connect/10074733072513#/reservations/30654015938789?display=YQ8Q56QZM&amp;reservation_id=30654015938789", "YQ8Q56QZM")</f>
        <v>YQ8Q56QZM</v>
      </c>
      <c r="B152" t="s">
        <v>10</v>
      </c>
      <c r="C152" t="s">
        <v>14</v>
      </c>
      <c r="D152" t="str">
        <f>HYPERLINK("https://us2.cloudbeds.com/connect/10074733072513#/reservations/30654015938789?display=Jerry%20Payne&amp;reservation_id=30654015938789&amp;guest_id=30648701055131", "Jerry Payne")</f>
        <v>Jerry Payne</v>
      </c>
      <c r="E152" t="s">
        <v>567</v>
      </c>
      <c r="F152" t="s">
        <v>1214</v>
      </c>
      <c r="G152">
        <v>348.8</v>
      </c>
      <c r="H152">
        <v>379.12</v>
      </c>
      <c r="I152">
        <v>379.15</v>
      </c>
      <c r="J152">
        <v>-0.03</v>
      </c>
    </row>
    <row r="153" spans="1:10" x14ac:dyDescent="0.3">
      <c r="A153" t="str">
        <f>HYPERLINK("https://us2.cloudbeds.com/connect/10074733072513#/reservations/30656393535680?display=YQAKU1RK4&amp;reservation_id=30656393535680", "YQAKU1RK4")</f>
        <v>YQAKU1RK4</v>
      </c>
      <c r="B153" t="s">
        <v>10</v>
      </c>
      <c r="C153" t="s">
        <v>11</v>
      </c>
      <c r="D153" t="str">
        <f>HYPERLINK("https://us2.cloudbeds.com/connect/10074733072513#/reservations/30656393535680?display=Kevin%20Mattox&amp;reservation_id=30656393535680&amp;guest_id=30652998471866", "Kevin Mattox")</f>
        <v>Kevin Mattox</v>
      </c>
      <c r="E153" t="s">
        <v>1119</v>
      </c>
      <c r="F153" t="s">
        <v>1223</v>
      </c>
      <c r="G153">
        <v>192.45</v>
      </c>
      <c r="H153">
        <v>209.16</v>
      </c>
      <c r="I153">
        <v>209.19</v>
      </c>
      <c r="J153">
        <v>-0.03</v>
      </c>
    </row>
    <row r="154" spans="1:10" x14ac:dyDescent="0.3">
      <c r="A154" t="str">
        <f>HYPERLINK("https://us2.cloudbeds.com/connect/10074733072513#/reservations/30656320753873?display=YQAJ1MMN0&amp;reservation_id=30656320753873", "YQAJ1MMN0")</f>
        <v>YQAJ1MMN0</v>
      </c>
      <c r="B154" t="s">
        <v>10</v>
      </c>
      <c r="C154" t="s">
        <v>11</v>
      </c>
      <c r="D154" t="str">
        <f>HYPERLINK("https://us2.cloudbeds.com/connect/10074733072513#/reservations/30656320753873?display=Brock%20Moretti&amp;reservation_id=30656320753873&amp;guest_id=30656320753868", "Brock Moretti")</f>
        <v>Brock Moretti</v>
      </c>
      <c r="E154" t="s">
        <v>1265</v>
      </c>
      <c r="F154" t="s">
        <v>1266</v>
      </c>
      <c r="G154">
        <v>348.8</v>
      </c>
      <c r="H154">
        <v>379.12</v>
      </c>
      <c r="I154">
        <v>379.15</v>
      </c>
      <c r="J154">
        <v>-0.03</v>
      </c>
    </row>
    <row r="155" spans="1:10" x14ac:dyDescent="0.3">
      <c r="A155" t="str">
        <f>HYPERLINK("https://us2.cloudbeds.com/connect/10074733072513#/reservations/30658611699857?display=YQCBJFY0J&amp;reservation_id=30658611699857", "YQCBJFY0J")</f>
        <v>YQCBJFY0J</v>
      </c>
      <c r="B155" t="s">
        <v>10</v>
      </c>
      <c r="C155" t="s">
        <v>42</v>
      </c>
      <c r="D155" t="str">
        <f>HYPERLINK("https://us2.cloudbeds.com/connect/10074733072513#/reservations/30658611699857?display=Amanda%20Baulman&amp;reservation_id=30658611699857&amp;guest_id=30658611699852", "Amanda Baulman")</f>
        <v>Amanda Baulman</v>
      </c>
      <c r="E155" t="s">
        <v>1416</v>
      </c>
      <c r="F155" t="s">
        <v>1417</v>
      </c>
      <c r="G155">
        <v>536.4</v>
      </c>
      <c r="H155">
        <v>583.04</v>
      </c>
      <c r="I155">
        <v>583.07000000000005</v>
      </c>
      <c r="J155">
        <v>-0.03</v>
      </c>
    </row>
    <row r="156" spans="1:10" x14ac:dyDescent="0.3">
      <c r="A156" t="str">
        <f>HYPERLINK("https://us2.cloudbeds.com/connect/10074733072513#/reservations/30658020765857?display=YQBTG60TM&amp;reservation_id=30658020765857", "YQBTG60TM")</f>
        <v>YQBTG60TM</v>
      </c>
      <c r="B156" t="s">
        <v>10</v>
      </c>
      <c r="C156" t="s">
        <v>121</v>
      </c>
      <c r="D156" t="str">
        <f>HYPERLINK("https://us2.cloudbeds.com/connect/10074733072513#/reservations/30658020765857?display=Zach%20Lenning&amp;reservation_id=30658020765857&amp;guest_id=30658020765848", "Zach Lenning")</f>
        <v>Zach Lenning</v>
      </c>
      <c r="E156" t="s">
        <v>1426</v>
      </c>
      <c r="F156" t="s">
        <v>1427</v>
      </c>
      <c r="G156">
        <v>354.45</v>
      </c>
      <c r="H156">
        <v>385.26</v>
      </c>
      <c r="I156">
        <v>385.29</v>
      </c>
      <c r="J156">
        <v>-0.03</v>
      </c>
    </row>
    <row r="157" spans="1:10" x14ac:dyDescent="0.3">
      <c r="A157" t="str">
        <f>HYPERLINK("https://us2.cloudbeds.com/connect/10074733072513#/reservations/30658559635587?display=YQCA8XSPE&amp;reservation_id=30658559635587", "YQCA8XSPE")</f>
        <v>YQCA8XSPE</v>
      </c>
      <c r="B157" t="s">
        <v>10</v>
      </c>
      <c r="C157" t="s">
        <v>14</v>
      </c>
      <c r="D157" t="str">
        <f>HYPERLINK("https://us2.cloudbeds.com/connect/10074733072513#/reservations/30658559635587?display=Nathan%20Samson&amp;reservation_id=30658559635587&amp;guest_id=30658334351497", "Nathan Samson")</f>
        <v>Nathan Samson</v>
      </c>
      <c r="E157" t="s">
        <v>1436</v>
      </c>
      <c r="F157" t="s">
        <v>1419</v>
      </c>
      <c r="G157">
        <v>309.60000000000002</v>
      </c>
      <c r="H157">
        <v>336.51</v>
      </c>
      <c r="I157">
        <v>336.54</v>
      </c>
      <c r="J157">
        <v>-0.03</v>
      </c>
    </row>
    <row r="158" spans="1:10" x14ac:dyDescent="0.3">
      <c r="A158" t="str">
        <f>HYPERLINK("https://us2.cloudbeds.com/connect/10074733072513#/reservations/30659377123488?display=YQCV4TMC2&amp;reservation_id=30659377123488", "YQCV4TMC2")</f>
        <v>YQCV4TMC2</v>
      </c>
      <c r="B158" t="s">
        <v>10</v>
      </c>
      <c r="C158" t="s">
        <v>14</v>
      </c>
      <c r="D158" t="str">
        <f>HYPERLINK("https://us2.cloudbeds.com/connect/10074733072513#/reservations/30659377123488?display=Jerry%20Payne&amp;reservation_id=30659377123488&amp;guest_id=30648701055131", "Jerry Payne")</f>
        <v>Jerry Payne</v>
      </c>
      <c r="E158" t="s">
        <v>567</v>
      </c>
      <c r="F158" t="s">
        <v>1381</v>
      </c>
      <c r="G158">
        <v>412.8</v>
      </c>
      <c r="H158">
        <v>448.68</v>
      </c>
      <c r="I158">
        <v>448.71</v>
      </c>
      <c r="J158">
        <v>-0.03</v>
      </c>
    </row>
    <row r="159" spans="1:10" x14ac:dyDescent="0.3">
      <c r="A159" t="str">
        <f>HYPERLINK("https://us2.cloudbeds.com/connect/10074733072513#/reservations/30658720100526?display=YQCEBT1GB&amp;reservation_id=30658720100526", "YQCEBT1GB")</f>
        <v>YQCEBT1GB</v>
      </c>
      <c r="B159" t="s">
        <v>10</v>
      </c>
      <c r="C159" t="s">
        <v>14</v>
      </c>
      <c r="D159" t="str">
        <f>HYPERLINK("https://us2.cloudbeds.com/connect/10074733072513#/reservations/30658720100526?display=Jerry%20Payne&amp;reservation_id=30658720100526&amp;guest_id=30648701055131", "Jerry Payne")</f>
        <v>Jerry Payne</v>
      </c>
      <c r="E159" t="s">
        <v>567</v>
      </c>
      <c r="F159" t="s">
        <v>1445</v>
      </c>
      <c r="G159">
        <v>412.8</v>
      </c>
      <c r="H159">
        <v>448.68</v>
      </c>
      <c r="I159">
        <v>448.71</v>
      </c>
      <c r="J159">
        <v>-0.03</v>
      </c>
    </row>
    <row r="160" spans="1:10" x14ac:dyDescent="0.3">
      <c r="A160" t="str">
        <f>HYPERLINK("https://us2.cloudbeds.com/connect/10074733072513#/reservations/30659197403264?display=YQCQXBJAG&amp;reservation_id=30659197403264", "YQCQXBJAG")</f>
        <v>YQCQXBJAG</v>
      </c>
      <c r="B160" t="s">
        <v>10</v>
      </c>
      <c r="C160" t="s">
        <v>42</v>
      </c>
      <c r="D160" t="str">
        <f>HYPERLINK("https://us2.cloudbeds.com/connect/10074733072513#/reservations/30659197403264?display=Mary%20Feldmann&amp;reservation_id=30659197403264&amp;guest_id=30659197399230", "Mary Feldmann")</f>
        <v>Mary Feldmann</v>
      </c>
      <c r="E160" t="s">
        <v>1506</v>
      </c>
      <c r="F160" t="s">
        <v>1017</v>
      </c>
      <c r="G160">
        <v>510.3</v>
      </c>
      <c r="H160">
        <v>554.66999999999996</v>
      </c>
      <c r="I160">
        <v>554.70000000000005</v>
      </c>
      <c r="J160">
        <v>-0.03</v>
      </c>
    </row>
    <row r="161" spans="1:10" x14ac:dyDescent="0.3">
      <c r="A161" t="str">
        <f>HYPERLINK("https://us2.cloudbeds.com/connect/10074733072513#/reservations/30660976992387?display=YQE60VCQQ&amp;reservation_id=30660976992387", "YQE60VCQQ")</f>
        <v>YQE60VCQQ</v>
      </c>
      <c r="B161" t="s">
        <v>10</v>
      </c>
      <c r="C161" t="s">
        <v>14</v>
      </c>
      <c r="D161" t="str">
        <f>HYPERLINK("https://us2.cloudbeds.com/connect/10074733072513#/reservations/30660976992387?display=Jerry%20Payne&amp;reservation_id=30660976992387&amp;guest_id=30648701055131", "Jerry Payne")</f>
        <v>Jerry Payne</v>
      </c>
      <c r="E161" t="s">
        <v>567</v>
      </c>
      <c r="F161" t="s">
        <v>1544</v>
      </c>
      <c r="G161">
        <v>412.8</v>
      </c>
      <c r="H161">
        <v>448.68</v>
      </c>
      <c r="I161">
        <v>448.71</v>
      </c>
      <c r="J161">
        <v>-0.03</v>
      </c>
    </row>
    <row r="162" spans="1:10" x14ac:dyDescent="0.3">
      <c r="A162" t="str">
        <f>HYPERLINK("https://us2.cloudbeds.com/connect/10074733072513#/reservations/30659665047741?display=YQD5GMJKE&amp;reservation_id=30659665047741", "YQD5GMJKE")</f>
        <v>YQD5GMJKE</v>
      </c>
      <c r="B162" t="s">
        <v>10</v>
      </c>
      <c r="C162" t="s">
        <v>14</v>
      </c>
      <c r="D162" t="str">
        <f>HYPERLINK("https://us2.cloudbeds.com/connect/10074733072513#/reservations/30659665047741?display=Roger%20Knudsen&amp;reservation_id=30659665047741&amp;guest_id=30659665047739", "Roger Knudsen")</f>
        <v>Roger Knudsen</v>
      </c>
      <c r="E162" t="s">
        <v>1569</v>
      </c>
      <c r="F162" t="s">
        <v>1399</v>
      </c>
      <c r="G162">
        <v>405.97</v>
      </c>
      <c r="H162">
        <v>441.26</v>
      </c>
      <c r="I162">
        <v>441.29</v>
      </c>
      <c r="J162">
        <v>-0.03</v>
      </c>
    </row>
    <row r="163" spans="1:10" x14ac:dyDescent="0.3">
      <c r="A163" t="str">
        <f>HYPERLINK("https://us2.cloudbeds.com/connect/10074733072513#/reservations/30662326628521?display=YQF7H003F&amp;reservation_id=30662326628521", "YQF7H003F")</f>
        <v>YQF7H003F</v>
      </c>
      <c r="B163" t="s">
        <v>10</v>
      </c>
      <c r="C163" t="s">
        <v>14</v>
      </c>
      <c r="D163" t="str">
        <f>HYPERLINK("https://us2.cloudbeds.com/connect/10074733072513#/reservations/30662326628521?display=Patricia%20Belmas&amp;reservation_id=30662326628521&amp;guest_id=30662319419544", "Patricia Belmas")</f>
        <v>Patricia Belmas</v>
      </c>
      <c r="E163" t="s">
        <v>1590</v>
      </c>
      <c r="F163" t="s">
        <v>1591</v>
      </c>
      <c r="G163">
        <v>312.89999999999998</v>
      </c>
      <c r="H163">
        <v>340.09</v>
      </c>
      <c r="I163">
        <v>340.12</v>
      </c>
      <c r="J163">
        <v>-0.03</v>
      </c>
    </row>
    <row r="164" spans="1:10" x14ac:dyDescent="0.3">
      <c r="A164" t="str">
        <f>HYPERLINK("https://us2.cloudbeds.com/connect/10074733072513#/reservations/30660195365056?display=YQDJ1SBAU&amp;reservation_id=30660195365056", "YQDJ1SBAU")</f>
        <v>YQDJ1SBAU</v>
      </c>
      <c r="B164" t="s">
        <v>10</v>
      </c>
      <c r="C164" t="s">
        <v>11</v>
      </c>
      <c r="D164" t="str">
        <f>HYPERLINK("https://us2.cloudbeds.com/connect/10074733072513#/reservations/30660195365056?display=Nicole%20Koehlmoos&amp;reservation_id=30660195365056&amp;guest_id=30660195361022", "Nicole Koehlmoos")</f>
        <v>Nicole Koehlmoos</v>
      </c>
      <c r="E164" t="s">
        <v>1632</v>
      </c>
      <c r="F164" t="s">
        <v>1600</v>
      </c>
      <c r="G164">
        <v>348.8</v>
      </c>
      <c r="H164">
        <v>379.12</v>
      </c>
      <c r="I164">
        <v>379.15</v>
      </c>
      <c r="J164">
        <v>-0.03</v>
      </c>
    </row>
    <row r="165" spans="1:10" x14ac:dyDescent="0.3">
      <c r="A165" t="str">
        <f>HYPERLINK("https://us2.cloudbeds.com/connect/10074733072513#/reservations/30662974681270?display=YQFZ2F0SX&amp;reservation_id=30662974681270", "YQFZ2F0SX")</f>
        <v>YQFZ2F0SX</v>
      </c>
      <c r="B165" t="s">
        <v>10</v>
      </c>
      <c r="C165" t="s">
        <v>11</v>
      </c>
      <c r="D165" t="str">
        <f>HYPERLINK("https://us2.cloudbeds.com/connect/10074733072513#/reservations/30662974681270?display=Chris%20Youngberg&amp;reservation_id=30662974681270&amp;guest_id=30662974681268", "Chris Youngberg")</f>
        <v>Chris Youngberg</v>
      </c>
      <c r="E165" t="s">
        <v>1668</v>
      </c>
      <c r="F165" t="s">
        <v>1591</v>
      </c>
      <c r="G165">
        <v>312.89999999999998</v>
      </c>
      <c r="H165">
        <v>340.09</v>
      </c>
      <c r="I165">
        <v>340.12</v>
      </c>
      <c r="J165">
        <v>-0.03</v>
      </c>
    </row>
    <row r="166" spans="1:10" x14ac:dyDescent="0.3">
      <c r="A166" t="str">
        <f>HYPERLINK("https://us2.cloudbeds.com/connect/10074733072513#/reservations/30662404477111?display=YQF9GY8DY&amp;reservation_id=30662404477111", "YQF9GY8DY")</f>
        <v>YQF9GY8DY</v>
      </c>
      <c r="B166" t="s">
        <v>10</v>
      </c>
      <c r="C166" t="s">
        <v>11</v>
      </c>
      <c r="D166" t="str">
        <f>HYPERLINK("https://us2.cloudbeds.com/connect/10074733072513#/reservations/30662404477111?display=Kenneth%20Knox&amp;reservation_id=30662404477111&amp;guest_id=30662396883153", "Kenneth Knox")</f>
        <v>Kenneth Knox</v>
      </c>
      <c r="E166" t="s">
        <v>1702</v>
      </c>
      <c r="F166" t="s">
        <v>1703</v>
      </c>
      <c r="G166">
        <v>588.6</v>
      </c>
      <c r="H166">
        <v>639.78</v>
      </c>
      <c r="I166">
        <v>639.80999999999995</v>
      </c>
      <c r="J166">
        <v>-0.03</v>
      </c>
    </row>
    <row r="167" spans="1:10" x14ac:dyDescent="0.3">
      <c r="A167" t="str">
        <f>HYPERLINK("https://us2.cloudbeds.com/connect/10074733072513#/reservations/30661983514810?display=YQEVZMBR9&amp;reservation_id=30661983514810", "YQEVZMBR9")</f>
        <v>YQEVZMBR9</v>
      </c>
      <c r="B167" t="s">
        <v>10</v>
      </c>
      <c r="C167" t="s">
        <v>14</v>
      </c>
      <c r="D167" t="str">
        <f>HYPERLINK("https://us2.cloudbeds.com/connect/10074733072513#/reservations/30661983514810?display=Peter%20Robinson&amp;reservation_id=30661983514810&amp;guest_id=30661983514806", "Peter Robinson")</f>
        <v>Peter Robinson</v>
      </c>
      <c r="E167" t="s">
        <v>1726</v>
      </c>
      <c r="F167" t="s">
        <v>1727</v>
      </c>
      <c r="G167">
        <v>192.45</v>
      </c>
      <c r="H167">
        <v>209.16</v>
      </c>
      <c r="I167">
        <v>209.19</v>
      </c>
      <c r="J167">
        <v>-0.03</v>
      </c>
    </row>
    <row r="168" spans="1:10" x14ac:dyDescent="0.3">
      <c r="A168" t="str">
        <f>HYPERLINK("https://us2.cloudbeds.com/connect/10074733072513#/reservations/30661989396704?display=YQEVTY10G&amp;reservation_id=30661989396704", "YQEVTY10G")</f>
        <v>YQEVTY10G</v>
      </c>
      <c r="B168" t="s">
        <v>10</v>
      </c>
      <c r="C168" t="s">
        <v>14</v>
      </c>
      <c r="D168" t="str">
        <f>HYPERLINK("https://us2.cloudbeds.com/connect/10074733072513#/reservations/30661989396704?display=Peter%20Robinsona&amp;reservation_id=30661989396704&amp;guest_id=30661989396684", "Peter Robinsona")</f>
        <v>Peter Robinsona</v>
      </c>
      <c r="E168" t="s">
        <v>1726</v>
      </c>
      <c r="F168" t="s">
        <v>1727</v>
      </c>
      <c r="G168">
        <v>192.45</v>
      </c>
      <c r="H168">
        <v>209.16</v>
      </c>
      <c r="I168">
        <v>209.19</v>
      </c>
      <c r="J168">
        <v>-0.03</v>
      </c>
    </row>
    <row r="169" spans="1:10" x14ac:dyDescent="0.3">
      <c r="A169" t="str">
        <f>HYPERLINK("https://us2.cloudbeds.com/connect/10074733072513#/reservations/30662989713588?display=YQFZF4AYB&amp;reservation_id=30662989713588", "YQFZF4AYB")</f>
        <v>YQFZF4AYB</v>
      </c>
      <c r="B169" t="s">
        <v>10</v>
      </c>
      <c r="C169" t="s">
        <v>11</v>
      </c>
      <c r="D169" t="str">
        <f>HYPERLINK("https://us2.cloudbeds.com/connect/10074733072513#/reservations/30662989713588?display=Michael%20Guttridge&amp;reservation_id=30662989713588&amp;guest_id=30662989713578", "Michael Guttridge")</f>
        <v>Michael Guttridge</v>
      </c>
      <c r="E169" t="s">
        <v>1744</v>
      </c>
      <c r="F169" t="s">
        <v>1745</v>
      </c>
      <c r="G169">
        <v>192.45</v>
      </c>
      <c r="H169">
        <v>209.16</v>
      </c>
      <c r="I169">
        <v>209.19</v>
      </c>
      <c r="J169">
        <v>-0.03</v>
      </c>
    </row>
    <row r="170" spans="1:10" x14ac:dyDescent="0.3">
      <c r="A170" t="str">
        <f>HYPERLINK("https://us2.cloudbeds.com/connect/10074733072513#/reservations/30662864961711?display=YQFY8UU9D&amp;reservation_id=30662864961711", "YQFY8UU9D")</f>
        <v>YQFY8UU9D</v>
      </c>
      <c r="B170" t="s">
        <v>10</v>
      </c>
      <c r="C170" t="s">
        <v>14</v>
      </c>
      <c r="D170" t="str">
        <f>HYPERLINK("https://us2.cloudbeds.com/connect/10074733072513#/reservations/30662864961711?display=Brian%20Zirkel&amp;reservation_id=30662864961711&amp;guest_id=30662853701853", "Brian Zirkel")</f>
        <v>Brian Zirkel</v>
      </c>
      <c r="E170" t="s">
        <v>1794</v>
      </c>
      <c r="F170" t="s">
        <v>1795</v>
      </c>
      <c r="G170">
        <v>309.60000000000002</v>
      </c>
      <c r="H170">
        <v>336.51</v>
      </c>
      <c r="I170">
        <v>336.54</v>
      </c>
      <c r="J170">
        <v>-0.03</v>
      </c>
    </row>
    <row r="171" spans="1:10" x14ac:dyDescent="0.3">
      <c r="A171" t="str">
        <f>HYPERLINK("https://us2.cloudbeds.com/connect/10074733072513#/reservations/30662595391738?display=YQFECKZ9C&amp;reservation_id=30662595391738", "YQFECKZ9C")</f>
        <v>YQFECKZ9C</v>
      </c>
      <c r="B171" t="s">
        <v>10</v>
      </c>
      <c r="C171" t="s">
        <v>14</v>
      </c>
      <c r="D171" t="str">
        <f>HYPERLINK("https://us2.cloudbeds.com/connect/10074733072513#/reservations/30662595391738?display=Hunter%20Kalisek&amp;reservation_id=30662595391738&amp;guest_id=30662595391733", "Hunter Kalisek")</f>
        <v>Hunter Kalisek</v>
      </c>
      <c r="E171" t="s">
        <v>1845</v>
      </c>
      <c r="F171" t="s">
        <v>1842</v>
      </c>
      <c r="G171">
        <v>192.45</v>
      </c>
      <c r="H171">
        <v>209.16</v>
      </c>
      <c r="I171">
        <v>209.19</v>
      </c>
      <c r="J171">
        <v>-0.03</v>
      </c>
    </row>
    <row r="172" spans="1:10" x14ac:dyDescent="0.3">
      <c r="A172" t="str">
        <f>HYPERLINK("https://us2.cloudbeds.com/connect/10074733072513#/reservations/30662588133528?display=YQFE6GP8K&amp;reservation_id=30662588133528", "YQFE6GP8K")</f>
        <v>YQFE6GP8K</v>
      </c>
      <c r="B172" t="s">
        <v>10</v>
      </c>
      <c r="C172" t="s">
        <v>14</v>
      </c>
      <c r="D172" t="str">
        <f>HYPERLINK("https://us2.cloudbeds.com/connect/10074733072513#/reservations/30662588133528?display=Jason%20Davis&amp;reservation_id=30662588133528&amp;guest_id=30662579904699", "Jason Davis")</f>
        <v>Jason Davis</v>
      </c>
      <c r="E172" t="s">
        <v>1845</v>
      </c>
      <c r="F172" t="s">
        <v>1842</v>
      </c>
      <c r="G172">
        <v>192.45</v>
      </c>
      <c r="H172">
        <v>209.16</v>
      </c>
      <c r="I172">
        <v>209.19</v>
      </c>
      <c r="J172">
        <v>-0.03</v>
      </c>
    </row>
    <row r="173" spans="1:10" x14ac:dyDescent="0.3">
      <c r="A173" t="str">
        <f>HYPERLINK("https://us2.cloudbeds.com/connect/10074733072513#/reservations/30664940707987?display=YQH8A8KCN&amp;reservation_id=30664940707987", "YQH8A8KCN")</f>
        <v>YQH8A8KCN</v>
      </c>
      <c r="B173" t="s">
        <v>10</v>
      </c>
      <c r="C173" t="s">
        <v>11</v>
      </c>
      <c r="D173" t="str">
        <f>HYPERLINK("https://us2.cloudbeds.com/connect/10074733072513#/reservations/30664940707987?display=Daniel%20Kubal&amp;reservation_id=30664940707987&amp;guest_id=30648801099947", "Daniel Kubal")</f>
        <v>Daniel Kubal</v>
      </c>
      <c r="E173" t="s">
        <v>1860</v>
      </c>
      <c r="F173" t="s">
        <v>1861</v>
      </c>
      <c r="G173">
        <v>330.3</v>
      </c>
      <c r="H173">
        <v>359.01</v>
      </c>
      <c r="I173">
        <v>359.04</v>
      </c>
      <c r="J173">
        <v>-0.03</v>
      </c>
    </row>
    <row r="174" spans="1:10" x14ac:dyDescent="0.3">
      <c r="A174" t="str">
        <f>HYPERLINK("https://us2.cloudbeds.com/connect/10074733072513#/reservations/30665090912402?display=YQHC4U94M&amp;reservation_id=30665090912402", "YQHC4U94M")</f>
        <v>YQHC4U94M</v>
      </c>
      <c r="B174" t="s">
        <v>10</v>
      </c>
      <c r="C174" t="s">
        <v>42</v>
      </c>
      <c r="D174" t="str">
        <f>HYPERLINK("https://us2.cloudbeds.com/connect/10074733072513#/reservations/30665090912402?display=Steve%20Robertson&amp;reservation_id=30665090912402&amp;guest_id=30662661165284", "Steve Robertson")</f>
        <v>Steve Robertson</v>
      </c>
      <c r="E174" t="s">
        <v>1897</v>
      </c>
      <c r="F174" t="s">
        <v>1898</v>
      </c>
      <c r="G174">
        <v>330.3</v>
      </c>
      <c r="H174">
        <v>359.01</v>
      </c>
      <c r="I174">
        <v>359.04</v>
      </c>
      <c r="J174">
        <v>-0.03</v>
      </c>
    </row>
    <row r="175" spans="1:10" x14ac:dyDescent="0.3">
      <c r="A175" t="str">
        <f>HYPERLINK("https://us2.cloudbeds.com/connect/10074733072513#/reservations/30664083251440?display=YQGJD7KY0&amp;reservation_id=30664083251440", "YQGJD7KY0")</f>
        <v>YQGJD7KY0</v>
      </c>
      <c r="B175" t="s">
        <v>10</v>
      </c>
      <c r="C175" t="s">
        <v>42</v>
      </c>
      <c r="D175" t="str">
        <f>HYPERLINK("https://us2.cloudbeds.com/connect/10074733072513#/reservations/30664083251440?display=Andrew%20Dicus&amp;reservation_id=30664083251440&amp;guest_id=30664054771936", "Andrew Dicus")</f>
        <v>Andrew Dicus</v>
      </c>
      <c r="E175" t="s">
        <v>2007</v>
      </c>
      <c r="F175" t="s">
        <v>2011</v>
      </c>
      <c r="G175">
        <v>778.4</v>
      </c>
      <c r="H175">
        <v>846.09</v>
      </c>
      <c r="I175">
        <v>846.12</v>
      </c>
      <c r="J175">
        <v>-0.03</v>
      </c>
    </row>
    <row r="176" spans="1:10" x14ac:dyDescent="0.3">
      <c r="A176" t="str">
        <f>HYPERLINK("https://us2.cloudbeds.com/connect/10074733072513#/reservations/30667002728640?display=YQXS008TT&amp;reservation_id=30667002728640", "YQXS008TT")</f>
        <v>YQXS008TT</v>
      </c>
      <c r="B176" t="s">
        <v>10</v>
      </c>
      <c r="C176" t="s">
        <v>42</v>
      </c>
      <c r="D176" t="str">
        <f>HYPERLINK("https://us2.cloudbeds.com/connect/10074733072513#/reservations/30667002728640?display=David%20Neal&amp;reservation_id=30667002728640&amp;guest_id=30667002724603", "David Neal")</f>
        <v>David Neal</v>
      </c>
      <c r="E176" t="s">
        <v>2135</v>
      </c>
      <c r="F176" t="s">
        <v>2136</v>
      </c>
      <c r="G176">
        <v>597.6</v>
      </c>
      <c r="H176">
        <v>649.55999999999995</v>
      </c>
      <c r="I176">
        <v>649.59</v>
      </c>
      <c r="J176">
        <v>-0.03</v>
      </c>
    </row>
    <row r="177" spans="1:10" x14ac:dyDescent="0.3">
      <c r="A177" t="str">
        <f>HYPERLINK("https://us2.cloudbeds.com/connect/10074733072513#/reservations/30670234648828?display=YQYBJ8AZF&amp;reservation_id=30670234648828", "YQYBJ8AZF")</f>
        <v>YQYBJ8AZF</v>
      </c>
      <c r="B177" t="s">
        <v>10</v>
      </c>
      <c r="C177" t="s">
        <v>20</v>
      </c>
      <c r="D177" t="str">
        <f>HYPERLINK("https://us2.cloudbeds.com/connect/10074733072513#/reservations/30670234648828?display=William%20Quinn&amp;reservation_id=30670234648828&amp;guest_id=30670234648826", "William Quinn")</f>
        <v>William Quinn</v>
      </c>
      <c r="E177" t="s">
        <v>2231</v>
      </c>
      <c r="F177" t="s">
        <v>2232</v>
      </c>
      <c r="G177">
        <v>318.57</v>
      </c>
      <c r="H177">
        <v>346.26</v>
      </c>
      <c r="I177">
        <v>346.29</v>
      </c>
      <c r="J177">
        <v>-0.03</v>
      </c>
    </row>
    <row r="178" spans="1:10" x14ac:dyDescent="0.3">
      <c r="A178" t="str">
        <f>HYPERLINK("https://us2.cloudbeds.com/connect/10074733072513#/reservations/30666565378257?display=YQXGR7F95&amp;reservation_id=30666565378257", "YQXGR7F95")</f>
        <v>YQXGR7F95</v>
      </c>
      <c r="B178" t="s">
        <v>10</v>
      </c>
      <c r="C178" t="s">
        <v>11</v>
      </c>
      <c r="D178" t="str">
        <f>HYPERLINK("https://us2.cloudbeds.com/connect/10074733072513#/reservations/30666565378257?display=Karol%20Smigowski&amp;reservation_id=30666565378257&amp;guest_id=30666565378255", "Karol Smigowski")</f>
        <v>Karol Smigowski</v>
      </c>
      <c r="E178" t="s">
        <v>2238</v>
      </c>
      <c r="F178" t="s">
        <v>2240</v>
      </c>
      <c r="G178">
        <v>192.45</v>
      </c>
      <c r="H178">
        <v>209.16</v>
      </c>
      <c r="I178">
        <v>209.19</v>
      </c>
      <c r="J178">
        <v>-0.03</v>
      </c>
    </row>
    <row r="179" spans="1:10" x14ac:dyDescent="0.3">
      <c r="A179" t="str">
        <f>HYPERLINK("https://us2.cloudbeds.com/connect/10074733072513#/reservations/30666559455469?display=YQXGM7YHZ&amp;reservation_id=30666559455469", "YQXGM7YHZ")</f>
        <v>YQXGM7YHZ</v>
      </c>
      <c r="B179" t="s">
        <v>10</v>
      </c>
      <c r="C179" t="s">
        <v>11</v>
      </c>
      <c r="D179" t="str">
        <f>HYPERLINK("https://us2.cloudbeds.com/connect/10074733072513#/reservations/30666559455469?display=Chris%20Ribby&amp;reservation_id=30666559455469&amp;guest_id=30666559455463", "Chris Ribby")</f>
        <v>Chris Ribby</v>
      </c>
      <c r="E179" t="s">
        <v>2238</v>
      </c>
      <c r="F179" t="s">
        <v>2240</v>
      </c>
      <c r="G179">
        <v>192.45</v>
      </c>
      <c r="H179">
        <v>209.16</v>
      </c>
      <c r="I179">
        <v>209.19</v>
      </c>
      <c r="J179">
        <v>-0.03</v>
      </c>
    </row>
    <row r="180" spans="1:10" x14ac:dyDescent="0.3">
      <c r="A180" t="str">
        <f>HYPERLINK("https://us2.cloudbeds.com/connect/10074733072513#/reservations/30667497218195?display=YQJ7KW9B1&amp;reservation_id=30667497218195", "YQJ7KW9B1")</f>
        <v>YQJ7KW9B1</v>
      </c>
      <c r="B180" t="s">
        <v>10</v>
      </c>
      <c r="C180" t="s">
        <v>20</v>
      </c>
      <c r="D180" t="str">
        <f>HYPERLINK("https://us2.cloudbeds.com/connect/10074733072513#/reservations/30667497218195?display=Keylee%20Hodges&amp;reservation_id=30667497218195&amp;guest_id=30667497218193", "Keylee Hodges")</f>
        <v>Keylee Hodges</v>
      </c>
      <c r="E180" t="s">
        <v>2248</v>
      </c>
      <c r="F180" t="s">
        <v>2249</v>
      </c>
      <c r="G180">
        <v>536.4</v>
      </c>
      <c r="H180">
        <v>583.04</v>
      </c>
      <c r="I180">
        <v>583.07000000000005</v>
      </c>
      <c r="J180">
        <v>-0.03</v>
      </c>
    </row>
    <row r="181" spans="1:10" x14ac:dyDescent="0.3">
      <c r="A181" t="str">
        <f>HYPERLINK("https://us2.cloudbeds.com/connect/10074733072513#/reservations/30668759273698?display=YQK6T5RY6&amp;reservation_id=30668759273698", "YQK6T5RY6")</f>
        <v>YQK6T5RY6</v>
      </c>
      <c r="B181" t="s">
        <v>10</v>
      </c>
      <c r="C181" t="s">
        <v>17</v>
      </c>
      <c r="D181" t="str">
        <f>HYPERLINK("https://us2.cloudbeds.com/connect/10074733072513#/reservations/30668759273698?display=Chad%20Cartwright&amp;reservation_id=30668759273698&amp;guest_id=30668759273696", "Chad Cartwright")</f>
        <v>Chad Cartwright</v>
      </c>
      <c r="E181" t="s">
        <v>2294</v>
      </c>
      <c r="F181" t="s">
        <v>2295</v>
      </c>
      <c r="G181">
        <v>536.4</v>
      </c>
      <c r="H181">
        <v>583.04</v>
      </c>
      <c r="I181">
        <v>583.07000000000005</v>
      </c>
      <c r="J181">
        <v>-0.03</v>
      </c>
    </row>
    <row r="182" spans="1:10" x14ac:dyDescent="0.3">
      <c r="A182" t="str">
        <f>HYPERLINK("https://us2.cloudbeds.com/connect/10074733072513#/reservations/30670334226598?display=YQYE477CY&amp;reservation_id=30670334226598", "YQYE477CY")</f>
        <v>YQYE477CY</v>
      </c>
      <c r="B182" t="s">
        <v>10</v>
      </c>
      <c r="C182" t="s">
        <v>11</v>
      </c>
      <c r="D182" t="str">
        <f>HYPERLINK("https://us2.cloudbeds.com/connect/10074733072513#/reservations/30670334226598?display=Melanie%20Smart&amp;reservation_id=30670334226598&amp;guest_id=30666430128258", "Melanie Smart")</f>
        <v>Melanie Smart</v>
      </c>
      <c r="E182" t="s">
        <v>2310</v>
      </c>
      <c r="F182" t="s">
        <v>2311</v>
      </c>
      <c r="G182">
        <v>309.60000000000002</v>
      </c>
      <c r="H182">
        <v>336.51</v>
      </c>
      <c r="I182">
        <v>336.54</v>
      </c>
      <c r="J182">
        <v>-0.03</v>
      </c>
    </row>
    <row r="183" spans="1:10" x14ac:dyDescent="0.3">
      <c r="A183" t="str">
        <f>HYPERLINK("https://us2.cloudbeds.com/connect/10074733072513#/reservations/30668918182082?display=YQKAV5N0P&amp;reservation_id=30668918182082", "YQKAV5N0P")</f>
        <v>YQKAV5N0P</v>
      </c>
      <c r="B183" t="s">
        <v>10</v>
      </c>
      <c r="C183" t="s">
        <v>42</v>
      </c>
      <c r="D183" t="str">
        <f>HYPERLINK("https://us2.cloudbeds.com/connect/10074733072513#/reservations/30668918182082?display=Greg%20Brusven&amp;reservation_id=30668918182082&amp;guest_id=30659989385458", "Greg Brusven")</f>
        <v>Greg Brusven</v>
      </c>
      <c r="E183" t="s">
        <v>2398</v>
      </c>
      <c r="F183" t="s">
        <v>2381</v>
      </c>
      <c r="G183">
        <v>356</v>
      </c>
      <c r="H183">
        <v>386.94</v>
      </c>
      <c r="I183">
        <v>386.97</v>
      </c>
      <c r="J183">
        <v>-0.03</v>
      </c>
    </row>
    <row r="184" spans="1:10" x14ac:dyDescent="0.3">
      <c r="A184" t="str">
        <f>HYPERLINK("https://us2.cloudbeds.com/connect/10074733072513#/reservations/30670210547961?display=YQYAVUMX5&amp;reservation_id=30670210547961", "YQYAVUMX5")</f>
        <v>YQYAVUMX5</v>
      </c>
      <c r="B184" t="s">
        <v>10</v>
      </c>
      <c r="C184" t="s">
        <v>23</v>
      </c>
      <c r="D184" t="str">
        <f>HYPERLINK("https://us2.cloudbeds.com/connect/10074733072513#/reservations/30670210547961?display=Karen%20Jenkins&amp;reservation_id=30670210547961&amp;guest_id=30670203556055", "Karen Jenkins")</f>
        <v>Karen Jenkins</v>
      </c>
      <c r="E184" t="s">
        <v>2399</v>
      </c>
      <c r="F184" t="s">
        <v>2050</v>
      </c>
      <c r="G184">
        <v>420.3</v>
      </c>
      <c r="H184">
        <v>456.84</v>
      </c>
      <c r="I184">
        <v>456.87</v>
      </c>
      <c r="J184">
        <v>-0.03</v>
      </c>
    </row>
    <row r="185" spans="1:10" x14ac:dyDescent="0.3">
      <c r="A185" t="str">
        <f>HYPERLINK("https://us2.cloudbeds.com/connect/10074733072513#/reservations/30670858420417?display=YQYRH7MZR&amp;reservation_id=30670858420417", "YQYRH7MZR")</f>
        <v>YQYRH7MZR</v>
      </c>
      <c r="B185" t="s">
        <v>10</v>
      </c>
      <c r="C185" t="s">
        <v>42</v>
      </c>
      <c r="D185" t="str">
        <f>HYPERLINK("https://us2.cloudbeds.com/connect/10074733072513#/reservations/30670858420417?display=Reuben%20Samuelson&amp;reservation_id=30670858420417&amp;guest_id=30670850924704", "Reuben Samuelson")</f>
        <v>Reuben Samuelson</v>
      </c>
      <c r="E185" t="s">
        <v>2406</v>
      </c>
      <c r="F185" t="s">
        <v>2050</v>
      </c>
      <c r="G185">
        <v>536.4</v>
      </c>
      <c r="H185">
        <v>583.04</v>
      </c>
      <c r="I185">
        <v>583.07000000000005</v>
      </c>
      <c r="J185">
        <v>-0.03</v>
      </c>
    </row>
    <row r="186" spans="1:10" x14ac:dyDescent="0.3">
      <c r="A186" t="str">
        <f>HYPERLINK("https://us2.cloudbeds.com/connect/10074733072513#/reservations/30670515921117?display=YQYXPE4M5&amp;reservation_id=30670515921117", "YQYXPE4M5")</f>
        <v>YQYXPE4M5</v>
      </c>
      <c r="B186" t="s">
        <v>10</v>
      </c>
      <c r="C186" t="s">
        <v>11</v>
      </c>
      <c r="D186" t="str">
        <f>HYPERLINK("https://us2.cloudbeds.com/connect/10074733072513#/reservations/30670515921117?display=Julie%20Blair&amp;reservation_id=30670515921117&amp;guest_id=30647424417994", "Julie Blair")</f>
        <v>Julie Blair</v>
      </c>
      <c r="E186" t="s">
        <v>342</v>
      </c>
      <c r="F186" t="s">
        <v>2411</v>
      </c>
      <c r="G186">
        <v>348.65</v>
      </c>
      <c r="H186">
        <v>378.95</v>
      </c>
      <c r="I186">
        <v>378.98</v>
      </c>
      <c r="J186">
        <v>-0.03</v>
      </c>
    </row>
    <row r="187" spans="1:10" x14ac:dyDescent="0.3">
      <c r="A187" t="str">
        <f>HYPERLINK("https://us2.cloudbeds.com/connect/10074733072513#/reservations/30671234146480?display=YQM441R33&amp;reservation_id=30671234146480", "YQM441R33")</f>
        <v>YQM441R33</v>
      </c>
      <c r="B187" t="s">
        <v>10</v>
      </c>
      <c r="C187" t="s">
        <v>42</v>
      </c>
      <c r="D187" t="str">
        <f>HYPERLINK("https://us2.cloudbeds.com/connect/10074733072513#/reservations/30671234146480?display=Paul%20Danielson&amp;reservation_id=30671234146480&amp;guest_id=30671234146477", "Paul Danielson")</f>
        <v>Paul Danielson</v>
      </c>
      <c r="E187" t="s">
        <v>2424</v>
      </c>
      <c r="F187" t="s">
        <v>2425</v>
      </c>
      <c r="G187">
        <v>276</v>
      </c>
      <c r="H187">
        <v>299.98</v>
      </c>
      <c r="I187">
        <v>300.01</v>
      </c>
      <c r="J187">
        <v>-0.03</v>
      </c>
    </row>
    <row r="188" spans="1:10" x14ac:dyDescent="0.3">
      <c r="A188" t="str">
        <f>HYPERLINK("https://us2.cloudbeds.com/connect/10074733072513#/reservations/30668027318465?display=YQJY5W3EJ&amp;reservation_id=30668027318465", "YQJY5W3EJ")</f>
        <v>YQJY5W3EJ</v>
      </c>
      <c r="B188" t="s">
        <v>10</v>
      </c>
      <c r="C188" t="s">
        <v>42</v>
      </c>
      <c r="D188" t="str">
        <f>HYPERLINK("https://us2.cloudbeds.com/connect/10074733072513#/reservations/30668027318465?display=Tom%20Arneson&amp;reservation_id=30668027318465&amp;guest_id=30668027314422", "Tom Arneson")</f>
        <v>Tom Arneson</v>
      </c>
      <c r="E188" t="s">
        <v>2430</v>
      </c>
      <c r="F188" t="s">
        <v>2429</v>
      </c>
      <c r="G188">
        <v>476</v>
      </c>
      <c r="H188">
        <v>517.38</v>
      </c>
      <c r="I188">
        <v>517.41</v>
      </c>
      <c r="J188">
        <v>-0.03</v>
      </c>
    </row>
    <row r="189" spans="1:10" x14ac:dyDescent="0.3">
      <c r="A189" t="str">
        <f>HYPERLINK("https://us2.cloudbeds.com/connect/10074733072513#/reservations/30672530247893?display=YQN47VZSG&amp;reservation_id=30672530247893", "YQN47VZSG")</f>
        <v>YQN47VZSG</v>
      </c>
      <c r="B189" t="s">
        <v>10</v>
      </c>
      <c r="C189" t="s">
        <v>42</v>
      </c>
      <c r="D189" t="str">
        <f>HYPERLINK("https://us2.cloudbeds.com/connect/10074733072513#/reservations/30672530247893?display=Julie%20Joachim&amp;reservation_id=30672530247893&amp;guest_id=30672530247891", "Julie Joachim")</f>
        <v>Julie Joachim</v>
      </c>
      <c r="E189" t="s">
        <v>2431</v>
      </c>
      <c r="F189" t="s">
        <v>2420</v>
      </c>
      <c r="G189">
        <v>630</v>
      </c>
      <c r="H189">
        <v>684.78</v>
      </c>
      <c r="I189">
        <v>684.81</v>
      </c>
      <c r="J189">
        <v>-0.03</v>
      </c>
    </row>
    <row r="190" spans="1:10" x14ac:dyDescent="0.3">
      <c r="A190" t="str">
        <f>HYPERLINK("https://us2.cloudbeds.com/connect/10074733072513#/reservations/30668562178293?display=YQK1RWC45&amp;reservation_id=30668562178293", "YQK1RWC45")</f>
        <v>YQK1RWC45</v>
      </c>
      <c r="B190" t="s">
        <v>10</v>
      </c>
      <c r="C190" t="s">
        <v>42</v>
      </c>
      <c r="D190" t="str">
        <f>HYPERLINK("https://us2.cloudbeds.com/connect/10074733072513#/reservations/30668562178293?display=David%20Burleigh&amp;reservation_id=30668562178293&amp;guest_id=30668562178291", "David Burleigh")</f>
        <v>David Burleigh</v>
      </c>
      <c r="E190" t="s">
        <v>2432</v>
      </c>
      <c r="F190" t="s">
        <v>2391</v>
      </c>
      <c r="G190">
        <v>832</v>
      </c>
      <c r="H190">
        <v>904.35</v>
      </c>
      <c r="I190">
        <v>904.38</v>
      </c>
      <c r="J190">
        <v>-0.03</v>
      </c>
    </row>
    <row r="191" spans="1:10" x14ac:dyDescent="0.3">
      <c r="A191" t="str">
        <f>HYPERLINK("https://us2.cloudbeds.com/connect/10074733072513#/reservations/30669257900227?display=YQKJKKS7V&amp;reservation_id=30669257900227", "YQKJKKS7V")</f>
        <v>YQKJKKS7V</v>
      </c>
      <c r="B191" t="s">
        <v>10</v>
      </c>
      <c r="C191" t="s">
        <v>42</v>
      </c>
      <c r="D191" t="str">
        <f>HYPERLINK("https://us2.cloudbeds.com/connect/10074733072513#/reservations/30669257900227?display=Brian%20Debore&amp;reservation_id=30669257900227&amp;guest_id=30669088129231", "Brian Debore")</f>
        <v>Brian Debore</v>
      </c>
      <c r="E191" t="s">
        <v>2433</v>
      </c>
      <c r="F191" t="s">
        <v>2434</v>
      </c>
      <c r="G191">
        <v>1036</v>
      </c>
      <c r="H191">
        <v>1126.0999999999999</v>
      </c>
      <c r="I191">
        <v>1126.1300000000001</v>
      </c>
      <c r="J191">
        <v>-0.03</v>
      </c>
    </row>
    <row r="192" spans="1:10" x14ac:dyDescent="0.3">
      <c r="A192" t="str">
        <f>HYPERLINK("https://us2.cloudbeds.com/connect/10074733072513#/reservations/30669238812839?display=YQKJ4HNQA&amp;reservation_id=30669238812839", "YQKJ4HNQA")</f>
        <v>YQKJ4HNQA</v>
      </c>
      <c r="B192" t="s">
        <v>10</v>
      </c>
      <c r="C192" t="s">
        <v>42</v>
      </c>
      <c r="D192" t="str">
        <f>HYPERLINK("https://us2.cloudbeds.com/connect/10074733072513#/reservations/30669238812839?display=Linda%20Whaley&amp;reservation_id=30669238812839&amp;guest_id=30669238812835", "Linda Whaley")</f>
        <v>Linda Whaley</v>
      </c>
      <c r="E192" t="s">
        <v>2435</v>
      </c>
      <c r="F192" t="s">
        <v>2434</v>
      </c>
      <c r="G192">
        <v>395</v>
      </c>
      <c r="H192">
        <v>429.34</v>
      </c>
      <c r="I192">
        <v>429.37</v>
      </c>
      <c r="J192">
        <v>-0.03</v>
      </c>
    </row>
    <row r="193" spans="1:10" x14ac:dyDescent="0.3">
      <c r="A193" t="str">
        <f>HYPERLINK("https://us2.cloudbeds.com/connect/10074733072513#/reservations/30666259435721?display=YQX9085A7&amp;reservation_id=30666259435721", "YQX9085A7")</f>
        <v>YQX9085A7</v>
      </c>
      <c r="B193" t="s">
        <v>10</v>
      </c>
      <c r="C193" t="s">
        <v>42</v>
      </c>
      <c r="D193" t="str">
        <f>HYPERLINK("https://us2.cloudbeds.com/connect/10074733072513#/reservations/30666259435721?display=Casey%20Markley&amp;reservation_id=30666259435721&amp;guest_id=30666252685489", "Casey Markley")</f>
        <v>Casey Markley</v>
      </c>
      <c r="E193" t="s">
        <v>2436</v>
      </c>
      <c r="F193" t="s">
        <v>2437</v>
      </c>
      <c r="G193">
        <v>476</v>
      </c>
      <c r="H193">
        <v>517.38</v>
      </c>
      <c r="I193">
        <v>517.41</v>
      </c>
      <c r="J193">
        <v>-0.03</v>
      </c>
    </row>
    <row r="194" spans="1:10" x14ac:dyDescent="0.3">
      <c r="A194" t="str">
        <f>HYPERLINK("https://us2.cloudbeds.com/connect/10074733072513#/reservations/30672423973007?display=YQN1HBGED&amp;reservation_id=30672423973007", "YQN1HBGED")</f>
        <v>YQN1HBGED</v>
      </c>
      <c r="B194" t="s">
        <v>10</v>
      </c>
      <c r="C194" t="s">
        <v>42</v>
      </c>
      <c r="D194" t="str">
        <f>HYPERLINK("https://us2.cloudbeds.com/connect/10074733072513#/reservations/30672423973007?display=Craig%20&amp;amp;%20Denise%20Hanson&amp;reservation_id=30672423973007&amp;guest_id=30672423973004", "Craig &amp;amp; Denise Hanson")</f>
        <v>Craig &amp;amp; Denise Hanson</v>
      </c>
      <c r="E194" t="s">
        <v>2444</v>
      </c>
      <c r="F194" t="s">
        <v>2445</v>
      </c>
      <c r="G194">
        <v>450</v>
      </c>
      <c r="H194">
        <v>489.12</v>
      </c>
      <c r="I194">
        <v>489.15</v>
      </c>
      <c r="J194">
        <v>-0.03</v>
      </c>
    </row>
    <row r="195" spans="1:10" x14ac:dyDescent="0.3">
      <c r="A195" t="str">
        <f>HYPERLINK("https://us2.cloudbeds.com/connect/10074733072513#/reservations/30671223808196?display=YQM3SB4NP&amp;reservation_id=30671223808196", "YQM3SB4NP")</f>
        <v>YQM3SB4NP</v>
      </c>
      <c r="B195" t="s">
        <v>10</v>
      </c>
      <c r="C195" t="s">
        <v>42</v>
      </c>
      <c r="D195" t="str">
        <f>HYPERLINK("https://us2.cloudbeds.com/connect/10074733072513#/reservations/30671223808196?display=Paul%20Danielson&amp;reservation_id=30671223808196&amp;guest_id=30666264281266", "Paul Danielson")</f>
        <v>Paul Danielson</v>
      </c>
      <c r="E195" t="s">
        <v>2446</v>
      </c>
      <c r="F195" t="s">
        <v>2425</v>
      </c>
      <c r="G195">
        <v>276</v>
      </c>
      <c r="H195">
        <v>299.98</v>
      </c>
      <c r="I195">
        <v>300.01</v>
      </c>
      <c r="J195">
        <v>-0.03</v>
      </c>
    </row>
    <row r="196" spans="1:10" x14ac:dyDescent="0.3">
      <c r="A196" t="str">
        <f>HYPERLINK("https://us2.cloudbeds.com/connect/10074733072513#/reservations/30669434503335?display=YQKZ4X37B&amp;reservation_id=30669434503335", "YQKZ4X37B")</f>
        <v>YQKZ4X37B</v>
      </c>
      <c r="B196" t="s">
        <v>10</v>
      </c>
      <c r="C196" t="s">
        <v>121</v>
      </c>
      <c r="D196" t="str">
        <f>HYPERLINK("https://us2.cloudbeds.com/connect/10074733072513#/reservations/30669434503335?display=Kevin%20Marten&amp;reservation_id=30669434503335&amp;guest_id=30665414590667", "Kevin Marten")</f>
        <v>Kevin Marten</v>
      </c>
      <c r="E196" t="s">
        <v>2448</v>
      </c>
      <c r="F196" t="s">
        <v>2062</v>
      </c>
      <c r="G196">
        <v>345</v>
      </c>
      <c r="H196">
        <v>374.99</v>
      </c>
      <c r="I196">
        <v>375.02</v>
      </c>
      <c r="J196">
        <v>-0.03</v>
      </c>
    </row>
    <row r="197" spans="1:10" x14ac:dyDescent="0.3">
      <c r="A197" t="str">
        <f>HYPERLINK("https://us2.cloudbeds.com/connect/10074733072513#/reservations/30670921785542?display=YQYT4YU94&amp;reservation_id=30670921785542", "YQYT4YU94")</f>
        <v>YQYT4YU94</v>
      </c>
      <c r="B197" t="s">
        <v>10</v>
      </c>
      <c r="C197" t="s">
        <v>23</v>
      </c>
      <c r="D197" t="str">
        <f>HYPERLINK("https://us2.cloudbeds.com/connect/10074733072513#/reservations/30670921785542?display=Steve%20Lance&amp;reservation_id=30670921785542&amp;guest_id=30670921781453", "Steve Lance")</f>
        <v>Steve Lance</v>
      </c>
      <c r="E197" t="s">
        <v>2455</v>
      </c>
      <c r="F197" t="s">
        <v>2456</v>
      </c>
      <c r="G197">
        <v>596</v>
      </c>
      <c r="H197">
        <v>647.82000000000005</v>
      </c>
      <c r="I197">
        <v>647.85</v>
      </c>
      <c r="J197">
        <v>-0.03</v>
      </c>
    </row>
    <row r="198" spans="1:10" x14ac:dyDescent="0.3">
      <c r="A198" t="str">
        <f>HYPERLINK("https://us2.cloudbeds.com/connect/10074733072513#/reservations/30670448287907?display=YQYH1D4SV&amp;reservation_id=30670448287907", "YQYH1D4SV")</f>
        <v>YQYH1D4SV</v>
      </c>
      <c r="B198" t="s">
        <v>10</v>
      </c>
      <c r="C198" t="s">
        <v>17</v>
      </c>
      <c r="D198" t="str">
        <f>HYPERLINK("https://us2.cloudbeds.com/connect/10074733072513#/reservations/30670448287907?display=Jonathan%20Rue&amp;reservation_id=30670448287907&amp;guest_id=30670448283815", "Jonathan Rue")</f>
        <v>Jonathan Rue</v>
      </c>
      <c r="E198" t="s">
        <v>2457</v>
      </c>
      <c r="F198" t="s">
        <v>2458</v>
      </c>
      <c r="G198">
        <v>476</v>
      </c>
      <c r="H198">
        <v>517.38</v>
      </c>
      <c r="I198">
        <v>517.41</v>
      </c>
      <c r="J198">
        <v>-0.03</v>
      </c>
    </row>
    <row r="199" spans="1:10" x14ac:dyDescent="0.3">
      <c r="A199" t="str">
        <f>HYPERLINK("https://us2.cloudbeds.com/connect/10074733072513#/reservations/30670461235368?display=YQYHCAE68&amp;reservation_id=30670461235368", "YQYHCAE68")</f>
        <v>YQYHCAE68</v>
      </c>
      <c r="B199" t="s">
        <v>10</v>
      </c>
      <c r="C199" t="s">
        <v>17</v>
      </c>
      <c r="D199" t="str">
        <f>HYPERLINK("https://us2.cloudbeds.com/connect/10074733072513#/reservations/30670461235368?display=Luis%20Alberto&amp;reservation_id=30670461235368&amp;guest_id=30670461235364", "Luis Alberto")</f>
        <v>Luis Alberto</v>
      </c>
      <c r="E199" t="s">
        <v>2459</v>
      </c>
      <c r="F199" t="s">
        <v>2458</v>
      </c>
      <c r="G199">
        <v>476</v>
      </c>
      <c r="H199">
        <v>517.38</v>
      </c>
      <c r="I199">
        <v>517.41</v>
      </c>
      <c r="J199">
        <v>-0.03</v>
      </c>
    </row>
    <row r="200" spans="1:10" x14ac:dyDescent="0.3">
      <c r="A200" t="str">
        <f>HYPERLINK("https://us2.cloudbeds.com/connect/10074733072513#/reservations/30670444859588?display=YQYGVGZZG&amp;reservation_id=30670444859588", "YQYGVGZZG")</f>
        <v>YQYGVGZZG</v>
      </c>
      <c r="B200" t="s">
        <v>10</v>
      </c>
      <c r="C200" t="s">
        <v>17</v>
      </c>
      <c r="D200" t="str">
        <f>HYPERLINK("https://us2.cloudbeds.com/connect/10074733072513#/reservations/30670444859588?display=De'Andre%20David&amp;reservation_id=30670444859588&amp;guest_id=30670439268508", "De'Andre David")</f>
        <v>De'Andre David</v>
      </c>
      <c r="E200" t="s">
        <v>2460</v>
      </c>
      <c r="F200" t="s">
        <v>2458</v>
      </c>
      <c r="G200">
        <v>476</v>
      </c>
      <c r="H200">
        <v>517.38</v>
      </c>
      <c r="I200">
        <v>517.41</v>
      </c>
      <c r="J200">
        <v>-0.03</v>
      </c>
    </row>
    <row r="201" spans="1:10" x14ac:dyDescent="0.3">
      <c r="A201" t="str">
        <f>HYPERLINK("https://us2.cloudbeds.com/connect/10074733072513#/reservations/30671650205928?display=YQMEZT9H5&amp;reservation_id=30671650205928", "YQMEZT9H5")</f>
        <v>YQMEZT9H5</v>
      </c>
      <c r="B201" t="s">
        <v>10</v>
      </c>
      <c r="C201" t="s">
        <v>42</v>
      </c>
      <c r="D201" t="str">
        <f>HYPERLINK("https://us2.cloudbeds.com/connect/10074733072513#/reservations/30671650205928?display=Kaden%20Peterson&amp;reservation_id=30671650205928&amp;guest_id=30669557727386", "Kaden Peterson")</f>
        <v>Kaden Peterson</v>
      </c>
      <c r="E201" t="s">
        <v>2461</v>
      </c>
      <c r="F201" t="s">
        <v>2462</v>
      </c>
      <c r="G201">
        <v>476</v>
      </c>
      <c r="H201">
        <v>517.38</v>
      </c>
      <c r="I201">
        <v>517.41</v>
      </c>
      <c r="J201">
        <v>-0.03</v>
      </c>
    </row>
    <row r="202" spans="1:10" x14ac:dyDescent="0.3">
      <c r="A202" t="str">
        <f>HYPERLINK("https://us2.cloudbeds.com/connect/10074733072513#/reservations/30670590550156?display=YQYKMBQX6&amp;reservation_id=30670590550156", "YQYKMBQX6")</f>
        <v>YQYKMBQX6</v>
      </c>
      <c r="B202" t="s">
        <v>10</v>
      </c>
      <c r="C202" t="s">
        <v>17</v>
      </c>
      <c r="D202" t="str">
        <f>HYPERLINK("https://us2.cloudbeds.com/connect/10074733072513#/reservations/30670590550156?display=Jonathan%20Rue&amp;reservation_id=30670590550156&amp;guest_id=30670448283815", "Jonathan Rue")</f>
        <v>Jonathan Rue</v>
      </c>
      <c r="E202" t="s">
        <v>2457</v>
      </c>
      <c r="F202" t="s">
        <v>2468</v>
      </c>
      <c r="G202">
        <v>476</v>
      </c>
      <c r="H202">
        <v>517.38</v>
      </c>
      <c r="I202">
        <v>517.41</v>
      </c>
      <c r="J202">
        <v>-0.03</v>
      </c>
    </row>
    <row r="203" spans="1:10" x14ac:dyDescent="0.3">
      <c r="A203" t="str">
        <f>HYPERLINK("https://us2.cloudbeds.com/connect/10074733072513#/reservations/30670590546049?display=YQYKMBMPZ&amp;reservation_id=30670590546049", "YQYKMBMPZ")</f>
        <v>YQYKMBMPZ</v>
      </c>
      <c r="B203" t="s">
        <v>10</v>
      </c>
      <c r="C203" t="s">
        <v>17</v>
      </c>
      <c r="D203" t="str">
        <f>HYPERLINK("https://us2.cloudbeds.com/connect/10074733072513#/reservations/30670590546049?display=Anthony%20Carreira&amp;reservation_id=30670590546049&amp;guest_id=30670571958499", "Anthony Carreira")</f>
        <v>Anthony Carreira</v>
      </c>
      <c r="E203" t="s">
        <v>2469</v>
      </c>
      <c r="F203" t="s">
        <v>2468</v>
      </c>
      <c r="G203">
        <v>476</v>
      </c>
      <c r="H203">
        <v>517.38</v>
      </c>
      <c r="I203">
        <v>517.41</v>
      </c>
      <c r="J203">
        <v>-0.03</v>
      </c>
    </row>
    <row r="204" spans="1:10" x14ac:dyDescent="0.3">
      <c r="A204" t="str">
        <f>HYPERLINK("https://us2.cloudbeds.com/connect/10074733072513#/reservations/30670600560883?display=YQYKUQC4X&amp;reservation_id=30670600560883", "YQYKUQC4X")</f>
        <v>YQYKUQC4X</v>
      </c>
      <c r="B204" t="s">
        <v>10</v>
      </c>
      <c r="C204" t="s">
        <v>17</v>
      </c>
      <c r="D204" t="str">
        <f>HYPERLINK("https://us2.cloudbeds.com/connect/10074733072513#/reservations/30670600560883?display=Luis%20Alberto&amp;reservation_id=30670600560883&amp;guest_id=30670461235364", "Luis Alberto")</f>
        <v>Luis Alberto</v>
      </c>
      <c r="E204" t="s">
        <v>2459</v>
      </c>
      <c r="F204" t="s">
        <v>2468</v>
      </c>
      <c r="G204">
        <v>476</v>
      </c>
      <c r="H204">
        <v>517.38</v>
      </c>
      <c r="I204">
        <v>517.41</v>
      </c>
      <c r="J204">
        <v>-0.03</v>
      </c>
    </row>
    <row r="205" spans="1:10" x14ac:dyDescent="0.3">
      <c r="A205" t="str">
        <f>HYPERLINK("https://us2.cloudbeds.com/connect/10074733072513#/reservations/30672174575840?display=YQMS51YJF&amp;reservation_id=30672174575840", "YQMS51YJF")</f>
        <v>YQMS51YJF</v>
      </c>
      <c r="B205" t="s">
        <v>10</v>
      </c>
      <c r="C205" t="s">
        <v>42</v>
      </c>
      <c r="D205" t="str">
        <f>HYPERLINK("https://us2.cloudbeds.com/connect/10074733072513#/reservations/30672174575840?display=Kaden%20Peterson&amp;reservation_id=30672174575840&amp;guest_id=30669557727386", "Kaden Peterson")</f>
        <v>Kaden Peterson</v>
      </c>
      <c r="E205" t="s">
        <v>2461</v>
      </c>
      <c r="F205" t="s">
        <v>2458</v>
      </c>
      <c r="G205">
        <v>476</v>
      </c>
      <c r="H205">
        <v>517.38</v>
      </c>
      <c r="I205">
        <v>517.41</v>
      </c>
      <c r="J205">
        <v>-0.03</v>
      </c>
    </row>
    <row r="206" spans="1:10" x14ac:dyDescent="0.3">
      <c r="A206" t="str">
        <f>HYPERLINK("https://us2.cloudbeds.com/connect/10074733072513#/reservations/30670612213915?display=YQYY7KKQZ&amp;reservation_id=30670612213915", "YQYY7KKQZ")</f>
        <v>YQYY7KKQZ</v>
      </c>
      <c r="B206" t="s">
        <v>10</v>
      </c>
      <c r="C206" t="s">
        <v>17</v>
      </c>
      <c r="D206" t="str">
        <f>HYPERLINK("https://us2.cloudbeds.com/connect/10074733072513#/reservations/30670612213915?display=Roger%20Bohne&amp;reservation_id=30670612213915&amp;guest_id=30670612213913", "Roger Bohne")</f>
        <v>Roger Bohne</v>
      </c>
      <c r="E206" t="s">
        <v>2470</v>
      </c>
      <c r="F206" t="s">
        <v>2468</v>
      </c>
      <c r="G206">
        <v>476</v>
      </c>
      <c r="H206">
        <v>517.38</v>
      </c>
      <c r="I206">
        <v>517.41</v>
      </c>
      <c r="J206">
        <v>-0.03</v>
      </c>
    </row>
    <row r="207" spans="1:10" x14ac:dyDescent="0.3">
      <c r="A207" t="str">
        <f>HYPERLINK("https://us2.cloudbeds.com/connect/10074733072513#/reservations/30669538644167?display=YQKQQBW04&amp;reservation_id=30669538644167", "YQKQQBW04")</f>
        <v>YQKQQBW04</v>
      </c>
      <c r="B207" t="s">
        <v>10</v>
      </c>
      <c r="C207" t="s">
        <v>42</v>
      </c>
      <c r="D207" t="str">
        <f>HYPERLINK("https://us2.cloudbeds.com/connect/10074733072513#/reservations/30669538644167?display=Kevin%20Marten&amp;reservation_id=30669538644167&amp;guest_id=30665414590667", "Kevin Marten")</f>
        <v>Kevin Marten</v>
      </c>
      <c r="E207" t="s">
        <v>2448</v>
      </c>
      <c r="F207" t="s">
        <v>2476</v>
      </c>
      <c r="G207">
        <v>1035</v>
      </c>
      <c r="H207">
        <v>1125.02</v>
      </c>
      <c r="I207">
        <v>1125.05</v>
      </c>
      <c r="J207">
        <v>-0.03</v>
      </c>
    </row>
    <row r="208" spans="1:10" x14ac:dyDescent="0.3">
      <c r="A208" t="str">
        <f>HYPERLINK("https://us2.cloudbeds.com/connect/10074733072513#/reservations/30672465666215?display=YQN2JGM6V&amp;reservation_id=30672465666215", "YQN2JGM6V")</f>
        <v>YQN2JGM6V</v>
      </c>
      <c r="B208" t="s">
        <v>10</v>
      </c>
      <c r="C208" t="s">
        <v>14</v>
      </c>
      <c r="D208" t="str">
        <f>HYPERLINK("https://us2.cloudbeds.com/connect/10074733072513#/reservations/30672465666215?display=Brian%20Zirkel&amp;reservation_id=30672465666215&amp;guest_id=30662432899219", "Brian Zirkel")</f>
        <v>Brian Zirkel</v>
      </c>
      <c r="E208" t="s">
        <v>2490</v>
      </c>
      <c r="F208" t="s">
        <v>2491</v>
      </c>
      <c r="G208">
        <v>354.45</v>
      </c>
      <c r="H208">
        <v>385.26</v>
      </c>
      <c r="I208">
        <v>385.29</v>
      </c>
      <c r="J208">
        <v>-0.03</v>
      </c>
    </row>
    <row r="209" spans="1:10" x14ac:dyDescent="0.3">
      <c r="A209" t="str">
        <f>HYPERLINK("https://us2.cloudbeds.com/connect/10074733072513#/reservations/30673514086613?display=YQNTCXH11&amp;reservation_id=30673514086613", "YQNTCXH11")</f>
        <v>YQNTCXH11</v>
      </c>
      <c r="B209" t="s">
        <v>10</v>
      </c>
      <c r="C209" t="s">
        <v>20</v>
      </c>
      <c r="D209" t="str">
        <f>HYPERLINK("https://us2.cloudbeds.com/connect/10074733072513#/reservations/30673514086613?display=Tim%20Larson&amp;reservation_id=30673514086613&amp;guest_id=30673514086608", "Tim Larson")</f>
        <v>Tim Larson</v>
      </c>
      <c r="E209" t="s">
        <v>2492</v>
      </c>
      <c r="F209" t="s">
        <v>2176</v>
      </c>
      <c r="G209">
        <v>224.48</v>
      </c>
      <c r="H209">
        <v>243.98</v>
      </c>
      <c r="I209">
        <v>244.01</v>
      </c>
      <c r="J209">
        <v>-0.03</v>
      </c>
    </row>
    <row r="210" spans="1:10" x14ac:dyDescent="0.3">
      <c r="A210" t="str">
        <f>HYPERLINK("https://us2.cloudbeds.com/connect/10074733072513#/reservations/30672125079775?display=YQMQTABYZ&amp;reservation_id=30672125079775", "YQMQTABYZ")</f>
        <v>YQMQTABYZ</v>
      </c>
      <c r="B210" t="s">
        <v>10</v>
      </c>
      <c r="C210" t="s">
        <v>42</v>
      </c>
      <c r="D210" t="str">
        <f>HYPERLINK("https://us2.cloudbeds.com/connect/10074733072513#/reservations/30672125079775?display=Kaden%20Peterson&amp;reservation_id=30672125079775&amp;guest_id=30668036735131", "Kaden Peterson")</f>
        <v>Kaden Peterson</v>
      </c>
      <c r="E210" t="s">
        <v>2497</v>
      </c>
      <c r="F210" t="s">
        <v>2498</v>
      </c>
      <c r="G210">
        <v>356</v>
      </c>
      <c r="H210">
        <v>386.94</v>
      </c>
      <c r="I210">
        <v>386.97</v>
      </c>
      <c r="J210">
        <v>-0.03</v>
      </c>
    </row>
    <row r="211" spans="1:10" x14ac:dyDescent="0.3">
      <c r="A211" t="str">
        <f>HYPERLINK("https://us2.cloudbeds.com/connect/10074733072513#/reservations/30672141918354?display=YQMRAGU2N&amp;reservation_id=30672141918354", "YQMRAGU2N")</f>
        <v>YQMRAGU2N</v>
      </c>
      <c r="B211" t="s">
        <v>10</v>
      </c>
      <c r="C211" t="s">
        <v>42</v>
      </c>
      <c r="D211" t="str">
        <f>HYPERLINK("https://us2.cloudbeds.com/connect/10074733072513#/reservations/30672141918354?display=Natasha%20Smith&amp;reservation_id=30672141918354&amp;guest_id=30672133103809", "Natasha Smith")</f>
        <v>Natasha Smith</v>
      </c>
      <c r="E211" t="s">
        <v>2499</v>
      </c>
      <c r="F211" t="s">
        <v>2498</v>
      </c>
      <c r="G211">
        <v>372.8</v>
      </c>
      <c r="H211">
        <v>405.2</v>
      </c>
      <c r="I211">
        <v>405.23</v>
      </c>
      <c r="J211">
        <v>-0.03</v>
      </c>
    </row>
    <row r="212" spans="1:10" x14ac:dyDescent="0.3">
      <c r="A212" t="str">
        <f>HYPERLINK("https://us2.cloudbeds.com/connect/10074733072513#/reservations/30672394764500?display=YQN0PNZ14&amp;reservation_id=30672394764500", "YQN0PNZ14")</f>
        <v>YQN0PNZ14</v>
      </c>
      <c r="B212" t="s">
        <v>10</v>
      </c>
      <c r="C212" t="s">
        <v>42</v>
      </c>
      <c r="D212" t="str">
        <f>HYPERLINK("https://us2.cloudbeds.com/connect/10074733072513#/reservations/30672394764500?display=Kaden%20Peterson&amp;reservation_id=30672394764500&amp;guest_id=30668036735131", "Kaden Peterson")</f>
        <v>Kaden Peterson</v>
      </c>
      <c r="E212" t="s">
        <v>2497</v>
      </c>
      <c r="F212" t="s">
        <v>2445</v>
      </c>
      <c r="G212">
        <v>356</v>
      </c>
      <c r="H212">
        <v>386.94</v>
      </c>
      <c r="I212">
        <v>386.97</v>
      </c>
      <c r="J212">
        <v>-0.03</v>
      </c>
    </row>
    <row r="213" spans="1:10" x14ac:dyDescent="0.3">
      <c r="A213" t="str">
        <f>HYPERLINK("https://us2.cloudbeds.com/connect/10074733072513#/reservations/30672405803205?display=YQN120TJB&amp;reservation_id=30672405803205", "YQN120TJB")</f>
        <v>YQN120TJB</v>
      </c>
      <c r="B213" t="s">
        <v>10</v>
      </c>
      <c r="C213" t="s">
        <v>42</v>
      </c>
      <c r="D213" t="str">
        <f>HYPERLINK("https://us2.cloudbeds.com/connect/10074733072513#/reservations/30672405803205?display=Greg%20Brusven&amp;reservation_id=30672405803205&amp;guest_id=17963408818374", "Greg Brusven")</f>
        <v>Greg Brusven</v>
      </c>
      <c r="E213" t="s">
        <v>2398</v>
      </c>
      <c r="F213" t="s">
        <v>2445</v>
      </c>
      <c r="G213">
        <v>316</v>
      </c>
      <c r="H213">
        <v>343.46</v>
      </c>
      <c r="I213">
        <v>343.49</v>
      </c>
      <c r="J213">
        <v>-0.03</v>
      </c>
    </row>
    <row r="214" spans="1:10" x14ac:dyDescent="0.3">
      <c r="A214" t="str">
        <f>HYPERLINK("https://us2.cloudbeds.com/connect/10074733072513#/reservations/30670904054014?display=YQYSMNGT3&amp;reservation_id=30670904054014", "YQYSMNGT3")</f>
        <v>YQYSMNGT3</v>
      </c>
      <c r="B214" t="s">
        <v>10</v>
      </c>
      <c r="C214" t="s">
        <v>42</v>
      </c>
      <c r="D214" t="str">
        <f>HYPERLINK("https://us2.cloudbeds.com/connect/10074733072513#/reservations/30670904054014?display=Greg%20Brusven&amp;reservation_id=30670904054014&amp;guest_id=17963408818374", "Greg Brusven")</f>
        <v>Greg Brusven</v>
      </c>
      <c r="E214" t="s">
        <v>2398</v>
      </c>
      <c r="F214" t="s">
        <v>2520</v>
      </c>
      <c r="G214">
        <v>316</v>
      </c>
      <c r="H214">
        <v>343.46</v>
      </c>
      <c r="I214">
        <v>343.49</v>
      </c>
      <c r="J214">
        <v>-0.03</v>
      </c>
    </row>
    <row r="215" spans="1:10" x14ac:dyDescent="0.3">
      <c r="A215" t="str">
        <f>HYPERLINK("https://us2.cloudbeds.com/connect/10074733072513#/reservations/30673225687198?display=YQNM0CCER&amp;reservation_id=30673225687198", "YQNM0CCER")</f>
        <v>YQNM0CCER</v>
      </c>
      <c r="B215" t="s">
        <v>10</v>
      </c>
      <c r="C215" t="s">
        <v>11</v>
      </c>
      <c r="D215" t="str">
        <f>HYPERLINK("https://us2.cloudbeds.com/connect/10074733072513#/reservations/30673225687198?display=Michelle%20Ruder&amp;reservation_id=30673225687198&amp;guest_id=30673225687193", "Michelle Ruder")</f>
        <v>Michelle Ruder</v>
      </c>
      <c r="E215" t="s">
        <v>2523</v>
      </c>
      <c r="F215" t="s">
        <v>2524</v>
      </c>
      <c r="G215">
        <v>348.8</v>
      </c>
      <c r="H215">
        <v>379.12</v>
      </c>
      <c r="I215">
        <v>379.15</v>
      </c>
      <c r="J215">
        <v>-0.03</v>
      </c>
    </row>
    <row r="216" spans="1:10" x14ac:dyDescent="0.3">
      <c r="A216" t="str">
        <f>HYPERLINK("https://us2.cloudbeds.com/connect/10074733072513#/reservations/30670651670678?display=YQYM7TXU7&amp;reservation_id=30670651670678", "YQYM7TXU7")</f>
        <v>YQYM7TXU7</v>
      </c>
      <c r="B216" t="s">
        <v>10</v>
      </c>
      <c r="C216" t="s">
        <v>42</v>
      </c>
      <c r="D216" t="str">
        <f>HYPERLINK("https://us2.cloudbeds.com/connect/10074733072513#/reservations/30670651670678?display=Kevin%20Lindblad&amp;reservation_id=30670651670678&amp;guest_id=30670651670672", "Kevin Lindblad")</f>
        <v>Kevin Lindblad</v>
      </c>
      <c r="E216" t="s">
        <v>2525</v>
      </c>
      <c r="F216" t="s">
        <v>2520</v>
      </c>
      <c r="G216">
        <v>596</v>
      </c>
      <c r="H216">
        <v>647.82000000000005</v>
      </c>
      <c r="I216">
        <v>647.85</v>
      </c>
      <c r="J216">
        <v>-0.03</v>
      </c>
    </row>
    <row r="217" spans="1:10" x14ac:dyDescent="0.3">
      <c r="A217" t="str">
        <f>HYPERLINK("https://us2.cloudbeds.com/connect/10074733072513#/reservations/30670355320978?display=YQYEM06Q9&amp;reservation_id=30670355320978", "YQYEM06Q9")</f>
        <v>YQYEM06Q9</v>
      </c>
      <c r="B217" t="s">
        <v>10</v>
      </c>
      <c r="C217" t="s">
        <v>11</v>
      </c>
      <c r="D217" t="str">
        <f>HYPERLINK("https://us2.cloudbeds.com/connect/10074733072513#/reservations/30670355320978?display=Jason%20Carl%20Bumpus&amp;reservation_id=30670355320978&amp;guest_id=30670355320976", "Jason Carl Bumpus")</f>
        <v>Jason Carl Bumpus</v>
      </c>
      <c r="E217" t="s">
        <v>2530</v>
      </c>
      <c r="F217" t="s">
        <v>2531</v>
      </c>
      <c r="G217">
        <v>367.52</v>
      </c>
      <c r="H217">
        <v>399.46</v>
      </c>
      <c r="I217">
        <v>399.49</v>
      </c>
      <c r="J217">
        <v>-0.03</v>
      </c>
    </row>
    <row r="218" spans="1:10" x14ac:dyDescent="0.3">
      <c r="A218" t="str">
        <f>HYPERLINK("https://us2.cloudbeds.com/connect/10074733072513#/reservations/30671516967114?display=YQMBBHNRB&amp;reservation_id=30671516967114", "YQMBBHNRB")</f>
        <v>YQMBBHNRB</v>
      </c>
      <c r="B218" t="s">
        <v>10</v>
      </c>
      <c r="C218" t="s">
        <v>20</v>
      </c>
      <c r="D218" t="str">
        <f>HYPERLINK("https://us2.cloudbeds.com/connect/10074733072513#/reservations/30671516967114?display=Hugo%20Sanchez&amp;reservation_id=30671516967114&amp;guest_id=30671516967111", "Hugo Sanchez")</f>
        <v>Hugo Sanchez</v>
      </c>
      <c r="E218" t="s">
        <v>2551</v>
      </c>
      <c r="F218" t="s">
        <v>2552</v>
      </c>
      <c r="G218">
        <v>490.2</v>
      </c>
      <c r="H218">
        <v>532.82000000000005</v>
      </c>
      <c r="I218">
        <v>532.85</v>
      </c>
      <c r="J218">
        <v>-0.03</v>
      </c>
    </row>
    <row r="219" spans="1:10" x14ac:dyDescent="0.3">
      <c r="A219" t="str">
        <f>HYPERLINK("https://us2.cloudbeds.com/connect/10074733072513#/reservations/30674055516359?display=YQZA73JN0&amp;reservation_id=30674055516359", "YQZA73JN0")</f>
        <v>YQZA73JN0</v>
      </c>
      <c r="B219" t="s">
        <v>10</v>
      </c>
      <c r="C219" t="s">
        <v>42</v>
      </c>
      <c r="D219" t="str">
        <f>HYPERLINK("https://us2.cloudbeds.com/connect/10074733072513#/reservations/30674055516359?display=Katie%20Stier&amp;reservation_id=30674055516359&amp;guest_id=30674046288116", "Katie Stier")</f>
        <v>Katie Stier</v>
      </c>
      <c r="E219" t="s">
        <v>2553</v>
      </c>
      <c r="F219" t="s">
        <v>2554</v>
      </c>
      <c r="G219">
        <v>436</v>
      </c>
      <c r="H219">
        <v>473.9</v>
      </c>
      <c r="I219">
        <v>473.93</v>
      </c>
      <c r="J219">
        <v>-0.03</v>
      </c>
    </row>
    <row r="220" spans="1:10" x14ac:dyDescent="0.3">
      <c r="A220" t="str">
        <f>HYPERLINK("https://us2.cloudbeds.com/connect/10074733072513#/reservations/30674067493087?display=YQZAH6SK6&amp;reservation_id=30674067493087", "YQZAH6SK6")</f>
        <v>YQZAH6SK6</v>
      </c>
      <c r="B220" t="s">
        <v>10</v>
      </c>
      <c r="C220" t="s">
        <v>42</v>
      </c>
      <c r="D220" t="str">
        <f>HYPERLINK("https://us2.cloudbeds.com/connect/10074733072513#/reservations/30674067493087?display=Jacelyn%20Brennan&amp;reservation_id=30674067493087&amp;guest_id=30674067488994", "Jacelyn Brennan")</f>
        <v>Jacelyn Brennan</v>
      </c>
      <c r="E220" t="s">
        <v>2555</v>
      </c>
      <c r="F220" t="s">
        <v>2554</v>
      </c>
      <c r="G220">
        <v>456</v>
      </c>
      <c r="H220">
        <v>495.64</v>
      </c>
      <c r="I220">
        <v>495.67</v>
      </c>
      <c r="J220">
        <v>-0.03</v>
      </c>
    </row>
    <row r="221" spans="1:10" x14ac:dyDescent="0.3">
      <c r="A221" t="str">
        <f>HYPERLINK("https://us2.cloudbeds.com/connect/10074733072513#/reservations/30671034495150?display=YQYW0N7HQ&amp;reservation_id=30671034495150", "YQYW0N7HQ")</f>
        <v>YQYW0N7HQ</v>
      </c>
      <c r="B221" t="s">
        <v>10</v>
      </c>
      <c r="C221" t="s">
        <v>42</v>
      </c>
      <c r="D221" t="str">
        <f>HYPERLINK("https://us2.cloudbeds.com/connect/10074733072513#/reservations/30671034495150?display=Brice%20Smallfield&amp;reservation_id=30671034495150&amp;guest_id=30655575920793", "Brice Smallfield")</f>
        <v>Brice Smallfield</v>
      </c>
      <c r="E221" t="s">
        <v>2570</v>
      </c>
      <c r="F221" t="s">
        <v>2571</v>
      </c>
      <c r="G221">
        <v>395</v>
      </c>
      <c r="H221">
        <v>429.34</v>
      </c>
      <c r="I221">
        <v>429.37</v>
      </c>
      <c r="J221">
        <v>-0.03</v>
      </c>
    </row>
    <row r="222" spans="1:10" x14ac:dyDescent="0.3">
      <c r="A222" t="str">
        <f>HYPERLINK("https://us2.cloudbeds.com/connect/10074733072513#/reservations/30673070788813?display=YQNX1P3BC&amp;reservation_id=30673070788813", "YQNX1P3BC")</f>
        <v>YQNX1P3BC</v>
      </c>
      <c r="B222" t="s">
        <v>10</v>
      </c>
      <c r="C222" t="s">
        <v>42</v>
      </c>
      <c r="D222" t="str">
        <f>HYPERLINK("https://us2.cloudbeds.com/connect/10074733072513#/reservations/30673070788813?display=Jeff%20Potts&amp;reservation_id=30673070788813&amp;guest_id=30661955879051", "Jeff Potts")</f>
        <v>Jeff Potts</v>
      </c>
      <c r="E222" t="s">
        <v>2578</v>
      </c>
      <c r="F222" t="s">
        <v>2579</v>
      </c>
      <c r="G222">
        <v>276</v>
      </c>
      <c r="H222">
        <v>299.98</v>
      </c>
      <c r="I222">
        <v>300.01</v>
      </c>
      <c r="J222">
        <v>-0.03</v>
      </c>
    </row>
    <row r="223" spans="1:10" x14ac:dyDescent="0.3">
      <c r="A223" t="str">
        <f>HYPERLINK("https://us2.cloudbeds.com/connect/10074733072513#/reservations/30671012393106?display=YQYVF26QT&amp;reservation_id=30671012393106", "YQYVF26QT")</f>
        <v>YQYVF26QT</v>
      </c>
      <c r="B223" t="s">
        <v>10</v>
      </c>
      <c r="C223" t="s">
        <v>42</v>
      </c>
      <c r="D223" t="str">
        <f>HYPERLINK("https://us2.cloudbeds.com/connect/10074733072513#/reservations/30671012393106?display=Garcia%20Denise&amp;reservation_id=30671012393106&amp;guest_id=30671012389010", "Garcia Denise")</f>
        <v>Garcia Denise</v>
      </c>
      <c r="E223" t="s">
        <v>2585</v>
      </c>
      <c r="F223" t="s">
        <v>2571</v>
      </c>
      <c r="G223">
        <v>316</v>
      </c>
      <c r="H223">
        <v>343.46</v>
      </c>
      <c r="I223">
        <v>343.49</v>
      </c>
      <c r="J223">
        <v>-0.03</v>
      </c>
    </row>
    <row r="224" spans="1:10" x14ac:dyDescent="0.3">
      <c r="A224" t="str">
        <f>HYPERLINK("https://us2.cloudbeds.com/connect/10074733072513#/reservations/30673892196506?display=YQZ61CWCJ&amp;reservation_id=30673892196506", "YQZ61CWCJ")</f>
        <v>YQZ61CWCJ</v>
      </c>
      <c r="B224" t="s">
        <v>10</v>
      </c>
      <c r="C224" t="s">
        <v>14</v>
      </c>
      <c r="D224" t="str">
        <f>HYPERLINK("https://us2.cloudbeds.com/connect/10074733072513#/reservations/30673892196506?display=Daniel%20Kubal&amp;reservation_id=30673892196506&amp;guest_id=30673892192422", "Daniel Kubal")</f>
        <v>Daniel Kubal</v>
      </c>
      <c r="E224" t="s">
        <v>1860</v>
      </c>
      <c r="F224" t="s">
        <v>2544</v>
      </c>
      <c r="G224">
        <v>348.65</v>
      </c>
      <c r="H224">
        <v>378.95</v>
      </c>
      <c r="I224">
        <v>378.98</v>
      </c>
      <c r="J224">
        <v>-0.03</v>
      </c>
    </row>
    <row r="225" spans="1:10" x14ac:dyDescent="0.3">
      <c r="A225" t="str">
        <f>HYPERLINK("https://us2.cloudbeds.com/connect/10074733072513#/reservations/30672207184007?display=YQMSWX0QP&amp;reservation_id=30672207184007", "YQMSWX0QP")</f>
        <v>YQMSWX0QP</v>
      </c>
      <c r="B225" t="s">
        <v>10</v>
      </c>
      <c r="C225" t="s">
        <v>42</v>
      </c>
      <c r="D225" t="str">
        <f>HYPERLINK("https://us2.cloudbeds.com/connect/10074733072513#/reservations/30672207184007?display=Vickie%20Grant&amp;reservation_id=30672207184007&amp;guest_id=30672207179963", "Vickie Grant")</f>
        <v>Vickie Grant</v>
      </c>
      <c r="E225" t="s">
        <v>2590</v>
      </c>
      <c r="F225" t="s">
        <v>2557</v>
      </c>
      <c r="G225">
        <v>396</v>
      </c>
      <c r="H225">
        <v>430.42</v>
      </c>
      <c r="I225">
        <v>430.45</v>
      </c>
      <c r="J225">
        <v>-0.03</v>
      </c>
    </row>
    <row r="226" spans="1:10" x14ac:dyDescent="0.3">
      <c r="A226" t="str">
        <f>HYPERLINK("https://us2.cloudbeds.com/connect/10074733072513#/reservations/30672458403990?display=YQN2DCJGH&amp;reservation_id=30672458403990", "YQN2DCJGH")</f>
        <v>YQN2DCJGH</v>
      </c>
      <c r="B226" t="s">
        <v>10</v>
      </c>
      <c r="C226" t="s">
        <v>42</v>
      </c>
      <c r="D226" t="str">
        <f>HYPERLINK("https://us2.cloudbeds.com/connect/10074733072513#/reservations/30672458403990?display=Christy%20Paulson&amp;reservation_id=30672458403990&amp;guest_id=30672458403985", "Christy Paulson")</f>
        <v>Christy Paulson</v>
      </c>
      <c r="E226" t="s">
        <v>2623</v>
      </c>
      <c r="F226" t="s">
        <v>2624</v>
      </c>
      <c r="G226">
        <v>516</v>
      </c>
      <c r="H226">
        <v>560.86</v>
      </c>
      <c r="I226">
        <v>560.89</v>
      </c>
      <c r="J226">
        <v>-0.03</v>
      </c>
    </row>
    <row r="227" spans="1:10" x14ac:dyDescent="0.3">
      <c r="A227" t="str">
        <f>HYPERLINK("https://us2.cloudbeds.com/connect/10074733072513#/reservations/30673605890221?display=YQNVNW2SE&amp;reservation_id=30673605890221", "YQNVNW2SE")</f>
        <v>YQNVNW2SE</v>
      </c>
      <c r="B227" t="s">
        <v>10</v>
      </c>
      <c r="C227" t="s">
        <v>42</v>
      </c>
      <c r="D227" t="str">
        <f>HYPERLINK("https://us2.cloudbeds.com/connect/10074733072513#/reservations/30673605890221?display=Blake%20Christriansen&amp;reservation_id=30673605890221&amp;guest_id=30673594114241", "Blake Christriansen")</f>
        <v>Blake Christriansen</v>
      </c>
      <c r="E227" t="s">
        <v>2625</v>
      </c>
      <c r="F227" t="s">
        <v>2626</v>
      </c>
      <c r="G227">
        <v>276</v>
      </c>
      <c r="H227">
        <v>299.98</v>
      </c>
      <c r="I227">
        <v>300.01</v>
      </c>
      <c r="J227">
        <v>-0.03</v>
      </c>
    </row>
    <row r="228" spans="1:10" x14ac:dyDescent="0.3">
      <c r="A228" t="str">
        <f>HYPERLINK("https://us2.cloudbeds.com/connect/10074733072513#/reservations/30674195267746?display=YQZDPVCNX&amp;reservation_id=30674195267746", "YQZDPVCNX")</f>
        <v>YQZDPVCNX</v>
      </c>
      <c r="B228" t="s">
        <v>10</v>
      </c>
      <c r="C228" t="s">
        <v>42</v>
      </c>
      <c r="D228" t="str">
        <f>HYPERLINK("https://us2.cloudbeds.com/connect/10074733072513#/reservations/30674195267746?display=Phillip%20Wright&amp;reservation_id=30674195267746&amp;guest_id=30672059777255", "Phillip Wright")</f>
        <v>Phillip Wright</v>
      </c>
      <c r="E228" t="s">
        <v>2636</v>
      </c>
      <c r="F228" t="s">
        <v>2637</v>
      </c>
      <c r="G228">
        <v>960</v>
      </c>
      <c r="H228">
        <v>1043.49</v>
      </c>
      <c r="I228">
        <v>1043.52</v>
      </c>
      <c r="J228">
        <v>-0.03</v>
      </c>
    </row>
    <row r="229" spans="1:10" x14ac:dyDescent="0.3">
      <c r="A229" t="str">
        <f>HYPERLINK("https://us2.cloudbeds.com/connect/10074733072513#/reservations/30672072024251?display=YQMPHJ05J&amp;reservation_id=30672072024251", "YQMPHJ05J")</f>
        <v>YQMPHJ05J</v>
      </c>
      <c r="B229" t="s">
        <v>10</v>
      </c>
      <c r="C229" t="s">
        <v>42</v>
      </c>
      <c r="D229" t="str">
        <f>HYPERLINK("https://us2.cloudbeds.com/connect/10074733072513#/reservations/30672072024251?display=Phillip%20Wright&amp;reservation_id=30672072024251&amp;guest_id=30672059777255", "Phillip Wright")</f>
        <v>Phillip Wright</v>
      </c>
      <c r="E229" t="s">
        <v>2636</v>
      </c>
      <c r="F229" t="s">
        <v>2637</v>
      </c>
      <c r="G229">
        <v>960</v>
      </c>
      <c r="H229">
        <v>1043.49</v>
      </c>
      <c r="I229">
        <v>1043.52</v>
      </c>
      <c r="J229">
        <v>-0.03</v>
      </c>
    </row>
    <row r="230" spans="1:10" x14ac:dyDescent="0.3">
      <c r="A230" t="str">
        <f>HYPERLINK("https://us2.cloudbeds.com/connect/10074733072513#/reservations/30673371709601?display=YQNPZGYW4&amp;reservation_id=30673371709601", "YQNPZGYW4")</f>
        <v>YQNPZGYW4</v>
      </c>
      <c r="B230" t="s">
        <v>10</v>
      </c>
      <c r="C230" t="s">
        <v>11</v>
      </c>
      <c r="D230" t="str">
        <f>HYPERLINK("https://us2.cloudbeds.com/connect/10074733072513#/reservations/30673371709601?display=Andrea%20Alvarez&amp;reservation_id=30673371709601&amp;guest_id=30673371709596", "Andrea Alvarez")</f>
        <v>Andrea Alvarez</v>
      </c>
      <c r="E230" t="s">
        <v>718</v>
      </c>
      <c r="F230" t="s">
        <v>2665</v>
      </c>
      <c r="G230">
        <v>222.36</v>
      </c>
      <c r="H230">
        <v>241.68</v>
      </c>
      <c r="I230">
        <v>241.71</v>
      </c>
      <c r="J230">
        <v>-0.03</v>
      </c>
    </row>
    <row r="231" spans="1:10" x14ac:dyDescent="0.3">
      <c r="A231" t="str">
        <f>HYPERLINK("https://us2.cloudbeds.com/connect/10074733072513#/reservations/30674226483375?display=YQZEJ906N&amp;reservation_id=30674226483375", "YQZEJ906N")</f>
        <v>YQZEJ906N</v>
      </c>
      <c r="B231" t="s">
        <v>10</v>
      </c>
      <c r="C231" t="s">
        <v>42</v>
      </c>
      <c r="D231" t="str">
        <f>HYPERLINK("https://us2.cloudbeds.com/connect/10074733072513#/reservations/30674226483375?display=Angela%20Degen&amp;reservation_id=30674226483375&amp;guest_id=30674226483370", "Angela Degen")</f>
        <v>Angela Degen</v>
      </c>
      <c r="E231" t="s">
        <v>2679</v>
      </c>
      <c r="F231" t="s">
        <v>2680</v>
      </c>
      <c r="G231">
        <v>536</v>
      </c>
      <c r="H231">
        <v>582.6</v>
      </c>
      <c r="I231">
        <v>582.63</v>
      </c>
      <c r="J231">
        <v>-0.03</v>
      </c>
    </row>
    <row r="232" spans="1:10" x14ac:dyDescent="0.3">
      <c r="A232" t="str">
        <f>HYPERLINK("https://us2.cloudbeds.com/connect/10074733072513#/reservations/30685742768289?display=YR0BS3K4E&amp;reservation_id=30685742768289", "YR0BS3K4E")</f>
        <v>YR0BS3K4E</v>
      </c>
      <c r="B232" t="s">
        <v>10</v>
      </c>
      <c r="C232" t="s">
        <v>42</v>
      </c>
      <c r="D232" t="str">
        <f>HYPERLINK("https://us2.cloudbeds.com/connect/10074733072513#/reservations/30685742768289?display=Sharron%20Wales&amp;reservation_id=30685742768289&amp;guest_id=30685742764195", "Sharron Wales")</f>
        <v>Sharron Wales</v>
      </c>
      <c r="E232" t="s">
        <v>2681</v>
      </c>
      <c r="F232" t="s">
        <v>2682</v>
      </c>
      <c r="G232">
        <v>476</v>
      </c>
      <c r="H232">
        <v>517.38</v>
      </c>
      <c r="I232">
        <v>517.41</v>
      </c>
      <c r="J232">
        <v>-0.03</v>
      </c>
    </row>
    <row r="233" spans="1:10" x14ac:dyDescent="0.3">
      <c r="A233" t="str">
        <f>HYPERLINK("https://us2.cloudbeds.com/connect/10074733072513#/reservations/30672632627334?display=YQN6S9K6Q&amp;reservation_id=30672632627334", "YQN6S9K6Q")</f>
        <v>YQN6S9K6Q</v>
      </c>
      <c r="B233" t="s">
        <v>10</v>
      </c>
      <c r="C233" t="s">
        <v>42</v>
      </c>
      <c r="D233" t="str">
        <f>HYPERLINK("https://us2.cloudbeds.com/connect/10074733072513#/reservations/30672632627334?display=Megan%20Tucker&amp;reservation_id=30672632627334&amp;guest_id=30672632623290", "Megan Tucker")</f>
        <v>Megan Tucker</v>
      </c>
      <c r="E233" t="s">
        <v>2686</v>
      </c>
      <c r="F233" t="s">
        <v>2687</v>
      </c>
      <c r="G233">
        <v>445</v>
      </c>
      <c r="H233">
        <v>483.69</v>
      </c>
      <c r="I233">
        <v>483.72</v>
      </c>
      <c r="J233">
        <v>-0.03</v>
      </c>
    </row>
    <row r="234" spans="1:10" x14ac:dyDescent="0.3">
      <c r="A234" t="str">
        <f>HYPERLINK("https://us2.cloudbeds.com/connect/10074733072513#/reservations/30671128830146?display=YQM1E87T1&amp;reservation_id=30671128830146", "YQM1E87T1")</f>
        <v>YQM1E87T1</v>
      </c>
      <c r="B234" t="s">
        <v>10</v>
      </c>
      <c r="C234" t="s">
        <v>11</v>
      </c>
      <c r="D234" t="str">
        <f>HYPERLINK("https://us2.cloudbeds.com/connect/10074733072513#/reservations/30671128830146?display=Wanda%20Severyn&amp;reservation_id=30671128830146&amp;guest_id=30671128826110", "Wanda Severyn")</f>
        <v>Wanda Severyn</v>
      </c>
      <c r="E234" t="s">
        <v>1319</v>
      </c>
      <c r="F234" t="s">
        <v>2698</v>
      </c>
      <c r="G234">
        <v>209.28</v>
      </c>
      <c r="H234">
        <v>227.46</v>
      </c>
      <c r="I234">
        <v>227.49</v>
      </c>
      <c r="J234">
        <v>-0.03</v>
      </c>
    </row>
    <row r="235" spans="1:10" x14ac:dyDescent="0.3">
      <c r="A235" t="str">
        <f>HYPERLINK("https://us2.cloudbeds.com/connect/10074733072513#/reservations/30678703358083?display=YQRTW9Y8Y&amp;reservation_id=30678703358083", "YQRTW9Y8Y")</f>
        <v>YQRTW9Y8Y</v>
      </c>
      <c r="B235" t="s">
        <v>10</v>
      </c>
      <c r="C235" t="s">
        <v>42</v>
      </c>
      <c r="D235" t="str">
        <f>HYPERLINK("https://us2.cloudbeds.com/connect/10074733072513#/reservations/30678703358083?display=Cheryl%20Kack&amp;reservation_id=30678703358083&amp;guest_id=30678703353993", "Cheryl Kack")</f>
        <v>Cheryl Kack</v>
      </c>
      <c r="E235" t="s">
        <v>2706</v>
      </c>
      <c r="F235" t="s">
        <v>2707</v>
      </c>
      <c r="G235">
        <v>536</v>
      </c>
      <c r="H235">
        <v>582.6</v>
      </c>
      <c r="I235">
        <v>582.63</v>
      </c>
      <c r="J235">
        <v>-0.03</v>
      </c>
    </row>
    <row r="236" spans="1:10" x14ac:dyDescent="0.3">
      <c r="A236" t="str">
        <f>HYPERLINK("https://us2.cloudbeds.com/connect/10074733072513#/reservations/30685767090318?display=YR0CFKDDK&amp;reservation_id=30685767090318", "YR0CFKDDK")</f>
        <v>YR0CFKDDK</v>
      </c>
      <c r="B236" t="s">
        <v>10</v>
      </c>
      <c r="C236" t="s">
        <v>42</v>
      </c>
      <c r="D236" t="str">
        <f>HYPERLINK("https://us2.cloudbeds.com/connect/10074733072513#/reservations/30685767090318?display=Kayla%20Berndt&amp;reservation_id=30685767090318&amp;guest_id=30685767086231", "Kayla Berndt")</f>
        <v>Kayla Berndt</v>
      </c>
      <c r="E236" t="s">
        <v>2715</v>
      </c>
      <c r="F236" t="s">
        <v>2682</v>
      </c>
      <c r="G236">
        <v>476</v>
      </c>
      <c r="H236">
        <v>517.38</v>
      </c>
      <c r="I236">
        <v>517.41</v>
      </c>
      <c r="J236">
        <v>-0.03</v>
      </c>
    </row>
    <row r="237" spans="1:10" x14ac:dyDescent="0.3">
      <c r="A237" t="str">
        <f>HYPERLINK("https://us2.cloudbeds.com/connect/10074733072513#/reservations/30674163589369?display=YQZCW7T9Z&amp;reservation_id=30674163589369", "YQZCW7T9Z")</f>
        <v>YQZCW7T9Z</v>
      </c>
      <c r="B237" t="s">
        <v>10</v>
      </c>
      <c r="C237" t="s">
        <v>14</v>
      </c>
      <c r="D237" t="str">
        <f>HYPERLINK("https://us2.cloudbeds.com/connect/10074733072513#/reservations/30674163589369?display=Jerry%20Payne&amp;reservation_id=30674163589369&amp;guest_id=30671911104762", "Jerry Payne")</f>
        <v>Jerry Payne</v>
      </c>
      <c r="E237" t="s">
        <v>2666</v>
      </c>
      <c r="F237" t="s">
        <v>2720</v>
      </c>
      <c r="G237">
        <v>378.08</v>
      </c>
      <c r="H237">
        <v>410.94</v>
      </c>
      <c r="I237">
        <v>410.97</v>
      </c>
      <c r="J237">
        <v>-0.03</v>
      </c>
    </row>
    <row r="238" spans="1:10" x14ac:dyDescent="0.3">
      <c r="A238" t="str">
        <f>HYPERLINK("https://us2.cloudbeds.com/connect/10074733072513#/reservations/30686392127692?display=YR0SEYWP3&amp;reservation_id=30686392127692", "YR0SEYWP3")</f>
        <v>YR0SEYWP3</v>
      </c>
      <c r="B238" t="s">
        <v>10</v>
      </c>
      <c r="C238" t="s">
        <v>14</v>
      </c>
      <c r="D238" t="str">
        <f>HYPERLINK("https://us2.cloudbeds.com/connect/10074733072513#/reservations/30686392127692?display=Walter%20Benson&amp;reservation_id=30686392127692&amp;guest_id=30686385983676", "Walter Benson")</f>
        <v>Walter Benson</v>
      </c>
      <c r="E238" t="s">
        <v>2723</v>
      </c>
      <c r="F238" t="s">
        <v>2724</v>
      </c>
      <c r="G238">
        <v>598.5</v>
      </c>
      <c r="H238">
        <v>650.54</v>
      </c>
      <c r="I238">
        <v>650.57000000000005</v>
      </c>
      <c r="J238">
        <v>-0.03</v>
      </c>
    </row>
    <row r="239" spans="1:10" x14ac:dyDescent="0.3">
      <c r="A239" t="str">
        <f>HYPERLINK("https://us2.cloudbeds.com/connect/10074733072513#/reservations/30685786329238?display=YR0CVRP06&amp;reservation_id=30685786329238", "YR0CVRP06")</f>
        <v>YR0CVRP06</v>
      </c>
      <c r="B239" t="s">
        <v>10</v>
      </c>
      <c r="C239" t="s">
        <v>42</v>
      </c>
      <c r="D239" t="str">
        <f>HYPERLINK("https://us2.cloudbeds.com/connect/10074733072513#/reservations/30685786329238?display=Sheila%20Scharping&amp;reservation_id=30685786329238&amp;guest_id=30685786325145", "Sheila Scharping")</f>
        <v>Sheila Scharping</v>
      </c>
      <c r="E239" t="s">
        <v>2725</v>
      </c>
      <c r="F239" t="s">
        <v>2682</v>
      </c>
      <c r="G239">
        <v>476</v>
      </c>
      <c r="H239">
        <v>517.38</v>
      </c>
      <c r="I239">
        <v>517.41</v>
      </c>
      <c r="J239">
        <v>-0.03</v>
      </c>
    </row>
    <row r="240" spans="1:10" x14ac:dyDescent="0.3">
      <c r="A240" t="str">
        <f>HYPERLINK("https://us2.cloudbeds.com/connect/10074733072513#/reservations/30686326145240?display=YR0QP0UQS&amp;reservation_id=30686326145240", "YR0QP0UQS")</f>
        <v>YR0QP0UQS</v>
      </c>
      <c r="B240" t="s">
        <v>10</v>
      </c>
      <c r="C240" t="s">
        <v>11</v>
      </c>
      <c r="D240" t="str">
        <f>HYPERLINK("https://us2.cloudbeds.com/connect/10074733072513#/reservations/30686326145240?display=Brooke%20Atteberry&amp;reservation_id=30686326145240&amp;guest_id=30686326141159", "Brooke Atteberry")</f>
        <v>Brooke Atteberry</v>
      </c>
      <c r="E240" t="s">
        <v>1319</v>
      </c>
      <c r="F240" t="s">
        <v>2724</v>
      </c>
      <c r="G240">
        <v>428.8</v>
      </c>
      <c r="H240">
        <v>466.08</v>
      </c>
      <c r="I240">
        <v>466.11</v>
      </c>
      <c r="J240">
        <v>-0.03</v>
      </c>
    </row>
    <row r="241" spans="1:10" x14ac:dyDescent="0.3">
      <c r="A241" t="str">
        <f>HYPERLINK("https://us2.cloudbeds.com/connect/10074733072513#/reservations/30673998983342?display=YQZ8PEFUA&amp;reservation_id=30673998983342", "YQZ8PEFUA")</f>
        <v>YQZ8PEFUA</v>
      </c>
      <c r="B241" t="s">
        <v>10</v>
      </c>
      <c r="C241" t="s">
        <v>23</v>
      </c>
      <c r="D241" t="str">
        <f>HYPERLINK("https://us2.cloudbeds.com/connect/10074733072513#/reservations/30673998983342?display=Sarah%20Jones&amp;reservation_id=30673998983342&amp;guest_id=30673998983328", "Sarah Jones")</f>
        <v>Sarah Jones</v>
      </c>
      <c r="E241" t="s">
        <v>2729</v>
      </c>
      <c r="F241" t="s">
        <v>2712</v>
      </c>
      <c r="G241">
        <v>330.3</v>
      </c>
      <c r="H241">
        <v>359.01</v>
      </c>
      <c r="I241">
        <v>359.04</v>
      </c>
      <c r="J241">
        <v>-0.03</v>
      </c>
    </row>
    <row r="242" spans="1:10" x14ac:dyDescent="0.3">
      <c r="A242" t="str">
        <f>HYPERLINK("https://us2.cloudbeds.com/connect/10074733072513#/reservations/30678304198867?display=YQRJPNESR&amp;reservation_id=30678304198867", "YQRJPNESR")</f>
        <v>YQRJPNESR</v>
      </c>
      <c r="B242" t="s">
        <v>10</v>
      </c>
      <c r="C242" t="s">
        <v>11</v>
      </c>
      <c r="D242" t="str">
        <f>HYPERLINK("https://us2.cloudbeds.com/connect/10074733072513#/reservations/30678304198867?display=Paul%20Plaia&amp;reservation_id=30678304198867&amp;guest_id=30678304198862", "Paul Plaia")</f>
        <v>Paul Plaia</v>
      </c>
      <c r="E242" t="s">
        <v>2730</v>
      </c>
      <c r="F242" t="s">
        <v>2731</v>
      </c>
      <c r="G242">
        <v>354.16</v>
      </c>
      <c r="H242">
        <v>384.94</v>
      </c>
      <c r="I242">
        <v>384.97</v>
      </c>
      <c r="J242">
        <v>-0.03</v>
      </c>
    </row>
    <row r="243" spans="1:10" x14ac:dyDescent="0.3">
      <c r="A243" t="str">
        <f>HYPERLINK("https://us2.cloudbeds.com/connect/10074733072513#/reservations/30674491392205?display=YQZYBYG00&amp;reservation_id=30674491392205", "YQZYBYG00")</f>
        <v>YQZYBYG00</v>
      </c>
      <c r="B243" t="s">
        <v>10</v>
      </c>
      <c r="C243" t="s">
        <v>20</v>
      </c>
      <c r="D243" t="str">
        <f>HYPERLINK("https://us2.cloudbeds.com/connect/10074733072513#/reservations/30674491392205?display=Nichole%20Deslauriers&amp;reservation_id=30674491392205&amp;guest_id=30674491392200", "Nichole Deslauriers")</f>
        <v>Nichole Deslauriers</v>
      </c>
      <c r="E243" t="s">
        <v>2738</v>
      </c>
      <c r="F243" t="s">
        <v>2712</v>
      </c>
      <c r="G243">
        <v>224.48</v>
      </c>
      <c r="H243">
        <v>243.98</v>
      </c>
      <c r="I243">
        <v>244.01</v>
      </c>
      <c r="J243">
        <v>-0.03</v>
      </c>
    </row>
    <row r="244" spans="1:10" x14ac:dyDescent="0.3">
      <c r="A244" t="str">
        <f>HYPERLINK("https://us2.cloudbeds.com/connect/10074733072513#/reservations/30687350325417?display=YR1JUY8FQ&amp;reservation_id=30687350325417", "YR1JUY8FQ")</f>
        <v>YR1JUY8FQ</v>
      </c>
      <c r="B244" t="s">
        <v>10</v>
      </c>
      <c r="C244" t="s">
        <v>42</v>
      </c>
      <c r="D244" t="str">
        <f>HYPERLINK("https://us2.cloudbeds.com/connect/10074733072513#/reservations/30687350325417?display=Carol%20Hinker&amp;reservation_id=30687350325417&amp;guest_id=30687342862546", "Carol Hinker")</f>
        <v>Carol Hinker</v>
      </c>
      <c r="E244" t="s">
        <v>2746</v>
      </c>
      <c r="F244" t="s">
        <v>2747</v>
      </c>
      <c r="G244">
        <v>516</v>
      </c>
      <c r="H244">
        <v>560.86</v>
      </c>
      <c r="I244">
        <v>560.89</v>
      </c>
      <c r="J244">
        <v>-0.03</v>
      </c>
    </row>
    <row r="245" spans="1:10" x14ac:dyDescent="0.3">
      <c r="A245" t="str">
        <f>HYPERLINK("https://us2.cloudbeds.com/connect/10074733072513#/reservations/30679490564277?display=YQSH32QVQ&amp;reservation_id=30679490564277", "YQSH32QVQ")</f>
        <v>YQSH32QVQ</v>
      </c>
      <c r="B245" t="s">
        <v>10</v>
      </c>
      <c r="C245" t="s">
        <v>42</v>
      </c>
      <c r="D245" t="str">
        <f>HYPERLINK("https://us2.cloudbeds.com/connect/10074733072513#/reservations/30679490564277?display=Darla%20Girton&amp;reservation_id=30679490564277&amp;guest_id=30679475007706", "Darla Girton")</f>
        <v>Darla Girton</v>
      </c>
      <c r="E245" t="s">
        <v>2748</v>
      </c>
      <c r="F245" t="s">
        <v>2653</v>
      </c>
      <c r="G245">
        <v>436</v>
      </c>
      <c r="H245">
        <v>473.9</v>
      </c>
      <c r="I245">
        <v>473.93</v>
      </c>
      <c r="J245">
        <v>-0.03</v>
      </c>
    </row>
    <row r="246" spans="1:10" x14ac:dyDescent="0.3">
      <c r="A246" t="str">
        <f>HYPERLINK("https://us2.cloudbeds.com/connect/10074733072513#/reservations/30679929495710?display=YQSSA6Z4A&amp;reservation_id=30679929495710", "YQSSA6Z4A")</f>
        <v>YQSSA6Z4A</v>
      </c>
      <c r="B246" t="s">
        <v>10</v>
      </c>
      <c r="C246" t="s">
        <v>42</v>
      </c>
      <c r="D246" t="str">
        <f>HYPERLINK("https://us2.cloudbeds.com/connect/10074733072513#/reservations/30679929495710?display=Cindy%20Zuehlke&amp;reservation_id=30679929495710&amp;guest_id=30647725195517", "Cindy Zuehlke")</f>
        <v>Cindy Zuehlke</v>
      </c>
      <c r="E246" t="s">
        <v>2770</v>
      </c>
      <c r="F246" t="s">
        <v>2771</v>
      </c>
      <c r="G246">
        <v>516</v>
      </c>
      <c r="H246">
        <v>560.86</v>
      </c>
      <c r="I246">
        <v>560.89</v>
      </c>
      <c r="J246">
        <v>-0.03</v>
      </c>
    </row>
    <row r="247" spans="1:10" x14ac:dyDescent="0.3">
      <c r="A247" t="str">
        <f>HYPERLINK("https://us2.cloudbeds.com/connect/10074733072513#/reservations/30679793623190?display=YQSZRKSW7&amp;reservation_id=30679793623190", "YQSZRKSW7")</f>
        <v>YQSZRKSW7</v>
      </c>
      <c r="B247" t="s">
        <v>10</v>
      </c>
      <c r="C247" t="s">
        <v>42</v>
      </c>
      <c r="D247" t="str">
        <f>HYPERLINK("https://us2.cloudbeds.com/connect/10074733072513#/reservations/30679793623190?display=Colette%20Reiners&amp;reservation_id=30679793623190&amp;guest_id=30679793623188", "Colette Reiners")</f>
        <v>Colette Reiners</v>
      </c>
      <c r="E247" t="s">
        <v>2777</v>
      </c>
      <c r="F247" t="s">
        <v>2707</v>
      </c>
      <c r="G247">
        <v>476</v>
      </c>
      <c r="H247">
        <v>517.38</v>
      </c>
      <c r="I247">
        <v>517.41</v>
      </c>
      <c r="J247">
        <v>-0.03</v>
      </c>
    </row>
    <row r="248" spans="1:10" x14ac:dyDescent="0.3">
      <c r="A248" t="str">
        <f>HYPERLINK("https://us2.cloudbeds.com/connect/10074733072513#/reservations/30679950315726?display=YQSSRP2JT&amp;reservation_id=30679950315726", "YQSSRP2JT")</f>
        <v>YQSSRP2JT</v>
      </c>
      <c r="B248" t="s">
        <v>10</v>
      </c>
      <c r="C248" t="s">
        <v>14</v>
      </c>
      <c r="D248" t="str">
        <f>HYPERLINK("https://us2.cloudbeds.com/connect/10074733072513#/reservations/30679950315726?display=Ashley%20Jones&amp;reservation_id=30679950315726&amp;guest_id=30679597105291", "Ashley Jones")</f>
        <v>Ashley Jones</v>
      </c>
      <c r="E248" t="s">
        <v>2784</v>
      </c>
      <c r="F248" t="s">
        <v>2782</v>
      </c>
      <c r="G248">
        <v>490.2</v>
      </c>
      <c r="H248">
        <v>532.82000000000005</v>
      </c>
      <c r="I248">
        <v>532.85</v>
      </c>
      <c r="J248">
        <v>-0.03</v>
      </c>
    </row>
    <row r="249" spans="1:10" x14ac:dyDescent="0.3">
      <c r="A249" t="str">
        <f>HYPERLINK("https://us2.cloudbeds.com/connect/10074733072513#/reservations/30679564673176?display=YQSXWJ070&amp;reservation_id=30679564673176", "YQSXWJ070")</f>
        <v>YQSXWJ070</v>
      </c>
      <c r="B249" t="s">
        <v>10</v>
      </c>
      <c r="C249" t="s">
        <v>42</v>
      </c>
      <c r="D249" t="str">
        <f>HYPERLINK("https://us2.cloudbeds.com/connect/10074733072513#/reservations/30679564673176?display=Blake%20Mcbride&amp;reservation_id=30679564673176&amp;guest_id=30679375417542", "Blake Mcbride")</f>
        <v>Blake Mcbride</v>
      </c>
      <c r="E249" t="s">
        <v>2789</v>
      </c>
      <c r="F249" t="s">
        <v>2790</v>
      </c>
      <c r="G249">
        <v>1092</v>
      </c>
      <c r="H249">
        <v>1186.97</v>
      </c>
      <c r="I249">
        <v>1187</v>
      </c>
      <c r="J249">
        <v>-0.03</v>
      </c>
    </row>
    <row r="250" spans="1:10" x14ac:dyDescent="0.3">
      <c r="A250" t="str">
        <f>HYPERLINK("https://us2.cloudbeds.com/connect/10074733072513#/reservations/30679545041043?display=YQSXG0NHS&amp;reservation_id=30679545041043", "YQSXG0NHS")</f>
        <v>YQSXG0NHS</v>
      </c>
      <c r="B250" t="s">
        <v>10</v>
      </c>
      <c r="C250" t="s">
        <v>42</v>
      </c>
      <c r="D250" t="str">
        <f>HYPERLINK("https://us2.cloudbeds.com/connect/10074733072513#/reservations/30679545041043?display=Larry%20Garr&amp;reservation_id=30679545041043&amp;guest_id=30679538946178", "Larry Garr")</f>
        <v>Larry Garr</v>
      </c>
      <c r="E250" t="s">
        <v>2791</v>
      </c>
      <c r="F250" t="s">
        <v>2790</v>
      </c>
      <c r="G250">
        <v>1092</v>
      </c>
      <c r="H250">
        <v>1186.97</v>
      </c>
      <c r="I250">
        <v>1187</v>
      </c>
      <c r="J250">
        <v>-0.03</v>
      </c>
    </row>
    <row r="251" spans="1:10" x14ac:dyDescent="0.3">
      <c r="A251" t="str">
        <f>HYPERLINK("https://us2.cloudbeds.com/connect/10074733072513#/reservations/30679588106455?display=YQSJJB2CC&amp;reservation_id=30679588106455", "YQSJJB2CC")</f>
        <v>YQSJJB2CC</v>
      </c>
      <c r="B251" t="s">
        <v>10</v>
      </c>
      <c r="C251" t="s">
        <v>42</v>
      </c>
      <c r="D251" t="str">
        <f>HYPERLINK("https://us2.cloudbeds.com/connect/10074733072513#/reservations/30679588106455?display=Sath%20Schwindenhammer&amp;reservation_id=30679588106455&amp;guest_id=30679588102371", "Sath Schwindenhammer")</f>
        <v>Sath Schwindenhammer</v>
      </c>
      <c r="E251" t="s">
        <v>2793</v>
      </c>
      <c r="F251" t="s">
        <v>2790</v>
      </c>
      <c r="G251">
        <v>1092</v>
      </c>
      <c r="H251">
        <v>1186.97</v>
      </c>
      <c r="I251">
        <v>1187</v>
      </c>
      <c r="J251">
        <v>-0.03</v>
      </c>
    </row>
    <row r="252" spans="1:10" x14ac:dyDescent="0.3">
      <c r="A252" t="str">
        <f>HYPERLINK("https://us2.cloudbeds.com/connect/10074733072513#/reservations/30679701545104?display=YQSMFWM36&amp;reservation_id=30679701545104", "YQSMFWM36")</f>
        <v>YQSMFWM36</v>
      </c>
      <c r="B252" t="s">
        <v>10</v>
      </c>
      <c r="C252" t="s">
        <v>42</v>
      </c>
      <c r="D252" t="str">
        <f>HYPERLINK("https://us2.cloudbeds.com/connect/10074733072513#/reservations/30679701545104?display=Labell%20Gross&amp;reservation_id=30679701545104&amp;guest_id=30679701545100", "Labell Gross")</f>
        <v>Labell Gross</v>
      </c>
      <c r="E252" t="s">
        <v>2798</v>
      </c>
      <c r="F252" t="s">
        <v>2799</v>
      </c>
      <c r="G252">
        <v>339</v>
      </c>
      <c r="H252">
        <v>368.46</v>
      </c>
      <c r="I252">
        <v>368.49</v>
      </c>
      <c r="J252">
        <v>-0.03</v>
      </c>
    </row>
    <row r="253" spans="1:10" x14ac:dyDescent="0.3">
      <c r="A253" t="str">
        <f>HYPERLINK("https://us2.cloudbeds.com/connect/10074733072513#/reservations/30679390212351?display=YQSEHFCEB&amp;reservation_id=30679390212351", "YQSEHFCEB")</f>
        <v>YQSEHFCEB</v>
      </c>
      <c r="B253" t="s">
        <v>10</v>
      </c>
      <c r="C253" t="s">
        <v>42</v>
      </c>
      <c r="D253" t="str">
        <f>HYPERLINK("https://us2.cloudbeds.com/connect/10074733072513#/reservations/30679390212351?display=Mathew%20Bilben&amp;reservation_id=30679390212351&amp;guest_id=30679380713662", "Mathew Bilben")</f>
        <v>Mathew Bilben</v>
      </c>
      <c r="E253" t="s">
        <v>2801</v>
      </c>
      <c r="F253" t="s">
        <v>2535</v>
      </c>
      <c r="G253">
        <v>546</v>
      </c>
      <c r="H253">
        <v>593.47</v>
      </c>
      <c r="I253">
        <v>593.5</v>
      </c>
      <c r="J253">
        <v>-0.03</v>
      </c>
    </row>
    <row r="254" spans="1:10" x14ac:dyDescent="0.3">
      <c r="A254" t="str">
        <f>HYPERLINK("https://us2.cloudbeds.com/connect/10074733072513#/reservations/30687984443619?display=YR234BHGT&amp;reservation_id=30687984443619", "YR234BHGT")</f>
        <v>YR234BHGT</v>
      </c>
      <c r="B254" t="s">
        <v>10</v>
      </c>
      <c r="C254" t="s">
        <v>42</v>
      </c>
      <c r="D254" t="str">
        <f>HYPERLINK("https://us2.cloudbeds.com/connect/10074733072513#/reservations/30687984443619?display=Connie%20Olson&amp;reservation_id=30687984443619&amp;guest_id=30687984439538", "Connie Olson")</f>
        <v>Connie Olson</v>
      </c>
      <c r="E254" t="s">
        <v>2804</v>
      </c>
      <c r="F254" t="s">
        <v>2805</v>
      </c>
      <c r="G254">
        <v>556</v>
      </c>
      <c r="H254">
        <v>604.34</v>
      </c>
      <c r="I254">
        <v>604.37</v>
      </c>
      <c r="J254">
        <v>-0.03</v>
      </c>
    </row>
    <row r="255" spans="1:10" x14ac:dyDescent="0.3">
      <c r="A255" t="str">
        <f>HYPERLINK("https://us2.cloudbeds.com/connect/10074733072513#/reservations/30683772846295?display=YQVRH0KMX&amp;reservation_id=30683772846295", "YQVRH0KMX")</f>
        <v>YQVRH0KMX</v>
      </c>
      <c r="B255" t="s">
        <v>10</v>
      </c>
      <c r="C255" t="s">
        <v>42</v>
      </c>
      <c r="D255" t="str">
        <f>HYPERLINK("https://us2.cloudbeds.com/connect/10074733072513#/reservations/30683772846295?display=Tammy%20Wanner&amp;reservation_id=30683772846295&amp;guest_id=30683772846293", "Tammy Wanner")</f>
        <v>Tammy Wanner</v>
      </c>
      <c r="E255" t="s">
        <v>2806</v>
      </c>
      <c r="F255" t="s">
        <v>2659</v>
      </c>
      <c r="G255">
        <v>436</v>
      </c>
      <c r="H255">
        <v>473.9</v>
      </c>
      <c r="I255">
        <v>473.93</v>
      </c>
      <c r="J255">
        <v>-0.03</v>
      </c>
    </row>
    <row r="256" spans="1:10" x14ac:dyDescent="0.3">
      <c r="A256" t="str">
        <f>HYPERLINK("https://us2.cloudbeds.com/connect/10074733072513#/reservations/31680314319096?display=MHBFF63S2&amp;reservation_id=31680314319096", "MHBFF63S2")</f>
        <v>MHBFF63S2</v>
      </c>
      <c r="B256" t="s">
        <v>10</v>
      </c>
      <c r="C256" t="s">
        <v>42</v>
      </c>
      <c r="D256" t="str">
        <f>HYPERLINK("https://us2.cloudbeds.com/connect/10074733072513#/reservations/31680314319096?display=Timothy%20Olson&amp;reservation_id=31680314319096&amp;guest_id=31680305725616", "Timothy Olson")</f>
        <v>Timothy Olson</v>
      </c>
      <c r="E256" t="s">
        <v>2814</v>
      </c>
      <c r="F256" t="s">
        <v>2815</v>
      </c>
      <c r="G256">
        <v>556</v>
      </c>
      <c r="H256">
        <v>604.34</v>
      </c>
      <c r="I256">
        <v>604.37</v>
      </c>
      <c r="J256">
        <v>-0.03</v>
      </c>
    </row>
    <row r="257" spans="1:10" x14ac:dyDescent="0.3">
      <c r="A257" t="str">
        <f>HYPERLINK("https://us2.cloudbeds.com/connect/10074733072513#/reservations/30677762666634?display=YQR5V2H35&amp;reservation_id=30677762666634", "YQR5V2H35")</f>
        <v>YQR5V2H35</v>
      </c>
      <c r="B257" t="s">
        <v>10</v>
      </c>
      <c r="C257" t="s">
        <v>42</v>
      </c>
      <c r="D257" t="str">
        <f>HYPERLINK("https://us2.cloudbeds.com/connect/10074733072513#/reservations/30677762666634?display=Bnsf%20.&amp;reservation_id=30677762666634&amp;guest_id=30677762662531", "Bnsf .")</f>
        <v>Bnsf .</v>
      </c>
      <c r="E257" t="s">
        <v>2818</v>
      </c>
      <c r="F257" t="s">
        <v>2819</v>
      </c>
      <c r="G257">
        <v>1024</v>
      </c>
      <c r="H257">
        <v>1113.06</v>
      </c>
      <c r="I257">
        <v>1113.0899999999999</v>
      </c>
      <c r="J257">
        <v>-0.03</v>
      </c>
    </row>
    <row r="258" spans="1:10" x14ac:dyDescent="0.3">
      <c r="A258" t="str">
        <f>HYPERLINK("https://us2.cloudbeds.com/connect/10074733072513#/reservations/30679613358224?display=YQSK7KZDG&amp;reservation_id=30679613358224", "YQSK7KZDG")</f>
        <v>YQSK7KZDG</v>
      </c>
      <c r="B258" t="s">
        <v>10</v>
      </c>
      <c r="C258" t="s">
        <v>42</v>
      </c>
      <c r="D258" t="str">
        <f>HYPERLINK("https://us2.cloudbeds.com/connect/10074733072513#/reservations/30679613358224?display=Steve%20Haley&amp;reservation_id=30679613358224&amp;guest_id=30679613358222", "Steve Haley")</f>
        <v>Steve Haley</v>
      </c>
      <c r="E258" t="s">
        <v>2827</v>
      </c>
      <c r="F258" t="s">
        <v>2819</v>
      </c>
      <c r="G258">
        <v>396</v>
      </c>
      <c r="H258">
        <v>430.42</v>
      </c>
      <c r="I258">
        <v>430.45</v>
      </c>
      <c r="J258">
        <v>-0.03</v>
      </c>
    </row>
    <row r="259" spans="1:10" x14ac:dyDescent="0.3">
      <c r="A259" t="str">
        <f>HYPERLINK("https://us2.cloudbeds.com/connect/10074733072513#/reservations/30677708492928?display=YQR4XCV3H&amp;reservation_id=30677708492928", "YQR4XCV3H")</f>
        <v>YQR4XCV3H</v>
      </c>
      <c r="B259" t="s">
        <v>10</v>
      </c>
      <c r="C259" t="s">
        <v>23</v>
      </c>
      <c r="D259" t="str">
        <f>HYPERLINK("https://us2.cloudbeds.com/connect/10074733072513#/reservations/30677708492928?display=Curtis%20Allen%20Knipp&amp;reservation_id=30677708492928&amp;guest_id=30677708488893", "Curtis Allen Knipp")</f>
        <v>Curtis Allen Knipp</v>
      </c>
      <c r="E259" t="s">
        <v>2831</v>
      </c>
      <c r="F259" t="s">
        <v>2819</v>
      </c>
      <c r="G259">
        <v>476</v>
      </c>
      <c r="H259">
        <v>517.38</v>
      </c>
      <c r="I259">
        <v>517.41</v>
      </c>
      <c r="J259">
        <v>-0.03</v>
      </c>
    </row>
    <row r="260" spans="1:10" x14ac:dyDescent="0.3">
      <c r="A260" t="str">
        <f>HYPERLINK("https://us2.cloudbeds.com/connect/10074733072513#/reservations/30687537848469?display=YR1ZNPBVH&amp;reservation_id=30687537848469", "YR1ZNPBVH")</f>
        <v>YR1ZNPBVH</v>
      </c>
      <c r="B260" t="s">
        <v>10</v>
      </c>
      <c r="C260" t="s">
        <v>20</v>
      </c>
      <c r="D260" t="str">
        <f>HYPERLINK("https://us2.cloudbeds.com/connect/10074733072513#/reservations/30687537848469?display=Tim%20Nelson&amp;reservation_id=30687537848469&amp;guest_id=30687537848464", "Tim Nelson")</f>
        <v>Tim Nelson</v>
      </c>
      <c r="E260" t="s">
        <v>2834</v>
      </c>
      <c r="F260" t="s">
        <v>2835</v>
      </c>
      <c r="G260">
        <v>420.3</v>
      </c>
      <c r="H260">
        <v>456.84</v>
      </c>
      <c r="I260">
        <v>456.87</v>
      </c>
      <c r="J260">
        <v>-0.03</v>
      </c>
    </row>
    <row r="261" spans="1:10" x14ac:dyDescent="0.3">
      <c r="A261" t="str">
        <f>HYPERLINK("https://us2.cloudbeds.com/connect/10074733072513#/reservations/30676575453399?display=YQQ8JWXFH&amp;reservation_id=30676575453399", "YQQ8JWXFH")</f>
        <v>YQQ8JWXFH</v>
      </c>
      <c r="B261" t="s">
        <v>10</v>
      </c>
      <c r="C261" t="s">
        <v>23</v>
      </c>
      <c r="D261" t="str">
        <f>HYPERLINK("https://us2.cloudbeds.com/connect/10074733072513#/reservations/30676575453399?display=Loren%20Meyer&amp;reservation_id=30676575453399&amp;guest_id=30676575449307", "Loren Meyer")</f>
        <v>Loren Meyer</v>
      </c>
      <c r="E261" t="s">
        <v>2868</v>
      </c>
      <c r="F261" t="s">
        <v>2854</v>
      </c>
      <c r="G261">
        <v>636</v>
      </c>
      <c r="H261">
        <v>691.3</v>
      </c>
      <c r="I261">
        <v>691.33</v>
      </c>
      <c r="J261">
        <v>-0.03</v>
      </c>
    </row>
    <row r="262" spans="1:10" x14ac:dyDescent="0.3">
      <c r="A262" t="str">
        <f>HYPERLINK("https://us2.cloudbeds.com/connect/10074733072513#/reservations/30676559134867?display=YQQ867FJX&amp;reservation_id=30676559134867", "YQQ867FJX")</f>
        <v>YQQ867FJX</v>
      </c>
      <c r="B262" t="s">
        <v>10</v>
      </c>
      <c r="C262" t="s">
        <v>23</v>
      </c>
      <c r="D262" t="str">
        <f>HYPERLINK("https://us2.cloudbeds.com/connect/10074733072513#/reservations/30676559134867?display=Loren%20Meyer&amp;reservation_id=30676559134867&amp;guest_id=30676559130774", "Loren Meyer")</f>
        <v>Loren Meyer</v>
      </c>
      <c r="E262" t="s">
        <v>2868</v>
      </c>
      <c r="F262" t="s">
        <v>2854</v>
      </c>
      <c r="G262">
        <v>636</v>
      </c>
      <c r="H262">
        <v>691.3</v>
      </c>
      <c r="I262">
        <v>691.33</v>
      </c>
      <c r="J262">
        <v>-0.03</v>
      </c>
    </row>
    <row r="263" spans="1:10" x14ac:dyDescent="0.3">
      <c r="A263" t="str">
        <f>HYPERLINK("https://us2.cloudbeds.com/connect/10074733072513#/reservations/30678292930782?display=YQRJG6TMN&amp;reservation_id=30678292930782", "YQRJG6TMN")</f>
        <v>YQRJG6TMN</v>
      </c>
      <c r="B263" t="s">
        <v>10</v>
      </c>
      <c r="C263" t="s">
        <v>17</v>
      </c>
      <c r="D263" t="str">
        <f>HYPERLINK("https://us2.cloudbeds.com/connect/10074733072513#/reservations/30678292930782?display=Jeff%20Brindley&amp;reservation_id=30678292930782&amp;guest_id=30678292930775", "Jeff Brindley")</f>
        <v>Jeff Brindley</v>
      </c>
      <c r="E263" t="s">
        <v>2875</v>
      </c>
      <c r="F263" t="s">
        <v>2876</v>
      </c>
      <c r="G263">
        <v>476</v>
      </c>
      <c r="H263">
        <v>517.38</v>
      </c>
      <c r="I263">
        <v>517.41</v>
      </c>
      <c r="J263">
        <v>-0.03</v>
      </c>
    </row>
    <row r="264" spans="1:10" x14ac:dyDescent="0.3">
      <c r="A264" t="str">
        <f>HYPERLINK("https://us2.cloudbeds.com/connect/10074733072513#/reservations/30686657388726?display=YR127B8W8&amp;reservation_id=30686657388726", "YR127B8W8")</f>
        <v>YR127B8W8</v>
      </c>
      <c r="B264" t="s">
        <v>10</v>
      </c>
      <c r="C264" t="s">
        <v>42</v>
      </c>
      <c r="D264" t="str">
        <f>HYPERLINK("https://us2.cloudbeds.com/connect/10074733072513#/reservations/30686657388726?display=Sue%20Kleinsasser&amp;reservation_id=30686657388726&amp;guest_id=30686648885464", "Sue Kleinsasser")</f>
        <v>Sue Kleinsasser</v>
      </c>
      <c r="E264" t="s">
        <v>2882</v>
      </c>
      <c r="F264" t="s">
        <v>2840</v>
      </c>
      <c r="G264">
        <v>608.4</v>
      </c>
      <c r="H264">
        <v>661.3</v>
      </c>
      <c r="I264">
        <v>661.33</v>
      </c>
      <c r="J264">
        <v>-0.03</v>
      </c>
    </row>
    <row r="265" spans="1:10" x14ac:dyDescent="0.3">
      <c r="A265" t="str">
        <f>HYPERLINK("https://us2.cloudbeds.com/connect/10074733072513#/reservations/30678956310725?display=YQS3EJE07&amp;reservation_id=30678956310725", "YQS3EJE07")</f>
        <v>YQS3EJE07</v>
      </c>
      <c r="B265" t="s">
        <v>10</v>
      </c>
      <c r="C265" t="s">
        <v>14</v>
      </c>
      <c r="D265" t="str">
        <f>HYPERLINK("https://us2.cloudbeds.com/connect/10074733072513#/reservations/30678956310725?display=Jeremy%20Schneider&amp;reservation_id=30678956310725&amp;guest_id=30678956310723", "Jeremy Schneider")</f>
        <v>Jeremy Schneider</v>
      </c>
      <c r="E265" t="s">
        <v>2883</v>
      </c>
      <c r="F265" t="s">
        <v>2884</v>
      </c>
      <c r="G265">
        <v>378.08</v>
      </c>
      <c r="H265">
        <v>410.94</v>
      </c>
      <c r="I265">
        <v>410.97</v>
      </c>
      <c r="J265">
        <v>-0.03</v>
      </c>
    </row>
    <row r="266" spans="1:10" x14ac:dyDescent="0.3">
      <c r="A266" t="str">
        <f>HYPERLINK("https://us2.cloudbeds.com/connect/10074733072513#/reservations/30679375417547?display=YQSE4WMZV&amp;reservation_id=30679375417547", "YQSE4WMZV")</f>
        <v>YQSE4WMZV</v>
      </c>
      <c r="B266" t="s">
        <v>10</v>
      </c>
      <c r="C266" t="s">
        <v>42</v>
      </c>
      <c r="D266" t="str">
        <f>HYPERLINK("https://us2.cloudbeds.com/connect/10074733072513#/reservations/30679375417547?display=Blake%20Mcbride&amp;reservation_id=30679375417547&amp;guest_id=30679375417542", "Blake Mcbride")</f>
        <v>Blake Mcbride</v>
      </c>
      <c r="E266" t="s">
        <v>2789</v>
      </c>
      <c r="F266" t="s">
        <v>2887</v>
      </c>
      <c r="G266">
        <v>1008</v>
      </c>
      <c r="H266">
        <v>1095.67</v>
      </c>
      <c r="I266">
        <v>1095.7</v>
      </c>
      <c r="J266">
        <v>-0.03</v>
      </c>
    </row>
    <row r="267" spans="1:10" x14ac:dyDescent="0.3">
      <c r="A267" t="str">
        <f>HYPERLINK("https://us2.cloudbeds.com/connect/10074733072513#/reservations/30678799040641?display=YQRWDW513&amp;reservation_id=30678799040641", "YQRWDW513")</f>
        <v>YQRWDW513</v>
      </c>
      <c r="B267" t="s">
        <v>10</v>
      </c>
      <c r="C267" t="s">
        <v>42</v>
      </c>
      <c r="D267" t="str">
        <f>HYPERLINK("https://us2.cloudbeds.com/connect/10074733072513#/reservations/30678799040641?display=Brian%20Larson&amp;reservation_id=30678799040641&amp;guest_id=30661033079000", "Brian Larson")</f>
        <v>Brian Larson</v>
      </c>
      <c r="E267" t="s">
        <v>2890</v>
      </c>
      <c r="F267" t="s">
        <v>2854</v>
      </c>
      <c r="G267">
        <v>636</v>
      </c>
      <c r="H267">
        <v>691.3</v>
      </c>
      <c r="I267">
        <v>691.33</v>
      </c>
      <c r="J267">
        <v>-0.03</v>
      </c>
    </row>
    <row r="268" spans="1:10" x14ac:dyDescent="0.3">
      <c r="A268" t="str">
        <f>HYPERLINK("https://us2.cloudbeds.com/connect/10074733072513#/reservations/30679332733084?display=YQSD1WUZC&amp;reservation_id=30679332733084", "YQSD1WUZC")</f>
        <v>YQSD1WUZC</v>
      </c>
      <c r="B268" t="s">
        <v>10</v>
      </c>
      <c r="C268" t="s">
        <v>42</v>
      </c>
      <c r="D268" t="str">
        <f>HYPERLINK("https://us2.cloudbeds.com/connect/10074733072513#/reservations/30679332733084?display=Potts%20Jeff%20New%20Age%20Cryo&amp;reservation_id=30679332733084&amp;guest_id=30679332733078", "Potts Jeff New Age Cryo")</f>
        <v>Potts Jeff New Age Cryo</v>
      </c>
      <c r="E268" t="s">
        <v>2907</v>
      </c>
      <c r="F268" t="s">
        <v>2908</v>
      </c>
      <c r="G268">
        <v>276</v>
      </c>
      <c r="H268">
        <v>299.98</v>
      </c>
      <c r="I268">
        <v>300.01</v>
      </c>
      <c r="J268">
        <v>-0.03</v>
      </c>
    </row>
    <row r="269" spans="1:10" x14ac:dyDescent="0.3">
      <c r="A269" t="str">
        <f>HYPERLINK("https://us2.cloudbeds.com/connect/10074733072513#/reservations/30678372511893?display=YQRYHABUH&amp;reservation_id=30678372511893", "YQRYHABUH")</f>
        <v>YQRYHABUH</v>
      </c>
      <c r="B269" t="s">
        <v>10</v>
      </c>
      <c r="C269" t="s">
        <v>42</v>
      </c>
      <c r="D269" t="str">
        <f>HYPERLINK("https://us2.cloudbeds.com/connect/10074733072513#/reservations/30678372511893?display=Joey%20Reierson&amp;reservation_id=30678372511893&amp;guest_id=30678372511891", "Joey Reierson")</f>
        <v>Joey Reierson</v>
      </c>
      <c r="E269" t="s">
        <v>2935</v>
      </c>
      <c r="F269" t="s">
        <v>2936</v>
      </c>
      <c r="G269">
        <v>316</v>
      </c>
      <c r="H269">
        <v>343.46</v>
      </c>
      <c r="I269">
        <v>343.49</v>
      </c>
      <c r="J269">
        <v>-0.03</v>
      </c>
    </row>
    <row r="270" spans="1:10" x14ac:dyDescent="0.3">
      <c r="A270" t="str">
        <f>HYPERLINK("https://us2.cloudbeds.com/connect/10074733072513#/reservations/30687207645363?display=YR1G9AW4Q&amp;reservation_id=30687207645363", "YR1G9AW4Q")</f>
        <v>YR1G9AW4Q</v>
      </c>
      <c r="B270" t="s">
        <v>10</v>
      </c>
      <c r="C270" t="s">
        <v>23</v>
      </c>
      <c r="D270" t="str">
        <f>HYPERLINK("https://us2.cloudbeds.com/connect/10074733072513#/reservations/30687207645363?display=Jamie%20Deatley&amp;reservation_id=30687207645363&amp;guest_id=30687198564583", "Jamie Deatley")</f>
        <v>Jamie Deatley</v>
      </c>
      <c r="E270" t="s">
        <v>2943</v>
      </c>
      <c r="F270" t="s">
        <v>2724</v>
      </c>
      <c r="G270">
        <v>536.4</v>
      </c>
      <c r="H270">
        <v>583.04</v>
      </c>
      <c r="I270">
        <v>583.07000000000005</v>
      </c>
      <c r="J270">
        <v>-0.03</v>
      </c>
    </row>
    <row r="271" spans="1:10" x14ac:dyDescent="0.3">
      <c r="A271" t="str">
        <f>HYPERLINK("https://us2.cloudbeds.com/connect/10074733072513#/reservations/30678404178116?display=YQRMB0H61&amp;reservation_id=30678404178116", "YQRMB0H61")</f>
        <v>YQRMB0H61</v>
      </c>
      <c r="B271" t="s">
        <v>10</v>
      </c>
      <c r="C271" t="s">
        <v>11</v>
      </c>
      <c r="D271" t="str">
        <f>HYPERLINK("https://us2.cloudbeds.com/connect/10074733072513#/reservations/30678404178116?display=Randy%20Buchite&amp;reservation_id=30678404178116&amp;guest_id=30678391726241", "Randy Buchite")</f>
        <v>Randy Buchite</v>
      </c>
      <c r="E271" t="s">
        <v>2955</v>
      </c>
      <c r="F271" t="s">
        <v>2936</v>
      </c>
      <c r="G271">
        <v>209.28</v>
      </c>
      <c r="H271">
        <v>227.46</v>
      </c>
      <c r="I271">
        <v>227.49</v>
      </c>
      <c r="J271">
        <v>-0.03</v>
      </c>
    </row>
    <row r="272" spans="1:10" x14ac:dyDescent="0.3">
      <c r="A272" t="str">
        <f>HYPERLINK("https://us2.cloudbeds.com/connect/10074733072513#/reservations/30686253605068?display=YR0ZTSD2R&amp;reservation_id=30686253605068", "YR0ZTSD2R")</f>
        <v>YR0ZTSD2R</v>
      </c>
      <c r="B272" t="s">
        <v>10</v>
      </c>
      <c r="C272" t="s">
        <v>42</v>
      </c>
      <c r="D272" t="str">
        <f>HYPERLINK("https://us2.cloudbeds.com/connect/10074733072513#/reservations/30686253605068?display=Barb%20Myking&amp;reservation_id=30686253605068&amp;guest_id=30686246613170", "Barb Myking")</f>
        <v>Barb Myking</v>
      </c>
      <c r="E272" t="s">
        <v>2958</v>
      </c>
      <c r="F272" t="s">
        <v>2959</v>
      </c>
      <c r="G272">
        <v>476</v>
      </c>
      <c r="H272">
        <v>517.38</v>
      </c>
      <c r="I272">
        <v>517.41</v>
      </c>
      <c r="J272">
        <v>-0.03</v>
      </c>
    </row>
    <row r="273" spans="1:10" x14ac:dyDescent="0.3">
      <c r="A273" t="str">
        <f>HYPERLINK("https://us2.cloudbeds.com/connect/10074733072513#/reservations/30676830834918?display=YQQF4AUJE&amp;reservation_id=30676830834918", "YQQF4AUJE")</f>
        <v>YQQF4AUJE</v>
      </c>
      <c r="B273" t="s">
        <v>10</v>
      </c>
      <c r="C273" t="s">
        <v>23</v>
      </c>
      <c r="D273" t="str">
        <f>HYPERLINK("https://us2.cloudbeds.com/connect/10074733072513#/reservations/30676830834918?display=Cynthia%20Warner&amp;reservation_id=30676830834918&amp;guest_id=30676830834914", "Cynthia Warner")</f>
        <v>Cynthia Warner</v>
      </c>
      <c r="E273" t="s">
        <v>2961</v>
      </c>
      <c r="F273" t="s">
        <v>2851</v>
      </c>
      <c r="G273">
        <v>545.4</v>
      </c>
      <c r="H273">
        <v>592.82000000000005</v>
      </c>
      <c r="I273">
        <v>592.85</v>
      </c>
      <c r="J273">
        <v>-0.03</v>
      </c>
    </row>
    <row r="274" spans="1:10" x14ac:dyDescent="0.3">
      <c r="A274" t="str">
        <f>HYPERLINK("https://us2.cloudbeds.com/connect/10074733072513#/reservations/30685828051143?display=YR0E10Z4B&amp;reservation_id=30685828051143", "YR0E10Z4B")</f>
        <v>YR0E10Z4B</v>
      </c>
      <c r="B274" t="s">
        <v>10</v>
      </c>
      <c r="C274" t="s">
        <v>42</v>
      </c>
      <c r="D274" t="str">
        <f>HYPERLINK("https://us2.cloudbeds.com/connect/10074733072513#/reservations/30685828051143?display=Jennifer%20Hegg&amp;reservation_id=30685828051143&amp;guest_id=30685823103114", "Jennifer Hegg")</f>
        <v>Jennifer Hegg</v>
      </c>
      <c r="E274" t="s">
        <v>2965</v>
      </c>
      <c r="F274" t="s">
        <v>2682</v>
      </c>
      <c r="G274">
        <v>476</v>
      </c>
      <c r="H274">
        <v>517.38</v>
      </c>
      <c r="I274">
        <v>517.41</v>
      </c>
      <c r="J274">
        <v>-0.03</v>
      </c>
    </row>
    <row r="275" spans="1:10" x14ac:dyDescent="0.3">
      <c r="A275" t="str">
        <f>HYPERLINK("https://us2.cloudbeds.com/connect/10074733072513#/reservations/30677069770904?display=YQQY7QM6S&amp;reservation_id=30677069770904", "YQQY7QM6S")</f>
        <v>YQQY7QM6S</v>
      </c>
      <c r="B275" t="s">
        <v>10</v>
      </c>
      <c r="C275" t="s">
        <v>42</v>
      </c>
      <c r="D275" t="str">
        <f>HYPERLINK("https://us2.cloudbeds.com/connect/10074733072513#/reservations/30677069770904?display=Ashley%20Kirchner&amp;reservation_id=30677069770904&amp;guest_id=30677069770890", "Ashley Kirchner")</f>
        <v>Ashley Kirchner</v>
      </c>
      <c r="E275" t="s">
        <v>3011</v>
      </c>
      <c r="F275" t="s">
        <v>2812</v>
      </c>
      <c r="G275">
        <v>516</v>
      </c>
      <c r="H275">
        <v>560.86</v>
      </c>
      <c r="I275">
        <v>560.89</v>
      </c>
      <c r="J275">
        <v>-0.03</v>
      </c>
    </row>
    <row r="276" spans="1:10" x14ac:dyDescent="0.3">
      <c r="A276" t="str">
        <f>HYPERLINK("https://us2.cloudbeds.com/connect/10074733072513#/reservations/30677724782740?display=YQR4W4BAC&amp;reservation_id=30677724782740", "YQR4W4BAC")</f>
        <v>YQR4W4BAC</v>
      </c>
      <c r="B276" t="s">
        <v>10</v>
      </c>
      <c r="C276" t="s">
        <v>42</v>
      </c>
      <c r="D276" t="str">
        <f>HYPERLINK("https://us2.cloudbeds.com/connect/10074733072513#/reservations/30677724782740?display=Frias%20&amp;%20Ivan%20Cryo&amp;reservation_id=30677724782740&amp;guest_id=30677718102269", "Frias &amp; Ivan Cryo")</f>
        <v>Frias &amp; Ivan Cryo</v>
      </c>
      <c r="E276" t="s">
        <v>3018</v>
      </c>
      <c r="F276" t="s">
        <v>2980</v>
      </c>
      <c r="G276">
        <v>276</v>
      </c>
      <c r="H276">
        <v>299.98</v>
      </c>
      <c r="I276">
        <v>300.01</v>
      </c>
      <c r="J276">
        <v>-0.03</v>
      </c>
    </row>
    <row r="277" spans="1:10" x14ac:dyDescent="0.3">
      <c r="A277" t="str">
        <f>HYPERLINK("https://us2.cloudbeds.com/connect/10074733072513#/reservations/30677710196892?display=YQR4JRFGW&amp;reservation_id=30677710196892", "YQR4JRFGW")</f>
        <v>YQR4JRFGW</v>
      </c>
      <c r="B277" t="s">
        <v>10</v>
      </c>
      <c r="C277" t="s">
        <v>42</v>
      </c>
      <c r="D277" t="str">
        <f>HYPERLINK("https://us2.cloudbeds.com/connect/10074733072513#/reservations/30677710196892?display=Bill%20Cryo&amp;reservation_id=30677710196892&amp;guest_id=30677710196880", "Bill Cryo")</f>
        <v>Bill Cryo</v>
      </c>
      <c r="E277" t="s">
        <v>3019</v>
      </c>
      <c r="F277" t="s">
        <v>2980</v>
      </c>
      <c r="G277">
        <v>276</v>
      </c>
      <c r="H277">
        <v>299.98</v>
      </c>
      <c r="I277">
        <v>300.01</v>
      </c>
      <c r="J277">
        <v>-0.03</v>
      </c>
    </row>
    <row r="278" spans="1:10" x14ac:dyDescent="0.3">
      <c r="A278" t="str">
        <f>HYPERLINK("https://us2.cloudbeds.com/connect/10074733072513#/reservations/30677693010141?display=YQR45B7CB&amp;reservation_id=30677693010141", "YQR45B7CB")</f>
        <v>YQR45B7CB</v>
      </c>
      <c r="B278" t="s">
        <v>10</v>
      </c>
      <c r="C278" t="s">
        <v>42</v>
      </c>
      <c r="D278" t="str">
        <f>HYPERLINK("https://us2.cloudbeds.com/connect/10074733072513#/reservations/30677693010141?display=Miguel%20Cryo&amp;reservation_id=30677693010141&amp;guest_id=30677693010135", "Miguel Cryo")</f>
        <v>Miguel Cryo</v>
      </c>
      <c r="E278" t="s">
        <v>3020</v>
      </c>
      <c r="F278" t="s">
        <v>2980</v>
      </c>
      <c r="G278">
        <v>276</v>
      </c>
      <c r="H278">
        <v>299.98</v>
      </c>
      <c r="I278">
        <v>300.01</v>
      </c>
      <c r="J278">
        <v>-0.03</v>
      </c>
    </row>
    <row r="279" spans="1:10" x14ac:dyDescent="0.3">
      <c r="A279" t="str">
        <f>HYPERLINK("https://us2.cloudbeds.com/connect/10074733072513#/reservations/30677678452895?display=YQR3Q24RM&amp;reservation_id=30677678452895", "YQR3Q24RM")</f>
        <v>YQR3Q24RM</v>
      </c>
      <c r="B279" t="s">
        <v>10</v>
      </c>
      <c r="C279" t="s">
        <v>42</v>
      </c>
      <c r="D279" t="str">
        <f>HYPERLINK("https://us2.cloudbeds.com/connect/10074733072513#/reservations/30677678452895?display=Joe%20Cryo&amp;reservation_id=30677678452895&amp;guest_id=30677678452890", "Joe Cryo")</f>
        <v>Joe Cryo</v>
      </c>
      <c r="E279" t="s">
        <v>3021</v>
      </c>
      <c r="F279" t="s">
        <v>2980</v>
      </c>
      <c r="G279">
        <v>276</v>
      </c>
      <c r="H279">
        <v>299.98</v>
      </c>
      <c r="I279">
        <v>300.01</v>
      </c>
      <c r="J279">
        <v>-0.03</v>
      </c>
    </row>
    <row r="280" spans="1:10" x14ac:dyDescent="0.3">
      <c r="A280" t="str">
        <f>HYPERLINK("https://us2.cloudbeds.com/connect/10074733072513#/reservations/30677384851627?display=YQQT9G8HX&amp;reservation_id=30677384851627", "YQQT9G8HX")</f>
        <v>YQQT9G8HX</v>
      </c>
      <c r="B280" t="s">
        <v>10</v>
      </c>
      <c r="C280" t="s">
        <v>42</v>
      </c>
      <c r="D280" t="str">
        <f>HYPERLINK("https://us2.cloudbeds.com/connect/10074733072513#/reservations/30677384851627?display=Brent%20Cryo&amp;reservation_id=30677384851627&amp;guest_id=30677384851607", "Brent Cryo")</f>
        <v>Brent Cryo</v>
      </c>
      <c r="E280" t="s">
        <v>3024</v>
      </c>
      <c r="F280" t="s">
        <v>2980</v>
      </c>
      <c r="G280">
        <v>276</v>
      </c>
      <c r="H280">
        <v>299.98</v>
      </c>
      <c r="I280">
        <v>300.01</v>
      </c>
      <c r="J280">
        <v>-0.03</v>
      </c>
    </row>
    <row r="281" spans="1:10" x14ac:dyDescent="0.3">
      <c r="A281" t="str">
        <f>HYPERLINK("https://us2.cloudbeds.com/connect/10074733072513#/reservations/30677370155240?display=YQQSU3A7G&amp;reservation_id=30677370155240", "YQQSU3A7G")</f>
        <v>YQQSU3A7G</v>
      </c>
      <c r="B281" t="s">
        <v>10</v>
      </c>
      <c r="C281" t="s">
        <v>42</v>
      </c>
      <c r="D281" t="str">
        <f>HYPERLINK("https://us2.cloudbeds.com/connect/10074733072513#/reservations/30677370155240?display=Romeo%20Cryo&amp;reservation_id=30677370155240&amp;guest_id=30677370155237", "Romeo Cryo")</f>
        <v>Romeo Cryo</v>
      </c>
      <c r="E281" t="s">
        <v>3025</v>
      </c>
      <c r="F281" t="s">
        <v>2980</v>
      </c>
      <c r="G281">
        <v>276</v>
      </c>
      <c r="H281">
        <v>299.98</v>
      </c>
      <c r="I281">
        <v>300.01</v>
      </c>
      <c r="J281">
        <v>-0.03</v>
      </c>
    </row>
    <row r="282" spans="1:10" x14ac:dyDescent="0.3">
      <c r="A282" t="str">
        <f>HYPERLINK("https://us2.cloudbeds.com/connect/10074733072513#/reservations/30677365272769?display=YQQSPWEPR&amp;reservation_id=30677365272769", "YQQSPWEPR")</f>
        <v>YQQSPWEPR</v>
      </c>
      <c r="B282" t="s">
        <v>10</v>
      </c>
      <c r="C282" t="s">
        <v>42</v>
      </c>
      <c r="D282" t="str">
        <f>HYPERLINK("https://us2.cloudbeds.com/connect/10074733072513#/reservations/30677365272769?display=Mario%20&amp;%20Andy%20Cryo&amp;reservation_id=30677365272769&amp;guest_id=30677354709143", "Mario &amp; Andy Cryo")</f>
        <v>Mario &amp; Andy Cryo</v>
      </c>
      <c r="E282" t="s">
        <v>3026</v>
      </c>
      <c r="F282" t="s">
        <v>2980</v>
      </c>
      <c r="G282">
        <v>276</v>
      </c>
      <c r="H282">
        <v>299.98</v>
      </c>
      <c r="I282">
        <v>300.01</v>
      </c>
      <c r="J282">
        <v>-0.03</v>
      </c>
    </row>
    <row r="283" spans="1:10" x14ac:dyDescent="0.3">
      <c r="A283" t="str">
        <f>HYPERLINK("https://us2.cloudbeds.com/connect/10074733072513#/reservations/30677347041411?display=YQQSAK4DE&amp;reservation_id=30677347041411", "YQQSAK4DE")</f>
        <v>YQQSAK4DE</v>
      </c>
      <c r="B283" t="s">
        <v>10</v>
      </c>
      <c r="C283" t="s">
        <v>42</v>
      </c>
      <c r="D283" t="str">
        <f>HYPERLINK("https://us2.cloudbeds.com/connect/10074733072513#/reservations/30677347041411?display=Alejandro%20&amp;%20James%20Cryo&amp;reservation_id=30677347041411&amp;guest_id=30677347037373", "Alejandro &amp; James Cryo")</f>
        <v>Alejandro &amp; James Cryo</v>
      </c>
      <c r="E283" t="s">
        <v>3027</v>
      </c>
      <c r="F283" t="s">
        <v>2980</v>
      </c>
      <c r="G283">
        <v>276</v>
      </c>
      <c r="H283">
        <v>299.98</v>
      </c>
      <c r="I283">
        <v>300.01</v>
      </c>
      <c r="J283">
        <v>-0.03</v>
      </c>
    </row>
    <row r="284" spans="1:10" x14ac:dyDescent="0.3">
      <c r="A284" t="str">
        <f>HYPERLINK("https://us2.cloudbeds.com/connect/10074733072513#/reservations/30677341999323?display=YQQS6BRCT&amp;reservation_id=30677341999323", "YQQS6BRCT")</f>
        <v>YQQS6BRCT</v>
      </c>
      <c r="B284" t="s">
        <v>10</v>
      </c>
      <c r="C284" t="s">
        <v>42</v>
      </c>
      <c r="D284" t="str">
        <f>HYPERLINK("https://us2.cloudbeds.com/connect/10074733072513#/reservations/30677341999323?display=Cliff%20&amp;%20Omar%20Cryo&amp;reservation_id=30677341999323&amp;guest_id=30677334225086", "Cliff &amp; Omar Cryo")</f>
        <v>Cliff &amp; Omar Cryo</v>
      </c>
      <c r="E284" t="s">
        <v>3028</v>
      </c>
      <c r="F284" t="s">
        <v>2980</v>
      </c>
      <c r="G284">
        <v>276</v>
      </c>
      <c r="H284">
        <v>299.98</v>
      </c>
      <c r="I284">
        <v>300.01</v>
      </c>
      <c r="J284">
        <v>-0.03</v>
      </c>
    </row>
    <row r="285" spans="1:10" x14ac:dyDescent="0.3">
      <c r="A285" t="str">
        <f>HYPERLINK("https://us2.cloudbeds.com/connect/10074733072513#/reservations/30677313630349?display=YQQRFEDU0&amp;reservation_id=30677313630349", "YQQRFEDU0")</f>
        <v>YQQRFEDU0</v>
      </c>
      <c r="B285" t="s">
        <v>10</v>
      </c>
      <c r="C285" t="s">
        <v>42</v>
      </c>
      <c r="D285" t="str">
        <f>HYPERLINK("https://us2.cloudbeds.com/connect/10074733072513#/reservations/30677313630349?display=Jose%20Sr%20&amp;%20Raul%20Cryo&amp;reservation_id=30677313630349&amp;guest_id=30677313626265", "Jose Sr &amp; Raul Cryo")</f>
        <v>Jose Sr &amp; Raul Cryo</v>
      </c>
      <c r="E285" t="s">
        <v>3029</v>
      </c>
      <c r="F285" t="s">
        <v>2980</v>
      </c>
      <c r="G285">
        <v>276</v>
      </c>
      <c r="H285">
        <v>299.98</v>
      </c>
      <c r="I285">
        <v>300.01</v>
      </c>
      <c r="J285">
        <v>-0.03</v>
      </c>
    </row>
    <row r="286" spans="1:10" x14ac:dyDescent="0.3">
      <c r="A286" t="str">
        <f>HYPERLINK("https://us2.cloudbeds.com/connect/10074733072513#/reservations/30677301076183?display=YQQR4S2ZZ&amp;reservation_id=30677301076183", "YQQR4S2ZZ")</f>
        <v>YQQR4S2ZZ</v>
      </c>
      <c r="B286" t="s">
        <v>10</v>
      </c>
      <c r="C286" t="s">
        <v>42</v>
      </c>
      <c r="D286" t="str">
        <f>HYPERLINK("https://us2.cloudbeds.com/connect/10074733072513#/reservations/30677301076183?display=Manuel%20&amp;%20Kevin%20Cryo&amp;reservation_id=30677301076183&amp;guest_id=30677301076178", "Manuel &amp; Kevin Cryo")</f>
        <v>Manuel &amp; Kevin Cryo</v>
      </c>
      <c r="E286" t="s">
        <v>3030</v>
      </c>
      <c r="F286" t="s">
        <v>2980</v>
      </c>
      <c r="G286">
        <v>276</v>
      </c>
      <c r="H286">
        <v>299.98</v>
      </c>
      <c r="I286">
        <v>300.01</v>
      </c>
      <c r="J286">
        <v>-0.03</v>
      </c>
    </row>
    <row r="287" spans="1:10" x14ac:dyDescent="0.3">
      <c r="A287" t="str">
        <f>HYPERLINK("https://us2.cloudbeds.com/connect/10074733072513#/reservations/30677297778924?display=YQQR22AVQ&amp;reservation_id=30677297778924", "YQQR22AVQ")</f>
        <v>YQQR22AVQ</v>
      </c>
      <c r="B287" t="s">
        <v>10</v>
      </c>
      <c r="C287" t="s">
        <v>42</v>
      </c>
      <c r="D287" t="str">
        <f>HYPERLINK("https://us2.cloudbeds.com/connect/10074733072513#/reservations/30677297778924?display=Oscar%20&amp;%20Azuel%20Cryo&amp;reservation_id=30677297778924&amp;guest_id=30677290160272", "Oscar &amp; Azuel Cryo")</f>
        <v>Oscar &amp; Azuel Cryo</v>
      </c>
      <c r="E287" t="s">
        <v>3031</v>
      </c>
      <c r="F287" t="s">
        <v>2980</v>
      </c>
      <c r="G287">
        <v>276</v>
      </c>
      <c r="H287">
        <v>299.98</v>
      </c>
      <c r="I287">
        <v>300.01</v>
      </c>
      <c r="J287">
        <v>-0.03</v>
      </c>
    </row>
    <row r="288" spans="1:10" x14ac:dyDescent="0.3">
      <c r="A288" t="str">
        <f>HYPERLINK("https://us2.cloudbeds.com/connect/10074733072513#/reservations/30677283762350?display=YQQQN89U4&amp;reservation_id=30677283762350", "YQQQN89U4")</f>
        <v>YQQQN89U4</v>
      </c>
      <c r="B288" t="s">
        <v>10</v>
      </c>
      <c r="C288" t="s">
        <v>42</v>
      </c>
      <c r="D288" t="str">
        <f>HYPERLINK("https://us2.cloudbeds.com/connect/10074733072513#/reservations/30677283762350?display=Jason%20&amp;%20Marquis%20Cryo&amp;reservation_id=30677283762350&amp;guest_id=30677283762336", "Jason &amp; Marquis Cryo")</f>
        <v>Jason &amp; Marquis Cryo</v>
      </c>
      <c r="E288" t="s">
        <v>3032</v>
      </c>
      <c r="F288" t="s">
        <v>2980</v>
      </c>
      <c r="G288">
        <v>276</v>
      </c>
      <c r="H288">
        <v>299.98</v>
      </c>
      <c r="I288">
        <v>300.01</v>
      </c>
      <c r="J288">
        <v>-0.03</v>
      </c>
    </row>
    <row r="289" spans="1:10" x14ac:dyDescent="0.3">
      <c r="A289" t="str">
        <f>HYPERLINK("https://us2.cloudbeds.com/connect/10074733072513#/reservations/30677176701112?display=YQQNVW5D6&amp;reservation_id=30677176701112", "YQQNVW5D6")</f>
        <v>YQQNVW5D6</v>
      </c>
      <c r="B289" t="s">
        <v>10</v>
      </c>
      <c r="C289" t="s">
        <v>42</v>
      </c>
      <c r="D289" t="str">
        <f>HYPERLINK("https://us2.cloudbeds.com/connect/10074733072513#/reservations/30677176701112?display=Eddy%20&amp;%20Isaac%20Cryo&amp;reservation_id=30677176701112&amp;guest_id=30677176701107", "Eddy &amp; Isaac Cryo")</f>
        <v>Eddy &amp; Isaac Cryo</v>
      </c>
      <c r="E289" t="s">
        <v>3033</v>
      </c>
      <c r="F289" t="s">
        <v>2980</v>
      </c>
      <c r="G289">
        <v>276</v>
      </c>
      <c r="H289">
        <v>299.98</v>
      </c>
      <c r="I289">
        <v>300.01</v>
      </c>
      <c r="J289">
        <v>-0.03</v>
      </c>
    </row>
    <row r="290" spans="1:10" x14ac:dyDescent="0.3">
      <c r="A290" t="str">
        <f>HYPERLINK("https://us2.cloudbeds.com/connect/10074733072513#/reservations/30677163512061?display=YQQNKS57W&amp;reservation_id=30677163512061", "YQQNKS57W")</f>
        <v>YQQNKS57W</v>
      </c>
      <c r="B290" t="s">
        <v>10</v>
      </c>
      <c r="C290" t="s">
        <v>42</v>
      </c>
      <c r="D290" t="str">
        <f>HYPERLINK("https://us2.cloudbeds.com/connect/10074733072513#/reservations/30677163512061?display=Andre%20&amp;%20Sebastian%20Cryo&amp;reservation_id=30677163512061&amp;guest_id=30677163512058", "Andre &amp; Sebastian Cryo")</f>
        <v>Andre &amp; Sebastian Cryo</v>
      </c>
      <c r="E290" t="s">
        <v>3034</v>
      </c>
      <c r="F290" t="s">
        <v>2980</v>
      </c>
      <c r="G290">
        <v>276</v>
      </c>
      <c r="H290">
        <v>299.98</v>
      </c>
      <c r="I290">
        <v>300.01</v>
      </c>
      <c r="J290">
        <v>-0.03</v>
      </c>
    </row>
    <row r="291" spans="1:10" x14ac:dyDescent="0.3">
      <c r="A291" t="str">
        <f>HYPERLINK("https://us2.cloudbeds.com/connect/10074733072513#/reservations/30677156864215?display=YQQNF85N3&amp;reservation_id=30677156864215", "YQQNF85N3")</f>
        <v>YQQNF85N3</v>
      </c>
      <c r="B291" t="s">
        <v>10</v>
      </c>
      <c r="C291" t="s">
        <v>42</v>
      </c>
      <c r="D291" t="str">
        <f>HYPERLINK("https://us2.cloudbeds.com/connect/10074733072513#/reservations/30677156864215?display=Jesse%20&amp;%20Francisco%20Cryo&amp;reservation_id=30677156864215&amp;guest_id=30677148164224", "Jesse &amp; Francisco Cryo")</f>
        <v>Jesse &amp; Francisco Cryo</v>
      </c>
      <c r="E291" t="s">
        <v>3035</v>
      </c>
      <c r="F291" t="s">
        <v>2980</v>
      </c>
      <c r="G291">
        <v>276</v>
      </c>
      <c r="H291">
        <v>299.98</v>
      </c>
      <c r="I291">
        <v>300.01</v>
      </c>
      <c r="J291">
        <v>-0.03</v>
      </c>
    </row>
    <row r="292" spans="1:10" x14ac:dyDescent="0.3">
      <c r="A292" t="str">
        <f>HYPERLINK("https://us2.cloudbeds.com/connect/10074733072513#/reservations/30677139665119?display=YQQN0ZJ7C&amp;reservation_id=30677139665119", "YQQN0ZJ7C")</f>
        <v>YQQN0ZJ7C</v>
      </c>
      <c r="B292" t="s">
        <v>10</v>
      </c>
      <c r="C292" t="s">
        <v>42</v>
      </c>
      <c r="D292" t="str">
        <f>HYPERLINK("https://us2.cloudbeds.com/connect/10074733072513#/reservations/30677139665119?display=Brett%20&amp;%20Anthony%20Cryo&amp;reservation_id=30677139665119&amp;guest_id=30677139665117", "Brett &amp; Anthony Cryo")</f>
        <v>Brett &amp; Anthony Cryo</v>
      </c>
      <c r="E292" t="s">
        <v>3036</v>
      </c>
      <c r="F292" t="s">
        <v>2980</v>
      </c>
      <c r="G292">
        <v>276</v>
      </c>
      <c r="H292">
        <v>299.98</v>
      </c>
      <c r="I292">
        <v>300.01</v>
      </c>
      <c r="J292">
        <v>-0.03</v>
      </c>
    </row>
    <row r="293" spans="1:10" x14ac:dyDescent="0.3">
      <c r="A293" t="str">
        <f>HYPERLINK("https://us2.cloudbeds.com/connect/10074733072513#/reservations/30677124497565?display=YQQMKVH8H&amp;reservation_id=30677124497565", "YQQMKVH8H")</f>
        <v>YQQMKVH8H</v>
      </c>
      <c r="B293" t="s">
        <v>10</v>
      </c>
      <c r="C293" t="s">
        <v>42</v>
      </c>
      <c r="D293" t="str">
        <f>HYPERLINK("https://us2.cloudbeds.com/connect/10074733072513#/reservations/30677124497565?display=Eduardo%20&amp;%20Jesus%20Cryo&amp;reservation_id=30677124497565&amp;guest_id=30677124493474", "Eduardo &amp; Jesus Cryo")</f>
        <v>Eduardo &amp; Jesus Cryo</v>
      </c>
      <c r="E293" t="s">
        <v>3037</v>
      </c>
      <c r="F293" t="s">
        <v>2980</v>
      </c>
      <c r="G293">
        <v>276</v>
      </c>
      <c r="H293">
        <v>299.98</v>
      </c>
      <c r="I293">
        <v>300.01</v>
      </c>
      <c r="J293">
        <v>-0.03</v>
      </c>
    </row>
    <row r="294" spans="1:10" x14ac:dyDescent="0.3">
      <c r="A294" t="str">
        <f>HYPERLINK("https://us2.cloudbeds.com/connect/10074733072513#/reservations/30677123375232?display=YQQMAYY97&amp;reservation_id=30677123375232", "YQQMAYY97")</f>
        <v>YQQMAYY97</v>
      </c>
      <c r="B294" t="s">
        <v>10</v>
      </c>
      <c r="C294" t="s">
        <v>42</v>
      </c>
      <c r="D294" t="str">
        <f>HYPERLINK("https://us2.cloudbeds.com/connect/10074733072513#/reservations/30677123375232?display=Jose%20&amp;%20Milton%20Cryo&amp;reservation_id=30677123375232&amp;guest_id=30677112283361", "Jose &amp; Milton Cryo")</f>
        <v>Jose &amp; Milton Cryo</v>
      </c>
      <c r="E294" t="s">
        <v>3038</v>
      </c>
      <c r="F294" t="s">
        <v>2980</v>
      </c>
      <c r="G294">
        <v>276</v>
      </c>
      <c r="H294">
        <v>299.98</v>
      </c>
      <c r="I294">
        <v>300.01</v>
      </c>
      <c r="J294">
        <v>-0.03</v>
      </c>
    </row>
    <row r="295" spans="1:10" x14ac:dyDescent="0.3">
      <c r="A295" t="str">
        <f>HYPERLINK("https://us2.cloudbeds.com/connect/10074733072513#/reservations/30677736612090?display=YQR593GTH&amp;reservation_id=30677736612090", "YQR593GTH")</f>
        <v>YQR593GTH</v>
      </c>
      <c r="B295" t="s">
        <v>10</v>
      </c>
      <c r="C295" t="s">
        <v>42</v>
      </c>
      <c r="D295" t="str">
        <f>HYPERLINK("https://us2.cloudbeds.com/connect/10074733072513#/reservations/30677736612090?display=Fenando%20&amp;%20Juan%20Cryo&amp;reservation_id=30677736612090&amp;guest_id=30677724786848", "Fenando &amp; Juan Cryo")</f>
        <v>Fenando &amp; Juan Cryo</v>
      </c>
      <c r="E295" t="s">
        <v>3057</v>
      </c>
      <c r="F295" t="s">
        <v>2980</v>
      </c>
      <c r="G295">
        <v>276</v>
      </c>
      <c r="H295">
        <v>299.98</v>
      </c>
      <c r="I295">
        <v>300.01</v>
      </c>
      <c r="J295">
        <v>-0.03</v>
      </c>
    </row>
    <row r="296" spans="1:10" x14ac:dyDescent="0.3">
      <c r="A296" t="str">
        <f>HYPERLINK("https://us2.cloudbeds.com/connect/10074733072513#/reservations/30677763440845?display=YQR5VZ213&amp;reservation_id=30677763440845", "YQR5VZ213")</f>
        <v>YQR5VZ213</v>
      </c>
      <c r="B296" t="s">
        <v>10</v>
      </c>
      <c r="C296" t="s">
        <v>14</v>
      </c>
      <c r="D296" t="str">
        <f>HYPERLINK("https://us2.cloudbeds.com/connect/10074733072513#/reservations/30677763440845?display=Colleen%20Schultz-Herman&amp;reservation_id=30677763440845&amp;guest_id=30664420536558", "Colleen Schultz-Herman")</f>
        <v>Colleen Schultz-Herman</v>
      </c>
      <c r="E296" t="s">
        <v>3058</v>
      </c>
      <c r="F296" t="s">
        <v>3059</v>
      </c>
      <c r="G296">
        <v>413.63</v>
      </c>
      <c r="H296">
        <v>449.59</v>
      </c>
      <c r="I296">
        <v>449.62</v>
      </c>
      <c r="J296">
        <v>-0.03</v>
      </c>
    </row>
    <row r="297" spans="1:10" x14ac:dyDescent="0.3">
      <c r="A297" t="str">
        <f>HYPERLINK("https://us2.cloudbeds.com/connect/10074733072513#/reservations/31678117068931?display=MH9PADCUZ&amp;reservation_id=31678117068931", "MH9PADCUZ")</f>
        <v>MH9PADCUZ</v>
      </c>
      <c r="B297" t="s">
        <v>10</v>
      </c>
      <c r="C297" t="s">
        <v>42</v>
      </c>
      <c r="D297" t="str">
        <f>HYPERLINK("https://us2.cloudbeds.com/connect/10074733072513#/reservations/31678117068931?display=Jacob%20Thovson&amp;reservation_id=31678117068931&amp;guest_id=31678117064836", "Jacob Thovson")</f>
        <v>Jacob Thovson</v>
      </c>
      <c r="E297" t="s">
        <v>3060</v>
      </c>
      <c r="F297" t="s">
        <v>3061</v>
      </c>
      <c r="G297">
        <v>516</v>
      </c>
      <c r="H297">
        <v>560.86</v>
      </c>
      <c r="I297">
        <v>560.89</v>
      </c>
      <c r="J297">
        <v>-0.03</v>
      </c>
    </row>
    <row r="298" spans="1:10" x14ac:dyDescent="0.3">
      <c r="A298" t="str">
        <f>HYPERLINK("https://us2.cloudbeds.com/connect/10074733072513#/reservations/30677458579668?display=YQQV5YS1K&amp;reservation_id=30677458579668", "YQQV5YS1K")</f>
        <v>YQQV5YS1K</v>
      </c>
      <c r="B298" t="s">
        <v>10</v>
      </c>
      <c r="C298" t="s">
        <v>42</v>
      </c>
      <c r="D298" t="str">
        <f>HYPERLINK("https://us2.cloudbeds.com/connect/10074733072513#/reservations/30677458579668?display=Ceser%20Garcia&amp;reservation_id=30677458579668&amp;guest_id=30677056176283", "Ceser Garcia")</f>
        <v>Ceser Garcia</v>
      </c>
      <c r="E298" t="s">
        <v>3069</v>
      </c>
      <c r="F298" t="s">
        <v>3059</v>
      </c>
      <c r="G298">
        <v>316</v>
      </c>
      <c r="H298">
        <v>343.46</v>
      </c>
      <c r="I298">
        <v>343.49</v>
      </c>
      <c r="J298">
        <v>-0.03</v>
      </c>
    </row>
    <row r="299" spans="1:10" x14ac:dyDescent="0.3">
      <c r="A299" t="str">
        <f>HYPERLINK("https://us2.cloudbeds.com/connect/10074733072513#/reservations/30678265417892?display=YQRXQ0AAP&amp;reservation_id=30678265417892", "YQRXQ0AAP")</f>
        <v>YQRXQ0AAP</v>
      </c>
      <c r="B299" t="s">
        <v>10</v>
      </c>
      <c r="C299" t="s">
        <v>42</v>
      </c>
      <c r="D299" t="str">
        <f>HYPERLINK("https://us2.cloudbeds.com/connect/10074733072513#/reservations/30678265417892?display=Cherien%20Kimball&amp;reservation_id=30678265417892&amp;guest_id=30678259507338", "Cherien Kimball")</f>
        <v>Cherien Kimball</v>
      </c>
      <c r="E299" t="s">
        <v>3070</v>
      </c>
      <c r="F299" t="s">
        <v>2843</v>
      </c>
      <c r="G299">
        <v>556</v>
      </c>
      <c r="H299">
        <v>604.34</v>
      </c>
      <c r="I299">
        <v>604.37</v>
      </c>
      <c r="J299">
        <v>-0.03</v>
      </c>
    </row>
    <row r="300" spans="1:10" x14ac:dyDescent="0.3">
      <c r="A300" t="str">
        <f>HYPERLINK("https://us2.cloudbeds.com/connect/10074733072513#/reservations/30677663437014?display=YQR3DDA4W&amp;reservation_id=30677663437014", "YQR3DDA4W")</f>
        <v>YQR3DDA4W</v>
      </c>
      <c r="B300" t="s">
        <v>10</v>
      </c>
      <c r="C300" t="s">
        <v>20</v>
      </c>
      <c r="D300" t="str">
        <f>HYPERLINK("https://us2.cloudbeds.com/connect/10074733072513#/reservations/30677663437014?display=Shane%20Meade&amp;reservation_id=30677663437014&amp;guest_id=30677663437002", "Shane Meade")</f>
        <v>Shane Meade</v>
      </c>
      <c r="E300" t="s">
        <v>3073</v>
      </c>
      <c r="F300" t="s">
        <v>2980</v>
      </c>
      <c r="G300">
        <v>224.48</v>
      </c>
      <c r="H300">
        <v>243.98</v>
      </c>
      <c r="I300">
        <v>244.01</v>
      </c>
      <c r="J300">
        <v>-0.03</v>
      </c>
    </row>
    <row r="301" spans="1:10" x14ac:dyDescent="0.3">
      <c r="A301" t="str">
        <f>HYPERLINK("https://us2.cloudbeds.com/connect/10074733072513#/reservations/30676903002270?display=YQQGW62VT&amp;reservation_id=30676903002270", "YQQGW62VT")</f>
        <v>YQQGW62VT</v>
      </c>
      <c r="B301" t="s">
        <v>10</v>
      </c>
      <c r="C301" t="s">
        <v>20</v>
      </c>
      <c r="D301" t="str">
        <f>HYPERLINK("https://us2.cloudbeds.com/connect/10074733072513#/reservations/30676903002270?display=Glen%20Brackett&amp;reservation_id=30676903002270&amp;guest_id=30676903002241", "Glen Brackett")</f>
        <v>Glen Brackett</v>
      </c>
      <c r="E301" t="s">
        <v>3074</v>
      </c>
      <c r="F301" t="s">
        <v>2717</v>
      </c>
      <c r="G301">
        <v>407</v>
      </c>
      <c r="H301">
        <v>442.38</v>
      </c>
      <c r="I301">
        <v>442.41</v>
      </c>
      <c r="J301">
        <v>-0.03</v>
      </c>
    </row>
    <row r="302" spans="1:10" x14ac:dyDescent="0.3">
      <c r="A302" t="str">
        <f>HYPERLINK("https://us2.cloudbeds.com/connect/10074733072513#/reservations/30676428001410?display=YQQ4RYG6E&amp;reservation_id=30676428001410", "YQQ4RYG6E")</f>
        <v>YQQ4RYG6E</v>
      </c>
      <c r="B302" t="s">
        <v>10</v>
      </c>
      <c r="C302" t="s">
        <v>11</v>
      </c>
      <c r="D302" t="str">
        <f>HYPERLINK("https://us2.cloudbeds.com/connect/10074733072513#/reservations/30676428001410?display=Kelly%20Bayley&amp;reservation_id=30676428001410&amp;guest_id=30676427997362", "Kelly Bayley")</f>
        <v>Kelly Bayley</v>
      </c>
      <c r="E302" t="s">
        <v>3086</v>
      </c>
      <c r="F302" t="s">
        <v>3015</v>
      </c>
      <c r="G302">
        <v>510.3</v>
      </c>
      <c r="H302">
        <v>554.66999999999996</v>
      </c>
      <c r="I302">
        <v>554.70000000000005</v>
      </c>
      <c r="J302">
        <v>-0.03</v>
      </c>
    </row>
    <row r="303" spans="1:10" x14ac:dyDescent="0.3">
      <c r="A303" t="str">
        <f>HYPERLINK("https://us2.cloudbeds.com/connect/10074733072513#/reservations/30684369023105?display=YQW9ZZ44G&amp;reservation_id=30684369023105", "YQW9ZZ44G")</f>
        <v>YQW9ZZ44G</v>
      </c>
      <c r="B303" t="s">
        <v>10</v>
      </c>
      <c r="C303" t="s">
        <v>17</v>
      </c>
      <c r="D303" t="str">
        <f>HYPERLINK("https://us2.cloudbeds.com/connect/10074733072513#/reservations/30684369023105?display=Brooks%20Bowman&amp;reservation_id=30684369023105&amp;guest_id=30684354035860", "Brooks Bowman")</f>
        <v>Brooks Bowman</v>
      </c>
      <c r="E303" t="s">
        <v>3087</v>
      </c>
      <c r="F303" t="s">
        <v>3088</v>
      </c>
      <c r="G303">
        <v>456</v>
      </c>
      <c r="H303">
        <v>495.64</v>
      </c>
      <c r="I303">
        <v>495.67</v>
      </c>
      <c r="J303">
        <v>-0.03</v>
      </c>
    </row>
    <row r="304" spans="1:10" x14ac:dyDescent="0.3">
      <c r="A304" t="str">
        <f>HYPERLINK("https://us2.cloudbeds.com/connect/10074733072513#/reservations/30685919998161?display=YR0GCX9YK&amp;reservation_id=30685919998161", "YR0GCX9YK")</f>
        <v>YR0GCX9YK</v>
      </c>
      <c r="B304" t="s">
        <v>10</v>
      </c>
      <c r="C304" t="s">
        <v>42</v>
      </c>
      <c r="D304" t="str">
        <f>HYPERLINK("https://us2.cloudbeds.com/connect/10074733072513#/reservations/30685919998161?display=Justin%20Rupp&amp;reservation_id=30685919998161&amp;guest_id=30685919994060", "Justin Rupp")</f>
        <v>Justin Rupp</v>
      </c>
      <c r="E304" t="s">
        <v>3091</v>
      </c>
      <c r="F304" t="s">
        <v>3092</v>
      </c>
      <c r="G304">
        <v>556</v>
      </c>
      <c r="H304">
        <v>604.34</v>
      </c>
      <c r="I304">
        <v>604.37</v>
      </c>
      <c r="J304">
        <v>-0.03</v>
      </c>
    </row>
    <row r="305" spans="1:10" x14ac:dyDescent="0.3">
      <c r="A305" t="str">
        <f>HYPERLINK("https://us2.cloudbeds.com/connect/10074733072513#/reservations/30685936640211?display=YR0GQJCK5&amp;reservation_id=30685936640211", "YR0GQJCK5")</f>
        <v>YR0GQJCK5</v>
      </c>
      <c r="B305" t="s">
        <v>10</v>
      </c>
      <c r="C305" t="s">
        <v>42</v>
      </c>
      <c r="D305" t="str">
        <f>HYPERLINK("https://us2.cloudbeds.com/connect/10074733072513#/reservations/30685936640211?display=Chris%20Rupp&amp;reservation_id=30685936640211&amp;guest_id=30685936640196", "Chris Rupp")</f>
        <v>Chris Rupp</v>
      </c>
      <c r="E305" t="s">
        <v>3096</v>
      </c>
      <c r="F305" t="s">
        <v>3092</v>
      </c>
      <c r="G305">
        <v>556</v>
      </c>
      <c r="H305">
        <v>604.34</v>
      </c>
      <c r="I305">
        <v>604.37</v>
      </c>
      <c r="J305">
        <v>-0.03</v>
      </c>
    </row>
    <row r="306" spans="1:10" x14ac:dyDescent="0.3">
      <c r="A306" t="str">
        <f>HYPERLINK("https://us2.cloudbeds.com/connect/10074733072513#/reservations/30677065162996?display=YQQY3UET9&amp;reservation_id=30677065162996", "YQQY3UET9")</f>
        <v>YQQY3UET9</v>
      </c>
      <c r="B306" t="s">
        <v>10</v>
      </c>
      <c r="C306" t="s">
        <v>42</v>
      </c>
      <c r="D306" t="str">
        <f>HYPERLINK("https://us2.cloudbeds.com/connect/10074733072513#/reservations/30677065162996?display=Ceser%20Garcia&amp;reservation_id=30677065162996&amp;guest_id=30677056176283", "Ceser Garcia")</f>
        <v>Ceser Garcia</v>
      </c>
      <c r="E306" t="s">
        <v>3069</v>
      </c>
      <c r="F306" t="s">
        <v>2812</v>
      </c>
      <c r="G306">
        <v>316</v>
      </c>
      <c r="H306">
        <v>343.46</v>
      </c>
      <c r="I306">
        <v>343.49</v>
      </c>
      <c r="J306">
        <v>-0.03</v>
      </c>
    </row>
    <row r="307" spans="1:10" x14ac:dyDescent="0.3">
      <c r="A307" t="str">
        <f>HYPERLINK("https://us2.cloudbeds.com/connect/10074733072513#/reservations/30677170172067?display=YQQNQFFVB&amp;reservation_id=30677170172067", "YQQNQFFVB")</f>
        <v>YQQNQFFVB</v>
      </c>
      <c r="B307" t="s">
        <v>10</v>
      </c>
      <c r="C307" t="s">
        <v>42</v>
      </c>
      <c r="D307" t="str">
        <f>HYPERLINK("https://us2.cloudbeds.com/connect/10074733072513#/reservations/30677170172067?display=Ceaser%20Garcia&amp;reservation_id=30677170172067&amp;guest_id=30677170167971", "Ceaser Garcia")</f>
        <v>Ceaser Garcia</v>
      </c>
      <c r="E307" t="s">
        <v>3124</v>
      </c>
      <c r="F307" t="s">
        <v>2717</v>
      </c>
      <c r="G307">
        <v>316</v>
      </c>
      <c r="H307">
        <v>343.46</v>
      </c>
      <c r="I307">
        <v>343.49</v>
      </c>
      <c r="J307">
        <v>-0.03</v>
      </c>
    </row>
    <row r="308" spans="1:10" x14ac:dyDescent="0.3">
      <c r="A308" t="str">
        <f>HYPERLINK("https://us2.cloudbeds.com/connect/10074733072513#/reservations/30688370294960?display=YR2CWNDKP&amp;reservation_id=30688370294960", "YR2CWNDKP")</f>
        <v>YR2CWNDKP</v>
      </c>
      <c r="B308" t="s">
        <v>10</v>
      </c>
      <c r="C308" t="s">
        <v>42</v>
      </c>
      <c r="D308" t="str">
        <f>HYPERLINK("https://us2.cloudbeds.com/connect/10074733072513#/reservations/30688370294960?display=Stacey%20Phillips&amp;reservation_id=30688370294960&amp;guest_id=30688370294954", "Stacey Phillips")</f>
        <v>Stacey Phillips</v>
      </c>
      <c r="E308" t="s">
        <v>3128</v>
      </c>
      <c r="F308" t="s">
        <v>2893</v>
      </c>
      <c r="G308">
        <v>1074.4000000000001</v>
      </c>
      <c r="H308">
        <v>1167.8399999999999</v>
      </c>
      <c r="I308">
        <v>1167.8699999999999</v>
      </c>
      <c r="J308">
        <v>-0.03</v>
      </c>
    </row>
    <row r="309" spans="1:10" x14ac:dyDescent="0.3">
      <c r="A309" t="str">
        <f>HYPERLINK("https://us2.cloudbeds.com/connect/10074733072513#/reservations/30676817137858?display=YQQEPPPV0&amp;reservation_id=30676817137858", "YQQEPPPV0")</f>
        <v>YQQEPPPV0</v>
      </c>
      <c r="B309" t="s">
        <v>10</v>
      </c>
      <c r="C309" t="s">
        <v>42</v>
      </c>
      <c r="D309" t="str">
        <f>HYPERLINK("https://us2.cloudbeds.com/connect/10074733072513#/reservations/30676817137858?display=Thomas%20Haaf&amp;reservation_id=30676817137858&amp;guest_id=30676817133767", "Thomas Haaf")</f>
        <v>Thomas Haaf</v>
      </c>
      <c r="E309" t="s">
        <v>3140</v>
      </c>
      <c r="F309" t="s">
        <v>2717</v>
      </c>
      <c r="G309">
        <v>234.45</v>
      </c>
      <c r="H309">
        <v>254.82</v>
      </c>
      <c r="I309">
        <v>254.85</v>
      </c>
      <c r="J309">
        <v>-0.03</v>
      </c>
    </row>
    <row r="310" spans="1:10" x14ac:dyDescent="0.3">
      <c r="A310" t="str">
        <f>HYPERLINK("https://us2.cloudbeds.com/connect/10074733072513#/reservations/30688605294792?display=YR2XWSKPQ&amp;reservation_id=30688605294792", "YR2XWSKPQ")</f>
        <v>YR2XWSKPQ</v>
      </c>
      <c r="B310" t="s">
        <v>10</v>
      </c>
      <c r="C310" t="s">
        <v>42</v>
      </c>
      <c r="D310" t="str">
        <f>HYPERLINK("https://us2.cloudbeds.com/connect/10074733072513#/reservations/30688605294792?display=Ceaser%20Garcia&amp;reservation_id=30688605294792&amp;guest_id=30677170167971", "Ceaser Garcia")</f>
        <v>Ceaser Garcia</v>
      </c>
      <c r="E310" t="s">
        <v>3124</v>
      </c>
      <c r="F310" t="s">
        <v>2740</v>
      </c>
      <c r="G310">
        <v>316</v>
      </c>
      <c r="H310">
        <v>343.46</v>
      </c>
      <c r="I310">
        <v>343.49</v>
      </c>
      <c r="J310">
        <v>-0.03</v>
      </c>
    </row>
    <row r="311" spans="1:10" x14ac:dyDescent="0.3">
      <c r="A311" t="str">
        <f>HYPERLINK("https://us2.cloudbeds.com/connect/10074733072513#/reservations/30685943222454?display=YR0GW4HU2&amp;reservation_id=30685943222454", "YR0GW4HU2")</f>
        <v>YR0GW4HU2</v>
      </c>
      <c r="B311" t="s">
        <v>10</v>
      </c>
      <c r="C311" t="s">
        <v>42</v>
      </c>
      <c r="D311" t="str">
        <f>HYPERLINK("https://us2.cloudbeds.com/connect/10074733072513#/reservations/30685943222454?display=Linda%20Borries&amp;reservation_id=30685943222454&amp;guest_id=30685943222449", "Linda Borries")</f>
        <v>Linda Borries</v>
      </c>
      <c r="E311" t="s">
        <v>3175</v>
      </c>
      <c r="F311" t="s">
        <v>2893</v>
      </c>
      <c r="G311">
        <v>169</v>
      </c>
      <c r="H311">
        <v>183.67</v>
      </c>
      <c r="I311">
        <v>183.7</v>
      </c>
      <c r="J311">
        <v>-0.03</v>
      </c>
    </row>
    <row r="312" spans="1:10" x14ac:dyDescent="0.3">
      <c r="A312" t="str">
        <f>HYPERLINK("https://us2.cloudbeds.com/connect/10074733072513#/reservations/30687748554917?display=YR1U3EJ4D&amp;reservation_id=30687748554917", "YR1U3EJ4D")</f>
        <v>YR1U3EJ4D</v>
      </c>
      <c r="B312" t="s">
        <v>10</v>
      </c>
      <c r="C312" t="s">
        <v>42</v>
      </c>
      <c r="D312" t="str">
        <f>HYPERLINK("https://us2.cloudbeds.com/connect/10074733072513#/reservations/30687748554917?display=Ben%20Buckeley&amp;reservation_id=30687748554917&amp;guest_id=30687734587529", "Ben Buckeley")</f>
        <v>Ben Buckeley</v>
      </c>
      <c r="E312" t="s">
        <v>3211</v>
      </c>
      <c r="F312" t="s">
        <v>3212</v>
      </c>
      <c r="G312">
        <v>436</v>
      </c>
      <c r="H312">
        <v>473.9</v>
      </c>
      <c r="I312">
        <v>473.93</v>
      </c>
      <c r="J312">
        <v>-0.03</v>
      </c>
    </row>
    <row r="313" spans="1:10" x14ac:dyDescent="0.3">
      <c r="A313" t="str">
        <f>HYPERLINK("https://us2.cloudbeds.com/connect/10074733072513#/reservations/30684194922701?display=YQW59UHAA&amp;reservation_id=30684194922701", "YQW59UHAA")</f>
        <v>YQW59UHAA</v>
      </c>
      <c r="B313" t="s">
        <v>10</v>
      </c>
      <c r="C313" t="s">
        <v>20</v>
      </c>
      <c r="D313" t="str">
        <f>HYPERLINK("https://us2.cloudbeds.com/connect/10074733072513#/reservations/30684194922701?display=Nick%20Biniek&amp;reservation_id=30684194922701&amp;guest_id=30684187603110", "Nick Biniek")</f>
        <v>Nick Biniek</v>
      </c>
      <c r="E313" t="s">
        <v>3250</v>
      </c>
      <c r="F313" t="s">
        <v>3251</v>
      </c>
      <c r="G313">
        <v>536.4</v>
      </c>
      <c r="H313">
        <v>583.04</v>
      </c>
      <c r="I313">
        <v>583.07000000000005</v>
      </c>
      <c r="J313">
        <v>-0.03</v>
      </c>
    </row>
    <row r="314" spans="1:10" x14ac:dyDescent="0.3">
      <c r="A314" t="str">
        <f>HYPERLINK("https://us2.cloudbeds.com/connect/10074733072513#/reservations/30687243145436?display=YR1H68QUJ&amp;reservation_id=30687243145436", "YR1H68QUJ")</f>
        <v>YR1H68QUJ</v>
      </c>
      <c r="B314" t="s">
        <v>10</v>
      </c>
      <c r="C314" t="s">
        <v>20</v>
      </c>
      <c r="D314" t="str">
        <f>HYPERLINK("https://us2.cloudbeds.com/connect/10074733072513#/reservations/30687243145436?display=Mwalimu%20Kaingu&amp;reservation_id=30687243145436&amp;guest_id=30687243145431", "Mwalimu Kaingu")</f>
        <v>Mwalimu Kaingu</v>
      </c>
      <c r="E314" t="s">
        <v>3259</v>
      </c>
      <c r="F314" t="s">
        <v>2805</v>
      </c>
      <c r="G314">
        <v>224.48</v>
      </c>
      <c r="H314">
        <v>243.98</v>
      </c>
      <c r="I314">
        <v>244.01</v>
      </c>
      <c r="J314">
        <v>-0.03</v>
      </c>
    </row>
    <row r="315" spans="1:10" x14ac:dyDescent="0.3">
      <c r="A315" t="str">
        <f>HYPERLINK("https://us2.cloudbeds.com/connect/10074733072513#/reservations/30687856730252?display=YR1WSYNMS&amp;reservation_id=30687856730252", "YR1WSYNMS")</f>
        <v>YR1WSYNMS</v>
      </c>
      <c r="B315" t="s">
        <v>10</v>
      </c>
      <c r="C315" t="s">
        <v>42</v>
      </c>
      <c r="D315" t="str">
        <f>HYPERLINK("https://us2.cloudbeds.com/connect/10074733072513#/reservations/30687856730252?display=Mcaden%20Kyburz&amp;reservation_id=30687856730252&amp;guest_id=30687856726160", "Mcaden Kyburz")</f>
        <v>Mcaden Kyburz</v>
      </c>
      <c r="E315" t="s">
        <v>3271</v>
      </c>
      <c r="F315" t="s">
        <v>3212</v>
      </c>
      <c r="G315">
        <v>354.45</v>
      </c>
      <c r="H315">
        <v>385.26</v>
      </c>
      <c r="I315">
        <v>385.29</v>
      </c>
      <c r="J315">
        <v>-0.03</v>
      </c>
    </row>
    <row r="316" spans="1:10" x14ac:dyDescent="0.3">
      <c r="A316" t="str">
        <f>HYPERLINK("https://us2.cloudbeds.com/connect/10074733072513#/reservations/30685881905406?display=YR0FDEA2N&amp;reservation_id=30685881905406", "YR0FDEA2N")</f>
        <v>YR0FDEA2N</v>
      </c>
      <c r="B316" t="s">
        <v>10</v>
      </c>
      <c r="C316" t="s">
        <v>42</v>
      </c>
      <c r="D316" t="str">
        <f>HYPERLINK("https://us2.cloudbeds.com/connect/10074733072513#/reservations/30685881905406?display=Joan%20Woodbury&amp;reservation_id=30685881905406&amp;guest_id=30679515160759", "Joan Woodbury")</f>
        <v>Joan Woodbury</v>
      </c>
      <c r="E316" t="s">
        <v>3305</v>
      </c>
      <c r="F316" t="s">
        <v>3306</v>
      </c>
      <c r="G316">
        <v>401.4</v>
      </c>
      <c r="H316">
        <v>436.29</v>
      </c>
      <c r="I316">
        <v>436.32</v>
      </c>
      <c r="J316">
        <v>-0.03</v>
      </c>
    </row>
    <row r="317" spans="1:10" x14ac:dyDescent="0.3">
      <c r="A317" t="str">
        <f>HYPERLINK("https://us2.cloudbeds.com/connect/10074733072513#/reservations/30688101245127?display=YR263RN8H&amp;reservation_id=30688101245127", "YR263RN8H")</f>
        <v>YR263RN8H</v>
      </c>
      <c r="B317" t="s">
        <v>10</v>
      </c>
      <c r="C317" t="s">
        <v>11</v>
      </c>
      <c r="D317" t="str">
        <f>HYPERLINK("https://us2.cloudbeds.com/connect/10074733072513#/reservations/30688101245127?display=Helen%20N%20Saha&amp;reservation_id=30688101245127&amp;guest_id=30687922032770", "Helen N Saha")</f>
        <v>Helen N Saha</v>
      </c>
      <c r="E317" t="s">
        <v>3308</v>
      </c>
      <c r="F317" t="s">
        <v>3309</v>
      </c>
      <c r="G317">
        <v>270.3</v>
      </c>
      <c r="H317">
        <v>293.79000000000002</v>
      </c>
      <c r="I317">
        <v>293.82</v>
      </c>
      <c r="J317">
        <v>-0.03</v>
      </c>
    </row>
    <row r="318" spans="1:10" x14ac:dyDescent="0.3">
      <c r="A318" t="str">
        <f>HYPERLINK("https://us2.cloudbeds.com/connect/10074733072513#/reservations/30686931619991?display=YR197J5AJ&amp;reservation_id=30686931619991", "YR197J5AJ")</f>
        <v>YR197J5AJ</v>
      </c>
      <c r="B318" t="s">
        <v>10</v>
      </c>
      <c r="C318" t="s">
        <v>23</v>
      </c>
      <c r="D318" t="str">
        <f>HYPERLINK("https://us2.cloudbeds.com/connect/10074733072513#/reservations/30686931619991?display=Denny%20Granquist&amp;reservation_id=30686931619991&amp;guest_id=30686922014973", "Denny Granquist")</f>
        <v>Denny Granquist</v>
      </c>
      <c r="E318" t="s">
        <v>3328</v>
      </c>
      <c r="F318" t="s">
        <v>3302</v>
      </c>
      <c r="G318">
        <v>596</v>
      </c>
      <c r="H318">
        <v>647.82000000000005</v>
      </c>
      <c r="I318">
        <v>647.85</v>
      </c>
      <c r="J318">
        <v>-0.03</v>
      </c>
    </row>
    <row r="319" spans="1:10" x14ac:dyDescent="0.3">
      <c r="A319" t="str">
        <f>HYPERLINK("https://us2.cloudbeds.com/connect/10074733072513#/reservations/30683068977300?display=YQV9HGEB2&amp;reservation_id=30683068977300", "YQV9HGEB2")</f>
        <v>YQV9HGEB2</v>
      </c>
      <c r="B319" t="s">
        <v>10</v>
      </c>
      <c r="C319" t="s">
        <v>42</v>
      </c>
      <c r="D319" t="str">
        <f>HYPERLINK("https://us2.cloudbeds.com/connect/10074733072513#/reservations/30683068977300?display=Beverly%20Witt&amp;reservation_id=30683068977300&amp;guest_id=30683068973207", "Beverly Witt")</f>
        <v>Beverly Witt</v>
      </c>
      <c r="E319" t="s">
        <v>3331</v>
      </c>
      <c r="F319" t="s">
        <v>3332</v>
      </c>
      <c r="G319">
        <v>436</v>
      </c>
      <c r="H319">
        <v>473.9</v>
      </c>
      <c r="I319">
        <v>473.93</v>
      </c>
      <c r="J319">
        <v>-0.03</v>
      </c>
    </row>
    <row r="320" spans="1:10" x14ac:dyDescent="0.3">
      <c r="A320" t="str">
        <f>HYPERLINK("https://us2.cloudbeds.com/connect/10074733072513#/reservations/30687646314718?display=YR1RG7JYX&amp;reservation_id=30687646314718", "YR1RG7JYX")</f>
        <v>YR1RG7JYX</v>
      </c>
      <c r="B320" t="s">
        <v>10</v>
      </c>
      <c r="C320" t="s">
        <v>42</v>
      </c>
      <c r="D320" t="str">
        <f>HYPERLINK("https://us2.cloudbeds.com/connect/10074733072513#/reservations/30687646314718?display=Mary%20Roth&amp;reservation_id=30687646314718&amp;guest_id=30650473160835", "Mary Roth")</f>
        <v>Mary Roth</v>
      </c>
      <c r="E320" t="s">
        <v>3401</v>
      </c>
      <c r="F320" t="s">
        <v>3080</v>
      </c>
      <c r="G320">
        <v>516</v>
      </c>
      <c r="H320">
        <v>560.86</v>
      </c>
      <c r="I320">
        <v>560.89</v>
      </c>
      <c r="J320">
        <v>-0.03</v>
      </c>
    </row>
    <row r="321" spans="1:10" x14ac:dyDescent="0.3">
      <c r="A321" t="str">
        <f>HYPERLINK("https://us2.cloudbeds.com/connect/10074733072513#/reservations/30687629525150?display=YR1R22D7P&amp;reservation_id=30687629525150", "YR1R22D7P")</f>
        <v>YR1R22D7P</v>
      </c>
      <c r="B321" t="s">
        <v>10</v>
      </c>
      <c r="C321" t="s">
        <v>42</v>
      </c>
      <c r="D321" t="str">
        <f>HYPERLINK("https://us2.cloudbeds.com/connect/10074733072513#/reservations/30687629525150?display=Mary%20Roth&amp;reservation_id=30687629525150&amp;guest_id=30687629521049", "Mary Roth")</f>
        <v>Mary Roth</v>
      </c>
      <c r="E321" t="s">
        <v>3404</v>
      </c>
      <c r="F321" t="s">
        <v>3080</v>
      </c>
      <c r="G321">
        <v>516</v>
      </c>
      <c r="H321">
        <v>560.86</v>
      </c>
      <c r="I321">
        <v>560.89</v>
      </c>
      <c r="J321">
        <v>-0.03</v>
      </c>
    </row>
    <row r="322" spans="1:10" x14ac:dyDescent="0.3">
      <c r="A322" t="str">
        <f>HYPERLINK("https://us2.cloudbeds.com/connect/10074733072513#/reservations/30686074511601?display=YR0KARS92&amp;reservation_id=30686074511601", "YR0KARS92")</f>
        <v>YR0KARS92</v>
      </c>
      <c r="B322" t="s">
        <v>10</v>
      </c>
      <c r="C322" t="s">
        <v>42</v>
      </c>
      <c r="D322" t="str">
        <f>HYPERLINK("https://us2.cloudbeds.com/connect/10074733072513#/reservations/30686074511601?display=Michael%20Tiedemann&amp;reservation_id=30686074511601&amp;guest_id=30669479936221", "Michael Tiedemann")</f>
        <v>Michael Tiedemann</v>
      </c>
      <c r="E322" t="s">
        <v>3533</v>
      </c>
      <c r="F322" t="s">
        <v>3516</v>
      </c>
      <c r="G322">
        <v>338</v>
      </c>
      <c r="H322">
        <v>367.38</v>
      </c>
      <c r="I322">
        <v>367.41</v>
      </c>
      <c r="J322">
        <v>-0.03</v>
      </c>
    </row>
    <row r="323" spans="1:10" x14ac:dyDescent="0.3">
      <c r="A323" t="str">
        <f>HYPERLINK("https://us2.cloudbeds.com/connect/10074733072513#/reservations/30685876502673?display=YR0F8SVTH&amp;reservation_id=30685876502673", "YR0F8SVTH")</f>
        <v>YR0F8SVTH</v>
      </c>
      <c r="B323" t="s">
        <v>10</v>
      </c>
      <c r="C323" t="s">
        <v>42</v>
      </c>
      <c r="D323" t="str">
        <f>HYPERLINK("https://us2.cloudbeds.com/connect/10074733072513#/reservations/30685876502673?display=Charles%20Wood&amp;reservation_id=30685876502673&amp;guest_id=30685871804647", "Charles Wood")</f>
        <v>Charles Wood</v>
      </c>
      <c r="E323" t="s">
        <v>3578</v>
      </c>
      <c r="F323" t="s">
        <v>3306</v>
      </c>
      <c r="G323">
        <v>510.3</v>
      </c>
      <c r="H323">
        <v>554.66999999999996</v>
      </c>
      <c r="I323">
        <v>554.70000000000005</v>
      </c>
      <c r="J323">
        <v>-0.03</v>
      </c>
    </row>
    <row r="324" spans="1:10" x14ac:dyDescent="0.3">
      <c r="A324" t="str">
        <f>HYPERLINK("https://us2.cloudbeds.com/connect/10074733072513#/reservations/30685986521336?display=YR0X2YD4D&amp;reservation_id=30685986521336", "YR0X2YD4D")</f>
        <v>YR0X2YD4D</v>
      </c>
      <c r="B324" t="s">
        <v>10</v>
      </c>
      <c r="C324" t="s">
        <v>42</v>
      </c>
      <c r="D324" t="str">
        <f>HYPERLINK("https://us2.cloudbeds.com/connect/10074733072513#/reservations/30685986521336?display=Eli%20Cook&amp;reservation_id=30685986521336&amp;guest_id=30685986521333", "Eli Cook")</f>
        <v>Eli Cook</v>
      </c>
      <c r="E324" t="s">
        <v>3629</v>
      </c>
      <c r="F324" t="s">
        <v>3083</v>
      </c>
      <c r="G324">
        <v>1421</v>
      </c>
      <c r="H324">
        <v>1544.6</v>
      </c>
      <c r="I324">
        <v>1544.63</v>
      </c>
      <c r="J324">
        <v>-0.03</v>
      </c>
    </row>
    <row r="325" spans="1:10" x14ac:dyDescent="0.3">
      <c r="A325" t="str">
        <f>HYPERLINK("https://us2.cloudbeds.com/connect/10074733072513#/reservations/30685335269530?display=YR01EGBP6&amp;reservation_id=30685335269530", "YR01EGBP6")</f>
        <v>YR01EGBP6</v>
      </c>
      <c r="B325" t="s">
        <v>10</v>
      </c>
      <c r="C325" t="s">
        <v>20</v>
      </c>
      <c r="D325" t="str">
        <f>HYPERLINK("https://us2.cloudbeds.com/connect/10074733072513#/reservations/30685335269530?display=Zachariah%20Stein&amp;reservation_id=30685335269530&amp;guest_id=30685335269527", "Zachariah Stein")</f>
        <v>Zachariah Stein</v>
      </c>
      <c r="E325" t="s">
        <v>3656</v>
      </c>
      <c r="F325" t="s">
        <v>3657</v>
      </c>
      <c r="G325">
        <v>567</v>
      </c>
      <c r="H325">
        <v>616.29999999999995</v>
      </c>
      <c r="I325">
        <v>616.33000000000004</v>
      </c>
      <c r="J325">
        <v>-0.03</v>
      </c>
    </row>
    <row r="326" spans="1:10" x14ac:dyDescent="0.3">
      <c r="A326" t="str">
        <f>HYPERLINK("https://us2.cloudbeds.com/connect/10074733072513#/reservations/30685935816861?display=YR0GPTFX5&amp;reservation_id=30685935816861", "YR0GPTFX5")</f>
        <v>YR0GPTFX5</v>
      </c>
      <c r="B326" t="s">
        <v>10</v>
      </c>
      <c r="C326" t="s">
        <v>23</v>
      </c>
      <c r="D326" t="str">
        <f>HYPERLINK("https://us2.cloudbeds.com/connect/10074733072513#/reservations/30685935816861?display=Jason%20Boekamp&amp;reservation_id=30685935816861&amp;guest_id=30685747990749", "Jason Boekamp")</f>
        <v>Jason Boekamp</v>
      </c>
      <c r="E326" t="s">
        <v>3663</v>
      </c>
      <c r="F326" t="s">
        <v>3083</v>
      </c>
      <c r="G326">
        <v>556</v>
      </c>
      <c r="H326">
        <v>604.34</v>
      </c>
      <c r="I326">
        <v>604.37</v>
      </c>
      <c r="J326">
        <v>-0.03</v>
      </c>
    </row>
    <row r="327" spans="1:10" x14ac:dyDescent="0.3">
      <c r="A327" t="str">
        <f>HYPERLINK("https://us2.cloudbeds.com/connect/10074733072513#/reservations/30685747990751?display=YR0BWGUPS&amp;reservation_id=30685747990751", "YR0BWGUPS")</f>
        <v>YR0BWGUPS</v>
      </c>
      <c r="B327" t="s">
        <v>10</v>
      </c>
      <c r="C327" t="s">
        <v>23</v>
      </c>
      <c r="D327" t="str">
        <f>HYPERLINK("https://us2.cloudbeds.com/connect/10074733072513#/reservations/30685747990751?display=Jason%20Boekamp&amp;reservation_id=30685747990751&amp;guest_id=30685747990749", "Jason Boekamp")</f>
        <v>Jason Boekamp</v>
      </c>
      <c r="E327" t="s">
        <v>3663</v>
      </c>
      <c r="F327" t="s">
        <v>3083</v>
      </c>
      <c r="G327">
        <v>556</v>
      </c>
      <c r="H327">
        <v>604.34</v>
      </c>
      <c r="I327">
        <v>604.37</v>
      </c>
      <c r="J327">
        <v>-0.03</v>
      </c>
    </row>
    <row r="328" spans="1:10" x14ac:dyDescent="0.3">
      <c r="A328" t="str">
        <f>HYPERLINK("https://us2.cloudbeds.com/connect/10074733072513#/reservations/30686005690507?display=YR0XXQQMC&amp;reservation_id=30686005690507", "YR0XXQQMC")</f>
        <v>YR0XXQQMC</v>
      </c>
      <c r="B328" t="s">
        <v>10</v>
      </c>
      <c r="C328" t="s">
        <v>20</v>
      </c>
      <c r="D328" t="str">
        <f>HYPERLINK("https://us2.cloudbeds.com/connect/10074733072513#/reservations/30686005690507?display=Pat%20Hutchens&amp;reservation_id=30686005690507&amp;guest_id=30686005690505", "Pat Hutchens")</f>
        <v>Pat Hutchens</v>
      </c>
      <c r="E328" t="s">
        <v>3700</v>
      </c>
      <c r="F328" t="s">
        <v>3701</v>
      </c>
      <c r="G328">
        <v>224.48</v>
      </c>
      <c r="H328">
        <v>243.98</v>
      </c>
      <c r="I328">
        <v>244.01</v>
      </c>
      <c r="J328">
        <v>-0.03</v>
      </c>
    </row>
    <row r="329" spans="1:10" x14ac:dyDescent="0.3">
      <c r="A329" t="str">
        <f>HYPERLINK("https://us2.cloudbeds.com/connect/10074733072513#/reservations/30684803989632?display=YQWKMEU1T&amp;reservation_id=30684803989632", "YQWKMEU1T")</f>
        <v>YQWKMEU1T</v>
      </c>
      <c r="B329" t="s">
        <v>10</v>
      </c>
      <c r="C329" t="s">
        <v>20</v>
      </c>
      <c r="D329" t="str">
        <f>HYPERLINK("https://us2.cloudbeds.com/connect/10074733072513#/reservations/30684803989632?display=Pat%20Hutchens&amp;reservation_id=30684803989632&amp;guest_id=30684796809428", "Pat Hutchens")</f>
        <v>Pat Hutchens</v>
      </c>
      <c r="E329" t="s">
        <v>3718</v>
      </c>
      <c r="F329" t="s">
        <v>3646</v>
      </c>
      <c r="G329">
        <v>224.48</v>
      </c>
      <c r="H329">
        <v>243.98</v>
      </c>
      <c r="I329">
        <v>244.01</v>
      </c>
      <c r="J329">
        <v>-0.03</v>
      </c>
    </row>
    <row r="330" spans="1:10" x14ac:dyDescent="0.3">
      <c r="A330" t="str">
        <f>HYPERLINK("https://us2.cloudbeds.com/connect/10074733072513#/reservations/30686080065675?display=YR0KFHDEB&amp;reservation_id=30686080065675", "YR0KFHDEB")</f>
        <v>YR0KFHDEB</v>
      </c>
      <c r="B330" t="s">
        <v>10</v>
      </c>
      <c r="C330" t="s">
        <v>42</v>
      </c>
      <c r="D330" t="str">
        <f>HYPERLINK("https://us2.cloudbeds.com/connect/10074733072513#/reservations/30686080065675?display=Cory%20Glick&amp;reservation_id=30686080065675&amp;guest_id=30679426039950", "Cory Glick")</f>
        <v>Cory Glick</v>
      </c>
      <c r="E330" t="s">
        <v>2769</v>
      </c>
      <c r="F330" t="s">
        <v>3283</v>
      </c>
      <c r="G330">
        <v>316</v>
      </c>
      <c r="H330">
        <v>343.46</v>
      </c>
      <c r="I330">
        <v>343.49</v>
      </c>
      <c r="J330">
        <v>-0.03</v>
      </c>
    </row>
    <row r="331" spans="1:10" x14ac:dyDescent="0.3">
      <c r="A331" t="str">
        <f>HYPERLINK("https://us2.cloudbeds.com/connect/10074733072513#/reservations/30682733211842?display=YQV0VC8P7&amp;reservation_id=30682733211842", "YQV0VC8P7")</f>
        <v>YQV0VC8P7</v>
      </c>
      <c r="B331" t="s">
        <v>10</v>
      </c>
      <c r="C331" t="s">
        <v>20</v>
      </c>
      <c r="D331" t="str">
        <f>HYPERLINK("https://us2.cloudbeds.com/connect/10074733072513#/reservations/30682733211842?display=Alan%20Niebel&amp;reservation_id=30682733211842&amp;guest_id=30682733207795", "Alan Niebel")</f>
        <v>Alan Niebel</v>
      </c>
      <c r="E331" t="s">
        <v>3743</v>
      </c>
      <c r="F331" t="s">
        <v>3744</v>
      </c>
      <c r="G331">
        <v>556</v>
      </c>
      <c r="H331">
        <v>604.34</v>
      </c>
      <c r="I331">
        <v>604.37</v>
      </c>
      <c r="J331">
        <v>-0.03</v>
      </c>
    </row>
    <row r="332" spans="1:10" x14ac:dyDescent="0.3">
      <c r="A332" t="str">
        <f>HYPERLINK("https://us2.cloudbeds.com/connect/10074733072513#/reservations/30685425172694?display=YR03ZA1FG&amp;reservation_id=30685425172694", "YR03ZA1FG")</f>
        <v>YR03ZA1FG</v>
      </c>
      <c r="B332" t="s">
        <v>10</v>
      </c>
      <c r="C332" t="s">
        <v>42</v>
      </c>
      <c r="D332" t="str">
        <f>HYPERLINK("https://us2.cloudbeds.com/connect/10074733072513#/reservations/30685425172694?display=Mike%20Jacobs&amp;reservation_id=30685425172694&amp;guest_id=30685175333013", "Mike Jacobs")</f>
        <v>Mike Jacobs</v>
      </c>
      <c r="E332" t="s">
        <v>477</v>
      </c>
      <c r="F332" t="s">
        <v>3403</v>
      </c>
      <c r="G332">
        <v>556</v>
      </c>
      <c r="H332">
        <v>604.34</v>
      </c>
      <c r="I332">
        <v>604.37</v>
      </c>
      <c r="J332">
        <v>-0.03</v>
      </c>
    </row>
    <row r="333" spans="1:10" x14ac:dyDescent="0.3">
      <c r="A333" t="str">
        <f>HYPERLINK("https://us2.cloudbeds.com/connect/10074733072513#/reservations/30685871804649?display=YR0F4U7R5&amp;reservation_id=30685871804649", "YR0F4U7R5")</f>
        <v>YR0F4U7R5</v>
      </c>
      <c r="B333" t="s">
        <v>10</v>
      </c>
      <c r="C333" t="s">
        <v>42</v>
      </c>
      <c r="D333" t="str">
        <f>HYPERLINK("https://us2.cloudbeds.com/connect/10074733072513#/reservations/30685871804649?display=Sam%20Seppanen&amp;reservation_id=30685871804649&amp;guest_id=30684941717657", "Sam Seppanen")</f>
        <v>Sam Seppanen</v>
      </c>
      <c r="E333" t="s">
        <v>3840</v>
      </c>
      <c r="F333" t="s">
        <v>3379</v>
      </c>
      <c r="G333">
        <v>1671.1</v>
      </c>
      <c r="H333">
        <v>1816.46</v>
      </c>
      <c r="I333">
        <v>1816.49</v>
      </c>
      <c r="J333">
        <v>-0.03</v>
      </c>
    </row>
    <row r="334" spans="1:10" x14ac:dyDescent="0.3">
      <c r="A334" t="str">
        <f>HYPERLINK("https://us2.cloudbeds.com/connect/10074733072513#/reservations/30684689428697?display=YQWHUTT4S&amp;reservation_id=30684689428697", "YQWHUTT4S")</f>
        <v>YQWHUTT4S</v>
      </c>
      <c r="B334" t="s">
        <v>10</v>
      </c>
      <c r="C334" t="s">
        <v>42</v>
      </c>
      <c r="D334" t="str">
        <f>HYPERLINK("https://us2.cloudbeds.com/connect/10074733072513#/reservations/30684689428697?display=Sid%20Mahathirash&amp;reservation_id=30684689428697&amp;guest_id=30684689428695", "Sid Mahathirash")</f>
        <v>Sid Mahathirash</v>
      </c>
      <c r="E334" t="s">
        <v>3865</v>
      </c>
      <c r="F334" t="s">
        <v>3603</v>
      </c>
      <c r="G334">
        <v>645</v>
      </c>
      <c r="H334">
        <v>701.09</v>
      </c>
      <c r="I334">
        <v>701.12</v>
      </c>
      <c r="J334">
        <v>-0.03</v>
      </c>
    </row>
    <row r="335" spans="1:10" x14ac:dyDescent="0.3">
      <c r="A335" t="str">
        <f>HYPERLINK("https://us2.cloudbeds.com/connect/10074733072513#/reservations/30684996898970?display=YQWPQ5MWS&amp;reservation_id=30684996898970", "YQWPQ5MWS")</f>
        <v>YQWPQ5MWS</v>
      </c>
      <c r="B335" t="s">
        <v>10</v>
      </c>
      <c r="C335" t="s">
        <v>121</v>
      </c>
      <c r="D335" t="str">
        <f>HYPERLINK("https://us2.cloudbeds.com/connect/10074733072513#/reservations/30684996898970?display=Levi%20Williams&amp;reservation_id=30684996898970&amp;guest_id=30684996898965", "Levi Williams")</f>
        <v>Levi Williams</v>
      </c>
      <c r="E335" t="s">
        <v>3867</v>
      </c>
      <c r="F335" t="s">
        <v>3826</v>
      </c>
      <c r="G335">
        <v>516</v>
      </c>
      <c r="H335">
        <v>560.86</v>
      </c>
      <c r="I335">
        <v>560.89</v>
      </c>
      <c r="J335">
        <v>-0.03</v>
      </c>
    </row>
    <row r="336" spans="1:10" x14ac:dyDescent="0.3">
      <c r="A336" t="str">
        <f>HYPERLINK("https://us2.cloudbeds.com/connect/10074733072513#/reservations/30684941717660?display=YQWZCY6EV&amp;reservation_id=30684941717660", "YQWZCY6EV")</f>
        <v>YQWZCY6EV</v>
      </c>
      <c r="B336" t="s">
        <v>10</v>
      </c>
      <c r="C336" t="s">
        <v>42</v>
      </c>
      <c r="D336" t="str">
        <f>HYPERLINK("https://us2.cloudbeds.com/connect/10074733072513#/reservations/30684941717660?display=Sam%20Seppanen&amp;reservation_id=30684941717660&amp;guest_id=30684941717657", "Sam Seppanen")</f>
        <v>Sam Seppanen</v>
      </c>
      <c r="E336" t="s">
        <v>3840</v>
      </c>
      <c r="F336" t="s">
        <v>3826</v>
      </c>
      <c r="G336">
        <v>354.45</v>
      </c>
      <c r="H336">
        <v>385.26</v>
      </c>
      <c r="I336">
        <v>385.29</v>
      </c>
      <c r="J336">
        <v>-0.03</v>
      </c>
    </row>
    <row r="337" spans="1:10" x14ac:dyDescent="0.3">
      <c r="A337" t="str">
        <f>HYPERLINK("https://us2.cloudbeds.com/connect/10074733072513#/reservations/30684987859086?display=YQWPXX4TW&amp;reservation_id=30684987859086", "YQWPXX4TW")</f>
        <v>YQWPXX4TW</v>
      </c>
      <c r="B337" t="s">
        <v>10</v>
      </c>
      <c r="C337" t="s">
        <v>42</v>
      </c>
      <c r="D337" t="str">
        <f>HYPERLINK("https://us2.cloudbeds.com/connect/10074733072513#/reservations/30684987859086?display=Vilma%20Biliene&amp;reservation_id=30684987859086&amp;guest_id=30683511918806", "Vilma Biliene")</f>
        <v>Vilma Biliene</v>
      </c>
      <c r="E337" t="s">
        <v>3887</v>
      </c>
      <c r="F337" t="s">
        <v>3372</v>
      </c>
      <c r="G337">
        <v>756</v>
      </c>
      <c r="H337">
        <v>821.74</v>
      </c>
      <c r="I337">
        <v>821.77</v>
      </c>
      <c r="J337">
        <v>-0.03</v>
      </c>
    </row>
    <row r="338" spans="1:10" x14ac:dyDescent="0.3">
      <c r="A338" t="str">
        <f>HYPERLINK("https://us2.cloudbeds.com/connect/10074733072513#/reservations/30684340367529?display=YQW90XZFN&amp;reservation_id=30684340367529", "YQW90XZFN")</f>
        <v>YQW90XZFN</v>
      </c>
      <c r="B338" t="s">
        <v>10</v>
      </c>
      <c r="C338" t="s">
        <v>20</v>
      </c>
      <c r="D338" t="str">
        <f>HYPERLINK("https://us2.cloudbeds.com/connect/10074733072513#/reservations/30684340367529?display=Marina%20Atamanyuk&amp;reservation_id=30684340367529&amp;guest_id=30684340367524", "Marina Atamanyuk")</f>
        <v>Marina Atamanyuk</v>
      </c>
      <c r="E338" t="s">
        <v>3928</v>
      </c>
      <c r="F338" t="s">
        <v>3909</v>
      </c>
      <c r="G338">
        <v>672.94</v>
      </c>
      <c r="H338">
        <v>731.46</v>
      </c>
      <c r="I338">
        <v>731.49</v>
      </c>
      <c r="J338">
        <v>-0.03</v>
      </c>
    </row>
    <row r="339" spans="1:10" x14ac:dyDescent="0.3">
      <c r="A339" t="str">
        <f>HYPERLINK("https://us2.cloudbeds.com/connect/10074733072513#/reservations/30684675387612?display=YQWHJ25JE&amp;reservation_id=30684675387612", "YQWHJ25JE")</f>
        <v>YQWHJ25JE</v>
      </c>
      <c r="B339" t="s">
        <v>10</v>
      </c>
      <c r="C339" t="s">
        <v>42</v>
      </c>
      <c r="D339" t="str">
        <f>HYPERLINK("https://us2.cloudbeds.com/connect/10074733072513#/reservations/30684675387612?display=John%20White&amp;reservation_id=30684675387612&amp;guest_id=30684617601256", "John White")</f>
        <v>John White</v>
      </c>
      <c r="E339" t="s">
        <v>3943</v>
      </c>
      <c r="F339" t="s">
        <v>3381</v>
      </c>
      <c r="G339">
        <v>412.8</v>
      </c>
      <c r="H339">
        <v>448.68</v>
      </c>
      <c r="I339">
        <v>448.71</v>
      </c>
      <c r="J339">
        <v>-0.03</v>
      </c>
    </row>
    <row r="340" spans="1:10" x14ac:dyDescent="0.3">
      <c r="A340" t="str">
        <f>HYPERLINK("https://us2.cloudbeds.com/connect/10074733072513#/reservations/30684111491283?display=YQW35XUET&amp;reservation_id=30684111491283", "YQW35XUET")</f>
        <v>YQW35XUET</v>
      </c>
      <c r="B340" t="s">
        <v>10</v>
      </c>
      <c r="C340" t="s">
        <v>42</v>
      </c>
      <c r="D340" t="str">
        <f>HYPERLINK("https://us2.cloudbeds.com/connect/10074733072513#/reservations/30684111491283?display=Brian%20Davis&amp;reservation_id=30684111491283&amp;guest_id=30684101378178", "Brian Davis")</f>
        <v>Brian Davis</v>
      </c>
      <c r="E340" t="s">
        <v>2791</v>
      </c>
      <c r="F340" t="s">
        <v>3735</v>
      </c>
      <c r="G340">
        <v>1092</v>
      </c>
      <c r="H340">
        <v>1186.97</v>
      </c>
      <c r="I340">
        <v>1187</v>
      </c>
      <c r="J340">
        <v>-0.03</v>
      </c>
    </row>
    <row r="341" spans="1:10" x14ac:dyDescent="0.3">
      <c r="A341" t="str">
        <f>HYPERLINK("https://us2.cloudbeds.com/connect/10074733072513#/reservations/30682974236831?display=YQV73K4YP&amp;reservation_id=30682974236831", "YQV73K4YP")</f>
        <v>YQV73K4YP</v>
      </c>
      <c r="B341" t="s">
        <v>10</v>
      </c>
      <c r="C341" t="s">
        <v>42</v>
      </c>
      <c r="D341" t="str">
        <f>HYPERLINK("https://us2.cloudbeds.com/connect/10074733072513#/reservations/30682974236831?display=Mary%20Kay%20Gesinger&amp;reservation_id=30682974236831&amp;guest_id=30682974232733", "Mary Kay Gesinger")</f>
        <v>Mary Kay Gesinger</v>
      </c>
      <c r="E341" t="s">
        <v>3684</v>
      </c>
      <c r="F341" t="s">
        <v>3526</v>
      </c>
      <c r="G341">
        <v>436</v>
      </c>
      <c r="H341">
        <v>473.9</v>
      </c>
      <c r="I341">
        <v>473.93</v>
      </c>
      <c r="J341">
        <v>-0.03</v>
      </c>
    </row>
    <row r="342" spans="1:10" x14ac:dyDescent="0.3">
      <c r="A342" t="str">
        <f>HYPERLINK("https://us2.cloudbeds.com/connect/10074733072513#/reservations/30684385894551?display=YQWA5VJZE&amp;reservation_id=30684385894551", "YQWA5VJZE")</f>
        <v>YQWA5VJZE</v>
      </c>
      <c r="B342" t="s">
        <v>10</v>
      </c>
      <c r="C342" t="s">
        <v>42</v>
      </c>
      <c r="D342" t="str">
        <f>HYPERLINK("https://us2.cloudbeds.com/connect/10074733072513#/reservations/30684385894551?display=Michael%20Daniels&amp;reservation_id=30684385894551&amp;guest_id=30671090090186", "Michael Daniels")</f>
        <v>Michael Daniels</v>
      </c>
      <c r="E342" t="s">
        <v>3262</v>
      </c>
      <c r="F342" t="s">
        <v>4024</v>
      </c>
      <c r="G342">
        <v>219</v>
      </c>
      <c r="H342">
        <v>238.02</v>
      </c>
      <c r="I342">
        <v>238.05</v>
      </c>
      <c r="J342">
        <v>-0.03</v>
      </c>
    </row>
    <row r="343" spans="1:10" x14ac:dyDescent="0.3">
      <c r="A343" t="str">
        <f>HYPERLINK("https://us2.cloudbeds.com/connect/10074733072513#/reservations/30683458814092?display=YQVJG7766&amp;reservation_id=30683458814092", "YQVJG7766")</f>
        <v>YQVJG7766</v>
      </c>
      <c r="B343" t="s">
        <v>10</v>
      </c>
      <c r="C343" t="s">
        <v>17</v>
      </c>
      <c r="D343" t="str">
        <f>HYPERLINK("https://us2.cloudbeds.com/connect/10074733072513#/reservations/30683458814092?display=Brandon%20Gregor&amp;reservation_id=30683458814092&amp;guest_id=30682276155571", "Brandon Gregor")</f>
        <v>Brandon Gregor</v>
      </c>
      <c r="E343" t="s">
        <v>4080</v>
      </c>
      <c r="F343" t="s">
        <v>4029</v>
      </c>
      <c r="G343">
        <v>595</v>
      </c>
      <c r="H343">
        <v>646.74</v>
      </c>
      <c r="I343">
        <v>646.77</v>
      </c>
      <c r="J343">
        <v>-0.03</v>
      </c>
    </row>
    <row r="344" spans="1:10" x14ac:dyDescent="0.3">
      <c r="A344" t="str">
        <f>HYPERLINK("https://us2.cloudbeds.com/connect/10074733072513#/reservations/30683956101332?display=YQVW6HVVG&amp;reservation_id=30683956101332", "YQVW6HVVG")</f>
        <v>YQVW6HVVG</v>
      </c>
      <c r="B344" t="s">
        <v>10</v>
      </c>
      <c r="C344" t="s">
        <v>42</v>
      </c>
      <c r="D344" t="str">
        <f>HYPERLINK("https://us2.cloudbeds.com/connect/10074733072513#/reservations/30683956101332?display=Cory%20Glick&amp;reservation_id=30683956101332&amp;guest_id=30679426039950", "Cory Glick")</f>
        <v>Cory Glick</v>
      </c>
      <c r="E344" t="s">
        <v>2769</v>
      </c>
      <c r="F344" t="s">
        <v>2633</v>
      </c>
      <c r="G344">
        <v>395</v>
      </c>
      <c r="H344">
        <v>429.34</v>
      </c>
      <c r="I344">
        <v>429.37</v>
      </c>
      <c r="J344">
        <v>-0.03</v>
      </c>
    </row>
    <row r="345" spans="1:10" x14ac:dyDescent="0.3">
      <c r="A345" t="str">
        <f>HYPERLINK("https://us2.cloudbeds.com/connect/10074733072513#/reservations/30683543351516?display=YQVYYGJMA&amp;reservation_id=30683543351516", "YQVYYGJMA")</f>
        <v>YQVYYGJMA</v>
      </c>
      <c r="B345" t="s">
        <v>10</v>
      </c>
      <c r="C345" t="s">
        <v>17</v>
      </c>
      <c r="D345" t="str">
        <f>HYPERLINK("https://us2.cloudbeds.com/connect/10074733072513#/reservations/30683543351516?display=Brian%20Palmer&amp;reservation_id=30683543351516&amp;guest_id=30683543351512", "Brian Palmer")</f>
        <v>Brian Palmer</v>
      </c>
      <c r="E345" t="s">
        <v>4125</v>
      </c>
      <c r="F345" t="s">
        <v>3557</v>
      </c>
      <c r="G345">
        <v>476</v>
      </c>
      <c r="H345">
        <v>517.38</v>
      </c>
      <c r="I345">
        <v>517.41</v>
      </c>
      <c r="J345">
        <v>-0.03</v>
      </c>
    </row>
    <row r="346" spans="1:10" x14ac:dyDescent="0.3">
      <c r="A346" t="str">
        <f>HYPERLINK("https://us2.cloudbeds.com/connect/10074733072513#/reservations/30683560460450?display=YQVM2UMBS&amp;reservation_id=30683560460450", "YQVM2UMBS")</f>
        <v>YQVM2UMBS</v>
      </c>
      <c r="B346" t="s">
        <v>10</v>
      </c>
      <c r="C346" t="s">
        <v>11</v>
      </c>
      <c r="D346" t="str">
        <f>HYPERLINK("https://us2.cloudbeds.com/connect/10074733072513#/reservations/30683560460450?display=Radia%20Clark&amp;reservation_id=30683560460450&amp;guest_id=30683560460447", "Radia Clark")</f>
        <v>Radia Clark</v>
      </c>
      <c r="E346" t="s">
        <v>2955</v>
      </c>
      <c r="F346" t="s">
        <v>3557</v>
      </c>
      <c r="G346">
        <v>309.8</v>
      </c>
      <c r="H346">
        <v>336.72</v>
      </c>
      <c r="I346">
        <v>336.75</v>
      </c>
      <c r="J346">
        <v>-0.03</v>
      </c>
    </row>
    <row r="347" spans="1:10" x14ac:dyDescent="0.3">
      <c r="A347" t="str">
        <f>HYPERLINK("https://us2.cloudbeds.com/connect/10074733072513#/reservations/30682285289675?display=YQUMGM5Y7&amp;reservation_id=30682285289675", "YQUMGM5Y7")</f>
        <v>YQUMGM5Y7</v>
      </c>
      <c r="B347" t="s">
        <v>10</v>
      </c>
      <c r="C347" t="s">
        <v>17</v>
      </c>
      <c r="D347" t="str">
        <f>HYPERLINK("https://us2.cloudbeds.com/connect/10074733072513#/reservations/30682285289675?display=Brandon%20Gregor&amp;reservation_id=30682285289675&amp;guest_id=30682276155571", "Brandon Gregor")</f>
        <v>Brandon Gregor</v>
      </c>
      <c r="E347" t="s">
        <v>4080</v>
      </c>
      <c r="F347" t="s">
        <v>4137</v>
      </c>
      <c r="G347">
        <v>476</v>
      </c>
      <c r="H347">
        <v>517.38</v>
      </c>
      <c r="I347">
        <v>517.41</v>
      </c>
      <c r="J347">
        <v>-0.03</v>
      </c>
    </row>
    <row r="348" spans="1:10" x14ac:dyDescent="0.3">
      <c r="A348" t="str">
        <f>HYPERLINK("https://us2.cloudbeds.com/connect/10074733072513#/reservations/30683570221259?display=YQVMB59EV&amp;reservation_id=30683570221259", "YQVMB59EV")</f>
        <v>YQVMB59EV</v>
      </c>
      <c r="B348" t="s">
        <v>10</v>
      </c>
      <c r="C348" t="s">
        <v>11</v>
      </c>
      <c r="D348" t="str">
        <f>HYPERLINK("https://us2.cloudbeds.com/connect/10074733072513#/reservations/30683570221259?display=Leann%20Rigatuso&amp;reservation_id=30683570221259&amp;guest_id=30679172763840", "Leann Rigatuso")</f>
        <v>Leann Rigatuso</v>
      </c>
      <c r="E348" t="s">
        <v>2955</v>
      </c>
      <c r="F348" t="s">
        <v>3557</v>
      </c>
      <c r="G348">
        <v>309.8</v>
      </c>
      <c r="H348">
        <v>336.72</v>
      </c>
      <c r="I348">
        <v>336.75</v>
      </c>
      <c r="J348">
        <v>-0.03</v>
      </c>
    </row>
    <row r="349" spans="1:10" x14ac:dyDescent="0.3">
      <c r="A349" t="str">
        <f>HYPERLINK("https://us2.cloudbeds.com/connect/10074733072513#/reservations/30683652161757?display=YQVZE8D8B&amp;reservation_id=30683652161757", "YQVZE8D8B")</f>
        <v>YQVZE8D8B</v>
      </c>
      <c r="B349" t="s">
        <v>10</v>
      </c>
      <c r="C349" t="s">
        <v>42</v>
      </c>
      <c r="D349" t="str">
        <f>HYPERLINK("https://us2.cloudbeds.com/connect/10074733072513#/reservations/30683652161757?display=Greg%20Brusven&amp;reservation_id=30683652161757&amp;guest_id=17963408818374", "Greg Brusven")</f>
        <v>Greg Brusven</v>
      </c>
      <c r="E349" t="s">
        <v>2398</v>
      </c>
      <c r="F349" t="s">
        <v>3557</v>
      </c>
      <c r="G349">
        <v>356</v>
      </c>
      <c r="H349">
        <v>386.94</v>
      </c>
      <c r="I349">
        <v>386.97</v>
      </c>
      <c r="J349">
        <v>-0.03</v>
      </c>
    </row>
    <row r="350" spans="1:10" x14ac:dyDescent="0.3">
      <c r="A350" t="str">
        <f>HYPERLINK("https://us2.cloudbeds.com/connect/10074733072513#/reservations/30683579809969?display=YQVMJ83GU&amp;reservation_id=30683579809969", "YQVMJ83GU")</f>
        <v>YQVMJ83GU</v>
      </c>
      <c r="B350" t="s">
        <v>10</v>
      </c>
      <c r="C350" t="s">
        <v>20</v>
      </c>
      <c r="D350" t="str">
        <f>HYPERLINK("https://us2.cloudbeds.com/connect/10074733072513#/reservations/30683579809969?display=Alin%20Stan&amp;reservation_id=30683579809969&amp;guest_id=30683579809967", "Alin Stan")</f>
        <v>Alin Stan</v>
      </c>
      <c r="E350" t="s">
        <v>4166</v>
      </c>
      <c r="F350" t="s">
        <v>3557</v>
      </c>
      <c r="G350">
        <v>424.75</v>
      </c>
      <c r="H350">
        <v>461.67</v>
      </c>
      <c r="I350">
        <v>461.7</v>
      </c>
      <c r="J350">
        <v>-0.03</v>
      </c>
    </row>
    <row r="351" spans="1:10" x14ac:dyDescent="0.3">
      <c r="A351" t="str">
        <f>HYPERLINK("https://us2.cloudbeds.com/connect/10074733072513#/reservations/30683333251205?display=YQVG9B837&amp;reservation_id=30683333251205", "YQVG9B837")</f>
        <v>YQVG9B837</v>
      </c>
      <c r="B351" t="s">
        <v>10</v>
      </c>
      <c r="C351" t="s">
        <v>42</v>
      </c>
      <c r="D351" t="str">
        <f>HYPERLINK("https://us2.cloudbeds.com/connect/10074733072513#/reservations/30683333251205?display=Jeff%20Surprison&amp;reservation_id=30683333251205&amp;guest_id=30682250481830", "Jeff Surprison")</f>
        <v>Jeff Surprison</v>
      </c>
      <c r="E351" t="s">
        <v>4157</v>
      </c>
      <c r="F351" t="s">
        <v>4170</v>
      </c>
      <c r="G351">
        <v>436</v>
      </c>
      <c r="H351">
        <v>473.9</v>
      </c>
      <c r="I351">
        <v>473.93</v>
      </c>
      <c r="J351">
        <v>-0.03</v>
      </c>
    </row>
    <row r="352" spans="1:10" x14ac:dyDescent="0.3">
      <c r="A352" t="str">
        <f>HYPERLINK("https://us2.cloudbeds.com/connect/10074733072513#/reservations/30683444535517?display=YQVJ45TX3&amp;reservation_id=30683444535517", "YQVJ45TX3")</f>
        <v>YQVJ45TX3</v>
      </c>
      <c r="B352" t="s">
        <v>10</v>
      </c>
      <c r="C352" t="s">
        <v>42</v>
      </c>
      <c r="D352" t="str">
        <f>HYPERLINK("https://us2.cloudbeds.com/connect/10074733072513#/reservations/30683444535517?display=Brandon%20Teel&amp;reservation_id=30683444535517&amp;guest_id=30683434610884", "Brandon Teel")</f>
        <v>Brandon Teel</v>
      </c>
      <c r="E352" t="s">
        <v>4243</v>
      </c>
      <c r="F352" t="s">
        <v>4244</v>
      </c>
      <c r="G352">
        <v>356</v>
      </c>
      <c r="H352">
        <v>386.94</v>
      </c>
      <c r="I352">
        <v>386.97</v>
      </c>
      <c r="J352">
        <v>-0.03</v>
      </c>
    </row>
    <row r="353" spans="1:10" x14ac:dyDescent="0.3">
      <c r="A353" t="str">
        <f>HYPERLINK("https://us2.cloudbeds.com/connect/10074733072513#/reservations/30682277159143?display=YQUM9QUJF&amp;reservation_id=30682277159143", "YQUM9QUJF")</f>
        <v>YQUM9QUJF</v>
      </c>
      <c r="B353" t="s">
        <v>10</v>
      </c>
      <c r="C353" t="s">
        <v>42</v>
      </c>
      <c r="D353" t="str">
        <f>HYPERLINK("https://us2.cloudbeds.com/connect/10074733072513#/reservations/30682277159143?display=Teresa%20Grebner&amp;reservation_id=30682277159143&amp;guest_id=30678362910883", "Teresa Grebner")</f>
        <v>Teresa Grebner</v>
      </c>
      <c r="E353" t="s">
        <v>4255</v>
      </c>
      <c r="F353" t="s">
        <v>3343</v>
      </c>
      <c r="G353">
        <v>516</v>
      </c>
      <c r="H353">
        <v>560.86</v>
      </c>
      <c r="I353">
        <v>560.89</v>
      </c>
      <c r="J353">
        <v>-0.03</v>
      </c>
    </row>
    <row r="354" spans="1:10" x14ac:dyDescent="0.3">
      <c r="A354" t="str">
        <f>HYPERLINK("https://us2.cloudbeds.com/connect/10074733072513#/reservations/30681908854925?display=YQUCT8AHJ&amp;reservation_id=30681908854925", "YQUCT8AHJ")</f>
        <v>YQUCT8AHJ</v>
      </c>
      <c r="B354" t="s">
        <v>10</v>
      </c>
      <c r="C354" t="s">
        <v>42</v>
      </c>
      <c r="D354" t="str">
        <f>HYPERLINK("https://us2.cloudbeds.com/connect/10074733072513#/reservations/30681908854925?display=Teresa%20Grebner&amp;reservation_id=30681908854925&amp;guest_id=30678362910883", "Teresa Grebner")</f>
        <v>Teresa Grebner</v>
      </c>
      <c r="E354" t="s">
        <v>4255</v>
      </c>
      <c r="F354" t="s">
        <v>3343</v>
      </c>
      <c r="G354">
        <v>516</v>
      </c>
      <c r="H354">
        <v>560.86</v>
      </c>
      <c r="I354">
        <v>560.89</v>
      </c>
      <c r="J354">
        <v>-0.03</v>
      </c>
    </row>
    <row r="355" spans="1:10" x14ac:dyDescent="0.3">
      <c r="A355" t="str">
        <f>HYPERLINK("https://us2.cloudbeds.com/connect/10074733072513#/reservations/30682401984758?display=YQUPG2CYS&amp;reservation_id=30682401984758", "YQUPG2CYS")</f>
        <v>YQUPG2CYS</v>
      </c>
      <c r="B355" t="s">
        <v>10</v>
      </c>
      <c r="C355" t="s">
        <v>42</v>
      </c>
      <c r="D355" t="str">
        <f>HYPERLINK("https://us2.cloudbeds.com/connect/10074733072513#/reservations/30682401984758?display=Veronica%20Badarau&amp;reservation_id=30682401984758&amp;guest_id=30682401984705", "Veronica Badarau")</f>
        <v>Veronica Badarau</v>
      </c>
      <c r="E355" t="s">
        <v>4298</v>
      </c>
      <c r="F355" t="s">
        <v>3688</v>
      </c>
      <c r="G355">
        <v>556</v>
      </c>
      <c r="H355">
        <v>604.34</v>
      </c>
      <c r="I355">
        <v>604.37</v>
      </c>
      <c r="J355">
        <v>-0.03</v>
      </c>
    </row>
    <row r="356" spans="1:10" x14ac:dyDescent="0.3">
      <c r="A356" t="str">
        <f>HYPERLINK("https://us2.cloudbeds.com/connect/10074733072513#/reservations/30681687535746?display=YQU77KPVQ&amp;reservation_id=30681687535746", "YQU77KPVQ")</f>
        <v>YQU77KPVQ</v>
      </c>
      <c r="B356" t="s">
        <v>10</v>
      </c>
      <c r="C356" t="s">
        <v>42</v>
      </c>
      <c r="D356" t="str">
        <f>HYPERLINK("https://us2.cloudbeds.com/connect/10074733072513#/reservations/30681687535746?display=Donna%20Kahn&amp;reservation_id=30681687535746&amp;guest_id=30681687531711", "Donna Kahn")</f>
        <v>Donna Kahn</v>
      </c>
      <c r="E356" t="s">
        <v>4364</v>
      </c>
      <c r="F356" t="s">
        <v>3343</v>
      </c>
      <c r="G356">
        <v>596</v>
      </c>
      <c r="H356">
        <v>647.82000000000005</v>
      </c>
      <c r="I356">
        <v>647.85</v>
      </c>
      <c r="J356">
        <v>-0.03</v>
      </c>
    </row>
    <row r="357" spans="1:10" x14ac:dyDescent="0.3">
      <c r="A357" t="str">
        <f>HYPERLINK("https://us2.cloudbeds.com/connect/10074733072513#/reservations/31676684198028?display=MH8YN5YBB&amp;reservation_id=31676684198028", "MH8YN5YBB")</f>
        <v>MH8YN5YBB</v>
      </c>
      <c r="B357" t="s">
        <v>10</v>
      </c>
      <c r="C357" t="s">
        <v>42</v>
      </c>
      <c r="D357" t="str">
        <f>HYPERLINK("https://us2.cloudbeds.com/connect/10074733072513#/reservations/31676684198028?display=Judy%20Holt&amp;reservation_id=31676684198028&amp;guest_id=31676684198023", "Judy Holt")</f>
        <v>Judy Holt</v>
      </c>
      <c r="E357" t="s">
        <v>4365</v>
      </c>
      <c r="F357" t="s">
        <v>4346</v>
      </c>
      <c r="G357">
        <v>556</v>
      </c>
      <c r="H357">
        <v>604.34</v>
      </c>
      <c r="I357">
        <v>604.37</v>
      </c>
      <c r="J357">
        <v>-0.03</v>
      </c>
    </row>
    <row r="358" spans="1:10" x14ac:dyDescent="0.3">
      <c r="A358" t="str">
        <f>HYPERLINK("https://us2.cloudbeds.com/connect/10074733072513#/reservations/31675677294818?display=MH7SW42YR&amp;reservation_id=31675677294818", "MH7SW42YR")</f>
        <v>MH7SW42YR</v>
      </c>
      <c r="B358" t="s">
        <v>10</v>
      </c>
      <c r="C358" t="s">
        <v>42</v>
      </c>
      <c r="D358" t="str">
        <f>HYPERLINK("https://us2.cloudbeds.com/connect/10074733072513#/reservations/31675677294818?display=Judy%20Holt&amp;reservation_id=31675677294818&amp;guest_id=31675662180561", "Judy Holt")</f>
        <v>Judy Holt</v>
      </c>
      <c r="E358" t="s">
        <v>4365</v>
      </c>
      <c r="F358" t="s">
        <v>4346</v>
      </c>
      <c r="G358">
        <v>556</v>
      </c>
      <c r="H358">
        <v>604.34</v>
      </c>
      <c r="I358">
        <v>604.37</v>
      </c>
      <c r="J358">
        <v>-0.03</v>
      </c>
    </row>
    <row r="359" spans="1:10" x14ac:dyDescent="0.3">
      <c r="A359" t="str">
        <f>HYPERLINK("https://us2.cloudbeds.com/connect/10074733072513#/reservations/30682350751880?display=YQUZ5SZSD&amp;reservation_id=30682350751880", "YQUZ5SZSD")</f>
        <v>YQUZ5SZSD</v>
      </c>
      <c r="B359" t="s">
        <v>10</v>
      </c>
      <c r="C359" t="s">
        <v>11</v>
      </c>
      <c r="D359" t="str">
        <f>HYPERLINK("https://us2.cloudbeds.com/connect/10074733072513#/reservations/30682350751880?display=Scott%20Kudlock&amp;reservation_id=30682350751880&amp;guest_id=30670469550280", "Scott Kudlock")</f>
        <v>Scott Kudlock</v>
      </c>
      <c r="E359" t="s">
        <v>4376</v>
      </c>
      <c r="F359" t="s">
        <v>4267</v>
      </c>
      <c r="G359">
        <v>412.8</v>
      </c>
      <c r="H359">
        <v>448.68</v>
      </c>
      <c r="I359">
        <v>448.71</v>
      </c>
      <c r="J359">
        <v>-0.03</v>
      </c>
    </row>
    <row r="360" spans="1:10" x14ac:dyDescent="0.3">
      <c r="A360" t="str">
        <f>HYPERLINK("https://us2.cloudbeds.com/connect/10074733072513#/reservations/30682462458053?display=YQUR124MV&amp;reservation_id=30682462458053", "YQUR124MV")</f>
        <v>YQUR124MV</v>
      </c>
      <c r="B360" t="s">
        <v>10</v>
      </c>
      <c r="C360" t="s">
        <v>42</v>
      </c>
      <c r="D360" t="str">
        <f>HYPERLINK("https://us2.cloudbeds.com/connect/10074733072513#/reservations/30682462458053?display=Jeff%20Potts&amp;reservation_id=30682462458053&amp;guest_id=30665228038373", "Jeff Potts")</f>
        <v>Jeff Potts</v>
      </c>
      <c r="E360" t="s">
        <v>3400</v>
      </c>
      <c r="F360" t="s">
        <v>4267</v>
      </c>
      <c r="G360">
        <v>1110</v>
      </c>
      <c r="H360">
        <v>1206.54</v>
      </c>
      <c r="I360">
        <v>1206.57</v>
      </c>
      <c r="J360">
        <v>-0.03</v>
      </c>
    </row>
    <row r="361" spans="1:10" x14ac:dyDescent="0.3">
      <c r="A361" t="str">
        <f>HYPERLINK("https://us2.cloudbeds.com/connect/10074733072513#/reservations/30682588721292?display=YQUU8HJTN&amp;reservation_id=30682588721292", "YQUU8HJTN")</f>
        <v>YQUU8HJTN</v>
      </c>
      <c r="B361" t="s">
        <v>10</v>
      </c>
      <c r="C361" t="s">
        <v>42</v>
      </c>
      <c r="D361" t="str">
        <f>HYPERLINK("https://us2.cloudbeds.com/connect/10074733072513#/reservations/30682588721292?display=Brock%20Smith&amp;reservation_id=30682588721292&amp;guest_id=30681982431415", "Brock Smith")</f>
        <v>Brock Smith</v>
      </c>
      <c r="E361" t="s">
        <v>3409</v>
      </c>
      <c r="F361" t="s">
        <v>4362</v>
      </c>
      <c r="G361">
        <v>219</v>
      </c>
      <c r="H361">
        <v>238.02</v>
      </c>
      <c r="I361">
        <v>238.05</v>
      </c>
      <c r="J361">
        <v>-0.03</v>
      </c>
    </row>
    <row r="362" spans="1:10" x14ac:dyDescent="0.3">
      <c r="A362" t="str">
        <f>HYPERLINK("https://us2.cloudbeds.com/connect/10074733072513#/reservations/31675773948114?display=MH7VEKJRK&amp;reservation_id=31675773948114", "MH7VEKJRK")</f>
        <v>MH7VEKJRK</v>
      </c>
      <c r="B362" t="s">
        <v>10</v>
      </c>
      <c r="C362" t="s">
        <v>42</v>
      </c>
      <c r="D362" t="str">
        <f>HYPERLINK("https://us2.cloudbeds.com/connect/10074733072513#/reservations/31675773948114?display=Robin%20Johnson&amp;reservation_id=31675773948114&amp;guest_id=31675765362938", "Robin Johnson")</f>
        <v>Robin Johnson</v>
      </c>
      <c r="E362" t="s">
        <v>4396</v>
      </c>
      <c r="F362" t="s">
        <v>3836</v>
      </c>
      <c r="G362">
        <v>675</v>
      </c>
      <c r="H362">
        <v>733.7</v>
      </c>
      <c r="I362">
        <v>733.73</v>
      </c>
      <c r="J362">
        <v>-0.03</v>
      </c>
    </row>
    <row r="363" spans="1:10" x14ac:dyDescent="0.3">
      <c r="A363" t="str">
        <f>HYPERLINK("https://us2.cloudbeds.com/connect/10074733072513#/reservations/30681480810654?display=YQU1VABP1&amp;reservation_id=30681480810654", "YQU1VABP1")</f>
        <v>YQU1VABP1</v>
      </c>
      <c r="B363" t="s">
        <v>10</v>
      </c>
      <c r="C363" t="s">
        <v>42</v>
      </c>
      <c r="D363" t="str">
        <f>HYPERLINK("https://us2.cloudbeds.com/connect/10074733072513#/reservations/30681480810654?display=Doug%20Jensen&amp;reservation_id=30681480810654&amp;guest_id=30681480810650", "Doug Jensen")</f>
        <v>Doug Jensen</v>
      </c>
      <c r="E363" t="s">
        <v>4406</v>
      </c>
      <c r="F363" t="s">
        <v>3760</v>
      </c>
      <c r="G363">
        <v>536.4</v>
      </c>
      <c r="H363">
        <v>583.04</v>
      </c>
      <c r="I363">
        <v>583.07000000000005</v>
      </c>
      <c r="J363">
        <v>-0.03</v>
      </c>
    </row>
    <row r="364" spans="1:10" x14ac:dyDescent="0.3">
      <c r="A364" t="str">
        <f>HYPERLINK("https://us2.cloudbeds.com/connect/10074733072513#/reservations/30681270071544?display=YQTTXK7JE&amp;reservation_id=30681270071544", "YQTTXK7JE")</f>
        <v>YQTTXK7JE</v>
      </c>
      <c r="B364" t="s">
        <v>10</v>
      </c>
      <c r="C364" t="s">
        <v>23</v>
      </c>
      <c r="D364" t="str">
        <f>HYPERLINK("https://us2.cloudbeds.com/connect/10074733072513#/reservations/30681270071544?display=Coleman%20Drake&amp;reservation_id=30681270071544&amp;guest_id=30681270071542", "Coleman Drake")</f>
        <v>Coleman Drake</v>
      </c>
      <c r="E364" t="s">
        <v>4418</v>
      </c>
      <c r="F364" t="s">
        <v>4216</v>
      </c>
      <c r="G364">
        <v>516</v>
      </c>
      <c r="H364">
        <v>560.86</v>
      </c>
      <c r="I364">
        <v>560.89</v>
      </c>
      <c r="J364">
        <v>-0.03</v>
      </c>
    </row>
    <row r="365" spans="1:10" x14ac:dyDescent="0.3">
      <c r="A365" t="str">
        <f>HYPERLINK("https://us2.cloudbeds.com/connect/10074733072513#/reservations/31678337933455?display=MH9UVY903&amp;reservation_id=31678337933455", "MH9UVY903")</f>
        <v>MH9UVY903</v>
      </c>
      <c r="B365" t="s">
        <v>10</v>
      </c>
      <c r="C365" t="s">
        <v>42</v>
      </c>
      <c r="D365" t="str">
        <f>HYPERLINK("https://us2.cloudbeds.com/connect/10074733072513#/reservations/31678337933455?display=Kathleen%20Littfin&amp;reservation_id=31678337933455&amp;guest_id=31676782190828", "Kathleen Littfin")</f>
        <v>Kathleen Littfin</v>
      </c>
      <c r="E365" t="s">
        <v>4447</v>
      </c>
      <c r="F365" t="s">
        <v>4448</v>
      </c>
      <c r="G365">
        <v>556</v>
      </c>
      <c r="H365">
        <v>604.34</v>
      </c>
      <c r="I365">
        <v>604.37</v>
      </c>
      <c r="J365">
        <v>-0.03</v>
      </c>
    </row>
    <row r="366" spans="1:10" x14ac:dyDescent="0.3">
      <c r="A366" t="str">
        <f>HYPERLINK("https://us2.cloudbeds.com/connect/10074733072513#/reservations/31673241759938?display=MH5WZDZ5J&amp;reservation_id=31673241759938", "MH5WZDZ5J")</f>
        <v>MH5WZDZ5J</v>
      </c>
      <c r="B366" t="s">
        <v>10</v>
      </c>
      <c r="C366" t="s">
        <v>42</v>
      </c>
      <c r="D366" t="str">
        <f>HYPERLINK("https://us2.cloudbeds.com/connect/10074733072513#/reservations/31673241759938?display=Doug%20Carlson&amp;reservation_id=31673241759938&amp;guest_id=31673241755885", "Doug Carlson")</f>
        <v>Doug Carlson</v>
      </c>
      <c r="E366" t="s">
        <v>4466</v>
      </c>
      <c r="F366" t="s">
        <v>3834</v>
      </c>
      <c r="G366">
        <v>258</v>
      </c>
      <c r="H366">
        <v>280.42</v>
      </c>
      <c r="I366">
        <v>280.45</v>
      </c>
      <c r="J366">
        <v>-0.03</v>
      </c>
    </row>
    <row r="367" spans="1:10" x14ac:dyDescent="0.3">
      <c r="A367" t="str">
        <f>HYPERLINK("https://us2.cloudbeds.com/connect/10074733072513#/reservations/30681789317336?display=YQU9RF0AD&amp;reservation_id=30681789317336", "YQU9RF0AD")</f>
        <v>YQU9RF0AD</v>
      </c>
      <c r="B367" t="s">
        <v>10</v>
      </c>
      <c r="C367" t="s">
        <v>42</v>
      </c>
      <c r="D367" t="str">
        <f>HYPERLINK("https://us2.cloudbeds.com/connect/10074733072513#/reservations/30681789317336?display=Cory%20Glick&amp;reservation_id=30681789317336&amp;guest_id=30679426039950", "Cory Glick")</f>
        <v>Cory Glick</v>
      </c>
      <c r="E367" t="s">
        <v>2769</v>
      </c>
      <c r="F367" t="s">
        <v>3757</v>
      </c>
      <c r="G367">
        <v>316</v>
      </c>
      <c r="H367">
        <v>343.46</v>
      </c>
      <c r="I367">
        <v>343.49</v>
      </c>
      <c r="J367">
        <v>-0.03</v>
      </c>
    </row>
    <row r="368" spans="1:10" x14ac:dyDescent="0.3">
      <c r="A368" t="str">
        <f>HYPERLINK("https://us2.cloudbeds.com/connect/10074733072513#/reservations/30681686536354?display=YQU76PW86&amp;reservation_id=30681686536354", "YQU76PW86")</f>
        <v>YQU76PW86</v>
      </c>
      <c r="B368" t="s">
        <v>10</v>
      </c>
      <c r="C368" t="s">
        <v>42</v>
      </c>
      <c r="D368" t="str">
        <f>HYPERLINK("https://us2.cloudbeds.com/connect/10074733072513#/reservations/30681686536354?display=Alan%20Niebel&amp;reservation_id=30681686536354&amp;guest_id=30681686532270", "Alan Niebel")</f>
        <v>Alan Niebel</v>
      </c>
      <c r="E368" t="s">
        <v>4509</v>
      </c>
      <c r="F368" t="s">
        <v>4427</v>
      </c>
      <c r="G368">
        <v>556</v>
      </c>
      <c r="H368">
        <v>604.34</v>
      </c>
      <c r="I368">
        <v>604.37</v>
      </c>
      <c r="J368">
        <v>-0.03</v>
      </c>
    </row>
    <row r="369" spans="1:10" x14ac:dyDescent="0.3">
      <c r="A369" t="str">
        <f>HYPERLINK("https://us2.cloudbeds.com/connect/10074733072513#/reservations/30681982435463?display=YQUEP9QJS&amp;reservation_id=30681982435463", "YQUEP9QJS")</f>
        <v>YQUEP9QJS</v>
      </c>
      <c r="B369" t="s">
        <v>10</v>
      </c>
      <c r="C369" t="s">
        <v>42</v>
      </c>
      <c r="D369" t="str">
        <f>HYPERLINK("https://us2.cloudbeds.com/connect/10074733072513#/reservations/30681982435463?display=Brock%20Smith&amp;reservation_id=30681982435463&amp;guest_id=30681982431415", "Brock Smith")</f>
        <v>Brock Smith</v>
      </c>
      <c r="E369" t="s">
        <v>3409</v>
      </c>
      <c r="F369" t="s">
        <v>4360</v>
      </c>
      <c r="G369">
        <v>219</v>
      </c>
      <c r="H369">
        <v>238.02</v>
      </c>
      <c r="I369">
        <v>238.05</v>
      </c>
      <c r="J369">
        <v>-0.03</v>
      </c>
    </row>
    <row r="370" spans="1:10" x14ac:dyDescent="0.3">
      <c r="A370" t="str">
        <f>HYPERLINK("https://us2.cloudbeds.com/connect/10074733072513#/reservations/31672542949593?display=MH5ET5A1H&amp;reservation_id=31672542949593", "MH5ET5A1H")</f>
        <v>MH5ET5A1H</v>
      </c>
      <c r="B370" t="s">
        <v>10</v>
      </c>
      <c r="C370" t="s">
        <v>42</v>
      </c>
      <c r="D370" t="str">
        <f>HYPERLINK("https://us2.cloudbeds.com/connect/10074733072513#/reservations/31672542949593?display=Monte%20Dybvig&amp;reservation_id=31672542949593&amp;guest_id=31672536670399", "Monte Dybvig")</f>
        <v>Monte Dybvig</v>
      </c>
      <c r="E370" t="s">
        <v>4565</v>
      </c>
      <c r="F370" t="s">
        <v>4566</v>
      </c>
      <c r="G370">
        <v>476</v>
      </c>
      <c r="H370">
        <v>517.38</v>
      </c>
      <c r="I370">
        <v>517.41</v>
      </c>
      <c r="J370">
        <v>-0.03</v>
      </c>
    </row>
    <row r="371" spans="1:10" x14ac:dyDescent="0.3">
      <c r="A371" t="str">
        <f>HYPERLINK("https://us2.cloudbeds.com/connect/10074733072513#/reservations/31671690084494?display=MH4Q302GJ&amp;reservation_id=31671690084494", "MH4Q302GJ")</f>
        <v>MH4Q302GJ</v>
      </c>
      <c r="B371" t="s">
        <v>10</v>
      </c>
      <c r="C371" t="s">
        <v>42</v>
      </c>
      <c r="D371" t="str">
        <f>HYPERLINK("https://us2.cloudbeds.com/connect/10074733072513#/reservations/31671690084494?display=Michael%20Daniels&amp;reservation_id=31671690084494&amp;guest_id=30671090090186", "Michael Daniels")</f>
        <v>Michael Daniels</v>
      </c>
      <c r="E371" t="s">
        <v>3262</v>
      </c>
      <c r="F371" t="s">
        <v>4160</v>
      </c>
      <c r="G371">
        <v>219</v>
      </c>
      <c r="H371">
        <v>238.02</v>
      </c>
      <c r="I371">
        <v>238.05</v>
      </c>
      <c r="J371">
        <v>-0.03</v>
      </c>
    </row>
    <row r="372" spans="1:10" x14ac:dyDescent="0.3">
      <c r="A372" t="str">
        <f>HYPERLINK("https://us2.cloudbeds.com/connect/10074733072513#/reservations/31675694145709?display=MH7TDAWCU&amp;reservation_id=31675694145709", "MH7TDAWCU")</f>
        <v>MH7TDAWCU</v>
      </c>
      <c r="B372" t="s">
        <v>10</v>
      </c>
      <c r="C372" t="s">
        <v>42</v>
      </c>
      <c r="D372" t="str">
        <f>HYPERLINK("https://us2.cloudbeds.com/connect/10074733072513#/reservations/31675694145709?display=Janis%20Kesy&amp;reservation_id=31675694145709&amp;guest_id=31675681362068", "Janis Kesy")</f>
        <v>Janis Kesy</v>
      </c>
      <c r="E372" t="s">
        <v>4618</v>
      </c>
      <c r="F372" t="s">
        <v>4346</v>
      </c>
      <c r="G372">
        <v>556</v>
      </c>
      <c r="H372">
        <v>604.34</v>
      </c>
      <c r="I372">
        <v>604.37</v>
      </c>
      <c r="J372">
        <v>-0.03</v>
      </c>
    </row>
    <row r="373" spans="1:10" x14ac:dyDescent="0.3">
      <c r="A373" t="str">
        <f>HYPERLINK("https://us2.cloudbeds.com/connect/10074733072513#/reservations/31676542144644?display=MH8X2CQFB&amp;reservation_id=31676542144644", "MH8X2CQFB")</f>
        <v>MH8X2CQFB</v>
      </c>
      <c r="B373" t="s">
        <v>10</v>
      </c>
      <c r="C373" t="s">
        <v>42</v>
      </c>
      <c r="D373" t="str">
        <f>HYPERLINK("https://us2.cloudbeds.com/connect/10074733072513#/reservations/31676542144644?display=Janis%20Kesy&amp;reservation_id=31676542144644&amp;guest_id=31676542144642", "Janis Kesy")</f>
        <v>Janis Kesy</v>
      </c>
      <c r="E373" t="s">
        <v>4618</v>
      </c>
      <c r="F373" t="s">
        <v>4346</v>
      </c>
      <c r="G373">
        <v>556</v>
      </c>
      <c r="H373">
        <v>604.34</v>
      </c>
      <c r="I373">
        <v>604.37</v>
      </c>
      <c r="J373">
        <v>-0.03</v>
      </c>
    </row>
    <row r="374" spans="1:10" x14ac:dyDescent="0.3">
      <c r="A374" t="str">
        <f>HYPERLINK("https://us2.cloudbeds.com/connect/10074733072513#/reservations/31672088305808?display=MH538Q5Y4&amp;reservation_id=31672088305808", "MH538Q5Y4")</f>
        <v>MH538Q5Y4</v>
      </c>
      <c r="B374" t="s">
        <v>10</v>
      </c>
      <c r="C374" t="s">
        <v>42</v>
      </c>
      <c r="D374" t="str">
        <f>HYPERLINK("https://us2.cloudbeds.com/connect/10074733072513#/reservations/31672088305808?display=Lea%20Schierholz&amp;reservation_id=31672088305808&amp;guest_id=31672088305806", "Lea Schierholz")</f>
        <v>Lea Schierholz</v>
      </c>
      <c r="E374" t="s">
        <v>4641</v>
      </c>
      <c r="F374" t="s">
        <v>4562</v>
      </c>
      <c r="G374">
        <v>1184</v>
      </c>
      <c r="H374">
        <v>1286.98</v>
      </c>
      <c r="I374">
        <v>1287.01</v>
      </c>
      <c r="J374">
        <v>-0.03</v>
      </c>
    </row>
    <row r="375" spans="1:10" x14ac:dyDescent="0.3">
      <c r="A375" t="str">
        <f>HYPERLINK("https://us2.cloudbeds.com/connect/10074733072513#/reservations/31672054673597?display=MH52DEA27&amp;reservation_id=31672054673597", "MH52DEA27")</f>
        <v>MH52DEA27</v>
      </c>
      <c r="B375" t="s">
        <v>10</v>
      </c>
      <c r="C375" t="s">
        <v>42</v>
      </c>
      <c r="D375" t="str">
        <f>HYPERLINK("https://us2.cloudbeds.com/connect/10074733072513#/reservations/31672054673597?display=Name%20To%20Come%20Soon%20New%20Age%20Cryo&amp;reservation_id=31672054673597&amp;guest_id=31672041611490", "Name To Come Soon New Age Cryo")</f>
        <v>Name To Come Soon New Age Cryo</v>
      </c>
      <c r="E375" t="s">
        <v>3400</v>
      </c>
      <c r="F375" t="s">
        <v>4501</v>
      </c>
      <c r="G375">
        <v>1184</v>
      </c>
      <c r="H375">
        <v>1286.98</v>
      </c>
      <c r="I375">
        <v>1287.01</v>
      </c>
      <c r="J375">
        <v>-0.03</v>
      </c>
    </row>
    <row r="376" spans="1:10" x14ac:dyDescent="0.3">
      <c r="A376" t="str">
        <f>HYPERLINK("https://us2.cloudbeds.com/connect/10074733072513#/reservations/31677004194043?display=MH8TT0089&amp;reservation_id=31677004194043", "MH8TT0089")</f>
        <v>MH8TT0089</v>
      </c>
      <c r="B376" t="s">
        <v>10</v>
      </c>
      <c r="C376" t="s">
        <v>17</v>
      </c>
      <c r="D376" t="str">
        <f>HYPERLINK("https://us2.cloudbeds.com/connect/10074733072513#/reservations/31677004194043?display=Anthony%20Maestas&amp;reservation_id=31677004194043&amp;guest_id=31677004194024", "Anthony Maestas")</f>
        <v>Anthony Maestas</v>
      </c>
      <c r="E376" t="s">
        <v>4675</v>
      </c>
      <c r="F376" t="s">
        <v>4676</v>
      </c>
      <c r="G376">
        <v>751.5</v>
      </c>
      <c r="H376">
        <v>816.85</v>
      </c>
      <c r="I376">
        <v>816.88</v>
      </c>
      <c r="J376">
        <v>-0.03</v>
      </c>
    </row>
    <row r="377" spans="1:10" x14ac:dyDescent="0.3">
      <c r="A377" t="str">
        <f>HYPERLINK("https://us2.cloudbeds.com/connect/10074733072513#/reservations/31680992350403?display=MHBWPUB4A&amp;reservation_id=31680992350403", "MHBWPUB4A")</f>
        <v>MHBWPUB4A</v>
      </c>
      <c r="B377" t="s">
        <v>10</v>
      </c>
      <c r="C377" t="s">
        <v>23</v>
      </c>
      <c r="D377" t="str">
        <f>HYPERLINK("https://us2.cloudbeds.com/connect/10074733072513#/reservations/31680992350403?display=Thomas%20Barnett&amp;reservation_id=31680992350403&amp;guest_id=31680992346355", "Thomas Barnett")</f>
        <v>Thomas Barnett</v>
      </c>
      <c r="E377" t="s">
        <v>4683</v>
      </c>
      <c r="F377" t="s">
        <v>4684</v>
      </c>
      <c r="G377">
        <v>636</v>
      </c>
      <c r="H377">
        <v>691.3</v>
      </c>
      <c r="I377">
        <v>691.33</v>
      </c>
      <c r="J377">
        <v>-0.03</v>
      </c>
    </row>
    <row r="378" spans="1:10" x14ac:dyDescent="0.3">
      <c r="A378" t="str">
        <f>HYPERLINK("https://us2.cloudbeds.com/connect/10074733072513#/reservations/31672875823324?display=MH5NCS079&amp;reservation_id=31672875823324", "MH5NCS079")</f>
        <v>MH5NCS079</v>
      </c>
      <c r="B378" t="s">
        <v>10</v>
      </c>
      <c r="C378" t="s">
        <v>42</v>
      </c>
      <c r="D378" t="str">
        <f>HYPERLINK("https://us2.cloudbeds.com/connect/10074733072513#/reservations/31672875823324?display=Abraham%20Vargas&amp;reservation_id=31672875823324&amp;guest_id=31672875823320", "Abraham Vargas")</f>
        <v>Abraham Vargas</v>
      </c>
      <c r="E378" t="s">
        <v>4685</v>
      </c>
      <c r="F378" t="s">
        <v>4686</v>
      </c>
      <c r="G378">
        <v>545</v>
      </c>
      <c r="H378">
        <v>592.39</v>
      </c>
      <c r="I378">
        <v>592.41999999999996</v>
      </c>
      <c r="J378">
        <v>-0.03</v>
      </c>
    </row>
    <row r="379" spans="1:10" x14ac:dyDescent="0.3">
      <c r="A379" t="str">
        <f>HYPERLINK("https://us2.cloudbeds.com/connect/10074733072513#/reservations/31672656560288?display=MH5HPVMZS&amp;reservation_id=31672656560288", "MH5HPVMZS")</f>
        <v>MH5HPVMZS</v>
      </c>
      <c r="B379" t="s">
        <v>10</v>
      </c>
      <c r="C379" t="s">
        <v>42</v>
      </c>
      <c r="D379" t="str">
        <f>HYPERLINK("https://us2.cloudbeds.com/connect/10074733072513#/reservations/31672656560288?display=Cory%20Glick&amp;reservation_id=31672656560288&amp;guest_id=30679426039950", "Cory Glick")</f>
        <v>Cory Glick</v>
      </c>
      <c r="E379" t="s">
        <v>2769</v>
      </c>
      <c r="F379" t="s">
        <v>4454</v>
      </c>
      <c r="G379">
        <v>316</v>
      </c>
      <c r="H379">
        <v>343.46</v>
      </c>
      <c r="I379">
        <v>343.49</v>
      </c>
      <c r="J379">
        <v>-0.03</v>
      </c>
    </row>
    <row r="380" spans="1:10" x14ac:dyDescent="0.3">
      <c r="A380" t="str">
        <f>HYPERLINK("https://us2.cloudbeds.com/connect/10074733072513#/reservations/31672101634206?display=MH53K11ZW&amp;reservation_id=31672101634206", "MH53K11ZW")</f>
        <v>MH53K11ZW</v>
      </c>
      <c r="B380" t="s">
        <v>10</v>
      </c>
      <c r="C380" t="s">
        <v>42</v>
      </c>
      <c r="D380" t="str">
        <f>HYPERLINK("https://us2.cloudbeds.com/connect/10074733072513#/reservations/31672101634206?display=Wade%20Talkington&amp;reservation_id=31672101634206&amp;guest_id=31672091017412", "Wade Talkington")</f>
        <v>Wade Talkington</v>
      </c>
      <c r="E380" t="s">
        <v>4713</v>
      </c>
      <c r="F380" t="s">
        <v>4501</v>
      </c>
      <c r="G380">
        <v>356</v>
      </c>
      <c r="H380">
        <v>386.94</v>
      </c>
      <c r="I380">
        <v>386.97</v>
      </c>
      <c r="J380">
        <v>-0.03</v>
      </c>
    </row>
    <row r="381" spans="1:10" x14ac:dyDescent="0.3">
      <c r="A381" t="str">
        <f>HYPERLINK("https://us2.cloudbeds.com/connect/10074733072513#/reservations/31672501256402?display=MH5DR049G&amp;reservation_id=31672501256402", "MH5DR049G")</f>
        <v>MH5DR049G</v>
      </c>
      <c r="B381" t="s">
        <v>10</v>
      </c>
      <c r="C381" t="s">
        <v>42</v>
      </c>
      <c r="D381" t="str">
        <f>HYPERLINK("https://us2.cloudbeds.com/connect/10074733072513#/reservations/31672501256402?display=Judson%20Marvel&amp;reservation_id=31672501256402&amp;guest_id=31672501252309", "Judson Marvel")</f>
        <v>Judson Marvel</v>
      </c>
      <c r="E381" t="s">
        <v>4749</v>
      </c>
      <c r="F381" t="s">
        <v>4566</v>
      </c>
      <c r="G381">
        <v>476</v>
      </c>
      <c r="H381">
        <v>517.38</v>
      </c>
      <c r="I381">
        <v>517.41</v>
      </c>
      <c r="J381">
        <v>-0.03</v>
      </c>
    </row>
    <row r="382" spans="1:10" x14ac:dyDescent="0.3">
      <c r="A382" t="str">
        <f>HYPERLINK("https://us2.cloudbeds.com/connect/10074733072513#/reservations/31672422351037?display=MH5BQFFXR&amp;reservation_id=31672422351037", "MH5BQFFXR")</f>
        <v>MH5BQFFXR</v>
      </c>
      <c r="B382" t="s">
        <v>10</v>
      </c>
      <c r="C382" t="s">
        <v>42</v>
      </c>
      <c r="D382" t="str">
        <f>HYPERLINK("https://us2.cloudbeds.com/connect/10074733072513#/reservations/31672422351037?display=Juliann%20Perrigo&amp;reservation_id=31672422351037&amp;guest_id=31672415592653", "Juliann Perrigo")</f>
        <v>Juliann Perrigo</v>
      </c>
      <c r="E382" t="s">
        <v>4750</v>
      </c>
      <c r="F382" t="s">
        <v>4751</v>
      </c>
      <c r="G382">
        <v>1071</v>
      </c>
      <c r="H382">
        <v>1164.1500000000001</v>
      </c>
      <c r="I382">
        <v>1164.18</v>
      </c>
      <c r="J382">
        <v>-0.03</v>
      </c>
    </row>
    <row r="383" spans="1:10" x14ac:dyDescent="0.3">
      <c r="A383" t="str">
        <f>HYPERLINK("https://us2.cloudbeds.com/connect/10074733072513#/reservations/31671789912201?display=MH4SY5UYK&amp;reservation_id=31671789912201", "MH4SY5UYK")</f>
        <v>MH4SY5UYK</v>
      </c>
      <c r="B383" t="s">
        <v>10</v>
      </c>
      <c r="C383" t="s">
        <v>23</v>
      </c>
      <c r="D383" t="str">
        <f>HYPERLINK("https://us2.cloudbeds.com/connect/10074733072513#/reservations/31671789912201?display=William%20A%20Arndt&amp;reservation_id=31671789912201&amp;guest_id=31671781880049", "William A Arndt")</f>
        <v>William A Arndt</v>
      </c>
      <c r="E383" t="s">
        <v>4756</v>
      </c>
      <c r="F383" t="s">
        <v>4526</v>
      </c>
      <c r="G383">
        <v>436</v>
      </c>
      <c r="H383">
        <v>473.9</v>
      </c>
      <c r="I383">
        <v>473.93</v>
      </c>
      <c r="J383">
        <v>-0.03</v>
      </c>
    </row>
    <row r="384" spans="1:10" x14ac:dyDescent="0.3">
      <c r="A384" t="str">
        <f>HYPERLINK("https://us2.cloudbeds.com/connect/10074733072513#/reservations/31683287498945?display=MHDPE87X4&amp;reservation_id=31683287498945", "MHDPE87X4")</f>
        <v>MHDPE87X4</v>
      </c>
      <c r="B384" t="s">
        <v>10</v>
      </c>
      <c r="C384" t="s">
        <v>42</v>
      </c>
      <c r="D384" t="str">
        <f>HYPERLINK("https://us2.cloudbeds.com/connect/10074733072513#/reservations/31683287498945?display=Lisa%20Waldner&amp;reservation_id=31683287498945&amp;guest_id=31683274145991", "Lisa Waldner")</f>
        <v>Lisa Waldner</v>
      </c>
      <c r="E384" t="s">
        <v>4771</v>
      </c>
      <c r="F384" t="s">
        <v>4772</v>
      </c>
      <c r="G384">
        <v>556</v>
      </c>
      <c r="H384">
        <v>604.34</v>
      </c>
      <c r="I384">
        <v>604.37</v>
      </c>
      <c r="J384">
        <v>-0.03</v>
      </c>
    </row>
    <row r="385" spans="1:10" x14ac:dyDescent="0.3">
      <c r="A385" t="str">
        <f>HYPERLINK("https://us2.cloudbeds.com/connect/10074733072513#/reservations/31672627908844?display=MH5H1QDT9&amp;reservation_id=31672627908844", "MH5H1QDT9")</f>
        <v>MH5H1QDT9</v>
      </c>
      <c r="B385" t="s">
        <v>10</v>
      </c>
      <c r="C385" t="s">
        <v>42</v>
      </c>
      <c r="D385" t="str">
        <f>HYPERLINK("https://us2.cloudbeds.com/connect/10074733072513#/reservations/31672627908844?display=Karl%20Seeley&amp;reservation_id=31672627908844&amp;guest_id=31672627908827", "Karl Seeley")</f>
        <v>Karl Seeley</v>
      </c>
      <c r="E385" t="s">
        <v>4774</v>
      </c>
      <c r="F385" t="s">
        <v>4762</v>
      </c>
      <c r="G385">
        <v>316</v>
      </c>
      <c r="H385">
        <v>343.46</v>
      </c>
      <c r="I385">
        <v>343.49</v>
      </c>
      <c r="J385">
        <v>-0.03</v>
      </c>
    </row>
    <row r="386" spans="1:10" x14ac:dyDescent="0.3">
      <c r="A386" t="str">
        <f>HYPERLINK("https://us2.cloudbeds.com/connect/10074733072513#/reservations/31672798089433?display=MH5YD9V7R&amp;reservation_id=31672798089433", "MH5YD9V7R")</f>
        <v>MH5YD9V7R</v>
      </c>
      <c r="B386" t="s">
        <v>10</v>
      </c>
      <c r="C386" t="s">
        <v>42</v>
      </c>
      <c r="D386" t="str">
        <f>HYPERLINK("https://us2.cloudbeds.com/connect/10074733072513#/reservations/31672798089433?display=Shawn%20Hill&amp;reservation_id=31672798089433&amp;guest_id=31672786817279", "Shawn Hill")</f>
        <v>Shawn Hill</v>
      </c>
      <c r="E386" t="s">
        <v>3781</v>
      </c>
      <c r="F386" t="s">
        <v>4799</v>
      </c>
      <c r="G386">
        <v>632.4</v>
      </c>
      <c r="H386">
        <v>687.39</v>
      </c>
      <c r="I386">
        <v>687.42</v>
      </c>
      <c r="J386">
        <v>-0.03</v>
      </c>
    </row>
    <row r="387" spans="1:10" x14ac:dyDescent="0.3">
      <c r="A387" t="str">
        <f>HYPERLINK("https://us2.cloudbeds.com/connect/10074733072513#/reservations/31673571369171?display=MH685BJY5&amp;reservation_id=31673571369171", "MH685BJY5")</f>
        <v>MH685BJY5</v>
      </c>
      <c r="B387" t="s">
        <v>10</v>
      </c>
      <c r="C387" t="s">
        <v>42</v>
      </c>
      <c r="D387" t="str">
        <f>HYPERLINK("https://us2.cloudbeds.com/connect/10074733072513#/reservations/31673571369171?display=Chad%20Plambeck&amp;reservation_id=31673571369171&amp;guest_id=31673571365077", "Chad Plambeck")</f>
        <v>Chad Plambeck</v>
      </c>
      <c r="E387" t="s">
        <v>4820</v>
      </c>
      <c r="F387" t="s">
        <v>4821</v>
      </c>
      <c r="G387">
        <v>316</v>
      </c>
      <c r="H387">
        <v>343.46</v>
      </c>
      <c r="I387">
        <v>343.49</v>
      </c>
      <c r="J387">
        <v>-0.03</v>
      </c>
    </row>
    <row r="388" spans="1:10" x14ac:dyDescent="0.3">
      <c r="A388" t="str">
        <f>HYPERLINK("https://us2.cloudbeds.com/connect/10074733072513#/reservations/31682722029751?display=MHDAWE72W&amp;reservation_id=31682722029751", "MHDAWE72W")</f>
        <v>MHDAWE72W</v>
      </c>
      <c r="B388" t="s">
        <v>10</v>
      </c>
      <c r="C388" t="s">
        <v>17</v>
      </c>
      <c r="D388" t="str">
        <f>HYPERLINK("https://us2.cloudbeds.com/connect/10074733072513#/reservations/31682722029751?display=Connie%20Hanten&amp;reservation_id=31682722029751&amp;guest_id=31682722029699", "Connie Hanten")</f>
        <v>Connie Hanten</v>
      </c>
      <c r="E388" t="s">
        <v>4852</v>
      </c>
      <c r="F388" t="s">
        <v>4853</v>
      </c>
      <c r="G388">
        <v>536.4</v>
      </c>
      <c r="H388">
        <v>583.04</v>
      </c>
      <c r="I388">
        <v>583.07000000000005</v>
      </c>
      <c r="J388">
        <v>-0.03</v>
      </c>
    </row>
    <row r="389" spans="1:10" x14ac:dyDescent="0.3">
      <c r="A389" t="str">
        <f>HYPERLINK("https://us2.cloudbeds.com/connect/10074733072513#/reservations/31673684557956?display=MH6B1Q7UB&amp;reservation_id=31673684557956", "MH6B1Q7UB")</f>
        <v>MH6B1Q7UB</v>
      </c>
      <c r="B389" t="s">
        <v>10</v>
      </c>
      <c r="C389" t="s">
        <v>14</v>
      </c>
      <c r="D389" t="str">
        <f>HYPERLINK("https://us2.cloudbeds.com/connect/10074733072513#/reservations/31673684557956?display=Verle%20Akes&amp;reservation_id=31673684557956&amp;guest_id=31673684557953", "Verle Akes")</f>
        <v>Verle Akes</v>
      </c>
      <c r="E389" t="s">
        <v>4876</v>
      </c>
      <c r="F389" t="s">
        <v>4877</v>
      </c>
      <c r="G389">
        <v>412.8</v>
      </c>
      <c r="H389">
        <v>448.68</v>
      </c>
      <c r="I389">
        <v>448.71</v>
      </c>
      <c r="J389">
        <v>-0.03</v>
      </c>
    </row>
    <row r="390" spans="1:10" x14ac:dyDescent="0.3">
      <c r="A390" t="str">
        <f>HYPERLINK("https://us2.cloudbeds.com/connect/10074733072513#/reservations/31673087148209?display=MH5SQ1E9M&amp;reservation_id=31673087148209", "MH5SQ1E9M")</f>
        <v>MH5SQ1E9M</v>
      </c>
      <c r="B390" t="s">
        <v>10</v>
      </c>
      <c r="C390" t="s">
        <v>42</v>
      </c>
      <c r="D390" t="str">
        <f>HYPERLINK("https://us2.cloudbeds.com/connect/10074733072513#/reservations/31673087148209?display=Daniel%20Thyen&amp;reservation_id=31673087148209&amp;guest_id=31673087148207", "Daniel Thyen")</f>
        <v>Daniel Thyen</v>
      </c>
      <c r="E390" t="s">
        <v>4884</v>
      </c>
      <c r="F390" t="s">
        <v>4885</v>
      </c>
      <c r="G390">
        <v>219</v>
      </c>
      <c r="H390">
        <v>238.02</v>
      </c>
      <c r="I390">
        <v>238.05</v>
      </c>
      <c r="J390">
        <v>-0.03</v>
      </c>
    </row>
    <row r="391" spans="1:10" x14ac:dyDescent="0.3">
      <c r="A391" t="str">
        <f>HYPERLINK("https://us2.cloudbeds.com/connect/10074733072513#/reservations/31674918559937?display=MH79JB5DP&amp;reservation_id=31674918559937", "MH79JB5DP")</f>
        <v>MH79JB5DP</v>
      </c>
      <c r="B391" t="s">
        <v>10</v>
      </c>
      <c r="C391" t="s">
        <v>11</v>
      </c>
      <c r="D391" t="str">
        <f>HYPERLINK("https://us2.cloudbeds.com/connect/10074733072513#/reservations/31674918559937?display=David%20Medawar&amp;reservation_id=31674918559937&amp;guest_id=31674918555877", "David Medawar")</f>
        <v>David Medawar</v>
      </c>
      <c r="E391" t="s">
        <v>4921</v>
      </c>
      <c r="F391" t="s">
        <v>4922</v>
      </c>
      <c r="G391">
        <v>234.49</v>
      </c>
      <c r="H391">
        <v>254.86</v>
      </c>
      <c r="I391">
        <v>254.89</v>
      </c>
      <c r="J391">
        <v>-0.03</v>
      </c>
    </row>
    <row r="392" spans="1:10" x14ac:dyDescent="0.3">
      <c r="A392" t="str">
        <f>HYPERLINK("https://us2.cloudbeds.com/connect/10074733072513#/reservations/31673586647189?display=MH68X7Z1D&amp;reservation_id=31673586647189", "MH68X7Z1D")</f>
        <v>MH68X7Z1D</v>
      </c>
      <c r="B392" t="s">
        <v>10</v>
      </c>
      <c r="C392" t="s">
        <v>42</v>
      </c>
      <c r="D392" t="str">
        <f>HYPERLINK("https://us2.cloudbeds.com/connect/10074733072513#/reservations/31673586647189?display=Jeff%20Potts&amp;reservation_id=31673586647189&amp;guest_id=30648910459063", "Jeff Potts")</f>
        <v>Jeff Potts</v>
      </c>
      <c r="E392" t="s">
        <v>2578</v>
      </c>
      <c r="F392" t="s">
        <v>4821</v>
      </c>
      <c r="G392">
        <v>1184</v>
      </c>
      <c r="H392">
        <v>1286.98</v>
      </c>
      <c r="I392">
        <v>1287.01</v>
      </c>
      <c r="J392">
        <v>-0.03</v>
      </c>
    </row>
    <row r="393" spans="1:10" x14ac:dyDescent="0.3">
      <c r="A393" t="str">
        <f>HYPERLINK("https://us2.cloudbeds.com/connect/10074733072513#/reservations/31672823808133?display=MH5M1WK1C&amp;reservation_id=31672823808133", "MH5M1WK1C")</f>
        <v>MH5M1WK1C</v>
      </c>
      <c r="B393" t="s">
        <v>10</v>
      </c>
      <c r="C393" t="s">
        <v>42</v>
      </c>
      <c r="D393" t="str">
        <f>HYPERLINK("https://us2.cloudbeds.com/connect/10074733072513#/reservations/31672823808133?display=Gene%20Westerbuhr&amp;reservation_id=31672823808133&amp;guest_id=31672823804036", "Gene Westerbuhr")</f>
        <v>Gene Westerbuhr</v>
      </c>
      <c r="E393" t="s">
        <v>4927</v>
      </c>
      <c r="F393" t="s">
        <v>4726</v>
      </c>
      <c r="G393">
        <v>316</v>
      </c>
      <c r="H393">
        <v>343.46</v>
      </c>
      <c r="I393">
        <v>343.49</v>
      </c>
      <c r="J393">
        <v>-0.03</v>
      </c>
    </row>
    <row r="394" spans="1:10" x14ac:dyDescent="0.3">
      <c r="A394" t="str">
        <f>HYPERLINK("https://us2.cloudbeds.com/connect/10074733072513#/reservations/31672667054240?display=MH5X1QN2D&amp;reservation_id=31672667054240", "MH5X1QN2D")</f>
        <v>MH5X1QN2D</v>
      </c>
      <c r="B394" t="s">
        <v>10</v>
      </c>
      <c r="C394" t="s">
        <v>42</v>
      </c>
      <c r="D394" t="str">
        <f>HYPERLINK("https://us2.cloudbeds.com/connect/10074733072513#/reservations/31672667054240?display=Juliann%20Perrigo&amp;reservation_id=31672667054240&amp;guest_id=31672415592653", "Juliann Perrigo")</f>
        <v>Juliann Perrigo</v>
      </c>
      <c r="E394" t="s">
        <v>4750</v>
      </c>
      <c r="F394" t="s">
        <v>4948</v>
      </c>
      <c r="G394">
        <v>436</v>
      </c>
      <c r="H394">
        <v>473.9</v>
      </c>
      <c r="I394">
        <v>473.93</v>
      </c>
      <c r="J394">
        <v>-0.03</v>
      </c>
    </row>
    <row r="395" spans="1:10" x14ac:dyDescent="0.3">
      <c r="A395" t="str">
        <f>HYPERLINK("https://us2.cloudbeds.com/connect/10074733072513#/reservations/31674144133301?display=MH6MQAJRV&amp;reservation_id=31674144133301", "MH6MQAJRV")</f>
        <v>MH6MQAJRV</v>
      </c>
      <c r="B395" t="s">
        <v>10</v>
      </c>
      <c r="C395" t="s">
        <v>42</v>
      </c>
      <c r="D395" t="str">
        <f>HYPERLINK("https://us2.cloudbeds.com/connect/10074733072513#/reservations/31674144133301?display=Emanuele%20Mazza&amp;reservation_id=31674144133301&amp;guest_id=31674133352665", "Emanuele Mazza")</f>
        <v>Emanuele Mazza</v>
      </c>
      <c r="E395" t="s">
        <v>4963</v>
      </c>
      <c r="F395" t="s">
        <v>4964</v>
      </c>
      <c r="G395">
        <v>645</v>
      </c>
      <c r="H395">
        <v>701.09</v>
      </c>
      <c r="I395">
        <v>701.12</v>
      </c>
      <c r="J395">
        <v>-0.03</v>
      </c>
    </row>
    <row r="396" spans="1:10" x14ac:dyDescent="0.3">
      <c r="A396" t="str">
        <f>HYPERLINK("https://us2.cloudbeds.com/connect/10074733072513#/reservations/31674274341060?display=MH6Q43R6K&amp;reservation_id=31674274341060", "MH6Q43R6K")</f>
        <v>MH6Q43R6K</v>
      </c>
      <c r="B396" t="s">
        <v>10</v>
      </c>
      <c r="C396" t="s">
        <v>23</v>
      </c>
      <c r="D396" t="str">
        <f>HYPERLINK("https://us2.cloudbeds.com/connect/10074733072513#/reservations/31674274341060?display=Nicholas%20Conrad%20Stabile%20Jashua%20Johnson&amp;reservation_id=31674274341060&amp;guest_id=31674274341058", "Nicholas Conrad Stabile Jashua Johnson")</f>
        <v>Nicholas Conrad Stabile Jashua Johnson</v>
      </c>
      <c r="E396" t="s">
        <v>5007</v>
      </c>
      <c r="F396" t="s">
        <v>4883</v>
      </c>
      <c r="G396">
        <v>436</v>
      </c>
      <c r="H396">
        <v>473.9</v>
      </c>
      <c r="I396">
        <v>473.93</v>
      </c>
      <c r="J396">
        <v>-0.03</v>
      </c>
    </row>
    <row r="397" spans="1:10" x14ac:dyDescent="0.3">
      <c r="A397" t="str">
        <f>HYPERLINK("https://us2.cloudbeds.com/connect/10074733072513#/reservations/31674161844466?display=MH6N88EHU&amp;reservation_id=31674161844466", "MH6N88EHU")</f>
        <v>MH6N88EHU</v>
      </c>
      <c r="B397" t="s">
        <v>10</v>
      </c>
      <c r="C397" t="s">
        <v>42</v>
      </c>
      <c r="D397" t="str">
        <f>HYPERLINK("https://us2.cloudbeds.com/connect/10074733072513#/reservations/31674161844466?display=Juli%20Perrigo&amp;reservation_id=31674161844466&amp;guest_id=31673663996081", "Juli Perrigo")</f>
        <v>Juli Perrigo</v>
      </c>
      <c r="E397" t="s">
        <v>5027</v>
      </c>
      <c r="F397" t="s">
        <v>4964</v>
      </c>
      <c r="G397">
        <v>436</v>
      </c>
      <c r="H397">
        <v>473.9</v>
      </c>
      <c r="I397">
        <v>473.93</v>
      </c>
      <c r="J397">
        <v>-0.03</v>
      </c>
    </row>
    <row r="398" spans="1:10" x14ac:dyDescent="0.3">
      <c r="A398" t="str">
        <f>HYPERLINK("https://us2.cloudbeds.com/connect/10074733072513#/reservations/31673924116694?display=MH6H5QAD1&amp;reservation_id=31673924116694", "MH6H5QAD1")</f>
        <v>MH6H5QAD1</v>
      </c>
      <c r="B398" t="s">
        <v>10</v>
      </c>
      <c r="C398" t="s">
        <v>20</v>
      </c>
      <c r="D398" t="str">
        <f>HYPERLINK("https://us2.cloudbeds.com/connect/10074733072513#/reservations/31673924116694?display=Sheri%20Muchow&amp;reservation_id=31673924116694&amp;guest_id=31673924116689", "Sheri Muchow")</f>
        <v>Sheri Muchow</v>
      </c>
      <c r="E398" t="s">
        <v>5093</v>
      </c>
      <c r="F398" t="s">
        <v>5094</v>
      </c>
      <c r="G398">
        <v>875.7</v>
      </c>
      <c r="H398">
        <v>951.86</v>
      </c>
      <c r="I398">
        <v>951.89</v>
      </c>
      <c r="J398">
        <v>-0.03</v>
      </c>
    </row>
    <row r="399" spans="1:10" x14ac:dyDescent="0.3">
      <c r="A399" t="str">
        <f>HYPERLINK("https://us2.cloudbeds.com/connect/10074733072513#/reservations/31674870575257?display=MH78BSUBX&amp;reservation_id=31674870575257", "MH78BSUBX")</f>
        <v>MH78BSUBX</v>
      </c>
      <c r="B399" t="s">
        <v>10</v>
      </c>
      <c r="C399" t="s">
        <v>42</v>
      </c>
      <c r="D399" t="str">
        <f>HYPERLINK("https://us2.cloudbeds.com/connect/10074733072513#/reservations/31674870575257?display=Andy%20Soll&amp;reservation_id=31674870575257&amp;guest_id=31674859827403", "Andy Soll")</f>
        <v>Andy Soll</v>
      </c>
      <c r="E399" t="s">
        <v>5103</v>
      </c>
      <c r="F399" t="s">
        <v>4922</v>
      </c>
      <c r="G399">
        <v>516</v>
      </c>
      <c r="H399">
        <v>560.86</v>
      </c>
      <c r="I399">
        <v>560.89</v>
      </c>
      <c r="J399">
        <v>-0.03</v>
      </c>
    </row>
    <row r="400" spans="1:10" x14ac:dyDescent="0.3">
      <c r="A400" t="str">
        <f>HYPERLINK("https://us2.cloudbeds.com/connect/10074733072513#/reservations/31673675108562?display=MH6AQR9Q2&amp;reservation_id=31673675108562", "MH6AQR9Q2")</f>
        <v>MH6AQR9Q2</v>
      </c>
      <c r="B400" t="s">
        <v>10</v>
      </c>
      <c r="C400" t="s">
        <v>42</v>
      </c>
      <c r="D400" t="str">
        <f>HYPERLINK("https://us2.cloudbeds.com/connect/10074733072513#/reservations/31673675108562?display=Juli%20Perrigo&amp;reservation_id=31673675108562&amp;guest_id=31673663996081", "Juli Perrigo")</f>
        <v>Juli Perrigo</v>
      </c>
      <c r="E400" t="s">
        <v>5027</v>
      </c>
      <c r="F400" t="s">
        <v>5039</v>
      </c>
      <c r="G400">
        <v>545</v>
      </c>
      <c r="H400">
        <v>592.39</v>
      </c>
      <c r="I400">
        <v>592.41999999999996</v>
      </c>
      <c r="J400">
        <v>-0.03</v>
      </c>
    </row>
    <row r="401" spans="1:10" x14ac:dyDescent="0.3">
      <c r="A401" t="str">
        <f>HYPERLINK("https://us2.cloudbeds.com/connect/10074733072513#/reservations/31673429065940?display=MH64HBQB1&amp;reservation_id=31673429065940", "MH64HBQB1")</f>
        <v>MH64HBQB1</v>
      </c>
      <c r="B401" t="s">
        <v>10</v>
      </c>
      <c r="C401" t="s">
        <v>121</v>
      </c>
      <c r="D401" t="str">
        <f>HYPERLINK("https://us2.cloudbeds.com/connect/10074733072513#/reservations/31673429065940?display=Keith%20Loberg&amp;reservation_id=31673429065940&amp;guest_id=30667674366083", "Keith Loberg")</f>
        <v>Keith Loberg</v>
      </c>
      <c r="E401" t="s">
        <v>5138</v>
      </c>
      <c r="F401" t="s">
        <v>5051</v>
      </c>
      <c r="G401">
        <v>219</v>
      </c>
      <c r="H401">
        <v>238.02</v>
      </c>
      <c r="I401">
        <v>238.05</v>
      </c>
      <c r="J401">
        <v>-0.03</v>
      </c>
    </row>
    <row r="402" spans="1:10" x14ac:dyDescent="0.3">
      <c r="A402" t="str">
        <f>HYPERLINK("https://us2.cloudbeds.com/connect/10074733072513#/reservations/31674026819747?display=MH6JQD5TP&amp;reservation_id=31674026819747", "MH6JQD5TP")</f>
        <v>MH6JQD5TP</v>
      </c>
      <c r="B402" t="s">
        <v>10</v>
      </c>
      <c r="C402" t="s">
        <v>42</v>
      </c>
      <c r="D402" t="str">
        <f>HYPERLINK("https://us2.cloudbeds.com/connect/10074733072513#/reservations/31674026819747?display=Michael%20Daniels&amp;reservation_id=31674026819747&amp;guest_id=30671090090186", "Michael Daniels")</f>
        <v>Michael Daniels</v>
      </c>
      <c r="E402" t="s">
        <v>3262</v>
      </c>
      <c r="F402" t="s">
        <v>4925</v>
      </c>
      <c r="G402">
        <v>219</v>
      </c>
      <c r="H402">
        <v>238.02</v>
      </c>
      <c r="I402">
        <v>238.05</v>
      </c>
      <c r="J402">
        <v>-0.03</v>
      </c>
    </row>
    <row r="403" spans="1:10" x14ac:dyDescent="0.3">
      <c r="A403" t="str">
        <f>HYPERLINK("https://us2.cloudbeds.com/connect/10074733072513#/reservations/31673131868387?display=MH5TUZRYJ&amp;reservation_id=31673131868387", "MH5TUZRYJ")</f>
        <v>MH5TUZRYJ</v>
      </c>
      <c r="B403" t="s">
        <v>10</v>
      </c>
      <c r="C403" t="s">
        <v>121</v>
      </c>
      <c r="D403" t="str">
        <f>HYPERLINK("https://us2.cloudbeds.com/connect/10074733072513#/reservations/31673131868387?display=Brian%20Jarvis&amp;reservation_id=31673131868387&amp;guest_id=31673122570375", "Brian Jarvis")</f>
        <v>Brian Jarvis</v>
      </c>
      <c r="E403" t="s">
        <v>3382</v>
      </c>
      <c r="F403" t="s">
        <v>5039</v>
      </c>
      <c r="G403">
        <v>219</v>
      </c>
      <c r="H403">
        <v>238.02</v>
      </c>
      <c r="I403">
        <v>238.05</v>
      </c>
      <c r="J403">
        <v>-0.03</v>
      </c>
    </row>
    <row r="404" spans="1:10" x14ac:dyDescent="0.3">
      <c r="A404" t="str">
        <f>HYPERLINK("https://us2.cloudbeds.com/connect/10074733072513#/reservations/31673881845988?display=MH6G352AX&amp;reservation_id=31673881845988", "MH6G352AX")</f>
        <v>MH6G352AX</v>
      </c>
      <c r="B404" t="s">
        <v>10</v>
      </c>
      <c r="C404" t="s">
        <v>14</v>
      </c>
      <c r="D404" t="str">
        <f>HYPERLINK("https://us2.cloudbeds.com/connect/10074733072513#/reservations/31673881845988?display=Lisa%20Turner-Gable&amp;reservation_id=31673881845988&amp;guest_id=31673881845975", "Lisa Turner-Gable")</f>
        <v>Lisa Turner-Gable</v>
      </c>
      <c r="E404" t="s">
        <v>5158</v>
      </c>
      <c r="F404" t="s">
        <v>5161</v>
      </c>
      <c r="G404">
        <v>330.88</v>
      </c>
      <c r="H404">
        <v>359.64</v>
      </c>
      <c r="I404">
        <v>359.67</v>
      </c>
      <c r="J404">
        <v>-0.03</v>
      </c>
    </row>
    <row r="405" spans="1:10" x14ac:dyDescent="0.3">
      <c r="A405" t="str">
        <f>HYPERLINK("https://us2.cloudbeds.com/connect/10074733072513#/reservations/31675183206540?display=MH7GBGBDQ&amp;reservation_id=31675183206540", "MH7GBGBDQ")</f>
        <v>MH7GBGBDQ</v>
      </c>
      <c r="B405" t="s">
        <v>10</v>
      </c>
      <c r="C405" t="s">
        <v>42</v>
      </c>
      <c r="D405" t="str">
        <f>HYPERLINK("https://us2.cloudbeds.com/connect/10074733072513#/reservations/31675183206540?display=Julian%20Perrigo&amp;reservation_id=31675183206540&amp;guest_id=31675171172596", "Julian Perrigo")</f>
        <v>Julian Perrigo</v>
      </c>
      <c r="E405" t="s">
        <v>5195</v>
      </c>
      <c r="F405" t="s">
        <v>4303</v>
      </c>
      <c r="G405">
        <v>436</v>
      </c>
      <c r="H405">
        <v>473.9</v>
      </c>
      <c r="I405">
        <v>473.93</v>
      </c>
      <c r="J405">
        <v>-0.03</v>
      </c>
    </row>
    <row r="406" spans="1:10" x14ac:dyDescent="0.3">
      <c r="A406" t="str">
        <f>HYPERLINK("https://us2.cloudbeds.com/connect/10074733072513#/reservations/31675332698243?display=MH7K5X5ND&amp;reservation_id=31675332698243", "MH7K5X5ND")</f>
        <v>MH7K5X5ND</v>
      </c>
      <c r="B406" t="s">
        <v>10</v>
      </c>
      <c r="C406" t="s">
        <v>42</v>
      </c>
      <c r="D406" t="str">
        <f>HYPERLINK("https://us2.cloudbeds.com/connect/10074733072513#/reservations/31675332698243?display=Rafflial%20Rosario&amp;reservation_id=31675332698243&amp;guest_id=31675317051554", "Rafflial Rosario")</f>
        <v>Rafflial Rosario</v>
      </c>
      <c r="E406" t="s">
        <v>4888</v>
      </c>
      <c r="F406" t="s">
        <v>4303</v>
      </c>
      <c r="G406">
        <v>356</v>
      </c>
      <c r="H406">
        <v>386.94</v>
      </c>
      <c r="I406">
        <v>386.97</v>
      </c>
      <c r="J406">
        <v>-0.03</v>
      </c>
    </row>
    <row r="407" spans="1:10" x14ac:dyDescent="0.3">
      <c r="A407" t="str">
        <f>HYPERLINK("https://us2.cloudbeds.com/connect/10074733072513#/reservations/31672995123447?display=MH5QEENCH&amp;reservation_id=31672995123447", "MH5QEENCH")</f>
        <v>MH5QEENCH</v>
      </c>
      <c r="B407" t="s">
        <v>10</v>
      </c>
      <c r="C407" t="s">
        <v>42</v>
      </c>
      <c r="D407" t="str">
        <f>HYPERLINK("https://us2.cloudbeds.com/connect/10074733072513#/reservations/31672995123447?display=Joseph%20Tewksbury&amp;reservation_id=31672995123447&amp;guest_id=31672986714266", "Joseph Tewksbury")</f>
        <v>Joseph Tewksbury</v>
      </c>
      <c r="E407" t="s">
        <v>5244</v>
      </c>
      <c r="F407" t="s">
        <v>5202</v>
      </c>
      <c r="G407">
        <v>316</v>
      </c>
      <c r="H407">
        <v>343.46</v>
      </c>
      <c r="I407">
        <v>343.49</v>
      </c>
      <c r="J407">
        <v>-0.03</v>
      </c>
    </row>
    <row r="408" spans="1:10" x14ac:dyDescent="0.3">
      <c r="A408" t="str">
        <f>HYPERLINK("https://us2.cloudbeds.com/connect/10074733072513#/reservations/31675311055035?display=MH7JK9UAK&amp;reservation_id=31675311055035", "MH7JK9UAK")</f>
        <v>MH7JK9UAK</v>
      </c>
      <c r="B408" t="s">
        <v>10</v>
      </c>
      <c r="C408" t="s">
        <v>42</v>
      </c>
      <c r="D408" t="str">
        <f>HYPERLINK("https://us2.cloudbeds.com/connect/10074733072513#/reservations/31675311055035?display=Jason%20Mitchell&amp;reservation_id=31675311055035&amp;guest_id=31675311055033", "Jason Mitchell")</f>
        <v>Jason Mitchell</v>
      </c>
      <c r="E408" t="s">
        <v>5253</v>
      </c>
      <c r="F408" t="s">
        <v>4827</v>
      </c>
      <c r="G408">
        <v>219</v>
      </c>
      <c r="H408">
        <v>238.02</v>
      </c>
      <c r="I408">
        <v>238.05</v>
      </c>
      <c r="J408">
        <v>-0.03</v>
      </c>
    </row>
    <row r="409" spans="1:10" x14ac:dyDescent="0.3">
      <c r="A409" t="str">
        <f>HYPERLINK("https://us2.cloudbeds.com/connect/10074733072513#/reservations/31675151044804?display=MH7FHCD4Z&amp;reservation_id=31675151044804", "MH7FHCD4Z")</f>
        <v>MH7FHCD4Z</v>
      </c>
      <c r="B409" t="s">
        <v>10</v>
      </c>
      <c r="C409" t="s">
        <v>42</v>
      </c>
      <c r="D409" t="str">
        <f>HYPERLINK("https://us2.cloudbeds.com/connect/10074733072513#/reservations/31675151044804?display=Joshua%20Alspaugh&amp;reservation_id=31675151044804&amp;guest_id=31675151044801", "Joshua Alspaugh")</f>
        <v>Joshua Alspaugh</v>
      </c>
      <c r="E409" t="s">
        <v>5262</v>
      </c>
      <c r="F409" t="s">
        <v>4827</v>
      </c>
      <c r="G409">
        <v>219</v>
      </c>
      <c r="H409">
        <v>238.02</v>
      </c>
      <c r="I409">
        <v>238.05</v>
      </c>
      <c r="J409">
        <v>-0.03</v>
      </c>
    </row>
    <row r="410" spans="1:10" x14ac:dyDescent="0.3">
      <c r="A410" t="str">
        <f>HYPERLINK("https://us2.cloudbeds.com/connect/10074733072513#/reservations/31673122312343?display=MH5TMMUJG&amp;reservation_id=31673122312343", "MH5TMMUJG")</f>
        <v>MH5TMMUJG</v>
      </c>
      <c r="B410" t="s">
        <v>10</v>
      </c>
      <c r="C410" t="s">
        <v>42</v>
      </c>
      <c r="D410" t="str">
        <f>HYPERLINK("https://us2.cloudbeds.com/connect/10074733072513#/reservations/31673122312343?display=Cameron%20Wiley&amp;reservation_id=31673122312343&amp;guest_id=31673122308249", "Cameron Wiley")</f>
        <v>Cameron Wiley</v>
      </c>
      <c r="E410" t="s">
        <v>5266</v>
      </c>
      <c r="F410" t="s">
        <v>5071</v>
      </c>
      <c r="G410">
        <v>736</v>
      </c>
      <c r="H410">
        <v>800</v>
      </c>
      <c r="I410">
        <v>800.03</v>
      </c>
      <c r="J410">
        <v>-0.03</v>
      </c>
    </row>
    <row r="411" spans="1:10" x14ac:dyDescent="0.3">
      <c r="A411" t="str">
        <f>HYPERLINK("https://us2.cloudbeds.com/connect/10074733072513#/reservations/31676213440645?display=MH89M7483&amp;reservation_id=31676213440645", "MH89M7483")</f>
        <v>MH89M7483</v>
      </c>
      <c r="B411" t="s">
        <v>10</v>
      </c>
      <c r="C411" t="s">
        <v>42</v>
      </c>
      <c r="D411" t="str">
        <f>HYPERLINK("https://us2.cloudbeds.com/connect/10074733072513#/reservations/31676213440645?display=Rick%20Gertsema&amp;reservation_id=31676213440645&amp;guest_id=31676213436550", "Rick Gertsema")</f>
        <v>Rick Gertsema</v>
      </c>
      <c r="E411" t="s">
        <v>5269</v>
      </c>
      <c r="F411" t="s">
        <v>4164</v>
      </c>
      <c r="G411">
        <v>656</v>
      </c>
      <c r="H411">
        <v>713.04</v>
      </c>
      <c r="I411">
        <v>713.07</v>
      </c>
      <c r="J411">
        <v>-0.03</v>
      </c>
    </row>
    <row r="412" spans="1:10" x14ac:dyDescent="0.3">
      <c r="A412" t="str">
        <f>HYPERLINK("https://us2.cloudbeds.com/connect/10074733072513#/reservations/31675459068038?display=MH7ND3JP4&amp;reservation_id=31675459068038", "MH7ND3JP4")</f>
        <v>MH7ND3JP4</v>
      </c>
      <c r="B412" t="s">
        <v>10</v>
      </c>
      <c r="C412" t="s">
        <v>42</v>
      </c>
      <c r="D412" t="str">
        <f>HYPERLINK("https://us2.cloudbeds.com/connect/10074733072513#/reservations/31675459068038?display=John%20Mattson&amp;reservation_id=31675459068038&amp;guest_id=31675459068033", "John Mattson")</f>
        <v>John Mattson</v>
      </c>
      <c r="E412" t="s">
        <v>5281</v>
      </c>
      <c r="F412" t="s">
        <v>5256</v>
      </c>
      <c r="G412">
        <v>686.7</v>
      </c>
      <c r="H412">
        <v>746.41</v>
      </c>
      <c r="I412">
        <v>746.44</v>
      </c>
      <c r="J412">
        <v>-0.03</v>
      </c>
    </row>
    <row r="413" spans="1:10" x14ac:dyDescent="0.3">
      <c r="A413" t="str">
        <f>HYPERLINK("https://us2.cloudbeds.com/connect/10074733072513#/reservations/31682476208323?display=MHD4N4SZR&amp;reservation_id=31682476208323", "MHD4N4SZR")</f>
        <v>MHD4N4SZR</v>
      </c>
      <c r="B413" t="s">
        <v>10</v>
      </c>
      <c r="C413" t="s">
        <v>42</v>
      </c>
      <c r="D413" t="str">
        <f>HYPERLINK("https://us2.cloudbeds.com/connect/10074733072513#/reservations/31682476208323?display=Deb%20Susemihl&amp;reservation_id=31682476208323&amp;guest_id=31682476208321", "Deb Susemihl")</f>
        <v>Deb Susemihl</v>
      </c>
      <c r="E413" t="s">
        <v>5282</v>
      </c>
      <c r="F413" t="s">
        <v>5283</v>
      </c>
      <c r="G413">
        <v>436</v>
      </c>
      <c r="H413">
        <v>473.9</v>
      </c>
      <c r="I413">
        <v>473.93</v>
      </c>
      <c r="J413">
        <v>-0.03</v>
      </c>
    </row>
    <row r="414" spans="1:10" x14ac:dyDescent="0.3">
      <c r="A414" t="str">
        <f>HYPERLINK("https://us2.cloudbeds.com/connect/10074733072513#/reservations/31682502922392?display=MHD5CM7J2&amp;reservation_id=31682502922392", "MHD5CM7J2")</f>
        <v>MHD5CM7J2</v>
      </c>
      <c r="B414" t="s">
        <v>10</v>
      </c>
      <c r="C414" t="s">
        <v>42</v>
      </c>
      <c r="D414" t="str">
        <f>HYPERLINK("https://us2.cloudbeds.com/connect/10074733072513#/reservations/31682502922392?display=Deb%20Susemihl&amp;reservation_id=31682502922392&amp;guest_id=31682476208321", "Deb Susemihl")</f>
        <v>Deb Susemihl</v>
      </c>
      <c r="E414" t="s">
        <v>5282</v>
      </c>
      <c r="F414" t="s">
        <v>5283</v>
      </c>
      <c r="G414">
        <v>436</v>
      </c>
      <c r="H414">
        <v>473.9</v>
      </c>
      <c r="I414">
        <v>473.93</v>
      </c>
      <c r="J414">
        <v>-0.03</v>
      </c>
    </row>
    <row r="415" spans="1:10" x14ac:dyDescent="0.3">
      <c r="A415" t="str">
        <f>HYPERLINK("https://us2.cloudbeds.com/connect/10074733072513#/reservations/31673136410819?display=MH5U1J7S1&amp;reservation_id=31673136410819", "MH5U1J7S1")</f>
        <v>MH5U1J7S1</v>
      </c>
      <c r="B415" t="s">
        <v>10</v>
      </c>
      <c r="C415" t="s">
        <v>42</v>
      </c>
      <c r="D415" t="str">
        <f>HYPERLINK("https://us2.cloudbeds.com/connect/10074733072513#/reservations/31673136410819?display=Solutions%20Underground&amp;reservation_id=31673136410819&amp;guest_id=31673136406723", "Solutions Underground")</f>
        <v>Solutions Underground</v>
      </c>
      <c r="E415" t="s">
        <v>5313</v>
      </c>
      <c r="F415" t="s">
        <v>5288</v>
      </c>
      <c r="G415">
        <v>316</v>
      </c>
      <c r="H415">
        <v>343.46</v>
      </c>
      <c r="I415">
        <v>343.49</v>
      </c>
      <c r="J415">
        <v>-0.03</v>
      </c>
    </row>
    <row r="416" spans="1:10" x14ac:dyDescent="0.3">
      <c r="A416" t="str">
        <f>HYPERLINK("https://us2.cloudbeds.com/connect/10074733072513#/reservations/31674441408696?display=MH6UCWZ08&amp;reservation_id=31674441408696", "MH6UCWZ08")</f>
        <v>MH6UCWZ08</v>
      </c>
      <c r="B416" t="s">
        <v>10</v>
      </c>
      <c r="C416" t="s">
        <v>42</v>
      </c>
      <c r="D416" t="str">
        <f>HYPERLINK("https://us2.cloudbeds.com/connect/10074733072513#/reservations/31674441408696?display=Federick%20Hundley&amp;reservation_id=31674441408696&amp;guest_id=31674441408693", "Federick Hundley")</f>
        <v>Federick Hundley</v>
      </c>
      <c r="E416" t="s">
        <v>5347</v>
      </c>
      <c r="F416" t="s">
        <v>5348</v>
      </c>
      <c r="G416">
        <v>219</v>
      </c>
      <c r="H416">
        <v>238.02</v>
      </c>
      <c r="I416">
        <v>238.05</v>
      </c>
      <c r="J416">
        <v>-0.03</v>
      </c>
    </row>
    <row r="417" spans="1:10" x14ac:dyDescent="0.3">
      <c r="A417" t="str">
        <f>HYPERLINK("https://us2.cloudbeds.com/connect/10074733072513#/reservations/31674453897436?display=MH6UNH82U&amp;reservation_id=31674453897436", "MH6UNH82U")</f>
        <v>MH6UNH82U</v>
      </c>
      <c r="B417" t="s">
        <v>10</v>
      </c>
      <c r="C417" t="s">
        <v>42</v>
      </c>
      <c r="D417" t="str">
        <f>HYPERLINK("https://us2.cloudbeds.com/connect/10074733072513#/reservations/31674453897436?display=Triston%20Mendenhall&amp;reservation_id=31674453897436&amp;guest_id=31674118000770", "Triston Mendenhall")</f>
        <v>Triston Mendenhall</v>
      </c>
      <c r="E417" t="s">
        <v>4257</v>
      </c>
      <c r="F417" t="s">
        <v>5348</v>
      </c>
      <c r="G417">
        <v>219</v>
      </c>
      <c r="H417">
        <v>238.02</v>
      </c>
      <c r="I417">
        <v>238.05</v>
      </c>
      <c r="J417">
        <v>-0.03</v>
      </c>
    </row>
    <row r="418" spans="1:10" x14ac:dyDescent="0.3">
      <c r="A418" t="str">
        <f>HYPERLINK("https://us2.cloudbeds.com/connect/10074733072513#/reservations/31673914130587?display=MH6GUCEDZ&amp;reservation_id=31673914130587", "MH6GUCEDZ")</f>
        <v>MH6GUCEDZ</v>
      </c>
      <c r="B418" t="s">
        <v>10</v>
      </c>
      <c r="C418" t="s">
        <v>42</v>
      </c>
      <c r="D418" t="str">
        <f>HYPERLINK("https://us2.cloudbeds.com/connect/10074733072513#/reservations/31673914130587?display=Cory%20Glick&amp;reservation_id=31673914130587&amp;guest_id=31672877940869", "Cory Glick")</f>
        <v>Cory Glick</v>
      </c>
      <c r="E418" t="s">
        <v>5004</v>
      </c>
      <c r="F418" t="s">
        <v>4141</v>
      </c>
      <c r="G418">
        <v>316</v>
      </c>
      <c r="H418">
        <v>343.46</v>
      </c>
      <c r="I418">
        <v>343.49</v>
      </c>
      <c r="J418">
        <v>-0.03</v>
      </c>
    </row>
    <row r="419" spans="1:10" x14ac:dyDescent="0.3">
      <c r="A419" t="str">
        <f>HYPERLINK("https://us2.cloudbeds.com/connect/10074733072513#/reservations/31674925596891?display=MH79P8W8Q&amp;reservation_id=31674925596891", "MH79P8W8Q")</f>
        <v>MH79P8W8Q</v>
      </c>
      <c r="B419" t="s">
        <v>10</v>
      </c>
      <c r="C419" t="s">
        <v>20</v>
      </c>
      <c r="D419" t="str">
        <f>HYPERLINK("https://us2.cloudbeds.com/connect/10074733072513#/reservations/31674925596891?display=Matt%20Urbanek&amp;reservation_id=31674925596891&amp;guest_id=31674914967690", "Matt Urbanek")</f>
        <v>Matt Urbanek</v>
      </c>
      <c r="E419" t="s">
        <v>5388</v>
      </c>
      <c r="F419" t="s">
        <v>5179</v>
      </c>
      <c r="G419">
        <v>481.28</v>
      </c>
      <c r="H419">
        <v>523.12</v>
      </c>
      <c r="I419">
        <v>523.15</v>
      </c>
      <c r="J419">
        <v>-0.03</v>
      </c>
    </row>
    <row r="420" spans="1:10" x14ac:dyDescent="0.3">
      <c r="A420" t="str">
        <f>HYPERLINK("https://us2.cloudbeds.com/connect/10074733072513#/reservations/31675819811045?display=MH7WK9QXD&amp;reservation_id=31675819811045", "MH7WK9QXD")</f>
        <v>MH7WK9QXD</v>
      </c>
      <c r="B420" t="s">
        <v>10</v>
      </c>
      <c r="C420" t="s">
        <v>23</v>
      </c>
      <c r="D420" t="str">
        <f>HYPERLINK("https://us2.cloudbeds.com/connect/10074733072513#/reservations/31675819811045?display=Ray%20William%20Bell&amp;reservation_id=31675819811045&amp;guest_id=31675819811042", "Ray William Bell")</f>
        <v>Ray William Bell</v>
      </c>
      <c r="E420" t="s">
        <v>5393</v>
      </c>
      <c r="F420" t="s">
        <v>5179</v>
      </c>
      <c r="G420">
        <v>436</v>
      </c>
      <c r="H420">
        <v>473.9</v>
      </c>
      <c r="I420">
        <v>473.93</v>
      </c>
      <c r="J420">
        <v>-0.03</v>
      </c>
    </row>
    <row r="421" spans="1:10" x14ac:dyDescent="0.3">
      <c r="A421" t="str">
        <f>HYPERLINK("https://us2.cloudbeds.com/connect/10074733072513#/reservations/31674093977772?display=MH6YH0VBD&amp;reservation_id=31674093977772", "MH6YH0VBD")</f>
        <v>MH6YH0VBD</v>
      </c>
      <c r="B421" t="s">
        <v>10</v>
      </c>
      <c r="C421" t="s">
        <v>42</v>
      </c>
      <c r="D421" t="str">
        <f>HYPERLINK("https://us2.cloudbeds.com/connect/10074733072513#/reservations/31674093977772?display=Eugene%20Neumann&amp;reservation_id=31674093977772&amp;guest_id=31674087366817", "Eugene Neumann")</f>
        <v>Eugene Neumann</v>
      </c>
      <c r="E421" t="s">
        <v>5409</v>
      </c>
      <c r="F421" t="s">
        <v>5172</v>
      </c>
      <c r="G421">
        <v>517.5</v>
      </c>
      <c r="H421">
        <v>562.49</v>
      </c>
      <c r="I421">
        <v>562.52</v>
      </c>
      <c r="J421">
        <v>-0.03</v>
      </c>
    </row>
    <row r="422" spans="1:10" x14ac:dyDescent="0.3">
      <c r="A422" t="str">
        <f>HYPERLINK("https://us2.cloudbeds.com/connect/10074733072513#/reservations/31677534085306?display=MH9ADR0E9&amp;reservation_id=31677534085306", "MH9ADR0E9")</f>
        <v>MH9ADR0E9</v>
      </c>
      <c r="B422" t="s">
        <v>10</v>
      </c>
      <c r="C422" t="s">
        <v>42</v>
      </c>
      <c r="D422" t="str">
        <f>HYPERLINK("https://us2.cloudbeds.com/connect/10074733072513#/reservations/31677534085306?display=Micheal%20Gertsema&amp;reservation_id=31677534085306&amp;guest_id=31677534085290", "Micheal Gertsema")</f>
        <v>Micheal Gertsema</v>
      </c>
      <c r="E422" t="s">
        <v>5422</v>
      </c>
      <c r="F422" t="s">
        <v>4164</v>
      </c>
      <c r="G422">
        <v>656</v>
      </c>
      <c r="H422">
        <v>713.04</v>
      </c>
      <c r="I422">
        <v>713.07</v>
      </c>
      <c r="J422">
        <v>-0.03</v>
      </c>
    </row>
    <row r="423" spans="1:10" x14ac:dyDescent="0.3">
      <c r="A423" t="str">
        <f>HYPERLINK("https://us2.cloudbeds.com/connect/10074733072513#/reservations/31675531845857?display=MH7P8FZNJ&amp;reservation_id=31675531845857", "MH7P8FZNJ")</f>
        <v>MH7P8FZNJ</v>
      </c>
      <c r="B423" t="s">
        <v>10</v>
      </c>
      <c r="C423" t="s">
        <v>20</v>
      </c>
      <c r="D423" t="str">
        <f>HYPERLINK("https://us2.cloudbeds.com/connect/10074733072513#/reservations/31675531845857?display=Katie%20Appeldorn&amp;reservation_id=31675531845857&amp;guest_id=31675531845855", "Katie Appeldorn")</f>
        <v>Katie Appeldorn</v>
      </c>
      <c r="E423" t="s">
        <v>5445</v>
      </c>
      <c r="F423" t="s">
        <v>5446</v>
      </c>
      <c r="G423">
        <v>224.48</v>
      </c>
      <c r="H423">
        <v>243.98</v>
      </c>
      <c r="I423">
        <v>244.01</v>
      </c>
      <c r="J423">
        <v>-0.03</v>
      </c>
    </row>
    <row r="424" spans="1:10" x14ac:dyDescent="0.3">
      <c r="A424" t="str">
        <f>HYPERLINK("https://us2.cloudbeds.com/connect/10074733072513#/reservations/31674297122997?display=MH6QNAP8B&amp;reservation_id=31674297122997", "MH6QNAP8B")</f>
        <v>MH6QNAP8B</v>
      </c>
      <c r="B424" t="s">
        <v>10</v>
      </c>
      <c r="C424" t="s">
        <v>42</v>
      </c>
      <c r="D424" t="str">
        <f>HYPERLINK("https://us2.cloudbeds.com/connect/10074733072513#/reservations/31674297122997?display=Darrin%20Lorenz&amp;reservation_id=31674297122997&amp;guest_id=31674297122953", "Darrin Lorenz")</f>
        <v>Darrin Lorenz</v>
      </c>
      <c r="E424" t="s">
        <v>5461</v>
      </c>
      <c r="F424" t="s">
        <v>5338</v>
      </c>
      <c r="G424">
        <v>545</v>
      </c>
      <c r="H424">
        <v>592.39</v>
      </c>
      <c r="I424">
        <v>592.41999999999996</v>
      </c>
      <c r="J424">
        <v>-0.03</v>
      </c>
    </row>
    <row r="425" spans="1:10" x14ac:dyDescent="0.3">
      <c r="A425" t="str">
        <f>HYPERLINK("https://us2.cloudbeds.com/connect/10074733072513#/reservations/31675995009203?display=MH8430VDG&amp;reservation_id=31675995009203", "MH8430VDG")</f>
        <v>MH8430VDG</v>
      </c>
      <c r="B425" t="s">
        <v>10</v>
      </c>
      <c r="C425" t="s">
        <v>17</v>
      </c>
      <c r="D425" t="str">
        <f>HYPERLINK("https://us2.cloudbeds.com/connect/10074733072513#/reservations/31675995009203?display=Jeny%20Bauer&amp;reservation_id=31675995009203&amp;guest_id=31675995009196", "Jeny Bauer")</f>
        <v>Jeny Bauer</v>
      </c>
      <c r="E425" t="s">
        <v>5471</v>
      </c>
      <c r="F425" t="s">
        <v>5234</v>
      </c>
      <c r="G425">
        <v>556</v>
      </c>
      <c r="H425">
        <v>604.34</v>
      </c>
      <c r="I425">
        <v>604.37</v>
      </c>
      <c r="J425">
        <v>-0.03</v>
      </c>
    </row>
    <row r="426" spans="1:10" x14ac:dyDescent="0.3">
      <c r="A426" t="str">
        <f>HYPERLINK("https://us2.cloudbeds.com/connect/10074733072513#/reservations/31674542166168?display=MH6WVVEUV&amp;reservation_id=31674542166168", "MH6WVVEUV")</f>
        <v>MH6WVVEUV</v>
      </c>
      <c r="B426" t="s">
        <v>10</v>
      </c>
      <c r="C426" t="s">
        <v>42</v>
      </c>
      <c r="D426" t="str">
        <f>HYPERLINK("https://us2.cloudbeds.com/connect/10074733072513#/reservations/31674542166168?display=Billy%20Patterson&amp;reservation_id=31674542166168&amp;guest_id=31674542166162", "Billy Patterson")</f>
        <v>Billy Patterson</v>
      </c>
      <c r="E426" t="s">
        <v>5521</v>
      </c>
      <c r="F426" t="s">
        <v>5522</v>
      </c>
      <c r="G426">
        <v>395</v>
      </c>
      <c r="H426">
        <v>429.34</v>
      </c>
      <c r="I426">
        <v>429.37</v>
      </c>
      <c r="J426">
        <v>-0.03</v>
      </c>
    </row>
    <row r="427" spans="1:10" x14ac:dyDescent="0.3">
      <c r="A427" t="str">
        <f>HYPERLINK("https://us2.cloudbeds.com/connect/10074733072513#/reservations/31674517831828?display=MH6WBEABZ&amp;reservation_id=31674517831828", "MH6WBEABZ")</f>
        <v>MH6WBEABZ</v>
      </c>
      <c r="B427" t="s">
        <v>10</v>
      </c>
      <c r="C427" t="s">
        <v>42</v>
      </c>
      <c r="D427" t="str">
        <f>HYPERLINK("https://us2.cloudbeds.com/connect/10074733072513#/reservations/31674517831828?display=Dylan%20Amick%20Vonn%20Railroad%20Consultants.&amp;reservation_id=31674517831828&amp;guest_id=31674517831826", "Dylan Amick Vonn Railroad Consultants.")</f>
        <v>Dylan Amick Vonn Railroad Consultants.</v>
      </c>
      <c r="E427" t="s">
        <v>5521</v>
      </c>
      <c r="F427" t="s">
        <v>5522</v>
      </c>
      <c r="G427">
        <v>395</v>
      </c>
      <c r="H427">
        <v>429.34</v>
      </c>
      <c r="I427">
        <v>429.37</v>
      </c>
      <c r="J427">
        <v>-0.03</v>
      </c>
    </row>
    <row r="428" spans="1:10" x14ac:dyDescent="0.3">
      <c r="A428" t="str">
        <f>HYPERLINK("https://us2.cloudbeds.com/connect/10074733072513#/reservations/31674670657756?display=MH7389UCF&amp;reservation_id=31674670657756", "MH7389UCF")</f>
        <v>MH7389UCF</v>
      </c>
      <c r="B428" t="s">
        <v>10</v>
      </c>
      <c r="C428" t="s">
        <v>42</v>
      </c>
      <c r="D428" t="str">
        <f>HYPERLINK("https://us2.cloudbeds.com/connect/10074733072513#/reservations/31674670657756?display=Ryan%20Jolly&amp;reservation_id=31674670657756&amp;guest_id=31674662228098", "Ryan Jolly")</f>
        <v>Ryan Jolly</v>
      </c>
      <c r="E428" t="s">
        <v>5525</v>
      </c>
      <c r="F428" t="s">
        <v>5512</v>
      </c>
      <c r="G428">
        <v>316</v>
      </c>
      <c r="H428">
        <v>343.46</v>
      </c>
      <c r="I428">
        <v>343.49</v>
      </c>
      <c r="J428">
        <v>-0.03</v>
      </c>
    </row>
    <row r="429" spans="1:10" x14ac:dyDescent="0.3">
      <c r="A429" t="str">
        <f>HYPERLINK("https://us2.cloudbeds.com/connect/10074733072513#/reservations/31674678026372?display=MH73EGVPS&amp;reservation_id=31674678026372", "MH73EGVPS")</f>
        <v>MH73EGVPS</v>
      </c>
      <c r="B429" t="s">
        <v>10</v>
      </c>
      <c r="C429" t="s">
        <v>42</v>
      </c>
      <c r="D429" t="str">
        <f>HYPERLINK("https://us2.cloudbeds.com/connect/10074733072513#/reservations/31674678026372?display=Jetty%20Steelman&amp;reservation_id=31674678026372&amp;guest_id=30662059970776", "Jetty Steelman")</f>
        <v>Jetty Steelman</v>
      </c>
      <c r="E429" t="s">
        <v>5528</v>
      </c>
      <c r="F429" t="s">
        <v>5512</v>
      </c>
      <c r="G429">
        <v>219</v>
      </c>
      <c r="H429">
        <v>238.02</v>
      </c>
      <c r="I429">
        <v>238.05</v>
      </c>
      <c r="J429">
        <v>-0.03</v>
      </c>
    </row>
    <row r="430" spans="1:10" x14ac:dyDescent="0.3">
      <c r="A430" t="str">
        <f>HYPERLINK("https://us2.cloudbeds.com/connect/10074733072513#/reservations/31679248928914?display=MHAY7R243&amp;reservation_id=31679248928914", "MHAY7R243")</f>
        <v>MHAY7R243</v>
      </c>
      <c r="B430" t="s">
        <v>10</v>
      </c>
      <c r="C430" t="s">
        <v>42</v>
      </c>
      <c r="D430" t="str">
        <f>HYPERLINK("https://us2.cloudbeds.com/connect/10074733072513#/reservations/31679248928914?display=Gene%20Westerbuhr&amp;reservation_id=31679248928914&amp;guest_id=31679248928909", "Gene Westerbuhr")</f>
        <v>Gene Westerbuhr</v>
      </c>
      <c r="E430" t="s">
        <v>4927</v>
      </c>
      <c r="F430" t="s">
        <v>5029</v>
      </c>
      <c r="G430">
        <v>316</v>
      </c>
      <c r="H430">
        <v>343.46</v>
      </c>
      <c r="I430">
        <v>343.49</v>
      </c>
      <c r="J430">
        <v>-0.03</v>
      </c>
    </row>
    <row r="431" spans="1:10" x14ac:dyDescent="0.3">
      <c r="A431" t="str">
        <f>HYPERLINK("https://us2.cloudbeds.com/connect/10074733072513#/reservations/31674732884193?display=MH74RPF92&amp;reservation_id=31674732884193", "MH74RPF92")</f>
        <v>MH74RPF92</v>
      </c>
      <c r="B431" t="s">
        <v>10</v>
      </c>
      <c r="C431" t="s">
        <v>42</v>
      </c>
      <c r="D431" t="str">
        <f>HYPERLINK("https://us2.cloudbeds.com/connect/10074733072513#/reservations/31674732884193?display=Devin%20Kruup&amp;reservation_id=31674732884193&amp;guest_id=31674732884166", "Devin Kruup")</f>
        <v>Devin Kruup</v>
      </c>
      <c r="E431" t="s">
        <v>5539</v>
      </c>
      <c r="F431" t="s">
        <v>4692</v>
      </c>
      <c r="G431">
        <v>316</v>
      </c>
      <c r="H431">
        <v>343.46</v>
      </c>
      <c r="I431">
        <v>343.49</v>
      </c>
      <c r="J431">
        <v>-0.03</v>
      </c>
    </row>
    <row r="432" spans="1:10" x14ac:dyDescent="0.3">
      <c r="A432" t="str">
        <f>HYPERLINK("https://us2.cloudbeds.com/connect/10074733072513#/reservations/31674551599249?display=MH706TV2U&amp;reservation_id=31674551599249", "MH706TV2U")</f>
        <v>MH706TV2U</v>
      </c>
      <c r="B432" t="s">
        <v>10</v>
      </c>
      <c r="C432" t="s">
        <v>42</v>
      </c>
      <c r="D432" t="str">
        <f>HYPERLINK("https://us2.cloudbeds.com/connect/10074733072513#/reservations/31674551599249?display=Brent%20Bowman%20Railroad%20Consultants.&amp;reservation_id=31674551599249&amp;guest_id=31674551599243", "Brent Bowman Railroad Consultants.")</f>
        <v>Brent Bowman Railroad Consultants.</v>
      </c>
      <c r="E432" t="s">
        <v>5521</v>
      </c>
      <c r="F432" t="s">
        <v>5522</v>
      </c>
      <c r="G432">
        <v>316</v>
      </c>
      <c r="H432">
        <v>343.46</v>
      </c>
      <c r="I432">
        <v>343.49</v>
      </c>
      <c r="J432">
        <v>-0.03</v>
      </c>
    </row>
    <row r="433" spans="1:10" x14ac:dyDescent="0.3">
      <c r="A433" t="str">
        <f>HYPERLINK("https://us2.cloudbeds.com/connect/10074733072513#/reservations/31681699446998?display=MHCHS5B9S&amp;reservation_id=31681699446998", "MHCHS5B9S")</f>
        <v>MHCHS5B9S</v>
      </c>
      <c r="B433" t="s">
        <v>10</v>
      </c>
      <c r="C433" t="s">
        <v>17</v>
      </c>
      <c r="D433" t="str">
        <f>HYPERLINK("https://us2.cloudbeds.com/connect/10074733072513#/reservations/31681699446998?display=Ryan%20Hansen&amp;reservation_id=31681699446998&amp;guest_id=31681699446979", "Ryan Hansen")</f>
        <v>Ryan Hansen</v>
      </c>
      <c r="E433" t="s">
        <v>5603</v>
      </c>
      <c r="F433" t="s">
        <v>5587</v>
      </c>
      <c r="G433">
        <v>716</v>
      </c>
      <c r="H433">
        <v>778.26</v>
      </c>
      <c r="I433">
        <v>778.29</v>
      </c>
      <c r="J433">
        <v>-0.03</v>
      </c>
    </row>
    <row r="434" spans="1:10" x14ac:dyDescent="0.3">
      <c r="A434" t="str">
        <f>HYPERLINK("https://us2.cloudbeds.com/connect/10074733072513#/reservations/31675192844450?display=MH7GJKHYM&amp;reservation_id=31675192844450", "MH7GJKHYM")</f>
        <v>MH7GJKHYM</v>
      </c>
      <c r="B434" t="s">
        <v>10</v>
      </c>
      <c r="C434" t="s">
        <v>42</v>
      </c>
      <c r="D434" t="str">
        <f>HYPERLINK("https://us2.cloudbeds.com/connect/10074733072513#/reservations/31675192844450?display=Devin%20Kruup&amp;reservation_id=31675192844450&amp;guest_id=31674732884166", "Devin Kruup")</f>
        <v>Devin Kruup</v>
      </c>
      <c r="E434" t="s">
        <v>5539</v>
      </c>
      <c r="F434" t="s">
        <v>5149</v>
      </c>
      <c r="G434">
        <v>316</v>
      </c>
      <c r="H434">
        <v>343.46</v>
      </c>
      <c r="I434">
        <v>343.49</v>
      </c>
      <c r="J434">
        <v>-0.03</v>
      </c>
    </row>
    <row r="435" spans="1:10" x14ac:dyDescent="0.3">
      <c r="A435" t="str">
        <f>HYPERLINK("https://us2.cloudbeds.com/connect/10074733072513#/reservations/31675195928776?display=MH7GM7BU3&amp;reservation_id=31675195928776", "MH7GM7BU3")</f>
        <v>MH7GM7BU3</v>
      </c>
      <c r="B435" t="s">
        <v>10</v>
      </c>
      <c r="C435" t="s">
        <v>42</v>
      </c>
      <c r="D435" t="str">
        <f>HYPERLINK("https://us2.cloudbeds.com/connect/10074733072513#/reservations/31675195928776?display=Travis%20And%20Shane%20Underground%20Solutions&amp;reservation_id=31675195928776&amp;guest_id=31675195924734", "Travis And Shane Underground Solutions")</f>
        <v>Travis And Shane Underground Solutions</v>
      </c>
      <c r="E435" t="s">
        <v>5613</v>
      </c>
      <c r="F435" t="s">
        <v>5149</v>
      </c>
      <c r="G435">
        <v>316</v>
      </c>
      <c r="H435">
        <v>343.46</v>
      </c>
      <c r="I435">
        <v>343.49</v>
      </c>
      <c r="J435">
        <v>-0.03</v>
      </c>
    </row>
    <row r="436" spans="1:10" x14ac:dyDescent="0.3">
      <c r="A436" t="str">
        <f>HYPERLINK("https://us2.cloudbeds.com/connect/10074733072513#/reservations/31681069605081?display=MHC1P2223&amp;reservation_id=31681069605081", "MHC1P2223")</f>
        <v>MHC1P2223</v>
      </c>
      <c r="B436" t="s">
        <v>10</v>
      </c>
      <c r="C436" t="s">
        <v>14</v>
      </c>
      <c r="D436" t="str">
        <f>HYPERLINK("https://us2.cloudbeds.com/connect/10074733072513#/reservations/31681069605081?display=Daric%20Bossman&amp;reservation_id=31681069605081&amp;guest_id=31681069601002", "Daric Bossman")</f>
        <v>Daric Bossman</v>
      </c>
      <c r="E436" t="s">
        <v>5635</v>
      </c>
      <c r="F436" t="s">
        <v>5636</v>
      </c>
      <c r="G436">
        <v>420.3</v>
      </c>
      <c r="H436">
        <v>456.84</v>
      </c>
      <c r="I436">
        <v>456.87</v>
      </c>
      <c r="J436">
        <v>-0.03</v>
      </c>
    </row>
    <row r="437" spans="1:10" x14ac:dyDescent="0.3">
      <c r="A437" t="str">
        <f>HYPERLINK("https://us2.cloudbeds.com/connect/10074733072513#/reservations/31677024694483?display=MH8UD9F8N&amp;reservation_id=31677024694483", "MH8UD9F8N")</f>
        <v>MH8UD9F8N</v>
      </c>
      <c r="B437" t="s">
        <v>10</v>
      </c>
      <c r="C437" t="s">
        <v>23</v>
      </c>
      <c r="D437" t="str">
        <f>HYPERLINK("https://us2.cloudbeds.com/connect/10074733072513#/reservations/31677024694483?display=Jeff%20Solem&amp;reservation_id=31677024694483&amp;guest_id=31677024690402", "Jeff Solem")</f>
        <v>Jeff Solem</v>
      </c>
      <c r="E437" t="s">
        <v>5642</v>
      </c>
      <c r="F437" t="s">
        <v>4676</v>
      </c>
      <c r="G437">
        <v>600.29999999999995</v>
      </c>
      <c r="H437">
        <v>652.5</v>
      </c>
      <c r="I437">
        <v>652.53</v>
      </c>
      <c r="J437">
        <v>-0.03</v>
      </c>
    </row>
    <row r="438" spans="1:10" x14ac:dyDescent="0.3">
      <c r="A438" t="str">
        <f>HYPERLINK("https://us2.cloudbeds.com/connect/10074733072513#/reservations/31675655119012?display=MH7SDE06Z&amp;reservation_id=31675655119012", "MH7SDE06Z")</f>
        <v>MH7SDE06Z</v>
      </c>
      <c r="B438" t="s">
        <v>10</v>
      </c>
      <c r="C438" t="s">
        <v>42</v>
      </c>
      <c r="D438" t="str">
        <f>HYPERLINK("https://us2.cloudbeds.com/connect/10074733072513#/reservations/31675655119012?display=Jetty%20Steelman&amp;reservation_id=31675655119012&amp;guest_id=30662059970776", "Jetty Steelman")</f>
        <v>Jetty Steelman</v>
      </c>
      <c r="E438" t="s">
        <v>5528</v>
      </c>
      <c r="F438" t="s">
        <v>5446</v>
      </c>
      <c r="G438">
        <v>219</v>
      </c>
      <c r="H438">
        <v>238.02</v>
      </c>
      <c r="I438">
        <v>238.05</v>
      </c>
      <c r="J438">
        <v>-0.03</v>
      </c>
    </row>
    <row r="439" spans="1:10" x14ac:dyDescent="0.3">
      <c r="A439" t="str">
        <f>HYPERLINK("https://us2.cloudbeds.com/connect/10074733072513#/reservations/31678353916034?display=MH9VC40CM&amp;reservation_id=31678353916034", "MH9VC40CM")</f>
        <v>MH9VC40CM</v>
      </c>
      <c r="B439" t="s">
        <v>10</v>
      </c>
      <c r="C439" t="s">
        <v>42</v>
      </c>
      <c r="D439" t="str">
        <f>HYPERLINK("https://us2.cloudbeds.com/connect/10074733072513#/reservations/31678353916034?display=Greg%20Brusven&amp;reservation_id=31678353916034&amp;guest_id=17963408818374", "Greg Brusven")</f>
        <v>Greg Brusven</v>
      </c>
      <c r="E439" t="s">
        <v>2398</v>
      </c>
      <c r="F439" t="s">
        <v>5340</v>
      </c>
      <c r="G439">
        <v>356</v>
      </c>
      <c r="H439">
        <v>386.94</v>
      </c>
      <c r="I439">
        <v>386.97</v>
      </c>
      <c r="J439">
        <v>-0.03</v>
      </c>
    </row>
    <row r="440" spans="1:10" x14ac:dyDescent="0.3">
      <c r="A440" t="str">
        <f>HYPERLINK("https://us2.cloudbeds.com/connect/10074733072513#/reservations/31675590488200?display=MH7QZUXE9&amp;reservation_id=31675590488200", "MH7QZUXE9")</f>
        <v>MH7QZUXE9</v>
      </c>
      <c r="B440" t="s">
        <v>10</v>
      </c>
      <c r="C440" t="s">
        <v>42</v>
      </c>
      <c r="D440" t="str">
        <f>HYPERLINK("https://us2.cloudbeds.com/connect/10074733072513#/reservations/31675590488200?display=Brent%20Bowman%20Railroad%20Consultants.&amp;reservation_id=31675590488200&amp;guest_id=31674551599243", "Brent Bowman Railroad Consultants.")</f>
        <v>Brent Bowman Railroad Consultants.</v>
      </c>
      <c r="E440" t="s">
        <v>5521</v>
      </c>
      <c r="F440" t="s">
        <v>5446</v>
      </c>
      <c r="G440">
        <v>316</v>
      </c>
      <c r="H440">
        <v>343.46</v>
      </c>
      <c r="I440">
        <v>343.49</v>
      </c>
      <c r="J440">
        <v>-0.03</v>
      </c>
    </row>
    <row r="441" spans="1:10" x14ac:dyDescent="0.3">
      <c r="A441" t="str">
        <f>HYPERLINK("https://us2.cloudbeds.com/connect/10074733072513#/reservations/31684368847044?display=MHEK22B0B&amp;reservation_id=31684368847044", "MHEK22B0B")</f>
        <v>MHEK22B0B</v>
      </c>
      <c r="B441" t="s">
        <v>10</v>
      </c>
      <c r="C441" t="s">
        <v>42</v>
      </c>
      <c r="D441" t="str">
        <f>HYPERLINK("https://us2.cloudbeds.com/connect/10074733072513#/reservations/31684368847044?display=Kimberlee%20Viggerstaff&amp;reservation_id=31684368847044&amp;guest_id=31684368842996", "Kimberlee Viggerstaff")</f>
        <v>Kimberlee Viggerstaff</v>
      </c>
      <c r="E441" t="s">
        <v>5662</v>
      </c>
      <c r="F441" t="s">
        <v>5247</v>
      </c>
      <c r="G441">
        <v>476</v>
      </c>
      <c r="H441">
        <v>517.38</v>
      </c>
      <c r="I441">
        <v>517.41</v>
      </c>
      <c r="J441">
        <v>-0.03</v>
      </c>
    </row>
    <row r="442" spans="1:10" x14ac:dyDescent="0.3">
      <c r="A442" t="str">
        <f>HYPERLINK("https://us2.cloudbeds.com/connect/10074733072513#/reservations/31675215151288?display=MH7H5E8EE&amp;reservation_id=31675215151288", "MH7H5E8EE")</f>
        <v>MH7H5E8EE</v>
      </c>
      <c r="B442" t="s">
        <v>10</v>
      </c>
      <c r="C442" t="s">
        <v>11</v>
      </c>
      <c r="D442" t="str">
        <f>HYPERLINK("https://us2.cloudbeds.com/connect/10074733072513#/reservations/31675215151288?display=Tyrone%20Smiley&amp;reservation_id=31675215151288&amp;guest_id=31675215151284", "Tyrone Smiley")</f>
        <v>Tyrone Smiley</v>
      </c>
      <c r="E442" t="s">
        <v>1319</v>
      </c>
      <c r="F442" t="s">
        <v>5703</v>
      </c>
      <c r="G442">
        <v>334.97</v>
      </c>
      <c r="H442">
        <v>364.08</v>
      </c>
      <c r="I442">
        <v>364.11</v>
      </c>
      <c r="J442">
        <v>-0.03</v>
      </c>
    </row>
    <row r="443" spans="1:10" x14ac:dyDescent="0.3">
      <c r="A443" t="str">
        <f>HYPERLINK("https://us2.cloudbeds.com/connect/10074733072513#/reservations/31677058158776?display=MH8V8GYY7&amp;reservation_id=31677058158776", "MH8V8GYY7")</f>
        <v>MH8V8GYY7</v>
      </c>
      <c r="B443" t="s">
        <v>10</v>
      </c>
      <c r="C443" t="s">
        <v>42</v>
      </c>
      <c r="D443" t="str">
        <f>HYPERLINK("https://us2.cloudbeds.com/connect/10074733072513#/reservations/31677058158776?display=Michael%20Daniels&amp;reservation_id=31677058158776&amp;guest_id=30671090090186", "Michael Daniels")</f>
        <v>Michael Daniels</v>
      </c>
      <c r="E443" t="s">
        <v>3262</v>
      </c>
      <c r="F443" t="s">
        <v>5590</v>
      </c>
      <c r="G443">
        <v>219</v>
      </c>
      <c r="H443">
        <v>238.02</v>
      </c>
      <c r="I443">
        <v>238.05</v>
      </c>
      <c r="J443">
        <v>-0.03</v>
      </c>
    </row>
    <row r="444" spans="1:10" x14ac:dyDescent="0.3">
      <c r="A444" t="str">
        <f>HYPERLINK("https://us2.cloudbeds.com/connect/10074733072513#/reservations/31676260790463?display=MH8AT4NB2&amp;reservation_id=31676260790463", "MH8AT4NB2")</f>
        <v>MH8AT4NB2</v>
      </c>
      <c r="B444" t="s">
        <v>10</v>
      </c>
      <c r="C444" t="s">
        <v>42</v>
      </c>
      <c r="D444" t="str">
        <f>HYPERLINK("https://us2.cloudbeds.com/connect/10074733072513#/reservations/31676260790463?display=Billy%20Patterson&amp;reservation_id=31676260790463&amp;guest_id=31674542166162", "Billy Patterson")</f>
        <v>Billy Patterson</v>
      </c>
      <c r="E444" t="s">
        <v>5521</v>
      </c>
      <c r="F444" t="s">
        <v>5646</v>
      </c>
      <c r="G444">
        <v>316</v>
      </c>
      <c r="H444">
        <v>343.46</v>
      </c>
      <c r="I444">
        <v>343.49</v>
      </c>
      <c r="J444">
        <v>-0.03</v>
      </c>
    </row>
    <row r="445" spans="1:10" x14ac:dyDescent="0.3">
      <c r="A445" t="str">
        <f>HYPERLINK("https://us2.cloudbeds.com/connect/10074733072513#/reservations/31683689177330?display=MHE2MVH7D&amp;reservation_id=31683689177330", "MHE2MVH7D")</f>
        <v>MHE2MVH7D</v>
      </c>
      <c r="B445" t="s">
        <v>10</v>
      </c>
      <c r="C445" t="s">
        <v>20</v>
      </c>
      <c r="D445" t="str">
        <f>HYPERLINK("https://us2.cloudbeds.com/connect/10074733072513#/reservations/31683689177330?display=Terry%20Biberdorf&amp;reservation_id=31683689177330&amp;guest_id=31683678220439", "Terry Biberdorf")</f>
        <v>Terry Biberdorf</v>
      </c>
      <c r="E445" t="s">
        <v>5716</v>
      </c>
      <c r="F445" t="s">
        <v>5717</v>
      </c>
      <c r="G445">
        <v>354.45</v>
      </c>
      <c r="H445">
        <v>385.26</v>
      </c>
      <c r="I445">
        <v>385.29</v>
      </c>
      <c r="J445">
        <v>-0.03</v>
      </c>
    </row>
    <row r="446" spans="1:10" x14ac:dyDescent="0.3">
      <c r="A446" t="str">
        <f>HYPERLINK("https://us2.cloudbeds.com/connect/10074733072513#/reservations/31676695634127?display=MH8YWQSQQ&amp;reservation_id=31676695634127", "MH8YWQSQQ")</f>
        <v>MH8YWQSQQ</v>
      </c>
      <c r="B446" t="s">
        <v>10</v>
      </c>
      <c r="C446" t="s">
        <v>42</v>
      </c>
      <c r="D446" t="str">
        <f>HYPERLINK("https://us2.cloudbeds.com/connect/10074733072513#/reservations/31676695634127?display=Christina%20Weeks&amp;reservation_id=31676695634127&amp;guest_id=31676695634125", "Christina Weeks")</f>
        <v>Christina Weeks</v>
      </c>
      <c r="E446" t="s">
        <v>5777</v>
      </c>
      <c r="F446" t="s">
        <v>5778</v>
      </c>
      <c r="G446">
        <v>476</v>
      </c>
      <c r="H446">
        <v>517.38</v>
      </c>
      <c r="I446">
        <v>517.41</v>
      </c>
      <c r="J446">
        <v>-0.03</v>
      </c>
    </row>
    <row r="447" spans="1:10" x14ac:dyDescent="0.3">
      <c r="A447" t="str">
        <f>HYPERLINK("https://us2.cloudbeds.com/connect/10074733072513#/reservations/31676258934965?display=MH8ARJ2FS&amp;reservation_id=31676258934965", "MH8ARJ2FS")</f>
        <v>MH8ARJ2FS</v>
      </c>
      <c r="B447" t="s">
        <v>10</v>
      </c>
      <c r="C447" t="s">
        <v>42</v>
      </c>
      <c r="D447" t="str">
        <f>HYPERLINK("https://us2.cloudbeds.com/connect/10074733072513#/reservations/31676258934965?display=Jetty%20Steelman&amp;reservation_id=31676258934965&amp;guest_id=30670156488918", "Jetty Steelman")</f>
        <v>Jetty Steelman</v>
      </c>
      <c r="E447" t="s">
        <v>5528</v>
      </c>
      <c r="F447" t="s">
        <v>5574</v>
      </c>
      <c r="G447">
        <v>219</v>
      </c>
      <c r="H447">
        <v>238.02</v>
      </c>
      <c r="I447">
        <v>238.05</v>
      </c>
      <c r="J447">
        <v>-0.03</v>
      </c>
    </row>
    <row r="448" spans="1:10" x14ac:dyDescent="0.3">
      <c r="A448" t="str">
        <f>HYPERLINK("https://us2.cloudbeds.com/connect/10074733072513#/reservations/31677105459331?display=MH8WFCSGC&amp;reservation_id=31677105459331", "MH8WFCSGC")</f>
        <v>MH8WFCSGC</v>
      </c>
      <c r="B448" t="s">
        <v>10</v>
      </c>
      <c r="C448" t="s">
        <v>20</v>
      </c>
      <c r="D448" t="str">
        <f>HYPERLINK("https://us2.cloudbeds.com/connect/10074733072513#/reservations/31677105459331?display=Jill%20Graham&amp;reservation_id=31677105459331&amp;guest_id=31677105455233", "Jill Graham")</f>
        <v>Jill Graham</v>
      </c>
      <c r="E448" t="s">
        <v>5824</v>
      </c>
      <c r="F448" t="s">
        <v>5286</v>
      </c>
      <c r="G448">
        <v>591.6</v>
      </c>
      <c r="H448">
        <v>643.04</v>
      </c>
      <c r="I448">
        <v>643.07000000000005</v>
      </c>
      <c r="J448">
        <v>-0.03</v>
      </c>
    </row>
    <row r="449" spans="1:10" x14ac:dyDescent="0.3">
      <c r="A449" t="str">
        <f>HYPERLINK("https://us2.cloudbeds.com/connect/10074733072513#/reservations/31681000235203?display=MHBWWXZHY&amp;reservation_id=31681000235203", "MHBWWXZHY")</f>
        <v>MHBWWXZHY</v>
      </c>
      <c r="B449" t="s">
        <v>10</v>
      </c>
      <c r="C449" t="s">
        <v>20</v>
      </c>
      <c r="D449" t="str">
        <f>HYPERLINK("https://us2.cloudbeds.com/connect/10074733072513#/reservations/31681000235203?display=Sarah%20Van%20Tassel&amp;reservation_id=31681000235203&amp;guest_id=31681000235201", "Sarah Van Tassel")</f>
        <v>Sarah Van Tassel</v>
      </c>
      <c r="E449" t="s">
        <v>5851</v>
      </c>
      <c r="F449" t="s">
        <v>5688</v>
      </c>
      <c r="G449">
        <v>473.45</v>
      </c>
      <c r="H449">
        <v>514.61</v>
      </c>
      <c r="I449">
        <v>514.64</v>
      </c>
      <c r="J449">
        <v>-0.03</v>
      </c>
    </row>
    <row r="450" spans="1:10" x14ac:dyDescent="0.3">
      <c r="A450" t="str">
        <f>HYPERLINK("https://us2.cloudbeds.com/connect/10074733072513#/reservations/31675474280658?display=MH7NPUU3H&amp;reservation_id=31675474280658", "MH7NPUU3H")</f>
        <v>MH7NPUU3H</v>
      </c>
      <c r="B450" t="s">
        <v>10</v>
      </c>
      <c r="C450" t="s">
        <v>42</v>
      </c>
      <c r="D450" t="str">
        <f>HYPERLINK("https://us2.cloudbeds.com/connect/10074733072513#/reservations/31675474280658?display=Jetty%20Steelman&amp;reservation_id=31675474280658&amp;guest_id=30670156488918", "Jetty Steelman")</f>
        <v>Jetty Steelman</v>
      </c>
      <c r="E450" t="s">
        <v>5528</v>
      </c>
      <c r="F450" t="s">
        <v>5549</v>
      </c>
      <c r="G450">
        <v>219</v>
      </c>
      <c r="H450">
        <v>238.02</v>
      </c>
      <c r="I450">
        <v>238.05</v>
      </c>
      <c r="J450">
        <v>-0.03</v>
      </c>
    </row>
    <row r="451" spans="1:10" x14ac:dyDescent="0.3">
      <c r="A451" t="str">
        <f>HYPERLINK("https://us2.cloudbeds.com/connect/10074733072513#/reservations/31675456442586?display=MH7NATHSW&amp;reservation_id=31675456442586", "MH7NATHSW")</f>
        <v>MH7NATHSW</v>
      </c>
      <c r="B451" t="s">
        <v>10</v>
      </c>
      <c r="C451" t="s">
        <v>42</v>
      </c>
      <c r="D451" t="str">
        <f>HYPERLINK("https://us2.cloudbeds.com/connect/10074733072513#/reservations/31675456442586?display=Daniel%20Kahlstorf&amp;reservation_id=31675456442586&amp;guest_id=31675447382154", "Daniel Kahlstorf")</f>
        <v>Daniel Kahlstorf</v>
      </c>
      <c r="E451" t="s">
        <v>5683</v>
      </c>
      <c r="F451" t="s">
        <v>5549</v>
      </c>
      <c r="G451">
        <v>219</v>
      </c>
      <c r="H451">
        <v>238.02</v>
      </c>
      <c r="I451">
        <v>238.05</v>
      </c>
      <c r="J451">
        <v>-0.03</v>
      </c>
    </row>
    <row r="452" spans="1:10" x14ac:dyDescent="0.3">
      <c r="A452" t="str">
        <f>HYPERLINK("https://us2.cloudbeds.com/connect/10074733072513#/reservations/31680284627089?display=MHBEN4TF9&amp;reservation_id=31680284627089", "MHBEN4TF9")</f>
        <v>MHBEN4TF9</v>
      </c>
      <c r="B452" t="s">
        <v>10</v>
      </c>
      <c r="C452" t="s">
        <v>42</v>
      </c>
      <c r="D452" t="str">
        <f>HYPERLINK("https://us2.cloudbeds.com/connect/10074733072513#/reservations/31680284627089?display=Alicia%20Rosales&amp;reservation_id=31680284627089&amp;guest_id=31680278982900", "Alicia Rosales")</f>
        <v>Alicia Rosales</v>
      </c>
      <c r="E452" t="s">
        <v>5896</v>
      </c>
      <c r="F452" t="s">
        <v>2815</v>
      </c>
      <c r="G452">
        <v>695</v>
      </c>
      <c r="H452">
        <v>755.44</v>
      </c>
      <c r="I452">
        <v>755.47</v>
      </c>
      <c r="J452">
        <v>-0.03</v>
      </c>
    </row>
    <row r="453" spans="1:10" x14ac:dyDescent="0.3">
      <c r="A453" t="str">
        <f>HYPERLINK("https://us2.cloudbeds.com/connect/10074733072513#/reservations/31681131446486?display=MHC3B6TD4&amp;reservation_id=31681131446486", "MHC3B6TD4")</f>
        <v>MHC3B6TD4</v>
      </c>
      <c r="B453" t="s">
        <v>10</v>
      </c>
      <c r="C453" t="s">
        <v>42</v>
      </c>
      <c r="D453" t="str">
        <f>HYPERLINK("https://us2.cloudbeds.com/connect/10074733072513#/reservations/31681131446486?display=Katie%20Iwanka&amp;reservation_id=31681131446486&amp;guest_id=31681121616059", "Katie Iwanka")</f>
        <v>Katie Iwanka</v>
      </c>
      <c r="E453" t="s">
        <v>5929</v>
      </c>
      <c r="F453" t="s">
        <v>4979</v>
      </c>
      <c r="G453">
        <v>596</v>
      </c>
      <c r="H453">
        <v>647.82000000000005</v>
      </c>
      <c r="I453">
        <v>647.85</v>
      </c>
      <c r="J453">
        <v>-0.03</v>
      </c>
    </row>
    <row r="454" spans="1:10" x14ac:dyDescent="0.3">
      <c r="A454" t="str">
        <f>HYPERLINK("https://us2.cloudbeds.com/connect/10074733072513#/reservations/31680564920520?display=MHBYSGFHK&amp;reservation_id=31680564920520", "MHBYSGFHK")</f>
        <v>MHBYSGFHK</v>
      </c>
      <c r="B454" t="s">
        <v>10</v>
      </c>
      <c r="C454" t="s">
        <v>17</v>
      </c>
      <c r="D454" t="str">
        <f>HYPERLINK("https://us2.cloudbeds.com/connect/10074733072513#/reservations/31680564920520?display=Lawrence%20Lynch&amp;reservation_id=31680564920520&amp;guest_id=31680564920516", "Lawrence Lynch")</f>
        <v>Lawrence Lynch</v>
      </c>
      <c r="E454" t="s">
        <v>5932</v>
      </c>
      <c r="F454" t="s">
        <v>5326</v>
      </c>
      <c r="G454">
        <v>680.4</v>
      </c>
      <c r="H454">
        <v>739.56</v>
      </c>
      <c r="I454">
        <v>739.59</v>
      </c>
      <c r="J454">
        <v>-0.03</v>
      </c>
    </row>
    <row r="455" spans="1:10" x14ac:dyDescent="0.3">
      <c r="A455" t="str">
        <f>HYPERLINK("https://us2.cloudbeds.com/connect/10074733072513#/reservations/31679671386300?display=MHAW11XK2&amp;reservation_id=31679671386300", "MHAW11XK2")</f>
        <v>MHAW11XK2</v>
      </c>
      <c r="B455" t="s">
        <v>10</v>
      </c>
      <c r="C455" t="s">
        <v>11</v>
      </c>
      <c r="D455" t="str">
        <f>HYPERLINK("https://us2.cloudbeds.com/connect/10074733072513#/reservations/31679671386300?display=Scott%20Burkett&amp;reservation_id=31679671386300&amp;guest_id=31679671386295", "Scott Burkett")</f>
        <v>Scott Burkett</v>
      </c>
      <c r="E455" t="s">
        <v>5946</v>
      </c>
      <c r="F455" t="s">
        <v>5685</v>
      </c>
      <c r="G455">
        <v>351.36</v>
      </c>
      <c r="H455">
        <v>381.9</v>
      </c>
      <c r="I455">
        <v>381.93</v>
      </c>
      <c r="J455">
        <v>-0.03</v>
      </c>
    </row>
    <row r="456" spans="1:10" x14ac:dyDescent="0.3">
      <c r="A456" t="str">
        <f>HYPERLINK("https://us2.cloudbeds.com/connect/10074733072513#/reservations/31675948466332?display=MH82TPRAF&amp;reservation_id=31675948466332", "MH82TPRAF")</f>
        <v>MH82TPRAF</v>
      </c>
      <c r="B456" t="s">
        <v>10</v>
      </c>
      <c r="C456" t="s">
        <v>11</v>
      </c>
      <c r="D456" t="str">
        <f>HYPERLINK("https://us2.cloudbeds.com/connect/10074733072513#/reservations/31675948466332?display=Rogan%20Pforts&amp;reservation_id=31675948466332&amp;guest_id=31675948462238", "Rogan Pforts")</f>
        <v>Rogan Pforts</v>
      </c>
      <c r="E456" t="s">
        <v>5950</v>
      </c>
      <c r="F456" t="s">
        <v>5685</v>
      </c>
      <c r="G456">
        <v>351.36</v>
      </c>
      <c r="H456">
        <v>381.9</v>
      </c>
      <c r="I456">
        <v>381.93</v>
      </c>
      <c r="J456">
        <v>-0.03</v>
      </c>
    </row>
    <row r="457" spans="1:10" x14ac:dyDescent="0.3">
      <c r="A457" t="str">
        <f>HYPERLINK("https://us2.cloudbeds.com/connect/10074733072513#/reservations/31679959834840?display=MHB6D929U&amp;reservation_id=31679959834840", "MHB6D929U")</f>
        <v>MHB6D929U</v>
      </c>
      <c r="B457" t="s">
        <v>10</v>
      </c>
      <c r="C457" t="s">
        <v>42</v>
      </c>
      <c r="D457" t="str">
        <f>HYPERLINK("https://us2.cloudbeds.com/connect/10074733072513#/reservations/31679959834840?display=Eric%20Norden&amp;reservation_id=31679959834840&amp;guest_id=31679959834837", "Eric Norden")</f>
        <v>Eric Norden</v>
      </c>
      <c r="E457" t="s">
        <v>5992</v>
      </c>
      <c r="F457" t="s">
        <v>5895</v>
      </c>
      <c r="G457">
        <v>396</v>
      </c>
      <c r="H457">
        <v>430.42</v>
      </c>
      <c r="I457">
        <v>430.45</v>
      </c>
      <c r="J457">
        <v>-0.03</v>
      </c>
    </row>
    <row r="458" spans="1:10" x14ac:dyDescent="0.3">
      <c r="A458" t="str">
        <f>HYPERLINK("https://us2.cloudbeds.com/connect/10074733072513#/reservations/31680592646283?display=MHBMXSWC8&amp;reservation_id=31680592646283", "MHBMXSWC8")</f>
        <v>MHBMXSWC8</v>
      </c>
      <c r="B458" t="s">
        <v>10</v>
      </c>
      <c r="C458" t="s">
        <v>17</v>
      </c>
      <c r="D458" t="str">
        <f>HYPERLINK("https://us2.cloudbeds.com/connect/10074733072513#/reservations/31680592646283?display=Lawrence%20Lynch&amp;reservation_id=31680592646283&amp;guest_id=31680564920516", "Lawrence Lynch")</f>
        <v>Lawrence Lynch</v>
      </c>
      <c r="E458" t="s">
        <v>5932</v>
      </c>
      <c r="F458" t="s">
        <v>5326</v>
      </c>
      <c r="G458">
        <v>1287.9000000000001</v>
      </c>
      <c r="H458">
        <v>1399.92</v>
      </c>
      <c r="I458">
        <v>1399.95</v>
      </c>
      <c r="J458">
        <v>-0.03</v>
      </c>
    </row>
    <row r="459" spans="1:10" x14ac:dyDescent="0.3">
      <c r="A459" t="str">
        <f>HYPERLINK("https://us2.cloudbeds.com/connect/10074733072513#/reservations/31677428175079?display=MH97NGTSF&amp;reservation_id=31677428175079", "MH97NGTSF")</f>
        <v>MH97NGTSF</v>
      </c>
      <c r="B459" t="s">
        <v>10</v>
      </c>
      <c r="C459" t="s">
        <v>42</v>
      </c>
      <c r="D459" t="str">
        <f>HYPERLINK("https://us2.cloudbeds.com/connect/10074733072513#/reservations/31677428175079?display=Cory%20Glick&amp;reservation_id=31677428175079&amp;guest_id=31672877940869", "Cory Glick")</f>
        <v>Cory Glick</v>
      </c>
      <c r="E459" t="s">
        <v>5004</v>
      </c>
      <c r="F459" t="s">
        <v>5805</v>
      </c>
      <c r="G459">
        <v>395</v>
      </c>
      <c r="H459">
        <v>429.34</v>
      </c>
      <c r="I459">
        <v>429.37</v>
      </c>
      <c r="J459">
        <v>-0.03</v>
      </c>
    </row>
    <row r="460" spans="1:10" x14ac:dyDescent="0.3">
      <c r="A460" t="str">
        <f>HYPERLINK("https://us2.cloudbeds.com/connect/10074733072513#/reservations/31680494534882?display=MHBK24T8G&amp;reservation_id=31680494534882", "MHBK24T8G")</f>
        <v>MHBK24T8G</v>
      </c>
      <c r="B460" t="s">
        <v>10</v>
      </c>
      <c r="C460" t="s">
        <v>20</v>
      </c>
      <c r="D460" t="str">
        <f>HYPERLINK("https://us2.cloudbeds.com/connect/10074733072513#/reservations/31680494534882?display=Patty%20Harrison&amp;reservation_id=31680494534882&amp;guest_id=31680485064843", "Patty Harrison")</f>
        <v>Patty Harrison</v>
      </c>
      <c r="E460" t="s">
        <v>6141</v>
      </c>
      <c r="F460" t="s">
        <v>5326</v>
      </c>
      <c r="G460">
        <v>354.45</v>
      </c>
      <c r="H460">
        <v>385.26</v>
      </c>
      <c r="I460">
        <v>385.29</v>
      </c>
      <c r="J460">
        <v>-0.03</v>
      </c>
    </row>
    <row r="461" spans="1:10" x14ac:dyDescent="0.3">
      <c r="A461" t="str">
        <f>HYPERLINK("https://us2.cloudbeds.com/connect/10074733072513#/reservations/31677921374440?display=MH9KACTRY&amp;reservation_id=31677921374440", "MH9KACTRY")</f>
        <v>MH9KACTRY</v>
      </c>
      <c r="B461" t="s">
        <v>10</v>
      </c>
      <c r="C461" t="s">
        <v>20</v>
      </c>
      <c r="D461" t="str">
        <f>HYPERLINK("https://us2.cloudbeds.com/connect/10074733072513#/reservations/31677921374440?display=Steve%20Lane&amp;reservation_id=31677921374440&amp;guest_id=31677921374436", "Steve Lane")</f>
        <v>Steve Lane</v>
      </c>
      <c r="E461" t="s">
        <v>6204</v>
      </c>
      <c r="F461" t="s">
        <v>6079</v>
      </c>
      <c r="G461">
        <v>354.45</v>
      </c>
      <c r="H461">
        <v>385.26</v>
      </c>
      <c r="I461">
        <v>385.29</v>
      </c>
      <c r="J461">
        <v>-0.03</v>
      </c>
    </row>
    <row r="462" spans="1:10" x14ac:dyDescent="0.3">
      <c r="A462" t="str">
        <f>HYPERLINK("https://us2.cloudbeds.com/connect/10074733072513#/reservations/31679615238312?display=MHAUJN5CT&amp;reservation_id=31679615238312", "MHAUJN5CT")</f>
        <v>MHAUJN5CT</v>
      </c>
      <c r="B462" t="s">
        <v>10</v>
      </c>
      <c r="C462" t="s">
        <v>42</v>
      </c>
      <c r="D462" t="str">
        <f>HYPERLINK("https://us2.cloudbeds.com/connect/10074733072513#/reservations/31679615238312?display=Greg%20Brusven&amp;reservation_id=31679615238312&amp;guest_id=17963408818374", "Greg Brusven")</f>
        <v>Greg Brusven</v>
      </c>
      <c r="E462" t="s">
        <v>2398</v>
      </c>
      <c r="F462" t="s">
        <v>6079</v>
      </c>
      <c r="G462">
        <v>356</v>
      </c>
      <c r="H462">
        <v>386.94</v>
      </c>
      <c r="I462">
        <v>386.97</v>
      </c>
      <c r="J462">
        <v>-0.03</v>
      </c>
    </row>
    <row r="463" spans="1:10" x14ac:dyDescent="0.3">
      <c r="A463" t="str">
        <f>HYPERLINK("https://us2.cloudbeds.com/connect/10074733072513#/reservations/31677901938845?display=MH9JR02Y7&amp;reservation_id=31677901938845", "MH9JR02Y7")</f>
        <v>MH9JR02Y7</v>
      </c>
      <c r="B463" t="s">
        <v>10</v>
      </c>
      <c r="C463" t="s">
        <v>42</v>
      </c>
      <c r="D463" t="str">
        <f>HYPERLINK("https://us2.cloudbeds.com/connect/10074733072513#/reservations/31677901938845?display=Brian%20Fischer&amp;reservation_id=31677901938845&amp;guest_id=31677901934745", "Brian Fischer")</f>
        <v>Brian Fischer</v>
      </c>
      <c r="E463" t="s">
        <v>6228</v>
      </c>
      <c r="F463" t="s">
        <v>6079</v>
      </c>
      <c r="G463">
        <v>396</v>
      </c>
      <c r="H463">
        <v>430.42</v>
      </c>
      <c r="I463">
        <v>430.45</v>
      </c>
      <c r="J463">
        <v>-0.03</v>
      </c>
    </row>
    <row r="464" spans="1:10" x14ac:dyDescent="0.3">
      <c r="A464" t="str">
        <f>HYPERLINK("https://us2.cloudbeds.com/connect/10074733072513#/reservations/31679624642795?display=MHAURKS97&amp;reservation_id=31679624642795", "MHAURKS97")</f>
        <v>MHAURKS97</v>
      </c>
      <c r="B464" t="s">
        <v>10</v>
      </c>
      <c r="C464" t="s">
        <v>42</v>
      </c>
      <c r="D464" t="str">
        <f>HYPERLINK("https://us2.cloudbeds.com/connect/10074733072513#/reservations/31679624642795?display=Max%20Bilicek&amp;reservation_id=31679624642795&amp;guest_id=31679616999577", "Max Bilicek")</f>
        <v>Max Bilicek</v>
      </c>
      <c r="E464" t="s">
        <v>6243</v>
      </c>
      <c r="F464" t="s">
        <v>5569</v>
      </c>
      <c r="G464">
        <v>354.45</v>
      </c>
      <c r="H464">
        <v>385.26</v>
      </c>
      <c r="I464">
        <v>385.29</v>
      </c>
      <c r="J464">
        <v>-0.03</v>
      </c>
    </row>
    <row r="465" spans="1:10" x14ac:dyDescent="0.3">
      <c r="A465" t="str">
        <f>HYPERLINK("https://us2.cloudbeds.com/connect/10074733072513#/reservations/31682786201787?display=MHDCKHTJ5&amp;reservation_id=31682786201787", "MHDCKHTJ5")</f>
        <v>MHDCKHTJ5</v>
      </c>
      <c r="B465" t="s">
        <v>10</v>
      </c>
      <c r="C465" t="s">
        <v>42</v>
      </c>
      <c r="D465" t="str">
        <f>HYPERLINK("https://us2.cloudbeds.com/connect/10074733072513#/reservations/31682786201787?display=Randy%20Weischedel&amp;reservation_id=31682786201787&amp;guest_id=31682765832342", "Randy Weischedel")</f>
        <v>Randy Weischedel</v>
      </c>
      <c r="E465" t="s">
        <v>6310</v>
      </c>
      <c r="F465" t="s">
        <v>4645</v>
      </c>
      <c r="G465">
        <v>856</v>
      </c>
      <c r="H465">
        <v>930.44</v>
      </c>
      <c r="I465">
        <v>930.47</v>
      </c>
      <c r="J465">
        <v>-0.03</v>
      </c>
    </row>
    <row r="466" spans="1:10" x14ac:dyDescent="0.3">
      <c r="A466" t="str">
        <f>HYPERLINK("https://us2.cloudbeds.com/connect/10074733072513#/reservations/31679819145378?display=MHB2QY5ST&amp;reservation_id=31679819145378", "MHB2QY5ST")</f>
        <v>MHB2QY5ST</v>
      </c>
      <c r="B466" t="s">
        <v>10</v>
      </c>
      <c r="C466" t="s">
        <v>42</v>
      </c>
      <c r="D466" t="str">
        <f>HYPERLINK("https://us2.cloudbeds.com/connect/10074733072513#/reservations/31679819145378?display=Catherine%20Willis&amp;reservation_id=31679819145378&amp;guest_id=31679803662553", "Catherine Willis")</f>
        <v>Catherine Willis</v>
      </c>
      <c r="E466" t="s">
        <v>6314</v>
      </c>
      <c r="F466" t="s">
        <v>5688</v>
      </c>
      <c r="G466">
        <v>676</v>
      </c>
      <c r="H466">
        <v>734.78</v>
      </c>
      <c r="I466">
        <v>734.81</v>
      </c>
      <c r="J466">
        <v>-0.03</v>
      </c>
    </row>
    <row r="467" spans="1:10" x14ac:dyDescent="0.3">
      <c r="A467" t="str">
        <f>HYPERLINK("https://us2.cloudbeds.com/connect/10074733072513#/reservations/31682779590849?display=MHDCEVUUN&amp;reservation_id=31682779590849", "MHDCEVUUN")</f>
        <v>MHDCEVUUN</v>
      </c>
      <c r="B467" t="s">
        <v>10</v>
      </c>
      <c r="C467" t="s">
        <v>42</v>
      </c>
      <c r="D467" t="str">
        <f>HYPERLINK("https://us2.cloudbeds.com/connect/10074733072513#/reservations/31682779590849?display=Randy%20Weischedel&amp;reservation_id=31682779590849&amp;guest_id=31682765832342", "Randy Weischedel")</f>
        <v>Randy Weischedel</v>
      </c>
      <c r="E467" t="s">
        <v>6310</v>
      </c>
      <c r="F467" t="s">
        <v>4645</v>
      </c>
      <c r="G467">
        <v>856</v>
      </c>
      <c r="H467">
        <v>930.44</v>
      </c>
      <c r="I467">
        <v>930.47</v>
      </c>
      <c r="J467">
        <v>-0.03</v>
      </c>
    </row>
    <row r="468" spans="1:10" x14ac:dyDescent="0.3">
      <c r="A468" t="str">
        <f>HYPERLINK("https://us2.cloudbeds.com/connect/10074733072513#/reservations/31680341442781?display=MHBG51SQU&amp;reservation_id=31680341442781", "MHBG51SQU")</f>
        <v>MHBG51SQU</v>
      </c>
      <c r="B468" t="s">
        <v>10</v>
      </c>
      <c r="C468" t="s">
        <v>42</v>
      </c>
      <c r="D468" t="str">
        <f>HYPERLINK("https://us2.cloudbeds.com/connect/10074733072513#/reservations/31680341442781?display=Jeff%20Veen&amp;reservation_id=31680341442781&amp;guest_id=31680341442776", "Jeff Veen")</f>
        <v>Jeff Veen</v>
      </c>
      <c r="E468" t="s">
        <v>6324</v>
      </c>
      <c r="F468" t="s">
        <v>5938</v>
      </c>
      <c r="G468">
        <v>596</v>
      </c>
      <c r="H468">
        <v>647.82000000000005</v>
      </c>
      <c r="I468">
        <v>647.85</v>
      </c>
      <c r="J468">
        <v>-0.03</v>
      </c>
    </row>
    <row r="469" spans="1:10" x14ac:dyDescent="0.3">
      <c r="A469" t="str">
        <f>HYPERLINK("https://us2.cloudbeds.com/connect/10074733072513#/reservations/31680433893535?display=MHBXH0ETU&amp;reservation_id=31680433893535", "MHBXH0ETU")</f>
        <v>MHBXH0ETU</v>
      </c>
      <c r="B469" t="s">
        <v>10</v>
      </c>
      <c r="C469" t="s">
        <v>42</v>
      </c>
      <c r="D469" t="str">
        <f>HYPERLINK("https://us2.cloudbeds.com/connect/10074733072513#/reservations/31680433893535?display=Jeff%20Veen&amp;reservation_id=31680433893535&amp;guest_id=31680424378505", "Jeff Veen")</f>
        <v>Jeff Veen</v>
      </c>
      <c r="E469" t="s">
        <v>6324</v>
      </c>
      <c r="F469" t="s">
        <v>5871</v>
      </c>
      <c r="G469">
        <v>596</v>
      </c>
      <c r="H469">
        <v>647.82000000000005</v>
      </c>
      <c r="I469">
        <v>647.85</v>
      </c>
      <c r="J469">
        <v>-0.03</v>
      </c>
    </row>
    <row r="470" spans="1:10" x14ac:dyDescent="0.3">
      <c r="A470" t="str">
        <f>HYPERLINK("https://us2.cloudbeds.com/connect/10074733072513#/reservations/31678129770716?display=MH9PY3RYA&amp;reservation_id=31678129770716", "MH9PY3RYA")</f>
        <v>MH9PY3RYA</v>
      </c>
      <c r="B470" t="s">
        <v>10</v>
      </c>
      <c r="C470" t="s">
        <v>121</v>
      </c>
      <c r="D470" t="str">
        <f>HYPERLINK("https://us2.cloudbeds.com/connect/10074733072513#/reservations/31678129770716?display=Nolan%20Davis&amp;reservation_id=31678129770716&amp;guest_id=31678129770711", "Nolan Davis")</f>
        <v>Nolan Davis</v>
      </c>
      <c r="E470" t="s">
        <v>6406</v>
      </c>
      <c r="F470" t="s">
        <v>5871</v>
      </c>
      <c r="G470">
        <v>596</v>
      </c>
      <c r="H470">
        <v>647.82000000000005</v>
      </c>
      <c r="I470">
        <v>647.85</v>
      </c>
      <c r="J470">
        <v>-0.03</v>
      </c>
    </row>
    <row r="471" spans="1:10" x14ac:dyDescent="0.3">
      <c r="A471" t="str">
        <f>HYPERLINK("https://us2.cloudbeds.com/connect/10074733072513#/reservations/31680440402129?display=MHBXMGXJ1&amp;reservation_id=31680440402129", "MHBXMGXJ1")</f>
        <v>MHBXMGXJ1</v>
      </c>
      <c r="B471" t="s">
        <v>10</v>
      </c>
      <c r="C471" t="s">
        <v>42</v>
      </c>
      <c r="D471" t="str">
        <f>HYPERLINK("https://us2.cloudbeds.com/connect/10074733072513#/reservations/31680440402129?display=Jason%20Gallus&amp;reservation_id=31680440402129&amp;guest_id=31680440402124", "Jason Gallus")</f>
        <v>Jason Gallus</v>
      </c>
      <c r="E471" t="s">
        <v>6228</v>
      </c>
      <c r="F471" t="s">
        <v>5871</v>
      </c>
      <c r="G471">
        <v>396</v>
      </c>
      <c r="H471">
        <v>430.42</v>
      </c>
      <c r="I471">
        <v>430.45</v>
      </c>
      <c r="J471">
        <v>-0.03</v>
      </c>
    </row>
    <row r="472" spans="1:10" x14ac:dyDescent="0.3">
      <c r="A472" t="str">
        <f>HYPERLINK("https://us2.cloudbeds.com/connect/10074733072513#/reservations/31678441877639?display=MHA0K9M6S&amp;reservation_id=31678441877639", "MHA0K9M6S")</f>
        <v>MHA0K9M6S</v>
      </c>
      <c r="B472" t="s">
        <v>10</v>
      </c>
      <c r="C472" t="s">
        <v>20</v>
      </c>
      <c r="D472" t="str">
        <f>HYPERLINK("https://us2.cloudbeds.com/connect/10074733072513#/reservations/31678441877639?display=Sue%20Schmidt&amp;reservation_id=31678441877639&amp;guest_id=31678432694422", "Sue Schmidt")</f>
        <v>Sue Schmidt</v>
      </c>
      <c r="E472" t="s">
        <v>6428</v>
      </c>
      <c r="F472" t="s">
        <v>5840</v>
      </c>
      <c r="G472">
        <v>536.4</v>
      </c>
      <c r="H472">
        <v>583.04</v>
      </c>
      <c r="I472">
        <v>583.07000000000005</v>
      </c>
      <c r="J472">
        <v>-0.03</v>
      </c>
    </row>
    <row r="473" spans="1:10" x14ac:dyDescent="0.3">
      <c r="A473" t="str">
        <f>HYPERLINK("https://us2.cloudbeds.com/connect/10074733072513#/reservations/31681199276166?display=MHC52DBJW&amp;reservation_id=31681199276166", "MHC52DBJW")</f>
        <v>MHC52DBJW</v>
      </c>
      <c r="B473" t="s">
        <v>10</v>
      </c>
      <c r="C473" t="s">
        <v>11</v>
      </c>
      <c r="D473" t="str">
        <f>HYPERLINK("https://us2.cloudbeds.com/connect/10074733072513#/reservations/31681199276166?display=Jason%20Tjeerdsma&amp;reservation_id=31681199276166&amp;guest_id=31681199276163", "Jason Tjeerdsma")</f>
        <v>Jason Tjeerdsma</v>
      </c>
      <c r="E473" t="s">
        <v>6432</v>
      </c>
      <c r="F473" t="s">
        <v>5840</v>
      </c>
      <c r="G473">
        <v>320.39999999999998</v>
      </c>
      <c r="H473">
        <v>348.24</v>
      </c>
      <c r="I473">
        <v>348.27</v>
      </c>
      <c r="J473">
        <v>-0.03</v>
      </c>
    </row>
    <row r="474" spans="1:10" x14ac:dyDescent="0.3">
      <c r="A474" t="str">
        <f>HYPERLINK("https://us2.cloudbeds.com/connect/10074733072513#/reservations/31678290477275?display=MH9TZKZ81&amp;reservation_id=31678290477275", "MH9TZKZ81")</f>
        <v>MH9TZKZ81</v>
      </c>
      <c r="B474" t="s">
        <v>10</v>
      </c>
      <c r="C474" t="s">
        <v>42</v>
      </c>
      <c r="D474" t="str">
        <f>HYPERLINK("https://us2.cloudbeds.com/connect/10074733072513#/reservations/31678290477275?display=Karl%20Seeley&amp;reservation_id=31678290477275&amp;guest_id=31672627908827", "Karl Seeley")</f>
        <v>Karl Seeley</v>
      </c>
      <c r="E474" t="s">
        <v>4774</v>
      </c>
      <c r="F474" t="s">
        <v>5550</v>
      </c>
      <c r="G474">
        <v>596</v>
      </c>
      <c r="H474">
        <v>647.82000000000005</v>
      </c>
      <c r="I474">
        <v>647.85</v>
      </c>
      <c r="J474">
        <v>-0.03</v>
      </c>
    </row>
    <row r="475" spans="1:10" x14ac:dyDescent="0.3">
      <c r="A475" t="str">
        <f>HYPERLINK("https://us2.cloudbeds.com/connect/10074733072513#/reservations/31686444060802?display=MHG72V73Z&amp;reservation_id=31686444060802", "MHG72V73Z")</f>
        <v>MHG72V73Z</v>
      </c>
      <c r="B475" t="s">
        <v>10</v>
      </c>
      <c r="C475" t="s">
        <v>17</v>
      </c>
      <c r="D475" t="str">
        <f>HYPERLINK("https://us2.cloudbeds.com/connect/10074733072513#/reservations/31686444060802?display=Brooks%20Bowman&amp;reservation_id=31686444060802&amp;guest_id=30684354035860", "Brooks Bowman")</f>
        <v>Brooks Bowman</v>
      </c>
      <c r="E475" t="s">
        <v>3087</v>
      </c>
      <c r="F475" t="s">
        <v>5563</v>
      </c>
      <c r="G475">
        <v>659.1</v>
      </c>
      <c r="H475">
        <v>716.41</v>
      </c>
      <c r="I475">
        <v>716.44</v>
      </c>
      <c r="J475">
        <v>-0.03</v>
      </c>
    </row>
    <row r="476" spans="1:10" x14ac:dyDescent="0.3">
      <c r="A476" t="str">
        <f>HYPERLINK("https://us2.cloudbeds.com/connect/10074733072513#/reservations/31682384220330?display=MHD2BJ5JT&amp;reservation_id=31682384220330", "MHD2BJ5JT")</f>
        <v>MHD2BJ5JT</v>
      </c>
      <c r="B476" t="s">
        <v>10</v>
      </c>
      <c r="C476" t="s">
        <v>42</v>
      </c>
      <c r="D476" t="str">
        <f>HYPERLINK("https://us2.cloudbeds.com/connect/10074733072513#/reservations/31682384220330?display=Jason%20Gallus&amp;reservation_id=31682384220330&amp;guest_id=31680440402124", "Jason Gallus")</f>
        <v>Jason Gallus</v>
      </c>
      <c r="E476" t="s">
        <v>6228</v>
      </c>
      <c r="F476" t="s">
        <v>3531</v>
      </c>
      <c r="G476">
        <v>396</v>
      </c>
      <c r="H476">
        <v>430.42</v>
      </c>
      <c r="I476">
        <v>430.45</v>
      </c>
      <c r="J476">
        <v>-0.03</v>
      </c>
    </row>
    <row r="477" spans="1:10" x14ac:dyDescent="0.3">
      <c r="A477" t="str">
        <f>HYPERLINK("https://us2.cloudbeds.com/connect/10074733072513#/reservations/31682323902670?display=MHD0QNZG0&amp;reservation_id=31682323902670", "MHD0QNZG0")</f>
        <v>MHD0QNZG0</v>
      </c>
      <c r="B477" t="s">
        <v>10</v>
      </c>
      <c r="C477" t="s">
        <v>42</v>
      </c>
      <c r="D477" t="str">
        <f>HYPERLINK("https://us2.cloudbeds.com/connect/10074733072513#/reservations/31682323902670?display=Jeff%20Veen&amp;reservation_id=31682323902670&amp;guest_id=31681131446484", "Jeff Veen")</f>
        <v>Jeff Veen</v>
      </c>
      <c r="E477" t="s">
        <v>6547</v>
      </c>
      <c r="F477" t="s">
        <v>3531</v>
      </c>
      <c r="G477">
        <v>596</v>
      </c>
      <c r="H477">
        <v>647.82000000000005</v>
      </c>
      <c r="I477">
        <v>647.85</v>
      </c>
      <c r="J477">
        <v>-0.03</v>
      </c>
    </row>
    <row r="478" spans="1:10" x14ac:dyDescent="0.3">
      <c r="A478" t="str">
        <f>HYPERLINK("https://us2.cloudbeds.com/connect/10074733072513#/reservations/31678886113520?display=MHABVT6A7&amp;reservation_id=31678886113520", "MHABVT6A7")</f>
        <v>MHABVT6A7</v>
      </c>
      <c r="B478" t="s">
        <v>10</v>
      </c>
      <c r="C478" t="s">
        <v>42</v>
      </c>
      <c r="D478" t="str">
        <f>HYPERLINK("https://us2.cloudbeds.com/connect/10074733072513#/reservations/31678886113520?display=James%20Marnette&amp;reservation_id=31678886113520&amp;guest_id=31678877712533", "James Marnette")</f>
        <v>James Marnette</v>
      </c>
      <c r="E478" t="s">
        <v>6553</v>
      </c>
      <c r="F478" t="s">
        <v>4645</v>
      </c>
      <c r="G478">
        <v>556</v>
      </c>
      <c r="H478">
        <v>604.34</v>
      </c>
      <c r="I478">
        <v>604.37</v>
      </c>
      <c r="J478">
        <v>-0.03</v>
      </c>
    </row>
    <row r="479" spans="1:10" x14ac:dyDescent="0.3">
      <c r="A479" t="str">
        <f>HYPERLINK("https://us2.cloudbeds.com/connect/10074733072513#/reservations/31683659067552?display=MHE1UXM6T&amp;reservation_id=31683659067552", "MHE1UXM6T")</f>
        <v>MHE1UXM6T</v>
      </c>
      <c r="B479" t="s">
        <v>10</v>
      </c>
      <c r="C479" t="s">
        <v>42</v>
      </c>
      <c r="D479" t="str">
        <f>HYPERLINK("https://us2.cloudbeds.com/connect/10074733072513#/reservations/31683659067552?display=Denise%20Mccord&amp;reservation_id=31683659067552&amp;guest_id=31683659067546", "Denise Mccord")</f>
        <v>Denise Mccord</v>
      </c>
      <c r="E479" t="s">
        <v>6567</v>
      </c>
      <c r="F479" t="s">
        <v>6568</v>
      </c>
      <c r="G479">
        <v>836</v>
      </c>
      <c r="H479">
        <v>908.7</v>
      </c>
      <c r="I479">
        <v>908.73</v>
      </c>
      <c r="J479">
        <v>-0.03</v>
      </c>
    </row>
    <row r="480" spans="1:10" x14ac:dyDescent="0.3">
      <c r="A480" t="str">
        <f>HYPERLINK("https://us2.cloudbeds.com/connect/10074733072513#/reservations/31680693416081?display=MHBP4S1KG&amp;reservation_id=31680693416081", "MHBP4S1KG")</f>
        <v>MHBP4S1KG</v>
      </c>
      <c r="B480" t="s">
        <v>10</v>
      </c>
      <c r="C480" t="s">
        <v>42</v>
      </c>
      <c r="D480" t="str">
        <f>HYPERLINK("https://us2.cloudbeds.com/connect/10074733072513#/reservations/31680693416081?display=Cory%20Glick&amp;reservation_id=31680693416081&amp;guest_id=31672877940869", "Cory Glick")</f>
        <v>Cory Glick</v>
      </c>
      <c r="E480" t="s">
        <v>5004</v>
      </c>
      <c r="F480" t="s">
        <v>6473</v>
      </c>
      <c r="G480">
        <v>316</v>
      </c>
      <c r="H480">
        <v>343.46</v>
      </c>
      <c r="I480">
        <v>343.49</v>
      </c>
      <c r="J480">
        <v>-0.03</v>
      </c>
    </row>
    <row r="481" spans="1:10" x14ac:dyDescent="0.3">
      <c r="A481" t="str">
        <f>HYPERLINK("https://us2.cloudbeds.com/connect/10074733072513#/reservations/31682915156138?display=MHDFU97VP&amp;reservation_id=31682915156138", "MHDFU97VP")</f>
        <v>MHDFU97VP</v>
      </c>
      <c r="B481" t="s">
        <v>10</v>
      </c>
      <c r="C481" t="s">
        <v>42</v>
      </c>
      <c r="D481" t="str">
        <f>HYPERLINK("https://us2.cloudbeds.com/connect/10074733072513#/reservations/31682915156138?display=Billie%20Laleman&amp;reservation_id=31682915156138&amp;guest_id=31682905940175", "Billie Laleman")</f>
        <v>Billie Laleman</v>
      </c>
      <c r="E481" t="s">
        <v>6605</v>
      </c>
      <c r="F481" t="s">
        <v>4868</v>
      </c>
      <c r="G481">
        <v>596</v>
      </c>
      <c r="H481">
        <v>647.82000000000005</v>
      </c>
      <c r="I481">
        <v>647.85</v>
      </c>
      <c r="J481">
        <v>-0.03</v>
      </c>
    </row>
    <row r="482" spans="1:10" x14ac:dyDescent="0.3">
      <c r="A482" t="str">
        <f>HYPERLINK("https://us2.cloudbeds.com/connect/10074733072513#/reservations/31682944364740?display=MHDGYU0EU&amp;reservation_id=31682944364740", "MHDGYU0EU")</f>
        <v>MHDGYU0EU</v>
      </c>
      <c r="B482" t="s">
        <v>10</v>
      </c>
      <c r="C482" t="s">
        <v>42</v>
      </c>
      <c r="D482" t="str">
        <f>HYPERLINK("https://us2.cloudbeds.com/connect/10074733072513#/reservations/31682944364740?display=Rodney%20Hay&amp;reservation_id=31682944364740&amp;guest_id=31682944360703", "Rodney Hay")</f>
        <v>Rodney Hay</v>
      </c>
      <c r="E482" t="s">
        <v>6612</v>
      </c>
      <c r="F482" t="s">
        <v>6368</v>
      </c>
      <c r="G482">
        <v>695</v>
      </c>
      <c r="H482">
        <v>755.44</v>
      </c>
      <c r="I482">
        <v>755.47</v>
      </c>
      <c r="J482">
        <v>-0.03</v>
      </c>
    </row>
    <row r="483" spans="1:10" x14ac:dyDescent="0.3">
      <c r="A483" t="str">
        <f>HYPERLINK("https://us2.cloudbeds.com/connect/10074733072513#/reservations/31682933837970?display=MHDGD12WT&amp;reservation_id=31682933837970", "MHDGD12WT")</f>
        <v>MHDGD12WT</v>
      </c>
      <c r="B483" t="s">
        <v>10</v>
      </c>
      <c r="C483" t="s">
        <v>42</v>
      </c>
      <c r="D483" t="str">
        <f>HYPERLINK("https://us2.cloudbeds.com/connect/10074733072513#/reservations/31682933837970?display=Alex%20Douglas%20Friest&amp;reservation_id=31682933837970&amp;guest_id=31682933837965", "Alex Douglas Friest")</f>
        <v>Alex Douglas Friest</v>
      </c>
      <c r="E483" t="s">
        <v>6624</v>
      </c>
      <c r="F483" t="s">
        <v>6368</v>
      </c>
      <c r="G483">
        <v>745</v>
      </c>
      <c r="H483">
        <v>809.79</v>
      </c>
      <c r="I483">
        <v>809.82</v>
      </c>
      <c r="J483">
        <v>-0.03</v>
      </c>
    </row>
    <row r="484" spans="1:10" x14ac:dyDescent="0.3">
      <c r="A484" t="str">
        <f>HYPERLINK("https://us2.cloudbeds.com/connect/10074733072513#/reservations/31679863111875?display=MHB3UNK4W&amp;reservation_id=31679863111875", "MHB3UNK4W")</f>
        <v>MHB3UNK4W</v>
      </c>
      <c r="B484" t="s">
        <v>10</v>
      </c>
      <c r="C484" t="s">
        <v>17</v>
      </c>
      <c r="D484" t="str">
        <f>HYPERLINK("https://us2.cloudbeds.com/connect/10074733072513#/reservations/31679863111875?display=Kevin%20Wolf&amp;reservation_id=31679863111875&amp;guest_id=31679840039148", "Kevin Wolf")</f>
        <v>Kevin Wolf</v>
      </c>
      <c r="E484" t="s">
        <v>6628</v>
      </c>
      <c r="F484" t="s">
        <v>6629</v>
      </c>
      <c r="G484">
        <v>596</v>
      </c>
      <c r="H484">
        <v>647.82000000000005</v>
      </c>
      <c r="I484">
        <v>647.85</v>
      </c>
      <c r="J484">
        <v>-0.03</v>
      </c>
    </row>
    <row r="485" spans="1:10" x14ac:dyDescent="0.3">
      <c r="A485" t="str">
        <f>HYPERLINK("https://us2.cloudbeds.com/connect/10074733072513#/reservations/31683244540116?display=MHDZB0RJE&amp;reservation_id=31683244540116", "MHDZB0RJE")</f>
        <v>MHDZB0RJE</v>
      </c>
      <c r="B485" t="s">
        <v>10</v>
      </c>
      <c r="C485" t="s">
        <v>42</v>
      </c>
      <c r="D485" t="str">
        <f>HYPERLINK("https://us2.cloudbeds.com/connect/10074733072513#/reservations/31683244540116?display=Jason%20Gallus&amp;reservation_id=31683244540116&amp;guest_id=31680440402124", "Jason Gallus")</f>
        <v>Jason Gallus</v>
      </c>
      <c r="E485" t="s">
        <v>6228</v>
      </c>
      <c r="F485" t="s">
        <v>6368</v>
      </c>
      <c r="G485">
        <v>396</v>
      </c>
      <c r="H485">
        <v>430.42</v>
      </c>
      <c r="I485">
        <v>430.45</v>
      </c>
      <c r="J485">
        <v>-0.03</v>
      </c>
    </row>
    <row r="486" spans="1:10" x14ac:dyDescent="0.3">
      <c r="A486" t="str">
        <f>HYPERLINK("https://us2.cloudbeds.com/connect/10074733072513#/reservations/31682875637987?display=MHDETVJG1&amp;reservation_id=31682875637987", "MHDETVJG1")</f>
        <v>MHDETVJG1</v>
      </c>
      <c r="B486" t="s">
        <v>10</v>
      </c>
      <c r="C486" t="s">
        <v>42</v>
      </c>
      <c r="D486" t="str">
        <f>HYPERLINK("https://us2.cloudbeds.com/connect/10074733072513#/reservations/31682875637987?display=Sandra%20Hendinger&amp;reservation_id=31682875637987&amp;guest_id=31682875637983", "Sandra Hendinger")</f>
        <v>Sandra Hendinger</v>
      </c>
      <c r="E486" t="s">
        <v>6646</v>
      </c>
      <c r="F486" t="s">
        <v>5546</v>
      </c>
      <c r="G486">
        <v>219</v>
      </c>
      <c r="H486">
        <v>238.02</v>
      </c>
      <c r="I486">
        <v>238.05</v>
      </c>
      <c r="J486">
        <v>-0.03</v>
      </c>
    </row>
    <row r="487" spans="1:10" x14ac:dyDescent="0.3">
      <c r="A487" t="str">
        <f>HYPERLINK("https://us2.cloudbeds.com/connect/10074733072513#/reservations/31684104765645?display=MHEDACT0N&amp;reservation_id=31684104765645", "MHEDACT0N")</f>
        <v>MHEDACT0N</v>
      </c>
      <c r="B487" t="s">
        <v>10</v>
      </c>
      <c r="C487" t="s">
        <v>42</v>
      </c>
      <c r="D487" t="str">
        <f>HYPERLINK("https://us2.cloudbeds.com/connect/10074733072513#/reservations/31684104765645?display=Jessica%20Dickenson&amp;reservation_id=31684104765645&amp;guest_id=31684104761550", "Jessica Dickenson")</f>
        <v>Jessica Dickenson</v>
      </c>
      <c r="E487" t="s">
        <v>6703</v>
      </c>
      <c r="F487" t="s">
        <v>5017</v>
      </c>
      <c r="G487">
        <v>516</v>
      </c>
      <c r="H487">
        <v>560.86</v>
      </c>
      <c r="I487">
        <v>560.89</v>
      </c>
      <c r="J487">
        <v>-0.03</v>
      </c>
    </row>
    <row r="488" spans="1:10" x14ac:dyDescent="0.3">
      <c r="A488" t="str">
        <f>HYPERLINK("https://us2.cloudbeds.com/connect/10074733072513#/reservations/31690482639034?display=MHJB9CK29&amp;reservation_id=31690482639034", "MHJB9CK29")</f>
        <v>MHJB9CK29</v>
      </c>
      <c r="B488" t="s">
        <v>10</v>
      </c>
      <c r="C488" t="s">
        <v>20</v>
      </c>
      <c r="D488" t="str">
        <f>HYPERLINK("https://us2.cloudbeds.com/connect/10074733072513#/reservations/31690482639034?display=Brian%20Merksick&amp;reservation_id=31690482639034&amp;guest_id=31690473611486", "Brian Merksick")</f>
        <v>Brian Merksick</v>
      </c>
      <c r="E488" t="s">
        <v>6715</v>
      </c>
      <c r="F488" t="s">
        <v>6321</v>
      </c>
      <c r="G488">
        <v>596</v>
      </c>
      <c r="H488">
        <v>647.82000000000005</v>
      </c>
      <c r="I488">
        <v>647.85</v>
      </c>
      <c r="J488">
        <v>-0.03</v>
      </c>
    </row>
    <row r="489" spans="1:10" x14ac:dyDescent="0.3">
      <c r="A489" t="str">
        <f>HYPERLINK("https://us2.cloudbeds.com/connect/10074733072513#/reservations/31679138488473?display=MHAXDMTJ2&amp;reservation_id=31679138488473", "MHAXDMTJ2")</f>
        <v>MHAXDMTJ2</v>
      </c>
      <c r="B489" t="s">
        <v>10</v>
      </c>
      <c r="C489" t="s">
        <v>42</v>
      </c>
      <c r="D489" t="str">
        <f>HYPERLINK("https://us2.cloudbeds.com/connect/10074733072513#/reservations/31679138488473?display=Cameron%20Wyly&amp;reservation_id=31679138488473&amp;guest_id=31676340576486", "Cameron Wyly")</f>
        <v>Cameron Wyly</v>
      </c>
      <c r="E489" t="s">
        <v>5570</v>
      </c>
      <c r="F489" t="s">
        <v>6449</v>
      </c>
      <c r="G489">
        <v>356</v>
      </c>
      <c r="H489">
        <v>386.94</v>
      </c>
      <c r="I489">
        <v>386.97</v>
      </c>
      <c r="J489">
        <v>-0.03</v>
      </c>
    </row>
    <row r="490" spans="1:10" x14ac:dyDescent="0.3">
      <c r="A490" t="str">
        <f>HYPERLINK("https://us2.cloudbeds.com/connect/10074733072513#/reservations/31680896958594?display=MHBUBFUBE&amp;reservation_id=31680896958594", "MHBUBFUBE")</f>
        <v>MHBUBFUBE</v>
      </c>
      <c r="B490" t="s">
        <v>10</v>
      </c>
      <c r="C490" t="s">
        <v>42</v>
      </c>
      <c r="D490" t="str">
        <f>HYPERLINK("https://us2.cloudbeds.com/connect/10074733072513#/reservations/31680896958594?display=Michael%20Daniels&amp;reservation_id=31680896958594&amp;guest_id=30671090090186", "Michael Daniels")</f>
        <v>Michael Daniels</v>
      </c>
      <c r="E490" t="s">
        <v>3262</v>
      </c>
      <c r="F490" t="s">
        <v>6430</v>
      </c>
      <c r="G490">
        <v>219</v>
      </c>
      <c r="H490">
        <v>238.02</v>
      </c>
      <c r="I490">
        <v>238.05</v>
      </c>
      <c r="J490">
        <v>-0.03</v>
      </c>
    </row>
    <row r="491" spans="1:10" x14ac:dyDescent="0.3">
      <c r="A491" t="str">
        <f>HYPERLINK("https://us2.cloudbeds.com/connect/10074733072513#/reservations/31687804772528?display=MHH8SB0RD&amp;reservation_id=31687804772528", "MHH8SB0RD")</f>
        <v>MHH8SB0RD</v>
      </c>
      <c r="B491" t="s">
        <v>10</v>
      </c>
      <c r="C491" t="s">
        <v>42</v>
      </c>
      <c r="D491" t="str">
        <f>HYPERLINK("https://us2.cloudbeds.com/connect/10074733072513#/reservations/31687804772528?display=Michael%20Daniels&amp;reservation_id=31687804772528&amp;guest_id=30671090090186", "Michael Daniels")</f>
        <v>Michael Daniels</v>
      </c>
      <c r="E491" t="s">
        <v>3262</v>
      </c>
      <c r="F491" t="s">
        <v>6698</v>
      </c>
      <c r="G491">
        <v>219</v>
      </c>
      <c r="H491">
        <v>238.02</v>
      </c>
      <c r="I491">
        <v>238.05</v>
      </c>
      <c r="J491">
        <v>-0.03</v>
      </c>
    </row>
    <row r="492" spans="1:10" x14ac:dyDescent="0.3">
      <c r="A492" t="str">
        <f>HYPERLINK("https://us2.cloudbeds.com/connect/10074733072513#/reservations/31684659835083?display=MHERGEGYN&amp;reservation_id=31684659835083", "MHERGEGYN")</f>
        <v>MHERGEGYN</v>
      </c>
      <c r="B492" t="s">
        <v>10</v>
      </c>
      <c r="C492" t="s">
        <v>42</v>
      </c>
      <c r="D492" t="str">
        <f>HYPERLINK("https://us2.cloudbeds.com/connect/10074733072513#/reservations/31684659835083?display=Shane%20Egge&amp;reservation_id=31684659835083&amp;guest_id=31678314627207", "Shane Egge")</f>
        <v>Shane Egge</v>
      </c>
      <c r="E492" t="s">
        <v>6362</v>
      </c>
      <c r="F492" t="s">
        <v>6550</v>
      </c>
      <c r="G492">
        <v>784</v>
      </c>
      <c r="H492">
        <v>852.18</v>
      </c>
      <c r="I492">
        <v>852.21</v>
      </c>
      <c r="J492">
        <v>-0.03</v>
      </c>
    </row>
    <row r="493" spans="1:10" x14ac:dyDescent="0.3">
      <c r="A493" t="str">
        <f>HYPERLINK("https://us2.cloudbeds.com/connect/10074733072513#/reservations/31679430082699?display=MHAPSXUSZ&amp;reservation_id=31679430082699", "MHAPSXUSZ")</f>
        <v>MHAPSXUSZ</v>
      </c>
      <c r="B493" t="s">
        <v>10</v>
      </c>
      <c r="C493" t="s">
        <v>42</v>
      </c>
      <c r="D493" t="str">
        <f>HYPERLINK("https://us2.cloudbeds.com/connect/10074733072513#/reservations/31679430082699?display=Brooke%20Atteberry&amp;reservation_id=31679430082699&amp;guest_id=31679430078648", "Brooke Atteberry")</f>
        <v>Brooke Atteberry</v>
      </c>
      <c r="E493" t="s">
        <v>6759</v>
      </c>
      <c r="F493" t="s">
        <v>5366</v>
      </c>
      <c r="G493">
        <v>536.4</v>
      </c>
      <c r="H493">
        <v>583.04</v>
      </c>
      <c r="I493">
        <v>583.07000000000005</v>
      </c>
      <c r="J493">
        <v>-0.03</v>
      </c>
    </row>
    <row r="494" spans="1:10" x14ac:dyDescent="0.3">
      <c r="A494" t="str">
        <f>HYPERLINK("https://us2.cloudbeds.com/connect/10074733072513#/reservations/31683735904460?display=MHE3TBPH1&amp;reservation_id=31683735904460", "MHE3TBPH1")</f>
        <v>MHE3TBPH1</v>
      </c>
      <c r="B494" t="s">
        <v>10</v>
      </c>
      <c r="C494" t="s">
        <v>17</v>
      </c>
      <c r="D494" t="str">
        <f>HYPERLINK("https://us2.cloudbeds.com/connect/10074733072513#/reservations/31683735904460?display=Gerald%20White&amp;reservation_id=31683735904460&amp;guest_id=31683729682591", "Gerald White")</f>
        <v>Gerald White</v>
      </c>
      <c r="E494" t="s">
        <v>6760</v>
      </c>
      <c r="F494" t="s">
        <v>5717</v>
      </c>
      <c r="G494">
        <v>420.3</v>
      </c>
      <c r="H494">
        <v>456.84</v>
      </c>
      <c r="I494">
        <v>456.87</v>
      </c>
      <c r="J494">
        <v>-0.03</v>
      </c>
    </row>
    <row r="495" spans="1:10" x14ac:dyDescent="0.3">
      <c r="A495" t="str">
        <f>HYPERLINK("https://us2.cloudbeds.com/connect/10074733072513#/reservations/31679883481237?display=MHB4ETDQC&amp;reservation_id=31679883481237", "MHB4ETDQC")</f>
        <v>MHB4ETDQC</v>
      </c>
      <c r="B495" t="s">
        <v>10</v>
      </c>
      <c r="C495" t="s">
        <v>42</v>
      </c>
      <c r="D495" t="str">
        <f>HYPERLINK("https://us2.cloudbeds.com/connect/10074733072513#/reservations/31679883481237?display=Ernest%20Koch&amp;reservation_id=31679883481237&amp;guest_id=31679878013182", "Ernest Koch")</f>
        <v>Ernest Koch</v>
      </c>
      <c r="E495" t="s">
        <v>6775</v>
      </c>
      <c r="F495" t="s">
        <v>6629</v>
      </c>
      <c r="G495">
        <v>596</v>
      </c>
      <c r="H495">
        <v>647.82000000000005</v>
      </c>
      <c r="I495">
        <v>647.85</v>
      </c>
      <c r="J495">
        <v>-0.03</v>
      </c>
    </row>
    <row r="496" spans="1:10" x14ac:dyDescent="0.3">
      <c r="A496" t="str">
        <f>HYPERLINK("https://us2.cloudbeds.com/connect/10074733072513#/reservations/31683542311105?display=MHDVV3ZRZ&amp;reservation_id=31683542311105", "MHDVV3ZRZ")</f>
        <v>MHDVV3ZRZ</v>
      </c>
      <c r="B496" t="s">
        <v>10</v>
      </c>
      <c r="C496" t="s">
        <v>42</v>
      </c>
      <c r="D496" t="str">
        <f>HYPERLINK("https://us2.cloudbeds.com/connect/10074733072513#/reservations/31683542311105?display=Ernie%20Tjoelker&amp;reservation_id=31683542311105&amp;guest_id=31683532951792", "Ernie Tjoelker")</f>
        <v>Ernie Tjoelker</v>
      </c>
      <c r="E496" t="s">
        <v>6780</v>
      </c>
      <c r="F496" t="s">
        <v>5575</v>
      </c>
      <c r="G496">
        <v>645</v>
      </c>
      <c r="H496">
        <v>701.09</v>
      </c>
      <c r="I496">
        <v>701.12</v>
      </c>
      <c r="J496">
        <v>-0.03</v>
      </c>
    </row>
    <row r="497" spans="1:10" x14ac:dyDescent="0.3">
      <c r="A497" t="str">
        <f>HYPERLINK("https://us2.cloudbeds.com/connect/10074733072513#/reservations/31679890108666?display=MHB4KFRJX&amp;reservation_id=31679890108666", "MHB4KFRJX")</f>
        <v>MHB4KFRJX</v>
      </c>
      <c r="B497" t="s">
        <v>10</v>
      </c>
      <c r="C497" t="s">
        <v>42</v>
      </c>
      <c r="D497" t="str">
        <f>HYPERLINK("https://us2.cloudbeds.com/connect/10074733072513#/reservations/31679890108666?display=Conner%20Braunsroth&amp;reservation_id=31679890108666&amp;guest_id=31679890108663", "Conner Braunsroth")</f>
        <v>Conner Braunsroth</v>
      </c>
      <c r="E497" t="s">
        <v>6793</v>
      </c>
      <c r="F497" t="s">
        <v>6629</v>
      </c>
      <c r="G497">
        <v>636</v>
      </c>
      <c r="H497">
        <v>691.3</v>
      </c>
      <c r="I497">
        <v>691.33</v>
      </c>
      <c r="J497">
        <v>-0.03</v>
      </c>
    </row>
    <row r="498" spans="1:10" x14ac:dyDescent="0.3">
      <c r="A498" t="str">
        <f>HYPERLINK("https://us2.cloudbeds.com/connect/10074733072513#/reservations/31680175104133?display=MHBBTQ8DR&amp;reservation_id=31680175104133", "MHBBTQ8DR")</f>
        <v>MHBBTQ8DR</v>
      </c>
      <c r="B498" t="s">
        <v>10</v>
      </c>
      <c r="C498" t="s">
        <v>17</v>
      </c>
      <c r="D498" t="str">
        <f>HYPERLINK("https://us2.cloudbeds.com/connect/10074733072513#/reservations/31680175104133?display=Ronald%20Brant&amp;reservation_id=31680175104133&amp;guest_id=31680169230554", "Ronald Brant")</f>
        <v>Ronald Brant</v>
      </c>
      <c r="E498" t="s">
        <v>1740</v>
      </c>
      <c r="F498" t="s">
        <v>6568</v>
      </c>
      <c r="G498">
        <v>1303</v>
      </c>
      <c r="H498">
        <v>1416.33</v>
      </c>
      <c r="I498">
        <v>1416.36</v>
      </c>
      <c r="J498">
        <v>-0.03</v>
      </c>
    </row>
    <row r="499" spans="1:10" x14ac:dyDescent="0.3">
      <c r="A499" t="str">
        <f>HYPERLINK("https://us2.cloudbeds.com/connect/10074733072513#/reservations/31680656670968?display=MHBZ6SXX7&amp;reservation_id=31680656670968", "MHBZ6SXX7")</f>
        <v>MHBZ6SXX7</v>
      </c>
      <c r="B499" t="s">
        <v>10</v>
      </c>
      <c r="C499" t="s">
        <v>42</v>
      </c>
      <c r="D499" t="str">
        <f>HYPERLINK("https://us2.cloudbeds.com/connect/10074733072513#/reservations/31680656670968?display=Ernest%20Koch&amp;reservation_id=31680656670968&amp;guest_id=31679878013182", "Ernest Koch")</f>
        <v>Ernest Koch</v>
      </c>
      <c r="E499" t="s">
        <v>6775</v>
      </c>
      <c r="F499" t="s">
        <v>6435</v>
      </c>
      <c r="G499">
        <v>676</v>
      </c>
      <c r="H499">
        <v>734.78</v>
      </c>
      <c r="I499">
        <v>734.81</v>
      </c>
      <c r="J499">
        <v>-0.03</v>
      </c>
    </row>
    <row r="500" spans="1:10" x14ac:dyDescent="0.3">
      <c r="A500" t="str">
        <f>HYPERLINK("https://us2.cloudbeds.com/connect/10074733072513#/reservations/31680671481998?display=MHBZJBN4A&amp;reservation_id=31680671481998", "MHBZJBN4A")</f>
        <v>MHBZJBN4A</v>
      </c>
      <c r="B500" t="s">
        <v>10</v>
      </c>
      <c r="C500" t="s">
        <v>42</v>
      </c>
      <c r="D500" t="str">
        <f>HYPERLINK("https://us2.cloudbeds.com/connect/10074733072513#/reservations/31680671481998?display=Daniel%20Nielsen&amp;reservation_id=31680671481998&amp;guest_id=31680671481993", "Daniel Nielsen")</f>
        <v>Daniel Nielsen</v>
      </c>
      <c r="E500" t="s">
        <v>6847</v>
      </c>
      <c r="F500" t="s">
        <v>6435</v>
      </c>
      <c r="G500">
        <v>676</v>
      </c>
      <c r="H500">
        <v>734.78</v>
      </c>
      <c r="I500">
        <v>734.81</v>
      </c>
      <c r="J500">
        <v>-0.03</v>
      </c>
    </row>
    <row r="501" spans="1:10" x14ac:dyDescent="0.3">
      <c r="A501" t="str">
        <f>HYPERLINK("https://us2.cloudbeds.com/connect/10074733072513#/reservations/31687055196324?display=MHGMN8VZW&amp;reservation_id=31687055196324", "MHGMN8VZW")</f>
        <v>MHGMN8VZW</v>
      </c>
      <c r="B501" t="s">
        <v>10</v>
      </c>
      <c r="C501" t="s">
        <v>11</v>
      </c>
      <c r="D501" t="str">
        <f>HYPERLINK("https://us2.cloudbeds.com/connect/10074733072513#/reservations/31687055196324?display=Cheryl%20Swayze&amp;reservation_id=31687055196324&amp;guest_id=31687055196307", "Cheryl Swayze")</f>
        <v>Cheryl Swayze</v>
      </c>
      <c r="E501" t="s">
        <v>6865</v>
      </c>
      <c r="F501" t="s">
        <v>6866</v>
      </c>
      <c r="G501">
        <v>309.60000000000002</v>
      </c>
      <c r="H501">
        <v>336.51</v>
      </c>
      <c r="I501">
        <v>336.54</v>
      </c>
      <c r="J501">
        <v>-0.03</v>
      </c>
    </row>
    <row r="502" spans="1:10" x14ac:dyDescent="0.3">
      <c r="A502" t="str">
        <f>HYPERLINK("https://us2.cloudbeds.com/connect/10074733072513#/reservations/31687901135033?display=MHHBAJEWA&amp;reservation_id=31687901135033", "MHHBAJEWA")</f>
        <v>MHHBAJEWA</v>
      </c>
      <c r="B502" t="s">
        <v>10</v>
      </c>
      <c r="C502" t="s">
        <v>42</v>
      </c>
      <c r="D502" t="str">
        <f>HYPERLINK("https://us2.cloudbeds.com/connect/10074733072513#/reservations/31687901135033?display=Structures%20Great%20Plains&amp;reservation_id=31687901135033&amp;guest_id=31679960518867", "Structures Great Plains")</f>
        <v>Structures Great Plains</v>
      </c>
      <c r="E502" t="s">
        <v>6733</v>
      </c>
      <c r="F502" t="s">
        <v>6698</v>
      </c>
      <c r="G502">
        <v>316</v>
      </c>
      <c r="H502">
        <v>343.46</v>
      </c>
      <c r="I502">
        <v>343.49</v>
      </c>
      <c r="J502">
        <v>-0.03</v>
      </c>
    </row>
    <row r="503" spans="1:10" x14ac:dyDescent="0.3">
      <c r="A503" t="str">
        <f>HYPERLINK("https://us2.cloudbeds.com/connect/10074733072513#/reservations/31680341438671?display=MHBG51P1C&amp;reservation_id=31680341438671", "MHBG51P1C")</f>
        <v>MHBG51P1C</v>
      </c>
      <c r="B503" t="s">
        <v>10</v>
      </c>
      <c r="C503" t="s">
        <v>42</v>
      </c>
      <c r="D503" t="str">
        <f>HYPERLINK("https://us2.cloudbeds.com/connect/10074733072513#/reservations/31680341438671?display=Chris%20Talbot&amp;reservation_id=31680341438671&amp;guest_id=31680341438669", "Chris Talbot")</f>
        <v>Chris Talbot</v>
      </c>
      <c r="E503" t="s">
        <v>6939</v>
      </c>
      <c r="F503" t="s">
        <v>6698</v>
      </c>
      <c r="G503">
        <v>556</v>
      </c>
      <c r="H503">
        <v>604.34</v>
      </c>
      <c r="I503">
        <v>604.37</v>
      </c>
      <c r="J503">
        <v>-0.03</v>
      </c>
    </row>
    <row r="504" spans="1:10" x14ac:dyDescent="0.3">
      <c r="A504" t="str">
        <f>HYPERLINK("https://us2.cloudbeds.com/connect/10074733072513#/reservations/31685271404686?display=MHFA44ATU&amp;reservation_id=31685271404686", "MHFA44ATU")</f>
        <v>MHFA44ATU</v>
      </c>
      <c r="B504" t="s">
        <v>10</v>
      </c>
      <c r="C504" t="s">
        <v>42</v>
      </c>
      <c r="D504" t="str">
        <f>HYPERLINK("https://us2.cloudbeds.com/connect/10074733072513#/reservations/31685271404686?display=Jose%20Sanchez&amp;reservation_id=31685271404686&amp;guest_id=31685271404681", "Jose Sanchez")</f>
        <v>Jose Sanchez</v>
      </c>
      <c r="E504" t="s">
        <v>6947</v>
      </c>
      <c r="F504" t="s">
        <v>5582</v>
      </c>
      <c r="G504">
        <v>276</v>
      </c>
      <c r="H504">
        <v>299.98</v>
      </c>
      <c r="I504">
        <v>300.01</v>
      </c>
      <c r="J504">
        <v>-0.03</v>
      </c>
    </row>
    <row r="505" spans="1:10" x14ac:dyDescent="0.3">
      <c r="A505" t="str">
        <f>HYPERLINK("https://us2.cloudbeds.com/connect/10074733072513#/reservations/31680968749207?display=MHBW60JPX&amp;reservation_id=31680968749207", "MHBW60JPX")</f>
        <v>MHBW60JPX</v>
      </c>
      <c r="B505" t="s">
        <v>10</v>
      </c>
      <c r="C505" t="s">
        <v>42</v>
      </c>
      <c r="D505" t="str">
        <f>HYPERLINK("https://us2.cloudbeds.com/connect/10074733072513#/reservations/31680968749207?display=Ernest%20Koch&amp;reservation_id=31680968749207&amp;guest_id=31679878013182", "Ernest Koch")</f>
        <v>Ernest Koch</v>
      </c>
      <c r="E505" t="s">
        <v>6775</v>
      </c>
      <c r="F505" t="s">
        <v>6953</v>
      </c>
      <c r="G505">
        <v>596</v>
      </c>
      <c r="H505">
        <v>647.82000000000005</v>
      </c>
      <c r="I505">
        <v>647.85</v>
      </c>
      <c r="J505">
        <v>-0.03</v>
      </c>
    </row>
    <row r="506" spans="1:10" x14ac:dyDescent="0.3">
      <c r="A506" t="str">
        <f>HYPERLINK("https://us2.cloudbeds.com/connect/10074733072513#/reservations/31695193043151?display=MHMWYAX0W&amp;reservation_id=31695193043151", "MHMWYAX0W")</f>
        <v>MHMWYAX0W</v>
      </c>
      <c r="B506" t="s">
        <v>10</v>
      </c>
      <c r="C506" t="s">
        <v>42</v>
      </c>
      <c r="D506" t="str">
        <f>HYPERLINK("https://us2.cloudbeds.com/connect/10074733072513#/reservations/31695193043151?display=Brittany%20Stanton&amp;reservation_id=31695193043151&amp;guest_id=31695193039057", "Brittany Stanton")</f>
        <v>Brittany Stanton</v>
      </c>
      <c r="E506" t="s">
        <v>6957</v>
      </c>
      <c r="F506" t="s">
        <v>6746</v>
      </c>
      <c r="G506">
        <v>556</v>
      </c>
      <c r="H506">
        <v>604.34</v>
      </c>
      <c r="I506">
        <v>604.37</v>
      </c>
      <c r="J506">
        <v>-0.03</v>
      </c>
    </row>
    <row r="507" spans="1:10" x14ac:dyDescent="0.3">
      <c r="A507" t="str">
        <f>HYPERLINK("https://us2.cloudbeds.com/connect/10074733072513#/reservations/31680948994266?display=MHBVMBTAW&amp;reservation_id=31680948994266", "MHBVMBTAW")</f>
        <v>MHBVMBTAW</v>
      </c>
      <c r="B507" t="s">
        <v>10</v>
      </c>
      <c r="C507" t="s">
        <v>42</v>
      </c>
      <c r="D507" t="str">
        <f>HYPERLINK("https://us2.cloudbeds.com/connect/10074733072513#/reservations/31680948994266?display=Alex%20Friest&amp;reservation_id=31680948994266&amp;guest_id=31680948994264", "Alex Friest")</f>
        <v>Alex Friest</v>
      </c>
      <c r="E507" t="s">
        <v>6975</v>
      </c>
      <c r="F507" t="s">
        <v>6953</v>
      </c>
      <c r="G507">
        <v>745</v>
      </c>
      <c r="H507">
        <v>809.79</v>
      </c>
      <c r="I507">
        <v>809.82</v>
      </c>
      <c r="J507">
        <v>-0.03</v>
      </c>
    </row>
    <row r="508" spans="1:10" x14ac:dyDescent="0.3">
      <c r="A508" t="str">
        <f>HYPERLINK("https://us2.cloudbeds.com/connect/10074733072513#/reservations/31681018106025?display=MHC0EY0RN&amp;reservation_id=31681018106025", "MHC0EY0RN")</f>
        <v>MHC0EY0RN</v>
      </c>
      <c r="B508" t="s">
        <v>10</v>
      </c>
      <c r="C508" t="s">
        <v>42</v>
      </c>
      <c r="D508" t="str">
        <f>HYPERLINK("https://us2.cloudbeds.com/connect/10074733072513#/reservations/31681018106025?display=Alan%20Probst&amp;reservation_id=31681018106025&amp;guest_id=31681018106006", "Alan Probst")</f>
        <v>Alan Probst</v>
      </c>
      <c r="E508" t="s">
        <v>6989</v>
      </c>
      <c r="F508" t="s">
        <v>6953</v>
      </c>
      <c r="G508">
        <v>2190</v>
      </c>
      <c r="H508">
        <v>2380.5</v>
      </c>
      <c r="I508">
        <v>2380.5300000000002</v>
      </c>
      <c r="J508">
        <v>-0.03</v>
      </c>
    </row>
    <row r="509" spans="1:10" x14ac:dyDescent="0.3">
      <c r="A509" t="str">
        <f>HYPERLINK("https://us2.cloudbeds.com/connect/10074733072513#/reservations/31683159068821?display=MHDM4VFX6&amp;reservation_id=31683159068821", "MHDM4VFX6")</f>
        <v>MHDM4VFX6</v>
      </c>
      <c r="B509" t="s">
        <v>10</v>
      </c>
      <c r="C509" t="s">
        <v>42</v>
      </c>
      <c r="D509" t="str">
        <f>HYPERLINK("https://us2.cloudbeds.com/connect/10074733072513#/reservations/31683159068821?display=Ernest%20Koch&amp;reservation_id=31683159068821&amp;guest_id=31683159068816", "Ernest Koch")</f>
        <v>Ernest Koch</v>
      </c>
      <c r="E509" t="s">
        <v>7014</v>
      </c>
      <c r="F509" t="s">
        <v>7015</v>
      </c>
      <c r="G509">
        <v>745</v>
      </c>
      <c r="H509">
        <v>809.79</v>
      </c>
      <c r="I509">
        <v>809.82</v>
      </c>
      <c r="J509">
        <v>-0.03</v>
      </c>
    </row>
    <row r="510" spans="1:10" x14ac:dyDescent="0.3">
      <c r="A510" t="str">
        <f>HYPERLINK("https://us2.cloudbeds.com/connect/10074733072513#/reservations/31683182907590?display=MHDMP1R24&amp;reservation_id=31683182907590", "MHDMP1R24")</f>
        <v>MHDMP1R24</v>
      </c>
      <c r="B510" t="s">
        <v>10</v>
      </c>
      <c r="C510" t="s">
        <v>17</v>
      </c>
      <c r="D510" t="str">
        <f>HYPERLINK("https://us2.cloudbeds.com/connect/10074733072513#/reservations/31683182907590?display=Bruce%20Irving&amp;reservation_id=31683182907590&amp;guest_id=31683182903545", "Bruce Irving")</f>
        <v>Bruce Irving</v>
      </c>
      <c r="E510" t="s">
        <v>7016</v>
      </c>
      <c r="F510" t="s">
        <v>6531</v>
      </c>
      <c r="G510">
        <v>671.4</v>
      </c>
      <c r="H510">
        <v>729.78</v>
      </c>
      <c r="I510">
        <v>729.81</v>
      </c>
      <c r="J510">
        <v>-0.03</v>
      </c>
    </row>
    <row r="511" spans="1:10" x14ac:dyDescent="0.3">
      <c r="A511" t="str">
        <f>HYPERLINK("https://us2.cloudbeds.com/connect/10074733072513#/reservations/31691775774916?display=MHKBAQ0M3&amp;reservation_id=31691775774916", "MHKBAQ0M3")</f>
        <v>MHKBAQ0M3</v>
      </c>
      <c r="B511" t="s">
        <v>10</v>
      </c>
      <c r="C511" t="s">
        <v>20</v>
      </c>
      <c r="D511" t="str">
        <f>HYPERLINK("https://us2.cloudbeds.com/connect/10074733072513#/reservations/31691775774916?display=Douglas%20Flaming&amp;reservation_id=31691775774916&amp;guest_id=31691775770824", "Douglas Flaming")</f>
        <v>Douglas Flaming</v>
      </c>
      <c r="E511" t="s">
        <v>7022</v>
      </c>
      <c r="F511" t="s">
        <v>5593</v>
      </c>
      <c r="G511">
        <v>516</v>
      </c>
      <c r="H511">
        <v>560.86</v>
      </c>
      <c r="I511">
        <v>560.89</v>
      </c>
      <c r="J511">
        <v>-0.03</v>
      </c>
    </row>
    <row r="512" spans="1:10" x14ac:dyDescent="0.3">
      <c r="A512" t="str">
        <f>HYPERLINK("https://us2.cloudbeds.com/connect/10074733072513#/reservations/31685447995547?display=MHFEY17Y4&amp;reservation_id=31685447995547", "MHFEY17Y4")</f>
        <v>MHFEY17Y4</v>
      </c>
      <c r="B512" t="s">
        <v>10</v>
      </c>
      <c r="C512" t="s">
        <v>11</v>
      </c>
      <c r="D512" t="str">
        <f>HYPERLINK("https://us2.cloudbeds.com/connect/10074733072513#/reservations/31685447995547?display=Almeta%20Madeline%20Le%20Barre&amp;reservation_id=31685447995547&amp;guest_id=31685447995544", "Almeta Madeline Le Barre")</f>
        <v>Almeta Madeline Le Barre</v>
      </c>
      <c r="E512" t="s">
        <v>7030</v>
      </c>
      <c r="F512" t="s">
        <v>5842</v>
      </c>
      <c r="G512">
        <v>420.3</v>
      </c>
      <c r="H512">
        <v>456.84</v>
      </c>
      <c r="I512">
        <v>456.87</v>
      </c>
      <c r="J512">
        <v>-0.03</v>
      </c>
    </row>
    <row r="513" spans="1:10" x14ac:dyDescent="0.3">
      <c r="A513" t="str">
        <f>HYPERLINK("https://us2.cloudbeds.com/connect/10074733072513#/reservations/31681720226026?display=MHCXCMX4C&amp;reservation_id=31681720226026", "MHCXCMX4C")</f>
        <v>MHCXCMX4C</v>
      </c>
      <c r="B513" t="s">
        <v>10</v>
      </c>
      <c r="C513" t="s">
        <v>42</v>
      </c>
      <c r="D513" t="str">
        <f>HYPERLINK("https://us2.cloudbeds.com/connect/10074733072513#/reservations/31681720226026?display=James%20Reed&amp;reservation_id=31681720226026&amp;guest_id=31681720226023", "James Reed")</f>
        <v>James Reed</v>
      </c>
      <c r="E513" t="s">
        <v>4061</v>
      </c>
      <c r="F513" t="s">
        <v>7064</v>
      </c>
      <c r="G513">
        <v>676</v>
      </c>
      <c r="H513">
        <v>734.78</v>
      </c>
      <c r="I513">
        <v>734.81</v>
      </c>
      <c r="J513">
        <v>-0.03</v>
      </c>
    </row>
    <row r="514" spans="1:10" x14ac:dyDescent="0.3">
      <c r="A514" t="str">
        <f>HYPERLINK("https://us2.cloudbeds.com/connect/10074733072513#/reservations/31683274141913?display=MHDP2WX4J&amp;reservation_id=31683274141913", "MHDP2WX4J")</f>
        <v>MHDP2WX4J</v>
      </c>
      <c r="B514" t="s">
        <v>10</v>
      </c>
      <c r="C514" t="s">
        <v>42</v>
      </c>
      <c r="D514" t="str">
        <f>HYPERLINK("https://us2.cloudbeds.com/connect/10074733072513#/reservations/31683274141913?display=Ernest%20Koch&amp;reservation_id=31683274141913&amp;guest_id=31683274141899", "Ernest Koch")</f>
        <v>Ernest Koch</v>
      </c>
      <c r="E514" t="s">
        <v>7014</v>
      </c>
      <c r="F514" t="s">
        <v>5548</v>
      </c>
      <c r="G514">
        <v>556</v>
      </c>
      <c r="H514">
        <v>604.34</v>
      </c>
      <c r="I514">
        <v>604.37</v>
      </c>
      <c r="J514">
        <v>-0.03</v>
      </c>
    </row>
    <row r="515" spans="1:10" x14ac:dyDescent="0.3">
      <c r="A515" t="str">
        <f>HYPERLINK("https://us2.cloudbeds.com/connect/10074733072513#/reservations/31681952231676?display=MHCZAAEQK&amp;reservation_id=31681952231676", "MHCZAAEQK")</f>
        <v>MHCZAAEQK</v>
      </c>
      <c r="B515" t="s">
        <v>10</v>
      </c>
      <c r="C515" t="s">
        <v>17</v>
      </c>
      <c r="D515" t="str">
        <f>HYPERLINK("https://us2.cloudbeds.com/connect/10074733072513#/reservations/31681952231676?display=Eve%20Hunter&amp;reservation_id=31681952231676&amp;guest_id=31681952231666", "Eve Hunter")</f>
        <v>Eve Hunter</v>
      </c>
      <c r="E515" t="s">
        <v>7099</v>
      </c>
      <c r="F515" t="s">
        <v>7079</v>
      </c>
      <c r="G515">
        <v>875.7</v>
      </c>
      <c r="H515">
        <v>951.86</v>
      </c>
      <c r="I515">
        <v>951.89</v>
      </c>
      <c r="J515">
        <v>-0.03</v>
      </c>
    </row>
    <row r="516" spans="1:10" x14ac:dyDescent="0.3">
      <c r="A516" t="str">
        <f>HYPERLINK("https://us2.cloudbeds.com/connect/10074733072513#/reservations/31686141567132?display=MHFWBST4T&amp;reservation_id=31686141567132", "MHFWBST4T")</f>
        <v>MHFWBST4T</v>
      </c>
      <c r="B516" t="s">
        <v>10</v>
      </c>
      <c r="C516" t="s">
        <v>17</v>
      </c>
      <c r="D516" t="str">
        <f>HYPERLINK("https://us2.cloudbeds.com/connect/10074733072513#/reservations/31686141567132?display=Ahlin%20Dedry&amp;reservation_id=31686141567132&amp;guest_id=31686135197892", "Ahlin Dedry")</f>
        <v>Ahlin Dedry</v>
      </c>
      <c r="E516" t="s">
        <v>7101</v>
      </c>
      <c r="F516" t="s">
        <v>4291</v>
      </c>
      <c r="G516">
        <v>536.4</v>
      </c>
      <c r="H516">
        <v>583.04</v>
      </c>
      <c r="I516">
        <v>583.07000000000005</v>
      </c>
      <c r="J516">
        <v>-0.03</v>
      </c>
    </row>
    <row r="517" spans="1:10" x14ac:dyDescent="0.3">
      <c r="A517" t="str">
        <f>HYPERLINK("https://us2.cloudbeds.com/connect/10074733072513#/reservations/31683622699138?display=MHE0WTM1Z&amp;reservation_id=31683622699138", "MHE0WTM1Z")</f>
        <v>MHE0WTM1Z</v>
      </c>
      <c r="B517" t="s">
        <v>10</v>
      </c>
      <c r="C517" t="s">
        <v>42</v>
      </c>
      <c r="D517" t="str">
        <f>HYPERLINK("https://us2.cloudbeds.com/connect/10074733072513#/reservations/31683622699138?display=Cory%20Glick&amp;reservation_id=31683622699138&amp;guest_id=31676961386701", "Cory Glick")</f>
        <v>Cory Glick</v>
      </c>
      <c r="E517" t="s">
        <v>2769</v>
      </c>
      <c r="F517" t="s">
        <v>7075</v>
      </c>
      <c r="G517">
        <v>395</v>
      </c>
      <c r="H517">
        <v>429.34</v>
      </c>
      <c r="I517">
        <v>429.37</v>
      </c>
      <c r="J517">
        <v>-0.03</v>
      </c>
    </row>
    <row r="518" spans="1:10" x14ac:dyDescent="0.3">
      <c r="A518" t="str">
        <f>HYPERLINK("https://us2.cloudbeds.com/connect/10074733072513#/reservations/31683758039175?display=MHE4F0N7W&amp;reservation_id=31683758039175", "MHE4F0N7W")</f>
        <v>MHE4F0N7W</v>
      </c>
      <c r="B518" t="s">
        <v>10</v>
      </c>
      <c r="C518" t="s">
        <v>42</v>
      </c>
      <c r="D518" t="str">
        <f>HYPERLINK("https://us2.cloudbeds.com/connect/10074733072513#/reservations/31683758039175?display=Maureen%20Kleven&amp;reservation_id=31683758039175&amp;guest_id=31683758035075", "Maureen Kleven")</f>
        <v>Maureen Kleven</v>
      </c>
      <c r="E518" t="s">
        <v>7154</v>
      </c>
      <c r="F518" t="s">
        <v>6507</v>
      </c>
      <c r="G518">
        <v>556</v>
      </c>
      <c r="H518">
        <v>604.34</v>
      </c>
      <c r="I518">
        <v>604.37</v>
      </c>
      <c r="J518">
        <v>-0.03</v>
      </c>
    </row>
    <row r="519" spans="1:10" x14ac:dyDescent="0.3">
      <c r="A519" t="str">
        <f>HYPERLINK("https://us2.cloudbeds.com/connect/10074733072513#/reservations/31685385113756?display=MHFD10EVA&amp;reservation_id=31685385113756", "MHFD10EVA")</f>
        <v>MHFD10EVA</v>
      </c>
      <c r="B519" t="s">
        <v>10</v>
      </c>
      <c r="C519" t="s">
        <v>121</v>
      </c>
      <c r="D519" t="str">
        <f>HYPERLINK("https://us2.cloudbeds.com/connect/10074733072513#/reservations/31685385113756?display=Frank%20Robert%20Weimar&amp;reservation_id=31685385113756&amp;guest_id=31685385113751", "Frank Robert Weimar")</f>
        <v>Frank Robert Weimar</v>
      </c>
      <c r="E519" t="s">
        <v>7263</v>
      </c>
      <c r="F519" t="s">
        <v>5559</v>
      </c>
      <c r="G519">
        <v>536.4</v>
      </c>
      <c r="H519">
        <v>583.04</v>
      </c>
      <c r="I519">
        <v>583.07000000000005</v>
      </c>
      <c r="J519">
        <v>-0.03</v>
      </c>
    </row>
    <row r="520" spans="1:10" x14ac:dyDescent="0.3">
      <c r="A520" t="str">
        <f>HYPERLINK("https://us2.cloudbeds.com/connect/10074733072513#/reservations/31684831285379?display=MHEVT0BV7&amp;reservation_id=31684831285379", "MHEVT0BV7")</f>
        <v>MHEVT0BV7</v>
      </c>
      <c r="B520" t="s">
        <v>10</v>
      </c>
      <c r="C520" t="s">
        <v>42</v>
      </c>
      <c r="D520" t="str">
        <f>HYPERLINK("https://us2.cloudbeds.com/connect/10074733072513#/reservations/31684831285379?display=Sam%20Tabitha&amp;reservation_id=31684831285379&amp;guest_id=31684831281297", "Sam Tabitha")</f>
        <v>Sam Tabitha</v>
      </c>
      <c r="E520" t="s">
        <v>7275</v>
      </c>
      <c r="F520" t="s">
        <v>7008</v>
      </c>
      <c r="G520">
        <v>516</v>
      </c>
      <c r="H520">
        <v>560.86</v>
      </c>
      <c r="I520">
        <v>560.89</v>
      </c>
      <c r="J520">
        <v>-0.03</v>
      </c>
    </row>
    <row r="521" spans="1:10" x14ac:dyDescent="0.3">
      <c r="A521" t="str">
        <f>HYPERLINK("https://us2.cloudbeds.com/connect/10074733072513#/reservations/31684803481777?display=MHEV5XMKR&amp;reservation_id=31684803481777", "MHEV5XMKR")</f>
        <v>MHEV5XMKR</v>
      </c>
      <c r="B521" t="s">
        <v>10</v>
      </c>
      <c r="C521" t="s">
        <v>42</v>
      </c>
      <c r="D521" t="str">
        <f>HYPERLINK("https://us2.cloudbeds.com/connect/10074733072513#/reservations/31684803481777?display=Zackeriah%20Earl&amp;reservation_id=31684803481777&amp;guest_id=31682309025920", "Zackeriah Earl")</f>
        <v>Zackeriah Earl</v>
      </c>
      <c r="E521" t="s">
        <v>7276</v>
      </c>
      <c r="F521" t="s">
        <v>7008</v>
      </c>
      <c r="G521">
        <v>516</v>
      </c>
      <c r="H521">
        <v>560.86</v>
      </c>
      <c r="I521">
        <v>560.89</v>
      </c>
      <c r="J521">
        <v>-0.03</v>
      </c>
    </row>
    <row r="522" spans="1:10" x14ac:dyDescent="0.3">
      <c r="A522" t="str">
        <f>HYPERLINK("https://us2.cloudbeds.com/connect/10074733072513#/reservations/31691808538821?display=MHKC5DNTN&amp;reservation_id=31691808538821", "MHKC5DNTN")</f>
        <v>MHKC5DNTN</v>
      </c>
      <c r="B522" t="s">
        <v>10</v>
      </c>
      <c r="C522" t="s">
        <v>42</v>
      </c>
      <c r="D522" t="str">
        <f>HYPERLINK("https://us2.cloudbeds.com/connect/10074733072513#/reservations/31691808538821?display=Wayne%20Wormstadt&amp;reservation_id=31691808538821&amp;guest_id=31691798028455", "Wayne Wormstadt")</f>
        <v>Wayne Wormstadt</v>
      </c>
      <c r="E522" t="s">
        <v>7284</v>
      </c>
      <c r="F522" t="s">
        <v>5593</v>
      </c>
      <c r="G522">
        <v>450</v>
      </c>
      <c r="H522">
        <v>489.12</v>
      </c>
      <c r="I522">
        <v>489.15</v>
      </c>
      <c r="J522">
        <v>-0.03</v>
      </c>
    </row>
    <row r="523" spans="1:10" x14ac:dyDescent="0.3">
      <c r="A523" t="str">
        <f>HYPERLINK("https://us2.cloudbeds.com/connect/10074733072513#/reservations/31692220797105?display=MHKMN1DQW&amp;reservation_id=31692220797105", "MHKMN1DQW")</f>
        <v>MHKMN1DQW</v>
      </c>
      <c r="B523" t="s">
        <v>10</v>
      </c>
      <c r="C523" t="s">
        <v>42</v>
      </c>
      <c r="D523" t="str">
        <f>HYPERLINK("https://us2.cloudbeds.com/connect/10074733072513#/reservations/31692220797105?display=Dewey%20Hlavac&amp;reservation_id=31692220797105&amp;guest_id=31681864011998", "Dewey Hlavac")</f>
        <v>Dewey Hlavac</v>
      </c>
      <c r="E523" t="s">
        <v>7322</v>
      </c>
      <c r="F523" t="s">
        <v>7324</v>
      </c>
      <c r="G523">
        <v>396</v>
      </c>
      <c r="H523">
        <v>430.42</v>
      </c>
      <c r="I523">
        <v>430.45</v>
      </c>
      <c r="J523">
        <v>-0.03</v>
      </c>
    </row>
    <row r="524" spans="1:10" x14ac:dyDescent="0.3">
      <c r="A524" t="str">
        <f>HYPERLINK("https://us2.cloudbeds.com/connect/10074733072513#/reservations/31686097109154?display=MHFV7CPXE&amp;reservation_id=31686097109154", "MHFV7CPXE")</f>
        <v>MHFV7CPXE</v>
      </c>
      <c r="B524" t="s">
        <v>10</v>
      </c>
      <c r="C524" t="s">
        <v>42</v>
      </c>
      <c r="D524" t="str">
        <f>HYPERLINK("https://us2.cloudbeds.com/connect/10074733072513#/reservations/31686097109154?display=Dewey%20Hlavac&amp;reservation_id=31686097109154&amp;guest_id=31681864011998", "Dewey Hlavac")</f>
        <v>Dewey Hlavac</v>
      </c>
      <c r="E524" t="s">
        <v>7322</v>
      </c>
      <c r="F524" t="s">
        <v>7327</v>
      </c>
      <c r="G524">
        <v>396</v>
      </c>
      <c r="H524">
        <v>430.42</v>
      </c>
      <c r="I524">
        <v>430.45</v>
      </c>
      <c r="J524">
        <v>-0.03</v>
      </c>
    </row>
    <row r="525" spans="1:10" x14ac:dyDescent="0.3">
      <c r="A525" t="str">
        <f>HYPERLINK("https://us2.cloudbeds.com/connect/10074733072513#/reservations/31684159193306?display=MHEEN9DGP&amp;reservation_id=31684159193306", "MHEEN9DGP")</f>
        <v>MHEEN9DGP</v>
      </c>
      <c r="B525" t="s">
        <v>10</v>
      </c>
      <c r="C525" t="s">
        <v>42</v>
      </c>
      <c r="D525" t="str">
        <f>HYPERLINK("https://us2.cloudbeds.com/connect/10074733072513#/reservations/31684159193306?display=Daniel%20Sailor&amp;reservation_id=31684159193306&amp;guest_id=31684159193301", "Daniel Sailor")</f>
        <v>Daniel Sailor</v>
      </c>
      <c r="E525" t="s">
        <v>7336</v>
      </c>
      <c r="F525" t="s">
        <v>7130</v>
      </c>
      <c r="G525">
        <v>219</v>
      </c>
      <c r="H525">
        <v>238.02</v>
      </c>
      <c r="I525">
        <v>238.05</v>
      </c>
      <c r="J525">
        <v>-0.03</v>
      </c>
    </row>
    <row r="526" spans="1:10" x14ac:dyDescent="0.3">
      <c r="A526" t="str">
        <f>HYPERLINK("https://us2.cloudbeds.com/connect/10074733072513#/reservations/31688277733519?display=MHHKV4SEY&amp;reservation_id=31688277733519", "MHHKV4SEY")</f>
        <v>MHHKV4SEY</v>
      </c>
      <c r="B526" t="s">
        <v>10</v>
      </c>
      <c r="C526" t="s">
        <v>42</v>
      </c>
      <c r="D526" t="str">
        <f>HYPERLINK("https://us2.cloudbeds.com/connect/10074733072513#/reservations/31688277733519?display=Lisa%20Sievers&amp;reservation_id=31688277733519&amp;guest_id=31688277733514", "Lisa Sievers")</f>
        <v>Lisa Sievers</v>
      </c>
      <c r="E526" t="s">
        <v>7375</v>
      </c>
      <c r="F526" t="s">
        <v>5247</v>
      </c>
      <c r="G526">
        <v>576</v>
      </c>
      <c r="H526">
        <v>626.08000000000004</v>
      </c>
      <c r="I526">
        <v>626.11</v>
      </c>
      <c r="J526">
        <v>-0.03</v>
      </c>
    </row>
    <row r="527" spans="1:10" x14ac:dyDescent="0.3">
      <c r="A527" t="str">
        <f>HYPERLINK("https://us2.cloudbeds.com/connect/10074733072513#/reservations/31683845931201?display=MHE6N4E5N&amp;reservation_id=31683845931201", "MHE6N4E5N")</f>
        <v>MHE6N4E5N</v>
      </c>
      <c r="B527" t="s">
        <v>10</v>
      </c>
      <c r="C527" t="s">
        <v>121</v>
      </c>
      <c r="D527" t="str">
        <f>HYPERLINK("https://us2.cloudbeds.com/connect/10074733072513#/reservations/31683845931201?display=Cori%20Tonjes&amp;reservation_id=31683845931201&amp;guest_id=31683845927167", "Cori Tonjes")</f>
        <v>Cori Tonjes</v>
      </c>
      <c r="E527" t="s">
        <v>7376</v>
      </c>
      <c r="F527" t="s">
        <v>7377</v>
      </c>
      <c r="G527">
        <v>436</v>
      </c>
      <c r="H527">
        <v>473.9</v>
      </c>
      <c r="I527">
        <v>473.93</v>
      </c>
      <c r="J527">
        <v>-0.03</v>
      </c>
    </row>
    <row r="528" spans="1:10" x14ac:dyDescent="0.3">
      <c r="A528" t="str">
        <f>HYPERLINK("https://us2.cloudbeds.com/connect/10074733072513#/reservations/31688292216985?display=MHHYABT7X&amp;reservation_id=31688292216985", "MHHYABT7X")</f>
        <v>MHHYABT7X</v>
      </c>
      <c r="B528" t="s">
        <v>10</v>
      </c>
      <c r="C528" t="s">
        <v>42</v>
      </c>
      <c r="D528" t="str">
        <f>HYPERLINK("https://us2.cloudbeds.com/connect/10074733072513#/reservations/31688292216985?display=Lisa%20Sievers&amp;reservation_id=31688292216985&amp;guest_id=31688292212891", "Lisa Sievers")</f>
        <v>Lisa Sievers</v>
      </c>
      <c r="E528" t="s">
        <v>7375</v>
      </c>
      <c r="F528" t="s">
        <v>5247</v>
      </c>
      <c r="G528">
        <v>576</v>
      </c>
      <c r="H528">
        <v>626.08000000000004</v>
      </c>
      <c r="I528">
        <v>626.11</v>
      </c>
      <c r="J528">
        <v>-0.03</v>
      </c>
    </row>
    <row r="529" spans="1:10" x14ac:dyDescent="0.3">
      <c r="A529" t="str">
        <f>HYPERLINK("https://us2.cloudbeds.com/connect/10074733072513#/reservations/31685629390981?display=MHFJ8WR9F&amp;reservation_id=31685629390981", "MHFJ8WR9F")</f>
        <v>MHFJ8WR9F</v>
      </c>
      <c r="B529" t="s">
        <v>10</v>
      </c>
      <c r="C529" t="s">
        <v>42</v>
      </c>
      <c r="D529" t="str">
        <f>HYPERLINK("https://us2.cloudbeds.com/connect/10074733072513#/reservations/31685629390981?display=Janice%20Irving&amp;reservation_id=31685629390981&amp;guest_id=31685629386896", "Janice Irving")</f>
        <v>Janice Irving</v>
      </c>
      <c r="E529" t="s">
        <v>7380</v>
      </c>
      <c r="F529" t="s">
        <v>7248</v>
      </c>
      <c r="G529">
        <v>536.4</v>
      </c>
      <c r="H529">
        <v>583.04</v>
      </c>
      <c r="I529">
        <v>583.07000000000005</v>
      </c>
      <c r="J529">
        <v>-0.03</v>
      </c>
    </row>
    <row r="530" spans="1:10" x14ac:dyDescent="0.3">
      <c r="A530" t="str">
        <f>HYPERLINK("https://us2.cloudbeds.com/connect/10074733072513#/reservations/31687198773410?display=MHGQCB6QP&amp;reservation_id=31687198773410", "MHGQCB6QP")</f>
        <v>MHGQCB6QP</v>
      </c>
      <c r="B530" t="s">
        <v>10</v>
      </c>
      <c r="C530" t="s">
        <v>23</v>
      </c>
      <c r="D530" t="str">
        <f>HYPERLINK("https://us2.cloudbeds.com/connect/10074733072513#/reservations/31687198773410?display=Leanne%20Clark&amp;reservation_id=31687198773410&amp;guest_id=31687198773405", "Leanne Clark")</f>
        <v>Leanne Clark</v>
      </c>
      <c r="E530" t="s">
        <v>7386</v>
      </c>
      <c r="F530" t="s">
        <v>7387</v>
      </c>
      <c r="G530">
        <v>309.60000000000002</v>
      </c>
      <c r="H530">
        <v>336.51</v>
      </c>
      <c r="I530">
        <v>336.54</v>
      </c>
      <c r="J530">
        <v>-0.03</v>
      </c>
    </row>
    <row r="531" spans="1:10" x14ac:dyDescent="0.3">
      <c r="A531" t="str">
        <f>HYPERLINK("https://us2.cloudbeds.com/connect/10074733072513#/reservations/31683086467296?display=MHDK9Z7FW&amp;reservation_id=31683086467296", "MHDK9Z7FW")</f>
        <v>MHDK9Z7FW</v>
      </c>
      <c r="B531" t="s">
        <v>10</v>
      </c>
      <c r="C531" t="s">
        <v>42</v>
      </c>
      <c r="D531" t="str">
        <f>HYPERLINK("https://us2.cloudbeds.com/connect/10074733072513#/reservations/31683086467296?display=Rozanne%20Bruins&amp;reservation_id=31683086467296&amp;guest_id=31683086467290", "Rozanne Bruins")</f>
        <v>Rozanne Bruins</v>
      </c>
      <c r="E531" t="s">
        <v>7435</v>
      </c>
      <c r="F531" t="s">
        <v>7269</v>
      </c>
      <c r="G531">
        <v>556</v>
      </c>
      <c r="H531">
        <v>604.34</v>
      </c>
      <c r="I531">
        <v>604.37</v>
      </c>
      <c r="J531">
        <v>-0.03</v>
      </c>
    </row>
    <row r="532" spans="1:10" x14ac:dyDescent="0.3">
      <c r="A532" t="str">
        <f>HYPERLINK("https://us2.cloudbeds.com/connect/10074733072513#/reservations/31694437286110?display=MHMDB1G8F&amp;reservation_id=31694437286110", "MHMDB1G8F")</f>
        <v>MHMDB1G8F</v>
      </c>
      <c r="B532" t="s">
        <v>10</v>
      </c>
      <c r="C532" t="s">
        <v>42</v>
      </c>
      <c r="D532" t="str">
        <f>HYPERLINK("https://us2.cloudbeds.com/connect/10074733072513#/reservations/31694437286110?display=Loraine%20Carstenson&amp;reservation_id=31694437286110&amp;guest_id=31694437286098", "Loraine Carstenson")</f>
        <v>Loraine Carstenson</v>
      </c>
      <c r="E532" t="s">
        <v>7492</v>
      </c>
      <c r="F532" t="s">
        <v>6746</v>
      </c>
      <c r="G532">
        <v>556</v>
      </c>
      <c r="H532">
        <v>604.34</v>
      </c>
      <c r="I532">
        <v>604.37</v>
      </c>
      <c r="J532">
        <v>-0.03</v>
      </c>
    </row>
    <row r="533" spans="1:10" x14ac:dyDescent="0.3">
      <c r="A533" t="str">
        <f>HYPERLINK("https://us2.cloudbeds.com/connect/10074733072513#/reservations/31686561816797?display=MHGA37VB7&amp;reservation_id=31686561816797", "MHGA37VB7")</f>
        <v>MHGA37VB7</v>
      </c>
      <c r="B533" t="s">
        <v>10</v>
      </c>
      <c r="C533" t="s">
        <v>42</v>
      </c>
      <c r="D533" t="str">
        <f>HYPERLINK("https://us2.cloudbeds.com/connect/10074733072513#/reservations/31686561816797?display=Craig%20Jones&amp;reservation_id=31686561816797&amp;guest_id=31686561812695", "Craig Jones")</f>
        <v>Craig Jones</v>
      </c>
      <c r="E533" t="s">
        <v>7522</v>
      </c>
      <c r="F533" t="s">
        <v>7167</v>
      </c>
      <c r="G533">
        <v>1344</v>
      </c>
      <c r="H533">
        <v>1460.9</v>
      </c>
      <c r="I533">
        <v>1460.93</v>
      </c>
      <c r="J533">
        <v>-0.03</v>
      </c>
    </row>
    <row r="534" spans="1:10" x14ac:dyDescent="0.3">
      <c r="A534" t="str">
        <f>HYPERLINK("https://us2.cloudbeds.com/connect/10074733072513#/reservations/31683643981971?display=MHE1HRTH2&amp;reservation_id=31683643981971", "MHE1HRTH2")</f>
        <v>MHE1HRTH2</v>
      </c>
      <c r="B534" t="s">
        <v>10</v>
      </c>
      <c r="C534" t="s">
        <v>42</v>
      </c>
      <c r="D534" t="str">
        <f>HYPERLINK("https://us2.cloudbeds.com/connect/10074733072513#/reservations/31683643981971?display=Oliver%20Luna&amp;reservation_id=31683643981971&amp;guest_id=31683643977885", "Oliver Luna")</f>
        <v>Oliver Luna</v>
      </c>
      <c r="E534" t="s">
        <v>7545</v>
      </c>
      <c r="F534" t="s">
        <v>5822</v>
      </c>
      <c r="G534">
        <v>356</v>
      </c>
      <c r="H534">
        <v>386.94</v>
      </c>
      <c r="I534">
        <v>386.97</v>
      </c>
      <c r="J534">
        <v>-0.03</v>
      </c>
    </row>
    <row r="535" spans="1:10" x14ac:dyDescent="0.3">
      <c r="A535" t="str">
        <f>HYPERLINK("https://us2.cloudbeds.com/connect/10074733072513#/reservations/31684750229633?display=MHETQYSJG&amp;reservation_id=31684750229633", "MHETQYSJG")</f>
        <v>MHETQYSJG</v>
      </c>
      <c r="B535" t="s">
        <v>10</v>
      </c>
      <c r="C535" t="s">
        <v>121</v>
      </c>
      <c r="D535" t="str">
        <f>HYPERLINK("https://us2.cloudbeds.com/connect/10074733072513#/reservations/31684750229633?display=Kofi%20Hester&amp;reservation_id=31684750229633&amp;guest_id=31684738982120", "Kofi Hester")</f>
        <v>Kofi Hester</v>
      </c>
      <c r="E535" t="s">
        <v>7563</v>
      </c>
      <c r="F535" t="s">
        <v>7564</v>
      </c>
      <c r="G535">
        <v>536</v>
      </c>
      <c r="H535">
        <v>582.6</v>
      </c>
      <c r="I535">
        <v>582.63</v>
      </c>
      <c r="J535">
        <v>-0.03</v>
      </c>
    </row>
    <row r="536" spans="1:10" x14ac:dyDescent="0.3">
      <c r="A536" t="str">
        <f>HYPERLINK("https://us2.cloudbeds.com/connect/10074733072513#/reservations/31685129224338?display=MHF6G7VEH&amp;reservation_id=31685129224338", "MHF6G7VEH")</f>
        <v>MHF6G7VEH</v>
      </c>
      <c r="B536" t="s">
        <v>10</v>
      </c>
      <c r="C536" t="s">
        <v>42</v>
      </c>
      <c r="D536" t="str">
        <f>HYPERLINK("https://us2.cloudbeds.com/connect/10074733072513#/reservations/31685129224338?display=Sam%20Seppanen&amp;reservation_id=31685129224338&amp;guest_id=31685115252928", "Sam Seppanen")</f>
        <v>Sam Seppanen</v>
      </c>
      <c r="E536" t="s">
        <v>7584</v>
      </c>
      <c r="F536" t="s">
        <v>5572</v>
      </c>
      <c r="G536">
        <v>2130</v>
      </c>
      <c r="H536">
        <v>2315.2800000000002</v>
      </c>
      <c r="I536">
        <v>2315.31</v>
      </c>
      <c r="J536">
        <v>-0.03</v>
      </c>
    </row>
    <row r="537" spans="1:10" x14ac:dyDescent="0.3">
      <c r="A537" t="str">
        <f>HYPERLINK("https://us2.cloudbeds.com/connect/10074733072513#/reservations/31690541482124?display=MHJCQ0047&amp;reservation_id=31690541482124", "MHJCQ0047")</f>
        <v>MHJCQ0047</v>
      </c>
      <c r="B537" t="s">
        <v>10</v>
      </c>
      <c r="C537" t="s">
        <v>42</v>
      </c>
      <c r="D537" t="str">
        <f>HYPERLINK("https://us2.cloudbeds.com/connect/10074733072513#/reservations/31690541482124?display=Convergint%20Tech&amp;reservation_id=31690541482124&amp;guest_id=31690519105689", "Convergint Tech")</f>
        <v>Convergint Tech</v>
      </c>
      <c r="E537" t="s">
        <v>7659</v>
      </c>
      <c r="F537" t="s">
        <v>7268</v>
      </c>
      <c r="G537">
        <v>636</v>
      </c>
      <c r="H537">
        <v>691.3</v>
      </c>
      <c r="I537">
        <v>691.33</v>
      </c>
      <c r="J537">
        <v>-0.03</v>
      </c>
    </row>
    <row r="538" spans="1:10" x14ac:dyDescent="0.3">
      <c r="A538" t="str">
        <f>HYPERLINK("https://us2.cloudbeds.com/connect/10074733072513#/reservations/31686760063104?display=MHGEQTB0S&amp;reservation_id=31686760063104", "MHGEQTB0S")</f>
        <v>MHGEQTB0S</v>
      </c>
      <c r="B538" t="s">
        <v>10</v>
      </c>
      <c r="C538" t="s">
        <v>17</v>
      </c>
      <c r="D538" t="str">
        <f>HYPERLINK("https://us2.cloudbeds.com/connect/10074733072513#/reservations/31686760063104?display=David%20Turnberg&amp;reservation_id=31686760063104&amp;guest_id=31686704201929", "David Turnberg")</f>
        <v>David Turnberg</v>
      </c>
      <c r="E538" t="s">
        <v>7128</v>
      </c>
      <c r="F538" t="s">
        <v>7324</v>
      </c>
      <c r="G538">
        <v>588.6</v>
      </c>
      <c r="H538">
        <v>639.78</v>
      </c>
      <c r="I538">
        <v>639.80999999999995</v>
      </c>
      <c r="J538">
        <v>-0.03</v>
      </c>
    </row>
    <row r="539" spans="1:10" x14ac:dyDescent="0.3">
      <c r="A539" t="str">
        <f>HYPERLINK("https://us2.cloudbeds.com/connect/10074733072513#/reservations/31692460904661?display=MHKSRGP8H&amp;reservation_id=31692460904661", "MHKSRGP8H")</f>
        <v>MHKSRGP8H</v>
      </c>
      <c r="B539" t="s">
        <v>10</v>
      </c>
      <c r="C539" t="s">
        <v>42</v>
      </c>
      <c r="D539" t="str">
        <f>HYPERLINK("https://us2.cloudbeds.com/connect/10074733072513#/reservations/31692460904661?display=Josh%20Grooters%20T%20Underground&amp;reservation_id=31692460904661&amp;guest_id=31688394838257", "Josh Grooters T Underground")</f>
        <v>Josh Grooters T Underground</v>
      </c>
      <c r="E539" t="s">
        <v>7708</v>
      </c>
      <c r="F539" t="s">
        <v>7324</v>
      </c>
      <c r="G539">
        <v>316</v>
      </c>
      <c r="H539">
        <v>343.46</v>
      </c>
      <c r="I539">
        <v>343.49</v>
      </c>
      <c r="J539">
        <v>-0.03</v>
      </c>
    </row>
    <row r="540" spans="1:10" x14ac:dyDescent="0.3">
      <c r="A540" t="str">
        <f>HYPERLINK("https://us2.cloudbeds.com/connect/10074733072513#/reservations/31693033193703?display=MHYAF2X6N&amp;reservation_id=31693033193703", "MHYAF2X6N")</f>
        <v>MHYAF2X6N</v>
      </c>
      <c r="B540" t="s">
        <v>10</v>
      </c>
      <c r="C540" t="s">
        <v>121</v>
      </c>
      <c r="D540" t="str">
        <f>HYPERLINK("https://us2.cloudbeds.com/connect/10074733072513#/reservations/31693033193703?display=Leroy%20Johnson&amp;reservation_id=31693033193703&amp;guest_id=31693033193684", "Leroy Johnson")</f>
        <v>Leroy Johnson</v>
      </c>
      <c r="E540" t="s">
        <v>7754</v>
      </c>
      <c r="F540" t="s">
        <v>5557</v>
      </c>
      <c r="G540">
        <v>1210</v>
      </c>
      <c r="H540">
        <v>1315.24</v>
      </c>
      <c r="I540">
        <v>1315.27</v>
      </c>
      <c r="J540">
        <v>-0.03</v>
      </c>
    </row>
    <row r="541" spans="1:10" x14ac:dyDescent="0.3">
      <c r="A541" t="str">
        <f>HYPERLINK("https://us2.cloudbeds.com/connect/10074733072513#/reservations/31690495586553?display=MHJBK9TEB&amp;reservation_id=31690495586553", "MHJBK9TEB")</f>
        <v>MHJBK9TEB</v>
      </c>
      <c r="B541" t="s">
        <v>10</v>
      </c>
      <c r="C541" t="s">
        <v>42</v>
      </c>
      <c r="D541" t="str">
        <f>HYPERLINK("https://us2.cloudbeds.com/connect/10074733072513#/reservations/31690495586553?display=Keith%20Moseng&amp;reservation_id=31690495586553&amp;guest_id=31690495586498", "Keith Moseng")</f>
        <v>Keith Moseng</v>
      </c>
      <c r="E541" t="s">
        <v>7809</v>
      </c>
      <c r="F541" t="s">
        <v>7530</v>
      </c>
      <c r="G541">
        <v>556</v>
      </c>
      <c r="H541">
        <v>604.34</v>
      </c>
      <c r="I541">
        <v>604.37</v>
      </c>
      <c r="J541">
        <v>-0.03</v>
      </c>
    </row>
    <row r="542" spans="1:10" x14ac:dyDescent="0.3">
      <c r="A542" t="str">
        <f>HYPERLINK("https://us2.cloudbeds.com/connect/10074733072513#/reservations/31688041320651?display=MHHETQAZB&amp;reservation_id=31688041320651", "MHHETQAZB")</f>
        <v>MHHETQAZB</v>
      </c>
      <c r="B542" t="s">
        <v>10</v>
      </c>
      <c r="C542" t="s">
        <v>42</v>
      </c>
      <c r="D542" t="str">
        <f>HYPERLINK("https://us2.cloudbeds.com/connect/10074733072513#/reservations/31688041320651?display=Matthew%20Enteringer&amp;reservation_id=31688041320651&amp;guest_id=31688030924985", "Matthew Enteringer")</f>
        <v>Matthew Enteringer</v>
      </c>
      <c r="E542" t="s">
        <v>7810</v>
      </c>
      <c r="F542" t="s">
        <v>7745</v>
      </c>
      <c r="G542">
        <v>545</v>
      </c>
      <c r="H542">
        <v>592.39</v>
      </c>
      <c r="I542">
        <v>592.41999999999996</v>
      </c>
      <c r="J542">
        <v>-0.03</v>
      </c>
    </row>
    <row r="543" spans="1:10" x14ac:dyDescent="0.3">
      <c r="A543" t="str">
        <f>HYPERLINK("https://us2.cloudbeds.com/connect/10074733072513#/reservations/31688666026226?display=MHHUSXMDA&amp;reservation_id=31688666026226", "MHHUSXMDA")</f>
        <v>MHHUSXMDA</v>
      </c>
      <c r="B543" t="s">
        <v>10</v>
      </c>
      <c r="C543" t="s">
        <v>14</v>
      </c>
      <c r="D543" t="str">
        <f>HYPERLINK("https://us2.cloudbeds.com/connect/10074733072513#/reservations/31688666026226?display=Alexandra%20Van%20Pelt&amp;reservation_id=31688666026226&amp;guest_id=31688652873888", "Alexandra Van Pelt")</f>
        <v>Alexandra Van Pelt</v>
      </c>
      <c r="E543" t="s">
        <v>7814</v>
      </c>
      <c r="F543" t="s">
        <v>7815</v>
      </c>
      <c r="G543">
        <v>309.60000000000002</v>
      </c>
      <c r="H543">
        <v>336.51</v>
      </c>
      <c r="I543">
        <v>336.54</v>
      </c>
      <c r="J543">
        <v>-0.03</v>
      </c>
    </row>
    <row r="544" spans="1:10" x14ac:dyDescent="0.3">
      <c r="A544" t="str">
        <f>HYPERLINK("https://us2.cloudbeds.com/connect/10074733072513#/reservations/31693856546960?display=MHYVGBXQD&amp;reservation_id=31693856546960", "MHYVGBXQD")</f>
        <v>MHYVGBXQD</v>
      </c>
      <c r="B544" t="s">
        <v>10</v>
      </c>
      <c r="C544" t="s">
        <v>42</v>
      </c>
      <c r="D544" t="str">
        <f>HYPERLINK("https://us2.cloudbeds.com/connect/10074733072513#/reservations/31693856546960?display=Guillermo%20Castro%20Great%20Plains%20Structure&amp;reservation_id=31693856546960&amp;guest_id=31693856542864", "Guillermo Castro Great Plains Structure")</f>
        <v>Guillermo Castro Great Plains Structure</v>
      </c>
      <c r="E544" t="s">
        <v>5244</v>
      </c>
      <c r="F544" t="s">
        <v>7817</v>
      </c>
      <c r="G544">
        <v>395</v>
      </c>
      <c r="H544">
        <v>429.34</v>
      </c>
      <c r="I544">
        <v>429.37</v>
      </c>
      <c r="J544">
        <v>-0.03</v>
      </c>
    </row>
    <row r="545" spans="1:10" x14ac:dyDescent="0.3">
      <c r="A545" t="str">
        <f>HYPERLINK("https://us2.cloudbeds.com/connect/10074733072513#/reservations/31687846650056?display=MHH9UYASD&amp;reservation_id=31687846650056", "MHH9UYASD")</f>
        <v>MHH9UYASD</v>
      </c>
      <c r="B545" t="s">
        <v>10</v>
      </c>
      <c r="C545" t="s">
        <v>42</v>
      </c>
      <c r="D545" t="str">
        <f>HYPERLINK("https://us2.cloudbeds.com/connect/10074733072513#/reservations/31687846650056?display=Ron%20Dahl&amp;reservation_id=31687846650056&amp;guest_id=31687846646013", "Ron Dahl")</f>
        <v>Ron Dahl</v>
      </c>
      <c r="E545" t="s">
        <v>7827</v>
      </c>
      <c r="F545" t="s">
        <v>7820</v>
      </c>
      <c r="G545">
        <v>356</v>
      </c>
      <c r="H545">
        <v>386.94</v>
      </c>
      <c r="I545">
        <v>386.97</v>
      </c>
      <c r="J545">
        <v>-0.03</v>
      </c>
    </row>
    <row r="546" spans="1:10" x14ac:dyDescent="0.3">
      <c r="A546" t="str">
        <f>HYPERLINK("https://us2.cloudbeds.com/connect/10074733072513#/reservations/31689685852292?display=MHXNUGRQG&amp;reservation_id=31689685852292", "MHXNUGRQG")</f>
        <v>MHXNUGRQG</v>
      </c>
      <c r="B546" t="s">
        <v>10</v>
      </c>
      <c r="C546" t="s">
        <v>11</v>
      </c>
      <c r="D546" t="str">
        <f>HYPERLINK("https://us2.cloudbeds.com/connect/10074733072513#/reservations/31689685852292?display=Hope%20Dennis&amp;reservation_id=31689685852292&amp;guest_id=31689676423415", "Hope Dennis")</f>
        <v>Hope Dennis</v>
      </c>
      <c r="E546" t="s">
        <v>7851</v>
      </c>
      <c r="F546" t="s">
        <v>7852</v>
      </c>
      <c r="G546">
        <v>317.60000000000002</v>
      </c>
      <c r="H546">
        <v>345.2</v>
      </c>
      <c r="I546">
        <v>345.23</v>
      </c>
      <c r="J546">
        <v>-0.03</v>
      </c>
    </row>
    <row r="547" spans="1:10" x14ac:dyDescent="0.3">
      <c r="A547" t="str">
        <f>HYPERLINK("https://us2.cloudbeds.com/connect/10074733072513#/reservations/31688916426898?display=MHX48NEZF&amp;reservation_id=31688916426898", "MHX48NEZF")</f>
        <v>MHX48NEZF</v>
      </c>
      <c r="B547" t="s">
        <v>10</v>
      </c>
      <c r="C547" t="s">
        <v>42</v>
      </c>
      <c r="D547" t="str">
        <f>HYPERLINK("https://us2.cloudbeds.com/connect/10074733072513#/reservations/31688916426898?display=Clayton%20Angle&amp;reservation_id=31688916426898&amp;guest_id=31688916422801", "Clayton Angle")</f>
        <v>Clayton Angle</v>
      </c>
      <c r="E547" t="s">
        <v>7868</v>
      </c>
      <c r="F547" t="s">
        <v>7854</v>
      </c>
      <c r="G547">
        <v>436</v>
      </c>
      <c r="H547">
        <v>473.9</v>
      </c>
      <c r="I547">
        <v>473.93</v>
      </c>
      <c r="J547">
        <v>-0.03</v>
      </c>
    </row>
    <row r="548" spans="1:10" x14ac:dyDescent="0.3">
      <c r="A548" t="str">
        <f>HYPERLINK("https://us2.cloudbeds.com/connect/10074733072513#/reservations/31687835521165?display=MHH9Y8YG9&amp;reservation_id=31687835521165", "MHH9Y8YG9")</f>
        <v>MHH9Y8YG9</v>
      </c>
      <c r="B548" t="s">
        <v>10</v>
      </c>
      <c r="C548" t="s">
        <v>42</v>
      </c>
      <c r="D548" t="str">
        <f>HYPERLINK("https://us2.cloudbeds.com/connect/10074733072513#/reservations/31687835521165?display=Adam%20Severson&amp;reservation_id=31687835521165&amp;guest_id=31687835517076", "Adam Severson")</f>
        <v>Adam Severson</v>
      </c>
      <c r="E548" t="s">
        <v>7887</v>
      </c>
      <c r="F548" t="s">
        <v>7842</v>
      </c>
      <c r="G548">
        <v>436</v>
      </c>
      <c r="H548">
        <v>473.9</v>
      </c>
      <c r="I548">
        <v>473.93</v>
      </c>
      <c r="J548">
        <v>-0.03</v>
      </c>
    </row>
    <row r="549" spans="1:10" x14ac:dyDescent="0.3">
      <c r="A549" t="str">
        <f>HYPERLINK("https://us2.cloudbeds.com/connect/10074733072513#/reservations/31687855927501?display=MHHA5FG33&amp;reservation_id=31687855927501", "MHHA5FG33")</f>
        <v>MHHA5FG33</v>
      </c>
      <c r="B549" t="s">
        <v>10</v>
      </c>
      <c r="C549" t="s">
        <v>42</v>
      </c>
      <c r="D549" t="str">
        <f>HYPERLINK("https://us2.cloudbeds.com/connect/10074733072513#/reservations/31687855927501?display=Tim%20Meiners&amp;reservation_id=31687855927501&amp;guest_id=31687855923408", "Tim Meiners")</f>
        <v>Tim Meiners</v>
      </c>
      <c r="E549" t="s">
        <v>7889</v>
      </c>
      <c r="F549" t="s">
        <v>7842</v>
      </c>
      <c r="G549">
        <v>436</v>
      </c>
      <c r="H549">
        <v>473.9</v>
      </c>
      <c r="I549">
        <v>473.93</v>
      </c>
      <c r="J549">
        <v>-0.03</v>
      </c>
    </row>
    <row r="550" spans="1:10" x14ac:dyDescent="0.3">
      <c r="A550" t="str">
        <f>HYPERLINK("https://us2.cloudbeds.com/connect/10074733072513#/reservations/31692980867205?display=MHY93VG58&amp;reservation_id=31692980867205", "MHY93VG58")</f>
        <v>MHY93VG58</v>
      </c>
      <c r="B550" t="s">
        <v>10</v>
      </c>
      <c r="C550" t="s">
        <v>42</v>
      </c>
      <c r="D550" t="str">
        <f>HYPERLINK("https://us2.cloudbeds.com/connect/10074733072513#/reservations/31692980867205?display=Mac%20Luna&amp;reservation_id=31692980867205&amp;guest_id=31692980867201", "Mac Luna")</f>
        <v>Mac Luna</v>
      </c>
      <c r="E550" t="s">
        <v>7890</v>
      </c>
      <c r="F550" t="s">
        <v>7891</v>
      </c>
      <c r="G550">
        <v>436</v>
      </c>
      <c r="H550">
        <v>473.9</v>
      </c>
      <c r="I550">
        <v>473.93</v>
      </c>
      <c r="J550">
        <v>-0.03</v>
      </c>
    </row>
    <row r="551" spans="1:10" x14ac:dyDescent="0.3">
      <c r="A551" t="str">
        <f>HYPERLINK("https://us2.cloudbeds.com/connect/10074733072513#/reservations/31693061861532?display=MHYB6893Q&amp;reservation_id=31693061861532", "MHYB6893Q")</f>
        <v>MHYB6893Q</v>
      </c>
      <c r="B551" t="s">
        <v>10</v>
      </c>
      <c r="C551" t="s">
        <v>42</v>
      </c>
      <c r="D551" t="str">
        <f>HYPERLINK("https://us2.cloudbeds.com/connect/10074733072513#/reservations/31693061861532?display=Joseph%20Tewksbury&amp;reservation_id=31693061861532&amp;guest_id=31672986714266", "Joseph Tewksbury")</f>
        <v>Joseph Tewksbury</v>
      </c>
      <c r="E551" t="s">
        <v>5244</v>
      </c>
      <c r="F551" t="s">
        <v>7740</v>
      </c>
      <c r="G551">
        <v>316</v>
      </c>
      <c r="H551">
        <v>343.46</v>
      </c>
      <c r="I551">
        <v>343.49</v>
      </c>
      <c r="J551">
        <v>-0.03</v>
      </c>
    </row>
    <row r="552" spans="1:10" x14ac:dyDescent="0.3">
      <c r="A552" t="str">
        <f>HYPERLINK("https://us2.cloudbeds.com/connect/10074733072513#/reservations/31693670142191?display=MHYQZ5J71&amp;reservation_id=31693670142191", "MHYQZ5J71")</f>
        <v>MHYQZ5J71</v>
      </c>
      <c r="B552" t="s">
        <v>10</v>
      </c>
      <c r="C552" t="s">
        <v>23</v>
      </c>
      <c r="D552" t="str">
        <f>HYPERLINK("https://us2.cloudbeds.com/connect/10074733072513#/reservations/31693670142191?display=Derek%20White&amp;reservation_id=31693670142191&amp;guest_id=31693670142178", "Derek White")</f>
        <v>Derek White</v>
      </c>
      <c r="E552" t="s">
        <v>8008</v>
      </c>
      <c r="F552" t="s">
        <v>8009</v>
      </c>
      <c r="G552">
        <v>436</v>
      </c>
      <c r="H552">
        <v>473.9</v>
      </c>
      <c r="I552">
        <v>473.93</v>
      </c>
      <c r="J552">
        <v>-0.03</v>
      </c>
    </row>
    <row r="553" spans="1:10" x14ac:dyDescent="0.3">
      <c r="A553" t="str">
        <f>HYPERLINK("https://us2.cloudbeds.com/connect/10074733072513#/reservations/31689103958221?display=MHX91RPQR&amp;reservation_id=31689103958221", "MHX91RPQR")</f>
        <v>MHX91RPQR</v>
      </c>
      <c r="B553" t="s">
        <v>10</v>
      </c>
      <c r="C553" t="s">
        <v>42</v>
      </c>
      <c r="D553" t="str">
        <f>HYPERLINK("https://us2.cloudbeds.com/connect/10074733072513#/reservations/31689103958221?display=Jacob%20Mertz&amp;reservation_id=31689103958221&amp;guest_id=31689095590077", "Jacob Mertz")</f>
        <v>Jacob Mertz</v>
      </c>
      <c r="E553" t="s">
        <v>8011</v>
      </c>
      <c r="F553" t="s">
        <v>8012</v>
      </c>
      <c r="G553">
        <v>436</v>
      </c>
      <c r="H553">
        <v>473.9</v>
      </c>
      <c r="I553">
        <v>473.93</v>
      </c>
      <c r="J553">
        <v>-0.03</v>
      </c>
    </row>
    <row r="554" spans="1:10" x14ac:dyDescent="0.3">
      <c r="A554" t="str">
        <f>HYPERLINK("https://us2.cloudbeds.com/connect/10074733072513#/reservations/31689113776260?display=MHX9A3WF4&amp;reservation_id=31689113776260", "MHX9A3WF4")</f>
        <v>MHX9A3WF4</v>
      </c>
      <c r="B554" t="s">
        <v>10</v>
      </c>
      <c r="C554" t="s">
        <v>42</v>
      </c>
      <c r="D554" t="str">
        <f>HYPERLINK("https://us2.cloudbeds.com/connect/10074733072513#/reservations/31689113776260?display=Chase%20Misner&amp;reservation_id=31689113776260&amp;guest_id=31689113772162", "Chase Misner")</f>
        <v>Chase Misner</v>
      </c>
      <c r="E554" t="s">
        <v>8015</v>
      </c>
      <c r="F554" t="s">
        <v>8012</v>
      </c>
      <c r="G554">
        <v>436</v>
      </c>
      <c r="H554">
        <v>473.9</v>
      </c>
      <c r="I554">
        <v>473.93</v>
      </c>
      <c r="J554">
        <v>-0.03</v>
      </c>
    </row>
    <row r="555" spans="1:10" x14ac:dyDescent="0.3">
      <c r="A555" t="str">
        <f>HYPERLINK("https://us2.cloudbeds.com/connect/10074733072513#/reservations/31689457934556?display=MHXX3AMVE&amp;reservation_id=31689457934556", "MHXX3AMVE")</f>
        <v>MHXX3AMVE</v>
      </c>
      <c r="B555" t="s">
        <v>10</v>
      </c>
      <c r="C555" t="s">
        <v>42</v>
      </c>
      <c r="D555" t="str">
        <f>HYPERLINK("https://us2.cloudbeds.com/connect/10074733072513#/reservations/31689457934556?display=Keith%20Anderson&amp;reservation_id=31689457934556&amp;guest_id=17963406844038", "Keith Anderson")</f>
        <v>Keith Anderson</v>
      </c>
      <c r="E555" t="s">
        <v>8040</v>
      </c>
      <c r="F555" t="s">
        <v>8041</v>
      </c>
      <c r="G555">
        <v>316</v>
      </c>
      <c r="H555">
        <v>343.46</v>
      </c>
      <c r="I555">
        <v>343.49</v>
      </c>
      <c r="J555">
        <v>-0.03</v>
      </c>
    </row>
    <row r="556" spans="1:10" x14ac:dyDescent="0.3">
      <c r="A556" t="str">
        <f>HYPERLINK("https://us2.cloudbeds.com/connect/10074733072513#/reservations/31689777991833?display=MHXQ96P3Q&amp;reservation_id=31689777991833", "MHXQ96P3Q")</f>
        <v>MHXQ96P3Q</v>
      </c>
      <c r="B556" t="s">
        <v>10</v>
      </c>
      <c r="C556" t="s">
        <v>42</v>
      </c>
      <c r="D556" t="str">
        <f>HYPERLINK("https://us2.cloudbeds.com/connect/10074733072513#/reservations/31689777991833?display=Jason%20Bradshaw&amp;reservation_id=31689777991833&amp;guest_id=31689769025728", "Jason Bradshaw")</f>
        <v>Jason Bradshaw</v>
      </c>
      <c r="E556" t="s">
        <v>8057</v>
      </c>
      <c r="F556" t="s">
        <v>8012</v>
      </c>
      <c r="G556">
        <v>450</v>
      </c>
      <c r="H556">
        <v>489.12</v>
      </c>
      <c r="I556">
        <v>489.15</v>
      </c>
      <c r="J556">
        <v>-0.03</v>
      </c>
    </row>
    <row r="557" spans="1:10" x14ac:dyDescent="0.3">
      <c r="A557" t="str">
        <f>HYPERLINK("https://us2.cloudbeds.com/connect/10074733072513#/reservations/31689074147575?display=MHX89N8FU&amp;reservation_id=31689074147575", "MHX89N8FU")</f>
        <v>MHX89N8FU</v>
      </c>
      <c r="B557" t="s">
        <v>10</v>
      </c>
      <c r="C557" t="s">
        <v>42</v>
      </c>
      <c r="D557" t="str">
        <f>HYPERLINK("https://us2.cloudbeds.com/connect/10074733072513#/reservations/31689074147575?display=Dillon%20Angel&amp;reservation_id=31689074147575&amp;guest_id=31689063153816", "Dillon Angel")</f>
        <v>Dillon Angel</v>
      </c>
      <c r="E557" t="s">
        <v>8062</v>
      </c>
      <c r="F557" t="s">
        <v>8012</v>
      </c>
      <c r="G557">
        <v>476</v>
      </c>
      <c r="H557">
        <v>517.38</v>
      </c>
      <c r="I557">
        <v>517.41</v>
      </c>
      <c r="J557">
        <v>-0.03</v>
      </c>
    </row>
    <row r="558" spans="1:10" x14ac:dyDescent="0.3">
      <c r="A558" t="str">
        <f>HYPERLINK("https://us2.cloudbeds.com/connect/10074733072513#/reservations/31689438490845?display=MHXHJUYA2&amp;reservation_id=31689438490845", "MHXHJUYA2")</f>
        <v>MHXHJUYA2</v>
      </c>
      <c r="B558" t="s">
        <v>10</v>
      </c>
      <c r="C558" t="s">
        <v>42</v>
      </c>
      <c r="D558" t="str">
        <f>HYPERLINK("https://us2.cloudbeds.com/connect/10074733072513#/reservations/31689438490845?display=Jeremiah%20Johnson&amp;reservation_id=31689438490845&amp;guest_id=31686447501505", "Jeremiah Johnson")</f>
        <v>Jeremiah Johnson</v>
      </c>
      <c r="E558" t="s">
        <v>8064</v>
      </c>
      <c r="F558" t="s">
        <v>8041</v>
      </c>
      <c r="G558">
        <v>395</v>
      </c>
      <c r="H558">
        <v>429.34</v>
      </c>
      <c r="I558">
        <v>429.37</v>
      </c>
      <c r="J558">
        <v>-0.03</v>
      </c>
    </row>
    <row r="559" spans="1:10" x14ac:dyDescent="0.3">
      <c r="A559" t="str">
        <f>HYPERLINK("https://us2.cloudbeds.com/connect/10074733072513#/reservations/31695154774201?display=MHMVM1YYX&amp;reservation_id=31695154774201", "MHMVM1YYX")</f>
        <v>MHMVM1YYX</v>
      </c>
      <c r="B559" t="s">
        <v>10</v>
      </c>
      <c r="C559" t="s">
        <v>42</v>
      </c>
      <c r="D559" t="str">
        <f>HYPERLINK("https://us2.cloudbeds.com/connect/10074733072513#/reservations/31695154774201?display=Sharri%20Sauder&amp;reservation_id=31695154774201&amp;guest_id=31695144030419", "Sharri Sauder")</f>
        <v>Sharri Sauder</v>
      </c>
      <c r="E559" t="s">
        <v>8075</v>
      </c>
      <c r="F559" t="s">
        <v>7006</v>
      </c>
      <c r="G559">
        <v>556</v>
      </c>
      <c r="H559">
        <v>604.34</v>
      </c>
      <c r="I559">
        <v>604.37</v>
      </c>
      <c r="J559">
        <v>-0.03</v>
      </c>
    </row>
    <row r="560" spans="1:10" x14ac:dyDescent="0.3">
      <c r="A560" t="str">
        <f>HYPERLINK("https://us2.cloudbeds.com/connect/10074733072513#/reservations/31688648581374?display=MHHUDS88E&amp;reservation_id=31688648581374", "MHHUDS88E")</f>
        <v>MHHUDS88E</v>
      </c>
      <c r="B560" t="s">
        <v>10</v>
      </c>
      <c r="C560" t="s">
        <v>17</v>
      </c>
      <c r="D560" t="str">
        <f>HYPERLINK("https://us2.cloudbeds.com/connect/10074733072513#/reservations/31688648581374?display=Brandi%20Haaven&amp;reservation_id=31688648581374&amp;guest_id=31687976263853", "Brandi Haaven")</f>
        <v>Brandi Haaven</v>
      </c>
      <c r="E560" t="s">
        <v>8031</v>
      </c>
      <c r="F560" t="s">
        <v>8128</v>
      </c>
      <c r="G560">
        <v>436</v>
      </c>
      <c r="H560">
        <v>473.9</v>
      </c>
      <c r="I560">
        <v>473.93</v>
      </c>
      <c r="J560">
        <v>-0.03</v>
      </c>
    </row>
    <row r="561" spans="1:10" x14ac:dyDescent="0.3">
      <c r="A561" t="str">
        <f>HYPERLINK("https://us2.cloudbeds.com/connect/10074733072513#/reservations/31687654834419?display=MHH50TPKB&amp;reservation_id=31687654834419", "MHH50TPKB")</f>
        <v>MHH50TPKB</v>
      </c>
      <c r="B561" t="s">
        <v>10</v>
      </c>
      <c r="C561" t="s">
        <v>42</v>
      </c>
      <c r="D561" t="str">
        <f>HYPERLINK("https://us2.cloudbeds.com/connect/10074733072513#/reservations/31687654834419?display=Mary%20Kruta&amp;reservation_id=31687654834419&amp;guest_id=31687654834414", "Mary Kruta")</f>
        <v>Mary Kruta</v>
      </c>
      <c r="E561" t="s">
        <v>8156</v>
      </c>
      <c r="F561" t="s">
        <v>8149</v>
      </c>
      <c r="G561">
        <v>330.3</v>
      </c>
      <c r="H561">
        <v>359.01</v>
      </c>
      <c r="I561">
        <v>359.04</v>
      </c>
      <c r="J561">
        <v>-0.03</v>
      </c>
    </row>
    <row r="562" spans="1:10" x14ac:dyDescent="0.3">
      <c r="A562" t="str">
        <f>HYPERLINK("https://us2.cloudbeds.com/connect/10074733072513#/reservations/31688670810250?display=MHHUWJQEZ&amp;reservation_id=31688670810250", "MHHUWJQEZ")</f>
        <v>MHHUWJQEZ</v>
      </c>
      <c r="B562" t="s">
        <v>10</v>
      </c>
      <c r="C562" t="s">
        <v>42</v>
      </c>
      <c r="D562" t="str">
        <f>HYPERLINK("https://us2.cloudbeds.com/connect/10074733072513#/reservations/31688670810250?display=Keith%20Anderson&amp;reservation_id=31688670810250&amp;guest_id=17963406844038", "Keith Anderson")</f>
        <v>Keith Anderson</v>
      </c>
      <c r="E562" t="s">
        <v>8040</v>
      </c>
      <c r="F562" t="s">
        <v>8159</v>
      </c>
      <c r="G562">
        <v>316</v>
      </c>
      <c r="H562">
        <v>343.46</v>
      </c>
      <c r="I562">
        <v>343.49</v>
      </c>
      <c r="J562">
        <v>-0.03</v>
      </c>
    </row>
    <row r="563" spans="1:10" x14ac:dyDescent="0.3">
      <c r="A563" t="str">
        <f>HYPERLINK("https://us2.cloudbeds.com/connect/10074733072513#/reservations/31694701961414?display=MHMK37FK7&amp;reservation_id=31694701961414", "MHMK37FK7")</f>
        <v>MHMK37FK7</v>
      </c>
      <c r="B563" t="s">
        <v>10</v>
      </c>
      <c r="C563" t="s">
        <v>42</v>
      </c>
      <c r="D563" t="str">
        <f>HYPERLINK("https://us2.cloudbeds.com/connect/10074733072513#/reservations/31694701961414?display=Keith%20Anderson&amp;reservation_id=31694701961414&amp;guest_id=17963406844038", "Keith Anderson")</f>
        <v>Keith Anderson</v>
      </c>
      <c r="E563" t="s">
        <v>8040</v>
      </c>
      <c r="F563" t="s">
        <v>8186</v>
      </c>
      <c r="G563">
        <v>316</v>
      </c>
      <c r="H563">
        <v>343.46</v>
      </c>
      <c r="I563">
        <v>343.49</v>
      </c>
      <c r="J563">
        <v>-0.03</v>
      </c>
    </row>
    <row r="564" spans="1:10" x14ac:dyDescent="0.3">
      <c r="A564" t="str">
        <f>HYPERLINK("https://us2.cloudbeds.com/connect/10074733072513#/reservations/31690718220426?display=MHJHA108B&amp;reservation_id=31690718220426", "MHJHA108B")</f>
        <v>MHJHA108B</v>
      </c>
      <c r="B564" t="s">
        <v>10</v>
      </c>
      <c r="C564" t="s">
        <v>42</v>
      </c>
      <c r="D564" t="str">
        <f>HYPERLINK("https://us2.cloudbeds.com/connect/10074733072513#/reservations/31690718220426?display=Kaleb%20David&amp;reservation_id=31690718220426&amp;guest_id=31690710114482", "Kaleb David")</f>
        <v>Kaleb David</v>
      </c>
      <c r="E564" t="s">
        <v>8196</v>
      </c>
      <c r="F564" t="s">
        <v>7885</v>
      </c>
      <c r="G564">
        <v>4845</v>
      </c>
      <c r="H564">
        <v>5266.49</v>
      </c>
      <c r="I564">
        <v>5266.52</v>
      </c>
      <c r="J564">
        <v>-0.03</v>
      </c>
    </row>
    <row r="565" spans="1:10" x14ac:dyDescent="0.3">
      <c r="A565" t="str">
        <f>HYPERLINK("https://us2.cloudbeds.com/connect/10074733072513#/reservations/31687369040074?display=MHGUNU46Y&amp;reservation_id=31687369040074", "MHGUNU46Y")</f>
        <v>MHGUNU46Y</v>
      </c>
      <c r="B565" t="s">
        <v>10</v>
      </c>
      <c r="C565" t="s">
        <v>42</v>
      </c>
      <c r="D565" t="str">
        <f>HYPERLINK("https://us2.cloudbeds.com/connect/10074733072513#/reservations/31687369040074?display=Jeremiah%20Johnson&amp;reservation_id=31687369040074&amp;guest_id=31686447501505", "Jeremiah Johnson")</f>
        <v>Jeremiah Johnson</v>
      </c>
      <c r="E565" t="s">
        <v>8064</v>
      </c>
      <c r="F565" t="s">
        <v>8245</v>
      </c>
      <c r="G565">
        <v>316</v>
      </c>
      <c r="H565">
        <v>343.46</v>
      </c>
      <c r="I565">
        <v>343.49</v>
      </c>
      <c r="J565">
        <v>-0.03</v>
      </c>
    </row>
    <row r="566" spans="1:10" x14ac:dyDescent="0.3">
      <c r="A566" t="str">
        <f>HYPERLINK("https://us2.cloudbeds.com/connect/10074733072513#/reservations/31693294686370?display=MHYH4XW0U&amp;reservation_id=31693294686370", "MHYH4XW0U")</f>
        <v>MHYH4XW0U</v>
      </c>
      <c r="B566" t="s">
        <v>10</v>
      </c>
      <c r="C566" t="s">
        <v>42</v>
      </c>
      <c r="D566" t="str">
        <f>HYPERLINK("https://us2.cloudbeds.com/connect/10074733072513#/reservations/31693294686370?display=Keith%20Anderson&amp;reservation_id=31693294686370&amp;guest_id=17963406844038", "Keith Anderson")</f>
        <v>Keith Anderson</v>
      </c>
      <c r="E566" t="s">
        <v>8040</v>
      </c>
      <c r="F566" t="s">
        <v>8259</v>
      </c>
      <c r="G566">
        <v>316</v>
      </c>
      <c r="H566">
        <v>343.46</v>
      </c>
      <c r="I566">
        <v>343.49</v>
      </c>
      <c r="J566">
        <v>-0.03</v>
      </c>
    </row>
    <row r="567" spans="1:10" x14ac:dyDescent="0.3">
      <c r="A567" t="str">
        <f>HYPERLINK("https://us2.cloudbeds.com/connect/10074733072513#/reservations/31690450010271?display=MHJAESYUT&amp;reservation_id=31690450010271", "MHJAESYUT")</f>
        <v>MHJAESYUT</v>
      </c>
      <c r="B567" t="s">
        <v>10</v>
      </c>
      <c r="C567" t="s">
        <v>42</v>
      </c>
      <c r="D567" t="str">
        <f>HYPERLINK("https://us2.cloudbeds.com/connect/10074733072513#/reservations/31690450010271?display=Keith%20Anderson&amp;reservation_id=31690450010271&amp;guest_id=17963406844038", "Keith Anderson")</f>
        <v>Keith Anderson</v>
      </c>
      <c r="E567" t="s">
        <v>8040</v>
      </c>
      <c r="F567" t="s">
        <v>8260</v>
      </c>
      <c r="G567">
        <v>316</v>
      </c>
      <c r="H567">
        <v>343.46</v>
      </c>
      <c r="I567">
        <v>343.49</v>
      </c>
      <c r="J567">
        <v>-0.03</v>
      </c>
    </row>
    <row r="568" spans="1:10" x14ac:dyDescent="0.3">
      <c r="A568" t="str">
        <f>HYPERLINK("https://us2.cloudbeds.com/connect/10074733072513#/reservations/31692457316510?display=MHKSZFUBY&amp;reservation_id=31692457316510", "MHKSZFUBY")</f>
        <v>MHKSZFUBY</v>
      </c>
      <c r="B568" t="s">
        <v>10</v>
      </c>
      <c r="C568" t="s">
        <v>42</v>
      </c>
      <c r="D568" t="str">
        <f>HYPERLINK("https://us2.cloudbeds.com/connect/10074733072513#/reservations/31692457316510?display=Keith%20Anderson&amp;reservation_id=31692457316510&amp;guest_id=17963406844038", "Keith Anderson")</f>
        <v>Keith Anderson</v>
      </c>
      <c r="E568" t="s">
        <v>8040</v>
      </c>
      <c r="F568" t="s">
        <v>8262</v>
      </c>
      <c r="G568">
        <v>316</v>
      </c>
      <c r="H568">
        <v>343.46</v>
      </c>
      <c r="I568">
        <v>343.49</v>
      </c>
      <c r="J568">
        <v>-0.03</v>
      </c>
    </row>
    <row r="569" spans="1:10" x14ac:dyDescent="0.3">
      <c r="A569" t="str">
        <f>HYPERLINK("https://us2.cloudbeds.com/connect/10074733072513#/reservations/31690591035618?display=MHJE1PTQ8&amp;reservation_id=31690591035618", "MHJE1PTQ8")</f>
        <v>MHJE1PTQ8</v>
      </c>
      <c r="B569" t="s">
        <v>10</v>
      </c>
      <c r="C569" t="s">
        <v>42</v>
      </c>
      <c r="D569" t="str">
        <f>HYPERLINK("https://us2.cloudbeds.com/connect/10074733072513#/reservations/31690591035618?display=Keith%20Anderson&amp;reservation_id=31690591035618&amp;guest_id=17963406844038", "Keith Anderson")</f>
        <v>Keith Anderson</v>
      </c>
      <c r="E569" t="s">
        <v>8040</v>
      </c>
      <c r="F569" t="s">
        <v>8263</v>
      </c>
      <c r="G569">
        <v>316</v>
      </c>
      <c r="H569">
        <v>343.46</v>
      </c>
      <c r="I569">
        <v>343.49</v>
      </c>
      <c r="J569">
        <v>-0.03</v>
      </c>
    </row>
    <row r="570" spans="1:10" x14ac:dyDescent="0.3">
      <c r="A570" t="str">
        <f>HYPERLINK("https://us2.cloudbeds.com/connect/10074733072513#/reservations/31689352351957?display=MHXFD9N7N&amp;reservation_id=31689352351957", "MHXFD9N7N")</f>
        <v>MHXFD9N7N</v>
      </c>
      <c r="B570" t="s">
        <v>10</v>
      </c>
      <c r="C570" t="s">
        <v>42</v>
      </c>
      <c r="D570" t="str">
        <f>HYPERLINK("https://us2.cloudbeds.com/connect/10074733072513#/reservations/31689352351957?display=Keith%20Anderson&amp;reservation_id=31689352351957&amp;guest_id=17963406844038", "Keith Anderson")</f>
        <v>Keith Anderson</v>
      </c>
      <c r="E570" t="s">
        <v>8040</v>
      </c>
      <c r="F570" t="s">
        <v>8264</v>
      </c>
      <c r="G570">
        <v>356</v>
      </c>
      <c r="H570">
        <v>386.94</v>
      </c>
      <c r="I570">
        <v>386.97</v>
      </c>
      <c r="J570">
        <v>-0.03</v>
      </c>
    </row>
    <row r="571" spans="1:10" x14ac:dyDescent="0.3">
      <c r="A571" t="str">
        <f>HYPERLINK("https://us2.cloudbeds.com/connect/10074733072513#/reservations/31691085299906?display=MHJQMXHYV&amp;reservation_id=31691085299906", "MHJQMXHYV")</f>
        <v>MHJQMXHYV</v>
      </c>
      <c r="B571" t="s">
        <v>10</v>
      </c>
      <c r="C571" t="s">
        <v>42</v>
      </c>
      <c r="D571" t="str">
        <f>HYPERLINK("https://us2.cloudbeds.com/connect/10074733072513#/reservations/31691085299906?display=Keith%20Anderson&amp;reservation_id=31691085299906&amp;guest_id=17963406844038", "Keith Anderson")</f>
        <v>Keith Anderson</v>
      </c>
      <c r="E571" t="s">
        <v>8040</v>
      </c>
      <c r="F571" t="s">
        <v>7885</v>
      </c>
      <c r="G571">
        <v>316</v>
      </c>
      <c r="H571">
        <v>343.46</v>
      </c>
      <c r="I571">
        <v>343.49</v>
      </c>
      <c r="J571">
        <v>-0.03</v>
      </c>
    </row>
    <row r="572" spans="1:10" x14ac:dyDescent="0.3">
      <c r="A572" t="str">
        <f>HYPERLINK("https://us2.cloudbeds.com/connect/10074733072513#/reservations/31695754453228?display=MHNDWNK3X&amp;reservation_id=31695754453228", "MHNDWNK3X")</f>
        <v>MHNDWNK3X</v>
      </c>
      <c r="B572" t="s">
        <v>10</v>
      </c>
      <c r="C572" t="s">
        <v>42</v>
      </c>
      <c r="D572" t="str">
        <f>HYPERLINK("https://us2.cloudbeds.com/connect/10074733072513#/reservations/31695754453228?display=Keith%20Anderson&amp;reservation_id=31695754453228&amp;guest_id=17963406844038", "Keith Anderson")</f>
        <v>Keith Anderson</v>
      </c>
      <c r="E572" t="s">
        <v>8040</v>
      </c>
      <c r="F572" t="s">
        <v>8265</v>
      </c>
      <c r="G572">
        <v>316</v>
      </c>
      <c r="H572">
        <v>343.46</v>
      </c>
      <c r="I572">
        <v>343.49</v>
      </c>
      <c r="J572">
        <v>-0.03</v>
      </c>
    </row>
    <row r="573" spans="1:10" x14ac:dyDescent="0.3">
      <c r="A573" t="str">
        <f>HYPERLINK("https://us2.cloudbeds.com/connect/10074733072513#/reservations/31694919909590?display=MHMPM06MD&amp;reservation_id=31694919909590", "MHMPM06MD")</f>
        <v>MHMPM06MD</v>
      </c>
      <c r="B573" t="s">
        <v>10</v>
      </c>
      <c r="C573" t="s">
        <v>42</v>
      </c>
      <c r="D573" t="str">
        <f>HYPERLINK("https://us2.cloudbeds.com/connect/10074733072513#/reservations/31694919909590?display=Keith%20Anderson&amp;reservation_id=31694919909590&amp;guest_id=17963406844038", "Keith Anderson")</f>
        <v>Keith Anderson</v>
      </c>
      <c r="E573" t="s">
        <v>8040</v>
      </c>
      <c r="F573" t="s">
        <v>8266</v>
      </c>
      <c r="G573">
        <v>316</v>
      </c>
      <c r="H573">
        <v>343.46</v>
      </c>
      <c r="I573">
        <v>343.49</v>
      </c>
      <c r="J573">
        <v>-0.03</v>
      </c>
    </row>
    <row r="574" spans="1:10" x14ac:dyDescent="0.3">
      <c r="A574" t="str">
        <f>HYPERLINK("https://us2.cloudbeds.com/connect/10074733072513#/reservations/31683377528974?display=MHDRZ5EZR&amp;reservation_id=31683377528974", "MHDRZ5EZR")</f>
        <v>MHDRZ5EZR</v>
      </c>
      <c r="B574" t="s">
        <v>10</v>
      </c>
      <c r="C574" t="s">
        <v>121</v>
      </c>
      <c r="D574" t="str">
        <f>HYPERLINK("https://us2.cloudbeds.com/connect/10074733072513#/reservations/31683377528974?display=Keith%20Anderson&amp;reservation_id=31683377528974&amp;guest_id=17963406844038", "Keith Anderson")</f>
        <v>Keith Anderson</v>
      </c>
      <c r="E574" t="s">
        <v>8040</v>
      </c>
      <c r="F574" t="s">
        <v>8267</v>
      </c>
      <c r="G574">
        <v>316</v>
      </c>
      <c r="H574">
        <v>343.46</v>
      </c>
      <c r="I574">
        <v>343.49</v>
      </c>
      <c r="J574">
        <v>-0.03</v>
      </c>
    </row>
    <row r="575" spans="1:10" x14ac:dyDescent="0.3">
      <c r="A575" t="str">
        <f>HYPERLINK("https://us2.cloudbeds.com/connect/10074733072513#/reservations/31688268820625?display=MHHKNKRVV&amp;reservation_id=31688268820625", "MHHKNKRVV")</f>
        <v>MHHKNKRVV</v>
      </c>
      <c r="B575" t="s">
        <v>10</v>
      </c>
      <c r="C575" t="s">
        <v>42</v>
      </c>
      <c r="D575" t="str">
        <f>HYPERLINK("https://us2.cloudbeds.com/connect/10074733072513#/reservations/31688268820625?display=Keith%20Anderson&amp;reservation_id=31688268820625&amp;guest_id=17963406844038", "Keith Anderson")</f>
        <v>Keith Anderson</v>
      </c>
      <c r="E575" t="s">
        <v>8040</v>
      </c>
      <c r="F575" t="s">
        <v>8269</v>
      </c>
      <c r="G575">
        <v>316</v>
      </c>
      <c r="H575">
        <v>343.46</v>
      </c>
      <c r="I575">
        <v>343.49</v>
      </c>
      <c r="J575">
        <v>-0.03</v>
      </c>
    </row>
    <row r="576" spans="1:10" x14ac:dyDescent="0.3">
      <c r="A576" t="str">
        <f>HYPERLINK("https://us2.cloudbeds.com/connect/10074733072513#/reservations/31694155952291?display=MHM64QVR7&amp;reservation_id=31694155952291", "MHM64QVR7")</f>
        <v>MHM64QVR7</v>
      </c>
      <c r="B576" t="s">
        <v>10</v>
      </c>
      <c r="C576" t="s">
        <v>42</v>
      </c>
      <c r="D576" t="str">
        <f>HYPERLINK("https://us2.cloudbeds.com/connect/10074733072513#/reservations/31694155952291?display=Keith%20Anderson&amp;reservation_id=31694155952291&amp;guest_id=17963406844038", "Keith Anderson")</f>
        <v>Keith Anderson</v>
      </c>
      <c r="E576" t="s">
        <v>8040</v>
      </c>
      <c r="F576" t="s">
        <v>8270</v>
      </c>
      <c r="G576">
        <v>316</v>
      </c>
      <c r="H576">
        <v>343.46</v>
      </c>
      <c r="I576">
        <v>343.49</v>
      </c>
      <c r="J576">
        <v>-0.03</v>
      </c>
    </row>
    <row r="577" spans="1:10" x14ac:dyDescent="0.3">
      <c r="A577" t="str">
        <f>HYPERLINK("https://us2.cloudbeds.com/connect/10074733072513#/reservations/31687434141857?display=MHGWCQMEV&amp;reservation_id=31687434141857", "MHGWCQMEV")</f>
        <v>MHGWCQMEV</v>
      </c>
      <c r="B577" t="s">
        <v>10</v>
      </c>
      <c r="C577" t="s">
        <v>42</v>
      </c>
      <c r="D577" t="str">
        <f>HYPERLINK("https://us2.cloudbeds.com/connect/10074733072513#/reservations/31687434141857?display=Greg%20Brusven&amp;reservation_id=31687434141857&amp;guest_id=17963408818374", "Greg Brusven")</f>
        <v>Greg Brusven</v>
      </c>
      <c r="E577" t="s">
        <v>2398</v>
      </c>
      <c r="F577" t="s">
        <v>8267</v>
      </c>
      <c r="G577">
        <v>356</v>
      </c>
      <c r="H577">
        <v>386.94</v>
      </c>
      <c r="I577">
        <v>386.97</v>
      </c>
      <c r="J577">
        <v>-0.03</v>
      </c>
    </row>
    <row r="578" spans="1:10" x14ac:dyDescent="0.3">
      <c r="A578" t="str">
        <f>HYPERLINK("https://us2.cloudbeds.com/connect/10074733072513#/reservations/31695674962166?display=MHNBVMYXG&amp;reservation_id=31695674962166", "MHNBVMYXG")</f>
        <v>MHNBVMYXG</v>
      </c>
      <c r="B578" t="s">
        <v>10</v>
      </c>
      <c r="C578" t="s">
        <v>42</v>
      </c>
      <c r="D578" t="str">
        <f>HYPERLINK("https://us2.cloudbeds.com/connect/10074733072513#/reservations/31695674962166?display=Keith%20Anderson&amp;reservation_id=31695674962166&amp;guest_id=17963406844038", "Keith Anderson")</f>
        <v>Keith Anderson</v>
      </c>
      <c r="E578" t="s">
        <v>8040</v>
      </c>
      <c r="F578" t="s">
        <v>8271</v>
      </c>
      <c r="G578">
        <v>316</v>
      </c>
      <c r="H578">
        <v>343.46</v>
      </c>
      <c r="I578">
        <v>343.49</v>
      </c>
      <c r="J578">
        <v>-0.03</v>
      </c>
    </row>
    <row r="579" spans="1:10" x14ac:dyDescent="0.3">
      <c r="A579" t="str">
        <f>HYPERLINK("https://us2.cloudbeds.com/connect/10074733072513#/reservations/31694484271325?display=MHMEHYUHS&amp;reservation_id=31694484271325", "MHMEHYUHS")</f>
        <v>MHMEHYUHS</v>
      </c>
      <c r="B579" t="s">
        <v>10</v>
      </c>
      <c r="C579" t="s">
        <v>17</v>
      </c>
      <c r="D579" t="str">
        <f>HYPERLINK("https://us2.cloudbeds.com/connect/10074733072513#/reservations/31694484271325?display=Stephanie%20Johannsen&amp;reservation_id=31694484271325&amp;guest_id=31694484271323", "Stephanie Johannsen")</f>
        <v>Stephanie Johannsen</v>
      </c>
      <c r="E579" t="s">
        <v>8277</v>
      </c>
      <c r="F579" t="s">
        <v>8278</v>
      </c>
      <c r="G579">
        <v>716</v>
      </c>
      <c r="H579">
        <v>778.26</v>
      </c>
      <c r="I579">
        <v>778.29</v>
      </c>
      <c r="J579">
        <v>-0.03</v>
      </c>
    </row>
    <row r="580" spans="1:10" x14ac:dyDescent="0.3">
      <c r="A580" t="str">
        <f>HYPERLINK("https://us2.cloudbeds.com/connect/10074733072513#/reservations/31694498316424?display=MHMETGZPU&amp;reservation_id=31694498316424", "MHMETGZPU")</f>
        <v>MHMETGZPU</v>
      </c>
      <c r="B580" t="s">
        <v>10</v>
      </c>
      <c r="C580" t="s">
        <v>17</v>
      </c>
      <c r="D580" t="str">
        <f>HYPERLINK("https://us2.cloudbeds.com/connect/10074733072513#/reservations/31694498316424?display=Stephanie%20Johannsen&amp;reservation_id=31694498316424&amp;guest_id=31694498316422", "Stephanie Johannsen")</f>
        <v>Stephanie Johannsen</v>
      </c>
      <c r="E580" t="s">
        <v>8277</v>
      </c>
      <c r="F580" t="s">
        <v>8278</v>
      </c>
      <c r="G580">
        <v>716</v>
      </c>
      <c r="H580">
        <v>778.26</v>
      </c>
      <c r="I580">
        <v>778.29</v>
      </c>
      <c r="J580">
        <v>-0.03</v>
      </c>
    </row>
    <row r="581" spans="1:10" x14ac:dyDescent="0.3">
      <c r="A581" t="str">
        <f>HYPERLINK("https://us2.cloudbeds.com/connect/10074733072513#/reservations/31695027695761?display=MHMSDTGT0&amp;reservation_id=31695027695761", "MHMSDTGT0")</f>
        <v>MHMSDTGT0</v>
      </c>
      <c r="B581" t="s">
        <v>10</v>
      </c>
      <c r="C581" t="s">
        <v>42</v>
      </c>
      <c r="D581" t="str">
        <f>HYPERLINK("https://us2.cloudbeds.com/connect/10074733072513#/reservations/31695027695761?display=Greg%20Brusven&amp;reservation_id=31695027695761&amp;guest_id=17963408818374", "Greg Brusven")</f>
        <v>Greg Brusven</v>
      </c>
      <c r="E581" t="s">
        <v>2398</v>
      </c>
      <c r="F581" t="s">
        <v>8269</v>
      </c>
      <c r="G581">
        <v>356</v>
      </c>
      <c r="H581">
        <v>386.94</v>
      </c>
      <c r="I581">
        <v>386.97</v>
      </c>
      <c r="J581">
        <v>-0.03</v>
      </c>
    </row>
    <row r="582" spans="1:10" x14ac:dyDescent="0.3">
      <c r="A582" t="str">
        <f>HYPERLINK("https://us2.cloudbeds.com/connect/10074733072513#/reservations/31694844326089?display=MHMNZ8WB9&amp;reservation_id=31694844326089", "MHMNZ8WB9")</f>
        <v>MHMNZ8WB9</v>
      </c>
      <c r="B582" t="s">
        <v>10</v>
      </c>
      <c r="C582" t="s">
        <v>42</v>
      </c>
      <c r="D582" t="str">
        <f>HYPERLINK("https://us2.cloudbeds.com/connect/10074733072513#/reservations/31694844326089?display=Jetty%20Steelman&amp;reservation_id=31694844326089&amp;guest_id=30670156488918", "Jetty Steelman")</f>
        <v>Jetty Steelman</v>
      </c>
      <c r="E582" t="s">
        <v>5528</v>
      </c>
      <c r="F582" t="s">
        <v>8243</v>
      </c>
      <c r="G582">
        <v>219</v>
      </c>
      <c r="H582">
        <v>238.02</v>
      </c>
      <c r="I582">
        <v>238.05</v>
      </c>
      <c r="J582">
        <v>-0.03</v>
      </c>
    </row>
    <row r="583" spans="1:10" x14ac:dyDescent="0.3">
      <c r="A583" t="str">
        <f>HYPERLINK("https://us2.cloudbeds.com/connect/10074733072513#/reservations/31688772993171?display=MHX0JP6AT&amp;reservation_id=31688772993171", "MHX0JP6AT")</f>
        <v>MHX0JP6AT</v>
      </c>
      <c r="B583" t="s">
        <v>10</v>
      </c>
      <c r="C583" t="s">
        <v>42</v>
      </c>
      <c r="D583" t="str">
        <f>HYPERLINK("https://us2.cloudbeds.com/connect/10074733072513#/reservations/31688772993171?display=Dewey%20Hlavac&amp;reservation_id=31688772993171&amp;guest_id=31681864011998", "Dewey Hlavac")</f>
        <v>Dewey Hlavac</v>
      </c>
      <c r="E583" t="s">
        <v>7322</v>
      </c>
      <c r="F583" t="s">
        <v>8350</v>
      </c>
      <c r="G583">
        <v>396</v>
      </c>
      <c r="H583">
        <v>430.42</v>
      </c>
      <c r="I583">
        <v>430.45</v>
      </c>
      <c r="J583">
        <v>-0.03</v>
      </c>
    </row>
    <row r="584" spans="1:10" x14ac:dyDescent="0.3">
      <c r="A584" t="str">
        <f>HYPERLINK("https://us2.cloudbeds.com/connect/10074733072513#/reservations/31694338801822?display=MHMAR00Z3&amp;reservation_id=31694338801822", "MHMAR00Z3")</f>
        <v>MHMAR00Z3</v>
      </c>
      <c r="B584" t="s">
        <v>10</v>
      </c>
      <c r="C584" t="s">
        <v>42</v>
      </c>
      <c r="D584" t="str">
        <f>HYPERLINK("https://us2.cloudbeds.com/connect/10074733072513#/reservations/31694338801822?display=Michelle%20Tanner%20Changing%20Seasons%20Floral&amp;reservation_id=31694338801822&amp;guest_id=31694328410307", "Michelle Tanner Changing Seasons Floral")</f>
        <v>Michelle Tanner Changing Seasons Floral</v>
      </c>
      <c r="E584" t="s">
        <v>5130</v>
      </c>
      <c r="F584" t="s">
        <v>8213</v>
      </c>
      <c r="G584">
        <v>516</v>
      </c>
      <c r="H584">
        <v>560.86</v>
      </c>
      <c r="I584">
        <v>560.89</v>
      </c>
      <c r="J584">
        <v>-0.03</v>
      </c>
    </row>
    <row r="585" spans="1:10" x14ac:dyDescent="0.3">
      <c r="A585" t="str">
        <f>HYPERLINK("https://us2.cloudbeds.com/connect/10074733072513#/reservations/31694755889345?display=MHMYFN36V&amp;reservation_id=31694755889345", "MHMYFN36V")</f>
        <v>MHMYFN36V</v>
      </c>
      <c r="B585" t="s">
        <v>10</v>
      </c>
      <c r="C585" t="s">
        <v>42</v>
      </c>
      <c r="D585" t="str">
        <f>HYPERLINK("https://us2.cloudbeds.com/connect/10074733072513#/reservations/31694755889345?display=Melissa%20Muckey&amp;reservation_id=31694755889345&amp;guest_id=31694742556839", "Melissa Muckey")</f>
        <v>Melissa Muckey</v>
      </c>
      <c r="E585" t="s">
        <v>8401</v>
      </c>
      <c r="F585" t="s">
        <v>8338</v>
      </c>
      <c r="G585">
        <v>576</v>
      </c>
      <c r="H585">
        <v>626.08000000000004</v>
      </c>
      <c r="I585">
        <v>626.11</v>
      </c>
      <c r="J585">
        <v>-0.03</v>
      </c>
    </row>
    <row r="586" spans="1:10" x14ac:dyDescent="0.3">
      <c r="A586" t="str">
        <f>HYPERLINK("https://us2.cloudbeds.com/connect/10074733072513#/reservations/31694903652487?display=MHMP89R6U&amp;reservation_id=31694903652487", "MHMP89R6U")</f>
        <v>MHMP89R6U</v>
      </c>
      <c r="B586" t="s">
        <v>10</v>
      </c>
      <c r="C586" t="s">
        <v>42</v>
      </c>
      <c r="D586" t="str">
        <f>HYPERLINK("https://us2.cloudbeds.com/connect/10074733072513#/reservations/31694903652487?display=Dawn%20Stroud&amp;reservation_id=31694903652487&amp;guest_id=31694903648394", "Dawn Stroud")</f>
        <v>Dawn Stroud</v>
      </c>
      <c r="E586" t="s">
        <v>6228</v>
      </c>
      <c r="F586" t="s">
        <v>8266</v>
      </c>
      <c r="G586">
        <v>356</v>
      </c>
      <c r="H586">
        <v>386.94</v>
      </c>
      <c r="I586">
        <v>386.97</v>
      </c>
      <c r="J586">
        <v>-0.03</v>
      </c>
    </row>
    <row r="587" spans="1:10" x14ac:dyDescent="0.3">
      <c r="A587" t="str">
        <f>HYPERLINK("https://us2.cloudbeds.com/connect/10074733072513#/reservations/31692517826738?display=MHKU9GN9V&amp;reservation_id=31692517826738", "MHKU9GN9V")</f>
        <v>MHKU9GN9V</v>
      </c>
      <c r="B587" t="s">
        <v>10</v>
      </c>
      <c r="C587" t="s">
        <v>121</v>
      </c>
      <c r="D587" t="str">
        <f>HYPERLINK("https://us2.cloudbeds.com/connect/10074733072513#/reservations/31692517826738?display=Chris%20Engeseth&amp;reservation_id=31692517826738&amp;guest_id=31688667291804", "Chris Engeseth")</f>
        <v>Chris Engeseth</v>
      </c>
      <c r="E587" t="s">
        <v>8362</v>
      </c>
      <c r="F587" t="s">
        <v>8266</v>
      </c>
      <c r="G587">
        <v>436</v>
      </c>
      <c r="H587">
        <v>473.9</v>
      </c>
      <c r="I587">
        <v>473.93</v>
      </c>
      <c r="J587">
        <v>-0.03</v>
      </c>
    </row>
    <row r="588" spans="1:10" x14ac:dyDescent="0.3">
      <c r="A588" t="str">
        <f>HYPERLINK("https://us2.cloudbeds.com/connect/10074733072513#/reservations/31734515273944?display=MXKEDSJ89&amp;reservation_id=31734515273944", "MXKEDSJ89")</f>
        <v>MXKEDSJ89</v>
      </c>
      <c r="B588" t="s">
        <v>10</v>
      </c>
      <c r="C588" t="s">
        <v>42</v>
      </c>
      <c r="D588" t="str">
        <f>HYPERLINK("https://us2.cloudbeds.com/connect/10074733072513#/reservations/31734515273944?display=Michael%20Daniels&amp;reservation_id=31734515273944&amp;guest_id=30671090090186", "Michael Daniels")</f>
        <v>Michael Daniels</v>
      </c>
      <c r="E588" t="s">
        <v>3262</v>
      </c>
      <c r="F588" t="s">
        <v>8428</v>
      </c>
      <c r="G588">
        <v>219</v>
      </c>
      <c r="H588">
        <v>238.02</v>
      </c>
      <c r="I588">
        <v>238.05</v>
      </c>
      <c r="J588">
        <v>-0.03</v>
      </c>
    </row>
    <row r="589" spans="1:10" x14ac:dyDescent="0.3">
      <c r="A589" t="str">
        <f>HYPERLINK("https://us2.cloudbeds.com/connect/10074733072513#/reservations/31688238125243?display=MHHJUZN6S&amp;reservation_id=31688238125243", "MHHJUZN6S")</f>
        <v>MHHJUZN6S</v>
      </c>
      <c r="B589" t="s">
        <v>10</v>
      </c>
      <c r="C589" t="s">
        <v>42</v>
      </c>
      <c r="D589" t="str">
        <f>HYPERLINK("https://us2.cloudbeds.com/connect/10074733072513#/reservations/31688238125243?display=Anne%20Smith&amp;reservation_id=31688238125243&amp;guest_id=31688226443484", "Anne Smith")</f>
        <v>Anne Smith</v>
      </c>
      <c r="E589" t="s">
        <v>8433</v>
      </c>
      <c r="F589" t="s">
        <v>8434</v>
      </c>
      <c r="G589">
        <v>436</v>
      </c>
      <c r="H589">
        <v>473.9</v>
      </c>
      <c r="I589">
        <v>473.93</v>
      </c>
      <c r="J589">
        <v>-0.03</v>
      </c>
    </row>
    <row r="590" spans="1:10" x14ac:dyDescent="0.3">
      <c r="A590" t="str">
        <f>HYPERLINK("https://us2.cloudbeds.com/connect/10074733072513#/reservations/31723337355453?display=MXBPQBH9H&amp;reservation_id=31723337355453", "MXBPQBH9H")</f>
        <v>MXBPQBH9H</v>
      </c>
      <c r="B590" t="s">
        <v>10</v>
      </c>
      <c r="C590" t="s">
        <v>42</v>
      </c>
      <c r="D590" t="str">
        <f>HYPERLINK("https://us2.cloudbeds.com/connect/10074733072513#/reservations/31723337355453?display=Michael%20Daniels&amp;reservation_id=31723337355453&amp;guest_id=30671090090186", "Michael Daniels")</f>
        <v>Michael Daniels</v>
      </c>
      <c r="E590" t="s">
        <v>3262</v>
      </c>
      <c r="F590" t="s">
        <v>8439</v>
      </c>
      <c r="G590">
        <v>219</v>
      </c>
      <c r="H590">
        <v>238.02</v>
      </c>
      <c r="I590">
        <v>238.05</v>
      </c>
      <c r="J590">
        <v>-0.03</v>
      </c>
    </row>
    <row r="591" spans="1:10" x14ac:dyDescent="0.3">
      <c r="A591" t="str">
        <f>HYPERLINK("https://us2.cloudbeds.com/connect/10074733072513#/reservations/31730335928539?display=MXH6KZ4GR&amp;reservation_id=31730335928539", "MXH6KZ4GR")</f>
        <v>MXH6KZ4GR</v>
      </c>
      <c r="B591" t="s">
        <v>10</v>
      </c>
      <c r="C591" t="s">
        <v>42</v>
      </c>
      <c r="D591" t="str">
        <f>HYPERLINK("https://us2.cloudbeds.com/connect/10074733072513#/reservations/31730335928539?display=Shirlee%20Frohling&amp;reservation_id=31730335928539&amp;guest_id=31730326659201", "Shirlee Frohling")</f>
        <v>Shirlee Frohling</v>
      </c>
      <c r="E591" t="s">
        <v>8442</v>
      </c>
      <c r="F591" t="s">
        <v>8443</v>
      </c>
      <c r="G591">
        <v>796</v>
      </c>
      <c r="H591">
        <v>865.22</v>
      </c>
      <c r="I591">
        <v>865.25</v>
      </c>
      <c r="J591">
        <v>-0.03</v>
      </c>
    </row>
    <row r="592" spans="1:10" x14ac:dyDescent="0.3">
      <c r="A592" t="str">
        <f>HYPERLINK("https://us2.cloudbeds.com/connect/10074733072513#/reservations/31693456699528?display=MHYY967EX&amp;reservation_id=31693456699528", "MHYY967EX")</f>
        <v>MHYY967EX</v>
      </c>
      <c r="B592" t="s">
        <v>10</v>
      </c>
      <c r="C592" t="s">
        <v>14</v>
      </c>
      <c r="D592" t="str">
        <f>HYPERLINK("https://us2.cloudbeds.com/connect/10074733072513#/reservations/31693456699528?display=Allen%20Weihe&amp;reservation_id=31693456699528&amp;guest_id=31693456699523", "Allen Weihe")</f>
        <v>Allen Weihe</v>
      </c>
      <c r="E592" t="s">
        <v>8484</v>
      </c>
      <c r="F592" t="s">
        <v>8485</v>
      </c>
      <c r="G592">
        <v>564</v>
      </c>
      <c r="H592">
        <v>613.04</v>
      </c>
      <c r="I592">
        <v>613.07000000000005</v>
      </c>
      <c r="J592">
        <v>-0.03</v>
      </c>
    </row>
    <row r="593" spans="1:10" x14ac:dyDescent="0.3">
      <c r="A593" t="str">
        <f>HYPERLINK("https://us2.cloudbeds.com/connect/10074733072513#/reservations/31691312017569?display=MHJWFZ9H5&amp;reservation_id=31691312017569", "MHJWFZ9H5")</f>
        <v>MHJWFZ9H5</v>
      </c>
      <c r="B593" t="s">
        <v>10</v>
      </c>
      <c r="C593" t="s">
        <v>23</v>
      </c>
      <c r="D593" t="str">
        <f>HYPERLINK("https://us2.cloudbeds.com/connect/10074733072513#/reservations/31691312017569?display=Jane%20Vandenberg&amp;reservation_id=31691312017569&amp;guest_id=31691312017552", "Jane Vandenberg")</f>
        <v>Jane Vandenberg</v>
      </c>
      <c r="E593" t="s">
        <v>8552</v>
      </c>
      <c r="F593" t="s">
        <v>8553</v>
      </c>
      <c r="G593">
        <v>536.4</v>
      </c>
      <c r="H593">
        <v>583.04</v>
      </c>
      <c r="I593">
        <v>583.07000000000005</v>
      </c>
      <c r="J593">
        <v>-0.03</v>
      </c>
    </row>
    <row r="594" spans="1:10" x14ac:dyDescent="0.3">
      <c r="A594" t="str">
        <f>HYPERLINK("https://us2.cloudbeds.com/connect/10074733072513#/reservations/31730888933536?display=MXHKP1AE0&amp;reservation_id=31730888933536", "MXHKP1AE0")</f>
        <v>MXHKP1AE0</v>
      </c>
      <c r="B594" t="s">
        <v>10</v>
      </c>
      <c r="C594" t="s">
        <v>42</v>
      </c>
      <c r="D594" t="str">
        <f>HYPERLINK("https://us2.cloudbeds.com/connect/10074733072513#/reservations/31730888933536?display=Keith%20Andersen&amp;reservation_id=31730888933536&amp;guest_id=31730888933534", "Keith Andersen")</f>
        <v>Keith Andersen</v>
      </c>
      <c r="E594" t="s">
        <v>1136</v>
      </c>
      <c r="F594" t="s">
        <v>8596</v>
      </c>
      <c r="G594">
        <v>510.3</v>
      </c>
      <c r="H594">
        <v>554.66999999999996</v>
      </c>
      <c r="I594">
        <v>554.70000000000005</v>
      </c>
      <c r="J594">
        <v>-0.03</v>
      </c>
    </row>
    <row r="595" spans="1:10" x14ac:dyDescent="0.3">
      <c r="A595" t="str">
        <f>HYPERLINK("https://us2.cloudbeds.com/connect/10074733072513#/reservations/31694488125621?display=MHMEKU5RN&amp;reservation_id=31694488125621", "MHMEKU5RN")</f>
        <v>MHMEKU5RN</v>
      </c>
      <c r="B595" t="s">
        <v>10</v>
      </c>
      <c r="C595" t="s">
        <v>14</v>
      </c>
      <c r="D595" t="str">
        <f>HYPERLINK("https://us2.cloudbeds.com/connect/10074733072513#/reservations/31694488125621?display=Gary%20Crain&amp;reservation_id=31694488125621&amp;guest_id=31694488125618", "Gary Crain")</f>
        <v>Gary Crain</v>
      </c>
      <c r="E595" t="s">
        <v>8643</v>
      </c>
      <c r="F595" t="s">
        <v>8583</v>
      </c>
      <c r="G595">
        <v>437.6</v>
      </c>
      <c r="H595">
        <v>475.64</v>
      </c>
      <c r="I595">
        <v>475.67</v>
      </c>
      <c r="J595">
        <v>-0.03</v>
      </c>
    </row>
    <row r="596" spans="1:10" x14ac:dyDescent="0.3">
      <c r="A596" t="str">
        <f>HYPERLINK("https://us2.cloudbeds.com/connect/10074733072513#/reservations/31730286018787?display=MXH5BYAN3&amp;reservation_id=31730286018787", "MXH5BYAN3")</f>
        <v>MXH5BYAN3</v>
      </c>
      <c r="B596" t="s">
        <v>10</v>
      </c>
      <c r="C596" t="s">
        <v>14</v>
      </c>
      <c r="D596" t="str">
        <f>HYPERLINK("https://us2.cloudbeds.com/connect/10074733072513#/reservations/31730286018787?display=Ezekiel%20Mcguire&amp;reservation_id=31730286018787&amp;guest_id=31730286018781", "Ezekiel Mcguire")</f>
        <v>Ezekiel Mcguire</v>
      </c>
      <c r="E596" t="s">
        <v>8715</v>
      </c>
      <c r="F596" t="s">
        <v>8716</v>
      </c>
      <c r="G596">
        <v>676</v>
      </c>
      <c r="H596">
        <v>734.78</v>
      </c>
      <c r="I596">
        <v>734.81</v>
      </c>
      <c r="J596">
        <v>-0.03</v>
      </c>
    </row>
    <row r="597" spans="1:10" x14ac:dyDescent="0.3">
      <c r="A597" t="str">
        <f>HYPERLINK("https://us2.cloudbeds.com/connect/10074733072513#/reservations/31694121328776?display=MHM58KGVP&amp;reservation_id=31694121328776", "MHM58KGVP")</f>
        <v>MHM58KGVP</v>
      </c>
      <c r="B597" t="s">
        <v>10</v>
      </c>
      <c r="C597" t="s">
        <v>42</v>
      </c>
      <c r="D597" t="str">
        <f>HYPERLINK("https://us2.cloudbeds.com/connect/10074733072513#/reservations/31694121328776?display=Kelly%20Rogers&amp;reservation_id=31694121328776&amp;guest_id=31690975772911", "Kelly Rogers")</f>
        <v>Kelly Rogers</v>
      </c>
      <c r="E597" t="s">
        <v>8738</v>
      </c>
      <c r="F597" t="s">
        <v>8270</v>
      </c>
      <c r="G597">
        <v>476</v>
      </c>
      <c r="H597">
        <v>517.38</v>
      </c>
      <c r="I597">
        <v>517.41</v>
      </c>
      <c r="J597">
        <v>-0.03</v>
      </c>
    </row>
    <row r="598" spans="1:10" x14ac:dyDescent="0.3">
      <c r="A598" t="str">
        <f>HYPERLINK("https://us2.cloudbeds.com/connect/10074733072513#/reservations/31695636209796?display=MHNAW0A98&amp;reservation_id=31695636209796", "MHNAW0A98")</f>
        <v>MHNAW0A98</v>
      </c>
      <c r="B598" t="s">
        <v>10</v>
      </c>
      <c r="C598" t="s">
        <v>42</v>
      </c>
      <c r="D598" t="str">
        <f>HYPERLINK("https://us2.cloudbeds.com/connect/10074733072513#/reservations/31695636209796?display=Susan%20Benney&amp;reservation_id=31695636209796&amp;guest_id=31687129886858", "Susan Benney")</f>
        <v>Susan Benney</v>
      </c>
      <c r="E598" t="s">
        <v>7011</v>
      </c>
      <c r="F598" t="s">
        <v>8151</v>
      </c>
      <c r="G598">
        <v>510.3</v>
      </c>
      <c r="H598">
        <v>554.66999999999996</v>
      </c>
      <c r="I598">
        <v>554.70000000000005</v>
      </c>
      <c r="J598">
        <v>-0.03</v>
      </c>
    </row>
    <row r="599" spans="1:10" x14ac:dyDescent="0.3">
      <c r="A599" t="str">
        <f>HYPERLINK("https://us2.cloudbeds.com/connect/10074733072513#/reservations/31735821815940?display=MXYEQJ1AW&amp;reservation_id=31735821815940", "MXYEQJ1AW")</f>
        <v>MXYEQJ1AW</v>
      </c>
      <c r="B599" t="s">
        <v>10</v>
      </c>
      <c r="C599" t="s">
        <v>42</v>
      </c>
      <c r="D599" t="str">
        <f>HYPERLINK("https://us2.cloudbeds.com/connect/10074733072513#/reservations/31735821815940?display=Jayne%20Bond&amp;reservation_id=31735821815940&amp;guest_id=31735821811842", "Jayne Bond")</f>
        <v>Jayne Bond</v>
      </c>
      <c r="E599" t="s">
        <v>8797</v>
      </c>
      <c r="F599" t="s">
        <v>7751</v>
      </c>
      <c r="G599">
        <v>636</v>
      </c>
      <c r="H599">
        <v>691.3</v>
      </c>
      <c r="I599">
        <v>691.33</v>
      </c>
      <c r="J599">
        <v>-0.03</v>
      </c>
    </row>
    <row r="600" spans="1:10" x14ac:dyDescent="0.3">
      <c r="A600" t="str">
        <f>HYPERLINK("https://us2.cloudbeds.com/connect/10074733072513#/reservations/31691586257088?display=MHK6FW9ZE&amp;reservation_id=31691586257088", "MHK6FW9ZE")</f>
        <v>MHK6FW9ZE</v>
      </c>
      <c r="B600" t="s">
        <v>10</v>
      </c>
      <c r="C600" t="s">
        <v>42</v>
      </c>
      <c r="D600" t="str">
        <f>HYPERLINK("https://us2.cloudbeds.com/connect/10074733072513#/reservations/31691586257088?display=Curtis%20Nelson&amp;reservation_id=31691586257088&amp;guest_id=31691586252996", "Curtis Nelson")</f>
        <v>Curtis Nelson</v>
      </c>
      <c r="E600" t="s">
        <v>8747</v>
      </c>
      <c r="F600" t="s">
        <v>8264</v>
      </c>
      <c r="G600">
        <v>595</v>
      </c>
      <c r="H600">
        <v>646.74</v>
      </c>
      <c r="I600">
        <v>646.77</v>
      </c>
      <c r="J600">
        <v>-0.03</v>
      </c>
    </row>
    <row r="601" spans="1:10" x14ac:dyDescent="0.3">
      <c r="A601" t="str">
        <f>HYPERLINK("https://us2.cloudbeds.com/connect/10074733072513#/reservations/31726244745363?display=MXE12UUR2&amp;reservation_id=31726244745363", "MXE12UUR2")</f>
        <v>MXE12UUR2</v>
      </c>
      <c r="B601" t="s">
        <v>10</v>
      </c>
      <c r="C601" t="s">
        <v>42</v>
      </c>
      <c r="D601" t="str">
        <f>HYPERLINK("https://us2.cloudbeds.com/connect/10074733072513#/reservations/31726244745363?display=Brenda%20Lachermeier&amp;reservation_id=31726244745363&amp;guest_id=31726227955880", "Brenda Lachermeier")</f>
        <v>Brenda Lachermeier</v>
      </c>
      <c r="E601" t="s">
        <v>8834</v>
      </c>
      <c r="F601" t="s">
        <v>8835</v>
      </c>
      <c r="G601">
        <v>716</v>
      </c>
      <c r="H601">
        <v>778.26</v>
      </c>
      <c r="I601">
        <v>778.29</v>
      </c>
      <c r="J601">
        <v>-0.03</v>
      </c>
    </row>
    <row r="602" spans="1:10" x14ac:dyDescent="0.3">
      <c r="A602" t="str">
        <f>HYPERLINK("https://us2.cloudbeds.com/connect/10074733072513#/reservations/31693027160280?display=MHYA9WYSN&amp;reservation_id=31693027160280", "MHYA9WYSN")</f>
        <v>MHYA9WYSN</v>
      </c>
      <c r="B602" t="s">
        <v>10</v>
      </c>
      <c r="C602" t="s">
        <v>42</v>
      </c>
      <c r="D602" t="str">
        <f>HYPERLINK("https://us2.cloudbeds.com/connect/10074733072513#/reservations/31693027160280?display=Brayden%20Anderson&amp;reservation_id=31693027160280&amp;guest_id=31693027156186", "Brayden Anderson")</f>
        <v>Brayden Anderson</v>
      </c>
      <c r="E602" t="s">
        <v>8840</v>
      </c>
      <c r="F602" t="s">
        <v>8259</v>
      </c>
      <c r="G602">
        <v>476</v>
      </c>
      <c r="H602">
        <v>517.38</v>
      </c>
      <c r="I602">
        <v>517.41</v>
      </c>
      <c r="J602">
        <v>-0.03</v>
      </c>
    </row>
    <row r="603" spans="1:10" x14ac:dyDescent="0.3">
      <c r="A603" t="str">
        <f>HYPERLINK("https://us2.cloudbeds.com/connect/10074733072513#/reservations/31690562855067?display=MHJDB0ZB5&amp;reservation_id=31690562855067", "MHJDB0ZB5")</f>
        <v>MHJDB0ZB5</v>
      </c>
      <c r="B603" t="s">
        <v>10</v>
      </c>
      <c r="C603" t="s">
        <v>42</v>
      </c>
      <c r="D603" t="str">
        <f>HYPERLINK("https://us2.cloudbeds.com/connect/10074733072513#/reservations/31690562855067?display=Builders%20Osakis%20.&amp;reservation_id=31690562855067&amp;guest_id=31690554331271", "Builders Osakis .")</f>
        <v>Builders Osakis .</v>
      </c>
      <c r="E603" t="s">
        <v>8864</v>
      </c>
      <c r="F603" t="s">
        <v>8865</v>
      </c>
      <c r="G603">
        <v>476</v>
      </c>
      <c r="H603">
        <v>517.38</v>
      </c>
      <c r="I603">
        <v>517.41</v>
      </c>
      <c r="J603">
        <v>-0.03</v>
      </c>
    </row>
    <row r="604" spans="1:10" x14ac:dyDescent="0.3">
      <c r="A604" t="str">
        <f>HYPERLINK("https://us2.cloudbeds.com/connect/10074733072513#/reservations/31735785013384?display=MXYDSHVH0&amp;reservation_id=31735785013384", "MXYDSHVH0")</f>
        <v>MXYDSHVH0</v>
      </c>
      <c r="B604" t="s">
        <v>10</v>
      </c>
      <c r="C604" t="s">
        <v>17</v>
      </c>
      <c r="D604" t="str">
        <f>HYPERLINK("https://us2.cloudbeds.com/connect/10074733072513#/reservations/31735785013384?display=Frederick%20Bailey&amp;reservation_id=31735785013384&amp;guest_id=31735785009283", "Frederick Bailey")</f>
        <v>Frederick Bailey</v>
      </c>
      <c r="E604" t="s">
        <v>5586</v>
      </c>
      <c r="F604" t="s">
        <v>7751</v>
      </c>
      <c r="G604">
        <v>510.3</v>
      </c>
      <c r="H604">
        <v>554.66999999999996</v>
      </c>
      <c r="I604">
        <v>554.70000000000005</v>
      </c>
      <c r="J604">
        <v>-0.03</v>
      </c>
    </row>
    <row r="605" spans="1:10" x14ac:dyDescent="0.3">
      <c r="A605" t="str">
        <f>HYPERLINK("https://us2.cloudbeds.com/connect/10074733072513#/reservations/31730640425183?display=MXHEDG6ZS&amp;reservation_id=31730640425183", "MXHEDG6ZS")</f>
        <v>MXHEDG6ZS</v>
      </c>
      <c r="B605" t="s">
        <v>10</v>
      </c>
      <c r="C605" t="s">
        <v>42</v>
      </c>
      <c r="D605" t="str">
        <f>HYPERLINK("https://us2.cloudbeds.com/connect/10074733072513#/reservations/31730640425183?display=William%20Healy&amp;reservation_id=31730640425183&amp;guest_id=31730628669612", "William Healy")</f>
        <v>William Healy</v>
      </c>
      <c r="E605" t="s">
        <v>8919</v>
      </c>
      <c r="F605" t="s">
        <v>8920</v>
      </c>
      <c r="G605">
        <v>1016</v>
      </c>
      <c r="H605">
        <v>1104.3599999999999</v>
      </c>
      <c r="I605">
        <v>1104.3900000000001</v>
      </c>
      <c r="J605">
        <v>-0.03</v>
      </c>
    </row>
    <row r="606" spans="1:10" x14ac:dyDescent="0.3">
      <c r="A606" t="str">
        <f>HYPERLINK("https://us2.cloudbeds.com/connect/10074733072513#/reservations/31736195895476?display=MXYZC0BNG&amp;reservation_id=31736195895476", "MXYZC0BNG")</f>
        <v>MXYZC0BNG</v>
      </c>
      <c r="B606" t="s">
        <v>10</v>
      </c>
      <c r="C606" t="s">
        <v>17</v>
      </c>
      <c r="D606" t="str">
        <f>HYPERLINK("https://us2.cloudbeds.com/connect/10074733072513#/reservations/31736195895476?display=Kathryn%20Thorpe&amp;reservation_id=31736195895476&amp;guest_id=31736195895474", "Kathryn Thorpe")</f>
        <v>Kathryn Thorpe</v>
      </c>
      <c r="E606" t="s">
        <v>8938</v>
      </c>
      <c r="F606" t="s">
        <v>8826</v>
      </c>
      <c r="G606">
        <v>716</v>
      </c>
      <c r="H606">
        <v>778.26</v>
      </c>
      <c r="I606">
        <v>778.29</v>
      </c>
      <c r="J606">
        <v>-0.03</v>
      </c>
    </row>
    <row r="607" spans="1:10" x14ac:dyDescent="0.3">
      <c r="A607" t="str">
        <f>HYPERLINK("https://us2.cloudbeds.com/connect/10074733072513#/reservations/31691097362598?display=MHJQWZ6H2&amp;reservation_id=31691097362598", "MHJQWZ6H2")</f>
        <v>MHJQWZ6H2</v>
      </c>
      <c r="B607" t="s">
        <v>10</v>
      </c>
      <c r="C607" t="s">
        <v>121</v>
      </c>
      <c r="D607" t="str">
        <f>HYPERLINK("https://us2.cloudbeds.com/connect/10074733072513#/reservations/31691097362598?display=Devin%20Jones&amp;reservation_id=31691097362598&amp;guest_id=31691085299904", "Devin Jones")</f>
        <v>Devin Jones</v>
      </c>
      <c r="E607" t="s">
        <v>8941</v>
      </c>
      <c r="F607" t="s">
        <v>8265</v>
      </c>
      <c r="G607">
        <v>219</v>
      </c>
      <c r="H607">
        <v>238.02</v>
      </c>
      <c r="I607">
        <v>238.05</v>
      </c>
      <c r="J607">
        <v>-0.03</v>
      </c>
    </row>
    <row r="608" spans="1:10" x14ac:dyDescent="0.3">
      <c r="A608" t="str">
        <f>HYPERLINK("https://us2.cloudbeds.com/connect/10074733072513#/reservations/31729432051914?display=MXGGHXEE2&amp;reservation_id=31729432051914", "MXGGHXEE2")</f>
        <v>MXGGHXEE2</v>
      </c>
      <c r="B608" t="s">
        <v>10</v>
      </c>
      <c r="C608" t="s">
        <v>42</v>
      </c>
      <c r="D608" t="str">
        <f>HYPERLINK("https://us2.cloudbeds.com/connect/10074733072513#/reservations/31729432051914?display=Brook%20Pierson&amp;reservation_id=31729432051914&amp;guest_id=31729415921839", "Brook Pierson")</f>
        <v>Brook Pierson</v>
      </c>
      <c r="E608" t="s">
        <v>8959</v>
      </c>
      <c r="F608" t="s">
        <v>8835</v>
      </c>
      <c r="G608">
        <v>536</v>
      </c>
      <c r="H608">
        <v>582.6</v>
      </c>
      <c r="I608">
        <v>582.63</v>
      </c>
      <c r="J608">
        <v>-0.03</v>
      </c>
    </row>
    <row r="609" spans="1:10" x14ac:dyDescent="0.3">
      <c r="A609" t="str">
        <f>HYPERLINK("https://us2.cloudbeds.com/connect/10074733072513#/reservations/31690278781083?display=MHJ62FVMK&amp;reservation_id=31690278781083", "MHJ62FVMK")</f>
        <v>MHJ62FVMK</v>
      </c>
      <c r="B609" t="s">
        <v>10</v>
      </c>
      <c r="C609" t="s">
        <v>42</v>
      </c>
      <c r="D609" t="str">
        <f>HYPERLINK("https://us2.cloudbeds.com/connect/10074733072513#/reservations/31690278781083?display=Alan%20Maloney&amp;reservation_id=31690278781083&amp;guest_id=31690278781078", "Alan Maloney")</f>
        <v>Alan Maloney</v>
      </c>
      <c r="E609" t="s">
        <v>8990</v>
      </c>
      <c r="F609" t="s">
        <v>8450</v>
      </c>
      <c r="G609">
        <v>283.5</v>
      </c>
      <c r="H609">
        <v>308.13</v>
      </c>
      <c r="I609">
        <v>308.16000000000003</v>
      </c>
      <c r="J609">
        <v>-0.03</v>
      </c>
    </row>
    <row r="610" spans="1:10" x14ac:dyDescent="0.3">
      <c r="A610" t="str">
        <f>HYPERLINK("https://us2.cloudbeds.com/connect/10074733072513#/reservations/31731959685305?display=MXXF3UXXA&amp;reservation_id=31731959685305", "MXXF3UXXA")</f>
        <v>MXXF3UXXA</v>
      </c>
      <c r="B610" t="s">
        <v>10</v>
      </c>
      <c r="C610" t="s">
        <v>23</v>
      </c>
      <c r="D610" t="str">
        <f>HYPERLINK("https://us2.cloudbeds.com/connect/10074733072513#/reservations/31731959685305?display=Madeleine%20Mccabe%20Endersbe&amp;reservation_id=31731959685305&amp;guest_id=31731959685302", "Madeleine Mccabe Endersbe")</f>
        <v>Madeleine Mccabe Endersbe</v>
      </c>
      <c r="E610" t="s">
        <v>8991</v>
      </c>
      <c r="F610" t="s">
        <v>8992</v>
      </c>
      <c r="G610">
        <v>716</v>
      </c>
      <c r="H610">
        <v>778.26</v>
      </c>
      <c r="I610">
        <v>778.29</v>
      </c>
      <c r="J610">
        <v>-0.03</v>
      </c>
    </row>
    <row r="611" spans="1:10" x14ac:dyDescent="0.3">
      <c r="A611" t="str">
        <f>HYPERLINK("https://us2.cloudbeds.com/connect/10074733072513#/reservations/31691618595044?display=MHK7A88HM&amp;reservation_id=31691618595044", "MHK7A88HM")</f>
        <v>MHK7A88HM</v>
      </c>
      <c r="B611" t="s">
        <v>10</v>
      </c>
      <c r="C611" t="s">
        <v>14</v>
      </c>
      <c r="D611" t="str">
        <f>HYPERLINK("https://us2.cloudbeds.com/connect/10074733072513#/reservations/31691618595044?display=Brayden%20Anderson&amp;reservation_id=31691618595044&amp;guest_id=31691606638764", "Brayden Anderson")</f>
        <v>Brayden Anderson</v>
      </c>
      <c r="E611" t="s">
        <v>8995</v>
      </c>
      <c r="F611" t="s">
        <v>8264</v>
      </c>
      <c r="G611">
        <v>495.3</v>
      </c>
      <c r="H611">
        <v>538.36</v>
      </c>
      <c r="I611">
        <v>538.39</v>
      </c>
      <c r="J611">
        <v>-0.03</v>
      </c>
    </row>
    <row r="612" spans="1:10" x14ac:dyDescent="0.3">
      <c r="A612" t="str">
        <f>HYPERLINK("https://us2.cloudbeds.com/connect/10074733072513#/reservations/31694730305675?display=MHMKR46D7&amp;reservation_id=31694730305675", "MHMKR46D7")</f>
        <v>MHMKR46D7</v>
      </c>
      <c r="B612" t="s">
        <v>10</v>
      </c>
      <c r="C612" t="s">
        <v>42</v>
      </c>
      <c r="D612" t="str">
        <f>HYPERLINK("https://us2.cloudbeds.com/connect/10074733072513#/reservations/31694730305675?display=Merna%20Heyl&amp;reservation_id=31694730305675&amp;guest_id=31694730305672", "Merna Heyl")</f>
        <v>Merna Heyl</v>
      </c>
      <c r="E612" t="s">
        <v>9026</v>
      </c>
      <c r="F612" t="s">
        <v>8965</v>
      </c>
      <c r="G612">
        <v>510.3</v>
      </c>
      <c r="H612">
        <v>554.66999999999996</v>
      </c>
      <c r="I612">
        <v>554.70000000000005</v>
      </c>
      <c r="J612">
        <v>-0.03</v>
      </c>
    </row>
    <row r="613" spans="1:10" x14ac:dyDescent="0.3">
      <c r="A613" t="str">
        <f>HYPERLINK("https://us2.cloudbeds.com/connect/10074733072513#/reservations/31731781734579?display=MXXAXSR32&amp;reservation_id=31731781734579", "MXXAXSR32")</f>
        <v>MXXAXSR32</v>
      </c>
      <c r="B613" t="s">
        <v>10</v>
      </c>
      <c r="C613" t="s">
        <v>11</v>
      </c>
      <c r="D613" t="str">
        <f>HYPERLINK("https://us2.cloudbeds.com/connect/10074733072513#/reservations/31731781734579?display=James%20Warner&amp;reservation_id=31731781734579&amp;guest_id=31731771367644", "James Warner")</f>
        <v>James Warner</v>
      </c>
      <c r="E613" t="s">
        <v>9029</v>
      </c>
      <c r="F613" t="s">
        <v>7203</v>
      </c>
      <c r="G613">
        <v>510.3</v>
      </c>
      <c r="H613">
        <v>554.66999999999996</v>
      </c>
      <c r="I613">
        <v>554.70000000000005</v>
      </c>
      <c r="J613">
        <v>-0.03</v>
      </c>
    </row>
    <row r="614" spans="1:10" x14ac:dyDescent="0.3">
      <c r="A614" t="str">
        <f>HYPERLINK("https://us2.cloudbeds.com/connect/10074733072513#/reservations/31734004998339?display=MXK1CJDK5&amp;reservation_id=31734004998339", "MXK1CJDK5")</f>
        <v>MXK1CJDK5</v>
      </c>
      <c r="B614" t="s">
        <v>10</v>
      </c>
      <c r="C614" t="s">
        <v>11</v>
      </c>
      <c r="D614" t="str">
        <f>HYPERLINK("https://us2.cloudbeds.com/connect/10074733072513#/reservations/31734004998339?display=Tim%20Warner&amp;reservation_id=31734004998339&amp;guest_id=31734004994303", "Tim Warner")</f>
        <v>Tim Warner</v>
      </c>
      <c r="E614" t="s">
        <v>9034</v>
      </c>
      <c r="F614" t="s">
        <v>7203</v>
      </c>
      <c r="G614">
        <v>510.3</v>
      </c>
      <c r="H614">
        <v>554.66999999999996</v>
      </c>
      <c r="I614">
        <v>554.70000000000005</v>
      </c>
      <c r="J614">
        <v>-0.03</v>
      </c>
    </row>
    <row r="615" spans="1:10" x14ac:dyDescent="0.3">
      <c r="A615" t="str">
        <f>HYPERLINK("https://us2.cloudbeds.com/connect/10074733072513#/reservations/31694335807622?display=MHMAZFN7P&amp;reservation_id=31694335807622", "MHMAZFN7P")</f>
        <v>MHMAZFN7P</v>
      </c>
      <c r="B615" t="s">
        <v>10</v>
      </c>
      <c r="C615" t="s">
        <v>42</v>
      </c>
      <c r="D615" t="str">
        <f>HYPERLINK("https://us2.cloudbeds.com/connect/10074733072513#/reservations/31694335807622?display=Keith%20Anderson&amp;reservation_id=31694335807622&amp;guest_id=17963406844038", "Keith Anderson")</f>
        <v>Keith Anderson</v>
      </c>
      <c r="E615" t="s">
        <v>8040</v>
      </c>
      <c r="F615" t="s">
        <v>8027</v>
      </c>
      <c r="G615">
        <v>356</v>
      </c>
      <c r="H615">
        <v>386.94</v>
      </c>
      <c r="I615">
        <v>386.97</v>
      </c>
      <c r="J615">
        <v>-0.03</v>
      </c>
    </row>
    <row r="616" spans="1:10" x14ac:dyDescent="0.3">
      <c r="A616" t="str">
        <f>HYPERLINK("https://us2.cloudbeds.com/connect/10074733072513#/reservations/31734615154845?display=MXKGW2U88&amp;reservation_id=31734615154845", "MXKGW2U88")</f>
        <v>MXKGW2U88</v>
      </c>
      <c r="B616" t="s">
        <v>10</v>
      </c>
      <c r="C616" t="s">
        <v>42</v>
      </c>
      <c r="D616" t="str">
        <f>HYPERLINK("https://us2.cloudbeds.com/connect/10074733072513#/reservations/31734615154845?display=Debra%20Dunker&amp;reservation_id=31734615154845&amp;guest_id=31734615154843", "Debra Dunker")</f>
        <v>Debra Dunker</v>
      </c>
      <c r="E616" t="s">
        <v>3856</v>
      </c>
      <c r="F616" t="s">
        <v>8767</v>
      </c>
      <c r="G616">
        <v>510.3</v>
      </c>
      <c r="H616">
        <v>554.66999999999996</v>
      </c>
      <c r="I616">
        <v>554.70000000000005</v>
      </c>
      <c r="J616">
        <v>-0.03</v>
      </c>
    </row>
    <row r="617" spans="1:10" x14ac:dyDescent="0.3">
      <c r="A617" t="str">
        <f>HYPERLINK("https://us2.cloudbeds.com/connect/10074733072513#/reservations/31692657168518?display=MHY0S0364&amp;reservation_id=31692657168518", "MHY0S0364")</f>
        <v>MHY0S0364</v>
      </c>
      <c r="B617" t="s">
        <v>10</v>
      </c>
      <c r="C617" t="s">
        <v>42</v>
      </c>
      <c r="D617" t="str">
        <f>HYPERLINK("https://us2.cloudbeds.com/connect/10074733072513#/reservations/31692657168518?display=Keith%20Anderson&amp;reservation_id=31692657168518&amp;guest_id=17963406844038", "Keith Anderson")</f>
        <v>Keith Anderson</v>
      </c>
      <c r="E617" t="s">
        <v>8040</v>
      </c>
      <c r="F617" t="s">
        <v>9043</v>
      </c>
      <c r="G617">
        <v>356</v>
      </c>
      <c r="H617">
        <v>386.94</v>
      </c>
      <c r="I617">
        <v>386.97</v>
      </c>
      <c r="J617">
        <v>-0.03</v>
      </c>
    </row>
    <row r="618" spans="1:10" x14ac:dyDescent="0.3">
      <c r="A618" t="str">
        <f>HYPERLINK("https://us2.cloudbeds.com/connect/10074733072513#/reservations/31687736004842?display=MHH73BF94&amp;reservation_id=31687736004842", "MHH73BF94")</f>
        <v>MHH73BF94</v>
      </c>
      <c r="B618" t="s">
        <v>10</v>
      </c>
      <c r="C618" t="s">
        <v>42</v>
      </c>
      <c r="D618" t="str">
        <f>HYPERLINK("https://us2.cloudbeds.com/connect/10074733072513#/reservations/31687736004842?display=Keith%20Anderson&amp;reservation_id=31687736004842&amp;guest_id=17963406844038", "Keith Anderson")</f>
        <v>Keith Anderson</v>
      </c>
      <c r="E618" t="s">
        <v>8040</v>
      </c>
      <c r="F618" t="s">
        <v>9127</v>
      </c>
      <c r="G618">
        <v>356</v>
      </c>
      <c r="H618">
        <v>386.94</v>
      </c>
      <c r="I618">
        <v>386.97</v>
      </c>
      <c r="J618">
        <v>-0.03</v>
      </c>
    </row>
    <row r="619" spans="1:10" x14ac:dyDescent="0.3">
      <c r="A619" t="str">
        <f>HYPERLINK("https://us2.cloudbeds.com/connect/10074733072513#/reservations/31691439882459?display=MHK2ZXAFP&amp;reservation_id=31691439882459", "MHK2ZXAFP")</f>
        <v>MHK2ZXAFP</v>
      </c>
      <c r="B619" t="s">
        <v>10</v>
      </c>
      <c r="C619" t="s">
        <v>23</v>
      </c>
      <c r="D619" t="str">
        <f>HYPERLINK("https://us2.cloudbeds.com/connect/10074733072513#/reservations/31691439882459?display=Tristan%20Kruger&amp;reservation_id=31691439882459&amp;guest_id=31691428651196", "Tristan Kruger")</f>
        <v>Tristan Kruger</v>
      </c>
      <c r="E619" t="s">
        <v>9098</v>
      </c>
      <c r="F619" t="s">
        <v>8822</v>
      </c>
      <c r="G619">
        <v>556</v>
      </c>
      <c r="H619">
        <v>604.34</v>
      </c>
      <c r="I619">
        <v>604.37</v>
      </c>
      <c r="J619">
        <v>-0.03</v>
      </c>
    </row>
    <row r="620" spans="1:10" x14ac:dyDescent="0.3">
      <c r="A620" t="str">
        <f>HYPERLINK("https://us2.cloudbeds.com/connect/10074733072513#/reservations/31691961196752?display=MHKG24YYK&amp;reservation_id=31691961196752", "MHKG24YYK")</f>
        <v>MHKG24YYK</v>
      </c>
      <c r="B620" t="s">
        <v>10</v>
      </c>
      <c r="C620" t="s">
        <v>42</v>
      </c>
      <c r="D620" t="str">
        <f>HYPERLINK("https://us2.cloudbeds.com/connect/10074733072513#/reservations/31691961196752?display=Justin%20Fortine&amp;reservation_id=31691961196752&amp;guest_id=31691961192660", "Justin Fortine")</f>
        <v>Justin Fortine</v>
      </c>
      <c r="E620" t="s">
        <v>9173</v>
      </c>
      <c r="F620" t="s">
        <v>8791</v>
      </c>
      <c r="G620">
        <v>219</v>
      </c>
      <c r="H620">
        <v>238.02</v>
      </c>
      <c r="I620">
        <v>238.05</v>
      </c>
      <c r="J620">
        <v>-0.03</v>
      </c>
    </row>
    <row r="621" spans="1:10" x14ac:dyDescent="0.3">
      <c r="A621" t="str">
        <f>HYPERLINK("https://us2.cloudbeds.com/connect/10074733072513#/reservations/31731724460249?display=MXX93J2JA&amp;reservation_id=31731724460249", "MXX93J2JA")</f>
        <v>MXX93J2JA</v>
      </c>
      <c r="B621" t="s">
        <v>10</v>
      </c>
      <c r="C621" t="s">
        <v>42</v>
      </c>
      <c r="D621" t="str">
        <f>HYPERLINK("https://us2.cloudbeds.com/connect/10074733072513#/reservations/31731724460249?display=Ann%20Hovdenes&amp;reservation_id=31731724460249&amp;guest_id=31731724456157", "Ann Hovdenes")</f>
        <v>Ann Hovdenes</v>
      </c>
      <c r="E621" t="s">
        <v>9213</v>
      </c>
      <c r="F621" t="s">
        <v>9214</v>
      </c>
      <c r="G621">
        <v>356</v>
      </c>
      <c r="H621">
        <v>386.94</v>
      </c>
      <c r="I621">
        <v>386.97</v>
      </c>
      <c r="J621">
        <v>-0.03</v>
      </c>
    </row>
    <row r="622" spans="1:10" x14ac:dyDescent="0.3">
      <c r="A622" t="str">
        <f>HYPERLINK("https://us2.cloudbeds.com/connect/10074733072513#/reservations/31729979502822?display=MXGUH625H&amp;reservation_id=31729979502822", "MXGUH625H")</f>
        <v>MXGUH625H</v>
      </c>
      <c r="B622" t="s">
        <v>10</v>
      </c>
      <c r="C622" t="s">
        <v>17</v>
      </c>
      <c r="D622" t="str">
        <f>HYPERLINK("https://us2.cloudbeds.com/connect/10074733072513#/reservations/31729979502822?display=Donna%20Uselman&amp;reservation_id=31729979502822&amp;guest_id=31729979502817", "Donna Uselman")</f>
        <v>Donna Uselman</v>
      </c>
      <c r="E622" t="s">
        <v>9246</v>
      </c>
      <c r="F622" t="s">
        <v>9247</v>
      </c>
      <c r="G622">
        <v>596</v>
      </c>
      <c r="H622">
        <v>647.82000000000005</v>
      </c>
      <c r="I622">
        <v>647.85</v>
      </c>
      <c r="J622">
        <v>-0.03</v>
      </c>
    </row>
    <row r="623" spans="1:10" x14ac:dyDescent="0.3">
      <c r="A623" t="str">
        <f>HYPERLINK("https://us2.cloudbeds.com/connect/10074733072513#/reservations/31735392534773?display=MXY3RJYZP&amp;reservation_id=31735392534773", "MXY3RJYZP")</f>
        <v>MXY3RJYZP</v>
      </c>
      <c r="B623" t="s">
        <v>10</v>
      </c>
      <c r="C623" t="s">
        <v>42</v>
      </c>
      <c r="D623" t="str">
        <f>HYPERLINK("https://us2.cloudbeds.com/connect/10074733072513#/reservations/31735392534773?display=Justin%20Fortin&amp;reservation_id=31735392534773&amp;guest_id=31692707201206", "Justin Fortin")</f>
        <v>Justin Fortin</v>
      </c>
      <c r="E623" t="s">
        <v>9260</v>
      </c>
      <c r="F623" t="s">
        <v>9214</v>
      </c>
      <c r="G623">
        <v>219</v>
      </c>
      <c r="H623">
        <v>238.02</v>
      </c>
      <c r="I623">
        <v>238.05</v>
      </c>
      <c r="J623">
        <v>-0.03</v>
      </c>
    </row>
    <row r="624" spans="1:10" x14ac:dyDescent="0.3">
      <c r="A624" t="str">
        <f>HYPERLINK("https://us2.cloudbeds.com/connect/10074733072513#/reservations/31735949480136?display=MXYX27FWW&amp;reservation_id=31735949480136", "MXYX27FWW")</f>
        <v>MXYX27FWW</v>
      </c>
      <c r="B624" t="s">
        <v>10</v>
      </c>
      <c r="C624" t="s">
        <v>17</v>
      </c>
      <c r="D624" t="str">
        <f>HYPERLINK("https://us2.cloudbeds.com/connect/10074733072513#/reservations/31735949480136?display=Isabel%20Guzman&amp;reservation_id=31735949480136&amp;guest_id=31692206772372", "Isabel Guzman")</f>
        <v>Isabel Guzman</v>
      </c>
      <c r="E624" t="s">
        <v>8890</v>
      </c>
      <c r="F624" t="s">
        <v>8085</v>
      </c>
      <c r="G624">
        <v>516</v>
      </c>
      <c r="H624">
        <v>560.86</v>
      </c>
      <c r="I624">
        <v>560.89</v>
      </c>
      <c r="J624">
        <v>-0.03</v>
      </c>
    </row>
    <row r="625" spans="1:10" x14ac:dyDescent="0.3">
      <c r="A625" t="str">
        <f>HYPERLINK("https://us2.cloudbeds.com/connect/10074733072513#/reservations/31734345539836?display=MXKA2ZFTF&amp;reservation_id=31734345539836", "MXKA2ZFTF")</f>
        <v>MXKA2ZFTF</v>
      </c>
      <c r="B625" t="s">
        <v>10</v>
      </c>
      <c r="C625" t="s">
        <v>42</v>
      </c>
      <c r="D625" t="str">
        <f>HYPERLINK("https://us2.cloudbeds.com/connect/10074733072513#/reservations/31734345539836?display=Ann%20Hovdenes&amp;reservation_id=31734345539836&amp;guest_id=31734345539833", "Ann Hovdenes")</f>
        <v>Ann Hovdenes</v>
      </c>
      <c r="E625" t="s">
        <v>9304</v>
      </c>
      <c r="F625" t="s">
        <v>8253</v>
      </c>
      <c r="G625">
        <v>356</v>
      </c>
      <c r="H625">
        <v>386.94</v>
      </c>
      <c r="I625">
        <v>386.97</v>
      </c>
      <c r="J625">
        <v>-0.03</v>
      </c>
    </row>
    <row r="626" spans="1:10" x14ac:dyDescent="0.3">
      <c r="A626" t="str">
        <f>HYPERLINK("https://us2.cloudbeds.com/connect/10074733072513#/reservations/31736072982711?display=MXYY7C458&amp;reservation_id=31736072982711", "MXYY7C458")</f>
        <v>MXYY7C458</v>
      </c>
      <c r="B626" t="s">
        <v>10</v>
      </c>
      <c r="C626" t="s">
        <v>23</v>
      </c>
      <c r="D626" t="str">
        <f>HYPERLINK("https://us2.cloudbeds.com/connect/10074733072513#/reservations/31736072982711?display=Sam%20Loban&amp;reservation_id=31736072982711&amp;guest_id=31736072982691", "Sam Loban")</f>
        <v>Sam Loban</v>
      </c>
      <c r="E626" t="s">
        <v>9390</v>
      </c>
      <c r="F626" t="s">
        <v>9087</v>
      </c>
      <c r="G626">
        <v>516</v>
      </c>
      <c r="H626">
        <v>560.86</v>
      </c>
      <c r="I626">
        <v>560.89</v>
      </c>
      <c r="J626">
        <v>-0.03</v>
      </c>
    </row>
    <row r="627" spans="1:10" x14ac:dyDescent="0.3">
      <c r="A627" t="str">
        <f>HYPERLINK("https://us2.cloudbeds.com/connect/10074733072513#/reservations/31736149704919?display=MXYN6214Y&amp;reservation_id=31736149704919", "MXYN6214Y")</f>
        <v>MXYN6214Y</v>
      </c>
      <c r="B627" t="s">
        <v>10</v>
      </c>
      <c r="C627" t="s">
        <v>42</v>
      </c>
      <c r="D627" t="str">
        <f>HYPERLINK("https://us2.cloudbeds.com/connect/10074733072513#/reservations/31736149704919?display=Ann%20Hovdenes&amp;reservation_id=31736149704919&amp;guest_id=31734345539833", "Ann Hovdenes")</f>
        <v>Ann Hovdenes</v>
      </c>
      <c r="E627" t="s">
        <v>9304</v>
      </c>
      <c r="F627" t="s">
        <v>9087</v>
      </c>
      <c r="G627">
        <v>356</v>
      </c>
      <c r="H627">
        <v>386.94</v>
      </c>
      <c r="I627">
        <v>386.97</v>
      </c>
      <c r="J627">
        <v>-0.03</v>
      </c>
    </row>
    <row r="628" spans="1:10" x14ac:dyDescent="0.3">
      <c r="A628" t="str">
        <f>HYPERLINK("https://us2.cloudbeds.com/connect/10074733072513#/reservations/31733421117591?display=MXJJF82A5&amp;reservation_id=31733421117591", "MXJJF82A5")</f>
        <v>MXJJF82A5</v>
      </c>
      <c r="B628" t="s">
        <v>10</v>
      </c>
      <c r="C628" t="s">
        <v>23</v>
      </c>
      <c r="D628" t="str">
        <f>HYPERLINK("https://us2.cloudbeds.com/connect/10074733072513#/reservations/31733421117591?display=Dominic%20Manfredini&amp;reservation_id=31733421117591&amp;guest_id=31733414838460", "Dominic Manfredini")</f>
        <v>Dominic Manfredini</v>
      </c>
      <c r="E628" t="s">
        <v>9427</v>
      </c>
      <c r="F628" t="s">
        <v>8897</v>
      </c>
      <c r="G628">
        <v>596</v>
      </c>
      <c r="H628">
        <v>647.82000000000005</v>
      </c>
      <c r="I628">
        <v>647.85</v>
      </c>
      <c r="J628">
        <v>-0.03</v>
      </c>
    </row>
    <row r="629" spans="1:10" x14ac:dyDescent="0.3">
      <c r="A629" t="str">
        <f>HYPERLINK("https://us2.cloudbeds.com/connect/10074733072513#/reservations/31736147542198?display=MXYN47S5Y&amp;reservation_id=31736147542198", "MXYN47S5Y")</f>
        <v>MXYN47S5Y</v>
      </c>
      <c r="B629" t="s">
        <v>10</v>
      </c>
      <c r="C629" t="s">
        <v>42</v>
      </c>
      <c r="D629" t="str">
        <f>HYPERLINK("https://us2.cloudbeds.com/connect/10074733072513#/reservations/31736147542198?display=Chad%20Hauck&amp;reservation_id=31736147542198&amp;guest_id=31701586518224", "Chad Hauck")</f>
        <v>Chad Hauck</v>
      </c>
      <c r="E629" t="s">
        <v>9431</v>
      </c>
      <c r="F629" t="s">
        <v>9087</v>
      </c>
      <c r="G629">
        <v>219</v>
      </c>
      <c r="H629">
        <v>238.02</v>
      </c>
      <c r="I629">
        <v>238.05</v>
      </c>
      <c r="J629">
        <v>-0.03</v>
      </c>
    </row>
    <row r="630" spans="1:10" x14ac:dyDescent="0.3">
      <c r="A630" t="str">
        <f>HYPERLINK("https://us2.cloudbeds.com/connect/10074733072513#/reservations/31732504830087?display=MXXT1K0Y5&amp;reservation_id=31732504830087", "MXXT1K0Y5")</f>
        <v>MXXT1K0Y5</v>
      </c>
      <c r="B630" t="s">
        <v>10</v>
      </c>
      <c r="C630" t="s">
        <v>23</v>
      </c>
      <c r="D630" t="str">
        <f>HYPERLINK("https://us2.cloudbeds.com/connect/10074733072513#/reservations/31732504830087?display=Dawn%20Imrie&amp;reservation_id=31732504830087&amp;guest_id=31732494143723", "Dawn Imrie")</f>
        <v>Dawn Imrie</v>
      </c>
      <c r="E630" t="s">
        <v>9464</v>
      </c>
      <c r="F630" t="s">
        <v>9235</v>
      </c>
      <c r="G630">
        <v>680.4</v>
      </c>
      <c r="H630">
        <v>739.56</v>
      </c>
      <c r="I630">
        <v>739.59</v>
      </c>
      <c r="J630">
        <v>-0.03</v>
      </c>
    </row>
    <row r="631" spans="1:10" x14ac:dyDescent="0.3">
      <c r="A631" t="str">
        <f>HYPERLINK("https://us2.cloudbeds.com/connect/10074733072513#/reservations/31729317789824?display=MXGDK6QSA&amp;reservation_id=31729317789824", "MXGDK6QSA")</f>
        <v>MXGDK6QSA</v>
      </c>
      <c r="B631" t="s">
        <v>10</v>
      </c>
      <c r="C631" t="s">
        <v>23</v>
      </c>
      <c r="D631" t="str">
        <f>HYPERLINK("https://us2.cloudbeds.com/connect/10074733072513#/reservations/31729317789824?display=Dawn%20Imrie&amp;reservation_id=31729317789824&amp;guest_id=31710832046283", "Dawn Imrie")</f>
        <v>Dawn Imrie</v>
      </c>
      <c r="E631" t="s">
        <v>9464</v>
      </c>
      <c r="F631" t="s">
        <v>9235</v>
      </c>
      <c r="G631">
        <v>680.4</v>
      </c>
      <c r="H631">
        <v>739.56</v>
      </c>
      <c r="I631">
        <v>739.59</v>
      </c>
      <c r="J631">
        <v>-0.03</v>
      </c>
    </row>
    <row r="632" spans="1:10" x14ac:dyDescent="0.3">
      <c r="A632" t="str">
        <f>HYPERLINK("https://us2.cloudbeds.com/connect/10074733072513#/reservations/31729402138763?display=MXGFPB1VV&amp;reservation_id=31729402138763", "MXGFPB1VV")</f>
        <v>MXGFPB1VV</v>
      </c>
      <c r="B632" t="s">
        <v>10</v>
      </c>
      <c r="C632" t="s">
        <v>20</v>
      </c>
      <c r="D632" t="str">
        <f>HYPERLINK("https://us2.cloudbeds.com/connect/10074733072513#/reservations/31729402138763?display=Nick%20Hartley&amp;reservation_id=31729402138763&amp;guest_id=31729402134668", "Nick Hartley")</f>
        <v>Nick Hartley</v>
      </c>
      <c r="E632" t="s">
        <v>9496</v>
      </c>
      <c r="F632" t="s">
        <v>9322</v>
      </c>
      <c r="G632">
        <v>510.3</v>
      </c>
      <c r="H632">
        <v>554.66999999999996</v>
      </c>
      <c r="I632">
        <v>554.70000000000005</v>
      </c>
      <c r="J632">
        <v>-0.03</v>
      </c>
    </row>
    <row r="633" spans="1:10" x14ac:dyDescent="0.3">
      <c r="A633" t="str">
        <f>HYPERLINK("https://us2.cloudbeds.com/connect/10074733072513#/reservations/31735014265080?display=MXKR5KZYQ&amp;reservation_id=31735014265080", "MXKR5KZYQ")</f>
        <v>MXKR5KZYQ</v>
      </c>
      <c r="B633" t="s">
        <v>10</v>
      </c>
      <c r="C633" t="s">
        <v>42</v>
      </c>
      <c r="D633" t="str">
        <f>HYPERLINK("https://us2.cloudbeds.com/connect/10074733072513#/reservations/31735014265080?display=Deeanne%20Terrell&amp;reservation_id=31735014265080&amp;guest_id=31735002165402", "Deeanne Terrell")</f>
        <v>Deeanne Terrell</v>
      </c>
      <c r="E633" t="s">
        <v>9504</v>
      </c>
      <c r="F633" t="s">
        <v>9131</v>
      </c>
      <c r="G633">
        <v>356</v>
      </c>
      <c r="H633">
        <v>386.94</v>
      </c>
      <c r="I633">
        <v>386.97</v>
      </c>
      <c r="J633">
        <v>-0.03</v>
      </c>
    </row>
    <row r="634" spans="1:10" x14ac:dyDescent="0.3">
      <c r="A634" t="str">
        <f>HYPERLINK("https://us2.cloudbeds.com/connect/10074733072513#/reservations/31733300678849?display=MXJGCMMJA&amp;reservation_id=31733300678849", "MXJGCMMJA")</f>
        <v>MXJGCMMJA</v>
      </c>
      <c r="B634" t="s">
        <v>10</v>
      </c>
      <c r="C634" t="s">
        <v>42</v>
      </c>
      <c r="D634" t="str">
        <f>HYPERLINK("https://us2.cloudbeds.com/connect/10074733072513#/reservations/31733300678849?display=Keith%20Anderson&amp;reservation_id=31733300678849&amp;guest_id=17963406844038", "Keith Anderson")</f>
        <v>Keith Anderson</v>
      </c>
      <c r="E634" t="s">
        <v>8040</v>
      </c>
      <c r="F634" t="s">
        <v>9079</v>
      </c>
      <c r="G634">
        <v>356</v>
      </c>
      <c r="H634">
        <v>386.94</v>
      </c>
      <c r="I634">
        <v>386.97</v>
      </c>
      <c r="J634">
        <v>-0.03</v>
      </c>
    </row>
    <row r="635" spans="1:10" x14ac:dyDescent="0.3">
      <c r="A635" t="str">
        <f>HYPERLINK("https://us2.cloudbeds.com/connect/10074733072513#/reservations/31734764286083?display=MXKKPRNHM&amp;reservation_id=31734764286083", "MXKKPRNHM")</f>
        <v>MXKKPRNHM</v>
      </c>
      <c r="B635" t="s">
        <v>10</v>
      </c>
      <c r="C635" t="s">
        <v>42</v>
      </c>
      <c r="D635" t="str">
        <f>HYPERLINK("https://us2.cloudbeds.com/connect/10074733072513#/reservations/31734764286083?display=Ann%20Hovdenes&amp;reservation_id=31734764286083&amp;guest_id=31734764281997", "Ann Hovdenes")</f>
        <v>Ann Hovdenes</v>
      </c>
      <c r="E635" t="s">
        <v>9504</v>
      </c>
      <c r="F635" t="s">
        <v>9531</v>
      </c>
      <c r="G635">
        <v>356</v>
      </c>
      <c r="H635">
        <v>386.94</v>
      </c>
      <c r="I635">
        <v>386.97</v>
      </c>
      <c r="J635">
        <v>-0.03</v>
      </c>
    </row>
    <row r="636" spans="1:10" x14ac:dyDescent="0.3">
      <c r="A636" t="str">
        <f>HYPERLINK("https://us2.cloudbeds.com/connect/10074733072513#/reservations/31735531589772?display=MXY7CS29K&amp;reservation_id=31735531589772", "MXY7CS29K")</f>
        <v>MXY7CS29K</v>
      </c>
      <c r="B636" t="s">
        <v>10</v>
      </c>
      <c r="C636" t="s">
        <v>42</v>
      </c>
      <c r="D636" t="str">
        <f>HYPERLINK("https://us2.cloudbeds.com/connect/10074733072513#/reservations/31735531589772?display=Cody%20Arvik&amp;reservation_id=31735531589772&amp;guest_id=31735520108794", "Cody Arvik")</f>
        <v>Cody Arvik</v>
      </c>
      <c r="E636" t="s">
        <v>9572</v>
      </c>
      <c r="F636" t="s">
        <v>9381</v>
      </c>
      <c r="G636">
        <v>219</v>
      </c>
      <c r="H636">
        <v>238.02</v>
      </c>
      <c r="I636">
        <v>238.05</v>
      </c>
      <c r="J636">
        <v>-0.03</v>
      </c>
    </row>
    <row r="637" spans="1:10" x14ac:dyDescent="0.3">
      <c r="A637" t="str">
        <f>HYPERLINK("https://us2.cloudbeds.com/connect/10074733072513#/reservations/31731170070665?display=MXHRV3C7V&amp;reservation_id=31731170070665", "MXHRV3C7V")</f>
        <v>MXHRV3C7V</v>
      </c>
      <c r="B637" t="s">
        <v>10</v>
      </c>
      <c r="C637" t="s">
        <v>11</v>
      </c>
      <c r="D637" t="str">
        <f>HYPERLINK("https://us2.cloudbeds.com/connect/10074733072513#/reservations/31731170070665?display=Angela%20Bilbrey&amp;reservation_id=31731170070665&amp;guest_id=31731170070660", "Angela Bilbrey")</f>
        <v>Angela Bilbrey</v>
      </c>
      <c r="E637" t="s">
        <v>9589</v>
      </c>
      <c r="F637" t="s">
        <v>9277</v>
      </c>
      <c r="G637">
        <v>510.3</v>
      </c>
      <c r="H637">
        <v>554.66999999999996</v>
      </c>
      <c r="I637">
        <v>554.70000000000005</v>
      </c>
      <c r="J637">
        <v>-0.03</v>
      </c>
    </row>
    <row r="638" spans="1:10" x14ac:dyDescent="0.3">
      <c r="A638" t="str">
        <f>HYPERLINK("https://us2.cloudbeds.com/connect/10074733072513#/reservations/31735668289718?display=MXYAT3V87&amp;reservation_id=31735668289718", "MXYAT3V87")</f>
        <v>MXYAT3V87</v>
      </c>
      <c r="B638" t="s">
        <v>10</v>
      </c>
      <c r="C638" t="s">
        <v>42</v>
      </c>
      <c r="D638" t="str">
        <f>HYPERLINK("https://us2.cloudbeds.com/connect/10074733072513#/reservations/31735668289718?display=Joe%20Heimann&amp;reservation_id=31735668289718&amp;guest_id=31732710650076", "Joe Heimann")</f>
        <v>Joe Heimann</v>
      </c>
      <c r="E638" t="s">
        <v>9537</v>
      </c>
      <c r="F638" t="s">
        <v>9500</v>
      </c>
      <c r="G638">
        <v>819</v>
      </c>
      <c r="H638">
        <v>890.22</v>
      </c>
      <c r="I638">
        <v>890.25</v>
      </c>
      <c r="J638">
        <v>-0.03</v>
      </c>
    </row>
    <row r="639" spans="1:10" x14ac:dyDescent="0.3">
      <c r="A639" t="str">
        <f>HYPERLINK("https://us2.cloudbeds.com/connect/10074733072513#/reservations/31729256640732?display=MXGC1YBVN&amp;reservation_id=31729256640732", "MXGC1YBVN")</f>
        <v>MXGC1YBVN</v>
      </c>
      <c r="B639" t="s">
        <v>10</v>
      </c>
      <c r="C639" t="s">
        <v>17</v>
      </c>
      <c r="D639" t="str">
        <f>HYPERLINK("https://us2.cloudbeds.com/connect/10074733072513#/reservations/31729256640732?display=Terri%20Walker&amp;reservation_id=31729256640732&amp;guest_id=31729256640729", "Terri Walker")</f>
        <v>Terri Walker</v>
      </c>
      <c r="E639" t="s">
        <v>9626</v>
      </c>
      <c r="F639" t="s">
        <v>9627</v>
      </c>
      <c r="G639">
        <v>751.5</v>
      </c>
      <c r="H639">
        <v>816.85</v>
      </c>
      <c r="I639">
        <v>816.88</v>
      </c>
      <c r="J639">
        <v>-0.03</v>
      </c>
    </row>
    <row r="640" spans="1:10" x14ac:dyDescent="0.3">
      <c r="A640" t="str">
        <f>HYPERLINK("https://us2.cloudbeds.com/connect/10074733072513#/reservations/31734914597099?display=MXKZKJB5V&amp;reservation_id=31734914597099", "MXKZKJB5V")</f>
        <v>MXKZKJB5V</v>
      </c>
      <c r="B640" t="s">
        <v>10</v>
      </c>
      <c r="C640" t="s">
        <v>17</v>
      </c>
      <c r="D640" t="str">
        <f>HYPERLINK("https://us2.cloudbeds.com/connect/10074733072513#/reservations/31734914597099?display=Joseph%20Klemaszewski&amp;reservation_id=31734914597099&amp;guest_id=31684946718922", "Joseph Klemaszewski")</f>
        <v>Joseph Klemaszewski</v>
      </c>
      <c r="E640" t="s">
        <v>9633</v>
      </c>
      <c r="F640" t="s">
        <v>9152</v>
      </c>
      <c r="G640">
        <v>679.5</v>
      </c>
      <c r="H640">
        <v>738.59</v>
      </c>
      <c r="I640">
        <v>738.62</v>
      </c>
      <c r="J640">
        <v>-0.03</v>
      </c>
    </row>
    <row r="641" spans="1:10" x14ac:dyDescent="0.3">
      <c r="A641" t="str">
        <f>HYPERLINK("https://us2.cloudbeds.com/connect/10074733072513#/reservations/31734299050239?display=MXK8THRNQ&amp;reservation_id=31734299050239", "MXK8THRNQ")</f>
        <v>MXK8THRNQ</v>
      </c>
      <c r="B641" t="s">
        <v>10</v>
      </c>
      <c r="C641" t="s">
        <v>42</v>
      </c>
      <c r="D641" t="str">
        <f>HYPERLINK("https://us2.cloudbeds.com/connect/10074733072513#/reservations/31734299050239?display=Alex%20Donnay&amp;reservation_id=31734299050239&amp;guest_id=31727930495114", "Alex Donnay")</f>
        <v>Alex Donnay</v>
      </c>
      <c r="E641" t="s">
        <v>9634</v>
      </c>
      <c r="F641" t="s">
        <v>9635</v>
      </c>
      <c r="G641">
        <v>645</v>
      </c>
      <c r="H641">
        <v>701.09</v>
      </c>
      <c r="I641">
        <v>701.12</v>
      </c>
      <c r="J641">
        <v>-0.03</v>
      </c>
    </row>
    <row r="642" spans="1:10" x14ac:dyDescent="0.3">
      <c r="A642" t="str">
        <f>HYPERLINK("https://us2.cloudbeds.com/connect/10074733072513#/reservations/31728748093571?display=MXFW1R9GM&amp;reservation_id=31728748093571", "MXFW1R9GM")</f>
        <v>MXFW1R9GM</v>
      </c>
      <c r="B642" t="s">
        <v>10</v>
      </c>
      <c r="C642" t="s">
        <v>11</v>
      </c>
      <c r="D642" t="str">
        <f>HYPERLINK("https://us2.cloudbeds.com/connect/10074733072513#/reservations/31728748093571?display=Christine%20Kuchac&amp;reservation_id=31728748093571&amp;guest_id=31728748089535", "Christine Kuchac")</f>
        <v>Christine Kuchac</v>
      </c>
      <c r="E642" t="s">
        <v>9637</v>
      </c>
      <c r="F642" t="s">
        <v>9638</v>
      </c>
      <c r="G642">
        <v>1226.7</v>
      </c>
      <c r="H642">
        <v>1333.39</v>
      </c>
      <c r="I642">
        <v>1333.42</v>
      </c>
      <c r="J642">
        <v>-0.03</v>
      </c>
    </row>
    <row r="643" spans="1:10" x14ac:dyDescent="0.3">
      <c r="A643" t="str">
        <f>HYPERLINK("https://us2.cloudbeds.com/connect/10074733072513#/reservations/31727847022755?display=MXF910YUE&amp;reservation_id=31727847022755", "MXF910YUE")</f>
        <v>MXF910YUE</v>
      </c>
      <c r="B643" t="s">
        <v>10</v>
      </c>
      <c r="C643" t="s">
        <v>17</v>
      </c>
      <c r="D643" t="str">
        <f>HYPERLINK("https://us2.cloudbeds.com/connect/10074733072513#/reservations/31727847022755?display=John%20Maggi&amp;reservation_id=31727847022755&amp;guest_id=31718800527489", "John Maggi")</f>
        <v>John Maggi</v>
      </c>
      <c r="E643" t="s">
        <v>9656</v>
      </c>
      <c r="F643" t="s">
        <v>9657</v>
      </c>
      <c r="G643">
        <v>745</v>
      </c>
      <c r="H643">
        <v>809.79</v>
      </c>
      <c r="I643">
        <v>809.82</v>
      </c>
      <c r="J643">
        <v>-0.03</v>
      </c>
    </row>
    <row r="644" spans="1:10" x14ac:dyDescent="0.3">
      <c r="A644" t="str">
        <f>HYPERLINK("https://us2.cloudbeds.com/connect/10074733072513#/reservations/31730041172176?display=MXGW363GR&amp;reservation_id=31730041172176", "MXGW363GR")</f>
        <v>MXGW363GR</v>
      </c>
      <c r="B644" t="s">
        <v>10</v>
      </c>
      <c r="C644" t="s">
        <v>17</v>
      </c>
      <c r="D644" t="str">
        <f>HYPERLINK("https://us2.cloudbeds.com/connect/10074733072513#/reservations/31730041172176?display=Paul%20Moore&amp;reservation_id=31730041172176&amp;guest_id=31730041172171", "Paul Moore")</f>
        <v>Paul Moore</v>
      </c>
      <c r="E644" t="s">
        <v>9711</v>
      </c>
      <c r="F644" t="s">
        <v>9247</v>
      </c>
      <c r="G644">
        <v>516</v>
      </c>
      <c r="H644">
        <v>560.86</v>
      </c>
      <c r="I644">
        <v>560.89</v>
      </c>
      <c r="J644">
        <v>-0.03</v>
      </c>
    </row>
    <row r="645" spans="1:10" x14ac:dyDescent="0.3">
      <c r="A645" t="str">
        <f>HYPERLINK("https://us2.cloudbeds.com/connect/10074733072513#/reservations/31728512872597?display=MXFQ1FU9C&amp;reservation_id=31728512872597", "MXFQ1FU9C")</f>
        <v>MXFQ1FU9C</v>
      </c>
      <c r="B645" t="s">
        <v>10</v>
      </c>
      <c r="C645" t="s">
        <v>42</v>
      </c>
      <c r="D645" t="str">
        <f>HYPERLINK("https://us2.cloudbeds.com/connect/10074733072513#/reservations/31728512872597?display=Patrick%20Harty&amp;reservation_id=31728512872597&amp;guest_id=31728512872592", "Patrick Harty")</f>
        <v>Patrick Harty</v>
      </c>
      <c r="E645" t="s">
        <v>9734</v>
      </c>
      <c r="F645" t="s">
        <v>8443</v>
      </c>
      <c r="G645">
        <v>776</v>
      </c>
      <c r="H645">
        <v>843.48</v>
      </c>
      <c r="I645">
        <v>843.51</v>
      </c>
      <c r="J645">
        <v>-0.03</v>
      </c>
    </row>
    <row r="646" spans="1:10" x14ac:dyDescent="0.3">
      <c r="A646" t="str">
        <f>HYPERLINK("https://us2.cloudbeds.com/connect/10074733072513#/reservations/31714020003977?display=MX4XNNFWD&amp;reservation_id=31714020003977", "MX4XNNFWD")</f>
        <v>MX4XNNFWD</v>
      </c>
      <c r="B646" t="s">
        <v>10</v>
      </c>
      <c r="C646" t="s">
        <v>42</v>
      </c>
      <c r="D646" t="str">
        <f>HYPERLINK("https://us2.cloudbeds.com/connect/10074733072513#/reservations/31714020003977?display=Tyler%20Hockett&amp;reservation_id=31714020003977&amp;guest_id=31713968144587", "Tyler Hockett")</f>
        <v>Tyler Hockett</v>
      </c>
      <c r="E646" t="s">
        <v>9757</v>
      </c>
      <c r="F646" t="s">
        <v>9758</v>
      </c>
      <c r="G646">
        <v>636</v>
      </c>
      <c r="H646">
        <v>691.3</v>
      </c>
      <c r="I646">
        <v>691.33</v>
      </c>
      <c r="J646">
        <v>-0.03</v>
      </c>
    </row>
    <row r="647" spans="1:10" x14ac:dyDescent="0.3">
      <c r="A647" t="str">
        <f>HYPERLINK("https://us2.cloudbeds.com/connect/10074733072513#/reservations/31735390494871?display=MXY3PSTXD&amp;reservation_id=31735390494871", "MXY3PSTXD")</f>
        <v>MXY3PSTXD</v>
      </c>
      <c r="B647" t="s">
        <v>10</v>
      </c>
      <c r="C647" t="s">
        <v>42</v>
      </c>
      <c r="D647" t="str">
        <f>HYPERLINK("https://us2.cloudbeds.com/connect/10074733072513#/reservations/31735390494871?display=Dario%20Barron&amp;reservation_id=31735390494871&amp;guest_id=31735371657407", "Dario Barron")</f>
        <v>Dario Barron</v>
      </c>
      <c r="E647" t="s">
        <v>9759</v>
      </c>
      <c r="F647" t="s">
        <v>9287</v>
      </c>
      <c r="G647">
        <v>219</v>
      </c>
      <c r="H647">
        <v>238.02</v>
      </c>
      <c r="I647">
        <v>238.05</v>
      </c>
      <c r="J647">
        <v>-0.03</v>
      </c>
    </row>
    <row r="648" spans="1:10" x14ac:dyDescent="0.3">
      <c r="A648" t="str">
        <f>HYPERLINK("https://us2.cloudbeds.com/connect/10074733072513#/reservations/31727847018646?display=MXF910X4U&amp;reservation_id=31727847018646", "MXF910X4U")</f>
        <v>MXF910X4U</v>
      </c>
      <c r="B648" t="s">
        <v>10</v>
      </c>
      <c r="C648" t="s">
        <v>42</v>
      </c>
      <c r="D648" t="str">
        <f>HYPERLINK("https://us2.cloudbeds.com/connect/10074733072513#/reservations/31727847018646?display=Trent%20Herman&amp;reservation_id=31727847018646&amp;guest_id=31725797032099", "Trent Herman")</f>
        <v>Trent Herman</v>
      </c>
      <c r="E648" t="s">
        <v>6636</v>
      </c>
      <c r="F648" t="s">
        <v>9617</v>
      </c>
      <c r="G648">
        <v>356</v>
      </c>
      <c r="H648">
        <v>386.94</v>
      </c>
      <c r="I648">
        <v>386.97</v>
      </c>
      <c r="J648">
        <v>-0.03</v>
      </c>
    </row>
    <row r="649" spans="1:10" x14ac:dyDescent="0.3">
      <c r="A649" t="str">
        <f>HYPERLINK("https://us2.cloudbeds.com/connect/10074733072513#/reservations/31735419936994?display=MXY4HN5G3&amp;reservation_id=31735419936994", "MXY4HN5G3")</f>
        <v>MXY4HN5G3</v>
      </c>
      <c r="B649" t="s">
        <v>10</v>
      </c>
      <c r="C649" t="s">
        <v>42</v>
      </c>
      <c r="D649" t="str">
        <f>HYPERLINK("https://us2.cloudbeds.com/connect/10074733072513#/reservations/31735419936994?display=Austin%20Bretsch&amp;reservation_id=31735419936994&amp;guest_id=31735419932882", "Austin Bretsch")</f>
        <v>Austin Bretsch</v>
      </c>
      <c r="E649" t="s">
        <v>2818</v>
      </c>
      <c r="F649" t="s">
        <v>9287</v>
      </c>
      <c r="G649">
        <v>219</v>
      </c>
      <c r="H649">
        <v>238.02</v>
      </c>
      <c r="I649">
        <v>238.05</v>
      </c>
      <c r="J649">
        <v>-0.03</v>
      </c>
    </row>
    <row r="650" spans="1:10" x14ac:dyDescent="0.3">
      <c r="A650" t="str">
        <f>HYPERLINK("https://us2.cloudbeds.com/connect/10074733072513#/reservations/31713979449581?display=MX4HMGWV8&amp;reservation_id=31713979449581", "MX4HMGWV8")</f>
        <v>MX4HMGWV8</v>
      </c>
      <c r="B650" t="s">
        <v>10</v>
      </c>
      <c r="C650" t="s">
        <v>42</v>
      </c>
      <c r="D650" t="str">
        <f>HYPERLINK("https://us2.cloudbeds.com/connect/10074733072513#/reservations/31713979449581?display=Tyler%20Hockett&amp;reservation_id=31713979449581&amp;guest_id=31713968144587", "Tyler Hockett")</f>
        <v>Tyler Hockett</v>
      </c>
      <c r="E650" t="s">
        <v>9757</v>
      </c>
      <c r="F650" t="s">
        <v>9758</v>
      </c>
      <c r="G650">
        <v>636</v>
      </c>
      <c r="H650">
        <v>691.3</v>
      </c>
      <c r="I650">
        <v>691.33</v>
      </c>
      <c r="J650">
        <v>-0.03</v>
      </c>
    </row>
    <row r="651" spans="1:10" x14ac:dyDescent="0.3">
      <c r="A651" t="str">
        <f>HYPERLINK("https://us2.cloudbeds.com/connect/10074733072513#/reservations/31732207329486?display=MXXYEZKM9&amp;reservation_id=31732207329486", "MXXYEZKM9")</f>
        <v>MXXYEZKM9</v>
      </c>
      <c r="B651" t="s">
        <v>10</v>
      </c>
      <c r="C651" t="s">
        <v>42</v>
      </c>
      <c r="D651" t="str">
        <f>HYPERLINK("https://us2.cloudbeds.com/connect/10074733072513#/reservations/31732207329486?display=Dillon%20Swanson&amp;reservation_id=31732207329486&amp;guest_id=31732207325392", "Dillon Swanson")</f>
        <v>Dillon Swanson</v>
      </c>
      <c r="E651" t="s">
        <v>9795</v>
      </c>
      <c r="F651" t="s">
        <v>8596</v>
      </c>
      <c r="G651">
        <v>896</v>
      </c>
      <c r="H651">
        <v>973.92</v>
      </c>
      <c r="I651">
        <v>973.95</v>
      </c>
      <c r="J651">
        <v>-0.03</v>
      </c>
    </row>
    <row r="652" spans="1:10" x14ac:dyDescent="0.3">
      <c r="A652" t="str">
        <f>HYPERLINK("https://us2.cloudbeds.com/connect/10074733072513#/reservations/31731274522843?display=MXHUK5TUF&amp;reservation_id=31731274522843", "MXHUK5TUF")</f>
        <v>MXHUK5TUF</v>
      </c>
      <c r="B652" t="s">
        <v>10</v>
      </c>
      <c r="C652" t="s">
        <v>42</v>
      </c>
      <c r="D652" t="str">
        <f>HYPERLINK("https://us2.cloudbeds.com/connect/10074733072513#/reservations/31731274522843?display=Jeff%20Jenkins&amp;reservation_id=31731274522843&amp;guest_id=31731264004286", "Jeff Jenkins")</f>
        <v>Jeff Jenkins</v>
      </c>
      <c r="E652" t="s">
        <v>8015</v>
      </c>
      <c r="F652" t="s">
        <v>8992</v>
      </c>
      <c r="G652">
        <v>695</v>
      </c>
      <c r="H652">
        <v>755.44</v>
      </c>
      <c r="I652">
        <v>755.47</v>
      </c>
      <c r="J652">
        <v>-0.03</v>
      </c>
    </row>
    <row r="653" spans="1:10" x14ac:dyDescent="0.3">
      <c r="A653" t="str">
        <f>HYPERLINK("https://us2.cloudbeds.com/connect/10074733072513#/reservations/31730775023751?display=MXHHRWK2B&amp;reservation_id=31730775023751", "MXHHRWK2B")</f>
        <v>MXHHRWK2B</v>
      </c>
      <c r="B653" t="s">
        <v>10</v>
      </c>
      <c r="C653" t="s">
        <v>42</v>
      </c>
      <c r="D653" t="str">
        <f>HYPERLINK("https://us2.cloudbeds.com/connect/10074733072513#/reservations/31730775023751?display=Lennett%20Knigge&amp;reservation_id=31730775023751&amp;guest_id=31729926303984", "Lennett Knigge")</f>
        <v>Lennett Knigge</v>
      </c>
      <c r="E653" t="s">
        <v>9821</v>
      </c>
      <c r="F653" t="s">
        <v>8918</v>
      </c>
      <c r="G653">
        <v>676</v>
      </c>
      <c r="H653">
        <v>734.78</v>
      </c>
      <c r="I653">
        <v>734.81</v>
      </c>
      <c r="J653">
        <v>-0.03</v>
      </c>
    </row>
    <row r="654" spans="1:10" x14ac:dyDescent="0.3">
      <c r="A654" t="str">
        <f>HYPERLINK("https://us2.cloudbeds.com/connect/10074733072513#/reservations/31732626542748?display=MXXW57S5K&amp;reservation_id=31732626542748", "MXXW57S5K")</f>
        <v>MXXW57S5K</v>
      </c>
      <c r="B654" t="s">
        <v>10</v>
      </c>
      <c r="C654" t="s">
        <v>42</v>
      </c>
      <c r="D654" t="str">
        <f>HYPERLINK("https://us2.cloudbeds.com/connect/10074733072513#/reservations/31732626542748?display=Blayne%20Stenersen&amp;reservation_id=31732626542748&amp;guest_id=31731279052988", "Blayne Stenersen")</f>
        <v>Blayne Stenersen</v>
      </c>
      <c r="E654" t="s">
        <v>9618</v>
      </c>
      <c r="F654" t="s">
        <v>9822</v>
      </c>
      <c r="G654">
        <v>671.4</v>
      </c>
      <c r="H654">
        <v>729.78</v>
      </c>
      <c r="I654">
        <v>729.81</v>
      </c>
      <c r="J654">
        <v>-0.03</v>
      </c>
    </row>
    <row r="655" spans="1:10" x14ac:dyDescent="0.3">
      <c r="A655" t="str">
        <f>HYPERLINK("https://us2.cloudbeds.com/connect/10074733072513#/reservations/31734540550340?display=MXKF25UTM&amp;reservation_id=31734540550340", "MXKF25UTM")</f>
        <v>MXKF25UTM</v>
      </c>
      <c r="B655" t="s">
        <v>10</v>
      </c>
      <c r="C655" t="s">
        <v>23</v>
      </c>
      <c r="D655" t="str">
        <f>HYPERLINK("https://us2.cloudbeds.com/connect/10074733072513#/reservations/31734540550340?display=Aimee%20Parsons&amp;reservation_id=31734540550340&amp;guest_id=31734540546259", "Aimee Parsons")</f>
        <v>Aimee Parsons</v>
      </c>
      <c r="E655" t="s">
        <v>9908</v>
      </c>
      <c r="F655" t="s">
        <v>9660</v>
      </c>
      <c r="G655">
        <v>556</v>
      </c>
      <c r="H655">
        <v>604.34</v>
      </c>
      <c r="I655">
        <v>604.37</v>
      </c>
      <c r="J655">
        <v>-0.03</v>
      </c>
    </row>
    <row r="656" spans="1:10" x14ac:dyDescent="0.3">
      <c r="A656" t="str">
        <f>HYPERLINK("https://us2.cloudbeds.com/connect/10074733072513#/reservations/31733881159815?display=MXJV75DVK&amp;reservation_id=31733881159815", "MXJV75DVK")</f>
        <v>MXJV75DVK</v>
      </c>
      <c r="B656" t="s">
        <v>10</v>
      </c>
      <c r="C656" t="s">
        <v>17</v>
      </c>
      <c r="D656" t="str">
        <f>HYPERLINK("https://us2.cloudbeds.com/connect/10074733072513#/reservations/31733881159815?display=Paul%20Moore&amp;reservation_id=31733881159815&amp;guest_id=31725793640663", "Paul Moore")</f>
        <v>Paul Moore</v>
      </c>
      <c r="E656" t="s">
        <v>9711</v>
      </c>
      <c r="F656" t="s">
        <v>9489</v>
      </c>
      <c r="G656">
        <v>516</v>
      </c>
      <c r="H656">
        <v>560.86</v>
      </c>
      <c r="I656">
        <v>560.89</v>
      </c>
      <c r="J656">
        <v>-0.03</v>
      </c>
    </row>
    <row r="657" spans="1:10" x14ac:dyDescent="0.3">
      <c r="A657" t="str">
        <f>HYPERLINK("https://us2.cloudbeds.com/connect/10074733072513#/reservations/31721205121180?display=MXA4ACVZZ&amp;reservation_id=31721205121180", "MXA4ACVZZ")</f>
        <v>MXA4ACVZZ</v>
      </c>
      <c r="B657" t="s">
        <v>10</v>
      </c>
      <c r="C657" t="s">
        <v>42</v>
      </c>
      <c r="D657" t="str">
        <f>HYPERLINK("https://us2.cloudbeds.com/connect/10074733072513#/reservations/31721205121180?display=Robert%20Jacobson&amp;reservation_id=31721205121180&amp;guest_id=31721205117084", "Robert Jacobson")</f>
        <v>Robert Jacobson</v>
      </c>
      <c r="E657" t="s">
        <v>9932</v>
      </c>
      <c r="F657" t="s">
        <v>9931</v>
      </c>
      <c r="G657">
        <v>676</v>
      </c>
      <c r="H657">
        <v>734.78</v>
      </c>
      <c r="I657">
        <v>734.81</v>
      </c>
      <c r="J657">
        <v>-0.03</v>
      </c>
    </row>
    <row r="658" spans="1:10" x14ac:dyDescent="0.3">
      <c r="A658" t="str">
        <f>HYPERLINK("https://us2.cloudbeds.com/connect/10074733072513#/reservations/31731323199687?display=MXHVS7DJB&amp;reservation_id=31731323199687", "MXHVS7DJB")</f>
        <v>MXHVS7DJB</v>
      </c>
      <c r="B658" t="s">
        <v>10</v>
      </c>
      <c r="C658" t="s">
        <v>42</v>
      </c>
      <c r="D658" t="str">
        <f>HYPERLINK("https://us2.cloudbeds.com/connect/10074733072513#/reservations/31731323199687?display=Ronald%20Ness&amp;reservation_id=31731323199687&amp;guest_id=30660836995269", "Ronald Ness")</f>
        <v>Ronald Ness</v>
      </c>
      <c r="E658" t="s">
        <v>9964</v>
      </c>
      <c r="F658" t="s">
        <v>9817</v>
      </c>
      <c r="G658">
        <v>676</v>
      </c>
      <c r="H658">
        <v>734.78</v>
      </c>
      <c r="I658">
        <v>734.81</v>
      </c>
      <c r="J658">
        <v>-0.03</v>
      </c>
    </row>
    <row r="659" spans="1:10" x14ac:dyDescent="0.3">
      <c r="A659" t="str">
        <f>HYPERLINK("https://us2.cloudbeds.com/connect/10074733072513#/reservations/31729842516193?display=MXGR0M6VH&amp;reservation_id=31729842516193", "MXGR0M6VH")</f>
        <v>MXGR0M6VH</v>
      </c>
      <c r="B659" t="s">
        <v>10</v>
      </c>
      <c r="C659" t="s">
        <v>42</v>
      </c>
      <c r="D659" t="str">
        <f>HYPERLINK("https://us2.cloudbeds.com/connect/10074733072513#/reservations/31729842516193?display=Estaban%20Martinez-Vvalazquez&amp;reservation_id=31729842516193&amp;guest_id=31729828782225", "Estaban Martinez-Vvalazquez")</f>
        <v>Estaban Martinez-Vvalazquez</v>
      </c>
      <c r="E659" t="s">
        <v>10086</v>
      </c>
      <c r="F659" t="s">
        <v>9489</v>
      </c>
      <c r="G659">
        <v>516</v>
      </c>
      <c r="H659">
        <v>560.86</v>
      </c>
      <c r="I659">
        <v>560.89</v>
      </c>
      <c r="J659">
        <v>-0.03</v>
      </c>
    </row>
    <row r="660" spans="1:10" x14ac:dyDescent="0.3">
      <c r="A660" t="str">
        <f>HYPERLINK("https://us2.cloudbeds.com/connect/10074733072513#/reservations/31724135678137?display=MXCD6H0W0&amp;reservation_id=31724135678137", "MXCD6H0W0")</f>
        <v>MXCD6H0W0</v>
      </c>
      <c r="B660" t="s">
        <v>10</v>
      </c>
      <c r="C660" t="s">
        <v>20</v>
      </c>
      <c r="D660" t="str">
        <f>HYPERLINK("https://us2.cloudbeds.com/connect/10074733072513#/reservations/31724135678137?display=Ruby%20Canoy&amp;reservation_id=31724135678137&amp;guest_id=31724135678132", "Ruby Canoy")</f>
        <v>Ruby Canoy</v>
      </c>
      <c r="E660" t="s">
        <v>10109</v>
      </c>
      <c r="F660" t="s">
        <v>9581</v>
      </c>
      <c r="G660">
        <v>536.4</v>
      </c>
      <c r="H660">
        <v>583.04</v>
      </c>
      <c r="I660">
        <v>583.07000000000005</v>
      </c>
      <c r="J660">
        <v>-0.03</v>
      </c>
    </row>
    <row r="661" spans="1:10" x14ac:dyDescent="0.3">
      <c r="A661" t="str">
        <f>HYPERLINK("https://us2.cloudbeds.com/connect/10074733072513#/reservations/31729853313277?display=MXGR9PYKU&amp;reservation_id=31729853313277", "MXGR9PYKU")</f>
        <v>MXGR9PYKU</v>
      </c>
      <c r="B661" t="s">
        <v>10</v>
      </c>
      <c r="C661" t="s">
        <v>42</v>
      </c>
      <c r="D661" t="str">
        <f>HYPERLINK("https://us2.cloudbeds.com/connect/10074733072513#/reservations/31729853313277?display=Tatum%20Tebay&amp;reservation_id=31729853313277&amp;guest_id=31729845563618", "Tatum Tebay")</f>
        <v>Tatum Tebay</v>
      </c>
      <c r="E661" t="s">
        <v>10115</v>
      </c>
      <c r="F661" t="s">
        <v>8918</v>
      </c>
      <c r="G661">
        <v>776</v>
      </c>
      <c r="H661">
        <v>843.48</v>
      </c>
      <c r="I661">
        <v>843.51</v>
      </c>
      <c r="J661">
        <v>-0.03</v>
      </c>
    </row>
    <row r="662" spans="1:10" x14ac:dyDescent="0.3">
      <c r="A662" t="str">
        <f>HYPERLINK("https://us2.cloudbeds.com/connect/10074733072513#/reservations/31728661971161?display=MXFTS6QXM&amp;reservation_id=31728661971161", "MXFTS6QXM")</f>
        <v>MXFTS6QXM</v>
      </c>
      <c r="B662" t="s">
        <v>10</v>
      </c>
      <c r="C662" t="s">
        <v>42</v>
      </c>
      <c r="D662" t="str">
        <f>HYPERLINK("https://us2.cloudbeds.com/connect/10074733072513#/reservations/31728661971161?display=Todd%20Gary&amp;reservation_id=31728661971161&amp;guest_id=31728661971159", "Todd Gary")</f>
        <v>Todd Gary</v>
      </c>
      <c r="E662" t="s">
        <v>8810</v>
      </c>
      <c r="F662" t="s">
        <v>10114</v>
      </c>
      <c r="G662">
        <v>356</v>
      </c>
      <c r="H662">
        <v>386.94</v>
      </c>
      <c r="I662">
        <v>386.97</v>
      </c>
      <c r="J662">
        <v>-0.03</v>
      </c>
    </row>
    <row r="663" spans="1:10" x14ac:dyDescent="0.3">
      <c r="A663" t="str">
        <f>HYPERLINK("https://us2.cloudbeds.com/connect/10074733072513#/reservations/31728792428694?display=MXG066W98&amp;reservation_id=31728792428694", "MXG066W98")</f>
        <v>MXG066W98</v>
      </c>
      <c r="B663" t="s">
        <v>10</v>
      </c>
      <c r="C663" t="s">
        <v>42</v>
      </c>
      <c r="D663" t="str">
        <f>HYPERLINK("https://us2.cloudbeds.com/connect/10074733072513#/reservations/31728792428694?display=Janet%20Trefren&amp;reservation_id=31728792428694&amp;guest_id=31728792428690", "Janet Trefren")</f>
        <v>Janet Trefren</v>
      </c>
      <c r="E663" t="s">
        <v>10138</v>
      </c>
      <c r="F663" t="s">
        <v>9056</v>
      </c>
      <c r="G663">
        <v>510.3</v>
      </c>
      <c r="H663">
        <v>554.66999999999996</v>
      </c>
      <c r="I663">
        <v>554.70000000000005</v>
      </c>
      <c r="J663">
        <v>-0.03</v>
      </c>
    </row>
    <row r="664" spans="1:10" x14ac:dyDescent="0.3">
      <c r="A664" t="str">
        <f>HYPERLINK("https://us2.cloudbeds.com/connect/10074733072513#/reservations/31728246857863?display=MXFJ85YVR&amp;reservation_id=31728246857863", "MXFJ85YVR")</f>
        <v>MXFJ85YVR</v>
      </c>
      <c r="B664" t="s">
        <v>10</v>
      </c>
      <c r="C664" t="s">
        <v>14</v>
      </c>
      <c r="D664" t="str">
        <f>HYPERLINK("https://us2.cloudbeds.com/connect/10074733072513#/reservations/31728246857863?display=Heather%20Roades&amp;reservation_id=31728246857863&amp;guest_id=31728246853771", "Heather Roades")</f>
        <v>Heather Roades</v>
      </c>
      <c r="E664" t="s">
        <v>10158</v>
      </c>
      <c r="F664" t="s">
        <v>9744</v>
      </c>
      <c r="G664">
        <v>608.84</v>
      </c>
      <c r="H664">
        <v>661.78</v>
      </c>
      <c r="I664">
        <v>661.81</v>
      </c>
      <c r="J664">
        <v>-0.03</v>
      </c>
    </row>
    <row r="665" spans="1:10" x14ac:dyDescent="0.3">
      <c r="A665" t="str">
        <f>HYPERLINK("https://us2.cloudbeds.com/connect/10074733072513#/reservations/31730875519123?display=MXHKDZ1AY&amp;reservation_id=31730875519123", "MXHKDZ1AY")</f>
        <v>MXHKDZ1AY</v>
      </c>
      <c r="B665" t="s">
        <v>10</v>
      </c>
      <c r="C665" t="s">
        <v>42</v>
      </c>
      <c r="D665" t="str">
        <f>HYPERLINK("https://us2.cloudbeds.com/connect/10074733072513#/reservations/31730875519123?display=Jeff%20Potts&amp;reservation_id=31730875519123&amp;guest_id=31686514208925", "Jeff Potts")</f>
        <v>Jeff Potts</v>
      </c>
      <c r="E665" t="s">
        <v>3400</v>
      </c>
      <c r="F665" t="s">
        <v>8511</v>
      </c>
      <c r="G665">
        <v>1344</v>
      </c>
      <c r="H665">
        <v>1460.9</v>
      </c>
      <c r="I665">
        <v>1460.93</v>
      </c>
      <c r="J665">
        <v>-0.03</v>
      </c>
    </row>
    <row r="666" spans="1:10" x14ac:dyDescent="0.3">
      <c r="A666" t="str">
        <f>HYPERLINK("https://us2.cloudbeds.com/connect/10074733072513#/reservations/31723214639327?display=MXBMYSPA1&amp;reservation_id=31723214639327", "MXBMYSPA1")</f>
        <v>MXBMYSPA1</v>
      </c>
      <c r="B666" t="s">
        <v>10</v>
      </c>
      <c r="C666" t="s">
        <v>42</v>
      </c>
      <c r="D666" t="str">
        <f>HYPERLINK("https://us2.cloudbeds.com/connect/10074733072513#/reservations/31723214639327?display=Jill%20Renken&amp;reservation_id=31723214639327&amp;guest_id=17963688308984", "Jill Renken")</f>
        <v>Jill Renken</v>
      </c>
      <c r="E666" t="s">
        <v>10212</v>
      </c>
      <c r="F666" t="s">
        <v>9463</v>
      </c>
      <c r="G666">
        <v>596</v>
      </c>
      <c r="H666">
        <v>647.82000000000005</v>
      </c>
      <c r="I666">
        <v>647.85</v>
      </c>
      <c r="J666">
        <v>-0.03</v>
      </c>
    </row>
    <row r="667" spans="1:10" x14ac:dyDescent="0.3">
      <c r="A667" t="str">
        <f>HYPERLINK("https://us2.cloudbeds.com/connect/10074733072513#/reservations/31727782350978?display=MXF7CG2HK&amp;reservation_id=31727782350978", "MXF7CG2HK")</f>
        <v>MXF7CG2HK</v>
      </c>
      <c r="B667" t="s">
        <v>10</v>
      </c>
      <c r="C667" t="s">
        <v>42</v>
      </c>
      <c r="D667" t="str">
        <f>HYPERLINK("https://us2.cloudbeds.com/connect/10074733072513#/reservations/31727782350978?display=Michelle%20Delaney&amp;reservation_id=31727782350978&amp;guest_id=31727757475984", "Michelle Delaney")</f>
        <v>Michelle Delaney</v>
      </c>
      <c r="E667" t="s">
        <v>10259</v>
      </c>
      <c r="F667" t="s">
        <v>8544</v>
      </c>
      <c r="G667">
        <v>636</v>
      </c>
      <c r="H667">
        <v>691.3</v>
      </c>
      <c r="I667">
        <v>691.33</v>
      </c>
      <c r="J667">
        <v>-0.03</v>
      </c>
    </row>
    <row r="668" spans="1:10" x14ac:dyDescent="0.3">
      <c r="A668" t="str">
        <f>HYPERLINK("https://us2.cloudbeds.com/connect/10074733072513#/reservations/31728883970268?display=MXG2HD8GB&amp;reservation_id=31728883970268", "MXG2HD8GB")</f>
        <v>MXG2HD8GB</v>
      </c>
      <c r="B668" t="s">
        <v>10</v>
      </c>
      <c r="C668" t="s">
        <v>42</v>
      </c>
      <c r="D668" t="str">
        <f>HYPERLINK("https://us2.cloudbeds.com/connect/10074733072513#/reservations/31728883970268?display=Rochelle%20Tanner&amp;reservation_id=31728883970268&amp;guest_id=31719479648405", "Rochelle Tanner")</f>
        <v>Rochelle Tanner</v>
      </c>
      <c r="E668" t="s">
        <v>5130</v>
      </c>
      <c r="F668" t="s">
        <v>9930</v>
      </c>
      <c r="G668">
        <v>556</v>
      </c>
      <c r="H668">
        <v>604.34</v>
      </c>
      <c r="I668">
        <v>604.37</v>
      </c>
      <c r="J668">
        <v>-0.03</v>
      </c>
    </row>
    <row r="669" spans="1:10" x14ac:dyDescent="0.3">
      <c r="A669" t="str">
        <f>HYPERLINK("https://us2.cloudbeds.com/connect/10074733072513#/reservations/31730222944396?display=MXH3ZF64U&amp;reservation_id=31730222944396", "MXH3ZF64U")</f>
        <v>MXH3ZF64U</v>
      </c>
      <c r="B669" t="s">
        <v>10</v>
      </c>
      <c r="C669" t="s">
        <v>14</v>
      </c>
      <c r="D669" t="str">
        <f>HYPERLINK("https://us2.cloudbeds.com/connect/10074733072513#/reservations/31730222944396?display=Casey%20Cooper&amp;reservation_id=31730222944396&amp;guest_id=31730215420082", "Casey Cooper")</f>
        <v>Casey Cooper</v>
      </c>
      <c r="E669" t="s">
        <v>10298</v>
      </c>
      <c r="F669" t="s">
        <v>10299</v>
      </c>
      <c r="G669">
        <v>689.28</v>
      </c>
      <c r="H669">
        <v>749.22</v>
      </c>
      <c r="I669">
        <v>749.25</v>
      </c>
      <c r="J669">
        <v>-0.03</v>
      </c>
    </row>
    <row r="670" spans="1:10" x14ac:dyDescent="0.3">
      <c r="A670" t="str">
        <f>HYPERLINK("https://us2.cloudbeds.com/connect/10074733072513#/reservations/31728939933848?display=MXG3VJHCD&amp;reservation_id=31728939933848", "MXG3VJHCD")</f>
        <v>MXG3VJHCD</v>
      </c>
      <c r="B670" t="s">
        <v>10</v>
      </c>
      <c r="C670" t="s">
        <v>42</v>
      </c>
      <c r="D670" t="str">
        <f>HYPERLINK("https://us2.cloudbeds.com/connect/10074733072513#/reservations/31728939933848?display=Chad%20Hauck&amp;reservation_id=31728939933848&amp;guest_id=17963360571554", "Chad Hauck")</f>
        <v>Chad Hauck</v>
      </c>
      <c r="E670" t="s">
        <v>9431</v>
      </c>
      <c r="F670" t="s">
        <v>10214</v>
      </c>
      <c r="G670">
        <v>219</v>
      </c>
      <c r="H670">
        <v>238.02</v>
      </c>
      <c r="I670">
        <v>238.05</v>
      </c>
      <c r="J670">
        <v>-0.03</v>
      </c>
    </row>
    <row r="671" spans="1:10" x14ac:dyDescent="0.3">
      <c r="A671" t="str">
        <f>HYPERLINK("https://us2.cloudbeds.com/connect/10074733072513#/reservations/31727624700033?display=MXF3BX6R8&amp;reservation_id=31727624700033", "MXF3BX6R8")</f>
        <v>MXF3BX6R8</v>
      </c>
      <c r="B671" t="s">
        <v>10</v>
      </c>
      <c r="C671" t="s">
        <v>42</v>
      </c>
      <c r="D671" t="str">
        <f>HYPERLINK("https://us2.cloudbeds.com/connect/10074733072513#/reservations/31727624700033?display=Franken%20Customs&amp;reservation_id=31727624700033&amp;guest_id=31727593492676", "Franken Customs")</f>
        <v>Franken Customs</v>
      </c>
      <c r="E671" t="s">
        <v>10351</v>
      </c>
      <c r="F671" t="s">
        <v>9627</v>
      </c>
      <c r="G671">
        <v>476</v>
      </c>
      <c r="H671">
        <v>517.38</v>
      </c>
      <c r="I671">
        <v>517.41</v>
      </c>
      <c r="J671">
        <v>-0.03</v>
      </c>
    </row>
    <row r="672" spans="1:10" x14ac:dyDescent="0.3">
      <c r="A672" t="str">
        <f>HYPERLINK("https://us2.cloudbeds.com/connect/10074733072513#/reservations/31724055048415?display=MXCB4HCR3&amp;reservation_id=31724055048415", "MXCB4HCR3")</f>
        <v>MXCB4HCR3</v>
      </c>
      <c r="B672" t="s">
        <v>10</v>
      </c>
      <c r="C672" t="s">
        <v>42</v>
      </c>
      <c r="D672" t="str">
        <f>HYPERLINK("https://us2.cloudbeds.com/connect/10074733072513#/reservations/31724055048415?display=Michael%20Ryan&amp;reservation_id=31724055048415&amp;guest_id=31692663718092", "Michael Ryan")</f>
        <v>Michael Ryan</v>
      </c>
      <c r="E672" t="s">
        <v>10358</v>
      </c>
      <c r="F672" t="s">
        <v>9581</v>
      </c>
      <c r="G672">
        <v>420.3</v>
      </c>
      <c r="H672">
        <v>456.84</v>
      </c>
      <c r="I672">
        <v>456.87</v>
      </c>
      <c r="J672">
        <v>-0.03</v>
      </c>
    </row>
    <row r="673" spans="1:10" x14ac:dyDescent="0.3">
      <c r="A673" t="str">
        <f>HYPERLINK("https://us2.cloudbeds.com/connect/10074733072513#/reservations/31733181968628?display=MXJDBJD3T&amp;reservation_id=31733181968628", "MXJDBJD3T")</f>
        <v>MXJDBJD3T</v>
      </c>
      <c r="B673" t="s">
        <v>10</v>
      </c>
      <c r="C673" t="s">
        <v>14</v>
      </c>
      <c r="D673" t="str">
        <f>HYPERLINK("https://us2.cloudbeds.com/connect/10074733072513#/reservations/31733181968628?display=Casey%20Cooper&amp;reservation_id=31733181968628&amp;guest_id=31733181968613", "Casey Cooper")</f>
        <v>Casey Cooper</v>
      </c>
      <c r="E673" t="s">
        <v>10359</v>
      </c>
      <c r="F673" t="s">
        <v>9983</v>
      </c>
      <c r="G673">
        <v>358.66</v>
      </c>
      <c r="H673">
        <v>389.83</v>
      </c>
      <c r="I673">
        <v>389.86</v>
      </c>
      <c r="J673">
        <v>-0.03</v>
      </c>
    </row>
    <row r="674" spans="1:10" x14ac:dyDescent="0.3">
      <c r="A674" t="str">
        <f>HYPERLINK("https://us2.cloudbeds.com/connect/10074733072513#/reservations/31728124891325?display=MXFG4APA4&amp;reservation_id=31728124891325", "MXFG4APA4")</f>
        <v>MXFG4APA4</v>
      </c>
      <c r="B674" t="s">
        <v>10</v>
      </c>
      <c r="C674" t="s">
        <v>14</v>
      </c>
      <c r="D674" t="str">
        <f>HYPERLINK("https://us2.cloudbeds.com/connect/10074733072513#/reservations/31728124891325?display=Casey%20Cooper&amp;reservation_id=31728124891325&amp;guest_id=31728124891264", "Casey Cooper")</f>
        <v>Casey Cooper</v>
      </c>
      <c r="E674" t="s">
        <v>10424</v>
      </c>
      <c r="F674" t="s">
        <v>9581</v>
      </c>
      <c r="G674">
        <v>388.92</v>
      </c>
      <c r="H674">
        <v>422.73</v>
      </c>
      <c r="I674">
        <v>422.76</v>
      </c>
      <c r="J674">
        <v>-0.03</v>
      </c>
    </row>
    <row r="675" spans="1:10" x14ac:dyDescent="0.3">
      <c r="A675" t="str">
        <f>HYPERLINK("https://us2.cloudbeds.com/connect/10074733072513#/reservations/31726053884128?display=MXDT6WUW9&amp;reservation_id=31726053884128", "MXDT6WUW9")</f>
        <v>MXDT6WUW9</v>
      </c>
      <c r="B675" t="s">
        <v>10</v>
      </c>
      <c r="C675" t="s">
        <v>20</v>
      </c>
      <c r="D675" t="str">
        <f>HYPERLINK("https://us2.cloudbeds.com/connect/10074733072513#/reservations/31726053884128?display=David%20Spring&amp;reservation_id=31726053884128&amp;guest_id=31726053880031", "David Spring")</f>
        <v>David Spring</v>
      </c>
      <c r="E675" t="s">
        <v>10426</v>
      </c>
      <c r="F675" t="s">
        <v>9056</v>
      </c>
      <c r="G675">
        <v>676</v>
      </c>
      <c r="H675">
        <v>734.78</v>
      </c>
      <c r="I675">
        <v>734.81</v>
      </c>
      <c r="J675">
        <v>-0.03</v>
      </c>
    </row>
    <row r="676" spans="1:10" x14ac:dyDescent="0.3">
      <c r="A676" t="str">
        <f>HYPERLINK("https://us2.cloudbeds.com/connect/10074733072513#/reservations/31731406303378?display=MXX0W9TH0&amp;reservation_id=31731406303378", "MXX0W9TH0")</f>
        <v>MXX0W9TH0</v>
      </c>
      <c r="B676" t="s">
        <v>10</v>
      </c>
      <c r="C676" t="s">
        <v>42</v>
      </c>
      <c r="D676" t="str">
        <f>HYPERLINK("https://us2.cloudbeds.com/connect/10074733072513#/reservations/31731406303378?display=Deann%20Motter&amp;reservation_id=31731406303378&amp;guest_id=31731406303376", "Deann Motter")</f>
        <v>Deann Motter</v>
      </c>
      <c r="E676" t="s">
        <v>10227</v>
      </c>
      <c r="F676" t="s">
        <v>10387</v>
      </c>
      <c r="G676">
        <v>219</v>
      </c>
      <c r="H676">
        <v>238.02</v>
      </c>
      <c r="I676">
        <v>238.05</v>
      </c>
      <c r="J676">
        <v>-0.03</v>
      </c>
    </row>
    <row r="677" spans="1:10" x14ac:dyDescent="0.3">
      <c r="A677" t="str">
        <f>HYPERLINK("https://us2.cloudbeds.com/connect/10074733072513#/reservations/31728703389876?display=MXFUU4B98&amp;reservation_id=31728703389876", "MXFUU4B98")</f>
        <v>MXFUU4B98</v>
      </c>
      <c r="B677" t="s">
        <v>10</v>
      </c>
      <c r="C677" t="s">
        <v>42</v>
      </c>
      <c r="D677" t="str">
        <f>HYPERLINK("https://us2.cloudbeds.com/connect/10074733072513#/reservations/31728703389876?display=Starr%20Chief%20Eagle&amp;reservation_id=31728703389876&amp;guest_id=31690316693727", "Starr Chief Eagle")</f>
        <v>Starr Chief Eagle</v>
      </c>
      <c r="E677" t="s">
        <v>3921</v>
      </c>
      <c r="F677" t="s">
        <v>10501</v>
      </c>
      <c r="G677">
        <v>450</v>
      </c>
      <c r="H677">
        <v>489.12</v>
      </c>
      <c r="I677">
        <v>489.15</v>
      </c>
      <c r="J677">
        <v>-0.03</v>
      </c>
    </row>
    <row r="678" spans="1:10" x14ac:dyDescent="0.3">
      <c r="A678" t="str">
        <f>HYPERLINK("https://us2.cloudbeds.com/connect/10074733072513#/reservations/31726581633264?display=MXE9N0B3B&amp;reservation_id=31726581633264", "MXE9N0B3B")</f>
        <v>MXE9N0B3B</v>
      </c>
      <c r="B678" t="s">
        <v>10</v>
      </c>
      <c r="C678" t="s">
        <v>42</v>
      </c>
      <c r="D678" t="str">
        <f>HYPERLINK("https://us2.cloudbeds.com/connect/10074733072513#/reservations/31726581633264?display=Todd%20Mathison&amp;reservation_id=31726581633264&amp;guest_id=31726568845539", "Todd Mathison")</f>
        <v>Todd Mathison</v>
      </c>
      <c r="E678" t="s">
        <v>10521</v>
      </c>
      <c r="F678" t="s">
        <v>9621</v>
      </c>
      <c r="G678">
        <v>532.1</v>
      </c>
      <c r="H678">
        <v>578.36</v>
      </c>
      <c r="I678">
        <v>578.39</v>
      </c>
      <c r="J678">
        <v>-0.03</v>
      </c>
    </row>
    <row r="679" spans="1:10" x14ac:dyDescent="0.3">
      <c r="A679" t="str">
        <f>HYPERLINK("https://us2.cloudbeds.com/connect/10074733072513#/reservations/31726559572098?display=MXE94DEU5&amp;reservation_id=31726559572098", "MXE94DEU5")</f>
        <v>MXE94DEU5</v>
      </c>
      <c r="B679" t="s">
        <v>10</v>
      </c>
      <c r="C679" t="s">
        <v>42</v>
      </c>
      <c r="D679" t="str">
        <f>HYPERLINK("https://us2.cloudbeds.com/connect/10074733072513#/reservations/31726559572098?display=Mckenzie%20Mathison&amp;reservation_id=31726559572098&amp;guest_id=31726559568049", "Mckenzie Mathison")</f>
        <v>Mckenzie Mathison</v>
      </c>
      <c r="E679" t="s">
        <v>10521</v>
      </c>
      <c r="F679" t="s">
        <v>9621</v>
      </c>
      <c r="G679">
        <v>532.1</v>
      </c>
      <c r="H679">
        <v>578.36</v>
      </c>
      <c r="I679">
        <v>578.39</v>
      </c>
      <c r="J679">
        <v>-0.03</v>
      </c>
    </row>
    <row r="680" spans="1:10" x14ac:dyDescent="0.3">
      <c r="A680" t="str">
        <f>HYPERLINK("https://us2.cloudbeds.com/connect/10074733072513#/reservations/31718967148673?display=MX8D492J1&amp;reservation_id=31718967148673", "MX8D492J1")</f>
        <v>MX8D492J1</v>
      </c>
      <c r="B680" t="s">
        <v>10</v>
      </c>
      <c r="C680" t="s">
        <v>11</v>
      </c>
      <c r="D680" t="str">
        <f>HYPERLINK("https://us2.cloudbeds.com/connect/10074733072513#/reservations/31718967148673?display=Marianne%20Gillham&amp;reservation_id=31718967148673&amp;guest_id=31718951805154", "Marianne Gillham")</f>
        <v>Marianne Gillham</v>
      </c>
      <c r="E680" t="s">
        <v>10526</v>
      </c>
      <c r="F680" t="s">
        <v>10527</v>
      </c>
      <c r="G680">
        <v>388.92</v>
      </c>
      <c r="H680">
        <v>422.73</v>
      </c>
      <c r="I680">
        <v>422.76</v>
      </c>
      <c r="J680">
        <v>-0.03</v>
      </c>
    </row>
    <row r="681" spans="1:10" x14ac:dyDescent="0.3">
      <c r="A681" t="str">
        <f>HYPERLINK("https://us2.cloudbeds.com/connect/10074733072513#/reservations/31730377162987?display=MXH7MGX0X&amp;reservation_id=31730377162987", "MXH7MGX0X")</f>
        <v>MXH7MGX0X</v>
      </c>
      <c r="B681" t="s">
        <v>10</v>
      </c>
      <c r="C681" t="s">
        <v>23</v>
      </c>
      <c r="D681" t="str">
        <f>HYPERLINK("https://us2.cloudbeds.com/connect/10074733072513#/reservations/31730377162987?display=Charles%20Beining&amp;reservation_id=31730377162987&amp;guest_id=31730363883678", "Charles Beining")</f>
        <v>Charles Beining</v>
      </c>
      <c r="E681" t="s">
        <v>10558</v>
      </c>
      <c r="F681" t="s">
        <v>10258</v>
      </c>
      <c r="G681">
        <v>476</v>
      </c>
      <c r="H681">
        <v>517.38</v>
      </c>
      <c r="I681">
        <v>517.41</v>
      </c>
      <c r="J681">
        <v>-0.03</v>
      </c>
    </row>
    <row r="682" spans="1:10" x14ac:dyDescent="0.3">
      <c r="A682" t="str">
        <f>HYPERLINK("https://us2.cloudbeds.com/connect/10074733072513#/reservations/31729082941604?display=MXG7K5UKP&amp;reservation_id=31729082941604", "MXG7K5UKP")</f>
        <v>MXG7K5UKP</v>
      </c>
      <c r="B682" t="s">
        <v>10</v>
      </c>
      <c r="C682" t="s">
        <v>23</v>
      </c>
      <c r="D682" t="str">
        <f>HYPERLINK("https://us2.cloudbeds.com/connect/10074733072513#/reservations/31729082941604?display=Paula%20Osterhoudt&amp;reservation_id=31729082941604&amp;guest_id=31729082941591", "Paula Osterhoudt")</f>
        <v>Paula Osterhoudt</v>
      </c>
      <c r="E682" t="s">
        <v>10583</v>
      </c>
      <c r="F682" t="s">
        <v>10584</v>
      </c>
      <c r="G682">
        <v>522.4</v>
      </c>
      <c r="H682">
        <v>567.82000000000005</v>
      </c>
      <c r="I682">
        <v>567.85</v>
      </c>
      <c r="J682">
        <v>-0.03</v>
      </c>
    </row>
    <row r="683" spans="1:10" x14ac:dyDescent="0.3">
      <c r="A683" t="str">
        <f>HYPERLINK("https://us2.cloudbeds.com/connect/10074733072513#/reservations/31726722330832?display=MXED9YEW0&amp;reservation_id=31726722330832", "MXED9YEW0")</f>
        <v>MXED9YEW0</v>
      </c>
      <c r="B683" t="s">
        <v>10</v>
      </c>
      <c r="C683" t="s">
        <v>17</v>
      </c>
      <c r="D683" t="str">
        <f>HYPERLINK("https://us2.cloudbeds.com/connect/10074733072513#/reservations/31726722330832?display=Martin%20Vanbeek&amp;reservation_id=31726722330832&amp;guest_id=31716890919041", "Martin Vanbeek")</f>
        <v>Martin Vanbeek</v>
      </c>
      <c r="E683" t="s">
        <v>10592</v>
      </c>
      <c r="F683" t="s">
        <v>10593</v>
      </c>
      <c r="G683">
        <v>595</v>
      </c>
      <c r="H683">
        <v>646.74</v>
      </c>
      <c r="I683">
        <v>646.77</v>
      </c>
      <c r="J683">
        <v>-0.03</v>
      </c>
    </row>
    <row r="684" spans="1:10" x14ac:dyDescent="0.3">
      <c r="A684" t="str">
        <f>HYPERLINK("https://us2.cloudbeds.com/connect/10074733072513#/reservations/31725158330496?display=MXD6ARNW8&amp;reservation_id=31725158330496", "MXD6ARNW8")</f>
        <v>MXD6ARNW8</v>
      </c>
      <c r="B684" t="s">
        <v>10</v>
      </c>
      <c r="C684" t="s">
        <v>121</v>
      </c>
      <c r="D684" t="str">
        <f>HYPERLINK("https://us2.cloudbeds.com/connect/10074733072513#/reservations/31725158330496?display=Brock%20Smith&amp;reservation_id=31725158330496&amp;guest_id=30684958679251", "Brock Smith")</f>
        <v>Brock Smith</v>
      </c>
      <c r="E684" t="s">
        <v>3409</v>
      </c>
      <c r="F684" t="s">
        <v>10552</v>
      </c>
      <c r="G684">
        <v>219</v>
      </c>
      <c r="H684">
        <v>238.02</v>
      </c>
      <c r="I684">
        <v>238.05</v>
      </c>
      <c r="J684">
        <v>-0.03</v>
      </c>
    </row>
    <row r="685" spans="1:10" x14ac:dyDescent="0.3">
      <c r="A685" t="str">
        <f>HYPERLINK("https://us2.cloudbeds.com/connect/10074733072513#/reservations/31723737981155?display=MXC315HAA&amp;reservation_id=31723737981155", "MXC315HAA")</f>
        <v>MXC315HAA</v>
      </c>
      <c r="B685" t="s">
        <v>10</v>
      </c>
      <c r="C685" t="s">
        <v>42</v>
      </c>
      <c r="D685" t="str">
        <f>HYPERLINK("https://us2.cloudbeds.com/connect/10074733072513#/reservations/31723737981155?display=Ronald%20Beckman&amp;reservation_id=31723737981155&amp;guest_id=31723737981151", "Ronald Beckman")</f>
        <v>Ronald Beckman</v>
      </c>
      <c r="E685" t="s">
        <v>10608</v>
      </c>
      <c r="F685" t="s">
        <v>9657</v>
      </c>
      <c r="G685">
        <v>548</v>
      </c>
      <c r="H685">
        <v>595.65</v>
      </c>
      <c r="I685">
        <v>595.67999999999995</v>
      </c>
      <c r="J685">
        <v>-0.03</v>
      </c>
    </row>
    <row r="686" spans="1:10" x14ac:dyDescent="0.3">
      <c r="A686" t="str">
        <f>HYPERLINK("https://us2.cloudbeds.com/connect/10074733072513#/reservations/31717151084770?display=MX6WNUDVX&amp;reservation_id=31717151084770", "MX6WNUDVX")</f>
        <v>MX6WNUDVX</v>
      </c>
      <c r="B686" t="s">
        <v>10</v>
      </c>
      <c r="C686" t="s">
        <v>42</v>
      </c>
      <c r="D686" t="str">
        <f>HYPERLINK("https://us2.cloudbeds.com/connect/10074733072513#/reservations/31717151084770?display=Kim%20Wiling&amp;reservation_id=31717151084770&amp;guest_id=31717139312840", "Kim Wiling")</f>
        <v>Kim Wiling</v>
      </c>
      <c r="E686" t="s">
        <v>10646</v>
      </c>
      <c r="F686" t="s">
        <v>10250</v>
      </c>
      <c r="G686">
        <v>636</v>
      </c>
      <c r="H686">
        <v>691.3</v>
      </c>
      <c r="I686">
        <v>691.33</v>
      </c>
      <c r="J686">
        <v>-0.03</v>
      </c>
    </row>
    <row r="687" spans="1:10" x14ac:dyDescent="0.3">
      <c r="A687" t="str">
        <f>HYPERLINK("https://us2.cloudbeds.com/connect/10074733072513#/reservations/31727840272594?display=MXF8SARE3&amp;reservation_id=31727840272594", "MXF8SARE3")</f>
        <v>MXF8SARE3</v>
      </c>
      <c r="B687" t="s">
        <v>10</v>
      </c>
      <c r="C687" t="s">
        <v>42</v>
      </c>
      <c r="D687" t="str">
        <f>HYPERLINK("https://us2.cloudbeds.com/connect/10074733072513#/reservations/31727840272594?display=Nick%20Monague&amp;reservation_id=31727840272594&amp;guest_id=31725281566867", "Nick Monague")</f>
        <v>Nick Monague</v>
      </c>
      <c r="E687" t="s">
        <v>10667</v>
      </c>
      <c r="F687" t="s">
        <v>10411</v>
      </c>
      <c r="G687">
        <v>516</v>
      </c>
      <c r="H687">
        <v>560.86</v>
      </c>
      <c r="I687">
        <v>560.89</v>
      </c>
      <c r="J687">
        <v>-0.03</v>
      </c>
    </row>
    <row r="688" spans="1:10" x14ac:dyDescent="0.3">
      <c r="A688" t="str">
        <f>HYPERLINK("https://us2.cloudbeds.com/connect/10074733072513#/reservations/31727123001520?display=MXENHGNA0&amp;reservation_id=31727123001520", "MXENHGNA0")</f>
        <v>MXENHGNA0</v>
      </c>
      <c r="B688" t="s">
        <v>10</v>
      </c>
      <c r="C688" t="s">
        <v>42</v>
      </c>
      <c r="D688" t="str">
        <f>HYPERLINK("https://us2.cloudbeds.com/connect/10074733072513#/reservations/31727123001520?display=Justin%20Fortine&amp;reservation_id=31727123001520&amp;guest_id=31691961192660", "Justin Fortine")</f>
        <v>Justin Fortine</v>
      </c>
      <c r="E688" t="s">
        <v>9173</v>
      </c>
      <c r="F688" t="s">
        <v>10438</v>
      </c>
      <c r="G688">
        <v>219</v>
      </c>
      <c r="H688">
        <v>238.02</v>
      </c>
      <c r="I688">
        <v>238.05</v>
      </c>
      <c r="J688">
        <v>-0.03</v>
      </c>
    </row>
    <row r="689" spans="1:10" x14ac:dyDescent="0.3">
      <c r="A689" t="str">
        <f>HYPERLINK("https://us2.cloudbeds.com/connect/10074733072513#/reservations/31726493647057?display=MXE7EQWMY&amp;reservation_id=31726493647057", "MXE7EQWMY")</f>
        <v>MXE7EQWMY</v>
      </c>
      <c r="B689" t="s">
        <v>10</v>
      </c>
      <c r="C689" t="s">
        <v>42</v>
      </c>
      <c r="D689" t="str">
        <f>HYPERLINK("https://us2.cloudbeds.com/connect/10074733072513#/reservations/31726493647057?display=Samantha%20Bruce&amp;reservation_id=31726493647057&amp;guest_id=31726493647053", "Samantha Bruce")</f>
        <v>Samantha Bruce</v>
      </c>
      <c r="E689" t="s">
        <v>10676</v>
      </c>
      <c r="F689" t="s">
        <v>10312</v>
      </c>
      <c r="G689">
        <v>219</v>
      </c>
      <c r="H689">
        <v>238.02</v>
      </c>
      <c r="I689">
        <v>238.05</v>
      </c>
      <c r="J689">
        <v>-0.03</v>
      </c>
    </row>
    <row r="690" spans="1:10" x14ac:dyDescent="0.3">
      <c r="A690" t="str">
        <f>HYPERLINK("https://us2.cloudbeds.com/connect/10074733072513#/reservations/31725829673090?display=MXDNFUUTD&amp;reservation_id=31725829673090", "MXDNFUUTD")</f>
        <v>MXDNFUUTD</v>
      </c>
      <c r="B690" t="s">
        <v>10</v>
      </c>
      <c r="C690" t="s">
        <v>14</v>
      </c>
      <c r="D690" t="str">
        <f>HYPERLINK("https://us2.cloudbeds.com/connect/10074733072513#/reservations/31725829673090?display=Martin%20Brown&amp;reservation_id=31725829673090&amp;guest_id=31725829668993", "Martin Brown")</f>
        <v>Martin Brown</v>
      </c>
      <c r="E690" t="s">
        <v>10712</v>
      </c>
      <c r="F690" t="s">
        <v>10599</v>
      </c>
      <c r="G690">
        <v>263.45999999999998</v>
      </c>
      <c r="H690">
        <v>286.35000000000002</v>
      </c>
      <c r="I690">
        <v>286.38</v>
      </c>
      <c r="J690">
        <v>-0.03</v>
      </c>
    </row>
    <row r="691" spans="1:10" x14ac:dyDescent="0.3">
      <c r="A691" t="str">
        <f>HYPERLINK("https://us2.cloudbeds.com/connect/10074733072513#/reservations/31714099806417?display=MX4KP03F5&amp;reservation_id=31714099806417", "MX4KP03F5")</f>
        <v>MX4KP03F5</v>
      </c>
      <c r="B691" t="s">
        <v>10</v>
      </c>
      <c r="C691" t="s">
        <v>42</v>
      </c>
      <c r="D691" t="str">
        <f>HYPERLINK("https://us2.cloudbeds.com/connect/10074733072513#/reservations/31714099806417?display=Alli%20Holm&amp;reservation_id=31714099806417&amp;guest_id=31714099806412", "Alli Holm")</f>
        <v>Alli Holm</v>
      </c>
      <c r="E691" t="s">
        <v>10749</v>
      </c>
      <c r="F691" t="s">
        <v>10750</v>
      </c>
      <c r="G691">
        <v>636</v>
      </c>
      <c r="H691">
        <v>691.3</v>
      </c>
      <c r="I691">
        <v>691.33</v>
      </c>
      <c r="J691">
        <v>-0.03</v>
      </c>
    </row>
    <row r="692" spans="1:10" x14ac:dyDescent="0.3">
      <c r="A692" t="str">
        <f>HYPERLINK("https://us2.cloudbeds.com/connect/10074733072513#/reservations/31727002415260?display=MXEKER73U&amp;reservation_id=31727002415260", "MXEKER73U")</f>
        <v>MXEKER73U</v>
      </c>
      <c r="B692" t="s">
        <v>10</v>
      </c>
      <c r="C692" t="s">
        <v>42</v>
      </c>
      <c r="D692" t="str">
        <f>HYPERLINK("https://us2.cloudbeds.com/connect/10074733072513#/reservations/31727002415260?display=Brock%20Smith&amp;reservation_id=31727002415260&amp;guest_id=30666138878158", "Brock Smith")</f>
        <v>Brock Smith</v>
      </c>
      <c r="E692" t="s">
        <v>3409</v>
      </c>
      <c r="F692" t="s">
        <v>10555</v>
      </c>
      <c r="G692">
        <v>219</v>
      </c>
      <c r="H692">
        <v>238.02</v>
      </c>
      <c r="I692">
        <v>238.05</v>
      </c>
      <c r="J692">
        <v>-0.03</v>
      </c>
    </row>
    <row r="693" spans="1:10" x14ac:dyDescent="0.3">
      <c r="A693" t="str">
        <f>HYPERLINK("https://us2.cloudbeds.com/connect/10074733072513#/reservations/31721081352413?display=MXA150U51&amp;reservation_id=31721081352413", "MXA150U51")</f>
        <v>MXA150U51</v>
      </c>
      <c r="B693" t="s">
        <v>10</v>
      </c>
      <c r="C693" t="s">
        <v>23</v>
      </c>
      <c r="D693" t="str">
        <f>HYPERLINK("https://us2.cloudbeds.com/connect/10074733072513#/reservations/31721081352413?display=Colsen%20Wilber&amp;reservation_id=31721081352413&amp;guest_id=31721081348320", "Colsen Wilber")</f>
        <v>Colsen Wilber</v>
      </c>
      <c r="E693" t="s">
        <v>10772</v>
      </c>
      <c r="F693" t="s">
        <v>10773</v>
      </c>
      <c r="G693">
        <v>476</v>
      </c>
      <c r="H693">
        <v>517.38</v>
      </c>
      <c r="I693">
        <v>517.41</v>
      </c>
      <c r="J693">
        <v>-0.03</v>
      </c>
    </row>
    <row r="694" spans="1:10" x14ac:dyDescent="0.3">
      <c r="A694" t="str">
        <f>HYPERLINK("https://us2.cloudbeds.com/connect/10074733072513#/reservations/31727140954271?display=MXENWY8RP&amp;reservation_id=31727140954271", "MXENWY8RP")</f>
        <v>MXENWY8RP</v>
      </c>
      <c r="B694" t="s">
        <v>10</v>
      </c>
      <c r="C694" t="s">
        <v>23</v>
      </c>
      <c r="D694" t="str">
        <f>HYPERLINK("https://us2.cloudbeds.com/connect/10074733072513#/reservations/31727140954271?display=Owen%20Zobel&amp;reservation_id=31727140954271&amp;guest_id=31727140954266", "Owen Zobel")</f>
        <v>Owen Zobel</v>
      </c>
      <c r="E694" t="s">
        <v>10844</v>
      </c>
      <c r="F694" t="s">
        <v>10026</v>
      </c>
      <c r="G694">
        <v>556</v>
      </c>
      <c r="H694">
        <v>604.34</v>
      </c>
      <c r="I694">
        <v>604.37</v>
      </c>
      <c r="J694">
        <v>-0.03</v>
      </c>
    </row>
    <row r="695" spans="1:10" x14ac:dyDescent="0.3">
      <c r="A695" t="str">
        <f>HYPERLINK("https://us2.cloudbeds.com/connect/10074733072513#/reservations/31723470762121?display=MXBT6RP3R&amp;reservation_id=31723470762121", "MXBT6RP3R")</f>
        <v>MXBT6RP3R</v>
      </c>
      <c r="B695" t="s">
        <v>10</v>
      </c>
      <c r="C695" t="s">
        <v>42</v>
      </c>
      <c r="D695" t="str">
        <f>HYPERLINK("https://us2.cloudbeds.com/connect/10074733072513#/reservations/31723470762121?display=Michael%20Daniels&amp;reservation_id=31723470762121&amp;guest_id=30671090090186", "Michael Daniels")</f>
        <v>Michael Daniels</v>
      </c>
      <c r="E695" t="s">
        <v>3262</v>
      </c>
      <c r="F695" t="s">
        <v>10630</v>
      </c>
      <c r="G695">
        <v>219</v>
      </c>
      <c r="H695">
        <v>238.02</v>
      </c>
      <c r="I695">
        <v>238.05</v>
      </c>
      <c r="J695">
        <v>-0.03</v>
      </c>
    </row>
    <row r="696" spans="1:10" x14ac:dyDescent="0.3">
      <c r="A696" t="str">
        <f>HYPERLINK("https://us2.cloudbeds.com/connect/10074733072513#/reservations/31724270768373?display=MXCGYE3PH&amp;reservation_id=31724270768373", "MXCGYE3PH")</f>
        <v>MXCGYE3PH</v>
      </c>
      <c r="B696" t="s">
        <v>10</v>
      </c>
      <c r="C696" t="s">
        <v>42</v>
      </c>
      <c r="D696" t="str">
        <f>HYPERLINK("https://us2.cloudbeds.com/connect/10074733072513#/reservations/31724270768373?display=Michael%20Daniels&amp;reservation_id=31724270768373&amp;guest_id=30671090090186", "Michael Daniels")</f>
        <v>Michael Daniels</v>
      </c>
      <c r="E696" t="s">
        <v>3262</v>
      </c>
      <c r="F696" t="s">
        <v>10885</v>
      </c>
      <c r="G696">
        <v>219</v>
      </c>
      <c r="H696">
        <v>238.02</v>
      </c>
      <c r="I696">
        <v>238.05</v>
      </c>
      <c r="J696">
        <v>-0.03</v>
      </c>
    </row>
    <row r="697" spans="1:10" x14ac:dyDescent="0.3">
      <c r="A697" t="str">
        <f>HYPERLINK("https://us2.cloudbeds.com/connect/10074733072513#/reservations/31726942765307?display=MXEXUHC4J&amp;reservation_id=31726942765307", "MXEXUHC4J")</f>
        <v>MXEXUHC4J</v>
      </c>
      <c r="B697" t="s">
        <v>10</v>
      </c>
      <c r="C697" t="s">
        <v>42</v>
      </c>
      <c r="D697" t="str">
        <f>HYPERLINK("https://us2.cloudbeds.com/connect/10074733072513#/reservations/31726942765307?display=Jeremy%20Williamson&amp;reservation_id=31726942765307&amp;guest_id=31726928638108", "Jeremy Williamson")</f>
        <v>Jeremy Williamson</v>
      </c>
      <c r="E697" t="s">
        <v>10828</v>
      </c>
      <c r="F697" t="s">
        <v>10780</v>
      </c>
      <c r="G697">
        <v>356</v>
      </c>
      <c r="H697">
        <v>386.94</v>
      </c>
      <c r="I697">
        <v>386.97</v>
      </c>
      <c r="J697">
        <v>-0.03</v>
      </c>
    </row>
    <row r="698" spans="1:10" x14ac:dyDescent="0.3">
      <c r="A698" t="str">
        <f>HYPERLINK("https://us2.cloudbeds.com/connect/10074733072513#/reservations/31722882990209?display=MXBE674YP&amp;reservation_id=31722882990209", "MXBE674YP")</f>
        <v>MXBE674YP</v>
      </c>
      <c r="B698" t="s">
        <v>10</v>
      </c>
      <c r="C698" t="s">
        <v>42</v>
      </c>
      <c r="D698" t="str">
        <f>HYPERLINK("https://us2.cloudbeds.com/connect/10074733072513#/reservations/31722882990209?display=George%20Beyer&amp;reservation_id=31722882990209&amp;guest_id=31720272408780", "George Beyer")</f>
        <v>George Beyer</v>
      </c>
      <c r="E698" t="s">
        <v>10928</v>
      </c>
      <c r="F698" t="s">
        <v>10780</v>
      </c>
      <c r="G698">
        <v>356</v>
      </c>
      <c r="H698">
        <v>386.94</v>
      </c>
      <c r="I698">
        <v>386.97</v>
      </c>
      <c r="J698">
        <v>-0.03</v>
      </c>
    </row>
    <row r="699" spans="1:10" x14ac:dyDescent="0.3">
      <c r="A699" t="str">
        <f>HYPERLINK("https://us2.cloudbeds.com/connect/10074733072513#/reservations/31726961344640?display=MXEJ1Z2XD&amp;reservation_id=31726961344640", "MXEJ1Z2XD")</f>
        <v>MXEJ1Z2XD</v>
      </c>
      <c r="B699" t="s">
        <v>10</v>
      </c>
      <c r="C699" t="s">
        <v>42</v>
      </c>
      <c r="D699" t="str">
        <f>HYPERLINK("https://us2.cloudbeds.com/connect/10074733072513#/reservations/31726961344640?display=Zachary%20Johnson&amp;reservation_id=31726961344640&amp;guest_id=31726947750110", "Zachary Johnson")</f>
        <v>Zachary Johnson</v>
      </c>
      <c r="E699" t="s">
        <v>8222</v>
      </c>
      <c r="F699" t="s">
        <v>10780</v>
      </c>
      <c r="G699">
        <v>219</v>
      </c>
      <c r="H699">
        <v>238.02</v>
      </c>
      <c r="I699">
        <v>238.05</v>
      </c>
      <c r="J699">
        <v>-0.03</v>
      </c>
    </row>
    <row r="700" spans="1:10" x14ac:dyDescent="0.3">
      <c r="A700" t="str">
        <f>HYPERLINK("https://us2.cloudbeds.com/connect/10074733072513#/reservations/31722633830650?display=MXB7R3U03&amp;reservation_id=31722633830650", "MXB7R3U03")</f>
        <v>MXB7R3U03</v>
      </c>
      <c r="B700" t="s">
        <v>10</v>
      </c>
      <c r="C700" t="s">
        <v>42</v>
      </c>
      <c r="D700" t="str">
        <f>HYPERLINK("https://us2.cloudbeds.com/connect/10074733072513#/reservations/31722633830650?display=Laura%20Huron%20Speech%20And%20Debate%20Iverson&amp;reservation_id=31722633830650&amp;guest_id=31722604564678", "Laura Huron Speech And Debate Iverson")</f>
        <v>Laura Huron Speech And Debate Iverson</v>
      </c>
      <c r="E700" t="s">
        <v>10932</v>
      </c>
      <c r="F700" t="s">
        <v>10615</v>
      </c>
      <c r="G700">
        <v>695</v>
      </c>
      <c r="H700">
        <v>755.44</v>
      </c>
      <c r="I700">
        <v>755.47</v>
      </c>
      <c r="J700">
        <v>-0.03</v>
      </c>
    </row>
    <row r="701" spans="1:10" x14ac:dyDescent="0.3">
      <c r="A701" t="str">
        <f>HYPERLINK("https://us2.cloudbeds.com/connect/10074733072513#/reservations/31724527886569?display=MXCN77QY0&amp;reservation_id=31724527886569", "MXCN77QY0")</f>
        <v>MXCN77QY0</v>
      </c>
      <c r="B701" t="s">
        <v>10</v>
      </c>
      <c r="C701" t="s">
        <v>42</v>
      </c>
      <c r="D701" t="str">
        <f>HYPERLINK("https://us2.cloudbeds.com/connect/10074733072513#/reservations/31724527886569?display=Jasmin%20Seppanen&amp;reservation_id=31724527886569&amp;guest_id=31724502065403", "Jasmin Seppanen")</f>
        <v>Jasmin Seppanen</v>
      </c>
      <c r="E701" t="s">
        <v>10957</v>
      </c>
      <c r="F701" t="s">
        <v>10955</v>
      </c>
      <c r="G701">
        <v>595</v>
      </c>
      <c r="H701">
        <v>646.74</v>
      </c>
      <c r="I701">
        <v>646.77</v>
      </c>
      <c r="J701">
        <v>-0.03</v>
      </c>
    </row>
    <row r="702" spans="1:10" x14ac:dyDescent="0.3">
      <c r="A702" t="str">
        <f>HYPERLINK("https://us2.cloudbeds.com/connect/10074733072513#/reservations/31725772407002?display=MXDM0YDVD&amp;reservation_id=31725772407002", "MXDM0YDVD")</f>
        <v>MXDM0YDVD</v>
      </c>
      <c r="B702" t="s">
        <v>10</v>
      </c>
      <c r="C702" t="s">
        <v>42</v>
      </c>
      <c r="D702" t="str">
        <f>HYPERLINK("https://us2.cloudbeds.com/connect/10074733072513#/reservations/31725772407002?display=Steve%20Olson&amp;reservation_id=31725772407002&amp;guest_id=31725764239552", "Steve Olson")</f>
        <v>Steve Olson</v>
      </c>
      <c r="E702" t="s">
        <v>10970</v>
      </c>
      <c r="F702" t="s">
        <v>10876</v>
      </c>
      <c r="G702">
        <v>436</v>
      </c>
      <c r="H702">
        <v>473.9</v>
      </c>
      <c r="I702">
        <v>473.93</v>
      </c>
      <c r="J702">
        <v>-0.03</v>
      </c>
    </row>
    <row r="703" spans="1:10" x14ac:dyDescent="0.3">
      <c r="A703" t="str">
        <f>HYPERLINK("https://us2.cloudbeds.com/connect/10074733072513#/reservations/31725494259933?display=MXDEU3XRB&amp;reservation_id=31725494259933", "MXDEU3XRB")</f>
        <v>MXDEU3XRB</v>
      </c>
      <c r="B703" t="s">
        <v>10</v>
      </c>
      <c r="C703" t="s">
        <v>42</v>
      </c>
      <c r="D703" t="str">
        <f>HYPERLINK("https://us2.cloudbeds.com/connect/10074733072513#/reservations/31725494259933?display=Jeff%20Potts&amp;reservation_id=31725494259933&amp;guest_id=31686514208925", "Jeff Potts")</f>
        <v>Jeff Potts</v>
      </c>
      <c r="E703" t="s">
        <v>3400</v>
      </c>
      <c r="F703" t="s">
        <v>10985</v>
      </c>
      <c r="G703">
        <v>1260</v>
      </c>
      <c r="H703">
        <v>1369.59</v>
      </c>
      <c r="I703">
        <v>1369.62</v>
      </c>
      <c r="J703">
        <v>-0.03</v>
      </c>
    </row>
    <row r="704" spans="1:10" x14ac:dyDescent="0.3">
      <c r="A704" t="str">
        <f>HYPERLINK("https://us2.cloudbeds.com/connect/10074733072513#/reservations/31724797645001?display=MXCU3N7MV&amp;reservation_id=31724797645001", "MXCU3N7MV")</f>
        <v>MXCU3N7MV</v>
      </c>
      <c r="B704" t="s">
        <v>10</v>
      </c>
      <c r="C704" t="s">
        <v>17</v>
      </c>
      <c r="D704" t="str">
        <f>HYPERLINK("https://us2.cloudbeds.com/connect/10074733072513#/reservations/31724797645001?display=Marcia%20Goodwin&amp;reservation_id=31724797645001&amp;guest_id=31724788691129", "Marcia Goodwin")</f>
        <v>Marcia Goodwin</v>
      </c>
      <c r="E704" t="s">
        <v>11005</v>
      </c>
      <c r="F704" t="s">
        <v>10925</v>
      </c>
      <c r="G704">
        <v>695</v>
      </c>
      <c r="H704">
        <v>755.44</v>
      </c>
      <c r="I704">
        <v>755.47</v>
      </c>
      <c r="J704">
        <v>-0.03</v>
      </c>
    </row>
    <row r="705" spans="1:10" x14ac:dyDescent="0.3">
      <c r="A705" t="str">
        <f>HYPERLINK("https://us2.cloudbeds.com/connect/10074733072513#/reservations/31722569015435?display=MXB65FATM&amp;reservation_id=31722569015435", "MXB65FATM")</f>
        <v>MXB65FATM</v>
      </c>
      <c r="B705" t="s">
        <v>10</v>
      </c>
      <c r="C705" t="s">
        <v>42</v>
      </c>
      <c r="D705" t="str">
        <f>HYPERLINK("https://us2.cloudbeds.com/connect/10074733072513#/reservations/31722569015435?display=Tyler%20Ryokema&amp;reservation_id=31722569015435&amp;guest_id=31722565071010", "Tyler Ryokema")</f>
        <v>Tyler Ryokema</v>
      </c>
      <c r="E705" t="s">
        <v>11010</v>
      </c>
      <c r="F705" t="s">
        <v>10615</v>
      </c>
      <c r="G705">
        <v>412.8</v>
      </c>
      <c r="H705">
        <v>448.68</v>
      </c>
      <c r="I705">
        <v>448.71</v>
      </c>
      <c r="J705">
        <v>-0.03</v>
      </c>
    </row>
    <row r="706" spans="1:10" x14ac:dyDescent="0.3">
      <c r="A706" t="str">
        <f>HYPERLINK("https://us2.cloudbeds.com/connect/10074733072513#/reservations/31726482215059?display=MXE755SWF&amp;reservation_id=31726482215059", "MXE755SWF")</f>
        <v>MXE755SWF</v>
      </c>
      <c r="B706" t="s">
        <v>10</v>
      </c>
      <c r="C706" t="s">
        <v>23</v>
      </c>
      <c r="D706" t="str">
        <f>HYPERLINK("https://us2.cloudbeds.com/connect/10074733072513#/reservations/31726482215059?display=Chris%20Invie&amp;reservation_id=31726482215059&amp;guest_id=31726472421575", "Chris Invie")</f>
        <v>Chris Invie</v>
      </c>
      <c r="E706" t="s">
        <v>11035</v>
      </c>
      <c r="F706" t="s">
        <v>11036</v>
      </c>
      <c r="G706">
        <v>476</v>
      </c>
      <c r="H706">
        <v>517.38</v>
      </c>
      <c r="I706">
        <v>517.41</v>
      </c>
      <c r="J706">
        <v>-0.03</v>
      </c>
    </row>
    <row r="707" spans="1:10" x14ac:dyDescent="0.3">
      <c r="A707" t="str">
        <f>HYPERLINK("https://us2.cloudbeds.com/connect/10074733072513#/reservations/31719912956042?display=MX949QXXD&amp;reservation_id=31719912956042", "MX949QXXD")</f>
        <v>MX949QXXD</v>
      </c>
      <c r="B707" t="s">
        <v>10</v>
      </c>
      <c r="C707" t="s">
        <v>42</v>
      </c>
      <c r="D707" t="str">
        <f>HYPERLINK("https://us2.cloudbeds.com/connect/10074733072513#/reservations/31719912956042?display=Steve%20Farris&amp;reservation_id=31719912956042&amp;guest_id=31719912956040", "Steve Farris")</f>
        <v>Steve Farris</v>
      </c>
      <c r="E707" t="s">
        <v>11109</v>
      </c>
      <c r="F707" t="s">
        <v>11041</v>
      </c>
      <c r="G707">
        <v>219</v>
      </c>
      <c r="H707">
        <v>238.02</v>
      </c>
      <c r="I707">
        <v>238.05</v>
      </c>
      <c r="J707">
        <v>-0.03</v>
      </c>
    </row>
    <row r="708" spans="1:10" x14ac:dyDescent="0.3">
      <c r="A708" t="str">
        <f>HYPERLINK("https://us2.cloudbeds.com/connect/10074733072513#/reservations/31722482835704?display=MXB3VQ8AM&amp;reservation_id=31722482835704", "MXB3VQ8AM")</f>
        <v>MXB3VQ8AM</v>
      </c>
      <c r="B708" t="s">
        <v>10</v>
      </c>
      <c r="C708" t="s">
        <v>23</v>
      </c>
      <c r="D708" t="str">
        <f>HYPERLINK("https://us2.cloudbeds.com/connect/10074733072513#/reservations/31722482835704?display=Holly%20Moritz&amp;reservation_id=31722482835704&amp;guest_id=31722468286605", "Holly Moritz")</f>
        <v>Holly Moritz</v>
      </c>
      <c r="E708" t="s">
        <v>2721</v>
      </c>
      <c r="F708" t="s">
        <v>11159</v>
      </c>
      <c r="G708">
        <v>420.3</v>
      </c>
      <c r="H708">
        <v>456.84</v>
      </c>
      <c r="I708">
        <v>456.87</v>
      </c>
      <c r="J708">
        <v>-0.03</v>
      </c>
    </row>
    <row r="709" spans="1:10" x14ac:dyDescent="0.3">
      <c r="A709" t="str">
        <f>HYPERLINK("https://us2.cloudbeds.com/connect/10074733072513#/reservations/31718367039702?display=MX7UQ85AN&amp;reservation_id=31718367039702", "MX7UQ85AN")</f>
        <v>MX7UQ85AN</v>
      </c>
      <c r="B709" t="s">
        <v>10</v>
      </c>
      <c r="C709" t="s">
        <v>23</v>
      </c>
      <c r="D709" t="str">
        <f>HYPERLINK("https://us2.cloudbeds.com/connect/10074733072513#/reservations/31718367039702?display=Gail%20Temple&amp;reservation_id=31718367039702&amp;guest_id=31718365474964", "Gail Temple")</f>
        <v>Gail Temple</v>
      </c>
      <c r="E709" t="s">
        <v>11172</v>
      </c>
      <c r="F709" t="s">
        <v>9926</v>
      </c>
      <c r="G709">
        <v>536.4</v>
      </c>
      <c r="H709">
        <v>583.04</v>
      </c>
      <c r="I709">
        <v>583.07000000000005</v>
      </c>
      <c r="J709">
        <v>-0.03</v>
      </c>
    </row>
    <row r="710" spans="1:10" x14ac:dyDescent="0.3">
      <c r="A710" t="str">
        <f>HYPERLINK("https://us2.cloudbeds.com/connect/10074733072513#/reservations/31718675263706?display=MX85M4VA1&amp;reservation_id=31718675263706", "MX85M4VA1")</f>
        <v>MX85M4VA1</v>
      </c>
      <c r="B710" t="s">
        <v>10</v>
      </c>
      <c r="C710" t="s">
        <v>23</v>
      </c>
      <c r="D710" t="str">
        <f>HYPERLINK("https://us2.cloudbeds.com/connect/10074733072513#/reservations/31718675263706?display=Ron%20Derby&amp;reservation_id=31718675263706&amp;guest_id=31718675263700", "Ron Derby")</f>
        <v>Ron Derby</v>
      </c>
      <c r="E710" t="s">
        <v>11198</v>
      </c>
      <c r="F710" t="s">
        <v>11196</v>
      </c>
      <c r="G710">
        <v>482.4</v>
      </c>
      <c r="H710">
        <v>524.34</v>
      </c>
      <c r="I710">
        <v>524.37</v>
      </c>
      <c r="J710">
        <v>-0.03</v>
      </c>
    </row>
    <row r="711" spans="1:10" x14ac:dyDescent="0.3">
      <c r="A711" t="str">
        <f>HYPERLINK("https://us2.cloudbeds.com/connect/10074733072513#/reservations/31723078148296?display=MXBJ5PN66&amp;reservation_id=31723078148296", "MXBJ5PN66")</f>
        <v>MXBJ5PN66</v>
      </c>
      <c r="B711" t="s">
        <v>10</v>
      </c>
      <c r="C711" t="s">
        <v>42</v>
      </c>
      <c r="D711" t="str">
        <f>HYPERLINK("https://us2.cloudbeds.com/connect/10074733072513#/reservations/31723078148296?display=Douglas%20Welte&amp;reservation_id=31723078148296&amp;guest_id=30671486152846", "Douglas Welte")</f>
        <v>Douglas Welte</v>
      </c>
      <c r="E711" t="s">
        <v>2536</v>
      </c>
      <c r="F711" t="s">
        <v>11178</v>
      </c>
      <c r="G711">
        <v>219</v>
      </c>
      <c r="H711">
        <v>238.02</v>
      </c>
      <c r="I711">
        <v>238.05</v>
      </c>
      <c r="J711">
        <v>-0.03</v>
      </c>
    </row>
    <row r="712" spans="1:10" x14ac:dyDescent="0.3">
      <c r="A712" t="str">
        <f>HYPERLINK("https://us2.cloudbeds.com/connect/10074733072513#/reservations/31722622189715?display=MXB7H9WEG&amp;reservation_id=31722622189715", "MXB7H9WEG")</f>
        <v>MXB7H9WEG</v>
      </c>
      <c r="B712" t="s">
        <v>10</v>
      </c>
      <c r="C712" t="s">
        <v>42</v>
      </c>
      <c r="D712" t="str">
        <f>HYPERLINK("https://us2.cloudbeds.com/connect/10074733072513#/reservations/31722622189715?display=Raymond%20Grajeda&amp;reservation_id=31722622189715&amp;guest_id=31722622185634", "Raymond Grajeda")</f>
        <v>Raymond Grajeda</v>
      </c>
      <c r="E712" t="s">
        <v>11224</v>
      </c>
      <c r="F712" t="s">
        <v>11220</v>
      </c>
      <c r="G712">
        <v>219</v>
      </c>
      <c r="H712">
        <v>238.02</v>
      </c>
      <c r="I712">
        <v>238.05</v>
      </c>
      <c r="J712">
        <v>-0.03</v>
      </c>
    </row>
    <row r="713" spans="1:10" x14ac:dyDescent="0.3">
      <c r="A713" t="str">
        <f>HYPERLINK("https://us2.cloudbeds.com/connect/10074733072513#/reservations/31719104610530?display=MX8GY655S&amp;reservation_id=31719104610530", "MX8GY655S")</f>
        <v>MX8GY655S</v>
      </c>
      <c r="B713" t="s">
        <v>10</v>
      </c>
      <c r="C713" t="s">
        <v>23</v>
      </c>
      <c r="D713" t="str">
        <f>HYPERLINK("https://us2.cloudbeds.com/connect/10074733072513#/reservations/31719104610530?display=Neil%20Anderson&amp;reservation_id=31719104610530&amp;guest_id=31719104610527", "Neil Anderson")</f>
        <v>Neil Anderson</v>
      </c>
      <c r="E713" t="s">
        <v>11262</v>
      </c>
      <c r="F713" t="s">
        <v>11200</v>
      </c>
      <c r="G713">
        <v>291.68</v>
      </c>
      <c r="H713">
        <v>317.02999999999997</v>
      </c>
      <c r="I713">
        <v>317.06</v>
      </c>
      <c r="J713">
        <v>-0.03</v>
      </c>
    </row>
    <row r="714" spans="1:10" x14ac:dyDescent="0.3">
      <c r="A714" t="str">
        <f>HYPERLINK("https://us2.cloudbeds.com/connect/10074733072513#/reservations/31720399016128?display=MX9G0QJQR&amp;reservation_id=31720399016128", "MX9G0QJQR")</f>
        <v>MX9G0QJQR</v>
      </c>
      <c r="B714" t="s">
        <v>10</v>
      </c>
      <c r="C714" t="s">
        <v>42</v>
      </c>
      <c r="D714" t="str">
        <f>HYPERLINK("https://us2.cloudbeds.com/connect/10074733072513#/reservations/31720399016128?display=Maria%20Rizzoeto&amp;reservation_id=31720399016128&amp;guest_id=31720371908834", "Maria Rizzoeto")</f>
        <v>Maria Rizzoeto</v>
      </c>
      <c r="E714" t="s">
        <v>11277</v>
      </c>
      <c r="F714" t="s">
        <v>11044</v>
      </c>
      <c r="G714">
        <v>536.4</v>
      </c>
      <c r="H714">
        <v>583.04</v>
      </c>
      <c r="I714">
        <v>583.07000000000005</v>
      </c>
      <c r="J714">
        <v>-0.03</v>
      </c>
    </row>
    <row r="715" spans="1:10" x14ac:dyDescent="0.3">
      <c r="A715" t="str">
        <f>HYPERLINK("https://us2.cloudbeds.com/connect/10074733072513#/reservations/31716124577949?display=MX66GBBQ8&amp;reservation_id=31716124577949", "MX66GBBQ8")</f>
        <v>MX66GBBQ8</v>
      </c>
      <c r="B715" t="s">
        <v>10</v>
      </c>
      <c r="C715" t="s">
        <v>23</v>
      </c>
      <c r="D715" t="str">
        <f>HYPERLINK("https://us2.cloudbeds.com/connect/10074733072513#/reservations/31716124577949?display=Chris%20Rabe&amp;reservation_id=31716124577949&amp;guest_id=31716115280065", "Chris Rabe")</f>
        <v>Chris Rabe</v>
      </c>
      <c r="E715" t="s">
        <v>11358</v>
      </c>
      <c r="F715" t="s">
        <v>10982</v>
      </c>
      <c r="G715">
        <v>670.5</v>
      </c>
      <c r="H715">
        <v>728.8</v>
      </c>
      <c r="I715">
        <v>728.83</v>
      </c>
      <c r="J715">
        <v>-0.03</v>
      </c>
    </row>
    <row r="716" spans="1:10" x14ac:dyDescent="0.3">
      <c r="A716" t="str">
        <f>HYPERLINK("https://us2.cloudbeds.com/connect/10074733072513#/reservations/31718377549967?display=MX7V23KKX&amp;reservation_id=31718377549967", "MX7V23KKX")</f>
        <v>MX7V23KKX</v>
      </c>
      <c r="B716" t="s">
        <v>10</v>
      </c>
      <c r="C716" t="s">
        <v>42</v>
      </c>
      <c r="D716" t="str">
        <f>HYPERLINK("https://us2.cloudbeds.com/connect/10074733072513#/reservations/31718377549967?display=Michael%20Loehrs&amp;reservation_id=31718377549967&amp;guest_id=31718377545872", "Michael Loehrs")</f>
        <v>Michael Loehrs</v>
      </c>
      <c r="E716" t="s">
        <v>11390</v>
      </c>
      <c r="F716" t="s">
        <v>11293</v>
      </c>
      <c r="G716">
        <v>536.4</v>
      </c>
      <c r="H716">
        <v>583.04</v>
      </c>
      <c r="I716">
        <v>583.07000000000005</v>
      </c>
      <c r="J716">
        <v>-0.03</v>
      </c>
    </row>
    <row r="717" spans="1:10" x14ac:dyDescent="0.3">
      <c r="A717" t="str">
        <f>HYPERLINK("https://us2.cloudbeds.com/connect/10074733072513#/reservations/31720139067613?display=MX9A2FES6&amp;reservation_id=31720139067613", "MX9A2FES6")</f>
        <v>MX9A2FES6</v>
      </c>
      <c r="B717" t="s">
        <v>10</v>
      </c>
      <c r="C717" t="s">
        <v>23</v>
      </c>
      <c r="D717" t="str">
        <f>HYPERLINK("https://us2.cloudbeds.com/connect/10074733072513#/reservations/31720139067613?display=Patricia%20Hyshka&amp;reservation_id=31720139067613&amp;guest_id=31720139063522", "Patricia Hyshka")</f>
        <v>Patricia Hyshka</v>
      </c>
      <c r="E717" t="s">
        <v>11593</v>
      </c>
      <c r="F717" t="s">
        <v>11594</v>
      </c>
      <c r="G717">
        <v>412.8</v>
      </c>
      <c r="H717">
        <v>448.68</v>
      </c>
      <c r="I717">
        <v>448.71</v>
      </c>
      <c r="J717">
        <v>-0.03</v>
      </c>
    </row>
    <row r="718" spans="1:10" x14ac:dyDescent="0.3">
      <c r="A718" t="str">
        <f>HYPERLINK("https://us2.cloudbeds.com/connect/10074733072513#/reservations/31718981849336?display=MX8DGM4QM&amp;reservation_id=31718981849336", "MX8DGM4QM")</f>
        <v>MX8DGM4QM</v>
      </c>
      <c r="B718" t="s">
        <v>10</v>
      </c>
      <c r="C718" t="s">
        <v>23</v>
      </c>
      <c r="D718" t="str">
        <f>HYPERLINK("https://us2.cloudbeds.com/connect/10074733072513#/reservations/31718981849336?display=Patricia%20Won&amp;reservation_id=31718981849336&amp;guest_id=31718970331358", "Patricia Won")</f>
        <v>Patricia Won</v>
      </c>
      <c r="E718" t="s">
        <v>12037</v>
      </c>
      <c r="F718" t="s">
        <v>12038</v>
      </c>
      <c r="G718">
        <v>536.4</v>
      </c>
      <c r="H718">
        <v>583.04</v>
      </c>
      <c r="I718">
        <v>583.07000000000005</v>
      </c>
      <c r="J718">
        <v>-0.03</v>
      </c>
    </row>
    <row r="719" spans="1:10" x14ac:dyDescent="0.3">
      <c r="A719" t="str">
        <f>HYPERLINK("https://us2.cloudbeds.com/connect/10074733072513#/reservations/31712995221732?display=MX3PHJDEW&amp;reservation_id=31712995221732", "MX3PHJDEW")</f>
        <v>MX3PHJDEW</v>
      </c>
      <c r="B719" t="s">
        <v>10</v>
      </c>
      <c r="C719" t="s">
        <v>23</v>
      </c>
      <c r="D719" t="str">
        <f>HYPERLINK("https://us2.cloudbeds.com/connect/10074733072513#/reservations/31712995221732?display=Katey%20Craig&amp;reservation_id=31712995221732&amp;guest_id=31712995221729", "Katey Craig")</f>
        <v>Katey Craig</v>
      </c>
      <c r="E719" t="s">
        <v>12679</v>
      </c>
      <c r="F719" t="s">
        <v>12223</v>
      </c>
      <c r="G719">
        <v>420.3</v>
      </c>
      <c r="H719">
        <v>456.84</v>
      </c>
      <c r="I719">
        <v>456.87</v>
      </c>
      <c r="J719">
        <v>-0.03</v>
      </c>
    </row>
    <row r="720" spans="1:10" x14ac:dyDescent="0.3">
      <c r="A720" t="str">
        <f>HYPERLINK("https://us2.cloudbeds.com/connect/10074733072513#/reservations/31714383163612?display=MX4RWUUTQ&amp;reservation_id=31714383163612", "MX4RWUUTQ")</f>
        <v>MX4RWUUTQ</v>
      </c>
      <c r="B720" t="s">
        <v>10</v>
      </c>
      <c r="C720" t="s">
        <v>23</v>
      </c>
      <c r="D720" t="str">
        <f>HYPERLINK("https://us2.cloudbeds.com/connect/10074733072513#/reservations/31714383163612?display=Linda%20Evavold&amp;reservation_id=31714383163612&amp;guest_id=31702063173782", "Linda Evavold")</f>
        <v>Linda Evavold</v>
      </c>
      <c r="E720" t="s">
        <v>12793</v>
      </c>
      <c r="F720" t="s">
        <v>12790</v>
      </c>
      <c r="G720">
        <v>536.4</v>
      </c>
      <c r="H720">
        <v>583.04</v>
      </c>
      <c r="I720">
        <v>583.07000000000005</v>
      </c>
      <c r="J720">
        <v>-0.03</v>
      </c>
    </row>
    <row r="721" spans="1:10" x14ac:dyDescent="0.3">
      <c r="A721" t="str">
        <f>HYPERLINK("https://us2.cloudbeds.com/connect/10074733072513#/reservations/31714136252570?display=MX4YMZ901&amp;reservation_id=31714136252570", "MX4YMZ901")</f>
        <v>MX4YMZ901</v>
      </c>
      <c r="B721" t="s">
        <v>10</v>
      </c>
      <c r="C721" t="s">
        <v>42</v>
      </c>
      <c r="D721" t="str">
        <f>HYPERLINK("https://us2.cloudbeds.com/connect/10074733072513#/reservations/31714136252570?display=Angelo%20Poaletti&amp;reservation_id=31714136252570&amp;guest_id=31714136252568", "Angelo Poaletti")</f>
        <v>Angelo Poaletti</v>
      </c>
      <c r="E721" t="s">
        <v>11828</v>
      </c>
      <c r="F721" t="s">
        <v>12078</v>
      </c>
      <c r="G721">
        <v>680.4</v>
      </c>
      <c r="H721">
        <v>739.56</v>
      </c>
      <c r="I721">
        <v>739.59</v>
      </c>
      <c r="J721">
        <v>-0.03</v>
      </c>
    </row>
    <row r="722" spans="1:10" x14ac:dyDescent="0.3">
      <c r="A722" t="str">
        <f>HYPERLINK("https://us2.cloudbeds.com/connect/10074733072513#/reservations/31711162233029?display=MX2BMVQ7P&amp;reservation_id=31711162233029", "MX2BMVQ7P")</f>
        <v>MX2BMVQ7P</v>
      </c>
      <c r="B722" t="s">
        <v>10</v>
      </c>
      <c r="C722" t="s">
        <v>23</v>
      </c>
      <c r="D722" t="str">
        <f>HYPERLINK("https://us2.cloudbeds.com/connect/10074733072513#/reservations/31711162233029?display=Joanna%20Shoell&amp;reservation_id=31711162233029&amp;guest_id=31711162228937", "Joanna Shoell")</f>
        <v>Joanna Shoell</v>
      </c>
      <c r="E722" t="s">
        <v>12942</v>
      </c>
      <c r="F722" t="s">
        <v>12770</v>
      </c>
      <c r="G722">
        <v>420.3</v>
      </c>
      <c r="H722">
        <v>456.84</v>
      </c>
      <c r="I722">
        <v>456.87</v>
      </c>
      <c r="J722">
        <v>-0.03</v>
      </c>
    </row>
    <row r="723" spans="1:10" x14ac:dyDescent="0.3">
      <c r="A723" t="str">
        <f>HYPERLINK("https://us2.cloudbeds.com/connect/10074733072513#/reservations/31702209704170?display=MHSDUVFUF&amp;reservation_id=31702209704170", "MHSDUVFUF")</f>
        <v>MHSDUVFUF</v>
      </c>
      <c r="B723" t="s">
        <v>10</v>
      </c>
      <c r="C723" t="s">
        <v>23</v>
      </c>
      <c r="D723" t="str">
        <f>HYPERLINK("https://us2.cloudbeds.com/connect/10074733072513#/reservations/31702209704170?display=Amy%20Williams&amp;reservation_id=31702209704170&amp;guest_id=31702199488665", "Amy Williams")</f>
        <v>Amy Williams</v>
      </c>
      <c r="E723" t="s">
        <v>13157</v>
      </c>
      <c r="F723" t="s">
        <v>12047</v>
      </c>
      <c r="G723">
        <v>420.3</v>
      </c>
      <c r="H723">
        <v>456.84</v>
      </c>
      <c r="I723">
        <v>456.87</v>
      </c>
      <c r="J723">
        <v>-0.03</v>
      </c>
    </row>
    <row r="724" spans="1:10" x14ac:dyDescent="0.3">
      <c r="A724" t="str">
        <f>HYPERLINK("https://us2.cloudbeds.com/connect/10074733072513#/reservations/31703115247840?display=MHT42HXQZ&amp;reservation_id=31703115247840", "MHT42HXQZ")</f>
        <v>MHT42HXQZ</v>
      </c>
      <c r="B724" t="s">
        <v>10</v>
      </c>
      <c r="C724" t="s">
        <v>23</v>
      </c>
      <c r="D724" t="str">
        <f>HYPERLINK("https://us2.cloudbeds.com/connect/10074733072513#/reservations/31703115247840?display=Justin%20Bach&amp;reservation_id=31703115247840&amp;guest_id=31703115243756", "Justin Bach")</f>
        <v>Justin Bach</v>
      </c>
      <c r="E724" t="s">
        <v>13168</v>
      </c>
      <c r="F724" t="s">
        <v>12005</v>
      </c>
      <c r="G724">
        <v>388.92</v>
      </c>
      <c r="H724">
        <v>422.73</v>
      </c>
      <c r="I724">
        <v>422.76</v>
      </c>
      <c r="J724">
        <v>-0.03</v>
      </c>
    </row>
    <row r="725" spans="1:10" x14ac:dyDescent="0.3">
      <c r="A725" t="str">
        <f>HYPERLINK("https://us2.cloudbeds.com/connect/10074733072513#/reservations/31703115243758?display=MHT42HF21&amp;reservation_id=31703115243758", "MHT42HF21")</f>
        <v>MHT42HF21</v>
      </c>
      <c r="B725" t="s">
        <v>10</v>
      </c>
      <c r="C725" t="s">
        <v>121</v>
      </c>
      <c r="D725" t="str">
        <f>HYPERLINK("https://us2.cloudbeds.com/connect/10074733072513#/reservations/31703115243758?display=Steven%20Brings&amp;reservation_id=31703115243758&amp;guest_id=31703115243755", "Steven Brings")</f>
        <v>Steven Brings</v>
      </c>
      <c r="E725" t="s">
        <v>13204</v>
      </c>
      <c r="F725" t="s">
        <v>13189</v>
      </c>
      <c r="G725">
        <v>574.6</v>
      </c>
      <c r="H725">
        <v>624.55999999999995</v>
      </c>
      <c r="I725">
        <v>624.59</v>
      </c>
      <c r="J725">
        <v>-0.03</v>
      </c>
    </row>
    <row r="726" spans="1:10" x14ac:dyDescent="0.3">
      <c r="A726" t="str">
        <f>HYPERLINK("https://us2.cloudbeds.com/connect/10074733072513#/reservations/31701852573826?display=MHS4QQQHR&amp;reservation_id=31701852573826", "MHS4QQQHR")</f>
        <v>MHS4QQQHR</v>
      </c>
      <c r="B726" t="s">
        <v>10</v>
      </c>
      <c r="C726" t="s">
        <v>23</v>
      </c>
      <c r="D726" t="str">
        <f>HYPERLINK("https://us2.cloudbeds.com/connect/10074733072513#/reservations/31701852573826?display=Caroline%20Gubbrud&amp;reservation_id=31701852573826&amp;guest_id=31701852569791", "Caroline Gubbrud")</f>
        <v>Caroline Gubbrud</v>
      </c>
      <c r="E726" t="s">
        <v>13300</v>
      </c>
      <c r="F726" t="s">
        <v>13053</v>
      </c>
      <c r="G726">
        <v>368.64</v>
      </c>
      <c r="H726">
        <v>400.68</v>
      </c>
      <c r="I726">
        <v>400.71</v>
      </c>
      <c r="J726">
        <v>-0.03</v>
      </c>
    </row>
    <row r="727" spans="1:10" x14ac:dyDescent="0.3">
      <c r="A727" t="str">
        <f>HYPERLINK("https://us2.cloudbeds.com/connect/10074733072513#/reservations/31701888471241?display=MHS5Z2N69&amp;reservation_id=31701888471241", "MHS5Z2N69")</f>
        <v>MHS5Z2N69</v>
      </c>
      <c r="B727" t="s">
        <v>10</v>
      </c>
      <c r="C727" t="s">
        <v>42</v>
      </c>
      <c r="D727" t="str">
        <f>HYPERLINK("https://us2.cloudbeds.com/connect/10074733072513#/reservations/31701888471241?display=Dillon%20Costello&amp;reservation_id=31701888471241&amp;guest_id=31701884547290", "Dillon Costello")</f>
        <v>Dillon Costello</v>
      </c>
      <c r="E727" t="s">
        <v>13321</v>
      </c>
      <c r="F727" t="s">
        <v>11420</v>
      </c>
      <c r="G727">
        <v>348.8</v>
      </c>
      <c r="H727">
        <v>379.12</v>
      </c>
      <c r="I727">
        <v>379.15</v>
      </c>
      <c r="J727">
        <v>-0.03</v>
      </c>
    </row>
    <row r="728" spans="1:10" x14ac:dyDescent="0.3">
      <c r="A728" t="str">
        <f>HYPERLINK("https://us2.cloudbeds.com/connect/10074733072513#/reservations/31701079941322?display=MHRX2A5FY&amp;reservation_id=31701079941322", "MHRX2A5FY")</f>
        <v>MHRX2A5FY</v>
      </c>
      <c r="B728" t="s">
        <v>10</v>
      </c>
      <c r="C728" t="s">
        <v>23</v>
      </c>
      <c r="D728" t="str">
        <f>HYPERLINK("https://us2.cloudbeds.com/connect/10074733072513#/reservations/31701079941322?display=Chris%20Carlson&amp;reservation_id=31701079941322&amp;guest_id=31701075398847", "Chris Carlson")</f>
        <v>Chris Carlson</v>
      </c>
      <c r="E728" t="s">
        <v>10442</v>
      </c>
      <c r="F728" t="s">
        <v>13342</v>
      </c>
      <c r="G728">
        <v>330.3</v>
      </c>
      <c r="H728">
        <v>359.01</v>
      </c>
      <c r="I728">
        <v>359.04</v>
      </c>
      <c r="J728">
        <v>-0.03</v>
      </c>
    </row>
    <row r="729" spans="1:10" x14ac:dyDescent="0.3">
      <c r="A729" t="str">
        <f>HYPERLINK("https://us2.cloudbeds.com/connect/10074733072513#/reservations/30646160539877?display=YQ2NEAZVD&amp;reservation_id=30646160539877", "YQ2NEAZVD")</f>
        <v>YQ2NEAZVD</v>
      </c>
      <c r="B729" t="s">
        <v>10</v>
      </c>
      <c r="C729" t="s">
        <v>14</v>
      </c>
      <c r="D729" t="str">
        <f>HYPERLINK("https://us2.cloudbeds.com/connect/10074733072513#/reservations/30646160539877?display=Laura%20Toppenberg&amp;reservation_id=30646160539877&amp;guest_id=30646154567892", "Laura Toppenberg")</f>
        <v>Laura Toppenberg</v>
      </c>
      <c r="E729" t="s">
        <v>15</v>
      </c>
      <c r="F729" t="s">
        <v>16</v>
      </c>
      <c r="G729">
        <v>381.6</v>
      </c>
      <c r="H729">
        <v>414.78</v>
      </c>
      <c r="I729">
        <v>414.8</v>
      </c>
      <c r="J729">
        <v>-0.02</v>
      </c>
    </row>
    <row r="730" spans="1:10" x14ac:dyDescent="0.3">
      <c r="A730" t="str">
        <f>HYPERLINK("https://us2.cloudbeds.com/connect/10074733072513#/reservations/30646114361505?display=YQ2M8CPXP&amp;reservation_id=30646114361505", "YQ2M8CPXP")</f>
        <v>YQ2M8CPXP</v>
      </c>
      <c r="B730" t="s">
        <v>10</v>
      </c>
      <c r="C730" t="s">
        <v>11</v>
      </c>
      <c r="D730" t="str">
        <f>HYPERLINK("https://us2.cloudbeds.com/connect/10074733072513#/reservations/30646114361505?display=Michael%20Wetrich&amp;reservation_id=30646114361505&amp;guest_id=30646109163728", "Michael Wetrich")</f>
        <v>Michael Wetrich</v>
      </c>
      <c r="E730" t="s">
        <v>65</v>
      </c>
      <c r="F730" t="s">
        <v>58</v>
      </c>
      <c r="G730">
        <v>212.59</v>
      </c>
      <c r="H730">
        <v>231.07</v>
      </c>
      <c r="I730">
        <v>231.09</v>
      </c>
      <c r="J730">
        <v>-0.02</v>
      </c>
    </row>
    <row r="731" spans="1:10" x14ac:dyDescent="0.3">
      <c r="A731" t="str">
        <f>HYPERLINK("https://us2.cloudbeds.com/connect/10074733072513#/reservations/30647801594099?display=YQ3WC3GQ7&amp;reservation_id=30647801594099", "YQ3WC3GQ7")</f>
        <v>YQ3WC3GQ7</v>
      </c>
      <c r="B731" t="s">
        <v>10</v>
      </c>
      <c r="C731" t="s">
        <v>42</v>
      </c>
      <c r="D731" t="str">
        <f>HYPERLINK("https://us2.cloudbeds.com/connect/10074733072513#/reservations/30647801594099?display=Carol%20Rogers&amp;reservation_id=30647801594099&amp;guest_id=30647801594093", "Carol Rogers")</f>
        <v>Carol Rogers</v>
      </c>
      <c r="E731" t="s">
        <v>102</v>
      </c>
      <c r="F731" t="s">
        <v>27</v>
      </c>
      <c r="G731">
        <v>236.3</v>
      </c>
      <c r="H731">
        <v>256.83999999999997</v>
      </c>
      <c r="I731">
        <v>256.86</v>
      </c>
      <c r="J731">
        <v>-0.02</v>
      </c>
    </row>
    <row r="732" spans="1:10" x14ac:dyDescent="0.3">
      <c r="A732" t="str">
        <f>HYPERLINK("https://us2.cloudbeds.com/connect/10074733072513#/reservations/30646218104960?display=YQ2ZTSFZM&amp;reservation_id=30646218104960", "YQ2ZTSFZM")</f>
        <v>YQ2ZTSFZM</v>
      </c>
      <c r="B732" t="s">
        <v>10</v>
      </c>
      <c r="C732" t="s">
        <v>11</v>
      </c>
      <c r="D732" t="str">
        <f>HYPERLINK("https://us2.cloudbeds.com/connect/10074733072513#/reservations/30646218104960?display=Chantele%20Milton&amp;reservation_id=30646218104960&amp;guest_id=30646218100926", "Chantele Milton")</f>
        <v>Chantele Milton</v>
      </c>
      <c r="E732" t="s">
        <v>103</v>
      </c>
      <c r="F732" t="s">
        <v>104</v>
      </c>
      <c r="G732">
        <v>362.95</v>
      </c>
      <c r="H732">
        <v>394.51</v>
      </c>
      <c r="I732">
        <v>394.53</v>
      </c>
      <c r="J732">
        <v>-0.02</v>
      </c>
    </row>
    <row r="733" spans="1:10" x14ac:dyDescent="0.3">
      <c r="A733" t="str">
        <f>HYPERLINK("https://us2.cloudbeds.com/connect/10074733072513#/reservations/30648276734084?display=YQ4BGZWAJ&amp;reservation_id=30648276734084", "YQ4BGZWAJ")</f>
        <v>YQ4BGZWAJ</v>
      </c>
      <c r="B733" t="s">
        <v>10</v>
      </c>
      <c r="C733" t="s">
        <v>42</v>
      </c>
      <c r="D733" t="str">
        <f>HYPERLINK("https://us2.cloudbeds.com/connect/10074733072513#/reservations/30648276734084?display=Tim%20Kesy&amp;reservation_id=30648276734084&amp;guest_id=30648271651058", "Tim Kesy")</f>
        <v>Tim Kesy</v>
      </c>
      <c r="E733" t="s">
        <v>109</v>
      </c>
      <c r="F733" t="s">
        <v>89</v>
      </c>
      <c r="G733">
        <v>518.4</v>
      </c>
      <c r="H733">
        <v>563.48</v>
      </c>
      <c r="I733">
        <v>563.5</v>
      </c>
      <c r="J733">
        <v>-0.02</v>
      </c>
    </row>
    <row r="734" spans="1:10" x14ac:dyDescent="0.3">
      <c r="A734" t="str">
        <f>HYPERLINK("https://us2.cloudbeds.com/connect/10074733072513#/reservations/30646570930364?display=YQ30UCFNP&amp;reservation_id=30646570930364", "YQ30UCFNP")</f>
        <v>YQ30UCFNP</v>
      </c>
      <c r="B734" t="s">
        <v>10</v>
      </c>
      <c r="C734" t="s">
        <v>14</v>
      </c>
      <c r="D734" t="str">
        <f>HYPERLINK("https://us2.cloudbeds.com/connect/10074733072513#/reservations/30646570930364?display=Tabetha%20Vanderwoude&amp;reservation_id=30646570930364&amp;guest_id=30646570930311", "Tabetha Vanderwoude")</f>
        <v>Tabetha Vanderwoude</v>
      </c>
      <c r="E734" t="s">
        <v>134</v>
      </c>
      <c r="F734" t="s">
        <v>85</v>
      </c>
      <c r="G734">
        <v>278.8</v>
      </c>
      <c r="H734">
        <v>303.04000000000002</v>
      </c>
      <c r="I734">
        <v>303.06</v>
      </c>
      <c r="J734">
        <v>-0.02</v>
      </c>
    </row>
    <row r="735" spans="1:10" x14ac:dyDescent="0.3">
      <c r="A735" t="str">
        <f>HYPERLINK("https://us2.cloudbeds.com/connect/10074733072513#/reservations/30646148300971?display=YQ2N4069F&amp;reservation_id=30646148300971", "YQ2N4069F")</f>
        <v>YQ2N4069F</v>
      </c>
      <c r="B735" t="s">
        <v>10</v>
      </c>
      <c r="C735" t="s">
        <v>20</v>
      </c>
      <c r="D735" t="str">
        <f>HYPERLINK("https://us2.cloudbeds.com/connect/10074733072513#/reservations/30646148300971?display=Krysten%20Ryba-Tures&amp;reservation_id=30646148300971&amp;guest_id=30646148300959", "Krysten Ryba-Tures")</f>
        <v>Krysten Ryba-Tures</v>
      </c>
      <c r="E735" t="s">
        <v>163</v>
      </c>
      <c r="F735" t="s">
        <v>98</v>
      </c>
      <c r="G735">
        <v>206.4</v>
      </c>
      <c r="H735">
        <v>224.34</v>
      </c>
      <c r="I735">
        <v>224.36</v>
      </c>
      <c r="J735">
        <v>-0.02</v>
      </c>
    </row>
    <row r="736" spans="1:10" x14ac:dyDescent="0.3">
      <c r="A736" t="str">
        <f>HYPERLINK("https://us2.cloudbeds.com/connect/10074733072513#/reservations/30646209548542?display=YQ2ZMYGAF&amp;reservation_id=30646209548542", "YQ2ZMYGAF")</f>
        <v>YQ2ZMYGAF</v>
      </c>
      <c r="B736" t="s">
        <v>10</v>
      </c>
      <c r="C736" t="s">
        <v>14</v>
      </c>
      <c r="D736" t="str">
        <f>HYPERLINK("https://us2.cloudbeds.com/connect/10074733072513#/reservations/30646209548542?display=Patricia%20Vantil&amp;reservation_id=30646209548542&amp;guest_id=30646209548533", "Patricia Vantil")</f>
        <v>Patricia Vantil</v>
      </c>
      <c r="E736" t="s">
        <v>177</v>
      </c>
      <c r="F736" t="s">
        <v>104</v>
      </c>
      <c r="G736">
        <v>392.4</v>
      </c>
      <c r="H736">
        <v>426.52</v>
      </c>
      <c r="I736">
        <v>426.54</v>
      </c>
      <c r="J736">
        <v>-0.02</v>
      </c>
    </row>
    <row r="737" spans="1:10" x14ac:dyDescent="0.3">
      <c r="A737" t="str">
        <f>HYPERLINK("https://us2.cloudbeds.com/connect/10074733072513#/reservations/30647598248165?display=YQ3R5Y3J7&amp;reservation_id=30647598248165", "YQ3R5Y3J7")</f>
        <v>YQ3R5Y3J7</v>
      </c>
      <c r="B737" t="s">
        <v>10</v>
      </c>
      <c r="C737" t="s">
        <v>11</v>
      </c>
      <c r="D737" t="str">
        <f>HYPERLINK("https://us2.cloudbeds.com/connect/10074733072513#/reservations/30647598248165?display=Donald%20Redinger&amp;reservation_id=30647598248165&amp;guest_id=30647598248163", "Donald Redinger")</f>
        <v>Donald Redinger</v>
      </c>
      <c r="E737" t="s">
        <v>216</v>
      </c>
      <c r="F737" t="s">
        <v>108</v>
      </c>
      <c r="G737">
        <v>296.27999999999997</v>
      </c>
      <c r="H737">
        <v>322.04000000000002</v>
      </c>
      <c r="I737">
        <v>322.06</v>
      </c>
      <c r="J737">
        <v>-0.02</v>
      </c>
    </row>
    <row r="738" spans="1:10" x14ac:dyDescent="0.3">
      <c r="A738" t="str">
        <f>HYPERLINK("https://us2.cloudbeds.com/connect/10074733072513#/reservations/30647865032884?display=YQ40WJPVY&amp;reservation_id=30647865032884", "YQ40WJPVY")</f>
        <v>YQ40WJPVY</v>
      </c>
      <c r="B738" t="s">
        <v>10</v>
      </c>
      <c r="C738" t="s">
        <v>11</v>
      </c>
      <c r="D738" t="str">
        <f>HYPERLINK("https://us2.cloudbeds.com/connect/10074733072513#/reservations/30647865032884?display=Joe%20Tefft&amp;reservation_id=30647865032884&amp;guest_id=30647856193698", "Joe Tefft")</f>
        <v>Joe Tefft</v>
      </c>
      <c r="E738" t="s">
        <v>243</v>
      </c>
      <c r="F738" t="s">
        <v>176</v>
      </c>
      <c r="G738">
        <v>261.60000000000002</v>
      </c>
      <c r="H738">
        <v>284.33999999999997</v>
      </c>
      <c r="I738">
        <v>284.36</v>
      </c>
      <c r="J738">
        <v>-0.02</v>
      </c>
    </row>
    <row r="739" spans="1:10" x14ac:dyDescent="0.3">
      <c r="A739" t="str">
        <f>HYPERLINK("https://us2.cloudbeds.com/connect/10074733072513#/reservations/30647580831960?display=YQ3QNVFZE&amp;reservation_id=30647580831960", "YQ3QNVFZE")</f>
        <v>YQ3QNVFZE</v>
      </c>
      <c r="B739" t="s">
        <v>10</v>
      </c>
      <c r="C739" t="s">
        <v>14</v>
      </c>
      <c r="D739" t="str">
        <f>HYPERLINK("https://us2.cloudbeds.com/connect/10074733072513#/reservations/30647580831960?display=Alyssa%20Rosenberg&amp;reservation_id=30647580831960&amp;guest_id=30647580831957", "Alyssa Rosenberg")</f>
        <v>Alyssa Rosenberg</v>
      </c>
      <c r="E739" t="s">
        <v>326</v>
      </c>
      <c r="F739" t="s">
        <v>277</v>
      </c>
      <c r="G739">
        <v>206.4</v>
      </c>
      <c r="H739">
        <v>224.34</v>
      </c>
      <c r="I739">
        <v>224.36</v>
      </c>
      <c r="J739">
        <v>-0.02</v>
      </c>
    </row>
    <row r="740" spans="1:10" x14ac:dyDescent="0.3">
      <c r="A740" t="str">
        <f>HYPERLINK("https://us2.cloudbeds.com/connect/10074733072513#/reservations/30653532926148?display=YQ8DQU8VW&amp;reservation_id=30653532926148", "YQ8DQU8VW")</f>
        <v>YQ8DQU8VW</v>
      </c>
      <c r="B740" t="s">
        <v>10</v>
      </c>
      <c r="C740" t="s">
        <v>42</v>
      </c>
      <c r="D740" t="str">
        <f>HYPERLINK("https://us2.cloudbeds.com/connect/10074733072513#/reservations/30653532926148?display=Jerry%20Ward&amp;reservation_id=30653532926148&amp;guest_id=17963757646033", "Jerry Ward")</f>
        <v>Jerry Ward</v>
      </c>
      <c r="E740" t="s">
        <v>327</v>
      </c>
      <c r="F740" t="s">
        <v>328</v>
      </c>
      <c r="G740">
        <v>801.9</v>
      </c>
      <c r="H740">
        <v>871.65</v>
      </c>
      <c r="I740">
        <v>871.67</v>
      </c>
      <c r="J740">
        <v>-0.02</v>
      </c>
    </row>
    <row r="741" spans="1:10" x14ac:dyDescent="0.3">
      <c r="A741" t="str">
        <f>HYPERLINK("https://us2.cloudbeds.com/connect/10074733072513#/reservations/30650638151837?display=YQ65RVU0A&amp;reservation_id=30650638151837", "YQ65RVU0A")</f>
        <v>YQ65RVU0A</v>
      </c>
      <c r="B741" t="s">
        <v>10</v>
      </c>
      <c r="C741" t="s">
        <v>14</v>
      </c>
      <c r="D741" t="str">
        <f>HYPERLINK("https://us2.cloudbeds.com/connect/10074733072513#/reservations/30650638151837?display=Malissa%20Kilber&amp;reservation_id=30650638151837&amp;guest_id=30650638151829", "Malissa Kilber")</f>
        <v>Malissa Kilber</v>
      </c>
      <c r="E741" t="s">
        <v>467</v>
      </c>
      <c r="F741" t="s">
        <v>384</v>
      </c>
      <c r="G741">
        <v>206.4</v>
      </c>
      <c r="H741">
        <v>224.34</v>
      </c>
      <c r="I741">
        <v>224.36</v>
      </c>
      <c r="J741">
        <v>-0.02</v>
      </c>
    </row>
    <row r="742" spans="1:10" x14ac:dyDescent="0.3">
      <c r="A742" t="str">
        <f>HYPERLINK("https://us2.cloudbeds.com/connect/10074733072513#/reservations/30649450197210?display=YQ58G8AJ8&amp;reservation_id=30649450197210", "YQ58G8AJ8")</f>
        <v>YQ58G8AJ8</v>
      </c>
      <c r="B742" t="s">
        <v>10</v>
      </c>
      <c r="C742" t="s">
        <v>42</v>
      </c>
      <c r="D742" t="str">
        <f>HYPERLINK("https://us2.cloudbeds.com/connect/10074733072513#/reservations/30649450197210?display=Jean%20Rausch&amp;reservation_id=30649450197210&amp;guest_id=30649442197637", "Jean Rausch")</f>
        <v>Jean Rausch</v>
      </c>
      <c r="E742" t="s">
        <v>477</v>
      </c>
      <c r="F742" t="s">
        <v>478</v>
      </c>
      <c r="G742">
        <v>1152</v>
      </c>
      <c r="H742">
        <v>1252.2</v>
      </c>
      <c r="I742">
        <v>1252.22</v>
      </c>
      <c r="J742">
        <v>-0.02</v>
      </c>
    </row>
    <row r="743" spans="1:10" x14ac:dyDescent="0.3">
      <c r="A743" t="str">
        <f>HYPERLINK("https://us2.cloudbeds.com/connect/10074733072513#/reservations/30648143216840?display=YQ4835YVG&amp;reservation_id=30648143216840", "YQ4835YVG")</f>
        <v>YQ4835YVG</v>
      </c>
      <c r="B743" t="s">
        <v>10</v>
      </c>
      <c r="C743" t="s">
        <v>14</v>
      </c>
      <c r="D743" t="str">
        <f>HYPERLINK("https://us2.cloudbeds.com/connect/10074733072513#/reservations/30648143216840?display=Deborah%20Tobacco&amp;reservation_id=30648143216840&amp;guest_id=30648143216836", "Deborah Tobacco")</f>
        <v>Deborah Tobacco</v>
      </c>
      <c r="E743" t="s">
        <v>496</v>
      </c>
      <c r="F743" t="s">
        <v>461</v>
      </c>
      <c r="G743">
        <v>145.91999999999999</v>
      </c>
      <c r="H743">
        <v>158.6</v>
      </c>
      <c r="I743">
        <v>158.62</v>
      </c>
      <c r="J743">
        <v>-0.02</v>
      </c>
    </row>
    <row r="744" spans="1:10" x14ac:dyDescent="0.3">
      <c r="A744" t="str">
        <f>HYPERLINK("https://us2.cloudbeds.com/connect/10074733072513#/reservations/30648780517595?display=YQ4ZCXGEJ&amp;reservation_id=30648780517595", "YQ4ZCXGEJ")</f>
        <v>YQ4ZCXGEJ</v>
      </c>
      <c r="B744" t="s">
        <v>10</v>
      </c>
      <c r="C744" t="s">
        <v>14</v>
      </c>
      <c r="D744" t="str">
        <f>HYPERLINK("https://us2.cloudbeds.com/connect/10074733072513#/reservations/30648780517595?display=Scott%20Jones&amp;reservation_id=30648780517595&amp;guest_id=30648780517592", "Scott Jones")</f>
        <v>Scott Jones</v>
      </c>
      <c r="E744" t="s">
        <v>503</v>
      </c>
      <c r="F744" t="s">
        <v>504</v>
      </c>
      <c r="G744">
        <v>166.4</v>
      </c>
      <c r="H744">
        <v>180.86</v>
      </c>
      <c r="I744">
        <v>180.88</v>
      </c>
      <c r="J744">
        <v>-0.02</v>
      </c>
    </row>
    <row r="745" spans="1:10" x14ac:dyDescent="0.3">
      <c r="A745" t="str">
        <f>HYPERLINK("https://us2.cloudbeds.com/connect/10074733072513#/reservations/30652199596284?display=YQ7CZKD9N&amp;reservation_id=30652199596284", "YQ7CZKD9N")</f>
        <v>YQ7CZKD9N</v>
      </c>
      <c r="B745" t="s">
        <v>10</v>
      </c>
      <c r="C745" t="s">
        <v>42</v>
      </c>
      <c r="D745" t="str">
        <f>HYPERLINK("https://us2.cloudbeds.com/connect/10074733072513#/reservations/30652199596284?display=Sheils%20Wetovick&amp;reservation_id=30652199596284&amp;guest_id=30652199596235", "Sheils Wetovick")</f>
        <v>Sheils Wetovick</v>
      </c>
      <c r="E745" t="s">
        <v>517</v>
      </c>
      <c r="F745" t="s">
        <v>218</v>
      </c>
      <c r="G745">
        <v>236.3</v>
      </c>
      <c r="H745">
        <v>256.83999999999997</v>
      </c>
      <c r="I745">
        <v>256.86</v>
      </c>
      <c r="J745">
        <v>-0.02</v>
      </c>
    </row>
    <row r="746" spans="1:10" x14ac:dyDescent="0.3">
      <c r="A746" t="str">
        <f>HYPERLINK("https://us2.cloudbeds.com/connect/10074733072513#/reservations/30651970588878?display=YQ76TGURB&amp;reservation_id=30651970588878", "YQ76TGURB")</f>
        <v>YQ76TGURB</v>
      </c>
      <c r="B746" t="s">
        <v>10</v>
      </c>
      <c r="C746" t="s">
        <v>11</v>
      </c>
      <c r="D746" t="str">
        <f>HYPERLINK("https://us2.cloudbeds.com/connect/10074733072513#/reservations/30651970588878?display=Nicole%20Watson&amp;reservation_id=30651970588878&amp;guest_id=30651970588875", "Nicole Watson")</f>
        <v>Nicole Watson</v>
      </c>
      <c r="E746" t="s">
        <v>539</v>
      </c>
      <c r="F746" t="s">
        <v>409</v>
      </c>
      <c r="G746">
        <v>150.97999999999999</v>
      </c>
      <c r="H746">
        <v>164.1</v>
      </c>
      <c r="I746">
        <v>164.12</v>
      </c>
      <c r="J746">
        <v>-0.02</v>
      </c>
    </row>
    <row r="747" spans="1:10" x14ac:dyDescent="0.3">
      <c r="A747" t="str">
        <f>HYPERLINK("https://us2.cloudbeds.com/connect/10074733072513#/reservations/30653696717026?display=YQ8X00WQU&amp;reservation_id=30653696717026", "YQ8X00WQU")</f>
        <v>YQ8X00WQU</v>
      </c>
      <c r="B747" t="s">
        <v>10</v>
      </c>
      <c r="C747" t="s">
        <v>11</v>
      </c>
      <c r="D747" t="str">
        <f>HYPERLINK("https://us2.cloudbeds.com/connect/10074733072513#/reservations/30653696717026?display=Sherri%20Thompson&amp;reservation_id=30653696717026&amp;guest_id=30653696717022", "Sherri Thompson")</f>
        <v>Sherri Thompson</v>
      </c>
      <c r="E747" t="s">
        <v>540</v>
      </c>
      <c r="F747" t="s">
        <v>541</v>
      </c>
      <c r="G747">
        <v>206.4</v>
      </c>
      <c r="H747">
        <v>224.34</v>
      </c>
      <c r="I747">
        <v>224.36</v>
      </c>
      <c r="J747">
        <v>-0.02</v>
      </c>
    </row>
    <row r="748" spans="1:10" x14ac:dyDescent="0.3">
      <c r="A748" t="str">
        <f>HYPERLINK("https://us2.cloudbeds.com/connect/10074733072513#/reservations/30652010234069?display=YQ77TV3VZ&amp;reservation_id=30652010234069", "YQ77TV3VZ")</f>
        <v>YQ77TV3VZ</v>
      </c>
      <c r="B748" t="s">
        <v>10</v>
      </c>
      <c r="C748" t="s">
        <v>11</v>
      </c>
      <c r="D748" t="str">
        <f>HYPERLINK("https://us2.cloudbeds.com/connect/10074733072513#/reservations/30652010234069?display=Jc%20Seaman&amp;reservation_id=30652010234069&amp;guest_id=30652004540618", "Jc Seaman")</f>
        <v>Jc Seaman</v>
      </c>
      <c r="E748" t="s">
        <v>563</v>
      </c>
      <c r="F748" t="s">
        <v>564</v>
      </c>
      <c r="G748">
        <v>128.30000000000001</v>
      </c>
      <c r="H748">
        <v>139.44</v>
      </c>
      <c r="I748">
        <v>139.46</v>
      </c>
      <c r="J748">
        <v>-0.02</v>
      </c>
    </row>
    <row r="749" spans="1:10" x14ac:dyDescent="0.3">
      <c r="A749" t="str">
        <f>HYPERLINK("https://us2.cloudbeds.com/connect/10074733072513#/reservations/30648606036151?display=YQ4JUE9Z3&amp;reservation_id=30648606036151", "YQ4JUE9Z3")</f>
        <v>YQ4JUE9Z3</v>
      </c>
      <c r="B749" t="s">
        <v>10</v>
      </c>
      <c r="C749" t="s">
        <v>14</v>
      </c>
      <c r="D749" t="str">
        <f>HYPERLINK("https://us2.cloudbeds.com/connect/10074733072513#/reservations/30648606036151?display=Thomas%20Lebeau&amp;reservation_id=30648606036151&amp;guest_id=30648606036146", "Thomas Lebeau")</f>
        <v>Thomas Lebeau</v>
      </c>
      <c r="E749" t="s">
        <v>570</v>
      </c>
      <c r="F749" t="s">
        <v>569</v>
      </c>
      <c r="G749">
        <v>128.30000000000001</v>
      </c>
      <c r="H749">
        <v>139.44</v>
      </c>
      <c r="I749">
        <v>139.46</v>
      </c>
      <c r="J749">
        <v>-0.02</v>
      </c>
    </row>
    <row r="750" spans="1:10" x14ac:dyDescent="0.3">
      <c r="A750" t="str">
        <f>HYPERLINK("https://us2.cloudbeds.com/connect/10074733072513#/reservations/30652768854231?display=YQ7R9KRSH&amp;reservation_id=30652768854231", "YQ7R9KRSH")</f>
        <v>YQ7R9KRSH</v>
      </c>
      <c r="B750" t="s">
        <v>10</v>
      </c>
      <c r="C750" t="s">
        <v>42</v>
      </c>
      <c r="D750" t="str">
        <f>HYPERLINK("https://us2.cloudbeds.com/connect/10074733072513#/reservations/30652768854231?display=Sam%20Otto&amp;reservation_id=30652768854231&amp;guest_id=30652768854227", "Sam Otto")</f>
        <v>Sam Otto</v>
      </c>
      <c r="E750" t="s">
        <v>602</v>
      </c>
      <c r="F750" t="s">
        <v>576</v>
      </c>
      <c r="G750">
        <v>236.3</v>
      </c>
      <c r="H750">
        <v>256.83999999999997</v>
      </c>
      <c r="I750">
        <v>256.86</v>
      </c>
      <c r="J750">
        <v>-0.02</v>
      </c>
    </row>
    <row r="751" spans="1:10" x14ac:dyDescent="0.3">
      <c r="A751" t="str">
        <f>HYPERLINK("https://us2.cloudbeds.com/connect/10074733072513#/reservations/30652759142553?display=YQ7R1EJT8&amp;reservation_id=30652759142553", "YQ7R1EJT8")</f>
        <v>YQ7R1EJT8</v>
      </c>
      <c r="B751" t="s">
        <v>10</v>
      </c>
      <c r="C751" t="s">
        <v>42</v>
      </c>
      <c r="D751" t="str">
        <f>HYPERLINK("https://us2.cloudbeds.com/connect/10074733072513#/reservations/30652759142553?display=Andrew%20Heymans&amp;reservation_id=30652759142553&amp;guest_id=30652759142550", "Andrew Heymans")</f>
        <v>Andrew Heymans</v>
      </c>
      <c r="E751" t="s">
        <v>602</v>
      </c>
      <c r="F751" t="s">
        <v>576</v>
      </c>
      <c r="G751">
        <v>287.3</v>
      </c>
      <c r="H751">
        <v>312.27999999999997</v>
      </c>
      <c r="I751">
        <v>312.3</v>
      </c>
      <c r="J751">
        <v>-0.02</v>
      </c>
    </row>
    <row r="752" spans="1:10" x14ac:dyDescent="0.3">
      <c r="A752" t="str">
        <f>HYPERLINK("https://us2.cloudbeds.com/connect/10074733072513#/reservations/30651368517766?display=YQ6ZGRDQ6&amp;reservation_id=30651368517766", "YQ6ZGRDQ6")</f>
        <v>YQ6ZGRDQ6</v>
      </c>
      <c r="B752" t="s">
        <v>10</v>
      </c>
      <c r="C752" t="s">
        <v>20</v>
      </c>
      <c r="D752" t="str">
        <f>HYPERLINK("https://us2.cloudbeds.com/connect/10074733072513#/reservations/30651368517766?display=Leyna%20Hoffer&amp;reservation_id=30651368517766&amp;guest_id=30651368517760", "Leyna Hoffer")</f>
        <v>Leyna Hoffer</v>
      </c>
      <c r="E752" t="s">
        <v>642</v>
      </c>
      <c r="F752" t="s">
        <v>643</v>
      </c>
      <c r="G752">
        <v>286.39999999999998</v>
      </c>
      <c r="H752">
        <v>311.3</v>
      </c>
      <c r="I752">
        <v>311.32</v>
      </c>
      <c r="J752">
        <v>-0.02</v>
      </c>
    </row>
    <row r="753" spans="1:10" x14ac:dyDescent="0.3">
      <c r="A753" t="str">
        <f>HYPERLINK("https://us2.cloudbeds.com/connect/10074733072513#/reservations/30651931181250?display=YQ75T9BRQ&amp;reservation_id=30651931181250", "YQ75T9BRQ")</f>
        <v>YQ75T9BRQ</v>
      </c>
      <c r="B753" t="s">
        <v>10</v>
      </c>
      <c r="C753" t="s">
        <v>14</v>
      </c>
      <c r="D753" t="str">
        <f>HYPERLINK("https://us2.cloudbeds.com/connect/10074733072513#/reservations/30651931181250?display=Jim%20White&amp;reservation_id=30651931181250&amp;guest_id=30651923742946", "Jim White")</f>
        <v>Jim White</v>
      </c>
      <c r="E753" t="s">
        <v>645</v>
      </c>
      <c r="F753" t="s">
        <v>409</v>
      </c>
      <c r="G753">
        <v>201.6</v>
      </c>
      <c r="H753">
        <v>219.12</v>
      </c>
      <c r="I753">
        <v>219.14</v>
      </c>
      <c r="J753">
        <v>-0.02</v>
      </c>
    </row>
    <row r="754" spans="1:10" x14ac:dyDescent="0.3">
      <c r="A754" t="str">
        <f>HYPERLINK("https://us2.cloudbeds.com/connect/10074733072513#/reservations/30651227639961?display=YQ6KU19DQ&amp;reservation_id=30651227639961", "YQ6KU19DQ")</f>
        <v>YQ6KU19DQ</v>
      </c>
      <c r="B754" t="s">
        <v>10</v>
      </c>
      <c r="C754" t="s">
        <v>121</v>
      </c>
      <c r="D754" t="str">
        <f>HYPERLINK("https://us2.cloudbeds.com/connect/10074733072513#/reservations/30651227639961?display=Victoria%20Brant&amp;reservation_id=30651227639961&amp;guest_id=30651227639952", "Victoria Brant")</f>
        <v>Victoria Brant</v>
      </c>
      <c r="E754" t="s">
        <v>659</v>
      </c>
      <c r="F754" t="s">
        <v>660</v>
      </c>
      <c r="G754">
        <v>392.4</v>
      </c>
      <c r="H754">
        <v>426.52</v>
      </c>
      <c r="I754">
        <v>426.54</v>
      </c>
      <c r="J754">
        <v>-0.02</v>
      </c>
    </row>
    <row r="755" spans="1:10" x14ac:dyDescent="0.3">
      <c r="A755" t="str">
        <f>HYPERLINK("https://us2.cloudbeds.com/connect/10074733072513#/reservations/30650976784583?display=YQ6EGGSHM&amp;reservation_id=30650976784583", "YQ6EGGSHM")</f>
        <v>YQ6EGGSHM</v>
      </c>
      <c r="B755" t="s">
        <v>10</v>
      </c>
      <c r="C755" t="s">
        <v>14</v>
      </c>
      <c r="D755" t="str">
        <f>HYPERLINK("https://us2.cloudbeds.com/connect/10074733072513#/reservations/30650976784583?display=Allen%20Weihe&amp;reservation_id=30650976784583&amp;guest_id=30650976784579", "Allen Weihe")</f>
        <v>Allen Weihe</v>
      </c>
      <c r="E755" t="s">
        <v>678</v>
      </c>
      <c r="F755" t="s">
        <v>679</v>
      </c>
      <c r="G755">
        <v>261.60000000000002</v>
      </c>
      <c r="H755">
        <v>284.33999999999997</v>
      </c>
      <c r="I755">
        <v>284.36</v>
      </c>
      <c r="J755">
        <v>-0.02</v>
      </c>
    </row>
    <row r="756" spans="1:10" x14ac:dyDescent="0.3">
      <c r="A756" t="str">
        <f>HYPERLINK("https://us2.cloudbeds.com/connect/10074733072513#/reservations/30651666731233?display=YQ6W49YBU&amp;reservation_id=30651666731233", "YQ6W49YBU")</f>
        <v>YQ6W49YBU</v>
      </c>
      <c r="B756" t="s">
        <v>10</v>
      </c>
      <c r="C756" t="s">
        <v>11</v>
      </c>
      <c r="D756" t="str">
        <f>HYPERLINK("https://us2.cloudbeds.com/connect/10074733072513#/reservations/30651666731233?display=Wayne%20D%20Krebs&amp;reservation_id=30651666731233&amp;guest_id=30651659571347", "Wayne D Krebs")</f>
        <v>Wayne D Krebs</v>
      </c>
      <c r="E756" t="s">
        <v>691</v>
      </c>
      <c r="F756" t="s">
        <v>585</v>
      </c>
      <c r="G756">
        <v>128.30000000000001</v>
      </c>
      <c r="H756">
        <v>139.44</v>
      </c>
      <c r="I756">
        <v>139.46</v>
      </c>
      <c r="J756">
        <v>-0.02</v>
      </c>
    </row>
    <row r="757" spans="1:10" x14ac:dyDescent="0.3">
      <c r="A757" t="str">
        <f>HYPERLINK("https://us2.cloudbeds.com/connect/10074733072513#/reservations/30653373378690?display=YQ89ZCKZH&amp;reservation_id=30653373378690", "YQ89ZCKZH")</f>
        <v>YQ89ZCKZH</v>
      </c>
      <c r="B757" t="s">
        <v>10</v>
      </c>
      <c r="C757" t="s">
        <v>121</v>
      </c>
      <c r="D757" t="str">
        <f>HYPERLINK("https://us2.cloudbeds.com/connect/10074733072513#/reservations/30653373378690?display=Robert%20Nichols&amp;reservation_id=30653373378690&amp;guest_id=30653367984369", "Robert Nichols")</f>
        <v>Robert Nichols</v>
      </c>
      <c r="E757" t="s">
        <v>694</v>
      </c>
      <c r="F757" t="s">
        <v>684</v>
      </c>
      <c r="G757">
        <v>490.5</v>
      </c>
      <c r="H757">
        <v>533.15</v>
      </c>
      <c r="I757">
        <v>533.16999999999996</v>
      </c>
      <c r="J757">
        <v>-0.02</v>
      </c>
    </row>
    <row r="758" spans="1:10" x14ac:dyDescent="0.3">
      <c r="A758" t="str">
        <f>HYPERLINK("https://us2.cloudbeds.com/connect/10074733072513#/reservations/30651130237125?display=YQ6XDTTVN&amp;reservation_id=30651130237125", "YQ6XDTTVN")</f>
        <v>YQ6XDTTVN</v>
      </c>
      <c r="B758" t="s">
        <v>10</v>
      </c>
      <c r="C758" t="s">
        <v>11</v>
      </c>
      <c r="D758" t="str">
        <f>HYPERLINK("https://us2.cloudbeds.com/connect/10074733072513#/reservations/30651130237125?display=Jodi%20Mickelson&amp;reservation_id=30651130237125&amp;guest_id=30651130237123", "Jodi Mickelson")</f>
        <v>Jodi Mickelson</v>
      </c>
      <c r="E758" t="s">
        <v>695</v>
      </c>
      <c r="F758" t="s">
        <v>617</v>
      </c>
      <c r="G758">
        <v>128.30000000000001</v>
      </c>
      <c r="H758">
        <v>139.44</v>
      </c>
      <c r="I758">
        <v>139.46</v>
      </c>
      <c r="J758">
        <v>-0.02</v>
      </c>
    </row>
    <row r="759" spans="1:10" x14ac:dyDescent="0.3">
      <c r="A759" t="str">
        <f>HYPERLINK("https://us2.cloudbeds.com/connect/10074733072513#/reservations/30652602065083?display=YQ7N0WMPU&amp;reservation_id=30652602065083", "YQ7N0WMPU")</f>
        <v>YQ7N0WMPU</v>
      </c>
      <c r="B759" t="s">
        <v>10</v>
      </c>
      <c r="C759" t="s">
        <v>14</v>
      </c>
      <c r="D759" t="str">
        <f>HYPERLINK("https://us2.cloudbeds.com/connect/10074733072513#/reservations/30652602065083?display=Allen%20Weihe&amp;reservation_id=30652602065083&amp;guest_id=30650976784579", "Allen Weihe")</f>
        <v>Allen Weihe</v>
      </c>
      <c r="E759" t="s">
        <v>678</v>
      </c>
      <c r="F759" t="s">
        <v>696</v>
      </c>
      <c r="G759">
        <v>206.4</v>
      </c>
      <c r="H759">
        <v>224.34</v>
      </c>
      <c r="I759">
        <v>224.36</v>
      </c>
      <c r="J759">
        <v>-0.02</v>
      </c>
    </row>
    <row r="760" spans="1:10" x14ac:dyDescent="0.3">
      <c r="A760" t="str">
        <f>HYPERLINK("https://us2.cloudbeds.com/connect/10074733072513#/reservations/30651729326213?display=YQ70Z2EMG&amp;reservation_id=30651729326213", "YQ70Z2EMG")</f>
        <v>YQ70Z2EMG</v>
      </c>
      <c r="B760" t="s">
        <v>10</v>
      </c>
      <c r="C760" t="s">
        <v>11</v>
      </c>
      <c r="D760" t="str">
        <f>HYPERLINK("https://us2.cloudbeds.com/connect/10074733072513#/reservations/30651729326213?display=Shannon%20Huff&amp;reservation_id=30651729326213&amp;guest_id=30651729326209", "Shannon Huff")</f>
        <v>Shannon Huff</v>
      </c>
      <c r="E760" t="s">
        <v>709</v>
      </c>
      <c r="F760" t="s">
        <v>710</v>
      </c>
      <c r="G760">
        <v>192.4</v>
      </c>
      <c r="H760">
        <v>209.12</v>
      </c>
      <c r="I760">
        <v>209.14</v>
      </c>
      <c r="J760">
        <v>-0.02</v>
      </c>
    </row>
    <row r="761" spans="1:10" x14ac:dyDescent="0.3">
      <c r="A761" t="str">
        <f>HYPERLINK("https://us2.cloudbeds.com/connect/10074733072513#/reservations/30649835798728?display=YQ5XBD89Z&amp;reservation_id=30649835798728", "YQ5XBD89Z")</f>
        <v>YQ5XBD89Z</v>
      </c>
      <c r="B761" t="s">
        <v>10</v>
      </c>
      <c r="C761" t="s">
        <v>11</v>
      </c>
      <c r="D761" t="str">
        <f>HYPERLINK("https://us2.cloudbeds.com/connect/10074733072513#/reservations/30649835798728?display=Joseph%20Miller&amp;reservation_id=30649835798728&amp;guest_id=30649835798726", "Joseph Miller")</f>
        <v>Joseph Miller</v>
      </c>
      <c r="E761" t="s">
        <v>712</v>
      </c>
      <c r="F761" t="s">
        <v>658</v>
      </c>
      <c r="G761">
        <v>396.6</v>
      </c>
      <c r="H761">
        <v>431.08</v>
      </c>
      <c r="I761">
        <v>431.1</v>
      </c>
      <c r="J761">
        <v>-0.02</v>
      </c>
    </row>
    <row r="762" spans="1:10" x14ac:dyDescent="0.3">
      <c r="A762" t="str">
        <f>HYPERLINK("https://us2.cloudbeds.com/connect/10074733072513#/reservations/30650464116959?display=YQ61D74C4&amp;reservation_id=30650464116959", "YQ61D74C4")</f>
        <v>YQ61D74C4</v>
      </c>
      <c r="B762" t="s">
        <v>10</v>
      </c>
      <c r="C762" t="s">
        <v>11</v>
      </c>
      <c r="D762" t="str">
        <f>HYPERLINK("https://us2.cloudbeds.com/connect/10074733072513#/reservations/30650464116959?display=Elisabeth%20Ketterer&amp;reservation_id=30650464116959&amp;guest_id=30648558907590", "Elisabeth Ketterer")</f>
        <v>Elisabeth Ketterer</v>
      </c>
      <c r="E762" t="s">
        <v>718</v>
      </c>
      <c r="F762" t="s">
        <v>719</v>
      </c>
      <c r="G762">
        <v>128.30000000000001</v>
      </c>
      <c r="H762">
        <v>139.44</v>
      </c>
      <c r="I762">
        <v>139.46</v>
      </c>
      <c r="J762">
        <v>-0.02</v>
      </c>
    </row>
    <row r="763" spans="1:10" x14ac:dyDescent="0.3">
      <c r="A763" t="str">
        <f>HYPERLINK("https://us2.cloudbeds.com/connect/10074733072513#/reservations/30653723476113?display=YQ8XMJJWA&amp;reservation_id=30653723476113", "YQ8XMJJWA")</f>
        <v>YQ8XMJJWA</v>
      </c>
      <c r="B763" t="s">
        <v>10</v>
      </c>
      <c r="C763" t="s">
        <v>14</v>
      </c>
      <c r="D763" t="str">
        <f>HYPERLINK("https://us2.cloudbeds.com/connect/10074733072513#/reservations/30653723476113?display=Sara%20Higgins&amp;reservation_id=30653723476113&amp;guest_id=30653717991678", "Sara Higgins")</f>
        <v>Sara Higgins</v>
      </c>
      <c r="E763" t="s">
        <v>720</v>
      </c>
      <c r="F763" t="s">
        <v>541</v>
      </c>
      <c r="G763">
        <v>128.30000000000001</v>
      </c>
      <c r="H763">
        <v>139.44</v>
      </c>
      <c r="I763">
        <v>139.46</v>
      </c>
      <c r="J763">
        <v>-0.02</v>
      </c>
    </row>
    <row r="764" spans="1:10" x14ac:dyDescent="0.3">
      <c r="A764" t="str">
        <f>HYPERLINK("https://us2.cloudbeds.com/connect/10074733072513#/reservations/30650582991049?display=YQ64EEWA9&amp;reservation_id=30650582991049", "YQ64EEWA9")</f>
        <v>YQ64EEWA9</v>
      </c>
      <c r="B764" t="s">
        <v>10</v>
      </c>
      <c r="C764" t="s">
        <v>14</v>
      </c>
      <c r="D764" t="str">
        <f>HYPERLINK("https://us2.cloudbeds.com/connect/10074733072513#/reservations/30650582991049?display=Melissa%20Zens&amp;reservation_id=30650582991049&amp;guest_id=30650576568572", "Melissa Zens")</f>
        <v>Melissa Zens</v>
      </c>
      <c r="E764" t="s">
        <v>730</v>
      </c>
      <c r="F764" t="s">
        <v>693</v>
      </c>
      <c r="G764">
        <v>128.30000000000001</v>
      </c>
      <c r="H764">
        <v>139.44</v>
      </c>
      <c r="I764">
        <v>139.46</v>
      </c>
      <c r="J764">
        <v>-0.02</v>
      </c>
    </row>
    <row r="765" spans="1:10" x14ac:dyDescent="0.3">
      <c r="A765" t="str">
        <f>HYPERLINK("https://us2.cloudbeds.com/connect/10074733072513#/reservations/30651810734232?display=YQ72QNZH5&amp;reservation_id=30651810734232", "YQ72QNZH5")</f>
        <v>YQ72QNZH5</v>
      </c>
      <c r="B765" t="s">
        <v>10</v>
      </c>
      <c r="C765" t="s">
        <v>42</v>
      </c>
      <c r="D765" t="str">
        <f>HYPERLINK("https://us2.cloudbeds.com/connect/10074733072513#/reservations/30651810734232?display=Anna%20Dorr&amp;reservation_id=30651810734232&amp;guest_id=30651810734227", "Anna Dorr")</f>
        <v>Anna Dorr</v>
      </c>
      <c r="E765" t="s">
        <v>740</v>
      </c>
      <c r="F765" t="s">
        <v>686</v>
      </c>
      <c r="G765">
        <v>186.4</v>
      </c>
      <c r="H765">
        <v>202.6</v>
      </c>
      <c r="I765">
        <v>202.62</v>
      </c>
      <c r="J765">
        <v>-0.02</v>
      </c>
    </row>
    <row r="766" spans="1:10" x14ac:dyDescent="0.3">
      <c r="A766" t="str">
        <f>HYPERLINK("https://us2.cloudbeds.com/connect/10074733072513#/reservations/30654932685015?display=YQ9GJ7KYB&amp;reservation_id=30654932685015", "YQ9GJ7KYB")</f>
        <v>YQ9GJ7KYB</v>
      </c>
      <c r="B766" t="s">
        <v>10</v>
      </c>
      <c r="C766" t="s">
        <v>20</v>
      </c>
      <c r="D766" t="str">
        <f>HYPERLINK("https://us2.cloudbeds.com/connect/10074733072513#/reservations/30654932685015?display=David%20Lyons&amp;reservation_id=30654932685015&amp;guest_id=30654932685011", "David Lyons")</f>
        <v>David Lyons</v>
      </c>
      <c r="E766" t="s">
        <v>758</v>
      </c>
      <c r="F766" t="s">
        <v>759</v>
      </c>
      <c r="G766">
        <v>206.4</v>
      </c>
      <c r="H766">
        <v>224.34</v>
      </c>
      <c r="I766">
        <v>224.36</v>
      </c>
      <c r="J766">
        <v>-0.02</v>
      </c>
    </row>
    <row r="767" spans="1:10" x14ac:dyDescent="0.3">
      <c r="A767" t="str">
        <f>HYPERLINK("https://us2.cloudbeds.com/connect/10074733072513#/reservations/30650096484535?display=YQ5P0776Y&amp;reservation_id=30650096484535", "YQ5P0776Y")</f>
        <v>YQ5P0776Y</v>
      </c>
      <c r="B767" t="s">
        <v>10</v>
      </c>
      <c r="C767" t="s">
        <v>11</v>
      </c>
      <c r="D767" t="str">
        <f>HYPERLINK("https://us2.cloudbeds.com/connect/10074733072513#/reservations/30650096484535?display=Dennis%20Hilfer&amp;reservation_id=30650096484535&amp;guest_id=30650096484530", "Dennis Hilfer")</f>
        <v>Dennis Hilfer</v>
      </c>
      <c r="E767" t="s">
        <v>762</v>
      </c>
      <c r="F767" t="s">
        <v>763</v>
      </c>
      <c r="G767">
        <v>128.30000000000001</v>
      </c>
      <c r="H767">
        <v>139.44</v>
      </c>
      <c r="I767">
        <v>139.46</v>
      </c>
      <c r="J767">
        <v>-0.02</v>
      </c>
    </row>
    <row r="768" spans="1:10" x14ac:dyDescent="0.3">
      <c r="A768" t="str">
        <f>HYPERLINK("https://us2.cloudbeds.com/connect/10074733072513#/reservations/30650338574555?display=YQ5V6BZ2S&amp;reservation_id=30650338574555", "YQ5V6BZ2S")</f>
        <v>YQ5V6BZ2S</v>
      </c>
      <c r="B768" t="s">
        <v>10</v>
      </c>
      <c r="C768" t="s">
        <v>11</v>
      </c>
      <c r="D768" t="str">
        <f>HYPERLINK("https://us2.cloudbeds.com/connect/10074733072513#/reservations/30650338574555?display=Joshua%20Jacobs&amp;reservation_id=30650338574555&amp;guest_id=30650338574551", "Joshua Jacobs")</f>
        <v>Joshua Jacobs</v>
      </c>
      <c r="E768" t="s">
        <v>769</v>
      </c>
      <c r="F768" t="s">
        <v>770</v>
      </c>
      <c r="G768">
        <v>128.30000000000001</v>
      </c>
      <c r="H768">
        <v>139.44</v>
      </c>
      <c r="I768">
        <v>139.46</v>
      </c>
      <c r="J768">
        <v>-0.02</v>
      </c>
    </row>
    <row r="769" spans="1:10" x14ac:dyDescent="0.3">
      <c r="A769" t="str">
        <f>HYPERLINK("https://us2.cloudbeds.com/connect/10074733072513#/reservations/30650349007017?display=YQ5VF50V2&amp;reservation_id=30650349007017", "YQ5VF50V2")</f>
        <v>YQ5VF50V2</v>
      </c>
      <c r="B769" t="s">
        <v>10</v>
      </c>
      <c r="C769" t="s">
        <v>14</v>
      </c>
      <c r="D769" t="str">
        <f>HYPERLINK("https://us2.cloudbeds.com/connect/10074733072513#/reservations/30650349007017?display=Jeff%20Keinroth&amp;reservation_id=30650349007017&amp;guest_id=30650338578652", "Jeff Keinroth")</f>
        <v>Jeff Keinroth</v>
      </c>
      <c r="E769" t="s">
        <v>781</v>
      </c>
      <c r="F769" t="s">
        <v>770</v>
      </c>
      <c r="G769">
        <v>128.30000000000001</v>
      </c>
      <c r="H769">
        <v>139.44</v>
      </c>
      <c r="I769">
        <v>139.46</v>
      </c>
      <c r="J769">
        <v>-0.02</v>
      </c>
    </row>
    <row r="770" spans="1:10" x14ac:dyDescent="0.3">
      <c r="A770" t="str">
        <f>HYPERLINK("https://us2.cloudbeds.com/connect/10074733072513#/reservations/30651377893606?display=YQ6ZZZACX&amp;reservation_id=30651377893606", "YQ6ZZZACX")</f>
        <v>YQ6ZZZACX</v>
      </c>
      <c r="B770" t="s">
        <v>10</v>
      </c>
      <c r="C770" t="s">
        <v>11</v>
      </c>
      <c r="D770" t="str">
        <f>HYPERLINK("https://us2.cloudbeds.com/connect/10074733072513#/reservations/30651377893606?display=Gregg%20E%20Graber&amp;reservation_id=30651377893606&amp;guest_id=30651377893604", "Gregg E Graber")</f>
        <v>Gregg E Graber</v>
      </c>
      <c r="E770" t="s">
        <v>828</v>
      </c>
      <c r="F770" t="s">
        <v>643</v>
      </c>
      <c r="G770">
        <v>128.30000000000001</v>
      </c>
      <c r="H770">
        <v>139.44</v>
      </c>
      <c r="I770">
        <v>139.46</v>
      </c>
      <c r="J770">
        <v>-0.02</v>
      </c>
    </row>
    <row r="771" spans="1:10" x14ac:dyDescent="0.3">
      <c r="A771" t="str">
        <f>HYPERLINK("https://us2.cloudbeds.com/connect/10074733072513#/reservations/30651162079389?display=YQ6J7ZVSQ&amp;reservation_id=30651162079389", "YQ6J7ZVSQ")</f>
        <v>YQ6J7ZVSQ</v>
      </c>
      <c r="B771" t="s">
        <v>10</v>
      </c>
      <c r="C771" t="s">
        <v>14</v>
      </c>
      <c r="D771" t="str">
        <f>HYPERLINK("https://us2.cloudbeds.com/connect/10074733072513#/reservations/30651162079389?display=Chris%20Edmonds&amp;reservation_id=30651162079389&amp;guest_id=30646291685594", "Chris Edmonds")</f>
        <v>Chris Edmonds</v>
      </c>
      <c r="E771" t="s">
        <v>804</v>
      </c>
      <c r="F771" t="s">
        <v>851</v>
      </c>
      <c r="G771">
        <v>128.30000000000001</v>
      </c>
      <c r="H771">
        <v>139.44</v>
      </c>
      <c r="I771">
        <v>139.46</v>
      </c>
      <c r="J771">
        <v>-0.02</v>
      </c>
    </row>
    <row r="772" spans="1:10" x14ac:dyDescent="0.3">
      <c r="A772" t="str">
        <f>HYPERLINK("https://us2.cloudbeds.com/connect/10074733072513#/reservations/30652867367140?display=YQ7TQN3M6&amp;reservation_id=30652867367140", "YQ7TQN3M6")</f>
        <v>YQ7TQN3M6</v>
      </c>
      <c r="B772" t="s">
        <v>10</v>
      </c>
      <c r="C772" t="s">
        <v>14</v>
      </c>
      <c r="D772" t="str">
        <f>HYPERLINK("https://us2.cloudbeds.com/connect/10074733072513#/reservations/30652867367140?display=Andrew%20Hokom&amp;reservation_id=30652867367140&amp;guest_id=30652867367138", "Andrew Hokom")</f>
        <v>Andrew Hokom</v>
      </c>
      <c r="E772" t="s">
        <v>850</v>
      </c>
      <c r="F772" t="s">
        <v>860</v>
      </c>
      <c r="G772">
        <v>261.60000000000002</v>
      </c>
      <c r="H772">
        <v>284.33999999999997</v>
      </c>
      <c r="I772">
        <v>284.36</v>
      </c>
      <c r="J772">
        <v>-0.02</v>
      </c>
    </row>
    <row r="773" spans="1:10" x14ac:dyDescent="0.3">
      <c r="A773" t="str">
        <f>HYPERLINK("https://us2.cloudbeds.com/connect/10074733072513#/reservations/30654953529553?display=YQ9H3QYY0&amp;reservation_id=30654953529553", "YQ9H3QYY0")</f>
        <v>YQ9H3QYY0</v>
      </c>
      <c r="B773" t="s">
        <v>10</v>
      </c>
      <c r="C773" t="s">
        <v>14</v>
      </c>
      <c r="D773" t="str">
        <f>HYPERLINK("https://us2.cloudbeds.com/connect/10074733072513#/reservations/30654953529553?display=Brenda%20Leclair&amp;reservation_id=30654953529553&amp;guest_id=30654953529551", "Brenda Leclair")</f>
        <v>Brenda Leclair</v>
      </c>
      <c r="E773" t="s">
        <v>872</v>
      </c>
      <c r="F773" t="s">
        <v>873</v>
      </c>
      <c r="G773">
        <v>128.30000000000001</v>
      </c>
      <c r="H773">
        <v>139.44</v>
      </c>
      <c r="I773">
        <v>139.46</v>
      </c>
      <c r="J773">
        <v>-0.02</v>
      </c>
    </row>
    <row r="774" spans="1:10" x14ac:dyDescent="0.3">
      <c r="A774" t="str">
        <f>HYPERLINK("https://us2.cloudbeds.com/connect/10074733072513#/reservations/30655105274017?display=YQ9KWP5J3&amp;reservation_id=30655105274017", "YQ9KWP5J3")</f>
        <v>YQ9KWP5J3</v>
      </c>
      <c r="B774" t="s">
        <v>10</v>
      </c>
      <c r="C774" t="s">
        <v>17</v>
      </c>
      <c r="D774" t="str">
        <f>HYPERLINK("https://us2.cloudbeds.com/connect/10074733072513#/reservations/30655105274017?display=Carol%20Reagan&amp;reservation_id=30655105274017&amp;guest_id=30655105269931", "Carol Reagan")</f>
        <v>Carol Reagan</v>
      </c>
      <c r="E774" t="s">
        <v>874</v>
      </c>
      <c r="F774" t="s">
        <v>875</v>
      </c>
      <c r="G774">
        <v>625.5</v>
      </c>
      <c r="H774">
        <v>679.9</v>
      </c>
      <c r="I774">
        <v>679.92</v>
      </c>
      <c r="J774">
        <v>-0.02</v>
      </c>
    </row>
    <row r="775" spans="1:10" x14ac:dyDescent="0.3">
      <c r="A775" t="str">
        <f>HYPERLINK("https://us2.cloudbeds.com/connect/10074733072513#/reservations/30653496225950?display=YQ8CSW14P&amp;reservation_id=30653496225950", "YQ8CSW14P")</f>
        <v>YQ8CSW14P</v>
      </c>
      <c r="B775" t="s">
        <v>10</v>
      </c>
      <c r="C775" t="s">
        <v>11</v>
      </c>
      <c r="D775" t="str">
        <f>HYPERLINK("https://us2.cloudbeds.com/connect/10074733072513#/reservations/30653496225950?display=Evan%20Fick&amp;reservation_id=30653496225950&amp;guest_id=30653496225948", "Evan Fick")</f>
        <v>Evan Fick</v>
      </c>
      <c r="E775" t="s">
        <v>881</v>
      </c>
      <c r="F775" t="s">
        <v>882</v>
      </c>
      <c r="G775">
        <v>128.30000000000001</v>
      </c>
      <c r="H775">
        <v>139.44</v>
      </c>
      <c r="I775">
        <v>139.46</v>
      </c>
      <c r="J775">
        <v>-0.02</v>
      </c>
    </row>
    <row r="776" spans="1:10" x14ac:dyDescent="0.3">
      <c r="A776" t="str">
        <f>HYPERLINK("https://us2.cloudbeds.com/connect/10074733072513#/reservations/30656198611149?display=YQAFUMT8B&amp;reservation_id=30656198611149", "YQAFUMT8B")</f>
        <v>YQAFUMT8B</v>
      </c>
      <c r="B776" t="s">
        <v>10</v>
      </c>
      <c r="C776" t="s">
        <v>20</v>
      </c>
      <c r="D776" t="str">
        <f>HYPERLINK("https://us2.cloudbeds.com/connect/10074733072513#/reservations/30656198611149?display=Tamara%20King&amp;reservation_id=30656198611149&amp;guest_id=30656198607048", "Tamara King")</f>
        <v>Tamara King</v>
      </c>
      <c r="E776" t="s">
        <v>899</v>
      </c>
      <c r="F776" t="s">
        <v>667</v>
      </c>
      <c r="G776">
        <v>160.19999999999999</v>
      </c>
      <c r="H776">
        <v>174.12</v>
      </c>
      <c r="I776">
        <v>174.14</v>
      </c>
      <c r="J776">
        <v>-0.02</v>
      </c>
    </row>
    <row r="777" spans="1:10" x14ac:dyDescent="0.3">
      <c r="A777" t="str">
        <f>HYPERLINK("https://us2.cloudbeds.com/connect/10074733072513#/reservations/30653431914655?display=YQ8B7ZFPY&amp;reservation_id=30653431914655", "YQ8B7ZFPY")</f>
        <v>YQ8B7ZFPY</v>
      </c>
      <c r="B777" t="s">
        <v>10</v>
      </c>
      <c r="C777" t="s">
        <v>14</v>
      </c>
      <c r="D777" t="str">
        <f>HYPERLINK("https://us2.cloudbeds.com/connect/10074733072513#/reservations/30653431914655?display=Desiree%20Mitchell&amp;reservation_id=30653431914655&amp;guest_id=30650221658254", "Desiree Mitchell")</f>
        <v>Desiree Mitchell</v>
      </c>
      <c r="E777" t="s">
        <v>919</v>
      </c>
      <c r="F777" t="s">
        <v>908</v>
      </c>
      <c r="G777">
        <v>206.06</v>
      </c>
      <c r="H777">
        <v>223.97</v>
      </c>
      <c r="I777">
        <v>223.99</v>
      </c>
      <c r="J777">
        <v>-0.02</v>
      </c>
    </row>
    <row r="778" spans="1:10" x14ac:dyDescent="0.3">
      <c r="A778" t="str">
        <f>HYPERLINK("https://us2.cloudbeds.com/connect/10074733072513#/reservations/30652968579297?display=YQ7WD1G48&amp;reservation_id=30652968579297", "YQ7WD1G48")</f>
        <v>YQ7WD1G48</v>
      </c>
      <c r="B778" t="s">
        <v>10</v>
      </c>
      <c r="C778" t="s">
        <v>11</v>
      </c>
      <c r="D778" t="str">
        <f>HYPERLINK("https://us2.cloudbeds.com/connect/10074733072513#/reservations/30652968579297?display=Brandi%20Fitzgerald&amp;reservation_id=30652968579297&amp;guest_id=30652968579293", "Brandi Fitzgerald")</f>
        <v>Brandi Fitzgerald</v>
      </c>
      <c r="E778" t="s">
        <v>931</v>
      </c>
      <c r="F778" t="s">
        <v>932</v>
      </c>
      <c r="G778">
        <v>128.30000000000001</v>
      </c>
      <c r="H778">
        <v>139.44</v>
      </c>
      <c r="I778">
        <v>139.46</v>
      </c>
      <c r="J778">
        <v>-0.02</v>
      </c>
    </row>
    <row r="779" spans="1:10" x14ac:dyDescent="0.3">
      <c r="A779" t="str">
        <f>HYPERLINK("https://us2.cloudbeds.com/connect/10074733072513#/reservations/30655978856639?display=YQAAACTFP&amp;reservation_id=30655978856639", "YQAAACTFP")</f>
        <v>YQAAACTFP</v>
      </c>
      <c r="B779" t="s">
        <v>10</v>
      </c>
      <c r="C779" t="s">
        <v>14</v>
      </c>
      <c r="D779" t="str">
        <f>HYPERLINK("https://us2.cloudbeds.com/connect/10074733072513#/reservations/30655978856639?display=Nadine%20Samuel&amp;reservation_id=30655978856639&amp;guest_id=30655978856621", "Nadine Samuel")</f>
        <v>Nadine Samuel</v>
      </c>
      <c r="E779" t="s">
        <v>965</v>
      </c>
      <c r="F779" t="s">
        <v>966</v>
      </c>
      <c r="G779">
        <v>144.34</v>
      </c>
      <c r="H779">
        <v>156.88</v>
      </c>
      <c r="I779">
        <v>156.9</v>
      </c>
      <c r="J779">
        <v>-0.02</v>
      </c>
    </row>
    <row r="780" spans="1:10" x14ac:dyDescent="0.3">
      <c r="A780" t="str">
        <f>HYPERLINK("https://us2.cloudbeds.com/connect/10074733072513#/reservations/30654932680906?display=YQ9GJ7GSR&amp;reservation_id=30654932680906", "YQ9GJ7GSR")</f>
        <v>YQ9GJ7GSR</v>
      </c>
      <c r="B780" t="s">
        <v>10</v>
      </c>
      <c r="C780" t="s">
        <v>42</v>
      </c>
      <c r="D780" t="str">
        <f>HYPERLINK("https://us2.cloudbeds.com/connect/10074733072513#/reservations/30654932680906?display=Nathan%20Vandersnick&amp;reservation_id=30654932680906&amp;guest_id=30654922825981", "Nathan Vandersnick")</f>
        <v>Nathan Vandersnick</v>
      </c>
      <c r="E780" t="s">
        <v>969</v>
      </c>
      <c r="F780" t="s">
        <v>923</v>
      </c>
      <c r="G780">
        <v>236.3</v>
      </c>
      <c r="H780">
        <v>256.83999999999997</v>
      </c>
      <c r="I780">
        <v>256.86</v>
      </c>
      <c r="J780">
        <v>-0.02</v>
      </c>
    </row>
    <row r="781" spans="1:10" x14ac:dyDescent="0.3">
      <c r="A781" t="str">
        <f>HYPERLINK("https://us2.cloudbeds.com/connect/10074733072513#/reservations/30655981183128?display=YQAACBKRE&amp;reservation_id=30655981183128", "YQAACBKRE")</f>
        <v>YQAACBKRE</v>
      </c>
      <c r="B781" t="s">
        <v>10</v>
      </c>
      <c r="C781" t="s">
        <v>14</v>
      </c>
      <c r="D781" t="str">
        <f>HYPERLINK("https://us2.cloudbeds.com/connect/10074733072513#/reservations/30655981183128?display=Kevin%20Bethke&amp;reservation_id=30655981183128&amp;guest_id=30655981183117", "Kevin Bethke")</f>
        <v>Kevin Bethke</v>
      </c>
      <c r="E781" t="s">
        <v>970</v>
      </c>
      <c r="F781" t="s">
        <v>966</v>
      </c>
      <c r="G781">
        <v>128.30000000000001</v>
      </c>
      <c r="H781">
        <v>139.44</v>
      </c>
      <c r="I781">
        <v>139.46</v>
      </c>
      <c r="J781">
        <v>-0.02</v>
      </c>
    </row>
    <row r="782" spans="1:10" x14ac:dyDescent="0.3">
      <c r="A782" t="str">
        <f>HYPERLINK("https://us2.cloudbeds.com/connect/10074733072513#/reservations/30653850620115?display=YQ8YUQXVT&amp;reservation_id=30653850620115", "YQ8YUQXVT")</f>
        <v>YQ8YUQXVT</v>
      </c>
      <c r="B782" t="s">
        <v>10</v>
      </c>
      <c r="C782" t="s">
        <v>14</v>
      </c>
      <c r="D782" t="str">
        <f>HYPERLINK("https://us2.cloudbeds.com/connect/10074733072513#/reservations/30653850620115?display=Dennis%20Dunahee&amp;reservation_id=30653850620115&amp;guest_id=30653850620106", "Dennis Dunahee")</f>
        <v>Dennis Dunahee</v>
      </c>
      <c r="E782" t="s">
        <v>983</v>
      </c>
      <c r="F782" t="s">
        <v>984</v>
      </c>
      <c r="G782">
        <v>128.30000000000001</v>
      </c>
      <c r="H782">
        <v>139.44</v>
      </c>
      <c r="I782">
        <v>139.46</v>
      </c>
      <c r="J782">
        <v>-0.02</v>
      </c>
    </row>
    <row r="783" spans="1:10" x14ac:dyDescent="0.3">
      <c r="A783" t="str">
        <f>HYPERLINK("https://us2.cloudbeds.com/connect/10074733072513#/reservations/30653897900196?display=YQ8N4M70K&amp;reservation_id=30653897900196", "YQ8N4M70K")</f>
        <v>YQ8N4M70K</v>
      </c>
      <c r="B783" t="s">
        <v>10</v>
      </c>
      <c r="C783" t="s">
        <v>11</v>
      </c>
      <c r="D783" t="str">
        <f>HYPERLINK("https://us2.cloudbeds.com/connect/10074733072513#/reservations/30653897900196?display=David%20Wipf&amp;reservation_id=30653897900196&amp;guest_id=30653891715277", "David Wipf")</f>
        <v>David Wipf</v>
      </c>
      <c r="E783" t="s">
        <v>1013</v>
      </c>
      <c r="F783" t="s">
        <v>1002</v>
      </c>
      <c r="G783">
        <v>444.8</v>
      </c>
      <c r="H783">
        <v>483.48</v>
      </c>
      <c r="I783">
        <v>483.5</v>
      </c>
      <c r="J783">
        <v>-0.02</v>
      </c>
    </row>
    <row r="784" spans="1:10" x14ac:dyDescent="0.3">
      <c r="A784" t="str">
        <f>HYPERLINK("https://us2.cloudbeds.com/connect/10074733072513#/reservations/30653921509568?display=YQ8NHJV6C&amp;reservation_id=30653921509568", "YQ8NHJV6C")</f>
        <v>YQ8NHJV6C</v>
      </c>
      <c r="B784" t="s">
        <v>10</v>
      </c>
      <c r="C784" t="s">
        <v>11</v>
      </c>
      <c r="D784" t="str">
        <f>HYPERLINK("https://us2.cloudbeds.com/connect/10074733072513#/reservations/30653921509568?display=Thomas%20Friederich&amp;reservation_id=30653921509568&amp;guest_id=30653913231592", "Thomas Friederich")</f>
        <v>Thomas Friederich</v>
      </c>
      <c r="E784" t="s">
        <v>1034</v>
      </c>
      <c r="F784" t="s">
        <v>1023</v>
      </c>
      <c r="G784">
        <v>220.2</v>
      </c>
      <c r="H784">
        <v>239.34</v>
      </c>
      <c r="I784">
        <v>239.36</v>
      </c>
      <c r="J784">
        <v>-0.02</v>
      </c>
    </row>
    <row r="785" spans="1:10" x14ac:dyDescent="0.3">
      <c r="A785" t="str">
        <f>HYPERLINK("https://us2.cloudbeds.com/connect/10074733072513#/reservations/30656246063352?display=YQAH4NABT&amp;reservation_id=30656246063352", "YQAH4NABT")</f>
        <v>YQAH4NABT</v>
      </c>
      <c r="B785" t="s">
        <v>10</v>
      </c>
      <c r="C785" t="s">
        <v>42</v>
      </c>
      <c r="D785" t="str">
        <f>HYPERLINK("https://us2.cloudbeds.com/connect/10074733072513#/reservations/30656246063352?display=Jorge%20Cayeteno&amp;reservation_id=30656246063352&amp;guest_id=30656246063347", "Jorge Cayeteno")</f>
        <v>Jorge Cayeteno</v>
      </c>
      <c r="E785" t="s">
        <v>1040</v>
      </c>
      <c r="F785" t="s">
        <v>988</v>
      </c>
      <c r="G785">
        <v>128.30000000000001</v>
      </c>
      <c r="H785">
        <v>139.44</v>
      </c>
      <c r="I785">
        <v>139.46</v>
      </c>
      <c r="J785">
        <v>-0.02</v>
      </c>
    </row>
    <row r="786" spans="1:10" x14ac:dyDescent="0.3">
      <c r="A786" t="str">
        <f>HYPERLINK("https://us2.cloudbeds.com/connect/10074733072513#/reservations/30653175722213?display=YQ84MNX0A&amp;reservation_id=30653175722213", "YQ84MNX0A")</f>
        <v>YQ84MNX0A</v>
      </c>
      <c r="B786" t="s">
        <v>10</v>
      </c>
      <c r="C786" t="s">
        <v>20</v>
      </c>
      <c r="D786" t="str">
        <f>HYPERLINK("https://us2.cloudbeds.com/connect/10074733072513#/reservations/30653175722213?display=Blair%20Mclaughlin&amp;reservation_id=30653175722213&amp;guest_id=30653175722209", "Blair Mclaughlin")</f>
        <v>Blair Mclaughlin</v>
      </c>
      <c r="E786" t="s">
        <v>1049</v>
      </c>
      <c r="F786" t="s">
        <v>936</v>
      </c>
      <c r="G786">
        <v>404.8</v>
      </c>
      <c r="H786">
        <v>440</v>
      </c>
      <c r="I786">
        <v>440.02</v>
      </c>
      <c r="J786">
        <v>-0.02</v>
      </c>
    </row>
    <row r="787" spans="1:10" x14ac:dyDescent="0.3">
      <c r="A787" t="str">
        <f>HYPERLINK("https://us2.cloudbeds.com/connect/10074733072513#/reservations/30653814141148?display=YQ8Y01G9Y&amp;reservation_id=30653814141148", "YQ8Y01G9Y")</f>
        <v>YQ8Y01G9Y</v>
      </c>
      <c r="B787" t="s">
        <v>10</v>
      </c>
      <c r="C787" t="s">
        <v>20</v>
      </c>
      <c r="D787" t="str">
        <f>HYPERLINK("https://us2.cloudbeds.com/connect/10074733072513#/reservations/30653814141148?display=Debra%20Griffin&amp;reservation_id=30653814141148&amp;guest_id=30653814141145", "Debra Griffin")</f>
        <v>Debra Griffin</v>
      </c>
      <c r="E787" t="s">
        <v>1051</v>
      </c>
      <c r="F787" t="s">
        <v>1023</v>
      </c>
      <c r="G787">
        <v>246.4</v>
      </c>
      <c r="H787">
        <v>267.82</v>
      </c>
      <c r="I787">
        <v>267.83999999999997</v>
      </c>
      <c r="J787">
        <v>-0.02</v>
      </c>
    </row>
    <row r="788" spans="1:10" x14ac:dyDescent="0.3">
      <c r="A788" t="str">
        <f>HYPERLINK("https://us2.cloudbeds.com/connect/10074733072513#/reservations/30656331952354?display=YQAJB49VU&amp;reservation_id=30656331952354", "YQAJB49VU")</f>
        <v>YQAJB49VU</v>
      </c>
      <c r="B788" t="s">
        <v>10</v>
      </c>
      <c r="C788" t="s">
        <v>11</v>
      </c>
      <c r="D788" t="str">
        <f>HYPERLINK("https://us2.cloudbeds.com/connect/10074733072513#/reservations/30656331952354?display=Ranae%20Elise%20Carter&amp;reservation_id=30656331952354&amp;guest_id=30656331952349", "Ranae Elise Carter")</f>
        <v>Ranae Elise Carter</v>
      </c>
      <c r="E788" t="s">
        <v>1057</v>
      </c>
      <c r="F788" t="s">
        <v>950</v>
      </c>
      <c r="G788">
        <v>144.34</v>
      </c>
      <c r="H788">
        <v>156.88</v>
      </c>
      <c r="I788">
        <v>156.9</v>
      </c>
      <c r="J788">
        <v>-0.02</v>
      </c>
    </row>
    <row r="789" spans="1:10" x14ac:dyDescent="0.3">
      <c r="A789" t="str">
        <f>HYPERLINK("https://us2.cloudbeds.com/connect/10074733072513#/reservations/30653188653268?display=YQ850KC8F&amp;reservation_id=30653188653268", "YQ850KC8F")</f>
        <v>YQ850KC8F</v>
      </c>
      <c r="B789" t="s">
        <v>10</v>
      </c>
      <c r="C789" t="s">
        <v>23</v>
      </c>
      <c r="D789" t="str">
        <f>HYPERLINK("https://us2.cloudbeds.com/connect/10074733072513#/reservations/30653188653268?display=Gayla%20Jorgensen&amp;reservation_id=30653188653268&amp;guest_id=30653183836345", "Gayla Jorgensen")</f>
        <v>Gayla Jorgensen</v>
      </c>
      <c r="E789" t="s">
        <v>1064</v>
      </c>
      <c r="F789" t="s">
        <v>1059</v>
      </c>
      <c r="G789">
        <v>678.6</v>
      </c>
      <c r="H789">
        <v>737.62</v>
      </c>
      <c r="I789">
        <v>737.64</v>
      </c>
      <c r="J789">
        <v>-0.02</v>
      </c>
    </row>
    <row r="790" spans="1:10" x14ac:dyDescent="0.3">
      <c r="A790" t="str">
        <f>HYPERLINK("https://us2.cloudbeds.com/connect/10074733072513#/reservations/30653209309362?display=YQ85X156N&amp;reservation_id=30653209309362", "YQ85X156N")</f>
        <v>YQ85X156N</v>
      </c>
      <c r="B790" t="s">
        <v>10</v>
      </c>
      <c r="C790" t="s">
        <v>23</v>
      </c>
      <c r="D790" t="str">
        <f>HYPERLINK("https://us2.cloudbeds.com/connect/10074733072513#/reservations/30653209309362?display=Gayla%20Jorgensen&amp;reservation_id=30653209309362&amp;guest_id=30653183836345", "Gayla Jorgensen")</f>
        <v>Gayla Jorgensen</v>
      </c>
      <c r="E790" t="s">
        <v>1064</v>
      </c>
      <c r="F790" t="s">
        <v>1059</v>
      </c>
      <c r="G790">
        <v>678.6</v>
      </c>
      <c r="H790">
        <v>737.62</v>
      </c>
      <c r="I790">
        <v>737.64</v>
      </c>
      <c r="J790">
        <v>-0.02</v>
      </c>
    </row>
    <row r="791" spans="1:10" x14ac:dyDescent="0.3">
      <c r="A791" t="str">
        <f>HYPERLINK("https://us2.cloudbeds.com/connect/10074733072513#/reservations/30653212397703?display=YQ85KY34Q&amp;reservation_id=30653212397703", "YQ85KY34Q")</f>
        <v>YQ85KY34Q</v>
      </c>
      <c r="B791" t="s">
        <v>10</v>
      </c>
      <c r="C791" t="s">
        <v>23</v>
      </c>
      <c r="D791" t="str">
        <f>HYPERLINK("https://us2.cloudbeds.com/connect/10074733072513#/reservations/30653212397703?display=Gayla%20Jorgensen&amp;reservation_id=30653212397703&amp;guest_id=30653212397701", "Gayla Jorgensen")</f>
        <v>Gayla Jorgensen</v>
      </c>
      <c r="E791" t="s">
        <v>1064</v>
      </c>
      <c r="F791" t="s">
        <v>1059</v>
      </c>
      <c r="G791">
        <v>678.6</v>
      </c>
      <c r="H791">
        <v>737.62</v>
      </c>
      <c r="I791">
        <v>737.64</v>
      </c>
      <c r="J791">
        <v>-0.02</v>
      </c>
    </row>
    <row r="792" spans="1:10" x14ac:dyDescent="0.3">
      <c r="A792" t="str">
        <f>HYPERLINK("https://us2.cloudbeds.com/connect/10074733072513#/reservations/30654168768717?display=YQ8U22HEK&amp;reservation_id=30654168768717", "YQ8U22HEK")</f>
        <v>YQ8U22HEK</v>
      </c>
      <c r="B792" t="s">
        <v>10</v>
      </c>
      <c r="C792" t="s">
        <v>42</v>
      </c>
      <c r="D792" t="str">
        <f>HYPERLINK("https://us2.cloudbeds.com/connect/10074733072513#/reservations/30654168768717?display=Angela%20Kreirman&amp;reservation_id=30654168768717&amp;guest_id=30654168764668", "Angela Kreirman")</f>
        <v>Angela Kreirman</v>
      </c>
      <c r="E792" t="s">
        <v>1070</v>
      </c>
      <c r="F792" t="s">
        <v>1071</v>
      </c>
      <c r="G792">
        <v>392.4</v>
      </c>
      <c r="H792">
        <v>426.52</v>
      </c>
      <c r="I792">
        <v>426.54</v>
      </c>
      <c r="J792">
        <v>-0.02</v>
      </c>
    </row>
    <row r="793" spans="1:10" x14ac:dyDescent="0.3">
      <c r="A793" t="str">
        <f>HYPERLINK("https://us2.cloudbeds.com/connect/10074733072513#/reservations/30654359359631?display=YQ91UQ01S&amp;reservation_id=30654359359631", "YQ91UQ01S")</f>
        <v>YQ91UQ01S</v>
      </c>
      <c r="B793" t="s">
        <v>10</v>
      </c>
      <c r="C793" t="s">
        <v>42</v>
      </c>
      <c r="D793" t="str">
        <f>HYPERLINK("https://us2.cloudbeds.com/connect/10074733072513#/reservations/30654359359631?display=Michelle%20Ganschow&amp;reservation_id=30654359359631&amp;guest_id=30654359355546", "Michelle Ganschow")</f>
        <v>Michelle Ganschow</v>
      </c>
      <c r="E793" t="s">
        <v>1085</v>
      </c>
      <c r="F793" t="s">
        <v>1086</v>
      </c>
      <c r="G793">
        <v>206.4</v>
      </c>
      <c r="H793">
        <v>224.34</v>
      </c>
      <c r="I793">
        <v>224.36</v>
      </c>
      <c r="J793">
        <v>-0.02</v>
      </c>
    </row>
    <row r="794" spans="1:10" x14ac:dyDescent="0.3">
      <c r="A794" t="str">
        <f>HYPERLINK("https://us2.cloudbeds.com/connect/10074733072513#/reservations/30654370689183?display=YQ927B8MK&amp;reservation_id=30654370689183", "YQ927B8MK")</f>
        <v>YQ927B8MK</v>
      </c>
      <c r="B794" t="s">
        <v>10</v>
      </c>
      <c r="C794" t="s">
        <v>11</v>
      </c>
      <c r="D794" t="str">
        <f>HYPERLINK("https://us2.cloudbeds.com/connect/10074733072513#/reservations/30654370689183?display=John%20Frese&amp;reservation_id=30654370689183&amp;guest_id=30654370689170", "John Frese")</f>
        <v>John Frese</v>
      </c>
      <c r="E794" t="s">
        <v>1130</v>
      </c>
      <c r="F794" t="s">
        <v>1131</v>
      </c>
      <c r="G794">
        <v>144.34</v>
      </c>
      <c r="H794">
        <v>156.88</v>
      </c>
      <c r="I794">
        <v>156.9</v>
      </c>
      <c r="J794">
        <v>-0.02</v>
      </c>
    </row>
    <row r="795" spans="1:10" x14ac:dyDescent="0.3">
      <c r="A795" t="str">
        <f>HYPERLINK("https://us2.cloudbeds.com/connect/10074733072513#/reservations/30653402497193?display=YQ8AFUTGD&amp;reservation_id=30653402497193", "YQ8AFUTGD")</f>
        <v>YQ8AFUTGD</v>
      </c>
      <c r="B795" t="s">
        <v>10</v>
      </c>
      <c r="C795" t="s">
        <v>11</v>
      </c>
      <c r="D795" t="str">
        <f>HYPERLINK("https://us2.cloudbeds.com/connect/10074733072513#/reservations/30653402497193?display=Dalton%20Dankert&amp;reservation_id=30653402497193&amp;guest_id=30653402497188", "Dalton Dankert")</f>
        <v>Dalton Dankert</v>
      </c>
      <c r="E795" t="s">
        <v>1150</v>
      </c>
      <c r="F795" t="s">
        <v>1143</v>
      </c>
      <c r="G795">
        <v>128.30000000000001</v>
      </c>
      <c r="H795">
        <v>139.44</v>
      </c>
      <c r="I795">
        <v>139.46</v>
      </c>
      <c r="J795">
        <v>-0.02</v>
      </c>
    </row>
    <row r="796" spans="1:10" x14ac:dyDescent="0.3">
      <c r="A796" t="str">
        <f>HYPERLINK("https://us2.cloudbeds.com/connect/10074733072513#/reservations/30653399589111?display=YQ8ADFW2N&amp;reservation_id=30653399589111", "YQ8ADFW2N")</f>
        <v>YQ8ADFW2N</v>
      </c>
      <c r="B796" t="s">
        <v>10</v>
      </c>
      <c r="C796" t="s">
        <v>11</v>
      </c>
      <c r="D796" t="str">
        <f>HYPERLINK("https://us2.cloudbeds.com/connect/10074733072513#/reservations/30653399589111?display=Chris%20Chonto&amp;reservation_id=30653399589111&amp;guest_id=30652679766159", "Chris Chonto")</f>
        <v>Chris Chonto</v>
      </c>
      <c r="E796" t="s">
        <v>1150</v>
      </c>
      <c r="F796" t="s">
        <v>1143</v>
      </c>
      <c r="G796">
        <v>128.30000000000001</v>
      </c>
      <c r="H796">
        <v>139.44</v>
      </c>
      <c r="I796">
        <v>139.46</v>
      </c>
      <c r="J796">
        <v>-0.02</v>
      </c>
    </row>
    <row r="797" spans="1:10" x14ac:dyDescent="0.3">
      <c r="A797" t="str">
        <f>HYPERLINK("https://us2.cloudbeds.com/connect/10074733072513#/reservations/30655081931004?display=YQ9KD2KA2&amp;reservation_id=30655081931004", "YQ9KD2KA2")</f>
        <v>YQ9KD2KA2</v>
      </c>
      <c r="B797" t="s">
        <v>10</v>
      </c>
      <c r="C797" t="s">
        <v>23</v>
      </c>
      <c r="D797" t="str">
        <f>HYPERLINK("https://us2.cloudbeds.com/connect/10074733072513#/reservations/30655081931004?display=Michael%20Wisnewski&amp;reservation_id=30655081931004&amp;guest_id=30655081930999", "Michael Wisnewski")</f>
        <v>Michael Wisnewski</v>
      </c>
      <c r="E797" t="s">
        <v>1191</v>
      </c>
      <c r="F797" t="s">
        <v>1093</v>
      </c>
      <c r="G797">
        <v>402.3</v>
      </c>
      <c r="H797">
        <v>437.28</v>
      </c>
      <c r="I797">
        <v>437.3</v>
      </c>
      <c r="J797">
        <v>-0.02</v>
      </c>
    </row>
    <row r="798" spans="1:10" x14ac:dyDescent="0.3">
      <c r="A798" t="str">
        <f>HYPERLINK("https://us2.cloudbeds.com/connect/10074733072513#/reservations/30654485852359?display=YQ955ERWR&amp;reservation_id=30654485852359", "YQ955ERWR")</f>
        <v>YQ955ERWR</v>
      </c>
      <c r="B798" t="s">
        <v>10</v>
      </c>
      <c r="C798" t="s">
        <v>11</v>
      </c>
      <c r="D798" t="str">
        <f>HYPERLINK("https://us2.cloudbeds.com/connect/10074733072513#/reservations/30654485852359?display=Keith%20Snuffin&amp;reservation_id=30654485852359&amp;guest_id=30654485852357", "Keith Snuffin")</f>
        <v>Keith Snuffin</v>
      </c>
      <c r="E798" t="s">
        <v>1200</v>
      </c>
      <c r="F798" t="s">
        <v>1054</v>
      </c>
      <c r="G798">
        <v>128.30000000000001</v>
      </c>
      <c r="H798">
        <v>139.44</v>
      </c>
      <c r="I798">
        <v>139.46</v>
      </c>
      <c r="J798">
        <v>-0.02</v>
      </c>
    </row>
    <row r="799" spans="1:10" x14ac:dyDescent="0.3">
      <c r="A799" t="str">
        <f>HYPERLINK("https://us2.cloudbeds.com/connect/10074733072513#/reservations/30658490106074?display=YQC8FV3YG&amp;reservation_id=30658490106074", "YQC8FV3YG")</f>
        <v>YQC8FV3YG</v>
      </c>
      <c r="B799" t="s">
        <v>10</v>
      </c>
      <c r="C799" t="s">
        <v>42</v>
      </c>
      <c r="D799" t="str">
        <f>HYPERLINK("https://us2.cloudbeds.com/connect/10074733072513#/reservations/30658490106074?display=Deborah%20Richards&amp;reservation_id=30658490106074&amp;guest_id=30658490101989", "Deborah Richards")</f>
        <v>Deborah Richards</v>
      </c>
      <c r="E799" t="s">
        <v>1211</v>
      </c>
      <c r="F799" t="s">
        <v>1212</v>
      </c>
      <c r="G799">
        <v>821.7</v>
      </c>
      <c r="H799">
        <v>893.17</v>
      </c>
      <c r="I799">
        <v>893.19</v>
      </c>
      <c r="J799">
        <v>-0.02</v>
      </c>
    </row>
    <row r="800" spans="1:10" x14ac:dyDescent="0.3">
      <c r="A800" t="str">
        <f>HYPERLINK("https://us2.cloudbeds.com/connect/10074733072513#/reservations/30656399982762?display=YQAY2GBGE&amp;reservation_id=30656399982762", "YQAY2GBGE")</f>
        <v>YQAY2GBGE</v>
      </c>
      <c r="B800" t="s">
        <v>10</v>
      </c>
      <c r="C800" t="s">
        <v>14</v>
      </c>
      <c r="D800" t="str">
        <f>HYPERLINK("https://us2.cloudbeds.com/connect/10074733072513#/reservations/30656399982762?display=Zachary%20Pintozzi&amp;reservation_id=30656399982762&amp;guest_id=30656399982760", "Zachary Pintozzi")</f>
        <v>Zachary Pintozzi</v>
      </c>
      <c r="E800" t="s">
        <v>1229</v>
      </c>
      <c r="F800" t="s">
        <v>1223</v>
      </c>
      <c r="G800">
        <v>128.30000000000001</v>
      </c>
      <c r="H800">
        <v>139.44</v>
      </c>
      <c r="I800">
        <v>139.46</v>
      </c>
      <c r="J800">
        <v>-0.02</v>
      </c>
    </row>
    <row r="801" spans="1:10" x14ac:dyDescent="0.3">
      <c r="A801" t="str">
        <f>HYPERLINK("https://us2.cloudbeds.com/connect/10074733072513#/reservations/30654031388886?display=YQ8QX7Z5D&amp;reservation_id=30654031388886", "YQ8QX7Z5D")</f>
        <v>YQ8QX7Z5D</v>
      </c>
      <c r="B801" t="s">
        <v>10</v>
      </c>
      <c r="C801" t="s">
        <v>14</v>
      </c>
      <c r="D801" t="str">
        <f>HYPERLINK("https://us2.cloudbeds.com/connect/10074733072513#/reservations/30654031388886?display=Shelly%20Rodriguez&amp;reservation_id=30654031388886&amp;guest_id=30654031388876", "Shelly Rodriguez")</f>
        <v>Shelly Rodriguez</v>
      </c>
      <c r="E801" t="s">
        <v>1232</v>
      </c>
      <c r="F801" t="s">
        <v>1214</v>
      </c>
      <c r="G801">
        <v>128.30000000000001</v>
      </c>
      <c r="H801">
        <v>139.44</v>
      </c>
      <c r="I801">
        <v>139.46</v>
      </c>
      <c r="J801">
        <v>-0.02</v>
      </c>
    </row>
    <row r="802" spans="1:10" x14ac:dyDescent="0.3">
      <c r="A802" t="str">
        <f>HYPERLINK("https://us2.cloudbeds.com/connect/10074733072513#/reservations/30654036852926?display=YQ8QMRPYD&amp;reservation_id=30654036852926", "YQ8QMRPYD")</f>
        <v>YQ8QMRPYD</v>
      </c>
      <c r="B802" t="s">
        <v>10</v>
      </c>
      <c r="C802" t="s">
        <v>14</v>
      </c>
      <c r="D802" t="str">
        <f>HYPERLINK("https://us2.cloudbeds.com/connect/10074733072513#/reservations/30654036852926?display=Jacob%20Klenda&amp;reservation_id=30654036852926&amp;guest_id=30654036852924", "Jacob Klenda")</f>
        <v>Jacob Klenda</v>
      </c>
      <c r="E802" t="s">
        <v>1232</v>
      </c>
      <c r="F802" t="s">
        <v>1214</v>
      </c>
      <c r="G802">
        <v>128.30000000000001</v>
      </c>
      <c r="H802">
        <v>139.44</v>
      </c>
      <c r="I802">
        <v>139.46</v>
      </c>
      <c r="J802">
        <v>-0.02</v>
      </c>
    </row>
    <row r="803" spans="1:10" x14ac:dyDescent="0.3">
      <c r="A803" t="str">
        <f>HYPERLINK("https://us2.cloudbeds.com/connect/10074733072513#/reservations/30654017114264?display=YQ8Q66H54&amp;reservation_id=30654017114264", "YQ8Q66H54")</f>
        <v>YQ8Q66H54</v>
      </c>
      <c r="B803" t="s">
        <v>10</v>
      </c>
      <c r="C803" t="s">
        <v>11</v>
      </c>
      <c r="D803" t="str">
        <f>HYPERLINK("https://us2.cloudbeds.com/connect/10074733072513#/reservations/30654017114264?display=Garrett%20West&amp;reservation_id=30654017114264&amp;guest_id=30653656486115", "Garrett West")</f>
        <v>Garrett West</v>
      </c>
      <c r="E803" t="s">
        <v>1119</v>
      </c>
      <c r="F803" t="s">
        <v>1214</v>
      </c>
      <c r="G803">
        <v>128.30000000000001</v>
      </c>
      <c r="H803">
        <v>139.44</v>
      </c>
      <c r="I803">
        <v>139.46</v>
      </c>
      <c r="J803">
        <v>-0.02</v>
      </c>
    </row>
    <row r="804" spans="1:10" x14ac:dyDescent="0.3">
      <c r="A804" t="str">
        <f>HYPERLINK("https://us2.cloudbeds.com/connect/10074733072513#/reservations/30654111010978?display=YQ8SJCB13&amp;reservation_id=30654111010978", "YQ8SJCB13")</f>
        <v>YQ8SJCB13</v>
      </c>
      <c r="B804" t="s">
        <v>10</v>
      </c>
      <c r="C804" t="s">
        <v>42</v>
      </c>
      <c r="D804" t="str">
        <f>HYPERLINK("https://us2.cloudbeds.com/connect/10074733072513#/reservations/30654111010978?display=Glen%20Jantzen&amp;reservation_id=30654111010978&amp;guest_id=30654111006881", "Glen Jantzen")</f>
        <v>Glen Jantzen</v>
      </c>
      <c r="E804" t="s">
        <v>1273</v>
      </c>
      <c r="F804" t="s">
        <v>1266</v>
      </c>
      <c r="G804">
        <v>392.4</v>
      </c>
      <c r="H804">
        <v>426.52</v>
      </c>
      <c r="I804">
        <v>426.54</v>
      </c>
      <c r="J804">
        <v>-0.02</v>
      </c>
    </row>
    <row r="805" spans="1:10" x14ac:dyDescent="0.3">
      <c r="A805" t="str">
        <f>HYPERLINK("https://us2.cloudbeds.com/connect/10074733072513#/reservations/30655502278905?display=YQ9V4HDN8&amp;reservation_id=30655502278905", "YQ9V4HDN8")</f>
        <v>YQ9V4HDN8</v>
      </c>
      <c r="B805" t="s">
        <v>10</v>
      </c>
      <c r="C805" t="s">
        <v>14</v>
      </c>
      <c r="D805" t="str">
        <f>HYPERLINK("https://us2.cloudbeds.com/connect/10074733072513#/reservations/30655502278905?display=Bob%20Untinen&amp;reservation_id=30655502278905&amp;guest_id=30655491805345", "Bob Untinen")</f>
        <v>Bob Untinen</v>
      </c>
      <c r="E805" t="s">
        <v>1289</v>
      </c>
      <c r="F805" t="s">
        <v>1290</v>
      </c>
      <c r="G805">
        <v>240.26</v>
      </c>
      <c r="H805">
        <v>261.14</v>
      </c>
      <c r="I805">
        <v>261.16000000000003</v>
      </c>
      <c r="J805">
        <v>-0.02</v>
      </c>
    </row>
    <row r="806" spans="1:10" x14ac:dyDescent="0.3">
      <c r="A806" t="str">
        <f>HYPERLINK("https://us2.cloudbeds.com/connect/10074733072513#/reservations/30655276142832?display=YQ9PBRRTW&amp;reservation_id=30655276142832", "YQ9PBRRTW")</f>
        <v>YQ9PBRRTW</v>
      </c>
      <c r="B806" t="s">
        <v>10</v>
      </c>
      <c r="C806" t="s">
        <v>11</v>
      </c>
      <c r="D806" t="str">
        <f>HYPERLINK("https://us2.cloudbeds.com/connect/10074733072513#/reservations/30655276142832?display=Kevin%20Marshall&amp;reservation_id=30655276142832&amp;guest_id=30655268913368", "Kevin Marshall")</f>
        <v>Kevin Marshall</v>
      </c>
      <c r="E806" t="s">
        <v>1294</v>
      </c>
      <c r="F806" t="s">
        <v>1295</v>
      </c>
      <c r="G806">
        <v>144.34</v>
      </c>
      <c r="H806">
        <v>156.88</v>
      </c>
      <c r="I806">
        <v>156.9</v>
      </c>
      <c r="J806">
        <v>-0.02</v>
      </c>
    </row>
    <row r="807" spans="1:10" x14ac:dyDescent="0.3">
      <c r="A807" t="str">
        <f>HYPERLINK("https://us2.cloudbeds.com/connect/10074733072513#/reservations/30655366123733?display=YQ9RYNMWV&amp;reservation_id=30655366123733", "YQ9RYNMWV")</f>
        <v>YQ9RYNMWV</v>
      </c>
      <c r="B807" t="s">
        <v>10</v>
      </c>
      <c r="C807" t="s">
        <v>20</v>
      </c>
      <c r="D807" t="str">
        <f>HYPERLINK("https://us2.cloudbeds.com/connect/10074733072513#/reservations/30655366123733?display=Wai%20Leung&amp;reservation_id=30655366123733&amp;guest_id=30655366123730", "Wai Leung")</f>
        <v>Wai Leung</v>
      </c>
      <c r="E807" t="s">
        <v>1333</v>
      </c>
      <c r="F807" t="s">
        <v>1334</v>
      </c>
      <c r="G807">
        <v>206.4</v>
      </c>
      <c r="H807">
        <v>224.34</v>
      </c>
      <c r="I807">
        <v>224.36</v>
      </c>
      <c r="J807">
        <v>-0.02</v>
      </c>
    </row>
    <row r="808" spans="1:10" x14ac:dyDescent="0.3">
      <c r="A808" t="str">
        <f>HYPERLINK("https://us2.cloudbeds.com/connect/10074733072513#/reservations/30659413663937?display=YQCW2NFGD&amp;reservation_id=30659413663937", "YQCW2NFGD")</f>
        <v>YQCW2NFGD</v>
      </c>
      <c r="B808" t="s">
        <v>10</v>
      </c>
      <c r="C808" t="s">
        <v>17</v>
      </c>
      <c r="D808" t="str">
        <f>HYPERLINK("https://us2.cloudbeds.com/connect/10074733072513#/reservations/30659413663937?display=Sharon%20Adams&amp;reservation_id=30659413663937&amp;guest_id=30659401154786", "Sharon Adams")</f>
        <v>Sharon Adams</v>
      </c>
      <c r="E808" t="s">
        <v>1342</v>
      </c>
      <c r="F808" t="s">
        <v>1343</v>
      </c>
      <c r="G808">
        <v>340.2</v>
      </c>
      <c r="H808">
        <v>369.78</v>
      </c>
      <c r="I808">
        <v>369.8</v>
      </c>
      <c r="J808">
        <v>-0.02</v>
      </c>
    </row>
    <row r="809" spans="1:10" x14ac:dyDescent="0.3">
      <c r="A809" t="str">
        <f>HYPERLINK("https://us2.cloudbeds.com/connect/10074733072513#/reservations/30658278154441?display=YQC32781Z&amp;reservation_id=30658278154441", "YQC32781Z")</f>
        <v>YQC32781Z</v>
      </c>
      <c r="B809" t="s">
        <v>10</v>
      </c>
      <c r="C809" t="s">
        <v>42</v>
      </c>
      <c r="D809" t="str">
        <f>HYPERLINK("https://us2.cloudbeds.com/connect/10074733072513#/reservations/30658278154441?display=Ed%20Bartling&amp;reservation_id=30658278154441&amp;guest_id=30655228621026", "Ed Bartling")</f>
        <v>Ed Bartling</v>
      </c>
      <c r="E809" t="s">
        <v>1353</v>
      </c>
      <c r="F809" t="s">
        <v>1354</v>
      </c>
      <c r="G809">
        <v>206.4</v>
      </c>
      <c r="H809">
        <v>224.34</v>
      </c>
      <c r="I809">
        <v>224.36</v>
      </c>
      <c r="J809">
        <v>-0.02</v>
      </c>
    </row>
    <row r="810" spans="1:10" x14ac:dyDescent="0.3">
      <c r="A810" t="str">
        <f>HYPERLINK("https://us2.cloudbeds.com/connect/10074733072513#/reservations/30656741306578?display=YQATQA65C&amp;reservation_id=30656741306578", "YQATQA65C")</f>
        <v>YQATQA65C</v>
      </c>
      <c r="B810" t="s">
        <v>10</v>
      </c>
      <c r="C810" t="s">
        <v>20</v>
      </c>
      <c r="D810" t="str">
        <f>HYPERLINK("https://us2.cloudbeds.com/connect/10074733072513#/reservations/30656741306578?display=Jeremy%20Bakeberg&amp;reservation_id=30656741306578&amp;guest_id=30656741306576", "Jeremy Bakeberg")</f>
        <v>Jeremy Bakeberg</v>
      </c>
      <c r="E810" t="s">
        <v>1355</v>
      </c>
      <c r="F810" t="s">
        <v>1293</v>
      </c>
      <c r="G810">
        <v>206.4</v>
      </c>
      <c r="H810">
        <v>224.34</v>
      </c>
      <c r="I810">
        <v>224.36</v>
      </c>
      <c r="J810">
        <v>-0.02</v>
      </c>
    </row>
    <row r="811" spans="1:10" x14ac:dyDescent="0.3">
      <c r="A811" t="str">
        <f>HYPERLINK("https://us2.cloudbeds.com/connect/10074733072513#/reservations/30658351562970?display=YQC4V3V5J&amp;reservation_id=30658351562970", "YQC4V3V5J")</f>
        <v>YQC4V3V5J</v>
      </c>
      <c r="B811" t="s">
        <v>10</v>
      </c>
      <c r="C811" t="s">
        <v>11</v>
      </c>
      <c r="D811" t="str">
        <f>HYPERLINK("https://us2.cloudbeds.com/connect/10074733072513#/reservations/30658351562970?display=Syambabu%20Kondamudi&amp;reservation_id=30658351562970&amp;guest_id=30658345521292", "Syambabu Kondamudi")</f>
        <v>Syambabu Kondamudi</v>
      </c>
      <c r="E811" t="s">
        <v>1359</v>
      </c>
      <c r="F811" t="s">
        <v>1360</v>
      </c>
      <c r="G811">
        <v>450.82</v>
      </c>
      <c r="H811">
        <v>490.02</v>
      </c>
      <c r="I811">
        <v>490.04</v>
      </c>
      <c r="J811">
        <v>-0.02</v>
      </c>
    </row>
    <row r="812" spans="1:10" x14ac:dyDescent="0.3">
      <c r="A812" t="str">
        <f>HYPERLINK("https://us2.cloudbeds.com/connect/10074733072513#/reservations/30657167614115?display=YQB7MPR4J&amp;reservation_id=30657167614115", "YQB7MPR4J")</f>
        <v>YQB7MPR4J</v>
      </c>
      <c r="B812" t="s">
        <v>10</v>
      </c>
      <c r="C812" t="s">
        <v>42</v>
      </c>
      <c r="D812" t="str">
        <f>HYPERLINK("https://us2.cloudbeds.com/connect/10074733072513#/reservations/30657167614115?display=Larry%20Garr&amp;reservation_id=30657167614115&amp;guest_id=30657167614113", "Larry Garr")</f>
        <v>Larry Garr</v>
      </c>
      <c r="E812" t="s">
        <v>1361</v>
      </c>
      <c r="F812" t="s">
        <v>1362</v>
      </c>
      <c r="G812">
        <v>1429.2</v>
      </c>
      <c r="H812">
        <v>1553.52</v>
      </c>
      <c r="I812">
        <v>1553.54</v>
      </c>
      <c r="J812">
        <v>-0.02</v>
      </c>
    </row>
    <row r="813" spans="1:10" x14ac:dyDescent="0.3">
      <c r="A813" t="str">
        <f>HYPERLINK("https://us2.cloudbeds.com/connect/10074733072513#/reservations/30659132137616?display=YQCZTAJ9P&amp;reservation_id=30659132137616", "YQCZTAJ9P")</f>
        <v>YQCZTAJ9P</v>
      </c>
      <c r="B813" t="s">
        <v>10</v>
      </c>
      <c r="C813" t="s">
        <v>20</v>
      </c>
      <c r="D813" t="str">
        <f>HYPERLINK("https://us2.cloudbeds.com/connect/10074733072513#/reservations/30659132137616?display=Cheryl%20Moore&amp;reservation_id=30659132137616&amp;guest_id=30659132137614", "Cheryl Moore")</f>
        <v>Cheryl Moore</v>
      </c>
      <c r="E813" t="s">
        <v>1380</v>
      </c>
      <c r="F813" t="s">
        <v>1381</v>
      </c>
      <c r="G813">
        <v>952</v>
      </c>
      <c r="H813">
        <v>1034.8</v>
      </c>
      <c r="I813">
        <v>1034.82</v>
      </c>
      <c r="J813">
        <v>-0.02</v>
      </c>
    </row>
    <row r="814" spans="1:10" x14ac:dyDescent="0.3">
      <c r="A814" t="str">
        <f>HYPERLINK("https://us2.cloudbeds.com/connect/10074733072513#/reservations/30657010958474?display=YQB3MMYCV&amp;reservation_id=30657010958474", "YQB3MMYCV")</f>
        <v>YQB3MMYCV</v>
      </c>
      <c r="B814" t="s">
        <v>10</v>
      </c>
      <c r="C814" t="s">
        <v>42</v>
      </c>
      <c r="D814" t="str">
        <f>HYPERLINK("https://us2.cloudbeds.com/connect/10074733072513#/reservations/30657010958474?display=Rodney%20Berry&amp;reservation_id=30657010958474&amp;guest_id=30657010958472", "Rodney Berry")</f>
        <v>Rodney Berry</v>
      </c>
      <c r="E814" t="s">
        <v>1391</v>
      </c>
      <c r="F814" t="s">
        <v>1388</v>
      </c>
      <c r="G814">
        <v>287.3</v>
      </c>
      <c r="H814">
        <v>312.27999999999997</v>
      </c>
      <c r="I814">
        <v>312.3</v>
      </c>
      <c r="J814">
        <v>-0.02</v>
      </c>
    </row>
    <row r="815" spans="1:10" x14ac:dyDescent="0.3">
      <c r="A815" t="str">
        <f>HYPERLINK("https://us2.cloudbeds.com/connect/10074733072513#/reservations/30657878364384?display=YQBPS3GCH&amp;reservation_id=30657878364384", "YQBPS3GCH")</f>
        <v>YQBPS3GCH</v>
      </c>
      <c r="B815" t="s">
        <v>10</v>
      </c>
      <c r="C815" t="s">
        <v>42</v>
      </c>
      <c r="D815" t="str">
        <f>HYPERLINK("https://us2.cloudbeds.com/connect/10074733072513#/reservations/30657878364384?display=Donald%20Korpi&amp;reservation_id=30657878364384&amp;guest_id=30650378743984", "Donald Korpi")</f>
        <v>Donald Korpi</v>
      </c>
      <c r="E815" t="s">
        <v>1404</v>
      </c>
      <c r="F815" t="s">
        <v>1405</v>
      </c>
      <c r="G815">
        <v>288</v>
      </c>
      <c r="H815">
        <v>313.04000000000002</v>
      </c>
      <c r="I815">
        <v>313.06</v>
      </c>
      <c r="J815">
        <v>-0.02</v>
      </c>
    </row>
    <row r="816" spans="1:10" x14ac:dyDescent="0.3">
      <c r="A816" t="str">
        <f>HYPERLINK("https://us2.cloudbeds.com/connect/10074733072513#/reservations/30659499810961?display=YQD19BY19&amp;reservation_id=30659499810961", "YQD19BY19")</f>
        <v>YQD19BY19</v>
      </c>
      <c r="B816" t="s">
        <v>10</v>
      </c>
      <c r="C816" t="s">
        <v>14</v>
      </c>
      <c r="D816" t="str">
        <f>HYPERLINK("https://us2.cloudbeds.com/connect/10074733072513#/reservations/30659499810961?display=Tony%20Konold&amp;reservation_id=30659499810961&amp;guest_id=30658688229507", "Tony Konold")</f>
        <v>Tony Konold</v>
      </c>
      <c r="E816" t="s">
        <v>1514</v>
      </c>
      <c r="F816" t="s">
        <v>1515</v>
      </c>
      <c r="G816">
        <v>206.4</v>
      </c>
      <c r="H816">
        <v>224.34</v>
      </c>
      <c r="I816">
        <v>224.36</v>
      </c>
      <c r="J816">
        <v>-0.02</v>
      </c>
    </row>
    <row r="817" spans="1:10" x14ac:dyDescent="0.3">
      <c r="A817" t="str">
        <f>HYPERLINK("https://us2.cloudbeds.com/connect/10074733072513#/reservations/30659714523340?display=YQD6PDAP0&amp;reservation_id=30659714523340", "YQD6PDAP0")</f>
        <v>YQD6PDAP0</v>
      </c>
      <c r="B817" t="s">
        <v>10</v>
      </c>
      <c r="C817" t="s">
        <v>14</v>
      </c>
      <c r="D817" t="str">
        <f>HYPERLINK("https://us2.cloudbeds.com/connect/10074733072513#/reservations/30659714523340?display=Angel%20Fernandez&amp;reservation_id=30659714523340&amp;guest_id=30659714523335", "Angel Fernandez")</f>
        <v>Angel Fernandez</v>
      </c>
      <c r="E817" t="s">
        <v>1516</v>
      </c>
      <c r="F817" t="s">
        <v>1517</v>
      </c>
      <c r="G817">
        <v>206.4</v>
      </c>
      <c r="H817">
        <v>224.34</v>
      </c>
      <c r="I817">
        <v>224.36</v>
      </c>
      <c r="J817">
        <v>-0.02</v>
      </c>
    </row>
    <row r="818" spans="1:10" x14ac:dyDescent="0.3">
      <c r="A818" t="str">
        <f>HYPERLINK("https://us2.cloudbeds.com/connect/10074733072513#/reservations/30660440658170?display=YQDPAN37P&amp;reservation_id=30660440658170", "YQDPAN37P")</f>
        <v>YQDPAN37P</v>
      </c>
      <c r="B818" t="s">
        <v>10</v>
      </c>
      <c r="C818" t="s">
        <v>11</v>
      </c>
      <c r="D818" t="str">
        <f>HYPERLINK("https://us2.cloudbeds.com/connect/10074733072513#/reservations/30660440658170?display=Raviv%20Levy&amp;reservation_id=30660440658170&amp;guest_id=30660440658158", "Raviv Levy")</f>
        <v>Raviv Levy</v>
      </c>
      <c r="E818" t="s">
        <v>1520</v>
      </c>
      <c r="F818" t="s">
        <v>1521</v>
      </c>
      <c r="G818">
        <v>261.60000000000002</v>
      </c>
      <c r="H818">
        <v>284.33999999999997</v>
      </c>
      <c r="I818">
        <v>284.36</v>
      </c>
      <c r="J818">
        <v>-0.02</v>
      </c>
    </row>
    <row r="819" spans="1:10" x14ac:dyDescent="0.3">
      <c r="A819" t="str">
        <f>HYPERLINK("https://us2.cloudbeds.com/connect/10074733072513#/reservations/30660933841125?display=YQE4UXY4Q&amp;reservation_id=30660933841125", "YQE4UXY4Q")</f>
        <v>YQE4UXY4Q</v>
      </c>
      <c r="B819" t="s">
        <v>10</v>
      </c>
      <c r="C819" t="s">
        <v>42</v>
      </c>
      <c r="D819" t="str">
        <f>HYPERLINK("https://us2.cloudbeds.com/connect/10074733072513#/reservations/30660933841125?display=Vernon%20Gollobit&amp;reservation_id=30660933841125&amp;guest_id=30658287263873", "Vernon Gollobit")</f>
        <v>Vernon Gollobit</v>
      </c>
      <c r="E819" t="s">
        <v>1543</v>
      </c>
      <c r="F819" t="s">
        <v>1546</v>
      </c>
      <c r="G819">
        <v>392.4</v>
      </c>
      <c r="H819">
        <v>426.52</v>
      </c>
      <c r="I819">
        <v>426.54</v>
      </c>
      <c r="J819">
        <v>-0.02</v>
      </c>
    </row>
    <row r="820" spans="1:10" x14ac:dyDescent="0.3">
      <c r="A820" t="str">
        <f>HYPERLINK("https://us2.cloudbeds.com/connect/10074733072513#/reservations/30660585660624?display=YQDT0W05F&amp;reservation_id=30660585660624", "YQDT0W05F")</f>
        <v>YQDT0W05F</v>
      </c>
      <c r="B820" t="s">
        <v>10</v>
      </c>
      <c r="C820" t="s">
        <v>20</v>
      </c>
      <c r="D820" t="str">
        <f>HYPERLINK("https://us2.cloudbeds.com/connect/10074733072513#/reservations/30660585660624?display=Roger%20Grier&amp;reservation_id=30660585660624&amp;guest_id=30660575580360", "Roger Grier")</f>
        <v>Roger Grier</v>
      </c>
      <c r="E820" t="s">
        <v>1576</v>
      </c>
      <c r="F820" t="s">
        <v>1399</v>
      </c>
      <c r="G820">
        <v>261.60000000000002</v>
      </c>
      <c r="H820">
        <v>284.33999999999997</v>
      </c>
      <c r="I820">
        <v>284.36</v>
      </c>
      <c r="J820">
        <v>-0.02</v>
      </c>
    </row>
    <row r="821" spans="1:10" x14ac:dyDescent="0.3">
      <c r="A821" t="str">
        <f>HYPERLINK("https://us2.cloudbeds.com/connect/10074733072513#/reservations/30659950534887?display=YQDCQDMV2&amp;reservation_id=30659950534887", "YQDCQDMV2")</f>
        <v>YQDCQDMV2</v>
      </c>
      <c r="B821" t="s">
        <v>10</v>
      </c>
      <c r="C821" t="s">
        <v>121</v>
      </c>
      <c r="D821" t="str">
        <f>HYPERLINK("https://us2.cloudbeds.com/connect/10074733072513#/reservations/30659950534887?display=Loretta%20Kay%20May&amp;reservation_id=30659950534887&amp;guest_id=30659950534872", "Loretta Kay May")</f>
        <v>Loretta Kay May</v>
      </c>
      <c r="E821" t="s">
        <v>1605</v>
      </c>
      <c r="F821" t="s">
        <v>1501</v>
      </c>
      <c r="G821">
        <v>261.60000000000002</v>
      </c>
      <c r="H821">
        <v>284.33999999999997</v>
      </c>
      <c r="I821">
        <v>284.36</v>
      </c>
      <c r="J821">
        <v>-0.02</v>
      </c>
    </row>
    <row r="822" spans="1:10" x14ac:dyDescent="0.3">
      <c r="A822" t="str">
        <f>HYPERLINK("https://us2.cloudbeds.com/connect/10074733072513#/reservations/30662692266210?display=YQFGSADXE&amp;reservation_id=30662692266210", "YQFGSADXE")</f>
        <v>YQFGSADXE</v>
      </c>
      <c r="B822" t="s">
        <v>10</v>
      </c>
      <c r="C822" t="s">
        <v>20</v>
      </c>
      <c r="D822" t="str">
        <f>HYPERLINK("https://us2.cloudbeds.com/connect/10074733072513#/reservations/30662692266210?display=Kenneth%20Knox%20Ii&amp;reservation_id=30662692266210&amp;guest_id=30662692266208", "Kenneth Knox Ii")</f>
        <v>Kenneth Knox Ii</v>
      </c>
      <c r="E822" t="s">
        <v>1606</v>
      </c>
      <c r="F822" t="s">
        <v>1607</v>
      </c>
      <c r="G822">
        <v>556</v>
      </c>
      <c r="H822">
        <v>604.35</v>
      </c>
      <c r="I822">
        <v>604.37</v>
      </c>
      <c r="J822">
        <v>-0.02</v>
      </c>
    </row>
    <row r="823" spans="1:10" x14ac:dyDescent="0.3">
      <c r="A823" t="str">
        <f>HYPERLINK("https://us2.cloudbeds.com/connect/10074733072513#/reservations/30660447744194?display=YQDPGM94P&amp;reservation_id=30660447744194", "YQDPGM94P")</f>
        <v>YQDPGM94P</v>
      </c>
      <c r="B823" t="s">
        <v>10</v>
      </c>
      <c r="C823" t="s">
        <v>14</v>
      </c>
      <c r="D823" t="str">
        <f>HYPERLINK("https://us2.cloudbeds.com/connect/10074733072513#/reservations/30660447744194?display=Jason%20Helmstadter&amp;reservation_id=30660447744194&amp;guest_id=30660447740157", "Jason Helmstadter")</f>
        <v>Jason Helmstadter</v>
      </c>
      <c r="E823" t="s">
        <v>1617</v>
      </c>
      <c r="F823" t="s">
        <v>1583</v>
      </c>
      <c r="G823">
        <v>261.60000000000002</v>
      </c>
      <c r="H823">
        <v>284.33999999999997</v>
      </c>
      <c r="I823">
        <v>284.36</v>
      </c>
      <c r="J823">
        <v>-0.02</v>
      </c>
    </row>
    <row r="824" spans="1:10" x14ac:dyDescent="0.3">
      <c r="A824" t="str">
        <f>HYPERLINK("https://us2.cloudbeds.com/connect/10074733072513#/reservations/30660754866305?display=YQE0BYD9D&amp;reservation_id=30660754866305", "YQE0BYD9D")</f>
        <v>YQE0BYD9D</v>
      </c>
      <c r="B824" t="s">
        <v>10</v>
      </c>
      <c r="C824" t="s">
        <v>42</v>
      </c>
      <c r="D824" t="str">
        <f>HYPERLINK("https://us2.cloudbeds.com/connect/10074733072513#/reservations/30660754866305?display=Nicholas%20Rivera&amp;reservation_id=30660754866305&amp;guest_id=30658340348145", "Nicholas Rivera")</f>
        <v>Nicholas Rivera</v>
      </c>
      <c r="E824" t="s">
        <v>1630</v>
      </c>
      <c r="F824" t="s">
        <v>1616</v>
      </c>
      <c r="G824">
        <v>402.3</v>
      </c>
      <c r="H824">
        <v>437.28</v>
      </c>
      <c r="I824">
        <v>437.3</v>
      </c>
      <c r="J824">
        <v>-0.02</v>
      </c>
    </row>
    <row r="825" spans="1:10" x14ac:dyDescent="0.3">
      <c r="A825" t="str">
        <f>HYPERLINK("https://us2.cloudbeds.com/connect/10074733072513#/reservations/30660936777939?display=YQE501BV5&amp;reservation_id=30660936777939", "YQE501BV5")</f>
        <v>YQE501BV5</v>
      </c>
      <c r="B825" t="s">
        <v>10</v>
      </c>
      <c r="C825" t="s">
        <v>42</v>
      </c>
      <c r="D825" t="str">
        <f>HYPERLINK("https://us2.cloudbeds.com/connect/10074733072513#/reservations/30660936777939?display=Bob%20Walton&amp;reservation_id=30660936777939&amp;guest_id=30660936777936", "Bob Walton")</f>
        <v>Bob Walton</v>
      </c>
      <c r="E825" t="s">
        <v>1693</v>
      </c>
      <c r="F825" t="s">
        <v>1694</v>
      </c>
      <c r="G825">
        <v>168.3</v>
      </c>
      <c r="H825">
        <v>182.92</v>
      </c>
      <c r="I825">
        <v>182.94</v>
      </c>
      <c r="J825">
        <v>-0.02</v>
      </c>
    </row>
    <row r="826" spans="1:10" x14ac:dyDescent="0.3">
      <c r="A826" t="str">
        <f>HYPERLINK("https://us2.cloudbeds.com/connect/10074733072513#/reservations/30661253460200?display=YQED32GUA&amp;reservation_id=30661253460200", "YQED32GUA")</f>
        <v>YQED32GUA</v>
      </c>
      <c r="B826" t="s">
        <v>10</v>
      </c>
      <c r="C826" t="s">
        <v>11</v>
      </c>
      <c r="D826" t="str">
        <f>HYPERLINK("https://us2.cloudbeds.com/connect/10074733072513#/reservations/30661253460200?display=Devin%20Brown&amp;reservation_id=30661253460200&amp;guest_id=30661247545494", "Devin Brown")</f>
        <v>Devin Brown</v>
      </c>
      <c r="E826" t="s">
        <v>1717</v>
      </c>
      <c r="F826" t="s">
        <v>1703</v>
      </c>
      <c r="G826">
        <v>128.30000000000001</v>
      </c>
      <c r="H826">
        <v>139.44</v>
      </c>
      <c r="I826">
        <v>139.46</v>
      </c>
      <c r="J826">
        <v>-0.02</v>
      </c>
    </row>
    <row r="827" spans="1:10" x14ac:dyDescent="0.3">
      <c r="A827" t="str">
        <f>HYPERLINK("https://us2.cloudbeds.com/connect/10074733072513#/reservations/30663213609159?display=YQFU5UX1K&amp;reservation_id=30663213609159", "YQFU5UX1K")</f>
        <v>YQFU5UX1K</v>
      </c>
      <c r="B827" t="s">
        <v>10</v>
      </c>
      <c r="C827" t="s">
        <v>14</v>
      </c>
      <c r="D827" t="str">
        <f>HYPERLINK("https://us2.cloudbeds.com/connect/10074733072513#/reservations/30663213609159?display=Alexander%20Hicklin&amp;reservation_id=30663213609159&amp;guest_id=30660235276435", "Alexander Hicklin")</f>
        <v>Alexander Hicklin</v>
      </c>
      <c r="E827" t="s">
        <v>1719</v>
      </c>
      <c r="F827" t="s">
        <v>1699</v>
      </c>
      <c r="G827">
        <v>128.30000000000001</v>
      </c>
      <c r="H827">
        <v>139.44</v>
      </c>
      <c r="I827">
        <v>139.46</v>
      </c>
      <c r="J827">
        <v>-0.02</v>
      </c>
    </row>
    <row r="828" spans="1:10" x14ac:dyDescent="0.3">
      <c r="A828" t="str">
        <f>HYPERLINK("https://us2.cloudbeds.com/connect/10074733072513#/reservations/30663366369527?display=YQG12ZASM&amp;reservation_id=30663366369527", "YQG12ZASM")</f>
        <v>YQG12ZASM</v>
      </c>
      <c r="B828" t="s">
        <v>10</v>
      </c>
      <c r="C828" t="s">
        <v>14</v>
      </c>
      <c r="D828" t="str">
        <f>HYPERLINK("https://us2.cloudbeds.com/connect/10074733072513#/reservations/30663366369527?display=Jennifer%20Paradeis&amp;reservation_id=30663366369527&amp;guest_id=30650114801832", "Jennifer Paradeis")</f>
        <v>Jennifer Paradeis</v>
      </c>
      <c r="E828" t="s">
        <v>589</v>
      </c>
      <c r="F828" t="s">
        <v>1720</v>
      </c>
      <c r="G828">
        <v>206.4</v>
      </c>
      <c r="H828">
        <v>224.34</v>
      </c>
      <c r="I828">
        <v>224.36</v>
      </c>
      <c r="J828">
        <v>-0.02</v>
      </c>
    </row>
    <row r="829" spans="1:10" x14ac:dyDescent="0.3">
      <c r="A829" t="str">
        <f>HYPERLINK("https://us2.cloudbeds.com/connect/10074733072513#/reservations/30661955883145?display=YQEV1CFD3&amp;reservation_id=30661955883145", "YQEV1CFD3")</f>
        <v>YQEV1CFD3</v>
      </c>
      <c r="B829" t="s">
        <v>10</v>
      </c>
      <c r="C829" t="s">
        <v>42</v>
      </c>
      <c r="D829" t="str">
        <f>HYPERLINK("https://us2.cloudbeds.com/connect/10074733072513#/reservations/30661955883145?display=Dianna%20Michelson&amp;reservation_id=30661955883145&amp;guest_id=30661955879054", "Dianna Michelson")</f>
        <v>Dianna Michelson</v>
      </c>
      <c r="E829" t="s">
        <v>1729</v>
      </c>
      <c r="F829" t="s">
        <v>1703</v>
      </c>
      <c r="G829">
        <v>168.3</v>
      </c>
      <c r="H829">
        <v>182.92</v>
      </c>
      <c r="I829">
        <v>182.94</v>
      </c>
      <c r="J829">
        <v>-0.02</v>
      </c>
    </row>
    <row r="830" spans="1:10" x14ac:dyDescent="0.3">
      <c r="A830" t="str">
        <f>HYPERLINK("https://us2.cloudbeds.com/connect/10074733072513#/reservations/30661630779608?display=YQEMZ7WCK&amp;reservation_id=30661630779608", "YQEMZ7WCK")</f>
        <v>YQEMZ7WCK</v>
      </c>
      <c r="B830" t="s">
        <v>10</v>
      </c>
      <c r="C830" t="s">
        <v>14</v>
      </c>
      <c r="D830" t="str">
        <f>HYPERLINK("https://us2.cloudbeds.com/connect/10074733072513#/reservations/30661630779608?display=John%20Gardner&amp;reservation_id=30661630779608&amp;guest_id=30661630779594", "John Gardner")</f>
        <v>John Gardner</v>
      </c>
      <c r="E830" t="s">
        <v>1737</v>
      </c>
      <c r="F830" t="s">
        <v>1738</v>
      </c>
      <c r="G830">
        <v>128.30000000000001</v>
      </c>
      <c r="H830">
        <v>139.44</v>
      </c>
      <c r="I830">
        <v>139.46</v>
      </c>
      <c r="J830">
        <v>-0.02</v>
      </c>
    </row>
    <row r="831" spans="1:10" x14ac:dyDescent="0.3">
      <c r="A831" t="str">
        <f>HYPERLINK("https://us2.cloudbeds.com/connect/10074733072513#/reservations/30662574878926?display=YQFDSAUU0&amp;reservation_id=30662574878926", "YQFDSAUU0")</f>
        <v>YQFDSAUU0</v>
      </c>
      <c r="B831" t="s">
        <v>10</v>
      </c>
      <c r="C831" t="s">
        <v>11</v>
      </c>
      <c r="D831" t="str">
        <f>HYPERLINK("https://us2.cloudbeds.com/connect/10074733072513#/reservations/30662574878926?display=Scott%20David%20Stiefel&amp;reservation_id=30662574878926&amp;guest_id=30662574878921", "Scott David Stiefel")</f>
        <v>Scott David Stiefel</v>
      </c>
      <c r="E831" t="s">
        <v>1760</v>
      </c>
      <c r="F831" t="s">
        <v>1641</v>
      </c>
      <c r="G831">
        <v>261.60000000000002</v>
      </c>
      <c r="H831">
        <v>284.33999999999997</v>
      </c>
      <c r="I831">
        <v>284.36</v>
      </c>
      <c r="J831">
        <v>-0.02</v>
      </c>
    </row>
    <row r="832" spans="1:10" x14ac:dyDescent="0.3">
      <c r="A832" t="str">
        <f>HYPERLINK("https://us2.cloudbeds.com/connect/10074733072513#/reservations/30662344593660?display=YQF7W4U0K&amp;reservation_id=30662344593660", "YQF7W4U0K")</f>
        <v>YQF7W4U0K</v>
      </c>
      <c r="B832" t="s">
        <v>10</v>
      </c>
      <c r="C832" t="s">
        <v>11</v>
      </c>
      <c r="D832" t="str">
        <f>HYPERLINK("https://us2.cloudbeds.com/connect/10074733072513#/reservations/30662344593660?display=Tiffany%20Schaefers&amp;reservation_id=30662344593660&amp;guest_id=30662344593610", "Tiffany Schaefers")</f>
        <v>Tiffany Schaefers</v>
      </c>
      <c r="E832" t="s">
        <v>1764</v>
      </c>
      <c r="F832" t="s">
        <v>1687</v>
      </c>
      <c r="G832">
        <v>206.4</v>
      </c>
      <c r="H832">
        <v>224.34</v>
      </c>
      <c r="I832">
        <v>224.36</v>
      </c>
      <c r="J832">
        <v>-0.02</v>
      </c>
    </row>
    <row r="833" spans="1:10" x14ac:dyDescent="0.3">
      <c r="A833" t="str">
        <f>HYPERLINK("https://us2.cloudbeds.com/connect/10074733072513#/reservations/30662674981043?display=YQFGDZE1G&amp;reservation_id=30662674981043", "YQFGDZE1G")</f>
        <v>YQFGDZE1G</v>
      </c>
      <c r="B833" t="s">
        <v>10</v>
      </c>
      <c r="C833" t="s">
        <v>14</v>
      </c>
      <c r="D833" t="str">
        <f>HYPERLINK("https://us2.cloudbeds.com/connect/10074733072513#/reservations/30662674981043?display=Rhonda%20Singleton&amp;reservation_id=30662674981043&amp;guest_id=30662668746976", "Rhonda Singleton")</f>
        <v>Rhonda Singleton</v>
      </c>
      <c r="E833" t="s">
        <v>1767</v>
      </c>
      <c r="F833" t="s">
        <v>1768</v>
      </c>
      <c r="G833">
        <v>206.4</v>
      </c>
      <c r="H833">
        <v>224.34</v>
      </c>
      <c r="I833">
        <v>224.36</v>
      </c>
      <c r="J833">
        <v>-0.02</v>
      </c>
    </row>
    <row r="834" spans="1:10" x14ac:dyDescent="0.3">
      <c r="A834" t="str">
        <f>HYPERLINK("https://us2.cloudbeds.com/connect/10074733072513#/reservations/30662983639262?display=YQFZA09ZS&amp;reservation_id=30662983639262", "YQFZA09ZS")</f>
        <v>YQFZA09ZS</v>
      </c>
      <c r="B834" t="s">
        <v>10</v>
      </c>
      <c r="C834" t="s">
        <v>14</v>
      </c>
      <c r="D834" t="str">
        <f>HYPERLINK("https://us2.cloudbeds.com/connect/10074733072513#/reservations/30662983639262?display=Stephanie%20Krueger&amp;reservation_id=30662983639262&amp;guest_id=30662983639260", "Stephanie Krueger")</f>
        <v>Stephanie Krueger</v>
      </c>
      <c r="E834" t="s">
        <v>1769</v>
      </c>
      <c r="F834" t="s">
        <v>1591</v>
      </c>
      <c r="G834">
        <v>252.96</v>
      </c>
      <c r="H834">
        <v>274.95</v>
      </c>
      <c r="I834">
        <v>274.97000000000003</v>
      </c>
      <c r="J834">
        <v>-0.02</v>
      </c>
    </row>
    <row r="835" spans="1:10" x14ac:dyDescent="0.3">
      <c r="A835" t="str">
        <f>HYPERLINK("https://us2.cloudbeds.com/connect/10074733072513#/reservations/30662408970421?display=YQF9KE9GX&amp;reservation_id=30662408970421", "YQF9KE9GX")</f>
        <v>YQF9KE9GX</v>
      </c>
      <c r="B835" t="s">
        <v>10</v>
      </c>
      <c r="C835" t="s">
        <v>11</v>
      </c>
      <c r="D835" t="str">
        <f>HYPERLINK("https://us2.cloudbeds.com/connect/10074733072513#/reservations/30662408970421?display=Evan%20Kimble&amp;reservation_id=30662408970421&amp;guest_id=30662408970418", "Evan Kimble")</f>
        <v>Evan Kimble</v>
      </c>
      <c r="E835" t="s">
        <v>1774</v>
      </c>
      <c r="F835" t="s">
        <v>1731</v>
      </c>
      <c r="G835">
        <v>144.34</v>
      </c>
      <c r="H835">
        <v>156.88</v>
      </c>
      <c r="I835">
        <v>156.9</v>
      </c>
      <c r="J835">
        <v>-0.02</v>
      </c>
    </row>
    <row r="836" spans="1:10" x14ac:dyDescent="0.3">
      <c r="A836" t="str">
        <f>HYPERLINK("https://us2.cloudbeds.com/connect/10074733072513#/reservations/30661896446152?display=YQETH8HVV&amp;reservation_id=30661896446152", "YQETH8HVV")</f>
        <v>YQETH8HVV</v>
      </c>
      <c r="B836" t="s">
        <v>10</v>
      </c>
      <c r="C836" t="s">
        <v>11</v>
      </c>
      <c r="D836" t="str">
        <f>HYPERLINK("https://us2.cloudbeds.com/connect/10074733072513#/reservations/30661896446152?display=Robel%20Assefa&amp;reservation_id=30661896446152&amp;guest_id=30661896442061", "Robel Assefa")</f>
        <v>Robel Assefa</v>
      </c>
      <c r="E836" t="s">
        <v>1777</v>
      </c>
      <c r="F836" t="s">
        <v>1745</v>
      </c>
      <c r="G836">
        <v>392.4</v>
      </c>
      <c r="H836">
        <v>426.52</v>
      </c>
      <c r="I836">
        <v>426.54</v>
      </c>
      <c r="J836">
        <v>-0.02</v>
      </c>
    </row>
    <row r="837" spans="1:10" x14ac:dyDescent="0.3">
      <c r="A837" t="str">
        <f>HYPERLINK("https://us2.cloudbeds.com/connect/10074733072513#/reservations/30662037782764?display=YQF04EEYZ&amp;reservation_id=30662037782764", "YQF04EEYZ")</f>
        <v>YQF04EEYZ</v>
      </c>
      <c r="B837" t="s">
        <v>10</v>
      </c>
      <c r="C837" t="s">
        <v>17</v>
      </c>
      <c r="D837" t="str">
        <f>HYPERLINK("https://us2.cloudbeds.com/connect/10074733072513#/reservations/30662037782764?display=David%20Schuelke&amp;reservation_id=30662037782764&amp;guest_id=30662037782755", "David Schuelke")</f>
        <v>David Schuelke</v>
      </c>
      <c r="E837" t="s">
        <v>1787</v>
      </c>
      <c r="F837" t="s">
        <v>1788</v>
      </c>
      <c r="G837">
        <v>312.3</v>
      </c>
      <c r="H837">
        <v>339.45</v>
      </c>
      <c r="I837">
        <v>339.47</v>
      </c>
      <c r="J837">
        <v>-0.02</v>
      </c>
    </row>
    <row r="838" spans="1:10" x14ac:dyDescent="0.3">
      <c r="A838" t="str">
        <f>HYPERLINK("https://us2.cloudbeds.com/connect/10074733072513#/reservations/30661885112448?display=YQET7N1RB&amp;reservation_id=30661885112448", "YQET7N1RB")</f>
        <v>YQET7N1RB</v>
      </c>
      <c r="B838" t="s">
        <v>10</v>
      </c>
      <c r="C838" t="s">
        <v>20</v>
      </c>
      <c r="D838" t="str">
        <f>HYPERLINK("https://us2.cloudbeds.com/connect/10074733072513#/reservations/30661885112448?display=Brian%20Olson&amp;reservation_id=30661885112448&amp;guest_id=30661885108364", "Brian Olson")</f>
        <v>Brian Olson</v>
      </c>
      <c r="E838" t="s">
        <v>1791</v>
      </c>
      <c r="F838" t="s">
        <v>1745</v>
      </c>
      <c r="G838">
        <v>490.5</v>
      </c>
      <c r="H838">
        <v>533.15</v>
      </c>
      <c r="I838">
        <v>533.16999999999996</v>
      </c>
      <c r="J838">
        <v>-0.02</v>
      </c>
    </row>
    <row r="839" spans="1:10" x14ac:dyDescent="0.3">
      <c r="A839" t="str">
        <f>HYPERLINK("https://us2.cloudbeds.com/connect/10074733072513#/reservations/30665119973579?display=YQHCTDV8D&amp;reservation_id=30665119973579", "YQHCTDV8D")</f>
        <v>YQHCTDV8D</v>
      </c>
      <c r="B839" t="s">
        <v>10</v>
      </c>
      <c r="C839" t="s">
        <v>11</v>
      </c>
      <c r="D839" t="str">
        <f>HYPERLINK("https://us2.cloudbeds.com/connect/10074733072513#/reservations/30665119973579?display=Chelsea%20Favreau&amp;reservation_id=30665119973579&amp;guest_id=30665119973574", "Chelsea Favreau")</f>
        <v>Chelsea Favreau</v>
      </c>
      <c r="E839" t="s">
        <v>1819</v>
      </c>
      <c r="F839" t="s">
        <v>1820</v>
      </c>
      <c r="G839">
        <v>225.69</v>
      </c>
      <c r="H839">
        <v>245.31</v>
      </c>
      <c r="I839">
        <v>245.33</v>
      </c>
      <c r="J839">
        <v>-0.02</v>
      </c>
    </row>
    <row r="840" spans="1:10" x14ac:dyDescent="0.3">
      <c r="A840" t="str">
        <f>HYPERLINK("https://us2.cloudbeds.com/connect/10074733072513#/reservations/30661728247945?display=YQEP7E5WZ&amp;reservation_id=30661728247945", "YQEP7E5WZ")</f>
        <v>YQEP7E5WZ</v>
      </c>
      <c r="B840" t="s">
        <v>10</v>
      </c>
      <c r="C840" t="s">
        <v>11</v>
      </c>
      <c r="D840" t="str">
        <f>HYPERLINK("https://us2.cloudbeds.com/connect/10074733072513#/reservations/30661728247945?display=Erin%20Little&amp;reservation_id=30661728247945&amp;guest_id=30661728243851", "Erin Little")</f>
        <v>Erin Little</v>
      </c>
      <c r="E840" t="s">
        <v>1822</v>
      </c>
      <c r="F840" t="s">
        <v>1823</v>
      </c>
      <c r="G840">
        <v>132.41999999999999</v>
      </c>
      <c r="H840">
        <v>143.91999999999999</v>
      </c>
      <c r="I840">
        <v>143.94</v>
      </c>
      <c r="J840">
        <v>-0.02</v>
      </c>
    </row>
    <row r="841" spans="1:10" x14ac:dyDescent="0.3">
      <c r="A841" t="str">
        <f>HYPERLINK("https://us2.cloudbeds.com/connect/10074733072513#/reservations/30662640939234?display=YQFFX15BH&amp;reservation_id=30662640939234", "YQFFX15BH")</f>
        <v>YQFFX15BH</v>
      </c>
      <c r="B841" t="s">
        <v>10</v>
      </c>
      <c r="C841" t="s">
        <v>42</v>
      </c>
      <c r="D841" t="str">
        <f>HYPERLINK("https://us2.cloudbeds.com/connect/10074733072513#/reservations/30662640939234?display=Carol%20Swane&amp;reservation_id=30662640939234&amp;guest_id=30654807605382", "Carol Swane")</f>
        <v>Carol Swane</v>
      </c>
      <c r="E841" t="s">
        <v>1834</v>
      </c>
      <c r="F841" t="s">
        <v>1829</v>
      </c>
      <c r="G841">
        <v>168.3</v>
      </c>
      <c r="H841">
        <v>182.92</v>
      </c>
      <c r="I841">
        <v>182.94</v>
      </c>
      <c r="J841">
        <v>-0.02</v>
      </c>
    </row>
    <row r="842" spans="1:10" x14ac:dyDescent="0.3">
      <c r="A842" t="str">
        <f>HYPERLINK("https://us2.cloudbeds.com/connect/10074733072513#/reservations/30663063273688?display=YQFQB57V9&amp;reservation_id=30663063273688", "YQFQB57V9")</f>
        <v>YQFQB57V9</v>
      </c>
      <c r="B842" t="s">
        <v>10</v>
      </c>
      <c r="C842" t="s">
        <v>14</v>
      </c>
      <c r="D842" t="str">
        <f>HYPERLINK("https://us2.cloudbeds.com/connect/10074733072513#/reservations/30663063273688?display=Robert%20Phoenix&amp;reservation_id=30663063273688&amp;guest_id=30663063273683", "Robert Phoenix")</f>
        <v>Robert Phoenix</v>
      </c>
      <c r="E842" t="s">
        <v>1845</v>
      </c>
      <c r="F842" t="s">
        <v>1846</v>
      </c>
      <c r="G842">
        <v>128.30000000000001</v>
      </c>
      <c r="H842">
        <v>139.44</v>
      </c>
      <c r="I842">
        <v>139.46</v>
      </c>
      <c r="J842">
        <v>-0.02</v>
      </c>
    </row>
    <row r="843" spans="1:10" x14ac:dyDescent="0.3">
      <c r="A843" t="str">
        <f>HYPERLINK("https://us2.cloudbeds.com/connect/10074733072513#/reservations/30663042879624?display=YQFPQVZKB&amp;reservation_id=30663042879624", "YQFPQVZKB")</f>
        <v>YQFPQVZKB</v>
      </c>
      <c r="B843" t="s">
        <v>10</v>
      </c>
      <c r="C843" t="s">
        <v>14</v>
      </c>
      <c r="D843" t="str">
        <f>HYPERLINK("https://us2.cloudbeds.com/connect/10074733072513#/reservations/30663042879624?display=Jason%20Davis&amp;reservation_id=30663042879624&amp;guest_id=30662579904699", "Jason Davis")</f>
        <v>Jason Davis</v>
      </c>
      <c r="E843" t="s">
        <v>1845</v>
      </c>
      <c r="F843" t="s">
        <v>1846</v>
      </c>
      <c r="G843">
        <v>128.30000000000001</v>
      </c>
      <c r="H843">
        <v>139.44</v>
      </c>
      <c r="I843">
        <v>139.46</v>
      </c>
      <c r="J843">
        <v>-0.02</v>
      </c>
    </row>
    <row r="844" spans="1:10" x14ac:dyDescent="0.3">
      <c r="A844" t="str">
        <f>HYPERLINK("https://us2.cloudbeds.com/connect/10074733072513#/reservations/30663051591839?display=YQFQ1A5QS&amp;reservation_id=30663051591839", "YQFQ1A5QS")</f>
        <v>YQFQ1A5QS</v>
      </c>
      <c r="B844" t="s">
        <v>10</v>
      </c>
      <c r="C844" t="s">
        <v>14</v>
      </c>
      <c r="D844" t="str">
        <f>HYPERLINK("https://us2.cloudbeds.com/connect/10074733072513#/reservations/30663051591839?display=Hunter%20Kalisek&amp;reservation_id=30663051591839&amp;guest_id=30662595391733", "Hunter Kalisek")</f>
        <v>Hunter Kalisek</v>
      </c>
      <c r="E844" t="s">
        <v>1845</v>
      </c>
      <c r="F844" t="s">
        <v>1846</v>
      </c>
      <c r="G844">
        <v>128.30000000000001</v>
      </c>
      <c r="H844">
        <v>139.44</v>
      </c>
      <c r="I844">
        <v>139.46</v>
      </c>
      <c r="J844">
        <v>-0.02</v>
      </c>
    </row>
    <row r="845" spans="1:10" x14ac:dyDescent="0.3">
      <c r="A845" t="str">
        <f>HYPERLINK("https://us2.cloudbeds.com/connect/10074733072513#/reservations/30663404380368?display=YQG21Q17B&amp;reservation_id=30663404380368", "YQG21Q17B")</f>
        <v>YQG21Q17B</v>
      </c>
      <c r="B845" t="s">
        <v>10</v>
      </c>
      <c r="C845" t="s">
        <v>14</v>
      </c>
      <c r="D845" t="str">
        <f>HYPERLINK("https://us2.cloudbeds.com/connect/10074733072513#/reservations/30663404380368?display=Robert%20Phoenix&amp;reservation_id=30663404380368&amp;guest_id=30663400157368", "Robert Phoenix")</f>
        <v>Robert Phoenix</v>
      </c>
      <c r="E845" t="s">
        <v>1845</v>
      </c>
      <c r="F845" t="s">
        <v>1850</v>
      </c>
      <c r="G845">
        <v>128.30000000000001</v>
      </c>
      <c r="H845">
        <v>139.44</v>
      </c>
      <c r="I845">
        <v>139.46</v>
      </c>
      <c r="J845">
        <v>-0.02</v>
      </c>
    </row>
    <row r="846" spans="1:10" x14ac:dyDescent="0.3">
      <c r="A846" t="str">
        <f>HYPERLINK("https://us2.cloudbeds.com/connect/10074733072513#/reservations/30662625022179?display=YQFF4K84H&amp;reservation_id=30662625022179", "YQFF4K84H")</f>
        <v>YQFF4K84H</v>
      </c>
      <c r="B846" t="s">
        <v>10</v>
      </c>
      <c r="C846" t="s">
        <v>14</v>
      </c>
      <c r="D846" t="str">
        <f>HYPERLINK("https://us2.cloudbeds.com/connect/10074733072513#/reservations/30662625022179?display=Sarah%20Moje&amp;reservation_id=30662625022179&amp;guest_id=30662619328647", "Sarah Moje")</f>
        <v>Sarah Moje</v>
      </c>
      <c r="E846" t="s">
        <v>1877</v>
      </c>
      <c r="F846" t="s">
        <v>1829</v>
      </c>
      <c r="G846">
        <v>261.60000000000002</v>
      </c>
      <c r="H846">
        <v>284.33999999999997</v>
      </c>
      <c r="I846">
        <v>284.36</v>
      </c>
      <c r="J846">
        <v>-0.02</v>
      </c>
    </row>
    <row r="847" spans="1:10" x14ac:dyDescent="0.3">
      <c r="A847" t="str">
        <f>HYPERLINK("https://us2.cloudbeds.com/connect/10074733072513#/reservations/30664960131266?display=YQH8QY38V&amp;reservation_id=30664960131266", "YQH8QY38V")</f>
        <v>YQH8QY38V</v>
      </c>
      <c r="B847" t="s">
        <v>10</v>
      </c>
      <c r="C847" t="s">
        <v>14</v>
      </c>
      <c r="D847" t="str">
        <f>HYPERLINK("https://us2.cloudbeds.com/connect/10074733072513#/reservations/30664960131266?display=Amanda%20Zaman&amp;reservation_id=30664960131266&amp;guest_id=30664960131264", "Amanda Zaman")</f>
        <v>Amanda Zaman</v>
      </c>
      <c r="E847" t="s">
        <v>1893</v>
      </c>
      <c r="F847" t="s">
        <v>1861</v>
      </c>
      <c r="G847">
        <v>166.4</v>
      </c>
      <c r="H847">
        <v>180.86</v>
      </c>
      <c r="I847">
        <v>180.88</v>
      </c>
      <c r="J847">
        <v>-0.02</v>
      </c>
    </row>
    <row r="848" spans="1:10" x14ac:dyDescent="0.3">
      <c r="A848" t="str">
        <f>HYPERLINK("https://us2.cloudbeds.com/connect/10074733072513#/reservations/30663953121459?display=YQGG2GXN8&amp;reservation_id=30663953121459", "YQGG2GXN8")</f>
        <v>YQGG2GXN8</v>
      </c>
      <c r="B848" t="s">
        <v>10</v>
      </c>
      <c r="C848" t="s">
        <v>14</v>
      </c>
      <c r="D848" t="str">
        <f>HYPERLINK("https://us2.cloudbeds.com/connect/10074733072513#/reservations/30663953121459?display=Dennis%20Dunahee&amp;reservation_id=30663953121459&amp;guest_id=30663953121449", "Dennis Dunahee")</f>
        <v>Dennis Dunahee</v>
      </c>
      <c r="E848" t="s">
        <v>983</v>
      </c>
      <c r="F848" t="s">
        <v>1829</v>
      </c>
      <c r="G848">
        <v>128.30000000000001</v>
      </c>
      <c r="H848">
        <v>139.44</v>
      </c>
      <c r="I848">
        <v>139.46</v>
      </c>
      <c r="J848">
        <v>-0.02</v>
      </c>
    </row>
    <row r="849" spans="1:10" x14ac:dyDescent="0.3">
      <c r="A849" t="str">
        <f>HYPERLINK("https://us2.cloudbeds.com/connect/10074733072513#/reservations/30663565873357?display=YQG65VQW9&amp;reservation_id=30663565873357", "YQG65VQW9")</f>
        <v>YQG65VQW9</v>
      </c>
      <c r="B849" t="s">
        <v>10</v>
      </c>
      <c r="C849" t="s">
        <v>17</v>
      </c>
      <c r="D849" t="str">
        <f>HYPERLINK("https://us2.cloudbeds.com/connect/10074733072513#/reservations/30663565873357?display=William%20Graves&amp;reservation_id=30663565873357&amp;guest_id=30648454471826", "William Graves")</f>
        <v>William Graves</v>
      </c>
      <c r="E849" t="s">
        <v>447</v>
      </c>
      <c r="F849" t="s">
        <v>1920</v>
      </c>
      <c r="G849">
        <v>160.19999999999999</v>
      </c>
      <c r="H849">
        <v>174.12</v>
      </c>
      <c r="I849">
        <v>174.14</v>
      </c>
      <c r="J849">
        <v>-0.02</v>
      </c>
    </row>
    <row r="850" spans="1:10" x14ac:dyDescent="0.3">
      <c r="A850" t="str">
        <f>HYPERLINK("https://us2.cloudbeds.com/connect/10074733072513#/reservations/30663101055105?display=YQFRA0EUG&amp;reservation_id=30663101055105", "YQFRA0EUG")</f>
        <v>YQFRA0EUG</v>
      </c>
      <c r="B850" t="s">
        <v>10</v>
      </c>
      <c r="C850" t="s">
        <v>11</v>
      </c>
      <c r="D850" t="str">
        <f>HYPERLINK("https://us2.cloudbeds.com/connect/10074733072513#/reservations/30663101055105?display=William%20Thomas%20Boyd&amp;reservation_id=30663101055105&amp;guest_id=30646101500085", "William Thomas Boyd")</f>
        <v>William Thomas Boyd</v>
      </c>
      <c r="E850" t="s">
        <v>846</v>
      </c>
      <c r="F850" t="s">
        <v>1956</v>
      </c>
      <c r="G850">
        <v>168.3</v>
      </c>
      <c r="H850">
        <v>182.92</v>
      </c>
      <c r="I850">
        <v>182.94</v>
      </c>
      <c r="J850">
        <v>-0.02</v>
      </c>
    </row>
    <row r="851" spans="1:10" x14ac:dyDescent="0.3">
      <c r="A851" t="str">
        <f>HYPERLINK("https://us2.cloudbeds.com/connect/10074733072513#/reservations/30665545404629?display=YQHNP56CD&amp;reservation_id=30665545404629", "YQHNP56CD")</f>
        <v>YQHNP56CD</v>
      </c>
      <c r="B851" t="s">
        <v>10</v>
      </c>
      <c r="C851" t="s">
        <v>23</v>
      </c>
      <c r="D851" t="str">
        <f>HYPERLINK("https://us2.cloudbeds.com/connect/10074733072513#/reservations/30665545404629?display=Cynthia%20Demers&amp;reservation_id=30665545404629&amp;guest_id=30665545400537", "Cynthia Demers")</f>
        <v>Cynthia Demers</v>
      </c>
      <c r="E851" t="s">
        <v>1989</v>
      </c>
      <c r="F851" t="s">
        <v>1990</v>
      </c>
      <c r="G851">
        <v>392.4</v>
      </c>
      <c r="H851">
        <v>426.52</v>
      </c>
      <c r="I851">
        <v>426.54</v>
      </c>
      <c r="J851">
        <v>-0.02</v>
      </c>
    </row>
    <row r="852" spans="1:10" x14ac:dyDescent="0.3">
      <c r="A852" t="str">
        <f>HYPERLINK("https://us2.cloudbeds.com/connect/10074733072513#/reservations/30665530659017?display=YQHNCNSSM&amp;reservation_id=30665530659017", "YQHNCNSSM")</f>
        <v>YQHNCNSSM</v>
      </c>
      <c r="B852" t="s">
        <v>10</v>
      </c>
      <c r="C852" t="s">
        <v>11</v>
      </c>
      <c r="D852" t="str">
        <f>HYPERLINK("https://us2.cloudbeds.com/connect/10074733072513#/reservations/30665530659017?display=Larry%20Derksen&amp;reservation_id=30665530659017&amp;guest_id=30663079669983", "Larry Derksen")</f>
        <v>Larry Derksen</v>
      </c>
      <c r="E852" t="s">
        <v>1904</v>
      </c>
      <c r="F852" t="s">
        <v>1990</v>
      </c>
      <c r="G852">
        <v>136.32</v>
      </c>
      <c r="H852">
        <v>148.16</v>
      </c>
      <c r="I852">
        <v>148.18</v>
      </c>
      <c r="J852">
        <v>-0.02</v>
      </c>
    </row>
    <row r="853" spans="1:10" x14ac:dyDescent="0.3">
      <c r="A853" t="str">
        <f>HYPERLINK("https://us2.cloudbeds.com/connect/10074733072513#/reservations/30665544544432?display=YQHNZE8FR&amp;reservation_id=30665544544432", "YQHNZE8FR")</f>
        <v>YQHNZE8FR</v>
      </c>
      <c r="B853" t="s">
        <v>10</v>
      </c>
      <c r="C853" t="s">
        <v>11</v>
      </c>
      <c r="D853" t="str">
        <f>HYPERLINK("https://us2.cloudbeds.com/connect/10074733072513#/reservations/30665544544432?display=Dakota%20Begeman&amp;reservation_id=30665544544432&amp;guest_id=30665536528611", "Dakota Begeman")</f>
        <v>Dakota Begeman</v>
      </c>
      <c r="E853" t="s">
        <v>2000</v>
      </c>
      <c r="F853" t="s">
        <v>1990</v>
      </c>
      <c r="G853">
        <v>144.34</v>
      </c>
      <c r="H853">
        <v>156.88</v>
      </c>
      <c r="I853">
        <v>156.9</v>
      </c>
      <c r="J853">
        <v>-0.02</v>
      </c>
    </row>
    <row r="854" spans="1:10" x14ac:dyDescent="0.3">
      <c r="A854" t="str">
        <f>HYPERLINK("https://us2.cloudbeds.com/connect/10074733072513#/reservations/30665057202420?display=YQHB9G852&amp;reservation_id=30665057202420", "YQHB9G852")</f>
        <v>YQHB9G852</v>
      </c>
      <c r="B854" t="s">
        <v>10</v>
      </c>
      <c r="C854" t="s">
        <v>14</v>
      </c>
      <c r="D854" t="str">
        <f>HYPERLINK("https://us2.cloudbeds.com/connect/10074733072513#/reservations/30665057202420?display=David%20Clancy&amp;reservation_id=30665057202420&amp;guest_id=30665057202416", "David Clancy")</f>
        <v>David Clancy</v>
      </c>
      <c r="E854" t="s">
        <v>2001</v>
      </c>
      <c r="F854" t="s">
        <v>2002</v>
      </c>
      <c r="G854">
        <v>136.32</v>
      </c>
      <c r="H854">
        <v>148.16</v>
      </c>
      <c r="I854">
        <v>148.18</v>
      </c>
      <c r="J854">
        <v>-0.02</v>
      </c>
    </row>
    <row r="855" spans="1:10" x14ac:dyDescent="0.3">
      <c r="A855" t="str">
        <f>HYPERLINK("https://us2.cloudbeds.com/connect/10074733072513#/reservations/30664028872901?display=YQGX0CF8G&amp;reservation_id=30664028872901", "YQGX0CF8G")</f>
        <v>YQGX0CF8G</v>
      </c>
      <c r="B855" t="s">
        <v>10</v>
      </c>
      <c r="C855" t="s">
        <v>11</v>
      </c>
      <c r="D855" t="str">
        <f>HYPERLINK("https://us2.cloudbeds.com/connect/10074733072513#/reservations/30664028872901?display=Larry%20Derksen&amp;reservation_id=30664028872901&amp;guest_id=30663079669983", "Larry Derksen")</f>
        <v>Larry Derksen</v>
      </c>
      <c r="E855" t="s">
        <v>1904</v>
      </c>
      <c r="F855" t="s">
        <v>2004</v>
      </c>
      <c r="G855">
        <v>136.32</v>
      </c>
      <c r="H855">
        <v>148.16</v>
      </c>
      <c r="I855">
        <v>148.18</v>
      </c>
      <c r="J855">
        <v>-0.02</v>
      </c>
    </row>
    <row r="856" spans="1:10" x14ac:dyDescent="0.3">
      <c r="A856" t="str">
        <f>HYPERLINK("https://us2.cloudbeds.com/connect/10074733072513#/reservations/30663958294683?display=YQGG6SH4K&amp;reservation_id=30663958294683", "YQGG6SH4K")</f>
        <v>YQGG6SH4K</v>
      </c>
      <c r="B856" t="s">
        <v>10</v>
      </c>
      <c r="C856" t="s">
        <v>11</v>
      </c>
      <c r="D856" t="str">
        <f>HYPERLINK("https://us2.cloudbeds.com/connect/10074733072513#/reservations/30663958294683?display=Larry%20Derksen&amp;reservation_id=30663958294683&amp;guest_id=30663958294681", "Larry Derksen")</f>
        <v>Larry Derksen</v>
      </c>
      <c r="E856" t="s">
        <v>1904</v>
      </c>
      <c r="F856" t="s">
        <v>2004</v>
      </c>
      <c r="G856">
        <v>136.32</v>
      </c>
      <c r="H856">
        <v>148.16</v>
      </c>
      <c r="I856">
        <v>148.18</v>
      </c>
      <c r="J856">
        <v>-0.02</v>
      </c>
    </row>
    <row r="857" spans="1:10" x14ac:dyDescent="0.3">
      <c r="A857" t="str">
        <f>HYPERLINK("https://us2.cloudbeds.com/connect/10074733072513#/reservations/30664014876808?display=YQGHYJ00F&amp;reservation_id=30664014876808", "YQGHYJ00F")</f>
        <v>YQGHYJ00F</v>
      </c>
      <c r="B857" t="s">
        <v>10</v>
      </c>
      <c r="C857" t="s">
        <v>11</v>
      </c>
      <c r="D857" t="str">
        <f>HYPERLINK("https://us2.cloudbeds.com/connect/10074733072513#/reservations/30664014876808?display=Sherri%20Horan&amp;reservation_id=30664014876808&amp;guest_id=30664014872749", "Sherri Horan")</f>
        <v>Sherri Horan</v>
      </c>
      <c r="E857" t="s">
        <v>2020</v>
      </c>
      <c r="F857" t="s">
        <v>2021</v>
      </c>
      <c r="G857">
        <v>388.45</v>
      </c>
      <c r="H857">
        <v>422.23</v>
      </c>
      <c r="I857">
        <v>422.25</v>
      </c>
      <c r="J857">
        <v>-0.02</v>
      </c>
    </row>
    <row r="858" spans="1:10" x14ac:dyDescent="0.3">
      <c r="A858" t="str">
        <f>HYPERLINK("https://us2.cloudbeds.com/connect/10074733072513#/reservations/30666289590453?display=YQX9PM8JW&amp;reservation_id=30666289590453", "YQX9PM8JW")</f>
        <v>YQX9PM8JW</v>
      </c>
      <c r="B858" t="s">
        <v>10</v>
      </c>
      <c r="C858" t="s">
        <v>42</v>
      </c>
      <c r="D858" t="str">
        <f>HYPERLINK("https://us2.cloudbeds.com/connect/10074733072513#/reservations/30666289590453?display=Christine/Mark%20Sanders&amp;reservation_id=30666289590453&amp;guest_id=30665848713355", "Christine/Mark Sanders")</f>
        <v>Christine/Mark Sanders</v>
      </c>
      <c r="E858" t="s">
        <v>2028</v>
      </c>
      <c r="F858" t="s">
        <v>2032</v>
      </c>
      <c r="G858">
        <v>570.6</v>
      </c>
      <c r="H858">
        <v>620.22</v>
      </c>
      <c r="I858">
        <v>620.24</v>
      </c>
      <c r="J858">
        <v>-0.02</v>
      </c>
    </row>
    <row r="859" spans="1:10" x14ac:dyDescent="0.3">
      <c r="A859" t="str">
        <f>HYPERLINK("https://us2.cloudbeds.com/connect/10074733072513#/reservations/30665725694125?display=YQHSC60FF&amp;reservation_id=30665725694125", "YQHSC60FF")</f>
        <v>YQHSC60FF</v>
      </c>
      <c r="B859" t="s">
        <v>10</v>
      </c>
      <c r="C859" t="s">
        <v>11</v>
      </c>
      <c r="D859" t="str">
        <f>HYPERLINK("https://us2.cloudbeds.com/connect/10074733072513#/reservations/30665725694125?display=Wendy%20Vangent&amp;reservation_id=30665725694125&amp;guest_id=30665716895967", "Wendy Vangent")</f>
        <v>Wendy Vangent</v>
      </c>
      <c r="E859" t="s">
        <v>2039</v>
      </c>
      <c r="F859" t="s">
        <v>2040</v>
      </c>
      <c r="G859">
        <v>168.3</v>
      </c>
      <c r="H859">
        <v>182.92</v>
      </c>
      <c r="I859">
        <v>182.94</v>
      </c>
      <c r="J859">
        <v>-0.02</v>
      </c>
    </row>
    <row r="860" spans="1:10" x14ac:dyDescent="0.3">
      <c r="A860" t="str">
        <f>HYPERLINK("https://us2.cloudbeds.com/connect/10074733072513#/reservations/30665481031931?display=YQHM3SUKJ&amp;reservation_id=30665481031931", "YQHM3SUKJ")</f>
        <v>YQHM3SUKJ</v>
      </c>
      <c r="B860" t="s">
        <v>10</v>
      </c>
      <c r="C860" t="s">
        <v>14</v>
      </c>
      <c r="D860" t="str">
        <f>HYPERLINK("https://us2.cloudbeds.com/connect/10074733072513#/reservations/30665481031931?display=Kristi%20Armstrong&amp;reservation_id=30665481031931&amp;guest_id=30665481031928", "Kristi Armstrong")</f>
        <v>Kristi Armstrong</v>
      </c>
      <c r="E860" t="s">
        <v>2053</v>
      </c>
      <c r="F860" t="s">
        <v>2054</v>
      </c>
      <c r="G860">
        <v>168.3</v>
      </c>
      <c r="H860">
        <v>182.92</v>
      </c>
      <c r="I860">
        <v>182.94</v>
      </c>
      <c r="J860">
        <v>-0.02</v>
      </c>
    </row>
    <row r="861" spans="1:10" x14ac:dyDescent="0.3">
      <c r="A861" t="str">
        <f>HYPERLINK("https://us2.cloudbeds.com/connect/10074733072513#/reservations/30666351440076?display=YQXBBRAFW&amp;reservation_id=30666351440076", "YQXBBRAFW")</f>
        <v>YQXBBRAFW</v>
      </c>
      <c r="B861" t="s">
        <v>10</v>
      </c>
      <c r="C861" t="s">
        <v>17</v>
      </c>
      <c r="D861" t="str">
        <f>HYPERLINK("https://us2.cloudbeds.com/connect/10074733072513#/reservations/30666351440076?display=Sean%20Guilfoyle&amp;reservation_id=30666351440076&amp;guest_id=30666351436027", "Sean Guilfoyle")</f>
        <v>Sean Guilfoyle</v>
      </c>
      <c r="E861" t="s">
        <v>2058</v>
      </c>
      <c r="F861" t="s">
        <v>2059</v>
      </c>
      <c r="G861">
        <v>168.3</v>
      </c>
      <c r="H861">
        <v>182.92</v>
      </c>
      <c r="I861">
        <v>182.94</v>
      </c>
      <c r="J861">
        <v>-0.02</v>
      </c>
    </row>
    <row r="862" spans="1:10" x14ac:dyDescent="0.3">
      <c r="A862" t="str">
        <f>HYPERLINK("https://us2.cloudbeds.com/connect/10074733072513#/reservations/30665471594689?display=YQHYSUAYX&amp;reservation_id=30665471594689", "YQHYSUAYX")</f>
        <v>YQHYSUAYX</v>
      </c>
      <c r="B862" t="s">
        <v>10</v>
      </c>
      <c r="C862" t="s">
        <v>14</v>
      </c>
      <c r="D862" t="str">
        <f>HYPERLINK("https://us2.cloudbeds.com/connect/10074733072513#/reservations/30665471594689?display=David%20Clancy&amp;reservation_id=30665471594689&amp;guest_id=30665464176792", "David Clancy")</f>
        <v>David Clancy</v>
      </c>
      <c r="E862" t="s">
        <v>2001</v>
      </c>
      <c r="F862" t="s">
        <v>2054</v>
      </c>
      <c r="G862">
        <v>136.32</v>
      </c>
      <c r="H862">
        <v>148.16</v>
      </c>
      <c r="I862">
        <v>148.18</v>
      </c>
      <c r="J862">
        <v>-0.02</v>
      </c>
    </row>
    <row r="863" spans="1:10" x14ac:dyDescent="0.3">
      <c r="A863" t="str">
        <f>HYPERLINK("https://us2.cloudbeds.com/connect/10074733072513#/reservations/30665474810015?display=YQHYVKQ6M&amp;reservation_id=30665474810015", "YQHYVKQ6M")</f>
        <v>YQHYVKQ6M</v>
      </c>
      <c r="B863" t="s">
        <v>10</v>
      </c>
      <c r="C863" t="s">
        <v>20</v>
      </c>
      <c r="D863" t="str">
        <f>HYPERLINK("https://us2.cloudbeds.com/connect/10074733072513#/reservations/30665474810015?display=Blake%20Kitto&amp;reservation_id=30665474810015&amp;guest_id=30665474810010", "Blake Kitto")</f>
        <v>Blake Kitto</v>
      </c>
      <c r="E863" t="s">
        <v>2064</v>
      </c>
      <c r="F863" t="s">
        <v>2054</v>
      </c>
      <c r="G863">
        <v>80.19</v>
      </c>
      <c r="H863">
        <v>87.15</v>
      </c>
      <c r="I863">
        <v>87.17</v>
      </c>
      <c r="J863">
        <v>-0.02</v>
      </c>
    </row>
    <row r="864" spans="1:10" x14ac:dyDescent="0.3">
      <c r="A864" t="str">
        <f>HYPERLINK("https://us2.cloudbeds.com/connect/10074733072513#/reservations/30665137361053?display=YQHDB2PNH&amp;reservation_id=30665137361053", "YQHDB2PNH")</f>
        <v>YQHDB2PNH</v>
      </c>
      <c r="B864" t="s">
        <v>10</v>
      </c>
      <c r="C864" t="s">
        <v>14</v>
      </c>
      <c r="D864" t="str">
        <f>HYPERLINK("https://us2.cloudbeds.com/connect/10074733072513#/reservations/30665137361053?display=Hildegarde%20Wyffels&amp;reservation_id=30665137361053&amp;guest_id=30665137356971", "Hildegarde Wyffels")</f>
        <v>Hildegarde Wyffels</v>
      </c>
      <c r="E864" t="s">
        <v>2075</v>
      </c>
      <c r="F864" t="s">
        <v>2076</v>
      </c>
      <c r="G864">
        <v>144.34</v>
      </c>
      <c r="H864">
        <v>156.88</v>
      </c>
      <c r="I864">
        <v>156.9</v>
      </c>
      <c r="J864">
        <v>-0.02</v>
      </c>
    </row>
    <row r="865" spans="1:10" x14ac:dyDescent="0.3">
      <c r="A865" t="str">
        <f>HYPERLINK("https://us2.cloudbeds.com/connect/10074733072513#/reservations/30664375726241?display=YQGQSS5HP&amp;reservation_id=30664375726241", "YQGQSS5HP")</f>
        <v>YQGQSS5HP</v>
      </c>
      <c r="B865" t="s">
        <v>10</v>
      </c>
      <c r="C865" t="s">
        <v>11</v>
      </c>
      <c r="D865" t="str">
        <f>HYPERLINK("https://us2.cloudbeds.com/connect/10074733072513#/reservations/30664375726241?display=Shawn%20Dunlap&amp;reservation_id=30664375726241&amp;guest_id=30664375726236", "Shawn Dunlap")</f>
        <v>Shawn Dunlap</v>
      </c>
      <c r="E865" t="s">
        <v>2051</v>
      </c>
      <c r="F865" t="s">
        <v>2077</v>
      </c>
      <c r="G865">
        <v>300.87</v>
      </c>
      <c r="H865">
        <v>327.02999999999997</v>
      </c>
      <c r="I865">
        <v>327.05</v>
      </c>
      <c r="J865">
        <v>-0.02</v>
      </c>
    </row>
    <row r="866" spans="1:10" x14ac:dyDescent="0.3">
      <c r="A866" t="str">
        <f>HYPERLINK("https://us2.cloudbeds.com/connect/10074733072513#/reservations/30665143517371?display=YQHDG92TY&amp;reservation_id=30665143517371", "YQHDG92TY")</f>
        <v>YQHDG92TY</v>
      </c>
      <c r="B866" t="s">
        <v>10</v>
      </c>
      <c r="C866" t="s">
        <v>11</v>
      </c>
      <c r="D866" t="str">
        <f>HYPERLINK("https://us2.cloudbeds.com/connect/10074733072513#/reservations/30665143517371?display=Emily%20Hall&amp;reservation_id=30665143517371&amp;guest_id=30665143517369", "Emily Hall")</f>
        <v>Emily Hall</v>
      </c>
      <c r="E866" t="s">
        <v>2090</v>
      </c>
      <c r="F866" t="s">
        <v>2076</v>
      </c>
      <c r="G866">
        <v>136.32</v>
      </c>
      <c r="H866">
        <v>148.16</v>
      </c>
      <c r="I866">
        <v>148.18</v>
      </c>
      <c r="J866">
        <v>-0.02</v>
      </c>
    </row>
    <row r="867" spans="1:10" x14ac:dyDescent="0.3">
      <c r="A867" t="str">
        <f>HYPERLINK("https://us2.cloudbeds.com/connect/10074733072513#/reservations/30667009269894?display=YQXS5HD8T&amp;reservation_id=30667009269894", "YQXS5HD8T")</f>
        <v>YQXS5HD8T</v>
      </c>
      <c r="B867" t="s">
        <v>10</v>
      </c>
      <c r="C867" t="s">
        <v>11</v>
      </c>
      <c r="D867" t="str">
        <f>HYPERLINK("https://us2.cloudbeds.com/connect/10074733072513#/reservations/30667009269894?display=Shawn%20Dunlap&amp;reservation_id=30667009269894&amp;guest_id=30664375726236", "Shawn Dunlap")</f>
        <v>Shawn Dunlap</v>
      </c>
      <c r="E867" t="s">
        <v>2051</v>
      </c>
      <c r="F867" t="s">
        <v>2096</v>
      </c>
      <c r="G867">
        <v>232.02</v>
      </c>
      <c r="H867">
        <v>252.19</v>
      </c>
      <c r="I867">
        <v>252.21</v>
      </c>
      <c r="J867">
        <v>-0.02</v>
      </c>
    </row>
    <row r="868" spans="1:10" x14ac:dyDescent="0.3">
      <c r="A868" t="str">
        <f>HYPERLINK("https://us2.cloudbeds.com/connect/10074733072513#/reservations/30664810713328?display=YQH4WYANY&amp;reservation_id=30664810713328", "YQH4WYANY")</f>
        <v>YQH4WYANY</v>
      </c>
      <c r="B868" t="s">
        <v>10</v>
      </c>
      <c r="C868" t="s">
        <v>42</v>
      </c>
      <c r="D868" t="str">
        <f>HYPERLINK("https://us2.cloudbeds.com/connect/10074733072513#/reservations/30664810713328?display=Christopher%20Wilsey&amp;reservation_id=30664810713328&amp;guest_id=30664810713322", "Christopher Wilsey")</f>
        <v>Christopher Wilsey</v>
      </c>
      <c r="E868" t="s">
        <v>2113</v>
      </c>
      <c r="F868" t="s">
        <v>2114</v>
      </c>
      <c r="G868">
        <v>312.3</v>
      </c>
      <c r="H868">
        <v>339.45</v>
      </c>
      <c r="I868">
        <v>339.47</v>
      </c>
      <c r="J868">
        <v>-0.02</v>
      </c>
    </row>
    <row r="869" spans="1:10" x14ac:dyDescent="0.3">
      <c r="A869" t="str">
        <f>HYPERLINK("https://us2.cloudbeds.com/connect/10074733072513#/reservations/30666238902503?display=YQX8FUQ6G&amp;reservation_id=30666238902503", "YQX8FUQ6G")</f>
        <v>YQX8FUQ6G</v>
      </c>
      <c r="B869" t="s">
        <v>10</v>
      </c>
      <c r="C869" t="s">
        <v>42</v>
      </c>
      <c r="D869" t="str">
        <f>HYPERLINK("https://us2.cloudbeds.com/connect/10074733072513#/reservations/30666238902503?display=Sam%20Seppanen&amp;reservation_id=30666238902503&amp;guest_id=30666238902496", "Sam Seppanen")</f>
        <v>Sam Seppanen</v>
      </c>
      <c r="E869" t="s">
        <v>2118</v>
      </c>
      <c r="F869" t="s">
        <v>2119</v>
      </c>
      <c r="G869">
        <v>1069.2</v>
      </c>
      <c r="H869">
        <v>1162.2</v>
      </c>
      <c r="I869">
        <v>1162.22</v>
      </c>
      <c r="J869">
        <v>-0.02</v>
      </c>
    </row>
    <row r="870" spans="1:10" x14ac:dyDescent="0.3">
      <c r="A870" t="str">
        <f>HYPERLINK("https://us2.cloudbeds.com/connect/10074733072513#/reservations/30667076571297?display=YQXTT95CB&amp;reservation_id=30667076571297", "YQXTT95CB")</f>
        <v>YQXTT95CB</v>
      </c>
      <c r="B870" t="s">
        <v>10</v>
      </c>
      <c r="C870" t="s">
        <v>121</v>
      </c>
      <c r="D870" t="str">
        <f>HYPERLINK("https://us2.cloudbeds.com/connect/10074733072513#/reservations/30667076571297?display=John%20Mullen&amp;reservation_id=30667076571297&amp;guest_id=30667068747978", "John Mullen")</f>
        <v>John Mullen</v>
      </c>
      <c r="E870" t="s">
        <v>2153</v>
      </c>
      <c r="F870" t="s">
        <v>2154</v>
      </c>
      <c r="G870">
        <v>168.3</v>
      </c>
      <c r="H870">
        <v>182.92</v>
      </c>
      <c r="I870">
        <v>182.94</v>
      </c>
      <c r="J870">
        <v>-0.02</v>
      </c>
    </row>
    <row r="871" spans="1:10" x14ac:dyDescent="0.3">
      <c r="A871" t="str">
        <f>HYPERLINK("https://us2.cloudbeds.com/connect/10074733072513#/reservations/30667925946530?display=YQJXJG98P&amp;reservation_id=30667925946530", "YQJXJG98P")</f>
        <v>YQJXJG98P</v>
      </c>
      <c r="B871" t="s">
        <v>10</v>
      </c>
      <c r="C871" t="s">
        <v>121</v>
      </c>
      <c r="D871" t="str">
        <f>HYPERLINK("https://us2.cloudbeds.com/connect/10074733072513#/reservations/30667925946530?display=Yvonne%20Scareshawk&amp;reservation_id=30667925946530&amp;guest_id=30667925946528", "Yvonne Scareshawk")</f>
        <v>Yvonne Scareshawk</v>
      </c>
      <c r="E871" t="s">
        <v>2167</v>
      </c>
      <c r="F871" t="s">
        <v>2168</v>
      </c>
      <c r="G871">
        <v>166.4</v>
      </c>
      <c r="H871">
        <v>180.86</v>
      </c>
      <c r="I871">
        <v>180.88</v>
      </c>
      <c r="J871">
        <v>-0.02</v>
      </c>
    </row>
    <row r="872" spans="1:10" x14ac:dyDescent="0.3">
      <c r="A872" t="str">
        <f>HYPERLINK("https://us2.cloudbeds.com/connect/10074733072513#/reservations/30663507333334?display=YQG4MJS76&amp;reservation_id=30663507333334", "YQG4MJS76")</f>
        <v>YQG4MJS76</v>
      </c>
      <c r="B872" t="s">
        <v>10</v>
      </c>
      <c r="C872" t="s">
        <v>11</v>
      </c>
      <c r="D872" t="str">
        <f>HYPERLINK("https://us2.cloudbeds.com/connect/10074733072513#/reservations/30663507333334?display=Sam%20Miller&amp;reservation_id=30663507333334&amp;guest_id=30663502540991", "Sam Miller")</f>
        <v>Sam Miller</v>
      </c>
      <c r="E872" t="s">
        <v>2173</v>
      </c>
      <c r="F872" t="s">
        <v>2174</v>
      </c>
      <c r="G872">
        <v>144.34</v>
      </c>
      <c r="H872">
        <v>156.88</v>
      </c>
      <c r="I872">
        <v>156.9</v>
      </c>
      <c r="J872">
        <v>-0.02</v>
      </c>
    </row>
    <row r="873" spans="1:10" x14ac:dyDescent="0.3">
      <c r="A873" t="str">
        <f>HYPERLINK("https://us2.cloudbeds.com/connect/10074733072513#/reservations/30667411271818?display=YQJ5EGN1C&amp;reservation_id=30667411271818", "YQJ5EGN1C")</f>
        <v>YQJ5EGN1C</v>
      </c>
      <c r="B873" t="s">
        <v>10</v>
      </c>
      <c r="C873" t="s">
        <v>42</v>
      </c>
      <c r="D873" t="str">
        <f>HYPERLINK("https://us2.cloudbeds.com/connect/10074733072513#/reservations/30667411271818?display=Enes%20Colis&amp;reservation_id=30667411271818&amp;guest_id=30667411271814", "Enes Colis")</f>
        <v>Enes Colis</v>
      </c>
      <c r="E873" t="s">
        <v>2204</v>
      </c>
      <c r="F873" t="s">
        <v>2205</v>
      </c>
      <c r="G873">
        <v>144.34</v>
      </c>
      <c r="H873">
        <v>156.88</v>
      </c>
      <c r="I873">
        <v>156.9</v>
      </c>
      <c r="J873">
        <v>-0.02</v>
      </c>
    </row>
    <row r="874" spans="1:10" x14ac:dyDescent="0.3">
      <c r="A874" t="str">
        <f>HYPERLINK("https://us2.cloudbeds.com/connect/10074733072513#/reservations/30667806703771?display=YQJFHV5PR&amp;reservation_id=30667806703771", "YQJFHV5PR")</f>
        <v>YQJFHV5PR</v>
      </c>
      <c r="B874" t="s">
        <v>10</v>
      </c>
      <c r="C874" t="s">
        <v>11</v>
      </c>
      <c r="D874" t="str">
        <f>HYPERLINK("https://us2.cloudbeds.com/connect/10074733072513#/reservations/30667806703771?display=Jacob%20Shirar&amp;reservation_id=30667806703771&amp;guest_id=30667806703767", "Jacob Shirar")</f>
        <v>Jacob Shirar</v>
      </c>
      <c r="E874" t="s">
        <v>2238</v>
      </c>
      <c r="F874" t="s">
        <v>2239</v>
      </c>
      <c r="G874">
        <v>128.30000000000001</v>
      </c>
      <c r="H874">
        <v>139.44</v>
      </c>
      <c r="I874">
        <v>139.46</v>
      </c>
      <c r="J874">
        <v>-0.02</v>
      </c>
    </row>
    <row r="875" spans="1:10" x14ac:dyDescent="0.3">
      <c r="A875" t="str">
        <f>HYPERLINK("https://us2.cloudbeds.com/connect/10074733072513#/reservations/30667824009376?display=YQJFWHZ23&amp;reservation_id=30667824009376", "YQJFWHZ23")</f>
        <v>YQJFWHZ23</v>
      </c>
      <c r="B875" t="s">
        <v>10</v>
      </c>
      <c r="C875" t="s">
        <v>11</v>
      </c>
      <c r="D875" t="str">
        <f>HYPERLINK("https://us2.cloudbeds.com/connect/10074733072513#/reservations/30667824009376?display=Ray%20Elsberry&amp;reservation_id=30667824009376&amp;guest_id=30667824009367", "Ray Elsberry")</f>
        <v>Ray Elsberry</v>
      </c>
      <c r="E875" t="s">
        <v>2238</v>
      </c>
      <c r="F875" t="s">
        <v>2242</v>
      </c>
      <c r="G875">
        <v>327.23</v>
      </c>
      <c r="H875">
        <v>355.68</v>
      </c>
      <c r="I875">
        <v>355.7</v>
      </c>
      <c r="J875">
        <v>-0.02</v>
      </c>
    </row>
    <row r="876" spans="1:10" x14ac:dyDescent="0.3">
      <c r="A876" t="str">
        <f>HYPERLINK("https://us2.cloudbeds.com/connect/10074733072513#/reservations/30667068747980?display=YQXTMMFE4&amp;reservation_id=30667068747980", "YQXTMMFE4")</f>
        <v>YQXTMMFE4</v>
      </c>
      <c r="B876" t="s">
        <v>10</v>
      </c>
      <c r="C876" t="s">
        <v>20</v>
      </c>
      <c r="D876" t="str">
        <f>HYPERLINK("https://us2.cloudbeds.com/connect/10074733072513#/reservations/30667068747980?display=Yahor%20Urbanovich&amp;reservation_id=30667068747980&amp;guest_id=30667068743932", "Yahor Urbanovich")</f>
        <v>Yahor Urbanovich</v>
      </c>
      <c r="E876" t="s">
        <v>2255</v>
      </c>
      <c r="F876" t="s">
        <v>2229</v>
      </c>
      <c r="G876">
        <v>136.32</v>
      </c>
      <c r="H876">
        <v>148.16</v>
      </c>
      <c r="I876">
        <v>148.18</v>
      </c>
      <c r="J876">
        <v>-0.02</v>
      </c>
    </row>
    <row r="877" spans="1:10" x14ac:dyDescent="0.3">
      <c r="A877" t="str">
        <f>HYPERLINK("https://us2.cloudbeds.com/connect/10074733072513#/reservations/30668116750487?display=YQJNFCMGS&amp;reservation_id=30668116750487", "YQJNFCMGS")</f>
        <v>YQJNFCMGS</v>
      </c>
      <c r="B877" t="s">
        <v>10</v>
      </c>
      <c r="C877" t="s">
        <v>20</v>
      </c>
      <c r="D877" t="str">
        <f>HYPERLINK("https://us2.cloudbeds.com/connect/10074733072513#/reservations/30668116750487?display=Justine%20Braunagel&amp;reservation_id=30668116750487&amp;guest_id=30668116750484", "Justine Braunagel")</f>
        <v>Justine Braunagel</v>
      </c>
      <c r="E877" t="s">
        <v>2279</v>
      </c>
      <c r="F877" t="s">
        <v>2280</v>
      </c>
      <c r="G877">
        <v>312.3</v>
      </c>
      <c r="H877">
        <v>339.45</v>
      </c>
      <c r="I877">
        <v>339.47</v>
      </c>
      <c r="J877">
        <v>-0.02</v>
      </c>
    </row>
    <row r="878" spans="1:10" x14ac:dyDescent="0.3">
      <c r="A878" t="str">
        <f>HYPERLINK("https://us2.cloudbeds.com/connect/10074733072513#/reservations/30668975157392?display=YQKCD73VA&amp;reservation_id=30668975157392", "YQKCD73VA")</f>
        <v>YQKCD73VA</v>
      </c>
      <c r="B878" t="s">
        <v>10</v>
      </c>
      <c r="C878" t="s">
        <v>11</v>
      </c>
      <c r="D878" t="str">
        <f>HYPERLINK("https://us2.cloudbeds.com/connect/10074733072513#/reservations/30668975157392?display=Loribeth%20James&amp;reservation_id=30668975157392&amp;guest_id=30668975157389", "Loribeth James")</f>
        <v>Loribeth James</v>
      </c>
      <c r="E878" t="s">
        <v>2291</v>
      </c>
      <c r="F878" t="s">
        <v>2292</v>
      </c>
      <c r="G878">
        <v>286.39999999999998</v>
      </c>
      <c r="H878">
        <v>311.3</v>
      </c>
      <c r="I878">
        <v>311.32</v>
      </c>
      <c r="J878">
        <v>-0.02</v>
      </c>
    </row>
    <row r="879" spans="1:10" x14ac:dyDescent="0.3">
      <c r="A879" t="str">
        <f>HYPERLINK("https://us2.cloudbeds.com/connect/10074733072513#/reservations/30668597108943?display=YQK2ZEC0N&amp;reservation_id=30668597108943", "YQK2ZEC0N")</f>
        <v>YQK2ZEC0N</v>
      </c>
      <c r="B879" t="s">
        <v>10</v>
      </c>
      <c r="C879" t="s">
        <v>14</v>
      </c>
      <c r="D879" t="str">
        <f>HYPERLINK("https://us2.cloudbeds.com/connect/10074733072513#/reservations/30668597108943?display=Galen%20Hoogestraat&amp;reservation_id=30668597108943&amp;guest_id=30649853255823", "Galen Hoogestraat")</f>
        <v>Galen Hoogestraat</v>
      </c>
      <c r="E879" t="s">
        <v>2337</v>
      </c>
      <c r="F879" t="s">
        <v>2338</v>
      </c>
      <c r="G879">
        <v>286.39999999999998</v>
      </c>
      <c r="H879">
        <v>311.3</v>
      </c>
      <c r="I879">
        <v>311.32</v>
      </c>
      <c r="J879">
        <v>-0.02</v>
      </c>
    </row>
    <row r="880" spans="1:10" x14ac:dyDescent="0.3">
      <c r="A880" t="str">
        <f>HYPERLINK("https://us2.cloudbeds.com/connect/10074733072513#/reservations/30668512293034?display=YQK0XU7QY&amp;reservation_id=30668512293034", "YQK0XU7QY")</f>
        <v>YQK0XU7QY</v>
      </c>
      <c r="B880" t="s">
        <v>10</v>
      </c>
      <c r="C880" t="s">
        <v>20</v>
      </c>
      <c r="D880" t="str">
        <f>HYPERLINK("https://us2.cloudbeds.com/connect/10074733072513#/reservations/30668512293034?display=Jeffrey%20Petersen&amp;reservation_id=30668512293034&amp;guest_id=30668512293032", "Jeffrey Petersen")</f>
        <v>Jeffrey Petersen</v>
      </c>
      <c r="E880" t="s">
        <v>2339</v>
      </c>
      <c r="F880" t="s">
        <v>2340</v>
      </c>
      <c r="G880">
        <v>261.63</v>
      </c>
      <c r="H880">
        <v>284.37</v>
      </c>
      <c r="I880">
        <v>284.39</v>
      </c>
      <c r="J880">
        <v>-0.02</v>
      </c>
    </row>
    <row r="881" spans="1:10" x14ac:dyDescent="0.3">
      <c r="A881" t="str">
        <f>HYPERLINK("https://us2.cloudbeds.com/connect/10074733072513#/reservations/30669202632913?display=YQKX70VNU&amp;reservation_id=30669202632913", "YQKX70VNU")</f>
        <v>YQKX70VNU</v>
      </c>
      <c r="B881" t="s">
        <v>10</v>
      </c>
      <c r="C881" t="s">
        <v>20</v>
      </c>
      <c r="D881" t="str">
        <f>HYPERLINK("https://us2.cloudbeds.com/connect/10074733072513#/reservations/30669202632913?display=Heather%20Loshaw&amp;reservation_id=30669202632913&amp;guest_id=30669202632911", "Heather Loshaw")</f>
        <v>Heather Loshaw</v>
      </c>
      <c r="E881" t="s">
        <v>2348</v>
      </c>
      <c r="F881" t="s">
        <v>2333</v>
      </c>
      <c r="G881">
        <v>340.2</v>
      </c>
      <c r="H881">
        <v>369.78</v>
      </c>
      <c r="I881">
        <v>369.8</v>
      </c>
      <c r="J881">
        <v>-0.02</v>
      </c>
    </row>
    <row r="882" spans="1:10" x14ac:dyDescent="0.3">
      <c r="A882" t="str">
        <f>HYPERLINK("https://us2.cloudbeds.com/connect/10074733072513#/reservations/30669158400144?display=YQKH2Z3UW&amp;reservation_id=30669158400144", "YQKH2Z3UW")</f>
        <v>YQKH2Z3UW</v>
      </c>
      <c r="B882" t="s">
        <v>10</v>
      </c>
      <c r="C882" t="s">
        <v>17</v>
      </c>
      <c r="D882" t="str">
        <f>HYPERLINK("https://us2.cloudbeds.com/connect/10074733072513#/reservations/30669158400144?display=Cary%20Quiring&amp;reservation_id=30669158400144&amp;guest_id=30669158400131", "Cary Quiring")</f>
        <v>Cary Quiring</v>
      </c>
      <c r="E882" t="s">
        <v>2355</v>
      </c>
      <c r="F882" t="s">
        <v>2333</v>
      </c>
      <c r="G882">
        <v>340.2</v>
      </c>
      <c r="H882">
        <v>369.78</v>
      </c>
      <c r="I882">
        <v>369.8</v>
      </c>
      <c r="J882">
        <v>-0.02</v>
      </c>
    </row>
    <row r="883" spans="1:10" x14ac:dyDescent="0.3">
      <c r="A883" t="str">
        <f>HYPERLINK("https://us2.cloudbeds.com/connect/10074733072513#/reservations/30669606588638?display=YQKSHYKKG&amp;reservation_id=30669606588638", "YQKSHYKKG")</f>
        <v>YQKSHYKKG</v>
      </c>
      <c r="B883" t="s">
        <v>10</v>
      </c>
      <c r="C883" t="s">
        <v>17</v>
      </c>
      <c r="D883" t="str">
        <f>HYPERLINK("https://us2.cloudbeds.com/connect/10074733072513#/reservations/30669606588638?display=Lyla%20Larson&amp;reservation_id=30669606588638&amp;guest_id=30669606588636", "Lyla Larson")</f>
        <v>Lyla Larson</v>
      </c>
      <c r="E883" t="s">
        <v>2370</v>
      </c>
      <c r="F883" t="s">
        <v>2272</v>
      </c>
      <c r="G883">
        <v>340.2</v>
      </c>
      <c r="H883">
        <v>369.78</v>
      </c>
      <c r="I883">
        <v>369.8</v>
      </c>
      <c r="J883">
        <v>-0.02</v>
      </c>
    </row>
    <row r="884" spans="1:10" x14ac:dyDescent="0.3">
      <c r="A884" t="str">
        <f>HYPERLINK("https://us2.cloudbeds.com/connect/10074733072513#/reservations/30668750340224?display=YQK6YY4XM&amp;reservation_id=30668750340224", "YQK6YY4XM")</f>
        <v>YQK6YY4XM</v>
      </c>
      <c r="B884" t="s">
        <v>10</v>
      </c>
      <c r="C884" t="s">
        <v>42</v>
      </c>
      <c r="D884" t="str">
        <f>HYPERLINK("https://us2.cloudbeds.com/connect/10074733072513#/reservations/30668750340224?display=Kevin%20Martin&amp;reservation_id=30668750340224&amp;guest_id=30668750336190", "Kevin Martin")</f>
        <v>Kevin Martin</v>
      </c>
      <c r="E884" t="s">
        <v>2376</v>
      </c>
      <c r="F884" t="s">
        <v>2350</v>
      </c>
      <c r="G884">
        <v>381.6</v>
      </c>
      <c r="H884">
        <v>414.78</v>
      </c>
      <c r="I884">
        <v>414.8</v>
      </c>
      <c r="J884">
        <v>-0.02</v>
      </c>
    </row>
    <row r="885" spans="1:10" x14ac:dyDescent="0.3">
      <c r="A885" t="str">
        <f>HYPERLINK("https://us2.cloudbeds.com/connect/10074733072513#/reservations/30668637769916?display=YQK3PNQUD&amp;reservation_id=30668637769916", "YQK3PNQUD")</f>
        <v>YQK3PNQUD</v>
      </c>
      <c r="B885" t="s">
        <v>10</v>
      </c>
      <c r="C885" t="s">
        <v>42</v>
      </c>
      <c r="D885" t="str">
        <f>HYPERLINK("https://us2.cloudbeds.com/connect/10074733072513#/reservations/30668637769916?display=Connie%20Mcneely&amp;reservation_id=30668637769916&amp;guest_id=30668637769856", "Connie Mcneely")</f>
        <v>Connie Mcneely</v>
      </c>
      <c r="E885" t="s">
        <v>2386</v>
      </c>
      <c r="F885" t="s">
        <v>2338</v>
      </c>
      <c r="G885">
        <v>286.39999999999998</v>
      </c>
      <c r="H885">
        <v>311.3</v>
      </c>
      <c r="I885">
        <v>311.32</v>
      </c>
      <c r="J885">
        <v>-0.02</v>
      </c>
    </row>
    <row r="886" spans="1:10" x14ac:dyDescent="0.3">
      <c r="A886" t="str">
        <f>HYPERLINK("https://us2.cloudbeds.com/connect/10074733072513#/reservations/30669825949846?display=YQY14KM7R&amp;reservation_id=30669825949846", "YQY14KM7R")</f>
        <v>YQY14KM7R</v>
      </c>
      <c r="B886" t="s">
        <v>10</v>
      </c>
      <c r="C886" t="s">
        <v>42</v>
      </c>
      <c r="D886" t="str">
        <f>HYPERLINK("https://us2.cloudbeds.com/connect/10074733072513#/reservations/30669825949846?display=Josh%20Greeney&amp;reservation_id=30669825949846&amp;guest_id=30668569321607", "Josh Greeney")</f>
        <v>Josh Greeney</v>
      </c>
      <c r="E886" t="s">
        <v>2390</v>
      </c>
      <c r="F886" t="s">
        <v>2391</v>
      </c>
      <c r="G886">
        <v>504.6</v>
      </c>
      <c r="H886">
        <v>548.48</v>
      </c>
      <c r="I886">
        <v>548.5</v>
      </c>
      <c r="J886">
        <v>-0.02</v>
      </c>
    </row>
    <row r="887" spans="1:10" x14ac:dyDescent="0.3">
      <c r="A887" t="str">
        <f>HYPERLINK("https://us2.cloudbeds.com/connect/10074733072513#/reservations/30669233807560?display=YQKJ0AEJ6&amp;reservation_id=30669233807560", "YQKJ0AEJ6")</f>
        <v>YQKJ0AEJ6</v>
      </c>
      <c r="B887" t="s">
        <v>10</v>
      </c>
      <c r="C887" t="s">
        <v>42</v>
      </c>
      <c r="D887" t="str">
        <f>HYPERLINK("https://us2.cloudbeds.com/connect/10074733072513#/reservations/30669233807560?display=Richard%20And%20Kathi%20Maben&amp;reservation_id=30669233807560&amp;guest_id=30669233807558", "Richard And Kathi Maben")</f>
        <v>Richard And Kathi Maben</v>
      </c>
      <c r="E887" t="s">
        <v>2392</v>
      </c>
      <c r="F887" t="s">
        <v>2393</v>
      </c>
      <c r="G887">
        <v>206.4</v>
      </c>
      <c r="H887">
        <v>224.34</v>
      </c>
      <c r="I887">
        <v>224.36</v>
      </c>
      <c r="J887">
        <v>-0.02</v>
      </c>
    </row>
    <row r="888" spans="1:10" x14ac:dyDescent="0.3">
      <c r="A888" t="str">
        <f>HYPERLINK("https://us2.cloudbeds.com/connect/10074733072513#/reservations/30670388347100?display=YQYFGS6QS&amp;reservation_id=30670388347100", "YQYFGS6QS")</f>
        <v>YQYFGS6QS</v>
      </c>
      <c r="B888" t="s">
        <v>10</v>
      </c>
      <c r="C888" t="s">
        <v>121</v>
      </c>
      <c r="D888" t="str">
        <f>HYPERLINK("https://us2.cloudbeds.com/connect/10074733072513#/reservations/30670388347100?display=Steven%20Jones&amp;reservation_id=30670388347100&amp;guest_id=30670381858947", "Steven Jones")</f>
        <v>Steven Jones</v>
      </c>
      <c r="E888" t="s">
        <v>2400</v>
      </c>
      <c r="F888" t="s">
        <v>2401</v>
      </c>
      <c r="G888">
        <v>194.44</v>
      </c>
      <c r="H888">
        <v>211.34</v>
      </c>
      <c r="I888">
        <v>211.36</v>
      </c>
      <c r="J888">
        <v>-0.02</v>
      </c>
    </row>
    <row r="889" spans="1:10" x14ac:dyDescent="0.3">
      <c r="A889" t="str">
        <f>HYPERLINK("https://us2.cloudbeds.com/connect/10074733072513#/reservations/30672574968008?display=YQN5CM55G&amp;reservation_id=30672574968008", "YQN5CM55G")</f>
        <v>YQN5CM55G</v>
      </c>
      <c r="B889" t="s">
        <v>10</v>
      </c>
      <c r="C889" t="s">
        <v>42</v>
      </c>
      <c r="D889" t="str">
        <f>HYPERLINK("https://us2.cloudbeds.com/connect/10074733072513#/reservations/30672574968008?display=Melissa%20Preheim&amp;reservation_id=30672574968008&amp;guest_id=30672574963911", "Melissa Preheim")</f>
        <v>Melissa Preheim</v>
      </c>
      <c r="E889" t="s">
        <v>2419</v>
      </c>
      <c r="F889" t="s">
        <v>2420</v>
      </c>
      <c r="G889">
        <v>312.3</v>
      </c>
      <c r="H889">
        <v>339.45</v>
      </c>
      <c r="I889">
        <v>339.47</v>
      </c>
      <c r="J889">
        <v>-0.02</v>
      </c>
    </row>
    <row r="890" spans="1:10" x14ac:dyDescent="0.3">
      <c r="A890" t="str">
        <f>HYPERLINK("https://us2.cloudbeds.com/connect/10074733072513#/reservations/30670886666368?display=YQYS2KVYP&amp;reservation_id=30670886666368", "YQYS2KVYP")</f>
        <v>YQYS2KVYP</v>
      </c>
      <c r="B890" t="s">
        <v>10</v>
      </c>
      <c r="C890" t="s">
        <v>42</v>
      </c>
      <c r="D890" t="str">
        <f>HYPERLINK("https://us2.cloudbeds.com/connect/10074733072513#/reservations/30670886666368?display=Diane%20Doering&amp;reservation_id=30670886666368&amp;guest_id=30654587162837", "Diane Doering")</f>
        <v>Diane Doering</v>
      </c>
      <c r="E890" t="s">
        <v>1322</v>
      </c>
      <c r="F890" t="s">
        <v>2422</v>
      </c>
      <c r="G890">
        <v>260.2</v>
      </c>
      <c r="H890">
        <v>282.82</v>
      </c>
      <c r="I890">
        <v>282.83999999999997</v>
      </c>
      <c r="J890">
        <v>-0.02</v>
      </c>
    </row>
    <row r="891" spans="1:10" x14ac:dyDescent="0.3">
      <c r="A891" t="str">
        <f>HYPERLINK("https://us2.cloudbeds.com/connect/10074733072513#/reservations/30671587623060?display=YQMD53RAX&amp;reservation_id=30671587623060", "YQMD53RAX")</f>
        <v>YQMD53RAX</v>
      </c>
      <c r="B891" t="s">
        <v>10</v>
      </c>
      <c r="C891" t="s">
        <v>20</v>
      </c>
      <c r="D891" t="str">
        <f>HYPERLINK("https://us2.cloudbeds.com/connect/10074733072513#/reservations/30671587623060?display=Hailey%20Thompson&amp;reservation_id=30671587623060&amp;guest_id=30671576273031", "Hailey Thompson")</f>
        <v>Hailey Thompson</v>
      </c>
      <c r="E891" t="s">
        <v>2441</v>
      </c>
      <c r="F891" t="s">
        <v>2176</v>
      </c>
      <c r="G891">
        <v>236.3</v>
      </c>
      <c r="H891">
        <v>256.83999999999997</v>
      </c>
      <c r="I891">
        <v>256.86</v>
      </c>
      <c r="J891">
        <v>-0.02</v>
      </c>
    </row>
    <row r="892" spans="1:10" x14ac:dyDescent="0.3">
      <c r="A892" t="str">
        <f>HYPERLINK("https://us2.cloudbeds.com/connect/10074733072513#/reservations/30671772000403?display=YQMHSJD5R&amp;reservation_id=30671772000403", "YQMHSJD5R")</f>
        <v>YQMHSJD5R</v>
      </c>
      <c r="B892" t="s">
        <v>10</v>
      </c>
      <c r="C892" t="s">
        <v>23</v>
      </c>
      <c r="D892" t="str">
        <f>HYPERLINK("https://us2.cloudbeds.com/connect/10074733072513#/reservations/30671772000403?display=Debra%20Hanson&amp;reservation_id=30671772000403&amp;guest_id=30671772000390", "Debra Hanson")</f>
        <v>Debra Hanson</v>
      </c>
      <c r="E892" t="s">
        <v>2488</v>
      </c>
      <c r="F892" t="s">
        <v>2453</v>
      </c>
      <c r="G892">
        <v>544.5</v>
      </c>
      <c r="H892">
        <v>591.85</v>
      </c>
      <c r="I892">
        <v>591.87</v>
      </c>
      <c r="J892">
        <v>-0.02</v>
      </c>
    </row>
    <row r="893" spans="1:10" x14ac:dyDescent="0.3">
      <c r="A893" t="str">
        <f>HYPERLINK("https://us2.cloudbeds.com/connect/10074733072513#/reservations/30671533248709?display=YQMBP8PQ0&amp;reservation_id=30671533248709", "YQMBP8PQ0")</f>
        <v>YQMBP8PQ0</v>
      </c>
      <c r="B893" t="s">
        <v>10</v>
      </c>
      <c r="C893" t="s">
        <v>42</v>
      </c>
      <c r="D893" t="str">
        <f>HYPERLINK("https://us2.cloudbeds.com/connect/10074733072513#/reservations/30671533248709?display=Craig%20Yerigan&amp;reservation_id=30671533248709&amp;guest_id=30671525736665", "Craig Yerigan")</f>
        <v>Craig Yerigan</v>
      </c>
      <c r="E893" t="s">
        <v>2508</v>
      </c>
      <c r="F893" t="s">
        <v>2509</v>
      </c>
      <c r="G893">
        <v>392.4</v>
      </c>
      <c r="H893">
        <v>426.52</v>
      </c>
      <c r="I893">
        <v>426.54</v>
      </c>
      <c r="J893">
        <v>-0.02</v>
      </c>
    </row>
    <row r="894" spans="1:10" x14ac:dyDescent="0.3">
      <c r="A894" t="str">
        <f>HYPERLINK("https://us2.cloudbeds.com/connect/10074733072513#/reservations/30671427690648?display=YQM928FJT&amp;reservation_id=30671427690648", "YQM928FJT")</f>
        <v>YQM928FJT</v>
      </c>
      <c r="B894" t="s">
        <v>10</v>
      </c>
      <c r="C894" t="s">
        <v>14</v>
      </c>
      <c r="D894" t="str">
        <f>HYPERLINK("https://us2.cloudbeds.com/connect/10074733072513#/reservations/30671427690648?display=Amber%20Hayes&amp;reservation_id=30671427690648&amp;guest_id=30671427686557", "Amber Hayes")</f>
        <v>Amber Hayes</v>
      </c>
      <c r="E894" t="s">
        <v>2514</v>
      </c>
      <c r="F894" t="s">
        <v>2515</v>
      </c>
      <c r="G894">
        <v>236.3</v>
      </c>
      <c r="H894">
        <v>256.83999999999997</v>
      </c>
      <c r="I894">
        <v>256.86</v>
      </c>
      <c r="J894">
        <v>-0.02</v>
      </c>
    </row>
    <row r="895" spans="1:10" x14ac:dyDescent="0.3">
      <c r="A895" t="str">
        <f>HYPERLINK("https://us2.cloudbeds.com/connect/10074733072513#/reservations/30672348606594?display=YQMWJQAEN&amp;reservation_id=30672348606594", "YQMWJQAEN")</f>
        <v>YQMWJQAEN</v>
      </c>
      <c r="B895" t="s">
        <v>10</v>
      </c>
      <c r="C895" t="s">
        <v>42</v>
      </c>
      <c r="D895" t="str">
        <f>HYPERLINK("https://us2.cloudbeds.com/connect/10074733072513#/reservations/30672348606594?display=Bradley%20Dannen&amp;reservation_id=30672348606594&amp;guest_id=30672348602502", "Bradley Dannen")</f>
        <v>Bradley Dannen</v>
      </c>
      <c r="E895" t="s">
        <v>2516</v>
      </c>
      <c r="F895" t="s">
        <v>2405</v>
      </c>
      <c r="G895">
        <v>206.4</v>
      </c>
      <c r="H895">
        <v>224.34</v>
      </c>
      <c r="I895">
        <v>224.36</v>
      </c>
      <c r="J895">
        <v>-0.02</v>
      </c>
    </row>
    <row r="896" spans="1:10" x14ac:dyDescent="0.3">
      <c r="A896" t="str">
        <f>HYPERLINK("https://us2.cloudbeds.com/connect/10074733072513#/reservations/30670672003314?display=YQYMP1BRN&amp;reservation_id=30670672003314", "YQYMP1BRN")</f>
        <v>YQYMP1BRN</v>
      </c>
      <c r="B896" t="s">
        <v>10</v>
      </c>
      <c r="C896" t="s">
        <v>17</v>
      </c>
      <c r="D896" t="str">
        <f>HYPERLINK("https://us2.cloudbeds.com/connect/10074733072513#/reservations/30670672003314?display=Roger%20Nelson&amp;reservation_id=30670672003314&amp;guest_id=30670672003309", "Roger Nelson")</f>
        <v>Roger Nelson</v>
      </c>
      <c r="E896" t="s">
        <v>2519</v>
      </c>
      <c r="F896" t="s">
        <v>2520</v>
      </c>
      <c r="G896">
        <v>392.4</v>
      </c>
      <c r="H896">
        <v>426.52</v>
      </c>
      <c r="I896">
        <v>426.54</v>
      </c>
      <c r="J896">
        <v>-0.02</v>
      </c>
    </row>
    <row r="897" spans="1:10" x14ac:dyDescent="0.3">
      <c r="A897" t="str">
        <f>HYPERLINK("https://us2.cloudbeds.com/connect/10074733072513#/reservations/30670684668080?display=YQYN2NPXG&amp;reservation_id=30670684668080", "YQYN2NPXG")</f>
        <v>YQYN2NPXG</v>
      </c>
      <c r="B897" t="s">
        <v>10</v>
      </c>
      <c r="C897" t="s">
        <v>11</v>
      </c>
      <c r="D897" t="str">
        <f>HYPERLINK("https://us2.cloudbeds.com/connect/10074733072513#/reservations/30670684668080?display=Gretchen%20Heise&amp;reservation_id=30670684668080&amp;guest_id=30670684668069", "Gretchen Heise")</f>
        <v>Gretchen Heise</v>
      </c>
      <c r="E897" t="s">
        <v>2526</v>
      </c>
      <c r="F897" t="s">
        <v>2520</v>
      </c>
      <c r="G897">
        <v>82.94</v>
      </c>
      <c r="H897">
        <v>90.14</v>
      </c>
      <c r="I897">
        <v>90.16</v>
      </c>
      <c r="J897">
        <v>-0.02</v>
      </c>
    </row>
    <row r="898" spans="1:10" x14ac:dyDescent="0.3">
      <c r="A898" t="str">
        <f>HYPERLINK("https://us2.cloudbeds.com/connect/10074733072513#/reservations/30673437708434?display=YQNRE55VP&amp;reservation_id=30673437708434", "YQNRE55VP")</f>
        <v>YQNRE55VP</v>
      </c>
      <c r="B898" t="s">
        <v>10</v>
      </c>
      <c r="C898" t="s">
        <v>11</v>
      </c>
      <c r="D898" t="str">
        <f>HYPERLINK("https://us2.cloudbeds.com/connect/10074733072513#/reservations/30673437708434?display=Danielle%20Tuttle&amp;reservation_id=30673437708434&amp;guest_id=30673437708431", "Danielle Tuttle")</f>
        <v>Danielle Tuttle</v>
      </c>
      <c r="E898" t="s">
        <v>2549</v>
      </c>
      <c r="F898" t="s">
        <v>2550</v>
      </c>
      <c r="G898">
        <v>236.3</v>
      </c>
      <c r="H898">
        <v>256.83999999999997</v>
      </c>
      <c r="I898">
        <v>256.86</v>
      </c>
      <c r="J898">
        <v>-0.02</v>
      </c>
    </row>
    <row r="899" spans="1:10" x14ac:dyDescent="0.3">
      <c r="A899" t="str">
        <f>HYPERLINK("https://us2.cloudbeds.com/connect/10074733072513#/reservations/30669468971240?display=YQKP0K76A&amp;reservation_id=30669468971240", "YQKP0K76A")</f>
        <v>YQKP0K76A</v>
      </c>
      <c r="B899" t="s">
        <v>10</v>
      </c>
      <c r="C899" t="s">
        <v>11</v>
      </c>
      <c r="D899" t="str">
        <f>HYPERLINK("https://us2.cloudbeds.com/connect/10074733072513#/reservations/30669468971240?display=Mark%20Shaw&amp;reservation_id=30669468971240&amp;guest_id=30669468971230", "Mark Shaw")</f>
        <v>Mark Shaw</v>
      </c>
      <c r="E899" t="s">
        <v>2569</v>
      </c>
      <c r="F899" t="s">
        <v>2557</v>
      </c>
      <c r="G899">
        <v>286.45</v>
      </c>
      <c r="H899">
        <v>311.35000000000002</v>
      </c>
      <c r="I899">
        <v>311.37</v>
      </c>
      <c r="J899">
        <v>-0.02</v>
      </c>
    </row>
    <row r="900" spans="1:10" x14ac:dyDescent="0.3">
      <c r="A900" t="str">
        <f>HYPERLINK("https://us2.cloudbeds.com/connect/10074733072513#/reservations/30678140571801?display=YQRFJZ9ET&amp;reservation_id=30678140571801", "YQRFJZ9ET")</f>
        <v>YQRFJZ9ET</v>
      </c>
      <c r="B900" t="s">
        <v>10</v>
      </c>
      <c r="C900" t="s">
        <v>11</v>
      </c>
      <c r="D900" t="str">
        <f>HYPERLINK("https://us2.cloudbeds.com/connect/10074733072513#/reservations/30678140571801?display=Keith%20Olson&amp;reservation_id=30678140571801&amp;guest_id=30678135582910", "Keith Olson")</f>
        <v>Keith Olson</v>
      </c>
      <c r="E900" t="s">
        <v>2572</v>
      </c>
      <c r="F900" t="s">
        <v>2573</v>
      </c>
      <c r="G900">
        <v>323.68</v>
      </c>
      <c r="H900">
        <v>351.82</v>
      </c>
      <c r="I900">
        <v>351.84</v>
      </c>
      <c r="J900">
        <v>-0.02</v>
      </c>
    </row>
    <row r="901" spans="1:10" x14ac:dyDescent="0.3">
      <c r="A901" t="str">
        <f>HYPERLINK("https://us2.cloudbeds.com/connect/10074733072513#/reservations/30672367759580?display=YQN02V947&amp;reservation_id=30672367759580", "YQN02V947")</f>
        <v>YQN02V947</v>
      </c>
      <c r="B901" t="s">
        <v>10</v>
      </c>
      <c r="C901" t="s">
        <v>11</v>
      </c>
      <c r="D901" t="str">
        <f>HYPERLINK("https://us2.cloudbeds.com/connect/10074733072513#/reservations/30672367759580?display=Sandy%20Bertsch&amp;reservation_id=30672367759580&amp;guest_id=30672359956623", "Sandy Bertsch")</f>
        <v>Sandy Bertsch</v>
      </c>
      <c r="E901" t="s">
        <v>2615</v>
      </c>
      <c r="F901" t="s">
        <v>2588</v>
      </c>
      <c r="G901">
        <v>236.3</v>
      </c>
      <c r="H901">
        <v>256.83999999999997</v>
      </c>
      <c r="I901">
        <v>256.86</v>
      </c>
      <c r="J901">
        <v>-0.02</v>
      </c>
    </row>
    <row r="902" spans="1:10" x14ac:dyDescent="0.3">
      <c r="A902" t="str">
        <f>HYPERLINK("https://us2.cloudbeds.com/connect/10074733072513#/reservations/30671617503363?display=YQMDUA9KB&amp;reservation_id=30671617503363", "YQMDUA9KB")</f>
        <v>YQMDUA9KB</v>
      </c>
      <c r="B902" t="s">
        <v>10</v>
      </c>
      <c r="C902" t="s">
        <v>20</v>
      </c>
      <c r="D902" t="str">
        <f>HYPERLINK("https://us2.cloudbeds.com/connect/10074733072513#/reservations/30671617503363?display=Joshua%20Barrie&amp;reservation_id=30671617503363&amp;guest_id=30671617503361", "Joshua Barrie")</f>
        <v>Joshua Barrie</v>
      </c>
      <c r="E902" t="s">
        <v>2620</v>
      </c>
      <c r="F902" t="s">
        <v>2621</v>
      </c>
      <c r="G902">
        <v>240.64</v>
      </c>
      <c r="H902">
        <v>261.56</v>
      </c>
      <c r="I902">
        <v>261.58</v>
      </c>
      <c r="J902">
        <v>-0.02</v>
      </c>
    </row>
    <row r="903" spans="1:10" x14ac:dyDescent="0.3">
      <c r="A903" t="str">
        <f>HYPERLINK("https://us2.cloudbeds.com/connect/10074733072513#/reservations/30674239533186?display=YQZEU94GH&amp;reservation_id=30674239533186", "YQZEU94GH")</f>
        <v>YQZEU94GH</v>
      </c>
      <c r="B903" t="s">
        <v>10</v>
      </c>
      <c r="C903" t="s">
        <v>42</v>
      </c>
      <c r="D903" t="str">
        <f>HYPERLINK("https://us2.cloudbeds.com/connect/10074733072513#/reservations/30674239533186?display=Kristy%20Kropuemske&amp;reservation_id=30674239533186&amp;guest_id=30674231611553", "Kristy Kropuemske")</f>
        <v>Kristy Kropuemske</v>
      </c>
      <c r="E903" t="s">
        <v>2650</v>
      </c>
      <c r="F903" t="s">
        <v>2651</v>
      </c>
      <c r="G903">
        <v>342.3</v>
      </c>
      <c r="H903">
        <v>372.06</v>
      </c>
      <c r="I903">
        <v>372.08</v>
      </c>
      <c r="J903">
        <v>-0.02</v>
      </c>
    </row>
    <row r="904" spans="1:10" x14ac:dyDescent="0.3">
      <c r="A904" t="str">
        <f>HYPERLINK("https://us2.cloudbeds.com/connect/10074733072513#/reservations/30680011600007?display=YQSUDEDBA&amp;reservation_id=30680011600007", "YQSUDEDBA")</f>
        <v>YQSUDEDBA</v>
      </c>
      <c r="B904" t="s">
        <v>10</v>
      </c>
      <c r="C904" t="s">
        <v>11</v>
      </c>
      <c r="D904" t="str">
        <f>HYPERLINK("https://us2.cloudbeds.com/connect/10074733072513#/reservations/30680011600007?display=Darel%20Staller&amp;reservation_id=30680011600007&amp;guest_id=30680011600005", "Darel Staller")</f>
        <v>Darel Staller</v>
      </c>
      <c r="E904" t="s">
        <v>1933</v>
      </c>
      <c r="F904" t="s">
        <v>2653</v>
      </c>
      <c r="G904">
        <v>145.91999999999999</v>
      </c>
      <c r="H904">
        <v>158.6</v>
      </c>
      <c r="I904">
        <v>158.62</v>
      </c>
      <c r="J904">
        <v>-0.02</v>
      </c>
    </row>
    <row r="905" spans="1:10" x14ac:dyDescent="0.3">
      <c r="A905" t="str">
        <f>HYPERLINK("https://us2.cloudbeds.com/connect/10074733072513#/reservations/30680026189977?display=YQSUPZCUK&amp;reservation_id=30680026189977", "YQSUPZCUK")</f>
        <v>YQSUPZCUK</v>
      </c>
      <c r="B905" t="s">
        <v>10</v>
      </c>
      <c r="C905" t="s">
        <v>11</v>
      </c>
      <c r="D905" t="str">
        <f>HYPERLINK("https://us2.cloudbeds.com/connect/10074733072513#/reservations/30680026189977?display=Gavin%20Staller&amp;reservation_id=30680026189977&amp;guest_id=30680026185896", "Gavin Staller")</f>
        <v>Gavin Staller</v>
      </c>
      <c r="E905" t="s">
        <v>1933</v>
      </c>
      <c r="F905" t="s">
        <v>2653</v>
      </c>
      <c r="G905">
        <v>145.91999999999999</v>
      </c>
      <c r="H905">
        <v>158.6</v>
      </c>
      <c r="I905">
        <v>158.62</v>
      </c>
      <c r="J905">
        <v>-0.02</v>
      </c>
    </row>
    <row r="906" spans="1:10" x14ac:dyDescent="0.3">
      <c r="A906" t="str">
        <f>HYPERLINK("https://us2.cloudbeds.com/connect/10074733072513#/reservations/30674625159401?display=YQZZPEZTD&amp;reservation_id=30674625159401", "YQZZPEZTD")</f>
        <v>YQZZPEZTD</v>
      </c>
      <c r="B906" t="s">
        <v>10</v>
      </c>
      <c r="C906" t="s">
        <v>11</v>
      </c>
      <c r="D906" t="str">
        <f>HYPERLINK("https://us2.cloudbeds.com/connect/10074733072513#/reservations/30674625159401?display=Robian%20Lemmons&amp;reservation_id=30674625159401&amp;guest_id=30674625159399", "Robian Lemmons")</f>
        <v>Robian Lemmons</v>
      </c>
      <c r="E906" t="s">
        <v>2657</v>
      </c>
      <c r="F906" t="s">
        <v>2630</v>
      </c>
      <c r="G906">
        <v>286.45</v>
      </c>
      <c r="H906">
        <v>311.35000000000002</v>
      </c>
      <c r="I906">
        <v>311.37</v>
      </c>
      <c r="J906">
        <v>-0.02</v>
      </c>
    </row>
    <row r="907" spans="1:10" x14ac:dyDescent="0.3">
      <c r="A907" t="str">
        <f>HYPERLINK("https://us2.cloudbeds.com/connect/10074733072513#/reservations/30674083307715?display=YQZAUHUPB&amp;reservation_id=30674083307715", "YQZAUHUPB")</f>
        <v>YQZAUHUPB</v>
      </c>
      <c r="B907" t="s">
        <v>10</v>
      </c>
      <c r="C907" t="s">
        <v>20</v>
      </c>
      <c r="D907" t="str">
        <f>HYPERLINK("https://us2.cloudbeds.com/connect/10074733072513#/reservations/30674083307715?display=Sarah%20Van%20Tassel&amp;reservation_id=30674083307715&amp;guest_id=30673235153090", "Sarah Van Tassel")</f>
        <v>Sarah Van Tassel</v>
      </c>
      <c r="E907" t="s">
        <v>2672</v>
      </c>
      <c r="F907" t="s">
        <v>2673</v>
      </c>
      <c r="G907">
        <v>280.2</v>
      </c>
      <c r="H907">
        <v>304.56</v>
      </c>
      <c r="I907">
        <v>304.58</v>
      </c>
      <c r="J907">
        <v>-0.02</v>
      </c>
    </row>
    <row r="908" spans="1:10" x14ac:dyDescent="0.3">
      <c r="A908" t="str">
        <f>HYPERLINK("https://us2.cloudbeds.com/connect/10074733072513#/reservations/30673500795076?display=YQNT1BYP6&amp;reservation_id=30673500795076", "YQNT1BYP6")</f>
        <v>YQNT1BYP6</v>
      </c>
      <c r="B908" t="s">
        <v>10</v>
      </c>
      <c r="C908" t="s">
        <v>14</v>
      </c>
      <c r="D908" t="str">
        <f>HYPERLINK("https://us2.cloudbeds.com/connect/10074733072513#/reservations/30673500795076?display=Olman%20Valdez&amp;reservation_id=30673500795076&amp;guest_id=30673489698980", "Olman Valdez")</f>
        <v>Olman Valdez</v>
      </c>
      <c r="E908" t="s">
        <v>2693</v>
      </c>
      <c r="F908" t="s">
        <v>2680</v>
      </c>
      <c r="G908">
        <v>148.24</v>
      </c>
      <c r="H908">
        <v>161.12</v>
      </c>
      <c r="I908">
        <v>161.13999999999999</v>
      </c>
      <c r="J908">
        <v>-0.02</v>
      </c>
    </row>
    <row r="909" spans="1:10" x14ac:dyDescent="0.3">
      <c r="A909" t="str">
        <f>HYPERLINK("https://us2.cloudbeds.com/connect/10074733072513#/reservations/30674539253969?display=YQZMJ0A6G&amp;reservation_id=30674539253969", "YQZMJ0A6G")</f>
        <v>YQZMJ0A6G</v>
      </c>
      <c r="B909" t="s">
        <v>10</v>
      </c>
      <c r="C909" t="s">
        <v>42</v>
      </c>
      <c r="D909" t="str">
        <f>HYPERLINK("https://us2.cloudbeds.com/connect/10074733072513#/reservations/30674539253969?display=Teanna%20Kuhlman&amp;reservation_id=30674539253969&amp;guest_id=30674539249868", "Teanna Kuhlman")</f>
        <v>Teanna Kuhlman</v>
      </c>
      <c r="E909" t="s">
        <v>2697</v>
      </c>
      <c r="F909" t="s">
        <v>2673</v>
      </c>
      <c r="G909">
        <v>446.4</v>
      </c>
      <c r="H909">
        <v>485.22</v>
      </c>
      <c r="I909">
        <v>485.24</v>
      </c>
      <c r="J909">
        <v>-0.02</v>
      </c>
    </row>
    <row r="910" spans="1:10" x14ac:dyDescent="0.3">
      <c r="A910" t="str">
        <f>HYPERLINK("https://us2.cloudbeds.com/connect/10074733072513#/reservations/30679263625387?display=YQSB9NTVZ&amp;reservation_id=30679263625387", "YQSB9NTVZ")</f>
        <v>YQSB9NTVZ</v>
      </c>
      <c r="B910" t="s">
        <v>10</v>
      </c>
      <c r="C910" t="s">
        <v>14</v>
      </c>
      <c r="D910" t="str">
        <f>HYPERLINK("https://us2.cloudbeds.com/connect/10074733072513#/reservations/30679263625387?display=Erin%20Rieland&amp;reservation_id=30679263625387&amp;guest_id=30679252869273", "Erin Rieland")</f>
        <v>Erin Rieland</v>
      </c>
      <c r="E910" t="s">
        <v>2699</v>
      </c>
      <c r="F910" t="s">
        <v>2374</v>
      </c>
      <c r="G910">
        <v>148.24</v>
      </c>
      <c r="H910">
        <v>161.12</v>
      </c>
      <c r="I910">
        <v>161.13999999999999</v>
      </c>
      <c r="J910">
        <v>-0.02</v>
      </c>
    </row>
    <row r="911" spans="1:10" x14ac:dyDescent="0.3">
      <c r="A911" t="str">
        <f>HYPERLINK("https://us2.cloudbeds.com/connect/10074733072513#/reservations/30674584662175?display=YQZNZ9SBZ&amp;reservation_id=30674584662175", "YQZNZ9SBZ")</f>
        <v>YQZNZ9SBZ</v>
      </c>
      <c r="B911" t="s">
        <v>10</v>
      </c>
      <c r="C911" t="s">
        <v>20</v>
      </c>
      <c r="D911" t="str">
        <f>HYPERLINK("https://us2.cloudbeds.com/connect/10074733072513#/reservations/30674584662175?display=Claire%20Martinson&amp;reservation_id=30674584662175&amp;guest_id=30674584662170", "Claire Martinson")</f>
        <v>Claire Martinson</v>
      </c>
      <c r="E911" t="s">
        <v>2713</v>
      </c>
      <c r="F911" t="s">
        <v>2714</v>
      </c>
      <c r="G911">
        <v>491.63</v>
      </c>
      <c r="H911">
        <v>534.38</v>
      </c>
      <c r="I911">
        <v>534.4</v>
      </c>
      <c r="J911">
        <v>-0.02</v>
      </c>
    </row>
    <row r="912" spans="1:10" x14ac:dyDescent="0.3">
      <c r="A912" t="str">
        <f>HYPERLINK("https://us2.cloudbeds.com/connect/10074733072513#/reservations/30674645127374?display=YQZP99CVG&amp;reservation_id=30674645127374", "YQZP99CVG")</f>
        <v>YQZP99CVG</v>
      </c>
      <c r="B912" t="s">
        <v>10</v>
      </c>
      <c r="C912" t="s">
        <v>11</v>
      </c>
      <c r="D912" t="str">
        <f>HYPERLINK("https://us2.cloudbeds.com/connect/10074733072513#/reservations/30674645127374?display=Lori%20Johnson&amp;reservation_id=30674645127374&amp;guest_id=30674645127370", "Lori Johnson")</f>
        <v>Lori Johnson</v>
      </c>
      <c r="E912" t="s">
        <v>2718</v>
      </c>
      <c r="F912" t="s">
        <v>2630</v>
      </c>
      <c r="G912">
        <v>148.24</v>
      </c>
      <c r="H912">
        <v>161.12</v>
      </c>
      <c r="I912">
        <v>161.13999999999999</v>
      </c>
      <c r="J912">
        <v>-0.02</v>
      </c>
    </row>
    <row r="913" spans="1:10" x14ac:dyDescent="0.3">
      <c r="A913" t="str">
        <f>HYPERLINK("https://us2.cloudbeds.com/connect/10074733072513#/reservations/30673186021622?display=YQNKWUKJM&amp;reservation_id=30673186021622", "YQNKWUKJM")</f>
        <v>YQNKWUKJM</v>
      </c>
      <c r="B913" t="s">
        <v>10</v>
      </c>
      <c r="C913" t="s">
        <v>20</v>
      </c>
      <c r="D913" t="str">
        <f>HYPERLINK("https://us2.cloudbeds.com/connect/10074733072513#/reservations/30673186021622?display=Deb%20Christensen&amp;reservation_id=30673186021622&amp;guest_id=30673186021570", "Deb Christensen")</f>
        <v>Deb Christensen</v>
      </c>
      <c r="E913" t="s">
        <v>2742</v>
      </c>
      <c r="F913" t="s">
        <v>2601</v>
      </c>
      <c r="G913">
        <v>240.64</v>
      </c>
      <c r="H913">
        <v>261.56</v>
      </c>
      <c r="I913">
        <v>261.58</v>
      </c>
      <c r="J913">
        <v>-0.02</v>
      </c>
    </row>
    <row r="914" spans="1:10" x14ac:dyDescent="0.3">
      <c r="A914" t="str">
        <f>HYPERLINK("https://us2.cloudbeds.com/connect/10074733072513#/reservations/30673472090330?display=YQNSA4TVD&amp;reservation_id=30673472090330", "YQNSA4TVD")</f>
        <v>YQNSA4TVD</v>
      </c>
      <c r="B914" t="s">
        <v>10</v>
      </c>
      <c r="C914" t="s">
        <v>42</v>
      </c>
      <c r="D914" t="str">
        <f>HYPERLINK("https://us2.cloudbeds.com/connect/10074733072513#/reservations/30673472090330?display=Phillip%20Sprague&amp;reservation_id=30673472090330&amp;guest_id=30651319455962", "Phillip Sprague")</f>
        <v>Phillip Sprague</v>
      </c>
      <c r="E914" t="s">
        <v>1818</v>
      </c>
      <c r="F914" t="s">
        <v>2750</v>
      </c>
      <c r="G914">
        <v>337.45</v>
      </c>
      <c r="H914">
        <v>366.79</v>
      </c>
      <c r="I914">
        <v>366.81</v>
      </c>
      <c r="J914">
        <v>-0.02</v>
      </c>
    </row>
    <row r="915" spans="1:10" x14ac:dyDescent="0.3">
      <c r="A915" t="str">
        <f>HYPERLINK("https://us2.cloudbeds.com/connect/10074733072513#/reservations/30679132254403?display=YQS7UVAER&amp;reservation_id=30679132254403", "YQS7UVAER")</f>
        <v>YQS7UVAER</v>
      </c>
      <c r="B915" t="s">
        <v>10</v>
      </c>
      <c r="C915" t="s">
        <v>11</v>
      </c>
      <c r="D915" t="str">
        <f>HYPERLINK("https://us2.cloudbeds.com/connect/10074733072513#/reservations/30679132254403?display=Tom%20Allen&amp;reservation_id=30679132254403&amp;guest_id=30679122645164", "Tom Allen")</f>
        <v>Tom Allen</v>
      </c>
      <c r="E915" t="s">
        <v>2766</v>
      </c>
      <c r="F915" t="s">
        <v>2767</v>
      </c>
      <c r="G915">
        <v>278.8</v>
      </c>
      <c r="H915">
        <v>303.04000000000002</v>
      </c>
      <c r="I915">
        <v>303.06</v>
      </c>
      <c r="J915">
        <v>-0.02</v>
      </c>
    </row>
    <row r="916" spans="1:10" x14ac:dyDescent="0.3">
      <c r="A916" t="str">
        <f>HYPERLINK("https://us2.cloudbeds.com/connect/10074733072513#/reservations/30679413256386?display=YQSF3TK5E&amp;reservation_id=30679413256386", "YQSF3TK5E")</f>
        <v>YQSF3TK5E</v>
      </c>
      <c r="B916" t="s">
        <v>10</v>
      </c>
      <c r="C916" t="s">
        <v>11</v>
      </c>
      <c r="D916" t="str">
        <f>HYPERLINK("https://us2.cloudbeds.com/connect/10074733072513#/reservations/30679413256386?display=Darcie%20Young&amp;reservation_id=30679413256386&amp;guest_id=30679413256384", "Darcie Young")</f>
        <v>Darcie Young</v>
      </c>
      <c r="E916" t="s">
        <v>2783</v>
      </c>
      <c r="F916" t="s">
        <v>2535</v>
      </c>
      <c r="G916">
        <v>236.3</v>
      </c>
      <c r="H916">
        <v>256.83999999999997</v>
      </c>
      <c r="I916">
        <v>256.86</v>
      </c>
      <c r="J916">
        <v>-0.02</v>
      </c>
    </row>
    <row r="917" spans="1:10" x14ac:dyDescent="0.3">
      <c r="A917" t="str">
        <f>HYPERLINK("https://us2.cloudbeds.com/connect/10074733072513#/reservations/30680062734545?display=YQSVNX9RP&amp;reservation_id=30680062734545", "YQSVNX9RP")</f>
        <v>YQSVNX9RP</v>
      </c>
      <c r="B917" t="s">
        <v>10</v>
      </c>
      <c r="C917" t="s">
        <v>11</v>
      </c>
      <c r="D917" t="str">
        <f>HYPERLINK("https://us2.cloudbeds.com/connect/10074733072513#/reservations/30680062734545?display=Selena%20Sis&amp;reservation_id=30680062734545&amp;guest_id=30680055738500", "Selena Sis")</f>
        <v>Selena Sis</v>
      </c>
      <c r="E917" t="s">
        <v>2825</v>
      </c>
      <c r="F917" t="s">
        <v>2653</v>
      </c>
      <c r="G917">
        <v>292.60000000000002</v>
      </c>
      <c r="H917">
        <v>318.04000000000002</v>
      </c>
      <c r="I917">
        <v>318.06</v>
      </c>
      <c r="J917">
        <v>-0.02</v>
      </c>
    </row>
    <row r="918" spans="1:10" x14ac:dyDescent="0.3">
      <c r="A918" t="str">
        <f>HYPERLINK("https://us2.cloudbeds.com/connect/10074733072513#/reservations/30678857879699?display=YQS0UJECS&amp;reservation_id=30678857879699", "YQS0UJECS")</f>
        <v>YQS0UJECS</v>
      </c>
      <c r="B918" t="s">
        <v>10</v>
      </c>
      <c r="C918" t="s">
        <v>20</v>
      </c>
      <c r="D918" t="str">
        <f>HYPERLINK("https://us2.cloudbeds.com/connect/10074733072513#/reservations/30678857879699?display=Jessica%20Simmons&amp;reservation_id=30678857879699&amp;guest_id=30678847930620", "Jessica Simmons")</f>
        <v>Jessica Simmons</v>
      </c>
      <c r="E918" t="s">
        <v>2829</v>
      </c>
      <c r="F918" t="s">
        <v>2830</v>
      </c>
      <c r="G918">
        <v>236.3</v>
      </c>
      <c r="H918">
        <v>256.83999999999997</v>
      </c>
      <c r="I918">
        <v>256.86</v>
      </c>
      <c r="J918">
        <v>-0.02</v>
      </c>
    </row>
    <row r="919" spans="1:10" x14ac:dyDescent="0.3">
      <c r="A919" t="str">
        <f>HYPERLINK("https://us2.cloudbeds.com/connect/10074733072513#/reservations/30677543243994?display=YQR0B1P28&amp;reservation_id=30677543243994", "YQR0B1P28")</f>
        <v>YQR0B1P28</v>
      </c>
      <c r="B919" t="s">
        <v>10</v>
      </c>
      <c r="C919" t="s">
        <v>11</v>
      </c>
      <c r="D919" t="str">
        <f>HYPERLINK("https://us2.cloudbeds.com/connect/10074733072513#/reservations/30677543243994?display=Steven%20Jones&amp;reservation_id=30677543243994&amp;guest_id=30677543243983", "Steven Jones")</f>
        <v>Steven Jones</v>
      </c>
      <c r="E919" t="s">
        <v>2849</v>
      </c>
      <c r="F919" t="s">
        <v>2741</v>
      </c>
      <c r="G919">
        <v>287.3</v>
      </c>
      <c r="H919">
        <v>312.27999999999997</v>
      </c>
      <c r="I919">
        <v>312.3</v>
      </c>
      <c r="J919">
        <v>-0.02</v>
      </c>
    </row>
    <row r="920" spans="1:10" x14ac:dyDescent="0.3">
      <c r="A920" t="str">
        <f>HYPERLINK("https://us2.cloudbeds.com/connect/10074733072513#/reservations/30678417109137?display=YQRMYUBD5&amp;reservation_id=30678417109137", "YQRMYUBD5")</f>
        <v>YQRMYUBD5</v>
      </c>
      <c r="B920" t="s">
        <v>10</v>
      </c>
      <c r="C920" t="s">
        <v>14</v>
      </c>
      <c r="D920" t="str">
        <f>HYPERLINK("https://us2.cloudbeds.com/connect/10074733072513#/reservations/30678417109137?display=Ellen%20Flanigan&amp;reservation_id=30678417109137&amp;guest_id=30678411006207", "Ellen Flanigan")</f>
        <v>Ellen Flanigan</v>
      </c>
      <c r="E920" t="s">
        <v>2864</v>
      </c>
      <c r="F920" t="s">
        <v>2795</v>
      </c>
      <c r="G920">
        <v>236.3</v>
      </c>
      <c r="H920">
        <v>256.83999999999997</v>
      </c>
      <c r="I920">
        <v>256.86</v>
      </c>
      <c r="J920">
        <v>-0.02</v>
      </c>
    </row>
    <row r="921" spans="1:10" x14ac:dyDescent="0.3">
      <c r="A921" t="str">
        <f>HYPERLINK("https://us2.cloudbeds.com/connect/10074733072513#/reservations/30679308386480?display=YQSCEFETG&amp;reservation_id=30679308386480", "YQSCEFETG")</f>
        <v>YQSCEFETG</v>
      </c>
      <c r="B921" t="s">
        <v>10</v>
      </c>
      <c r="C921" t="s">
        <v>11</v>
      </c>
      <c r="D921" t="str">
        <f>HYPERLINK("https://us2.cloudbeds.com/connect/10074733072513#/reservations/30679308386480?display=Kathryn%20Nemec&amp;reservation_id=30679308386480&amp;guest_id=30679308386467", "Kathryn Nemec")</f>
        <v>Kathryn Nemec</v>
      </c>
      <c r="E921" t="s">
        <v>2915</v>
      </c>
      <c r="F921" t="s">
        <v>2908</v>
      </c>
      <c r="G921">
        <v>148.24</v>
      </c>
      <c r="H921">
        <v>161.12</v>
      </c>
      <c r="I921">
        <v>161.13999999999999</v>
      </c>
      <c r="J921">
        <v>-0.02</v>
      </c>
    </row>
    <row r="922" spans="1:10" x14ac:dyDescent="0.3">
      <c r="A922" t="str">
        <f>HYPERLINK("https://us2.cloudbeds.com/connect/10074733072513#/reservations/30678475677871?display=YQRZ5A3H9&amp;reservation_id=30678475677871", "YQRZ5A3H9")</f>
        <v>YQRZ5A3H9</v>
      </c>
      <c r="B922" t="s">
        <v>10</v>
      </c>
      <c r="C922" t="s">
        <v>23</v>
      </c>
      <c r="D922" t="str">
        <f>HYPERLINK("https://us2.cloudbeds.com/connect/10074733072513#/reservations/30678475677871?display=Brice%20Bobzien&amp;reservation_id=30678475677871&amp;guest_id=30678469357790", "Brice Bobzien")</f>
        <v>Brice Bobzien</v>
      </c>
      <c r="E922" t="s">
        <v>2973</v>
      </c>
      <c r="F922" t="s">
        <v>2920</v>
      </c>
      <c r="G922">
        <v>965.7</v>
      </c>
      <c r="H922">
        <v>1049.7</v>
      </c>
      <c r="I922">
        <v>1049.72</v>
      </c>
      <c r="J922">
        <v>-0.02</v>
      </c>
    </row>
    <row r="923" spans="1:10" x14ac:dyDescent="0.3">
      <c r="A923" t="str">
        <f>HYPERLINK("https://us2.cloudbeds.com/connect/10074733072513#/reservations/30688423948487?display=YR2EBVD87&amp;reservation_id=30688423948487", "YR2EBVD87")</f>
        <v>YR2EBVD87</v>
      </c>
      <c r="B923" t="s">
        <v>10</v>
      </c>
      <c r="C923" t="s">
        <v>11</v>
      </c>
      <c r="D923" t="str">
        <f>HYPERLINK("https://us2.cloudbeds.com/connect/10074733072513#/reservations/30688423948487?display=Jeff%20Fowler&amp;reservation_id=30688423948487&amp;guest_id=30688418935007", "Jeff Fowler")</f>
        <v>Jeff Fowler</v>
      </c>
      <c r="E923" t="s">
        <v>2983</v>
      </c>
      <c r="F923" t="s">
        <v>2867</v>
      </c>
      <c r="G923">
        <v>921.6</v>
      </c>
      <c r="H923">
        <v>1001.76</v>
      </c>
      <c r="I923">
        <v>1001.78</v>
      </c>
      <c r="J923">
        <v>-0.02</v>
      </c>
    </row>
    <row r="924" spans="1:10" x14ac:dyDescent="0.3">
      <c r="A924" t="str">
        <f>HYPERLINK("https://us2.cloudbeds.com/connect/10074733072513#/reservations/30677733863603?display=YQR56Q111&amp;reservation_id=30677733863603", "YQR56Q111")</f>
        <v>YQR56Q111</v>
      </c>
      <c r="B924" t="s">
        <v>10</v>
      </c>
      <c r="C924" t="s">
        <v>11</v>
      </c>
      <c r="D924" t="str">
        <f>HYPERLINK("https://us2.cloudbeds.com/connect/10074733072513#/reservations/30677733863603?display=Della%20Holmes&amp;reservation_id=30677733863603&amp;guest_id=30677733863598", "Della Holmes")</f>
        <v>Della Holmes</v>
      </c>
      <c r="E924" t="s">
        <v>2992</v>
      </c>
      <c r="F924" t="s">
        <v>2741</v>
      </c>
      <c r="G924">
        <v>148.24</v>
      </c>
      <c r="H924">
        <v>161.12</v>
      </c>
      <c r="I924">
        <v>161.13999999999999</v>
      </c>
      <c r="J924">
        <v>-0.02</v>
      </c>
    </row>
    <row r="925" spans="1:10" x14ac:dyDescent="0.3">
      <c r="A925" t="str">
        <f>HYPERLINK("https://us2.cloudbeds.com/connect/10074733072513#/reservations/30688493293792?display=YR2G4E173&amp;reservation_id=30688493293792", "YR2G4E173")</f>
        <v>YR2G4E173</v>
      </c>
      <c r="B925" t="s">
        <v>10</v>
      </c>
      <c r="C925" t="s">
        <v>11</v>
      </c>
      <c r="D925" t="str">
        <f>HYPERLINK("https://us2.cloudbeds.com/connect/10074733072513#/reservations/30688493293792?display=Holly%20Speratos&amp;reservation_id=30688493293792&amp;guest_id=30688493289698", "Holly Speratos")</f>
        <v>Holly Speratos</v>
      </c>
      <c r="E925" t="s">
        <v>2996</v>
      </c>
      <c r="F925" t="s">
        <v>2765</v>
      </c>
      <c r="G925">
        <v>402.3</v>
      </c>
      <c r="H925">
        <v>437.28</v>
      </c>
      <c r="I925">
        <v>437.3</v>
      </c>
      <c r="J925">
        <v>-0.02</v>
      </c>
    </row>
    <row r="926" spans="1:10" x14ac:dyDescent="0.3">
      <c r="A926" t="str">
        <f>HYPERLINK("https://us2.cloudbeds.com/connect/10074733072513#/reservations/30677137850532?display=YQQMW72UT&amp;reservation_id=30677137850532", "YQQMW72UT")</f>
        <v>YQQMW72UT</v>
      </c>
      <c r="B926" t="s">
        <v>10</v>
      </c>
      <c r="C926" t="s">
        <v>14</v>
      </c>
      <c r="D926" t="str">
        <f>HYPERLINK("https://us2.cloudbeds.com/connect/10074733072513#/reservations/30677137850532?display=Blossom%20Mcbride&amp;reservation_id=30677137850532&amp;guest_id=30677137850527", "Blossom Mcbride")</f>
        <v>Blossom Mcbride</v>
      </c>
      <c r="E926" t="s">
        <v>3012</v>
      </c>
      <c r="F926" t="s">
        <v>3013</v>
      </c>
      <c r="G926">
        <v>146.38</v>
      </c>
      <c r="H926">
        <v>159.1</v>
      </c>
      <c r="I926">
        <v>159.12</v>
      </c>
      <c r="J926">
        <v>-0.02</v>
      </c>
    </row>
    <row r="927" spans="1:10" x14ac:dyDescent="0.3">
      <c r="A927" t="str">
        <f>HYPERLINK("https://us2.cloudbeds.com/connect/10074733072513#/reservations/30677019041974?display=YQQJV125X&amp;reservation_id=30677019041974", "YQQJV125X")</f>
        <v>YQQJV125X</v>
      </c>
      <c r="B927" t="s">
        <v>10</v>
      </c>
      <c r="C927" t="s">
        <v>42</v>
      </c>
      <c r="D927" t="str">
        <f>HYPERLINK("https://us2.cloudbeds.com/connect/10074733072513#/reservations/30677019041974?display=Scott%20Wilson&amp;reservation_id=30677019041974&amp;guest_id=30677019041969", "Scott Wilson")</f>
        <v>Scott Wilson</v>
      </c>
      <c r="E927" t="s">
        <v>3054</v>
      </c>
      <c r="F927" t="s">
        <v>2847</v>
      </c>
      <c r="G927">
        <v>340.2</v>
      </c>
      <c r="H927">
        <v>369.78</v>
      </c>
      <c r="I927">
        <v>369.8</v>
      </c>
      <c r="J927">
        <v>-0.02</v>
      </c>
    </row>
    <row r="928" spans="1:10" x14ac:dyDescent="0.3">
      <c r="A928" t="str">
        <f>HYPERLINK("https://us2.cloudbeds.com/connect/10074733072513#/reservations/30687662665936?display=YR1RU0JX0&amp;reservation_id=30687662665936", "YR1RU0JX0")</f>
        <v>YR1RU0JX0</v>
      </c>
      <c r="B928" t="s">
        <v>10</v>
      </c>
      <c r="C928" t="s">
        <v>11</v>
      </c>
      <c r="D928" t="str">
        <f>HYPERLINK("https://us2.cloudbeds.com/connect/10074733072513#/reservations/30687662665936?display=Terry%20Lawson&amp;reservation_id=30687662665936&amp;guest_id=30687662665931", "Terry Lawson")</f>
        <v>Terry Lawson</v>
      </c>
      <c r="E928" t="s">
        <v>3067</v>
      </c>
      <c r="F928" t="s">
        <v>3068</v>
      </c>
      <c r="G928">
        <v>236.3</v>
      </c>
      <c r="H928">
        <v>256.83999999999997</v>
      </c>
      <c r="I928">
        <v>256.86</v>
      </c>
      <c r="J928">
        <v>-0.02</v>
      </c>
    </row>
    <row r="929" spans="1:10" x14ac:dyDescent="0.3">
      <c r="A929" t="str">
        <f>HYPERLINK("https://us2.cloudbeds.com/connect/10074733072513#/reservations/30687629521051?display=YR1R229FX&amp;reservation_id=30687629521051", "YR1R229FX")</f>
        <v>YR1R229FX</v>
      </c>
      <c r="B929" t="s">
        <v>10</v>
      </c>
      <c r="C929" t="s">
        <v>42</v>
      </c>
      <c r="D929" t="str">
        <f>HYPERLINK("https://us2.cloudbeds.com/connect/10074733072513#/reservations/30687629521051?display=David%20Price&amp;reservation_id=30687629521051&amp;guest_id=30687629521046", "David Price")</f>
        <v>David Price</v>
      </c>
      <c r="E929" t="s">
        <v>2293</v>
      </c>
      <c r="F929" t="s">
        <v>2893</v>
      </c>
      <c r="G929">
        <v>381.6</v>
      </c>
      <c r="H929">
        <v>414.78</v>
      </c>
      <c r="I929">
        <v>414.8</v>
      </c>
      <c r="J929">
        <v>-0.02</v>
      </c>
    </row>
    <row r="930" spans="1:10" x14ac:dyDescent="0.3">
      <c r="A930" t="str">
        <f>HYPERLINK("https://us2.cloudbeds.com/connect/10074733072513#/reservations/30686198587527?display=YR0NGFEUK&amp;reservation_id=30686198587527", "YR0NGFEUK")</f>
        <v>YR0NGFEUK</v>
      </c>
      <c r="B930" t="s">
        <v>10</v>
      </c>
      <c r="C930" t="s">
        <v>11</v>
      </c>
      <c r="D930" t="str">
        <f>HYPERLINK("https://us2.cloudbeds.com/connect/10074733072513#/reservations/30686198587527?display=Paul%20Hastings&amp;reservation_id=30686198587527&amp;guest_id=30686198587522", "Paul Hastings")</f>
        <v>Paul Hastings</v>
      </c>
      <c r="E930" t="s">
        <v>3093</v>
      </c>
      <c r="F930" t="s">
        <v>3094</v>
      </c>
      <c r="G930">
        <v>516.65</v>
      </c>
      <c r="H930">
        <v>561.58000000000004</v>
      </c>
      <c r="I930">
        <v>561.6</v>
      </c>
      <c r="J930">
        <v>-0.02</v>
      </c>
    </row>
    <row r="931" spans="1:10" x14ac:dyDescent="0.3">
      <c r="A931" t="str">
        <f>HYPERLINK("https://us2.cloudbeds.com/connect/10074733072513#/reservations/30677245083809?display=YQQPNY0E4&amp;reservation_id=30677245083809", "YQQPNY0E4")</f>
        <v>YQQPNY0E4</v>
      </c>
      <c r="B931" t="s">
        <v>10</v>
      </c>
      <c r="C931" t="s">
        <v>11</v>
      </c>
      <c r="D931" t="str">
        <f>HYPERLINK("https://us2.cloudbeds.com/connect/10074733072513#/reservations/30677245083809?display=Eric%20Zink&amp;reservation_id=30677245083809&amp;guest_id=30677245083804", "Eric Zink")</f>
        <v>Eric Zink</v>
      </c>
      <c r="E931" t="s">
        <v>3136</v>
      </c>
      <c r="F931" t="s">
        <v>3127</v>
      </c>
      <c r="G931">
        <v>236.3</v>
      </c>
      <c r="H931">
        <v>256.83999999999997</v>
      </c>
      <c r="I931">
        <v>256.86</v>
      </c>
      <c r="J931">
        <v>-0.02</v>
      </c>
    </row>
    <row r="932" spans="1:10" x14ac:dyDescent="0.3">
      <c r="A932" t="str">
        <f>HYPERLINK("https://us2.cloudbeds.com/connect/10074733072513#/reservations/30688156750059?display=YR27HY6W5&amp;reservation_id=30688156750059", "YR27HY6W5")</f>
        <v>YR27HY6W5</v>
      </c>
      <c r="B932" t="s">
        <v>10</v>
      </c>
      <c r="C932" t="s">
        <v>20</v>
      </c>
      <c r="D932" t="str">
        <f>HYPERLINK("https://us2.cloudbeds.com/connect/10074733072513#/reservations/30688156750059?display=Margaret%20Figueroa&amp;reservation_id=30688156750059&amp;guest_id=30688156750054", "Margaret Figueroa")</f>
        <v>Margaret Figueroa</v>
      </c>
      <c r="E932" t="s">
        <v>3155</v>
      </c>
      <c r="F932" t="s">
        <v>2857</v>
      </c>
      <c r="G932">
        <v>287.3</v>
      </c>
      <c r="H932">
        <v>312.27999999999997</v>
      </c>
      <c r="I932">
        <v>312.3</v>
      </c>
      <c r="J932">
        <v>-0.02</v>
      </c>
    </row>
    <row r="933" spans="1:10" x14ac:dyDescent="0.3">
      <c r="A933" t="str">
        <f>HYPERLINK("https://us2.cloudbeds.com/connect/10074733072513#/reservations/30688392536258?display=YR2DXFA7G&amp;reservation_id=30688392536258", "YR2DXFA7G")</f>
        <v>YR2DXFA7G</v>
      </c>
      <c r="B933" t="s">
        <v>10</v>
      </c>
      <c r="C933" t="s">
        <v>42</v>
      </c>
      <c r="D933" t="str">
        <f>HYPERLINK("https://us2.cloudbeds.com/connect/10074733072513#/reservations/30688392536258?display=Porina%20Molnar&amp;reservation_id=30688392536258&amp;guest_id=30688392532162", "Porina Molnar")</f>
        <v>Porina Molnar</v>
      </c>
      <c r="E933" t="s">
        <v>3182</v>
      </c>
      <c r="F933" t="s">
        <v>2893</v>
      </c>
      <c r="G933">
        <v>340.2</v>
      </c>
      <c r="H933">
        <v>369.78</v>
      </c>
      <c r="I933">
        <v>369.8</v>
      </c>
      <c r="J933">
        <v>-0.02</v>
      </c>
    </row>
    <row r="934" spans="1:10" x14ac:dyDescent="0.3">
      <c r="A934" t="str">
        <f>HYPERLINK("https://us2.cloudbeds.com/connect/10074733072513#/reservations/30688361218225?display=YR2CP1RN6&amp;reservation_id=30688361218225", "YR2CP1RN6")</f>
        <v>YR2CP1RN6</v>
      </c>
      <c r="B934" t="s">
        <v>10</v>
      </c>
      <c r="C934" t="s">
        <v>20</v>
      </c>
      <c r="D934" t="str">
        <f>HYPERLINK("https://us2.cloudbeds.com/connect/10074733072513#/reservations/30688361218225?display=Barbara%20Drees&amp;reservation_id=30688361218225&amp;guest_id=30688361218209", "Barbara Drees")</f>
        <v>Barbara Drees</v>
      </c>
      <c r="E934" t="s">
        <v>3254</v>
      </c>
      <c r="F934" t="s">
        <v>3202</v>
      </c>
      <c r="G934">
        <v>240.64</v>
      </c>
      <c r="H934">
        <v>261.56</v>
      </c>
      <c r="I934">
        <v>261.58</v>
      </c>
      <c r="J934">
        <v>-0.02</v>
      </c>
    </row>
    <row r="935" spans="1:10" x14ac:dyDescent="0.3">
      <c r="A935" t="str">
        <f>HYPERLINK("https://us2.cloudbeds.com/connect/10074733072513#/reservations/30687180836993?display=YR1FJNWNV&amp;reservation_id=30687180836993", "YR1FJNWNV")</f>
        <v>YR1FJNWNV</v>
      </c>
      <c r="B935" t="s">
        <v>10</v>
      </c>
      <c r="C935" t="s">
        <v>42</v>
      </c>
      <c r="D935" t="str">
        <f>HYPERLINK("https://us2.cloudbeds.com/connect/10074733072513#/reservations/30687180836993?display=Galen%20Hoogestraat&amp;reservation_id=30687180836993&amp;guest_id=30687172591766", "Galen Hoogestraat")</f>
        <v>Galen Hoogestraat</v>
      </c>
      <c r="E935" t="s">
        <v>2337</v>
      </c>
      <c r="F935" t="s">
        <v>2481</v>
      </c>
      <c r="G935">
        <v>340.2</v>
      </c>
      <c r="H935">
        <v>369.78</v>
      </c>
      <c r="I935">
        <v>369.8</v>
      </c>
      <c r="J935">
        <v>-0.02</v>
      </c>
    </row>
    <row r="936" spans="1:10" x14ac:dyDescent="0.3">
      <c r="A936" t="str">
        <f>HYPERLINK("https://us2.cloudbeds.com/connect/10074733072513#/reservations/30684639817865?display=YQWGM2CRA&amp;reservation_id=30684639817865", "YQWGM2CRA")</f>
        <v>YQWGM2CRA</v>
      </c>
      <c r="B936" t="s">
        <v>10</v>
      </c>
      <c r="C936" t="s">
        <v>20</v>
      </c>
      <c r="D936" t="str">
        <f>HYPERLINK("https://us2.cloudbeds.com/connect/10074733072513#/reservations/30684639817865?display=Dolores%20Darling-Riordan&amp;reservation_id=30684639817865&amp;guest_id=30684639813774", "Dolores Darling-Riordan")</f>
        <v>Dolores Darling-Riordan</v>
      </c>
      <c r="E936" t="s">
        <v>3294</v>
      </c>
      <c r="F936" t="s">
        <v>3295</v>
      </c>
      <c r="G936">
        <v>240.64</v>
      </c>
      <c r="H936">
        <v>261.56</v>
      </c>
      <c r="I936">
        <v>261.58</v>
      </c>
      <c r="J936">
        <v>-0.02</v>
      </c>
    </row>
    <row r="937" spans="1:10" x14ac:dyDescent="0.3">
      <c r="A937" t="str">
        <f>HYPERLINK("https://us2.cloudbeds.com/connect/10074733072513#/reservations/30682214908055?display=YQUKNAN1S&amp;reservation_id=30682214908055", "YQUKNAN1S")</f>
        <v>YQUKNAN1S</v>
      </c>
      <c r="B937" t="s">
        <v>10</v>
      </c>
      <c r="C937" t="s">
        <v>42</v>
      </c>
      <c r="D937" t="str">
        <f>HYPERLINK("https://us2.cloudbeds.com/connect/10074733072513#/reservations/30682214908055?display=Ron%20Earley&amp;reservation_id=30682214908055&amp;guest_id=30682214908050", "Ron Earley")</f>
        <v>Ron Earley</v>
      </c>
      <c r="E937" t="s">
        <v>3342</v>
      </c>
      <c r="F937" t="s">
        <v>3343</v>
      </c>
      <c r="G937">
        <v>236.3</v>
      </c>
      <c r="H937">
        <v>256.83999999999997</v>
      </c>
      <c r="I937">
        <v>256.86</v>
      </c>
      <c r="J937">
        <v>-0.02</v>
      </c>
    </row>
    <row r="938" spans="1:10" x14ac:dyDescent="0.3">
      <c r="A938" t="str">
        <f>HYPERLINK("https://us2.cloudbeds.com/connect/10074733072513#/reservations/30687650648198?display=YR1RJT5W4&amp;reservation_id=30687650648198", "YR1RJT5W4")</f>
        <v>YR1RJT5W4</v>
      </c>
      <c r="B938" t="s">
        <v>10</v>
      </c>
      <c r="C938" t="s">
        <v>14</v>
      </c>
      <c r="D938" t="str">
        <f>HYPERLINK("https://us2.cloudbeds.com/connect/10074733072513#/reservations/30687650648198?display=Jayson%20Whitney&amp;reservation_id=30687650648198&amp;guest_id=30687650648195", "Jayson Whitney")</f>
        <v>Jayson Whitney</v>
      </c>
      <c r="E938" t="s">
        <v>3345</v>
      </c>
      <c r="F938" t="s">
        <v>3068</v>
      </c>
      <c r="G938">
        <v>400.2</v>
      </c>
      <c r="H938">
        <v>435</v>
      </c>
      <c r="I938">
        <v>435.02</v>
      </c>
      <c r="J938">
        <v>-0.02</v>
      </c>
    </row>
    <row r="939" spans="1:10" x14ac:dyDescent="0.3">
      <c r="A939" t="str">
        <f>HYPERLINK("https://us2.cloudbeds.com/connect/10074733072513#/reservations/30683082014868?display=YQV9SG7CT&amp;reservation_id=30683082014868", "YQV9SG7CT")</f>
        <v>YQV9SG7CT</v>
      </c>
      <c r="B939" t="s">
        <v>10</v>
      </c>
      <c r="C939" t="s">
        <v>17</v>
      </c>
      <c r="D939" t="str">
        <f>HYPERLINK("https://us2.cloudbeds.com/connect/10074733072513#/reservations/30683082014868?display=James%20Poppen&amp;reservation_id=30683082014868&amp;guest_id=30683077599484", "James Poppen")</f>
        <v>James Poppen</v>
      </c>
      <c r="E939" t="s">
        <v>3360</v>
      </c>
      <c r="F939" t="s">
        <v>3123</v>
      </c>
      <c r="G939">
        <v>340.2</v>
      </c>
      <c r="H939">
        <v>369.78</v>
      </c>
      <c r="I939">
        <v>369.8</v>
      </c>
      <c r="J939">
        <v>-0.02</v>
      </c>
    </row>
    <row r="940" spans="1:10" x14ac:dyDescent="0.3">
      <c r="A940" t="str">
        <f>HYPERLINK("https://us2.cloudbeds.com/connect/10074733072513#/reservations/30684978868379?display=YQWPAVVWA&amp;reservation_id=30684978868379", "YQWPAVVWA")</f>
        <v>YQWPAVVWA</v>
      </c>
      <c r="B940" t="s">
        <v>10</v>
      </c>
      <c r="C940" t="s">
        <v>42</v>
      </c>
      <c r="D940" t="str">
        <f>HYPERLINK("https://us2.cloudbeds.com/connect/10074733072513#/reservations/30684978868379?display=Rodney%20Tekrony&amp;reservation_id=30684978868379&amp;guest_id=30684978868374", "Rodney Tekrony")</f>
        <v>Rodney Tekrony</v>
      </c>
      <c r="E940" t="s">
        <v>3371</v>
      </c>
      <c r="F940" t="s">
        <v>3372</v>
      </c>
      <c r="G940">
        <v>528</v>
      </c>
      <c r="H940">
        <v>573.91999999999996</v>
      </c>
      <c r="I940">
        <v>573.94000000000005</v>
      </c>
      <c r="J940">
        <v>-0.02</v>
      </c>
    </row>
    <row r="941" spans="1:10" x14ac:dyDescent="0.3">
      <c r="A941" t="str">
        <f>HYPERLINK("https://us2.cloudbeds.com/connect/10074733072513#/reservations/30684696932510?display=YQWX47MN4&amp;reservation_id=30684696932510", "YQWX47MN4")</f>
        <v>YQWX47MN4</v>
      </c>
      <c r="B941" t="s">
        <v>10</v>
      </c>
      <c r="C941" t="s">
        <v>14</v>
      </c>
      <c r="D941" t="str">
        <f>HYPERLINK("https://us2.cloudbeds.com/connect/10074733072513#/reservations/30684696932510?display=Michael%20Eby&amp;reservation_id=30684696932510&amp;guest_id=30684696932497", "Michael Eby")</f>
        <v>Michael Eby</v>
      </c>
      <c r="E941" t="s">
        <v>3380</v>
      </c>
      <c r="F941" t="s">
        <v>3381</v>
      </c>
      <c r="G941">
        <v>441.16</v>
      </c>
      <c r="H941">
        <v>479.52</v>
      </c>
      <c r="I941">
        <v>479.54</v>
      </c>
      <c r="J941">
        <v>-0.02</v>
      </c>
    </row>
    <row r="942" spans="1:10" x14ac:dyDescent="0.3">
      <c r="A942" t="str">
        <f>HYPERLINK("https://us2.cloudbeds.com/connect/10074733072513#/reservations/30687845167321?display=YR1WXTVP0&amp;reservation_id=30687845167321", "YR1WXTVP0")</f>
        <v>YR1WXTVP0</v>
      </c>
      <c r="B942" t="s">
        <v>10</v>
      </c>
      <c r="C942" t="s">
        <v>42</v>
      </c>
      <c r="D942" t="str">
        <f>HYPERLINK("https://us2.cloudbeds.com/connect/10074733072513#/reservations/30687845167321?display=Jon%20Grindle&amp;reservation_id=30687845167321&amp;guest_id=30687845167318", "Jon Grindle")</f>
        <v>Jon Grindle</v>
      </c>
      <c r="E942" t="s">
        <v>3390</v>
      </c>
      <c r="F942" t="s">
        <v>3302</v>
      </c>
      <c r="G942">
        <v>912.6</v>
      </c>
      <c r="H942">
        <v>991.98</v>
      </c>
      <c r="I942">
        <v>992</v>
      </c>
      <c r="J942">
        <v>-0.02</v>
      </c>
    </row>
    <row r="943" spans="1:10" x14ac:dyDescent="0.3">
      <c r="A943" t="str">
        <f>HYPERLINK("https://us2.cloudbeds.com/connect/10074733072513#/reservations/30686389301408?display=YR0SC9BF4&amp;reservation_id=30686389301408", "YR0SC9BF4")</f>
        <v>YR0SC9BF4</v>
      </c>
      <c r="B943" t="s">
        <v>10</v>
      </c>
      <c r="C943" t="s">
        <v>42</v>
      </c>
      <c r="D943" t="str">
        <f>HYPERLINK("https://us2.cloudbeds.com/connect/10074733072513#/reservations/30686389301408?display=Manuel%20Cervantes&amp;reservation_id=30686389301408&amp;guest_id=30686389301405", "Manuel Cervantes")</f>
        <v>Manuel Cervantes</v>
      </c>
      <c r="E943" t="s">
        <v>3508</v>
      </c>
      <c r="F943" t="s">
        <v>2747</v>
      </c>
      <c r="G943">
        <v>3429.1</v>
      </c>
      <c r="H943">
        <v>3727.41</v>
      </c>
      <c r="I943">
        <v>3727.43</v>
      </c>
      <c r="J943">
        <v>-0.02</v>
      </c>
    </row>
    <row r="944" spans="1:10" x14ac:dyDescent="0.3">
      <c r="A944" t="str">
        <f>HYPERLINK("https://us2.cloudbeds.com/connect/10074733072513#/reservations/30686919340183?display=YR18U7F36&amp;reservation_id=30686919340183", "YR18U7F36")</f>
        <v>YR18U7F36</v>
      </c>
      <c r="B944" t="s">
        <v>10</v>
      </c>
      <c r="C944" t="s">
        <v>42</v>
      </c>
      <c r="D944" t="str">
        <f>HYPERLINK("https://us2.cloudbeds.com/connect/10074733072513#/reservations/30686919340183?display=Carol%20Broomes&amp;reservation_id=30686919340183&amp;guest_id=30686919340170", "Carol Broomes")</f>
        <v>Carol Broomes</v>
      </c>
      <c r="E944" t="s">
        <v>1998</v>
      </c>
      <c r="F944" t="s">
        <v>3258</v>
      </c>
      <c r="G944">
        <v>492.3</v>
      </c>
      <c r="H944">
        <v>535.11</v>
      </c>
      <c r="I944">
        <v>535.13</v>
      </c>
      <c r="J944">
        <v>-0.02</v>
      </c>
    </row>
    <row r="945" spans="1:10" x14ac:dyDescent="0.3">
      <c r="A945" t="str">
        <f>HYPERLINK("https://us2.cloudbeds.com/connect/10074733072513#/reservations/30685911830733?display=YR0G5M0NQ&amp;reservation_id=30685911830733", "YR0G5M0NQ")</f>
        <v>YR0G5M0NQ</v>
      </c>
      <c r="B945" t="s">
        <v>10</v>
      </c>
      <c r="C945" t="s">
        <v>42</v>
      </c>
      <c r="D945" t="str">
        <f>HYPERLINK("https://us2.cloudbeds.com/connect/10074733072513#/reservations/30685911830733?display=Michelle%20Kelly&amp;reservation_id=30685911830733&amp;guest_id=30685911826686", "Michelle Kelly")</f>
        <v>Michelle Kelly</v>
      </c>
      <c r="E945" t="s">
        <v>3593</v>
      </c>
      <c r="F945" t="s">
        <v>2639</v>
      </c>
      <c r="G945">
        <v>340.2</v>
      </c>
      <c r="H945">
        <v>369.78</v>
      </c>
      <c r="I945">
        <v>369.8</v>
      </c>
      <c r="J945">
        <v>-0.02</v>
      </c>
    </row>
    <row r="946" spans="1:10" x14ac:dyDescent="0.3">
      <c r="A946" t="str">
        <f>HYPERLINK("https://us2.cloudbeds.com/connect/10074733072513#/reservations/30686018551980?display=YR0XTYN0W&amp;reservation_id=30686018551980", "YR0XTYN0W")</f>
        <v>YR0XTYN0W</v>
      </c>
      <c r="B946" t="s">
        <v>10</v>
      </c>
      <c r="C946" t="s">
        <v>20</v>
      </c>
      <c r="D946" t="str">
        <f>HYPERLINK("https://us2.cloudbeds.com/connect/10074733072513#/reservations/30686018551980?display=Claudio%20Alister&amp;reservation_id=30686018551980&amp;guest_id=30686018551975", "Claudio Alister")</f>
        <v>Claudio Alister</v>
      </c>
      <c r="E946" t="s">
        <v>3625</v>
      </c>
      <c r="F946" t="s">
        <v>3482</v>
      </c>
      <c r="G946">
        <v>240.64</v>
      </c>
      <c r="H946">
        <v>261.56</v>
      </c>
      <c r="I946">
        <v>261.58</v>
      </c>
      <c r="J946">
        <v>-0.02</v>
      </c>
    </row>
    <row r="947" spans="1:10" x14ac:dyDescent="0.3">
      <c r="A947" t="str">
        <f>HYPERLINK("https://us2.cloudbeds.com/connect/10074733072513#/reservations/30684796543148?display=YQWKM7GHA&amp;reservation_id=30684796543148", "YQWKM7GHA")</f>
        <v>YQWKM7GHA</v>
      </c>
      <c r="B947" t="s">
        <v>10</v>
      </c>
      <c r="C947" t="s">
        <v>11</v>
      </c>
      <c r="D947" t="str">
        <f>HYPERLINK("https://us2.cloudbeds.com/connect/10074733072513#/reservations/30684796543148?display=Cindy%20Reeder&amp;reservation_id=30684796543148&amp;guest_id=30684796543146", "Cindy Reeder")</f>
        <v>Cindy Reeder</v>
      </c>
      <c r="E947" t="s">
        <v>3661</v>
      </c>
      <c r="F947" t="s">
        <v>3662</v>
      </c>
      <c r="G947">
        <v>354.68</v>
      </c>
      <c r="H947">
        <v>385.52</v>
      </c>
      <c r="I947">
        <v>385.54</v>
      </c>
      <c r="J947">
        <v>-0.02</v>
      </c>
    </row>
    <row r="948" spans="1:10" x14ac:dyDescent="0.3">
      <c r="A948" t="str">
        <f>HYPERLINK("https://us2.cloudbeds.com/connect/10074733072513#/reservations/30686351851660?display=YR0RDN8B9&amp;reservation_id=30686351851660", "YR0RDN8B9")</f>
        <v>YR0RDN8B9</v>
      </c>
      <c r="B948" t="s">
        <v>10</v>
      </c>
      <c r="C948" t="s">
        <v>121</v>
      </c>
      <c r="D948" t="str">
        <f>HYPERLINK("https://us2.cloudbeds.com/connect/10074733072513#/reservations/30686351851660?display=Bryan%20Reimers&amp;reservation_id=30686351851660&amp;guest_id=30686336196763", "Bryan Reimers")</f>
        <v>Bryan Reimers</v>
      </c>
      <c r="E948" t="s">
        <v>3697</v>
      </c>
      <c r="F948" t="s">
        <v>2747</v>
      </c>
      <c r="G948">
        <v>515.95000000000005</v>
      </c>
      <c r="H948">
        <v>560.82000000000005</v>
      </c>
      <c r="I948">
        <v>560.84</v>
      </c>
      <c r="J948">
        <v>-0.02</v>
      </c>
    </row>
    <row r="949" spans="1:10" x14ac:dyDescent="0.3">
      <c r="A949" t="str">
        <f>HYPERLINK("https://us2.cloudbeds.com/connect/10074733072513#/reservations/30681859137689?display=YQUBKASGM&amp;reservation_id=30681859137689", "YQUBKASGM")</f>
        <v>YQUBKASGM</v>
      </c>
      <c r="B949" t="s">
        <v>10</v>
      </c>
      <c r="C949" t="s">
        <v>11</v>
      </c>
      <c r="D949" t="str">
        <f>HYPERLINK("https://us2.cloudbeds.com/connect/10074733072513#/reservations/30681859137689?display=Dorothy%20Praster&amp;reservation_id=30681859137689&amp;guest_id=30681859137687", "Dorothy Praster")</f>
        <v>Dorothy Praster</v>
      </c>
      <c r="E949" t="s">
        <v>1933</v>
      </c>
      <c r="F949" t="s">
        <v>3475</v>
      </c>
      <c r="G949">
        <v>188.32</v>
      </c>
      <c r="H949">
        <v>204.68</v>
      </c>
      <c r="I949">
        <v>204.7</v>
      </c>
      <c r="J949">
        <v>-0.02</v>
      </c>
    </row>
    <row r="950" spans="1:10" x14ac:dyDescent="0.3">
      <c r="A950" t="str">
        <f>HYPERLINK("https://us2.cloudbeds.com/connect/10074733072513#/reservations/30683998654696?display=YQW09E2JC&amp;reservation_id=30683998654696", "YQW09E2JC")</f>
        <v>YQW09E2JC</v>
      </c>
      <c r="B950" t="s">
        <v>10</v>
      </c>
      <c r="C950" t="s">
        <v>11</v>
      </c>
      <c r="D950" t="str">
        <f>HYPERLINK("https://us2.cloudbeds.com/connect/10074733072513#/reservations/30683998654696?display=Brad%20Cain&amp;reservation_id=30683998654696&amp;guest_id=30683990433947", "Brad Cain")</f>
        <v>Brad Cain</v>
      </c>
      <c r="E950" t="s">
        <v>3753</v>
      </c>
      <c r="F950" t="s">
        <v>3754</v>
      </c>
      <c r="G950">
        <v>420.55</v>
      </c>
      <c r="H950">
        <v>457.12</v>
      </c>
      <c r="I950">
        <v>457.14</v>
      </c>
      <c r="J950">
        <v>-0.02</v>
      </c>
    </row>
    <row r="951" spans="1:10" x14ac:dyDescent="0.3">
      <c r="A951" t="str">
        <f>HYPERLINK("https://us2.cloudbeds.com/connect/10074733072513#/reservations/30685625917574?display=YR08SJ26M&amp;reservation_id=30685625917574", "YR08SJ26M")</f>
        <v>YR08SJ26M</v>
      </c>
      <c r="B951" t="s">
        <v>10</v>
      </c>
      <c r="C951" t="s">
        <v>17</v>
      </c>
      <c r="D951" t="str">
        <f>HYPERLINK("https://us2.cloudbeds.com/connect/10074733072513#/reservations/30685625917574?display=Terrance%20Kurtenbach&amp;reservation_id=30685625917574&amp;guest_id=30685625917572", "Terrance Kurtenbach")</f>
        <v>Terrance Kurtenbach</v>
      </c>
      <c r="E951" t="s">
        <v>3772</v>
      </c>
      <c r="F951" t="s">
        <v>3196</v>
      </c>
      <c r="G951">
        <v>340.2</v>
      </c>
      <c r="H951">
        <v>369.78</v>
      </c>
      <c r="I951">
        <v>369.8</v>
      </c>
      <c r="J951">
        <v>-0.02</v>
      </c>
    </row>
    <row r="952" spans="1:10" x14ac:dyDescent="0.3">
      <c r="A952" t="str">
        <f>HYPERLINK("https://us2.cloudbeds.com/connect/10074733072513#/reservations/30681675182313?display=YQU6U714B&amp;reservation_id=30681675182313", "YQU6U714B")</f>
        <v>YQU6U714B</v>
      </c>
      <c r="B952" t="s">
        <v>10</v>
      </c>
      <c r="C952" t="s">
        <v>20</v>
      </c>
      <c r="D952" t="str">
        <f>HYPERLINK("https://us2.cloudbeds.com/connect/10074733072513#/reservations/30681675182313?display=Pat%20Hutchens&amp;reservation_id=30681675182313&amp;guest_id=30681663406236", "Pat Hutchens")</f>
        <v>Pat Hutchens</v>
      </c>
      <c r="E952" t="s">
        <v>3801</v>
      </c>
      <c r="F952" t="s">
        <v>3094</v>
      </c>
      <c r="G952">
        <v>360.96</v>
      </c>
      <c r="H952">
        <v>392.34</v>
      </c>
      <c r="I952">
        <v>392.36</v>
      </c>
      <c r="J952">
        <v>-0.02</v>
      </c>
    </row>
    <row r="953" spans="1:10" x14ac:dyDescent="0.3">
      <c r="A953" t="str">
        <f>HYPERLINK("https://us2.cloudbeds.com/connect/10074733072513#/reservations/30684412584139?display=YQWASF92R&amp;reservation_id=30684412584139", "YQWASF92R")</f>
        <v>YQWASF92R</v>
      </c>
      <c r="B953" t="s">
        <v>10</v>
      </c>
      <c r="C953" t="s">
        <v>20</v>
      </c>
      <c r="D953" t="str">
        <f>HYPERLINK("https://us2.cloudbeds.com/connect/10074733072513#/reservations/30684412584139?display=Justin%20Wells&amp;reservation_id=30684412584139&amp;guest_id=30684412584137", "Justin Wells")</f>
        <v>Justin Wells</v>
      </c>
      <c r="E953" t="s">
        <v>3813</v>
      </c>
      <c r="F953" t="s">
        <v>3808</v>
      </c>
      <c r="G953">
        <v>330.9</v>
      </c>
      <c r="H953">
        <v>359.67</v>
      </c>
      <c r="I953">
        <v>359.69</v>
      </c>
      <c r="J953">
        <v>-0.02</v>
      </c>
    </row>
    <row r="954" spans="1:10" x14ac:dyDescent="0.3">
      <c r="A954" t="str">
        <f>HYPERLINK("https://us2.cloudbeds.com/connect/10074733072513#/reservations/30686080065726?display=YR0KFHDFT&amp;reservation_id=30686080065726", "YR0KFHDFT")</f>
        <v>YR0KFHDFT</v>
      </c>
      <c r="B954" t="s">
        <v>10</v>
      </c>
      <c r="C954" t="s">
        <v>20</v>
      </c>
      <c r="D954" t="str">
        <f>HYPERLINK("https://us2.cloudbeds.com/connect/10074733072513#/reservations/30686080065726?display=Justin%20Wells&amp;reservation_id=30686080065726&amp;guest_id=30684412584137", "Justin Wells")</f>
        <v>Justin Wells</v>
      </c>
      <c r="E954" t="s">
        <v>3813</v>
      </c>
      <c r="F954" t="s">
        <v>3808</v>
      </c>
      <c r="G954">
        <v>330.9</v>
      </c>
      <c r="H954">
        <v>359.67</v>
      </c>
      <c r="I954">
        <v>359.69</v>
      </c>
      <c r="J954">
        <v>-0.02</v>
      </c>
    </row>
    <row r="955" spans="1:10" x14ac:dyDescent="0.3">
      <c r="A955" t="str">
        <f>HYPERLINK("https://us2.cloudbeds.com/connect/10074733072513#/reservations/30683428327562?display=YQVXNGT6V&amp;reservation_id=30683428327562", "YQVXNGT6V")</f>
        <v>YQVXNGT6V</v>
      </c>
      <c r="B955" t="s">
        <v>10</v>
      </c>
      <c r="C955" t="s">
        <v>20</v>
      </c>
      <c r="D955" t="str">
        <f>HYPERLINK("https://us2.cloudbeds.com/connect/10074733072513#/reservations/30683428327562?display=Michael%20Eby&amp;reservation_id=30683428327562&amp;guest_id=30683423412467", "Michael Eby")</f>
        <v>Michael Eby</v>
      </c>
      <c r="E955" t="s">
        <v>3819</v>
      </c>
      <c r="F955" t="s">
        <v>3820</v>
      </c>
      <c r="G955">
        <v>441.2</v>
      </c>
      <c r="H955">
        <v>479.56</v>
      </c>
      <c r="I955">
        <v>479.58</v>
      </c>
      <c r="J955">
        <v>-0.02</v>
      </c>
    </row>
    <row r="956" spans="1:10" x14ac:dyDescent="0.3">
      <c r="A956" t="str">
        <f>HYPERLINK("https://us2.cloudbeds.com/connect/10074733072513#/reservations/30682005233833?display=YQUFBH6ZX&amp;reservation_id=30682005233833", "YQUFBH6ZX")</f>
        <v>YQUFBH6ZX</v>
      </c>
      <c r="B956" t="s">
        <v>10</v>
      </c>
      <c r="C956" t="s">
        <v>20</v>
      </c>
      <c r="D956" t="str">
        <f>HYPERLINK("https://us2.cloudbeds.com/connect/10074733072513#/reservations/30682005233833?display=Mariah%20Beaton&amp;reservation_id=30682005233833&amp;guest_id=30681993523351", "Mariah Beaton")</f>
        <v>Mariah Beaton</v>
      </c>
      <c r="E956" t="s">
        <v>3858</v>
      </c>
      <c r="F956" t="s">
        <v>2633</v>
      </c>
      <c r="G956">
        <v>340.2</v>
      </c>
      <c r="H956">
        <v>369.78</v>
      </c>
      <c r="I956">
        <v>369.8</v>
      </c>
      <c r="J956">
        <v>-0.02</v>
      </c>
    </row>
    <row r="957" spans="1:10" x14ac:dyDescent="0.3">
      <c r="A957" t="str">
        <f>HYPERLINK("https://us2.cloudbeds.com/connect/10074733072513#/reservations/30683116658883?display=YQVAZN82H&amp;reservation_id=30683116658883", "YQVAZN82H")</f>
        <v>YQVAZN82H</v>
      </c>
      <c r="B957" t="s">
        <v>10</v>
      </c>
      <c r="C957" t="s">
        <v>23</v>
      </c>
      <c r="D957" t="str">
        <f>HYPERLINK("https://us2.cloudbeds.com/connect/10074733072513#/reservations/30683116658883?display=Lori%20Serreyn&amp;reservation_id=30683116658883&amp;guest_id=30683108708534", "Lori Serreyn")</f>
        <v>Lori Serreyn</v>
      </c>
      <c r="E957" t="s">
        <v>3932</v>
      </c>
      <c r="F957" t="s">
        <v>3123</v>
      </c>
      <c r="G957">
        <v>340.2</v>
      </c>
      <c r="H957">
        <v>369.78</v>
      </c>
      <c r="I957">
        <v>369.8</v>
      </c>
      <c r="J957">
        <v>-0.02</v>
      </c>
    </row>
    <row r="958" spans="1:10" x14ac:dyDescent="0.3">
      <c r="A958" t="str">
        <f>HYPERLINK("https://us2.cloudbeds.com/connect/10074733072513#/reservations/30684617605342?display=YQWG3B9YX&amp;reservation_id=30684617605342", "YQWG3B9YX")</f>
        <v>YQWG3B9YX</v>
      </c>
      <c r="B958" t="s">
        <v>10</v>
      </c>
      <c r="C958" t="s">
        <v>42</v>
      </c>
      <c r="D958" t="str">
        <f>HYPERLINK("https://us2.cloudbeds.com/connect/10074733072513#/reservations/30684617605342?display=John%20White&amp;reservation_id=30684617605342&amp;guest_id=30684617601256", "John White")</f>
        <v>John White</v>
      </c>
      <c r="E958" t="s">
        <v>3943</v>
      </c>
      <c r="F958" t="s">
        <v>3295</v>
      </c>
      <c r="G958">
        <v>206.4</v>
      </c>
      <c r="H958">
        <v>224.34</v>
      </c>
      <c r="I958">
        <v>224.36</v>
      </c>
      <c r="J958">
        <v>-0.02</v>
      </c>
    </row>
    <row r="959" spans="1:10" x14ac:dyDescent="0.3">
      <c r="A959" t="str">
        <f>HYPERLINK("https://us2.cloudbeds.com/connect/10074733072513#/reservations/30684818252019?display=YQWY7HJ6T&amp;reservation_id=30684818252019", "YQWY7HJ6T")</f>
        <v>YQWY7HJ6T</v>
      </c>
      <c r="B959" t="s">
        <v>10</v>
      </c>
      <c r="C959" t="s">
        <v>14</v>
      </c>
      <c r="D959" t="str">
        <f>HYPERLINK("https://us2.cloudbeds.com/connect/10074733072513#/reservations/30684818252019?display=Marci%20Lundberg-Asmus&amp;reservation_id=30684818252019&amp;guest_id=30684803289234", "Marci Lundberg-Asmus")</f>
        <v>Marci Lundberg-Asmus</v>
      </c>
      <c r="E959" t="s">
        <v>4016</v>
      </c>
      <c r="F959" t="s">
        <v>3662</v>
      </c>
      <c r="G959">
        <v>200.18</v>
      </c>
      <c r="H959">
        <v>217.58</v>
      </c>
      <c r="I959">
        <v>217.6</v>
      </c>
      <c r="J959">
        <v>-0.02</v>
      </c>
    </row>
    <row r="960" spans="1:10" x14ac:dyDescent="0.3">
      <c r="A960" t="str">
        <f>HYPERLINK("https://us2.cloudbeds.com/connect/10074733072513#/reservations/30683592020203?display=YQVMTHSS0&amp;reservation_id=30683592020203", "YQVMTHSS0")</f>
        <v>YQVMTHSS0</v>
      </c>
      <c r="B960" t="s">
        <v>10</v>
      </c>
      <c r="C960" t="s">
        <v>42</v>
      </c>
      <c r="D960" t="str">
        <f>HYPERLINK("https://us2.cloudbeds.com/connect/10074733072513#/reservations/30683592020203?display=James%20Reed&amp;reservation_id=30683592020203&amp;guest_id=30683592020192", "James Reed")</f>
        <v>James Reed</v>
      </c>
      <c r="E960" t="s">
        <v>4061</v>
      </c>
      <c r="F960" t="s">
        <v>3814</v>
      </c>
      <c r="G960">
        <v>608</v>
      </c>
      <c r="H960">
        <v>660.88</v>
      </c>
      <c r="I960">
        <v>660.9</v>
      </c>
      <c r="J960">
        <v>-0.02</v>
      </c>
    </row>
    <row r="961" spans="1:10" x14ac:dyDescent="0.3">
      <c r="A961" t="str">
        <f>HYPERLINK("https://us2.cloudbeds.com/connect/10074733072513#/reservations/30682008748234?display=YQUFEFWUX&amp;reservation_id=30682008748234", "YQUFEFWUX")</f>
        <v>YQUFEFWUX</v>
      </c>
      <c r="B961" t="s">
        <v>10</v>
      </c>
      <c r="C961" t="s">
        <v>11</v>
      </c>
      <c r="D961" t="str">
        <f>HYPERLINK("https://us2.cloudbeds.com/connect/10074733072513#/reservations/30682008748234?display=Kayla%20Olmschenk&amp;reservation_id=30682008748234&amp;guest_id=30682008744142", "Kayla Olmschenk")</f>
        <v>Kayla Olmschenk</v>
      </c>
      <c r="E961" t="s">
        <v>4075</v>
      </c>
      <c r="F961" t="s">
        <v>2633</v>
      </c>
      <c r="G961">
        <v>340.2</v>
      </c>
      <c r="H961">
        <v>369.78</v>
      </c>
      <c r="I961">
        <v>369.8</v>
      </c>
      <c r="J961">
        <v>-0.02</v>
      </c>
    </row>
    <row r="962" spans="1:10" x14ac:dyDescent="0.3">
      <c r="A962" t="str">
        <f>HYPERLINK("https://us2.cloudbeds.com/connect/10074733072513#/reservations/30682599047312?display=YQUUH7V0D&amp;reservation_id=30682599047312", "YQUUH7V0D")</f>
        <v>YQUUH7V0D</v>
      </c>
      <c r="B962" t="s">
        <v>10</v>
      </c>
      <c r="C962" t="s">
        <v>20</v>
      </c>
      <c r="D962" t="str">
        <f>HYPERLINK("https://us2.cloudbeds.com/connect/10074733072513#/reservations/30682599047312?display=Kari%20Davis&amp;reservation_id=30682599047312&amp;guest_id=30682599047307", "Kari Davis")</f>
        <v>Kari Davis</v>
      </c>
      <c r="E962" t="s">
        <v>4100</v>
      </c>
      <c r="F962" t="s">
        <v>2633</v>
      </c>
      <c r="G962">
        <v>287.3</v>
      </c>
      <c r="H962">
        <v>312.27999999999997</v>
      </c>
      <c r="I962">
        <v>312.3</v>
      </c>
      <c r="J962">
        <v>-0.02</v>
      </c>
    </row>
    <row r="963" spans="1:10" x14ac:dyDescent="0.3">
      <c r="A963" t="str">
        <f>HYPERLINK("https://us2.cloudbeds.com/connect/10074733072513#/reservations/30683729297650?display=YQVQD9R3Y&amp;reservation_id=30683729297650", "YQVQD9R3Y")</f>
        <v>YQVQD9R3Y</v>
      </c>
      <c r="B963" t="s">
        <v>10</v>
      </c>
      <c r="C963" t="s">
        <v>11</v>
      </c>
      <c r="D963" t="str">
        <f>HYPERLINK("https://us2.cloudbeds.com/connect/10074733072513#/reservations/30683729297650?display=Karl%20Elling&amp;reservation_id=30683729297650&amp;guest_id=30683725373603", "Karl Elling")</f>
        <v>Karl Elling</v>
      </c>
      <c r="E963" t="s">
        <v>1319</v>
      </c>
      <c r="F963" t="s">
        <v>4071</v>
      </c>
      <c r="G963">
        <v>214.35</v>
      </c>
      <c r="H963">
        <v>232.98</v>
      </c>
      <c r="I963">
        <v>233</v>
      </c>
      <c r="J963">
        <v>-0.02</v>
      </c>
    </row>
    <row r="964" spans="1:10" x14ac:dyDescent="0.3">
      <c r="A964" t="str">
        <f>HYPERLINK("https://us2.cloudbeds.com/connect/10074733072513#/reservations/30684471275712?display=YQWCBVBA5&amp;reservation_id=30684471275712", "YQWCBVBA5")</f>
        <v>YQWCBVBA5</v>
      </c>
      <c r="B964" t="s">
        <v>10</v>
      </c>
      <c r="C964" t="s">
        <v>11</v>
      </c>
      <c r="D964" t="str">
        <f>HYPERLINK("https://us2.cloudbeds.com/connect/10074733072513#/reservations/30684471275712?display=Karl%20Elling&amp;reservation_id=30684471275712&amp;guest_id=30683725373603", "Karl Elling")</f>
        <v>Karl Elling</v>
      </c>
      <c r="E964" t="s">
        <v>1319</v>
      </c>
      <c r="F964" t="s">
        <v>4029</v>
      </c>
      <c r="G964">
        <v>232.35</v>
      </c>
      <c r="H964">
        <v>252.54</v>
      </c>
      <c r="I964">
        <v>252.56</v>
      </c>
      <c r="J964">
        <v>-0.02</v>
      </c>
    </row>
    <row r="965" spans="1:10" x14ac:dyDescent="0.3">
      <c r="A965" t="str">
        <f>HYPERLINK("https://us2.cloudbeds.com/connect/10074733072513#/reservations/30683587649753?display=YQVMPS8J4&amp;reservation_id=30683587649753", "YQVMPS8J4")</f>
        <v>YQVMPS8J4</v>
      </c>
      <c r="B965" t="s">
        <v>10</v>
      </c>
      <c r="C965" t="s">
        <v>11</v>
      </c>
      <c r="D965" t="str">
        <f>HYPERLINK("https://us2.cloudbeds.com/connect/10074733072513#/reservations/30683587649753?display=Bob%20Kirch&amp;reservation_id=30683587649753&amp;guest_id=30683587649751", "Bob Kirch")</f>
        <v>Bob Kirch</v>
      </c>
      <c r="E965" t="s">
        <v>2955</v>
      </c>
      <c r="F965" t="s">
        <v>3557</v>
      </c>
      <c r="G965">
        <v>285.8</v>
      </c>
      <c r="H965">
        <v>310.64</v>
      </c>
      <c r="I965">
        <v>310.66000000000003</v>
      </c>
      <c r="J965">
        <v>-0.02</v>
      </c>
    </row>
    <row r="966" spans="1:10" x14ac:dyDescent="0.3">
      <c r="A966" t="str">
        <f>HYPERLINK("https://us2.cloudbeds.com/connect/10074733072513#/reservations/30683598389377?display=YQVN1U3G9&amp;reservation_id=30683598389377", "YQVN1U3G9")</f>
        <v>YQVN1U3G9</v>
      </c>
      <c r="B966" t="s">
        <v>10</v>
      </c>
      <c r="C966" t="s">
        <v>11</v>
      </c>
      <c r="D966" t="str">
        <f>HYPERLINK("https://us2.cloudbeds.com/connect/10074733072513#/reservations/30683598389377?display=James%20Knapp&amp;reservation_id=30683598389377&amp;guest_id=30683587653838", "James Knapp")</f>
        <v>James Knapp</v>
      </c>
      <c r="E966" t="s">
        <v>2955</v>
      </c>
      <c r="F966" t="s">
        <v>3557</v>
      </c>
      <c r="G966">
        <v>285.8</v>
      </c>
      <c r="H966">
        <v>310.64</v>
      </c>
      <c r="I966">
        <v>310.66000000000003</v>
      </c>
      <c r="J966">
        <v>-0.02</v>
      </c>
    </row>
    <row r="967" spans="1:10" x14ac:dyDescent="0.3">
      <c r="A967" t="str">
        <f>HYPERLINK("https://us2.cloudbeds.com/connect/10074733072513#/reservations/30682202267818?display=YQUKCYVSC&amp;reservation_id=30682202267818", "YQUKCYVSC")</f>
        <v>YQUKCYVSC</v>
      </c>
      <c r="B967" t="s">
        <v>10</v>
      </c>
      <c r="C967" t="s">
        <v>42</v>
      </c>
      <c r="D967" t="str">
        <f>HYPERLINK("https://us2.cloudbeds.com/connect/10074733072513#/reservations/30682202267818?display=Cameron%20Wyly&amp;reservation_id=30682202267818&amp;guest_id=30670036390088", "Cameron Wyly")</f>
        <v>Cameron Wyly</v>
      </c>
      <c r="E967" t="s">
        <v>2708</v>
      </c>
      <c r="F967" t="s">
        <v>3688</v>
      </c>
      <c r="G967">
        <v>368</v>
      </c>
      <c r="H967">
        <v>400</v>
      </c>
      <c r="I967">
        <v>400.02</v>
      </c>
      <c r="J967">
        <v>-0.02</v>
      </c>
    </row>
    <row r="968" spans="1:10" x14ac:dyDescent="0.3">
      <c r="A968" t="str">
        <f>HYPERLINK("https://us2.cloudbeds.com/connect/10074733072513#/reservations/30682247803072?display=YQUYC1VK1&amp;reservation_id=30682247803072", "YQUYC1VK1")</f>
        <v>YQUYC1VK1</v>
      </c>
      <c r="B968" t="s">
        <v>10</v>
      </c>
      <c r="C968" t="s">
        <v>11</v>
      </c>
      <c r="D968" t="str">
        <f>HYPERLINK("https://us2.cloudbeds.com/connect/10074733072513#/reservations/30682247803072?display=Charles%20Phillips&amp;reservation_id=30682247803072&amp;guest_id=30682240684184", "Charles Phillips")</f>
        <v>Charles Phillips</v>
      </c>
      <c r="E968" t="s">
        <v>4310</v>
      </c>
      <c r="F968" t="s">
        <v>3572</v>
      </c>
      <c r="G968">
        <v>402.3</v>
      </c>
      <c r="H968">
        <v>437.28</v>
      </c>
      <c r="I968">
        <v>437.3</v>
      </c>
      <c r="J968">
        <v>-0.02</v>
      </c>
    </row>
    <row r="969" spans="1:10" x14ac:dyDescent="0.3">
      <c r="A969" t="str">
        <f>HYPERLINK("https://us2.cloudbeds.com/connect/10074733072513#/reservations/31671659815058?display=MH4PAFPSV&amp;reservation_id=31671659815058", "MH4PAFPSV")</f>
        <v>MH4PAFPSV</v>
      </c>
      <c r="B969" t="s">
        <v>10</v>
      </c>
      <c r="C969" t="s">
        <v>14</v>
      </c>
      <c r="D969" t="str">
        <f>HYPERLINK("https://us2.cloudbeds.com/connect/10074733072513#/reservations/31671659815058?display=Rachel%20Morales&amp;reservation_id=31671659815058&amp;guest_id=30681966682321", "Rachel Morales")</f>
        <v>Rachel Morales</v>
      </c>
      <c r="E969" t="s">
        <v>4356</v>
      </c>
      <c r="F969" t="s">
        <v>4340</v>
      </c>
      <c r="G969">
        <v>206.4</v>
      </c>
      <c r="H969">
        <v>224.34</v>
      </c>
      <c r="I969">
        <v>224.36</v>
      </c>
      <c r="J969">
        <v>-0.02</v>
      </c>
    </row>
    <row r="970" spans="1:10" x14ac:dyDescent="0.3">
      <c r="A970" t="str">
        <f>HYPERLINK("https://us2.cloudbeds.com/connect/10074733072513#/reservations/30681708736642?display=YQU7PGZ66&amp;reservation_id=30681708736642", "YQU7PGZ66")</f>
        <v>YQU7PGZ66</v>
      </c>
      <c r="B970" t="s">
        <v>10</v>
      </c>
      <c r="C970" t="s">
        <v>14</v>
      </c>
      <c r="D970" t="str">
        <f>HYPERLINK("https://us2.cloudbeds.com/connect/10074733072513#/reservations/30681708736642?display=Paul%20Schaub&amp;reservation_id=30681708736642&amp;guest_id=30672613990626", "Paul Schaub")</f>
        <v>Paul Schaub</v>
      </c>
      <c r="E970" t="s">
        <v>2617</v>
      </c>
      <c r="F970" t="s">
        <v>4427</v>
      </c>
      <c r="G970">
        <v>333.56</v>
      </c>
      <c r="H970">
        <v>362.56</v>
      </c>
      <c r="I970">
        <v>362.58</v>
      </c>
      <c r="J970">
        <v>-0.02</v>
      </c>
    </row>
    <row r="971" spans="1:10" x14ac:dyDescent="0.3">
      <c r="A971" t="str">
        <f>HYPERLINK("https://us2.cloudbeds.com/connect/10074733072513#/reservations/30681618501856?display=YQU5FDQVZ&amp;reservation_id=30681618501856", "YQU5FDQVZ")</f>
        <v>YQU5FDQVZ</v>
      </c>
      <c r="B971" t="s">
        <v>10</v>
      </c>
      <c r="C971" t="s">
        <v>11</v>
      </c>
      <c r="D971" t="str">
        <f>HYPERLINK("https://us2.cloudbeds.com/connect/10074733072513#/reservations/30681618501856?display=Duane%20Farmer&amp;reservation_id=30681618501856&amp;guest_id=30681618501854", "Duane Farmer")</f>
        <v>Duane Farmer</v>
      </c>
      <c r="E971" t="s">
        <v>4469</v>
      </c>
      <c r="F971" t="s">
        <v>3774</v>
      </c>
      <c r="G971">
        <v>206.4</v>
      </c>
      <c r="H971">
        <v>224.34</v>
      </c>
      <c r="I971">
        <v>224.36</v>
      </c>
      <c r="J971">
        <v>-0.02</v>
      </c>
    </row>
    <row r="972" spans="1:10" x14ac:dyDescent="0.3">
      <c r="A972" t="str">
        <f>HYPERLINK("https://us2.cloudbeds.com/connect/10074733072513#/reservations/30681268228249?display=YQTTH1UV0&amp;reservation_id=30681268228249", "YQTTH1UV0")</f>
        <v>YQTTH1UV0</v>
      </c>
      <c r="B972" t="s">
        <v>10</v>
      </c>
      <c r="C972" t="s">
        <v>17</v>
      </c>
      <c r="D972" t="str">
        <f>HYPERLINK("https://us2.cloudbeds.com/connect/10074733072513#/reservations/30681268228249?display=Patricia%20Schaffer&amp;reservation_id=30681268228249&amp;guest_id=30681268224155", "Patricia Schaffer")</f>
        <v>Patricia Schaffer</v>
      </c>
      <c r="E972" t="s">
        <v>4483</v>
      </c>
      <c r="F972" t="s">
        <v>4134</v>
      </c>
      <c r="G972">
        <v>750.6</v>
      </c>
      <c r="H972">
        <v>815.88</v>
      </c>
      <c r="I972">
        <v>815.9</v>
      </c>
      <c r="J972">
        <v>-0.02</v>
      </c>
    </row>
    <row r="973" spans="1:10" x14ac:dyDescent="0.3">
      <c r="A973" t="str">
        <f>HYPERLINK("https://us2.cloudbeds.com/connect/10074733072513#/reservations/30681951359183?display=YQUDW322D&amp;reservation_id=30681951359183", "YQUDW322D")</f>
        <v>YQUDW322D</v>
      </c>
      <c r="B973" t="s">
        <v>10</v>
      </c>
      <c r="C973" t="s">
        <v>11</v>
      </c>
      <c r="D973" t="str">
        <f>HYPERLINK("https://us2.cloudbeds.com/connect/10074733072513#/reservations/30681951359183?display=Matthew%20Urquides%20Swann&amp;reservation_id=30681951359183&amp;guest_id=30681951359181", "Matthew Urquides Swann")</f>
        <v>Matthew Urquides Swann</v>
      </c>
      <c r="E973" t="s">
        <v>4492</v>
      </c>
      <c r="F973" t="s">
        <v>3760</v>
      </c>
      <c r="G973">
        <v>188.32</v>
      </c>
      <c r="H973">
        <v>204.68</v>
      </c>
      <c r="I973">
        <v>204.7</v>
      </c>
      <c r="J973">
        <v>-0.02</v>
      </c>
    </row>
    <row r="974" spans="1:10" x14ac:dyDescent="0.3">
      <c r="A974" t="str">
        <f>HYPERLINK("https://us2.cloudbeds.com/connect/10074733072513#/reservations/30681311961227?display=YQTUKUSPZ&amp;reservation_id=30681311961227", "YQTUKUSPZ")</f>
        <v>YQTUKUSPZ</v>
      </c>
      <c r="B974" t="s">
        <v>10</v>
      </c>
      <c r="C974" t="s">
        <v>23</v>
      </c>
      <c r="D974" t="str">
        <f>HYPERLINK("https://us2.cloudbeds.com/connect/10074733072513#/reservations/30681311961227?display=Jaclyn%20Schlaikjer&amp;reservation_id=30681311961227&amp;guest_id=30663490773123", "Jaclyn Schlaikjer")</f>
        <v>Jaclyn Schlaikjer</v>
      </c>
      <c r="E974" t="s">
        <v>4522</v>
      </c>
      <c r="F974" t="s">
        <v>4134</v>
      </c>
      <c r="G974">
        <v>402.3</v>
      </c>
      <c r="H974">
        <v>437.28</v>
      </c>
      <c r="I974">
        <v>437.3</v>
      </c>
      <c r="J974">
        <v>-0.02</v>
      </c>
    </row>
    <row r="975" spans="1:10" x14ac:dyDescent="0.3">
      <c r="A975" t="str">
        <f>HYPERLINK("https://us2.cloudbeds.com/connect/10074733072513#/reservations/31671750140046?display=MH4RKY6UQ&amp;reservation_id=31671750140046", "MH4RKY6UQ")</f>
        <v>MH4RKY6UQ</v>
      </c>
      <c r="B975" t="s">
        <v>10</v>
      </c>
      <c r="C975" t="s">
        <v>42</v>
      </c>
      <c r="D975" t="str">
        <f>HYPERLINK("https://us2.cloudbeds.com/connect/10074733072513#/reservations/31671750140046?display=Steve%20Robertson&amp;reservation_id=31671750140046&amp;guest_id=31671750140032", "Steve Robertson")</f>
        <v>Steve Robertson</v>
      </c>
      <c r="E975" t="s">
        <v>1897</v>
      </c>
      <c r="F975" t="s">
        <v>3545</v>
      </c>
      <c r="G975">
        <v>952</v>
      </c>
      <c r="H975">
        <v>1034.8</v>
      </c>
      <c r="I975">
        <v>1034.82</v>
      </c>
      <c r="J975">
        <v>-0.02</v>
      </c>
    </row>
    <row r="976" spans="1:10" x14ac:dyDescent="0.3">
      <c r="A976" t="str">
        <f>HYPERLINK("https://us2.cloudbeds.com/connect/10074733072513#/reservations/31673509273831?display=MH66XWN46&amp;reservation_id=31673509273831", "MH66XWN46")</f>
        <v>MH66XWN46</v>
      </c>
      <c r="B976" t="s">
        <v>10</v>
      </c>
      <c r="C976" t="s">
        <v>42</v>
      </c>
      <c r="D976" t="str">
        <f>HYPERLINK("https://us2.cloudbeds.com/connect/10074733072513#/reservations/31673509273831?display=Mark%20Humbert&amp;reservation_id=31673509273831&amp;guest_id=31672493551800", "Mark Humbert")</f>
        <v>Mark Humbert</v>
      </c>
      <c r="E976" t="s">
        <v>4586</v>
      </c>
      <c r="F976" t="s">
        <v>4587</v>
      </c>
      <c r="G976">
        <v>381.6</v>
      </c>
      <c r="H976">
        <v>414.78</v>
      </c>
      <c r="I976">
        <v>414.8</v>
      </c>
      <c r="J976">
        <v>-0.02</v>
      </c>
    </row>
    <row r="977" spans="1:10" x14ac:dyDescent="0.3">
      <c r="A977" t="str">
        <f>HYPERLINK("https://us2.cloudbeds.com/connect/10074733072513#/reservations/31671879549089?display=MH4UUP6RV&amp;reservation_id=31671879549089", "MH4UUP6RV")</f>
        <v>MH4UUP6RV</v>
      </c>
      <c r="B977" t="s">
        <v>10</v>
      </c>
      <c r="C977" t="s">
        <v>42</v>
      </c>
      <c r="D977" t="str">
        <f>HYPERLINK("https://us2.cloudbeds.com/connect/10074733072513#/reservations/31671879549089?display=Christopher%20Wright&amp;reservation_id=31671879549089&amp;guest_id=30681467953371", "Christopher Wright")</f>
        <v>Christopher Wright</v>
      </c>
      <c r="E977" t="s">
        <v>4601</v>
      </c>
      <c r="F977" t="s">
        <v>4340</v>
      </c>
      <c r="G977">
        <v>572.4</v>
      </c>
      <c r="H977">
        <v>622.17999999999995</v>
      </c>
      <c r="I977">
        <v>622.20000000000005</v>
      </c>
      <c r="J977">
        <v>-0.02</v>
      </c>
    </row>
    <row r="978" spans="1:10" x14ac:dyDescent="0.3">
      <c r="A978" t="str">
        <f>HYPERLINK("https://us2.cloudbeds.com/connect/10074733072513#/reservations/31674303213706?display=MH6QSF869&amp;reservation_id=31674303213706", "MH6QSF869")</f>
        <v>MH6QSF869</v>
      </c>
      <c r="B978" t="s">
        <v>10</v>
      </c>
      <c r="C978" t="s">
        <v>42</v>
      </c>
      <c r="D978" t="str">
        <f>HYPERLINK("https://us2.cloudbeds.com/connect/10074733072513#/reservations/31674303213706?display=April%20Colborn&amp;reservation_id=31674303213706&amp;guest_id=31674294440188", "April Colborn")</f>
        <v>April Colborn</v>
      </c>
      <c r="E978" t="s">
        <v>4637</v>
      </c>
      <c r="F978" t="s">
        <v>4611</v>
      </c>
      <c r="G978">
        <v>712</v>
      </c>
      <c r="H978">
        <v>773.92</v>
      </c>
      <c r="I978">
        <v>773.94</v>
      </c>
      <c r="J978">
        <v>-0.02</v>
      </c>
    </row>
    <row r="979" spans="1:10" x14ac:dyDescent="0.3">
      <c r="A979" t="str">
        <f>HYPERLINK("https://us2.cloudbeds.com/connect/10074733072513#/reservations/31672198598836?display=MH562Q7R3&amp;reservation_id=31672198598836", "MH562Q7R3")</f>
        <v>MH562Q7R3</v>
      </c>
      <c r="B979" t="s">
        <v>10</v>
      </c>
      <c r="C979" t="s">
        <v>11</v>
      </c>
      <c r="D979" t="str">
        <f>HYPERLINK("https://us2.cloudbeds.com/connect/10074733072513#/reservations/31672198598836?display=Ethan%20Tromp&amp;reservation_id=31672198598836&amp;guest_id=31672198598788", "Ethan Tromp")</f>
        <v>Ethan Tromp</v>
      </c>
      <c r="E979" t="s">
        <v>4642</v>
      </c>
      <c r="F979" t="s">
        <v>4643</v>
      </c>
      <c r="G979">
        <v>256.39999999999998</v>
      </c>
      <c r="H979">
        <v>278.69</v>
      </c>
      <c r="I979">
        <v>278.70999999999998</v>
      </c>
      <c r="J979">
        <v>-0.02</v>
      </c>
    </row>
    <row r="980" spans="1:10" x14ac:dyDescent="0.3">
      <c r="A980" t="str">
        <f>HYPERLINK("https://us2.cloudbeds.com/connect/10074733072513#/reservations/31675467231443?display=MH7NJWZWT&amp;reservation_id=31675467231443", "MH7NJWZWT")</f>
        <v>MH7NJWZWT</v>
      </c>
      <c r="B980" t="s">
        <v>10</v>
      </c>
      <c r="C980" t="s">
        <v>42</v>
      </c>
      <c r="D980" t="str">
        <f>HYPERLINK("https://us2.cloudbeds.com/connect/10074733072513#/reservations/31675467231443?display=April%20Colborn&amp;reservation_id=31675467231443&amp;guest_id=31674294440188", "April Colborn")</f>
        <v>April Colborn</v>
      </c>
      <c r="E980" t="s">
        <v>4637</v>
      </c>
      <c r="F980" t="s">
        <v>4611</v>
      </c>
      <c r="G980">
        <v>712</v>
      </c>
      <c r="H980">
        <v>773.92</v>
      </c>
      <c r="I980">
        <v>773.94</v>
      </c>
      <c r="J980">
        <v>-0.02</v>
      </c>
    </row>
    <row r="981" spans="1:10" x14ac:dyDescent="0.3">
      <c r="A981" t="str">
        <f>HYPERLINK("https://us2.cloudbeds.com/connect/10074733072513#/reservations/31672193405135?display=MH55VDNJ7&amp;reservation_id=31672193405135", "MH55VDNJ7")</f>
        <v>MH55VDNJ7</v>
      </c>
      <c r="B981" t="s">
        <v>10</v>
      </c>
      <c r="C981" t="s">
        <v>20</v>
      </c>
      <c r="D981" t="str">
        <f>HYPERLINK("https://us2.cloudbeds.com/connect/10074733072513#/reservations/31672193405135?display=Jhon%20Nunez&amp;reservation_id=31672193405135&amp;guest_id=31672184557758", "Jhon Nunez")</f>
        <v>Jhon Nunez</v>
      </c>
      <c r="E981" t="s">
        <v>4653</v>
      </c>
      <c r="F981" t="s">
        <v>4643</v>
      </c>
      <c r="G981">
        <v>491.6</v>
      </c>
      <c r="H981">
        <v>534.35</v>
      </c>
      <c r="I981">
        <v>534.37</v>
      </c>
      <c r="J981">
        <v>-0.02</v>
      </c>
    </row>
    <row r="982" spans="1:10" x14ac:dyDescent="0.3">
      <c r="A982" t="str">
        <f>HYPERLINK("https://us2.cloudbeds.com/connect/10074733072513#/reservations/31671544930464?display=MH4MCJVCH&amp;reservation_id=31671544930464", "MH4MCJVCH")</f>
        <v>MH4MCJVCH</v>
      </c>
      <c r="B982" t="s">
        <v>10</v>
      </c>
      <c r="C982" t="s">
        <v>42</v>
      </c>
      <c r="D982" t="str">
        <f>HYPERLINK("https://us2.cloudbeds.com/connect/10074733072513#/reservations/31671544930464?display=Bob%20Hook&amp;reservation_id=31671544930464&amp;guest_id=31671544926363", "Bob Hook")</f>
        <v>Bob Hook</v>
      </c>
      <c r="E982" t="s">
        <v>4657</v>
      </c>
      <c r="F982" t="s">
        <v>4650</v>
      </c>
      <c r="G982">
        <v>392.4</v>
      </c>
      <c r="H982">
        <v>426.52</v>
      </c>
      <c r="I982">
        <v>426.54</v>
      </c>
      <c r="J982">
        <v>-0.02</v>
      </c>
    </row>
    <row r="983" spans="1:10" x14ac:dyDescent="0.3">
      <c r="A983" t="str">
        <f>HYPERLINK("https://us2.cloudbeds.com/connect/10074733072513#/reservations/31672986714268?display=MH5Q7BNEU&amp;reservation_id=31672986714268", "MH5Q7BNEU")</f>
        <v>MH5Q7BNEU</v>
      </c>
      <c r="B983" t="s">
        <v>10</v>
      </c>
      <c r="C983" t="s">
        <v>20</v>
      </c>
      <c r="D983" t="str">
        <f>HYPERLINK("https://us2.cloudbeds.com/connect/10074733072513#/reservations/31672986714268?display=Choi%20Euncho&amp;reservation_id=31672986714268&amp;guest_id=31672986714263", "Choi Euncho")</f>
        <v>Choi Euncho</v>
      </c>
      <c r="E983" t="s">
        <v>4659</v>
      </c>
      <c r="F983" t="s">
        <v>4660</v>
      </c>
      <c r="G983">
        <v>186.4</v>
      </c>
      <c r="H983">
        <v>202.6</v>
      </c>
      <c r="I983">
        <v>202.62</v>
      </c>
      <c r="J983">
        <v>-0.02</v>
      </c>
    </row>
    <row r="984" spans="1:10" x14ac:dyDescent="0.3">
      <c r="A984" t="str">
        <f>HYPERLINK("https://us2.cloudbeds.com/connect/10074733072513#/reservations/31672982622400?display=MH5Q3TZ9Z&amp;reservation_id=31672982622400", "MH5Q3TZ9Z")</f>
        <v>MH5Q3TZ9Z</v>
      </c>
      <c r="B984" t="s">
        <v>10</v>
      </c>
      <c r="C984" t="s">
        <v>20</v>
      </c>
      <c r="D984" t="str">
        <f>HYPERLINK("https://us2.cloudbeds.com/connect/10074733072513#/reservations/31672982622400?display=Kim%20Sung%20Yun&amp;reservation_id=31672982622400&amp;guest_id=31672982618306", "Kim Sung Yun")</f>
        <v>Kim Sung Yun</v>
      </c>
      <c r="E984" t="s">
        <v>4659</v>
      </c>
      <c r="F984" t="s">
        <v>4660</v>
      </c>
      <c r="G984">
        <v>186.4</v>
      </c>
      <c r="H984">
        <v>202.6</v>
      </c>
      <c r="I984">
        <v>202.62</v>
      </c>
      <c r="J984">
        <v>-0.02</v>
      </c>
    </row>
    <row r="985" spans="1:10" x14ac:dyDescent="0.3">
      <c r="A985" t="str">
        <f>HYPERLINK("https://us2.cloudbeds.com/connect/10074733072513#/reservations/31672853729485?display=MH5MR7710&amp;reservation_id=31672853729485", "MH5MR7710")</f>
        <v>MH5MR7710</v>
      </c>
      <c r="B985" t="s">
        <v>10</v>
      </c>
      <c r="C985" t="s">
        <v>11</v>
      </c>
      <c r="D985" t="str">
        <f>HYPERLINK("https://us2.cloudbeds.com/connect/10074733072513#/reservations/31672853729485?display=Janice%20Dodge&amp;reservation_id=31672853729485&amp;guest_id=31672853729472", "Janice Dodge")</f>
        <v>Janice Dodge</v>
      </c>
      <c r="E985" t="s">
        <v>4725</v>
      </c>
      <c r="F985" t="s">
        <v>4726</v>
      </c>
      <c r="G985">
        <v>206.4</v>
      </c>
      <c r="H985">
        <v>224.34</v>
      </c>
      <c r="I985">
        <v>224.36</v>
      </c>
      <c r="J985">
        <v>-0.02</v>
      </c>
    </row>
    <row r="986" spans="1:10" x14ac:dyDescent="0.3">
      <c r="A986" t="str">
        <f>HYPERLINK("https://us2.cloudbeds.com/connect/10074733072513#/reservations/31672694325397?display=MH5XZQXF3&amp;reservation_id=31672694325397", "MH5XZQXF3")</f>
        <v>MH5XZQXF3</v>
      </c>
      <c r="B986" t="s">
        <v>10</v>
      </c>
      <c r="C986" t="s">
        <v>11</v>
      </c>
      <c r="D986" t="str">
        <f>HYPERLINK("https://us2.cloudbeds.com/connect/10074733072513#/reservations/31672694325397?display=Jodi%20Blasius&amp;reservation_id=31672694325397&amp;guest_id=30677944889472", "Jodi Blasius")</f>
        <v>Jodi Blasius</v>
      </c>
      <c r="E986" t="s">
        <v>4784</v>
      </c>
      <c r="F986" t="s">
        <v>4627</v>
      </c>
      <c r="G986">
        <v>206.4</v>
      </c>
      <c r="H986">
        <v>224.34</v>
      </c>
      <c r="I986">
        <v>224.36</v>
      </c>
      <c r="J986">
        <v>-0.02</v>
      </c>
    </row>
    <row r="987" spans="1:10" x14ac:dyDescent="0.3">
      <c r="A987" t="str">
        <f>HYPERLINK("https://us2.cloudbeds.com/connect/10074733072513#/reservations/31677268173030?display=MH93KJK6H&amp;reservation_id=31677268173030", "MH93KJK6H")</f>
        <v>MH93KJK6H</v>
      </c>
      <c r="B987" t="s">
        <v>10</v>
      </c>
      <c r="C987" t="s">
        <v>20</v>
      </c>
      <c r="D987" t="str">
        <f>HYPERLINK("https://us2.cloudbeds.com/connect/10074733072513#/reservations/31677268173030?display=Tiana%20Embrey&amp;reservation_id=31677268173030&amp;guest_id=31677259280585", "Tiana Embrey")</f>
        <v>Tiana Embrey</v>
      </c>
      <c r="E987" t="s">
        <v>4802</v>
      </c>
      <c r="F987" t="s">
        <v>4803</v>
      </c>
      <c r="G987">
        <v>240.64</v>
      </c>
      <c r="H987">
        <v>261.56</v>
      </c>
      <c r="I987">
        <v>261.58</v>
      </c>
      <c r="J987">
        <v>-0.02</v>
      </c>
    </row>
    <row r="988" spans="1:10" x14ac:dyDescent="0.3">
      <c r="A988" t="str">
        <f>HYPERLINK("https://us2.cloudbeds.com/connect/10074733072513#/reservations/31676928717018?display=MH8RVBZMN&amp;reservation_id=31676928717018", "MH8RVBZMN")</f>
        <v>MH8RVBZMN</v>
      </c>
      <c r="B988" t="s">
        <v>10</v>
      </c>
      <c r="C988" t="s">
        <v>20</v>
      </c>
      <c r="D988" t="str">
        <f>HYPERLINK("https://us2.cloudbeds.com/connect/10074733072513#/reservations/31676928717018?display=Gary%20Kurtz&amp;reservation_id=31676928717018&amp;guest_id=31676928712921", "Gary Kurtz")</f>
        <v>Gary Kurtz</v>
      </c>
      <c r="E988" t="s">
        <v>4845</v>
      </c>
      <c r="F988" t="s">
        <v>4846</v>
      </c>
      <c r="G988">
        <v>388.45</v>
      </c>
      <c r="H988">
        <v>422.23</v>
      </c>
      <c r="I988">
        <v>422.25</v>
      </c>
      <c r="J988">
        <v>-0.02</v>
      </c>
    </row>
    <row r="989" spans="1:10" x14ac:dyDescent="0.3">
      <c r="A989" t="str">
        <f>HYPERLINK("https://us2.cloudbeds.com/connect/10074733072513#/reservations/31675599986890?display=MH7QWUSRC&amp;reservation_id=31675599986890", "MH7QWUSRC")</f>
        <v>MH7QWUSRC</v>
      </c>
      <c r="B989" t="s">
        <v>10</v>
      </c>
      <c r="C989" t="s">
        <v>20</v>
      </c>
      <c r="D989" t="str">
        <f>HYPERLINK("https://us2.cloudbeds.com/connect/10074733072513#/reservations/31675599986890?display=Amber%20Belter&amp;reservation_id=31675599986890&amp;guest_id=31675599982794", "Amber Belter")</f>
        <v>Amber Belter</v>
      </c>
      <c r="E989" t="s">
        <v>4856</v>
      </c>
      <c r="F989" t="s">
        <v>4777</v>
      </c>
      <c r="G989">
        <v>236.3</v>
      </c>
      <c r="H989">
        <v>256.83999999999997</v>
      </c>
      <c r="I989">
        <v>256.86</v>
      </c>
      <c r="J989">
        <v>-0.02</v>
      </c>
    </row>
    <row r="990" spans="1:10" x14ac:dyDescent="0.3">
      <c r="A990" t="str">
        <f>HYPERLINK("https://us2.cloudbeds.com/connect/10074733072513#/reservations/31673758748814?display=MH6CVBNE5&amp;reservation_id=31673758748814", "MH6CVBNE5")</f>
        <v>MH6CVBNE5</v>
      </c>
      <c r="B990" t="s">
        <v>10</v>
      </c>
      <c r="C990" t="s">
        <v>20</v>
      </c>
      <c r="D990" t="str">
        <f>HYPERLINK("https://us2.cloudbeds.com/connect/10074733072513#/reservations/31673758748814?display=Donna%20Belter&amp;reservation_id=31673758748814&amp;guest_id=31673758744732", "Donna Belter")</f>
        <v>Donna Belter</v>
      </c>
      <c r="E990" t="s">
        <v>4856</v>
      </c>
      <c r="F990" t="s">
        <v>4777</v>
      </c>
      <c r="G990">
        <v>236.3</v>
      </c>
      <c r="H990">
        <v>256.83999999999997</v>
      </c>
      <c r="I990">
        <v>256.86</v>
      </c>
      <c r="J990">
        <v>-0.02</v>
      </c>
    </row>
    <row r="991" spans="1:10" x14ac:dyDescent="0.3">
      <c r="A991" t="str">
        <f>HYPERLINK("https://us2.cloudbeds.com/connect/10074733072513#/reservations/31673606594720?display=MH6921QB1&amp;reservation_id=31673606594720", "MH6921QB1")</f>
        <v>MH6921QB1</v>
      </c>
      <c r="B991" t="s">
        <v>10</v>
      </c>
      <c r="C991" t="s">
        <v>42</v>
      </c>
      <c r="D991" t="str">
        <f>HYPERLINK("https://us2.cloudbeds.com/connect/10074733072513#/reservations/31673606594720?display=Tori%20Storm&amp;reservation_id=31673606594720&amp;guest_id=31673586647187", "Tori Storm")</f>
        <v>Tori Storm</v>
      </c>
      <c r="E991" t="s">
        <v>4945</v>
      </c>
      <c r="F991" t="s">
        <v>4943</v>
      </c>
      <c r="G991">
        <v>625.5</v>
      </c>
      <c r="H991">
        <v>679.9</v>
      </c>
      <c r="I991">
        <v>679.92</v>
      </c>
      <c r="J991">
        <v>-0.02</v>
      </c>
    </row>
    <row r="992" spans="1:10" x14ac:dyDescent="0.3">
      <c r="A992" t="str">
        <f>HYPERLINK("https://us2.cloudbeds.com/connect/10074733072513#/reservations/31673646649581?display=MH6A2RCYN&amp;reservation_id=31673646649581", "MH6A2RCYN")</f>
        <v>MH6A2RCYN</v>
      </c>
      <c r="B992" t="s">
        <v>10</v>
      </c>
      <c r="C992" t="s">
        <v>11</v>
      </c>
      <c r="D992" t="str">
        <f>HYPERLINK("https://us2.cloudbeds.com/connect/10074733072513#/reservations/31673646649581?display=Jennifer%20Thissell&amp;reservation_id=31673646649581&amp;guest_id=31673635250325", "Jennifer Thissell")</f>
        <v>Jennifer Thissell</v>
      </c>
      <c r="E992" t="s">
        <v>4971</v>
      </c>
      <c r="F992" t="s">
        <v>4821</v>
      </c>
      <c r="G992">
        <v>146.38</v>
      </c>
      <c r="H992">
        <v>159.1</v>
      </c>
      <c r="I992">
        <v>159.12</v>
      </c>
      <c r="J992">
        <v>-0.02</v>
      </c>
    </row>
    <row r="993" spans="1:10" x14ac:dyDescent="0.3">
      <c r="A993" t="str">
        <f>HYPERLINK("https://us2.cloudbeds.com/connect/10074733072513#/reservations/31673968509073?display=MH6XA7JZY&amp;reservation_id=31673968509073", "MH6XA7JZY")</f>
        <v>MH6XA7JZY</v>
      </c>
      <c r="B993" t="s">
        <v>10</v>
      </c>
      <c r="C993" t="s">
        <v>20</v>
      </c>
      <c r="D993" t="str">
        <f>HYPERLINK("https://us2.cloudbeds.com/connect/10074733072513#/reservations/31673968509073?display=James%20Giedd&amp;reservation_id=31673968509073&amp;guest_id=31673968509067", "James Giedd")</f>
        <v>James Giedd</v>
      </c>
      <c r="E993" t="s">
        <v>5000</v>
      </c>
      <c r="F993" t="s">
        <v>4997</v>
      </c>
      <c r="G993">
        <v>186.4</v>
      </c>
      <c r="H993">
        <v>202.6</v>
      </c>
      <c r="I993">
        <v>202.62</v>
      </c>
      <c r="J993">
        <v>-0.02</v>
      </c>
    </row>
    <row r="994" spans="1:10" x14ac:dyDescent="0.3">
      <c r="A994" t="str">
        <f>HYPERLINK("https://us2.cloudbeds.com/connect/10074733072513#/reservations/31677705363677?display=MH9EQ82RV&amp;reservation_id=31677705363677", "MH9EQ82RV")</f>
        <v>MH9EQ82RV</v>
      </c>
      <c r="B994" t="s">
        <v>10</v>
      </c>
      <c r="C994" t="s">
        <v>20</v>
      </c>
      <c r="D994" t="str">
        <f>HYPERLINK("https://us2.cloudbeds.com/connect/10074733072513#/reservations/31677705363677?display=Rene%20Wood&amp;reservation_id=31677705363677&amp;guest_id=31677705359593", "Rene Wood")</f>
        <v>Rene Wood</v>
      </c>
      <c r="E994" t="s">
        <v>5021</v>
      </c>
      <c r="F994" t="s">
        <v>2815</v>
      </c>
      <c r="G994">
        <v>287.3</v>
      </c>
      <c r="H994">
        <v>312.27999999999997</v>
      </c>
      <c r="I994">
        <v>312.3</v>
      </c>
      <c r="J994">
        <v>-0.02</v>
      </c>
    </row>
    <row r="995" spans="1:10" x14ac:dyDescent="0.3">
      <c r="A995" t="str">
        <f>HYPERLINK("https://us2.cloudbeds.com/connect/10074733072513#/reservations/31674303434943?display=MH6QSYDBE&amp;reservation_id=31674303434943", "MH6QSYDBE")</f>
        <v>MH6QSYDBE</v>
      </c>
      <c r="B995" t="s">
        <v>10</v>
      </c>
      <c r="C995" t="s">
        <v>42</v>
      </c>
      <c r="D995" t="str">
        <f>HYPERLINK("https://us2.cloudbeds.com/connect/10074733072513#/reservations/31674303434943?display=Juli%20Perrigo&amp;reservation_id=31674303434943&amp;guest_id=31673663996081", "Juli Perrigo")</f>
        <v>Juli Perrigo</v>
      </c>
      <c r="E995" t="s">
        <v>5027</v>
      </c>
      <c r="F995" t="s">
        <v>4883</v>
      </c>
      <c r="G995">
        <v>392.4</v>
      </c>
      <c r="H995">
        <v>426.52</v>
      </c>
      <c r="I995">
        <v>426.54</v>
      </c>
      <c r="J995">
        <v>-0.02</v>
      </c>
    </row>
    <row r="996" spans="1:10" x14ac:dyDescent="0.3">
      <c r="A996" t="str">
        <f>HYPERLINK("https://us2.cloudbeds.com/connect/10074733072513#/reservations/31676300234954?display=MH8BTDA5M&amp;reservation_id=31676300234954", "MH8BTDA5M")</f>
        <v>MH8BTDA5M</v>
      </c>
      <c r="B996" t="s">
        <v>10</v>
      </c>
      <c r="C996" t="s">
        <v>20</v>
      </c>
      <c r="D996" t="str">
        <f>HYPERLINK("https://us2.cloudbeds.com/connect/10074733072513#/reservations/31676300234954?display=Trudy%20Smith&amp;reservation_id=31676300234954&amp;guest_id=31676300230900", "Trudy Smith")</f>
        <v>Trudy Smith</v>
      </c>
      <c r="E996" t="s">
        <v>5080</v>
      </c>
      <c r="F996" t="s">
        <v>4777</v>
      </c>
      <c r="G996">
        <v>236.3</v>
      </c>
      <c r="H996">
        <v>256.83999999999997</v>
      </c>
      <c r="I996">
        <v>256.86</v>
      </c>
      <c r="J996">
        <v>-0.02</v>
      </c>
    </row>
    <row r="997" spans="1:10" x14ac:dyDescent="0.3">
      <c r="A997" t="str">
        <f>HYPERLINK("https://us2.cloudbeds.com/connect/10074733072513#/reservations/31673646424247?display=MH6A2Y3ZD&amp;reservation_id=31673646424247", "MH6A2Y3ZD")</f>
        <v>MH6A2Y3ZD</v>
      </c>
      <c r="B997" t="s">
        <v>10</v>
      </c>
      <c r="C997" t="s">
        <v>20</v>
      </c>
      <c r="D997" t="str">
        <f>HYPERLINK("https://us2.cloudbeds.com/connect/10074733072513#/reservations/31673646424247?display=Trudy%20Smith%20Doug%20Nemisz&amp;reservation_id=31673646424247&amp;guest_id=31673646424194", "Trudy Smith Doug Nemisz")</f>
        <v>Trudy Smith Doug Nemisz</v>
      </c>
      <c r="E997" t="s">
        <v>5080</v>
      </c>
      <c r="F997" t="s">
        <v>4777</v>
      </c>
      <c r="G997">
        <v>236.3</v>
      </c>
      <c r="H997">
        <v>256.83999999999997</v>
      </c>
      <c r="I997">
        <v>256.86</v>
      </c>
      <c r="J997">
        <v>-0.02</v>
      </c>
    </row>
    <row r="998" spans="1:10" x14ac:dyDescent="0.3">
      <c r="A998" t="str">
        <f>HYPERLINK("https://us2.cloudbeds.com/connect/10074733072513#/reservations/31676309082282?display=MH8C3SGEH&amp;reservation_id=31676309082282", "MH8C3SGEH")</f>
        <v>MH8C3SGEH</v>
      </c>
      <c r="B998" t="s">
        <v>10</v>
      </c>
      <c r="C998" t="s">
        <v>20</v>
      </c>
      <c r="D998" t="str">
        <f>HYPERLINK("https://us2.cloudbeds.com/connect/10074733072513#/reservations/31676309082282?display=Trudy%20Smith%20Bill%20Lamee&amp;reservation_id=31676309082282&amp;guest_id=31676309082280", "Trudy Smith Bill Lamee")</f>
        <v>Trudy Smith Bill Lamee</v>
      </c>
      <c r="E998" t="s">
        <v>5080</v>
      </c>
      <c r="F998" t="s">
        <v>4777</v>
      </c>
      <c r="G998">
        <v>236.3</v>
      </c>
      <c r="H998">
        <v>256.83999999999997</v>
      </c>
      <c r="I998">
        <v>256.86</v>
      </c>
      <c r="J998">
        <v>-0.02</v>
      </c>
    </row>
    <row r="999" spans="1:10" x14ac:dyDescent="0.3">
      <c r="A999" t="str">
        <f>HYPERLINK("https://us2.cloudbeds.com/connect/10074733072513#/reservations/31673652953298?display=MH6A84Q6E&amp;reservation_id=31673652953298", "MH6A84Q6E")</f>
        <v>MH6A84Q6E</v>
      </c>
      <c r="B999" t="s">
        <v>10</v>
      </c>
      <c r="C999" t="s">
        <v>20</v>
      </c>
      <c r="D999" t="str">
        <f>HYPERLINK("https://us2.cloudbeds.com/connect/10074733072513#/reservations/31673652953298?display=Glen%20Lueck&amp;reservation_id=31673652953298&amp;guest_id=31673652953296", "Glen Lueck")</f>
        <v>Glen Lueck</v>
      </c>
      <c r="E999" t="s">
        <v>5080</v>
      </c>
      <c r="F999" t="s">
        <v>4777</v>
      </c>
      <c r="G999">
        <v>236.3</v>
      </c>
      <c r="H999">
        <v>256.83999999999997</v>
      </c>
      <c r="I999">
        <v>256.86</v>
      </c>
      <c r="J999">
        <v>-0.02</v>
      </c>
    </row>
    <row r="1000" spans="1:10" x14ac:dyDescent="0.3">
      <c r="A1000" t="str">
        <f>HYPERLINK("https://us2.cloudbeds.com/connect/10074733072513#/reservations/31674540458136?display=MH6WUGUGE&amp;reservation_id=31674540458136", "MH6WUGUGE")</f>
        <v>MH6WUGUGE</v>
      </c>
      <c r="B1000" t="s">
        <v>10</v>
      </c>
      <c r="C1000" t="s">
        <v>20</v>
      </c>
      <c r="D1000" t="str">
        <f>HYPERLINK("https://us2.cloudbeds.com/connect/10074733072513#/reservations/31674540458136?display=David%20Applegate&amp;reservation_id=31674540458136&amp;guest_id=31674535682239", "David Applegate")</f>
        <v>David Applegate</v>
      </c>
      <c r="E1000" t="s">
        <v>5129</v>
      </c>
      <c r="F1000" t="s">
        <v>4825</v>
      </c>
      <c r="G1000">
        <v>236.3</v>
      </c>
      <c r="H1000">
        <v>256.83999999999997</v>
      </c>
      <c r="I1000">
        <v>256.86</v>
      </c>
      <c r="J1000">
        <v>-0.02</v>
      </c>
    </row>
    <row r="1001" spans="1:10" x14ac:dyDescent="0.3">
      <c r="A1001" t="str">
        <f>HYPERLINK("https://us2.cloudbeds.com/connect/10074733072513#/reservations/31674168271006?display=MH6NDM8SX&amp;reservation_id=31674168271006", "MH6NDM8SX")</f>
        <v>MH6NDM8SX</v>
      </c>
      <c r="B1001" t="s">
        <v>10</v>
      </c>
      <c r="C1001" t="s">
        <v>14</v>
      </c>
      <c r="D1001" t="str">
        <f>HYPERLINK("https://us2.cloudbeds.com/connect/10074733072513#/reservations/31674168271006?display=Beth%20Haug&amp;reservation_id=31674168271006&amp;guest_id=31674168266922", "Beth Haug")</f>
        <v>Beth Haug</v>
      </c>
      <c r="E1001" t="s">
        <v>5191</v>
      </c>
      <c r="F1001" t="s">
        <v>5192</v>
      </c>
      <c r="G1001">
        <v>206.4</v>
      </c>
      <c r="H1001">
        <v>224.34</v>
      </c>
      <c r="I1001">
        <v>224.36</v>
      </c>
      <c r="J1001">
        <v>-0.02</v>
      </c>
    </row>
    <row r="1002" spans="1:10" x14ac:dyDescent="0.3">
      <c r="A1002" t="str">
        <f>HYPERLINK("https://us2.cloudbeds.com/connect/10074733072513#/reservations/31674715926663?display=MH74DFJKH&amp;reservation_id=31674715926663", "MH74DFJKH")</f>
        <v>MH74DFJKH</v>
      </c>
      <c r="B1002" t="s">
        <v>10</v>
      </c>
      <c r="C1002" t="s">
        <v>11</v>
      </c>
      <c r="D1002" t="str">
        <f>HYPERLINK("https://us2.cloudbeds.com/connect/10074733072513#/reservations/31674715926663?display=Gary%20Phillips&amp;reservation_id=31674715926663&amp;guest_id=31674715922569", "Gary Phillips")</f>
        <v>Gary Phillips</v>
      </c>
      <c r="E1002" t="s">
        <v>5249</v>
      </c>
      <c r="F1002" t="s">
        <v>5250</v>
      </c>
      <c r="G1002">
        <v>750.6</v>
      </c>
      <c r="H1002">
        <v>815.88</v>
      </c>
      <c r="I1002">
        <v>815.9</v>
      </c>
      <c r="J1002">
        <v>-0.02</v>
      </c>
    </row>
    <row r="1003" spans="1:10" x14ac:dyDescent="0.3">
      <c r="A1003" t="str">
        <f>HYPERLINK("https://us2.cloudbeds.com/connect/10074733072513#/reservations/31674156466408?display=MH6N3NQ0E&amp;reservation_id=31674156466408", "MH6N3NQ0E")</f>
        <v>MH6N3NQ0E</v>
      </c>
      <c r="B1003" t="s">
        <v>10</v>
      </c>
      <c r="C1003" t="s">
        <v>42</v>
      </c>
      <c r="D1003" t="str">
        <f>HYPERLINK("https://us2.cloudbeds.com/connect/10074733072513#/reservations/31674156466408?display=Cheyenne%20Wiedrich&amp;reservation_id=31674156466408&amp;guest_id=31674144035033", "Cheyenne Wiedrich")</f>
        <v>Cheyenne Wiedrich</v>
      </c>
      <c r="E1003" t="s">
        <v>5257</v>
      </c>
      <c r="F1003" t="s">
        <v>4141</v>
      </c>
      <c r="G1003">
        <v>192.4</v>
      </c>
      <c r="H1003">
        <v>209.12</v>
      </c>
      <c r="I1003">
        <v>209.14</v>
      </c>
      <c r="J1003">
        <v>-0.02</v>
      </c>
    </row>
    <row r="1004" spans="1:10" x14ac:dyDescent="0.3">
      <c r="A1004" t="str">
        <f>HYPERLINK("https://us2.cloudbeds.com/connect/10074733072513#/reservations/31673191051473?display=MH5VEYMUE&amp;reservation_id=31673191051473", "MH5VEYMUE")</f>
        <v>MH5VEYMUE</v>
      </c>
      <c r="B1004" t="s">
        <v>10</v>
      </c>
      <c r="C1004" t="s">
        <v>14</v>
      </c>
      <c r="D1004" t="str">
        <f>HYPERLINK("https://us2.cloudbeds.com/connect/10074733072513#/reservations/31673191051473?display=Maria%20Hurley&amp;reservation_id=31673191051473&amp;guest_id=31673183129850", "Maria Hurley")</f>
        <v>Maria Hurley</v>
      </c>
      <c r="E1004" t="s">
        <v>5296</v>
      </c>
      <c r="F1004" t="s">
        <v>5297</v>
      </c>
      <c r="G1004">
        <v>188.32</v>
      </c>
      <c r="H1004">
        <v>204.68</v>
      </c>
      <c r="I1004">
        <v>204.7</v>
      </c>
      <c r="J1004">
        <v>-0.02</v>
      </c>
    </row>
    <row r="1005" spans="1:10" x14ac:dyDescent="0.3">
      <c r="A1005" t="str">
        <f>HYPERLINK("https://us2.cloudbeds.com/connect/10074733072513#/reservations/31676416811139?display=MH8ESN70B&amp;reservation_id=31676416811139", "MH8ESN70B")</f>
        <v>MH8ESN70B</v>
      </c>
      <c r="B1005" t="s">
        <v>10</v>
      </c>
      <c r="C1005" t="s">
        <v>17</v>
      </c>
      <c r="D1005" t="str">
        <f>HYPERLINK("https://us2.cloudbeds.com/connect/10074733072513#/reservations/31676416811139?display=Wade%20Talkington&amp;reservation_id=31676416811139&amp;guest_id=31676411056364", "Wade Talkington")</f>
        <v>Wade Talkington</v>
      </c>
      <c r="E1005" t="s">
        <v>5243</v>
      </c>
      <c r="F1005" t="s">
        <v>4829</v>
      </c>
      <c r="G1005">
        <v>490.5</v>
      </c>
      <c r="H1005">
        <v>533.15</v>
      </c>
      <c r="I1005">
        <v>533.16999999999996</v>
      </c>
      <c r="J1005">
        <v>-0.02</v>
      </c>
    </row>
    <row r="1006" spans="1:10" x14ac:dyDescent="0.3">
      <c r="A1006" t="str">
        <f>HYPERLINK("https://us2.cloudbeds.com/connect/10074733072513#/reservations/31673924112577?display=MH6H5Q6K9&amp;reservation_id=31673924112577", "MH6H5Q6K9")</f>
        <v>MH6H5Q6K9</v>
      </c>
      <c r="B1006" t="s">
        <v>10</v>
      </c>
      <c r="C1006" t="s">
        <v>20</v>
      </c>
      <c r="D1006" t="str">
        <f>HYPERLINK("https://us2.cloudbeds.com/connect/10074733072513#/reservations/31673924112577?display=Trenton%20Teske&amp;reservation_id=31673924112577&amp;guest_id=31673915691179", "Trenton Teske")</f>
        <v>Trenton Teske</v>
      </c>
      <c r="E1006" t="s">
        <v>5383</v>
      </c>
      <c r="F1006" t="s">
        <v>5161</v>
      </c>
      <c r="G1006">
        <v>337.45</v>
      </c>
      <c r="H1006">
        <v>366.79</v>
      </c>
      <c r="I1006">
        <v>366.81</v>
      </c>
      <c r="J1006">
        <v>-0.02</v>
      </c>
    </row>
    <row r="1007" spans="1:10" x14ac:dyDescent="0.3">
      <c r="A1007" t="str">
        <f>HYPERLINK("https://us2.cloudbeds.com/connect/10074733072513#/reservations/31674106642560?display=MH6YHSDSB&amp;reservation_id=31674106642560", "MH6YHSDSB")</f>
        <v>MH6YHSDSB</v>
      </c>
      <c r="B1007" t="s">
        <v>10</v>
      </c>
      <c r="C1007" t="s">
        <v>11</v>
      </c>
      <c r="D1007" t="str">
        <f>HYPERLINK("https://us2.cloudbeds.com/connect/10074733072513#/reservations/31674106642560?display=Jolene%20Herman&amp;reservation_id=31674106642560&amp;guest_id=31674094964960", "Jolene Herman")</f>
        <v>Jolene Herman</v>
      </c>
      <c r="E1007" t="s">
        <v>5395</v>
      </c>
      <c r="F1007" t="s">
        <v>5172</v>
      </c>
      <c r="G1007">
        <v>176.33</v>
      </c>
      <c r="H1007">
        <v>191.65</v>
      </c>
      <c r="I1007">
        <v>191.67</v>
      </c>
      <c r="J1007">
        <v>-0.02</v>
      </c>
    </row>
    <row r="1008" spans="1:10" x14ac:dyDescent="0.3">
      <c r="A1008" t="str">
        <f>HYPERLINK("https://us2.cloudbeds.com/connect/10074733072513#/reservations/31675152806051?display=MH7FXSDES&amp;reservation_id=31675152806051", "MH7FXSDES")</f>
        <v>MH7FXSDES</v>
      </c>
      <c r="B1008" t="s">
        <v>10</v>
      </c>
      <c r="C1008" t="s">
        <v>42</v>
      </c>
      <c r="D1008" t="str">
        <f>HYPERLINK("https://us2.cloudbeds.com/connect/10074733072513#/reservations/31675152806051?display=Jeremy%20Wiese&amp;reservation_id=31675152806051&amp;guest_id=31675152801956", "Jeremy Wiese")</f>
        <v>Jeremy Wiese</v>
      </c>
      <c r="E1008" t="s">
        <v>5478</v>
      </c>
      <c r="F1008" t="s">
        <v>5331</v>
      </c>
      <c r="G1008">
        <v>392.4</v>
      </c>
      <c r="H1008">
        <v>426.52</v>
      </c>
      <c r="I1008">
        <v>426.54</v>
      </c>
      <c r="J1008">
        <v>-0.02</v>
      </c>
    </row>
    <row r="1009" spans="1:10" x14ac:dyDescent="0.3">
      <c r="A1009" t="str">
        <f>HYPERLINK("https://us2.cloudbeds.com/connect/10074733072513#/reservations/31678169731308?display=MH9QYQQDB&amp;reservation_id=31678169731308", "MH9QYQQDB")</f>
        <v>MH9QYQQDB</v>
      </c>
      <c r="B1009" t="s">
        <v>10</v>
      </c>
      <c r="C1009" t="s">
        <v>11</v>
      </c>
      <c r="D1009" t="str">
        <f>HYPERLINK("https://us2.cloudbeds.com/connect/10074733072513#/reservations/31678169731308?display=Rick%20Sandifer&amp;reservation_id=31678169731308&amp;guest_id=31678161035412", "Rick Sandifer")</f>
        <v>Rick Sandifer</v>
      </c>
      <c r="E1009" t="s">
        <v>1933</v>
      </c>
      <c r="F1009" t="s">
        <v>4577</v>
      </c>
      <c r="G1009">
        <v>188.32</v>
      </c>
      <c r="H1009">
        <v>204.68</v>
      </c>
      <c r="I1009">
        <v>204.7</v>
      </c>
      <c r="J1009">
        <v>-0.02</v>
      </c>
    </row>
    <row r="1010" spans="1:10" x14ac:dyDescent="0.3">
      <c r="A1010" t="str">
        <f>HYPERLINK("https://us2.cloudbeds.com/connect/10074733072513#/reservations/31676299374746?display=MH8BSMC8P&amp;reservation_id=31676299374746", "MH8BSMC8P")</f>
        <v>MH8BSMC8P</v>
      </c>
      <c r="B1010" t="s">
        <v>10</v>
      </c>
      <c r="C1010" t="s">
        <v>42</v>
      </c>
      <c r="D1010" t="str">
        <f>HYPERLINK("https://us2.cloudbeds.com/connect/10074733072513#/reservations/31676299374746?display=Nancy%20Jeseritz&amp;reservation_id=31676299374746&amp;guest_id=31676286976254", "Nancy Jeseritz")</f>
        <v>Nancy Jeseritz</v>
      </c>
      <c r="E1010" t="s">
        <v>5511</v>
      </c>
      <c r="F1010" t="s">
        <v>5157</v>
      </c>
      <c r="G1010">
        <v>236.3</v>
      </c>
      <c r="H1010">
        <v>256.83999999999997</v>
      </c>
      <c r="I1010">
        <v>256.86</v>
      </c>
      <c r="J1010">
        <v>-0.02</v>
      </c>
    </row>
    <row r="1011" spans="1:10" x14ac:dyDescent="0.3">
      <c r="A1011" t="str">
        <f>HYPERLINK("https://us2.cloudbeds.com/connect/10074733072513#/reservations/31676716925143?display=MH8MHPAQ3&amp;reservation_id=31676716925143", "MH8MHPAQ3")</f>
        <v>MH8MHPAQ3</v>
      </c>
      <c r="B1011" t="s">
        <v>10</v>
      </c>
      <c r="C1011" t="s">
        <v>42</v>
      </c>
      <c r="D1011" t="str">
        <f>HYPERLINK("https://us2.cloudbeds.com/connect/10074733072513#/reservations/31676716925143?display=Sandy%20Jons&amp;reservation_id=31676716925143&amp;guest_id=31676716925130", "Sandy Jons")</f>
        <v>Sandy Jons</v>
      </c>
      <c r="E1011" t="s">
        <v>5308</v>
      </c>
      <c r="F1011" t="s">
        <v>4577</v>
      </c>
      <c r="G1011">
        <v>340.2</v>
      </c>
      <c r="H1011">
        <v>369.78</v>
      </c>
      <c r="I1011">
        <v>369.8</v>
      </c>
      <c r="J1011">
        <v>-0.02</v>
      </c>
    </row>
    <row r="1012" spans="1:10" x14ac:dyDescent="0.3">
      <c r="A1012" t="str">
        <f>HYPERLINK("https://us2.cloudbeds.com/connect/10074733072513#/reservations/31676773761168?display=MH8NWMSQT&amp;reservation_id=31676773761168", "MH8NWMSQT")</f>
        <v>MH8NWMSQT</v>
      </c>
      <c r="B1012" t="s">
        <v>10</v>
      </c>
      <c r="C1012" t="s">
        <v>17</v>
      </c>
      <c r="D1012" t="str">
        <f>HYPERLINK("https://us2.cloudbeds.com/connect/10074733072513#/reservations/31676773761168?display=Veronica%20Little&amp;reservation_id=31676773761168&amp;guest_id=31676773757113", "Veronica Little")</f>
        <v>Veronica Little</v>
      </c>
      <c r="E1012" t="s">
        <v>5634</v>
      </c>
      <c r="F1012" t="s">
        <v>3650</v>
      </c>
      <c r="G1012">
        <v>340.2</v>
      </c>
      <c r="H1012">
        <v>369.78</v>
      </c>
      <c r="I1012">
        <v>369.8</v>
      </c>
      <c r="J1012">
        <v>-0.02</v>
      </c>
    </row>
    <row r="1013" spans="1:10" x14ac:dyDescent="0.3">
      <c r="A1013" t="str">
        <f>HYPERLINK("https://us2.cloudbeds.com/connect/10074733072513#/reservations/31676089778377?display=MH86GV1EY&amp;reservation_id=31676089778377", "MH86GV1EY")</f>
        <v>MH86GV1EY</v>
      </c>
      <c r="B1013" t="s">
        <v>10</v>
      </c>
      <c r="C1013" t="s">
        <v>11</v>
      </c>
      <c r="D1013" t="str">
        <f>HYPERLINK("https://us2.cloudbeds.com/connect/10074733072513#/reservations/31676089778377?display=Melissa%20Brandner&amp;reservation_id=31676089778377&amp;guest_id=31676089774322", "Melissa Brandner")</f>
        <v>Melissa Brandner</v>
      </c>
      <c r="E1013" t="s">
        <v>5506</v>
      </c>
      <c r="F1013" t="s">
        <v>5234</v>
      </c>
      <c r="G1013">
        <v>188.32</v>
      </c>
      <c r="H1013">
        <v>204.68</v>
      </c>
      <c r="I1013">
        <v>204.7</v>
      </c>
      <c r="J1013">
        <v>-0.02</v>
      </c>
    </row>
    <row r="1014" spans="1:10" x14ac:dyDescent="0.3">
      <c r="A1014" t="str">
        <f>HYPERLINK("https://us2.cloudbeds.com/connect/10074733072513#/reservations/31677010886868?display=MH8U1Y835&amp;reservation_id=31677010886868", "MH8U1Y835")</f>
        <v>MH8U1Y835</v>
      </c>
      <c r="B1014" t="s">
        <v>10</v>
      </c>
      <c r="C1014" t="s">
        <v>14</v>
      </c>
      <c r="D1014" t="str">
        <f>HYPERLINK("https://us2.cloudbeds.com/connect/10074733072513#/reservations/31677010886868?display=Kelli%20Bruns&amp;reservation_id=31677010886868&amp;guest_id=31677010882784", "Kelli Bruns")</f>
        <v>Kelli Bruns</v>
      </c>
      <c r="E1014" t="s">
        <v>5658</v>
      </c>
      <c r="F1014" t="s">
        <v>5590</v>
      </c>
      <c r="G1014">
        <v>292.26</v>
      </c>
      <c r="H1014">
        <v>317.67</v>
      </c>
      <c r="I1014">
        <v>317.69</v>
      </c>
      <c r="J1014">
        <v>-0.02</v>
      </c>
    </row>
    <row r="1015" spans="1:10" x14ac:dyDescent="0.3">
      <c r="A1015" t="str">
        <f>HYPERLINK("https://us2.cloudbeds.com/connect/10074733072513#/reservations/31676043333865?display=MH85APYM6&amp;reservation_id=31676043333865", "MH85APYM6")</f>
        <v>MH85APYM6</v>
      </c>
      <c r="B1015" t="s">
        <v>10</v>
      </c>
      <c r="C1015" t="s">
        <v>11</v>
      </c>
      <c r="D1015" t="str">
        <f>HYPERLINK("https://us2.cloudbeds.com/connect/10074733072513#/reservations/31676043333865?display=Edward%20Chmiel&amp;reservation_id=31676043333865&amp;guest_id=31676043333860", "Edward Chmiel")</f>
        <v>Edward Chmiel</v>
      </c>
      <c r="E1015" t="s">
        <v>5665</v>
      </c>
      <c r="F1015" t="s">
        <v>5234</v>
      </c>
      <c r="G1015">
        <v>188.32</v>
      </c>
      <c r="H1015">
        <v>204.68</v>
      </c>
      <c r="I1015">
        <v>204.7</v>
      </c>
      <c r="J1015">
        <v>-0.02</v>
      </c>
    </row>
    <row r="1016" spans="1:10" x14ac:dyDescent="0.3">
      <c r="A1016" t="str">
        <f>HYPERLINK("https://us2.cloudbeds.com/connect/10074733072513#/reservations/31676107346050?display=MH86VZTCC&amp;reservation_id=31676107346050", "MH86VZTCC")</f>
        <v>MH86VZTCC</v>
      </c>
      <c r="B1016" t="s">
        <v>10</v>
      </c>
      <c r="C1016" t="s">
        <v>14</v>
      </c>
      <c r="D1016" t="str">
        <f>HYPERLINK("https://us2.cloudbeds.com/connect/10074733072513#/reservations/31676107346050?display=Eric%20Eichelkraut&amp;reservation_id=31676107346050&amp;guest_id=31676107341956", "Eric Eichelkraut")</f>
        <v>Eric Eichelkraut</v>
      </c>
      <c r="E1016" t="s">
        <v>5669</v>
      </c>
      <c r="F1016" t="s">
        <v>5469</v>
      </c>
      <c r="G1016">
        <v>327.31</v>
      </c>
      <c r="H1016">
        <v>355.77</v>
      </c>
      <c r="I1016">
        <v>355.79</v>
      </c>
      <c r="J1016">
        <v>-0.02</v>
      </c>
    </row>
    <row r="1017" spans="1:10" x14ac:dyDescent="0.3">
      <c r="A1017" t="str">
        <f>HYPERLINK("https://us2.cloudbeds.com/connect/10074733072513#/reservations/31682718998734?display=MHDATSSQ0&amp;reservation_id=31682718998734", "MHDATSSQ0")</f>
        <v>MHDATSSQ0</v>
      </c>
      <c r="B1017" t="s">
        <v>10</v>
      </c>
      <c r="C1017" t="s">
        <v>42</v>
      </c>
      <c r="D1017" t="str">
        <f>HYPERLINK("https://us2.cloudbeds.com/connect/10074733072513#/reservations/31682718998734?display=Jean%20Wik&amp;reservation_id=31682718998734&amp;guest_id=31682718998724", "Jean Wik")</f>
        <v>Jean Wik</v>
      </c>
      <c r="E1017" t="s">
        <v>5673</v>
      </c>
      <c r="F1017" t="s">
        <v>4645</v>
      </c>
      <c r="G1017">
        <v>340.2</v>
      </c>
      <c r="H1017">
        <v>369.78</v>
      </c>
      <c r="I1017">
        <v>369.8</v>
      </c>
      <c r="J1017">
        <v>-0.02</v>
      </c>
    </row>
    <row r="1018" spans="1:10" x14ac:dyDescent="0.3">
      <c r="A1018" t="str">
        <f>HYPERLINK("https://us2.cloudbeds.com/connect/10074733072513#/reservations/31682690896040?display=MHDA65SR7&amp;reservation_id=31682690896040", "MHDA65SR7")</f>
        <v>MHDA65SR7</v>
      </c>
      <c r="B1018" t="s">
        <v>10</v>
      </c>
      <c r="C1018" t="s">
        <v>17</v>
      </c>
      <c r="D1018" t="str">
        <f>HYPERLINK("https://us2.cloudbeds.com/connect/10074733072513#/reservations/31682690896040?display=Deana%20Wik&amp;reservation_id=31682690896040&amp;guest_id=31682680987856", "Deana Wik")</f>
        <v>Deana Wik</v>
      </c>
      <c r="E1018" t="s">
        <v>5675</v>
      </c>
      <c r="F1018" t="s">
        <v>4645</v>
      </c>
      <c r="G1018">
        <v>340.2</v>
      </c>
      <c r="H1018">
        <v>369.78</v>
      </c>
      <c r="I1018">
        <v>369.8</v>
      </c>
      <c r="J1018">
        <v>-0.02</v>
      </c>
    </row>
    <row r="1019" spans="1:10" x14ac:dyDescent="0.3">
      <c r="A1019" t="str">
        <f>HYPERLINK("https://us2.cloudbeds.com/connect/10074733072513#/reservations/31677282119830?display=MH93WBN5R&amp;reservation_id=31677282119830", "MH93WBN5R")</f>
        <v>MH93WBN5R</v>
      </c>
      <c r="B1019" t="s">
        <v>10</v>
      </c>
      <c r="C1019" t="s">
        <v>23</v>
      </c>
      <c r="D1019" t="str">
        <f>HYPERLINK("https://us2.cloudbeds.com/connect/10074733072513#/reservations/31677282119830?display=Carol%20Clifford&amp;reservation_id=31677282119830&amp;guest_id=31677282115735", "Carol Clifford")</f>
        <v>Carol Clifford</v>
      </c>
      <c r="E1019" t="s">
        <v>5706</v>
      </c>
      <c r="F1019" t="s">
        <v>5265</v>
      </c>
      <c r="G1019">
        <v>340.2</v>
      </c>
      <c r="H1019">
        <v>369.78</v>
      </c>
      <c r="I1019">
        <v>369.8</v>
      </c>
      <c r="J1019">
        <v>-0.02</v>
      </c>
    </row>
    <row r="1020" spans="1:10" x14ac:dyDescent="0.3">
      <c r="A1020" t="str">
        <f>HYPERLINK("https://us2.cloudbeds.com/connect/10074733072513#/reservations/31676844519658?display=MH8PQBRFX&amp;reservation_id=31676844519658", "MH8PQBRFX")</f>
        <v>MH8PQBRFX</v>
      </c>
      <c r="B1020" t="s">
        <v>10</v>
      </c>
      <c r="C1020" t="s">
        <v>42</v>
      </c>
      <c r="D1020" t="str">
        <f>HYPERLINK("https://us2.cloudbeds.com/connect/10074733072513#/reservations/31676844519658?display=Armando%20Basurto&amp;reservation_id=31676844519658&amp;guest_id=31676844519646", "Armando Basurto")</f>
        <v>Armando Basurto</v>
      </c>
      <c r="E1020" t="s">
        <v>5724</v>
      </c>
      <c r="F1020" t="s">
        <v>5292</v>
      </c>
      <c r="G1020">
        <v>912.6</v>
      </c>
      <c r="H1020">
        <v>991.98</v>
      </c>
      <c r="I1020">
        <v>992</v>
      </c>
      <c r="J1020">
        <v>-0.02</v>
      </c>
    </row>
    <row r="1021" spans="1:10" x14ac:dyDescent="0.3">
      <c r="A1021" t="str">
        <f>HYPERLINK("https://us2.cloudbeds.com/connect/10074733072513#/reservations/31679825592459?display=MHB2W2J1W&amp;reservation_id=31679825592459", "MHB2W2J1W")</f>
        <v>MHB2W2J1W</v>
      </c>
      <c r="B1021" t="s">
        <v>10</v>
      </c>
      <c r="C1021" t="s">
        <v>42</v>
      </c>
      <c r="D1021" t="str">
        <f>HYPERLINK("https://us2.cloudbeds.com/connect/10074733072513#/reservations/31679825592459?display=Marty%20Zehr&amp;reservation_id=31679825592459&amp;guest_id=31679825592457", "Marty Zehr")</f>
        <v>Marty Zehr</v>
      </c>
      <c r="E1021" t="s">
        <v>5804</v>
      </c>
      <c r="F1021" t="s">
        <v>5805</v>
      </c>
      <c r="G1021">
        <v>979</v>
      </c>
      <c r="H1021">
        <v>1064.1500000000001</v>
      </c>
      <c r="I1021">
        <v>1064.17</v>
      </c>
      <c r="J1021">
        <v>-0.02</v>
      </c>
    </row>
    <row r="1022" spans="1:10" x14ac:dyDescent="0.3">
      <c r="A1022" t="str">
        <f>HYPERLINK("https://us2.cloudbeds.com/connect/10074733072513#/reservations/31677193679063?display=MH91NPNBJ&amp;reservation_id=31677193679063", "MH91NPNBJ")</f>
        <v>MH91NPNBJ</v>
      </c>
      <c r="B1022" t="s">
        <v>10</v>
      </c>
      <c r="C1022" t="s">
        <v>42</v>
      </c>
      <c r="D1022" t="str">
        <f>HYPERLINK("https://us2.cloudbeds.com/connect/10074733072513#/reservations/31677193679063?display=Kirby%20Gusso&amp;reservation_id=31677193679063&amp;guest_id=31677193679061", "Kirby Gusso")</f>
        <v>Kirby Gusso</v>
      </c>
      <c r="E1022" t="s">
        <v>5979</v>
      </c>
      <c r="F1022" t="s">
        <v>5286</v>
      </c>
      <c r="G1022">
        <v>287.3</v>
      </c>
      <c r="H1022">
        <v>312.27999999999997</v>
      </c>
      <c r="I1022">
        <v>312.3</v>
      </c>
      <c r="J1022">
        <v>-0.02</v>
      </c>
    </row>
    <row r="1023" spans="1:10" x14ac:dyDescent="0.3">
      <c r="A1023" t="str">
        <f>HYPERLINK("https://us2.cloudbeds.com/connect/10074733072513#/reservations/31676227825868?display=MH8A1BDQV&amp;reservation_id=31676227825868", "MH8A1BDQV")</f>
        <v>MH8A1BDQV</v>
      </c>
      <c r="B1023" t="s">
        <v>10</v>
      </c>
      <c r="C1023" t="s">
        <v>42</v>
      </c>
      <c r="D1023" t="str">
        <f>HYPERLINK("https://us2.cloudbeds.com/connect/10074733072513#/reservations/31676227825868?display=Janice%20Brandenburger&amp;reservation_id=31676227825868&amp;guest_id=31676227821768", "Janice Brandenburger")</f>
        <v>Janice Brandenburger</v>
      </c>
      <c r="E1023" t="s">
        <v>6086</v>
      </c>
      <c r="F1023" t="s">
        <v>4164</v>
      </c>
      <c r="G1023">
        <v>826.4</v>
      </c>
      <c r="H1023">
        <v>898.28</v>
      </c>
      <c r="I1023">
        <v>898.3</v>
      </c>
      <c r="J1023">
        <v>-0.02</v>
      </c>
    </row>
    <row r="1024" spans="1:10" x14ac:dyDescent="0.3">
      <c r="A1024" t="str">
        <f>HYPERLINK("https://us2.cloudbeds.com/connect/10074733072513#/reservations/31681749070029?display=MHCJ405R2&amp;reservation_id=31681749070029", "MHCJ405R2")</f>
        <v>MHCJ405R2</v>
      </c>
      <c r="B1024" t="s">
        <v>10</v>
      </c>
      <c r="C1024" t="s">
        <v>20</v>
      </c>
      <c r="D1024" t="str">
        <f>HYPERLINK("https://us2.cloudbeds.com/connect/10074733072513#/reservations/31681749070029?display=Ginger%20Kleespies&amp;reservation_id=31681749070029&amp;guest_id=31681740210363", "Ginger Kleespies")</f>
        <v>Ginger Kleespies</v>
      </c>
      <c r="E1024" t="s">
        <v>6107</v>
      </c>
      <c r="F1024" t="s">
        <v>5537</v>
      </c>
      <c r="G1024">
        <v>287.3</v>
      </c>
      <c r="H1024">
        <v>312.27999999999997</v>
      </c>
      <c r="I1024">
        <v>312.3</v>
      </c>
      <c r="J1024">
        <v>-0.02</v>
      </c>
    </row>
    <row r="1025" spans="1:10" x14ac:dyDescent="0.3">
      <c r="A1025" t="str">
        <f>HYPERLINK("https://us2.cloudbeds.com/connect/10074733072513#/reservations/31682603913388?display=MHD7VREV9&amp;reservation_id=31682603913388", "MHD7VREV9")</f>
        <v>MHD7VREV9</v>
      </c>
      <c r="B1025" t="s">
        <v>10</v>
      </c>
      <c r="C1025" t="s">
        <v>11</v>
      </c>
      <c r="D1025" t="str">
        <f>HYPERLINK("https://us2.cloudbeds.com/connect/10074733072513#/reservations/31682603913388?display=Mitch%20Van%20Roekel&amp;reservation_id=31682603913388&amp;guest_id=31682594025680", "Mitch Van Roekel")</f>
        <v>Mitch Van Roekel</v>
      </c>
      <c r="E1025" t="s">
        <v>6152</v>
      </c>
      <c r="F1025" t="s">
        <v>4974</v>
      </c>
      <c r="G1025">
        <v>340.2</v>
      </c>
      <c r="H1025">
        <v>369.78</v>
      </c>
      <c r="I1025">
        <v>369.8</v>
      </c>
      <c r="J1025">
        <v>-0.02</v>
      </c>
    </row>
    <row r="1026" spans="1:10" x14ac:dyDescent="0.3">
      <c r="A1026" t="str">
        <f>HYPERLINK("https://us2.cloudbeds.com/connect/10074733072513#/reservations/31677640507570?display=MH9D4XC6C&amp;reservation_id=31677640507570", "MH9D4XC6C")</f>
        <v>MH9D4XC6C</v>
      </c>
      <c r="B1026" t="s">
        <v>10</v>
      </c>
      <c r="C1026" t="s">
        <v>20</v>
      </c>
      <c r="D1026" t="str">
        <f>HYPERLINK("https://us2.cloudbeds.com/connect/10074733072513#/reservations/31677640507570?display=John%20Davis&amp;reservation_id=31677640507570&amp;guest_id=31677640507568", "John Davis")</f>
        <v>John Davis</v>
      </c>
      <c r="E1026" t="s">
        <v>6201</v>
      </c>
      <c r="F1026" t="s">
        <v>6186</v>
      </c>
      <c r="G1026">
        <v>236.3</v>
      </c>
      <c r="H1026">
        <v>256.83999999999997</v>
      </c>
      <c r="I1026">
        <v>256.86</v>
      </c>
      <c r="J1026">
        <v>-0.02</v>
      </c>
    </row>
    <row r="1027" spans="1:10" x14ac:dyDescent="0.3">
      <c r="A1027" t="str">
        <f>HYPERLINK("https://us2.cloudbeds.com/connect/10074733072513#/reservations/31679050514636?display=MHAG5GTH7&amp;reservation_id=31679050514636", "MHAG5GTH7")</f>
        <v>MHAG5GTH7</v>
      </c>
      <c r="B1027" t="s">
        <v>10</v>
      </c>
      <c r="C1027" t="s">
        <v>20</v>
      </c>
      <c r="D1027" t="str">
        <f>HYPERLINK("https://us2.cloudbeds.com/connect/10074733072513#/reservations/31679050514636?display=Shirleen%20Stewart&amp;reservation_id=31679050514636&amp;guest_id=31679042756788", "Shirleen Stewart")</f>
        <v>Shirleen Stewart</v>
      </c>
      <c r="E1027" t="s">
        <v>6223</v>
      </c>
      <c r="F1027" t="s">
        <v>6224</v>
      </c>
      <c r="G1027">
        <v>236.3</v>
      </c>
      <c r="H1027">
        <v>256.83999999999997</v>
      </c>
      <c r="I1027">
        <v>256.86</v>
      </c>
      <c r="J1027">
        <v>-0.02</v>
      </c>
    </row>
    <row r="1028" spans="1:10" x14ac:dyDescent="0.3">
      <c r="A1028" t="str">
        <f>HYPERLINK("https://us2.cloudbeds.com/connect/10074733072513#/reservations/31680548798619?display=MHBYETS75&amp;reservation_id=31680548798619", "MHBYETS75")</f>
        <v>MHBYETS75</v>
      </c>
      <c r="B1028" t="s">
        <v>10</v>
      </c>
      <c r="C1028" t="s">
        <v>20</v>
      </c>
      <c r="D1028" t="str">
        <f>HYPERLINK("https://us2.cloudbeds.com/connect/10074733072513#/reservations/31680548798619?display=Mary%20Kurniawan&amp;reservation_id=31680548798619&amp;guest_id=31680548794533", "Mary Kurniawan")</f>
        <v>Mary Kurniawan</v>
      </c>
      <c r="E1028" t="s">
        <v>6226</v>
      </c>
      <c r="F1028" t="s">
        <v>5274</v>
      </c>
      <c r="G1028">
        <v>492.3</v>
      </c>
      <c r="H1028">
        <v>535.11</v>
      </c>
      <c r="I1028">
        <v>535.13</v>
      </c>
      <c r="J1028">
        <v>-0.02</v>
      </c>
    </row>
    <row r="1029" spans="1:10" x14ac:dyDescent="0.3">
      <c r="A1029" t="str">
        <f>HYPERLINK("https://us2.cloudbeds.com/connect/10074733072513#/reservations/31680775381239?display=MHBR7VS25&amp;reservation_id=31680775381239", "MHBR7VS25")</f>
        <v>MHBR7VS25</v>
      </c>
      <c r="B1029" t="s">
        <v>10</v>
      </c>
      <c r="C1029" t="s">
        <v>11</v>
      </c>
      <c r="D1029" t="str">
        <f>HYPERLINK("https://us2.cloudbeds.com/connect/10074733072513#/reservations/31680775381239?display=Austin%20Swenson&amp;reservation_id=31680775381239&amp;guest_id=31680768495837", "Austin Swenson")</f>
        <v>Austin Swenson</v>
      </c>
      <c r="E1029" t="s">
        <v>6268</v>
      </c>
      <c r="F1029" t="s">
        <v>5569</v>
      </c>
      <c r="G1029">
        <v>188.32</v>
      </c>
      <c r="H1029">
        <v>204.68</v>
      </c>
      <c r="I1029">
        <v>204.7</v>
      </c>
      <c r="J1029">
        <v>-0.02</v>
      </c>
    </row>
    <row r="1030" spans="1:10" x14ac:dyDescent="0.3">
      <c r="A1030" t="str">
        <f>HYPERLINK("https://us2.cloudbeds.com/connect/10074733072513#/reservations/31680318906583?display=MHBFJ1PDR&amp;reservation_id=31680318906583", "MHBFJ1PDR")</f>
        <v>MHBFJ1PDR</v>
      </c>
      <c r="B1030" t="s">
        <v>10</v>
      </c>
      <c r="C1030" t="s">
        <v>42</v>
      </c>
      <c r="D1030" t="str">
        <f>HYPERLINK("https://us2.cloudbeds.com/connect/10074733072513#/reservations/31680318906583?display=Brian%20Fischer&amp;reservation_id=31680318906583&amp;guest_id=31680318906578", "Brian Fischer")</f>
        <v>Brian Fischer</v>
      </c>
      <c r="E1030" t="s">
        <v>6270</v>
      </c>
      <c r="F1030" t="s">
        <v>5938</v>
      </c>
      <c r="G1030">
        <v>556</v>
      </c>
      <c r="H1030">
        <v>604.35</v>
      </c>
      <c r="I1030">
        <v>604.37</v>
      </c>
      <c r="J1030">
        <v>-0.02</v>
      </c>
    </row>
    <row r="1031" spans="1:10" x14ac:dyDescent="0.3">
      <c r="A1031" t="str">
        <f>HYPERLINK("https://us2.cloudbeds.com/connect/10074733072513#/reservations/31684275433637?display=MHEHM9VV1&amp;reservation_id=31684275433637", "MHEHM9VV1")</f>
        <v>MHEHM9VV1</v>
      </c>
      <c r="B1031" t="s">
        <v>10</v>
      </c>
      <c r="C1031" t="s">
        <v>20</v>
      </c>
      <c r="D1031" t="str">
        <f>HYPERLINK("https://us2.cloudbeds.com/connect/10074733072513#/reservations/31684275433637?display=Remily%20Jessica&amp;reservation_id=31684275433637&amp;guest_id=31684275433634", "Remily Jessica")</f>
        <v>Remily Jessica</v>
      </c>
      <c r="E1031" t="s">
        <v>6306</v>
      </c>
      <c r="F1031" t="s">
        <v>5366</v>
      </c>
      <c r="G1031">
        <v>340.2</v>
      </c>
      <c r="H1031">
        <v>369.78</v>
      </c>
      <c r="I1031">
        <v>369.8</v>
      </c>
      <c r="J1031">
        <v>-0.02</v>
      </c>
    </row>
    <row r="1032" spans="1:10" x14ac:dyDescent="0.3">
      <c r="A1032" t="str">
        <f>HYPERLINK("https://us2.cloudbeds.com/connect/10074733072513#/reservations/31678304252123?display=MH9U381AM&amp;reservation_id=31678304252123", "MH9U381AM")</f>
        <v>MH9U381AM</v>
      </c>
      <c r="B1032" t="s">
        <v>10</v>
      </c>
      <c r="C1032" t="s">
        <v>23</v>
      </c>
      <c r="D1032" t="str">
        <f>HYPERLINK("https://us2.cloudbeds.com/connect/10074733072513#/reservations/31678304252123?display=Michael%20Sapper&amp;reservation_id=31678304252123&amp;guest_id=31678304248039", "Michael Sapper")</f>
        <v>Michael Sapper</v>
      </c>
      <c r="E1032" t="s">
        <v>6347</v>
      </c>
      <c r="F1032" t="s">
        <v>5562</v>
      </c>
      <c r="G1032">
        <v>402.3</v>
      </c>
      <c r="H1032">
        <v>437.28</v>
      </c>
      <c r="I1032">
        <v>437.3</v>
      </c>
      <c r="J1032">
        <v>-0.02</v>
      </c>
    </row>
    <row r="1033" spans="1:10" x14ac:dyDescent="0.3">
      <c r="A1033" t="str">
        <f>HYPERLINK("https://us2.cloudbeds.com/connect/10074733072513#/reservations/31680064184570?display=MHB928ZTV&amp;reservation_id=31680064184570", "MHB928ZTV")</f>
        <v>MHB928ZTV</v>
      </c>
      <c r="B1033" t="s">
        <v>10</v>
      </c>
      <c r="C1033" t="s">
        <v>11</v>
      </c>
      <c r="D1033" t="str">
        <f>HYPERLINK("https://us2.cloudbeds.com/connect/10074733072513#/reservations/31680064184570?display=Joseph%20Palumbo&amp;reservation_id=31680064184570&amp;guest_id=31680055242910", "Joseph Palumbo")</f>
        <v>Joseph Palumbo</v>
      </c>
      <c r="E1033" t="s">
        <v>6360</v>
      </c>
      <c r="F1033" t="s">
        <v>5789</v>
      </c>
      <c r="G1033">
        <v>188.32</v>
      </c>
      <c r="H1033">
        <v>204.68</v>
      </c>
      <c r="I1033">
        <v>204.7</v>
      </c>
      <c r="J1033">
        <v>-0.02</v>
      </c>
    </row>
    <row r="1034" spans="1:10" x14ac:dyDescent="0.3">
      <c r="A1034" t="str">
        <f>HYPERLINK("https://us2.cloudbeds.com/connect/10074733072513#/reservations/31682324865159?display=MHD0RHHAB&amp;reservation_id=31682324865159", "MHD0RHHAB")</f>
        <v>MHD0RHHAB</v>
      </c>
      <c r="B1034" t="s">
        <v>10</v>
      </c>
      <c r="C1034" t="s">
        <v>17</v>
      </c>
      <c r="D1034" t="str">
        <f>HYPERLINK("https://us2.cloudbeds.com/connect/10074733072513#/reservations/31682324865159?display=Jeri%20Stewart&amp;reservation_id=31682324865159&amp;guest_id=31682318442671", "Jeri Stewart")</f>
        <v>Jeri Stewart</v>
      </c>
      <c r="E1034" t="s">
        <v>6434</v>
      </c>
      <c r="F1034" t="s">
        <v>6435</v>
      </c>
      <c r="G1034">
        <v>402.3</v>
      </c>
      <c r="H1034">
        <v>437.28</v>
      </c>
      <c r="I1034">
        <v>437.3</v>
      </c>
      <c r="J1034">
        <v>-0.02</v>
      </c>
    </row>
    <row r="1035" spans="1:10" x14ac:dyDescent="0.3">
      <c r="A1035" t="str">
        <f>HYPERLINK("https://us2.cloudbeds.com/connect/10074733072513#/reservations/31679416627405?display=MHAPH7H7X&amp;reservation_id=31679416627405", "MHAPH7H7X")</f>
        <v>MHAPH7H7X</v>
      </c>
      <c r="B1035" t="s">
        <v>10</v>
      </c>
      <c r="C1035" t="s">
        <v>14</v>
      </c>
      <c r="D1035" t="str">
        <f>HYPERLINK("https://us2.cloudbeds.com/connect/10074733072513#/reservations/31679416627405?display=Maria%20Gleiter&amp;reservation_id=31679416627405&amp;guest_id=31679409721589", "Maria Gleiter")</f>
        <v>Maria Gleiter</v>
      </c>
      <c r="E1035" t="s">
        <v>6470</v>
      </c>
      <c r="F1035" t="s">
        <v>5366</v>
      </c>
      <c r="G1035">
        <v>340.2</v>
      </c>
      <c r="H1035">
        <v>369.78</v>
      </c>
      <c r="I1035">
        <v>369.8</v>
      </c>
      <c r="J1035">
        <v>-0.02</v>
      </c>
    </row>
    <row r="1036" spans="1:10" x14ac:dyDescent="0.3">
      <c r="A1036" t="str">
        <f>HYPERLINK("https://us2.cloudbeds.com/connect/10074733072513#/reservations/31678744903822?display=MHA8BQR5F&amp;reservation_id=31678744903822", "MHA8BQR5F")</f>
        <v>MHA8BQR5F</v>
      </c>
      <c r="B1036" t="s">
        <v>10</v>
      </c>
      <c r="C1036" t="s">
        <v>11</v>
      </c>
      <c r="D1036" t="str">
        <f>HYPERLINK("https://us2.cloudbeds.com/connect/10074733072513#/reservations/31678744903822?display=Heather%20Berney&amp;reservation_id=31678744903822&amp;guest_id=31678733115598", "Heather Berney")</f>
        <v>Heather Berney</v>
      </c>
      <c r="E1036" t="s">
        <v>6528</v>
      </c>
      <c r="F1036" t="s">
        <v>6093</v>
      </c>
      <c r="G1036">
        <v>282.98</v>
      </c>
      <c r="H1036">
        <v>307.58</v>
      </c>
      <c r="I1036">
        <v>307.60000000000002</v>
      </c>
      <c r="J1036">
        <v>-0.02</v>
      </c>
    </row>
    <row r="1037" spans="1:10" x14ac:dyDescent="0.3">
      <c r="A1037" t="str">
        <f>HYPERLINK("https://us2.cloudbeds.com/connect/10074733072513#/reservations/31679395520685?display=MHAZWE6FV&amp;reservation_id=31679395520685", "MHAZWE6FV")</f>
        <v>MHAZWE6FV</v>
      </c>
      <c r="B1037" t="s">
        <v>10</v>
      </c>
      <c r="C1037" t="s">
        <v>17</v>
      </c>
      <c r="D1037" t="str">
        <f>HYPERLINK("https://us2.cloudbeds.com/connect/10074733072513#/reservations/31679395520685?display=Guy%20Bender&amp;reservation_id=31679395520685&amp;guest_id=31679380340951", "Guy Bender")</f>
        <v>Guy Bender</v>
      </c>
      <c r="E1037" t="s">
        <v>6565</v>
      </c>
      <c r="F1037" t="s">
        <v>5366</v>
      </c>
      <c r="G1037">
        <v>340.2</v>
      </c>
      <c r="H1037">
        <v>369.78</v>
      </c>
      <c r="I1037">
        <v>369.8</v>
      </c>
      <c r="J1037">
        <v>-0.02</v>
      </c>
    </row>
    <row r="1038" spans="1:10" x14ac:dyDescent="0.3">
      <c r="A1038" t="str">
        <f>HYPERLINK("https://us2.cloudbeds.com/connect/10074733072513#/reservations/31682909442266?display=MHDFPF824&amp;reservation_id=31682909442266", "MHDFPF824")</f>
        <v>MHDFPF824</v>
      </c>
      <c r="B1038" t="s">
        <v>10</v>
      </c>
      <c r="C1038" t="s">
        <v>14</v>
      </c>
      <c r="D1038" t="str">
        <f>HYPERLINK("https://us2.cloudbeds.com/connect/10074733072513#/reservations/31682909442266?display=Colleen%20Schultz-Herman&amp;reservation_id=31682909442266&amp;guest_id=31682909442261", "Colleen Schultz-Herman")</f>
        <v>Colleen Schultz-Herman</v>
      </c>
      <c r="E1038" t="s">
        <v>6587</v>
      </c>
      <c r="F1038" t="s">
        <v>6368</v>
      </c>
      <c r="G1038">
        <v>756</v>
      </c>
      <c r="H1038">
        <v>821.75</v>
      </c>
      <c r="I1038">
        <v>821.77</v>
      </c>
      <c r="J1038">
        <v>-0.02</v>
      </c>
    </row>
    <row r="1039" spans="1:10" x14ac:dyDescent="0.3">
      <c r="A1039" t="str">
        <f>HYPERLINK("https://us2.cloudbeds.com/connect/10074733072513#/reservations/31679216988412?display=MHAKDT903&amp;reservation_id=31679216988412", "MHAKDT903")</f>
        <v>MHAKDT903</v>
      </c>
      <c r="B1039" t="s">
        <v>10</v>
      </c>
      <c r="C1039" t="s">
        <v>11</v>
      </c>
      <c r="D1039" t="str">
        <f>HYPERLINK("https://us2.cloudbeds.com/connect/10074733072513#/reservations/31679216988412?display=Celine%20Copelan&amp;reservation_id=31679216988412&amp;guest_id=31679200903313", "Celine Copelan")</f>
        <v>Celine Copelan</v>
      </c>
      <c r="E1039" t="s">
        <v>6656</v>
      </c>
      <c r="F1039" t="s">
        <v>6601</v>
      </c>
      <c r="G1039">
        <v>188.32</v>
      </c>
      <c r="H1039">
        <v>204.68</v>
      </c>
      <c r="I1039">
        <v>204.7</v>
      </c>
      <c r="J1039">
        <v>-0.02</v>
      </c>
    </row>
    <row r="1040" spans="1:10" x14ac:dyDescent="0.3">
      <c r="A1040" t="str">
        <f>HYPERLINK("https://us2.cloudbeds.com/connect/10074733072513#/reservations/31679194251447?display=MHAJRNJ84&amp;reservation_id=31679194251447", "MHAJRNJ84")</f>
        <v>MHAJRNJ84</v>
      </c>
      <c r="B1040" t="s">
        <v>10</v>
      </c>
      <c r="C1040" t="s">
        <v>11</v>
      </c>
      <c r="D1040" t="str">
        <f>HYPERLINK("https://us2.cloudbeds.com/connect/10074733072513#/reservations/31679194251447?display=Celine%20Copelan&amp;reservation_id=31679194251447&amp;guest_id=31679187206306", "Celine Copelan")</f>
        <v>Celine Copelan</v>
      </c>
      <c r="E1040" t="s">
        <v>6656</v>
      </c>
      <c r="F1040" t="s">
        <v>6601</v>
      </c>
      <c r="G1040">
        <v>188.32</v>
      </c>
      <c r="H1040">
        <v>204.68</v>
      </c>
      <c r="I1040">
        <v>204.7</v>
      </c>
      <c r="J1040">
        <v>-0.02</v>
      </c>
    </row>
    <row r="1041" spans="1:10" x14ac:dyDescent="0.3">
      <c r="A1041" t="str">
        <f>HYPERLINK("https://us2.cloudbeds.com/connect/10074733072513#/reservations/31679649632485?display=MHAVFN7YX&amp;reservation_id=31679649632485", "MHAVFN7YX")</f>
        <v>MHAVFN7YX</v>
      </c>
      <c r="B1041" t="s">
        <v>10</v>
      </c>
      <c r="C1041" t="s">
        <v>11</v>
      </c>
      <c r="D1041" t="str">
        <f>HYPERLINK("https://us2.cloudbeds.com/connect/10074733072513#/reservations/31679649632485?display=Kimberly%20Jamtgaard&amp;reservation_id=31679649632485&amp;guest_id=31679649632483", "Kimberly Jamtgaard")</f>
        <v>Kimberly Jamtgaard</v>
      </c>
      <c r="E1041" t="s">
        <v>6689</v>
      </c>
      <c r="F1041" t="s">
        <v>6446</v>
      </c>
      <c r="G1041">
        <v>188.32</v>
      </c>
      <c r="H1041">
        <v>204.68</v>
      </c>
      <c r="I1041">
        <v>204.7</v>
      </c>
      <c r="J1041">
        <v>-0.02</v>
      </c>
    </row>
    <row r="1042" spans="1:10" x14ac:dyDescent="0.3">
      <c r="A1042" t="str">
        <f>HYPERLINK("https://us2.cloudbeds.com/connect/10074733072513#/reservations/31680450531545?display=MHBXV1E51&amp;reservation_id=31680450531545", "MHBXV1E51")</f>
        <v>MHBXV1E51</v>
      </c>
      <c r="B1042" t="s">
        <v>10</v>
      </c>
      <c r="C1042" t="s">
        <v>20</v>
      </c>
      <c r="D1042" t="str">
        <f>HYPERLINK("https://us2.cloudbeds.com/connect/10074733072513#/reservations/31680450531545?display=Kim%20Christianson&amp;reservation_id=31680450531545&amp;guest_id=31680450527451", "Kim Christianson")</f>
        <v>Kim Christianson</v>
      </c>
      <c r="E1042" t="s">
        <v>6691</v>
      </c>
      <c r="F1042" t="s">
        <v>6692</v>
      </c>
      <c r="G1042">
        <v>402.3</v>
      </c>
      <c r="H1042">
        <v>437.28</v>
      </c>
      <c r="I1042">
        <v>437.3</v>
      </c>
      <c r="J1042">
        <v>-0.02</v>
      </c>
    </row>
    <row r="1043" spans="1:10" x14ac:dyDescent="0.3">
      <c r="A1043" t="str">
        <f>HYPERLINK("https://us2.cloudbeds.com/connect/10074733072513#/reservations/31687940276444?display=MHHCAJKGM&amp;reservation_id=31687940276444", "MHHCAJKGM")</f>
        <v>MHHCAJKGM</v>
      </c>
      <c r="B1043" t="s">
        <v>10</v>
      </c>
      <c r="C1043" t="s">
        <v>11</v>
      </c>
      <c r="D1043" t="str">
        <f>HYPERLINK("https://us2.cloudbeds.com/connect/10074733072513#/reservations/31687940276444?display=Lauren%20Mary%20Acosta&amp;reservation_id=31687940276444&amp;guest_id=31687940272350", "Lauren Mary Acosta")</f>
        <v>Lauren Mary Acosta</v>
      </c>
      <c r="E1043" t="s">
        <v>6704</v>
      </c>
      <c r="F1043" t="s">
        <v>6490</v>
      </c>
      <c r="G1043">
        <v>188.32</v>
      </c>
      <c r="H1043">
        <v>204.68</v>
      </c>
      <c r="I1043">
        <v>204.7</v>
      </c>
      <c r="J1043">
        <v>-0.02</v>
      </c>
    </row>
    <row r="1044" spans="1:10" x14ac:dyDescent="0.3">
      <c r="A1044" t="str">
        <f>HYPERLINK("https://us2.cloudbeds.com/connect/10074733072513#/reservations/31679934009490?display=MHB5ZGEXX&amp;reservation_id=31679934009490", "MHB5ZGEXX")</f>
        <v>MHB5ZGEXX</v>
      </c>
      <c r="B1044" t="s">
        <v>10</v>
      </c>
      <c r="C1044" t="s">
        <v>20</v>
      </c>
      <c r="D1044" t="str">
        <f>HYPERLINK("https://us2.cloudbeds.com/connect/10074733072513#/reservations/31679934009490?display=Karen%20Spiess&amp;reservation_id=31679934009490&amp;guest_id=31679934009486", "Karen Spiess")</f>
        <v>Karen Spiess</v>
      </c>
      <c r="E1044" t="s">
        <v>6722</v>
      </c>
      <c r="F1044" t="s">
        <v>5556</v>
      </c>
      <c r="G1044">
        <v>402.3</v>
      </c>
      <c r="H1044">
        <v>437.28</v>
      </c>
      <c r="I1044">
        <v>437.3</v>
      </c>
      <c r="J1044">
        <v>-0.02</v>
      </c>
    </row>
    <row r="1045" spans="1:10" x14ac:dyDescent="0.3">
      <c r="A1045" t="str">
        <f>HYPERLINK("https://us2.cloudbeds.com/connect/10074733072513#/reservations/31679616999579?display=MHAUY65NK&amp;reservation_id=31679616999579", "MHAUY65NK")</f>
        <v>MHAUY65NK</v>
      </c>
      <c r="B1045" t="s">
        <v>10</v>
      </c>
      <c r="C1045" t="s">
        <v>14</v>
      </c>
      <c r="D1045" t="str">
        <f>HYPERLINK("https://us2.cloudbeds.com/connect/10074733072513#/reservations/31679616999579?display=Sean%20Mcdannel&amp;reservation_id=31679616999579&amp;guest_id=31679616999574", "Sean Mcdannel")</f>
        <v>Sean Mcdannel</v>
      </c>
      <c r="E1045" t="s">
        <v>5956</v>
      </c>
      <c r="F1045" t="s">
        <v>6446</v>
      </c>
      <c r="G1045">
        <v>188.32</v>
      </c>
      <c r="H1045">
        <v>204.68</v>
      </c>
      <c r="I1045">
        <v>204.7</v>
      </c>
      <c r="J1045">
        <v>-0.02</v>
      </c>
    </row>
    <row r="1046" spans="1:10" x14ac:dyDescent="0.3">
      <c r="A1046" t="str">
        <f>HYPERLINK("https://us2.cloudbeds.com/connect/10074733072513#/reservations/31687967953103?display=MHHD0UP8A&amp;reservation_id=31687967953103", "MHHD0UP8A")</f>
        <v>MHHD0UP8A</v>
      </c>
      <c r="B1046" t="s">
        <v>10</v>
      </c>
      <c r="C1046" t="s">
        <v>11</v>
      </c>
      <c r="D1046" t="str">
        <f>HYPERLINK("https://us2.cloudbeds.com/connect/10074733072513#/reservations/31687967953103?display=Timothy%20Michael%20Pell&amp;reservation_id=31687967953103&amp;guest_id=31687967949002", "Timothy Michael Pell")</f>
        <v>Timothy Michael Pell</v>
      </c>
      <c r="E1046" t="s">
        <v>6739</v>
      </c>
      <c r="F1046" t="s">
        <v>6490</v>
      </c>
      <c r="G1046">
        <v>188.32</v>
      </c>
      <c r="H1046">
        <v>204.68</v>
      </c>
      <c r="I1046">
        <v>204.7</v>
      </c>
      <c r="J1046">
        <v>-0.02</v>
      </c>
    </row>
    <row r="1047" spans="1:10" x14ac:dyDescent="0.3">
      <c r="A1047" t="str">
        <f>HYPERLINK("https://us2.cloudbeds.com/connect/10074733072513#/reservations/31691828318360?display=MHKCM33UM&amp;reservation_id=31691828318360", "MHKCM33UM")</f>
        <v>MHKCM33UM</v>
      </c>
      <c r="B1047" t="s">
        <v>10</v>
      </c>
      <c r="C1047" t="s">
        <v>20</v>
      </c>
      <c r="D1047" t="str">
        <f>HYPERLINK("https://us2.cloudbeds.com/connect/10074733072513#/reservations/31691828318360?display=Audra%20Rew&amp;reservation_id=31691828318360&amp;guest_id=31691814887608", "Audra Rew")</f>
        <v>Audra Rew</v>
      </c>
      <c r="E1047" t="s">
        <v>6860</v>
      </c>
      <c r="F1047" t="s">
        <v>5935</v>
      </c>
      <c r="G1047">
        <v>912.6</v>
      </c>
      <c r="H1047">
        <v>991.98</v>
      </c>
      <c r="I1047">
        <v>992</v>
      </c>
      <c r="J1047">
        <v>-0.02</v>
      </c>
    </row>
    <row r="1048" spans="1:10" x14ac:dyDescent="0.3">
      <c r="A1048" t="str">
        <f>HYPERLINK("https://us2.cloudbeds.com/connect/10074733072513#/reservations/31688270340272?display=MHHKZU4DS&amp;reservation_id=31688270340272", "MHHKZU4DS")</f>
        <v>MHHKZU4DS</v>
      </c>
      <c r="B1048" t="s">
        <v>10</v>
      </c>
      <c r="C1048" t="s">
        <v>11</v>
      </c>
      <c r="D1048" t="str">
        <f>HYPERLINK("https://us2.cloudbeds.com/connect/10074733072513#/reservations/31688270340272?display=Kenneth%20Squire%20Throop&amp;reservation_id=31688270340272&amp;guest_id=31688270340267", "Kenneth Squire Throop")</f>
        <v>Kenneth Squire Throop</v>
      </c>
      <c r="E1048" t="s">
        <v>6881</v>
      </c>
      <c r="F1048" t="s">
        <v>5568</v>
      </c>
      <c r="G1048">
        <v>352.26</v>
      </c>
      <c r="H1048">
        <v>382.89</v>
      </c>
      <c r="I1048">
        <v>382.91</v>
      </c>
      <c r="J1048">
        <v>-0.02</v>
      </c>
    </row>
    <row r="1049" spans="1:10" x14ac:dyDescent="0.3">
      <c r="A1049" t="str">
        <f>HYPERLINK("https://us2.cloudbeds.com/connect/10074733072513#/reservations/31686362366155?display=MHG501V2C&amp;reservation_id=31686362366155", "MHG501V2C")</f>
        <v>MHG501V2C</v>
      </c>
      <c r="B1049" t="s">
        <v>10</v>
      </c>
      <c r="C1049" t="s">
        <v>11</v>
      </c>
      <c r="D1049" t="str">
        <f>HYPERLINK("https://us2.cloudbeds.com/connect/10074733072513#/reservations/31686362366155?display=Sarah%20Sarff&amp;reservation_id=31686362366155&amp;guest_id=31686362362100", "Sarah Sarff")</f>
        <v>Sarah Sarff</v>
      </c>
      <c r="E1049" t="s">
        <v>6946</v>
      </c>
      <c r="F1049" t="s">
        <v>5576</v>
      </c>
      <c r="G1049">
        <v>206.4</v>
      </c>
      <c r="H1049">
        <v>224.34</v>
      </c>
      <c r="I1049">
        <v>224.36</v>
      </c>
      <c r="J1049">
        <v>-0.02</v>
      </c>
    </row>
    <row r="1050" spans="1:10" x14ac:dyDescent="0.3">
      <c r="A1050" t="str">
        <f>HYPERLINK("https://us2.cloudbeds.com/connect/10074733072513#/reservations/31682219503817?display=MHCV4MMPC&amp;reservation_id=31682219503817", "MHCV4MMPC")</f>
        <v>MHCV4MMPC</v>
      </c>
      <c r="B1050" t="s">
        <v>10</v>
      </c>
      <c r="C1050" t="s">
        <v>14</v>
      </c>
      <c r="D1050" t="str">
        <f>HYPERLINK("https://us2.cloudbeds.com/connect/10074733072513#/reservations/31682219503817?display=Jodi%20Messerli&amp;reservation_id=31682219503817&amp;guest_id=31682212737209", "Jodi Messerli")</f>
        <v>Jodi Messerli</v>
      </c>
      <c r="E1050" t="s">
        <v>6950</v>
      </c>
      <c r="F1050" t="s">
        <v>5575</v>
      </c>
      <c r="G1050">
        <v>206.4</v>
      </c>
      <c r="H1050">
        <v>224.34</v>
      </c>
      <c r="I1050">
        <v>224.36</v>
      </c>
      <c r="J1050">
        <v>-0.02</v>
      </c>
    </row>
    <row r="1051" spans="1:10" x14ac:dyDescent="0.3">
      <c r="A1051" t="str">
        <f>HYPERLINK("https://us2.cloudbeds.com/connect/10074733072513#/reservations/31681101844613?display=MHC2J85PM&amp;reservation_id=31681101844613", "MHC2J85PM")</f>
        <v>MHC2J85PM</v>
      </c>
      <c r="B1051" t="s">
        <v>10</v>
      </c>
      <c r="C1051" t="s">
        <v>14</v>
      </c>
      <c r="D1051" t="str">
        <f>HYPERLINK("https://us2.cloudbeds.com/connect/10074733072513#/reservations/31681101844613?display=Michael%20Boone&amp;reservation_id=31681101844613&amp;guest_id=31681094705371", "Michael Boone")</f>
        <v>Michael Boone</v>
      </c>
      <c r="E1051" t="s">
        <v>6960</v>
      </c>
      <c r="F1051" t="s">
        <v>5283</v>
      </c>
      <c r="G1051">
        <v>308.48</v>
      </c>
      <c r="H1051">
        <v>335.3</v>
      </c>
      <c r="I1051">
        <v>335.32</v>
      </c>
      <c r="J1051">
        <v>-0.02</v>
      </c>
    </row>
    <row r="1052" spans="1:10" x14ac:dyDescent="0.3">
      <c r="A1052" t="str">
        <f>HYPERLINK("https://us2.cloudbeds.com/connect/10074733072513#/reservations/31684610380031?display=MHEQ7ZBCP&amp;reservation_id=31684610380031", "MHEQ7ZBCP")</f>
        <v>MHEQ7ZBCP</v>
      </c>
      <c r="B1052" t="s">
        <v>10</v>
      </c>
      <c r="C1052" t="s">
        <v>42</v>
      </c>
      <c r="D1052" t="str">
        <f>HYPERLINK("https://us2.cloudbeds.com/connect/10074733072513#/reservations/31684610380031?display=Marilyn%20Howell&amp;reservation_id=31684610380031&amp;guest_id=31684601065635", "Marilyn Howell")</f>
        <v>Marilyn Howell</v>
      </c>
      <c r="E1052" t="s">
        <v>7002</v>
      </c>
      <c r="F1052" t="s">
        <v>5582</v>
      </c>
      <c r="G1052">
        <v>372.3</v>
      </c>
      <c r="H1052">
        <v>404.67</v>
      </c>
      <c r="I1052">
        <v>404.69</v>
      </c>
      <c r="J1052">
        <v>-0.02</v>
      </c>
    </row>
    <row r="1053" spans="1:10" x14ac:dyDescent="0.3">
      <c r="A1053" t="str">
        <f>HYPERLINK("https://us2.cloudbeds.com/connect/10074733072513#/reservations/31687407595762?display=MHGVNDWSR&amp;reservation_id=31687407595762", "MHGVNDWSR")</f>
        <v>MHGVNDWSR</v>
      </c>
      <c r="B1053" t="s">
        <v>10</v>
      </c>
      <c r="C1053" t="s">
        <v>42</v>
      </c>
      <c r="D1053" t="str">
        <f>HYPERLINK("https://us2.cloudbeds.com/connect/10074733072513#/reservations/31687407595762?display=Carl%20Peterson&amp;reservation_id=31687407595762&amp;guest_id=31683231355111", "Carl Peterson")</f>
        <v>Carl Peterson</v>
      </c>
      <c r="E1053" t="s">
        <v>6943</v>
      </c>
      <c r="F1053" t="s">
        <v>7090</v>
      </c>
      <c r="G1053">
        <v>825</v>
      </c>
      <c r="H1053">
        <v>896.76</v>
      </c>
      <c r="I1053">
        <v>896.78</v>
      </c>
      <c r="J1053">
        <v>-0.02</v>
      </c>
    </row>
    <row r="1054" spans="1:10" x14ac:dyDescent="0.3">
      <c r="A1054" t="str">
        <f>HYPERLINK("https://us2.cloudbeds.com/connect/10074733072513#/reservations/31689178022048?display=MHXAV9NM6&amp;reservation_id=31689178022048", "MHXAV9NM6")</f>
        <v>MHXAV9NM6</v>
      </c>
      <c r="B1054" t="s">
        <v>10</v>
      </c>
      <c r="C1054" t="s">
        <v>14</v>
      </c>
      <c r="D1054" t="str">
        <f>HYPERLINK("https://us2.cloudbeds.com/connect/10074733072513#/reservations/31689178022048?display=Kayla%20Barnes&amp;reservation_id=31689178022048&amp;guest_id=31689178022031", "Kayla Barnes")</f>
        <v>Kayla Barnes</v>
      </c>
      <c r="E1054" t="s">
        <v>7252</v>
      </c>
      <c r="F1054" t="s">
        <v>5559</v>
      </c>
      <c r="G1054">
        <v>206.4</v>
      </c>
      <c r="H1054">
        <v>224.34</v>
      </c>
      <c r="I1054">
        <v>224.36</v>
      </c>
      <c r="J1054">
        <v>-0.02</v>
      </c>
    </row>
    <row r="1055" spans="1:10" x14ac:dyDescent="0.3">
      <c r="A1055" t="str">
        <f>HYPERLINK("https://us2.cloudbeds.com/connect/10074733072513#/reservations/31691177070795?display=MHJT0V6EW&amp;reservation_id=31691177070795", "MHJT0V6EW")</f>
        <v>MHJT0V6EW</v>
      </c>
      <c r="B1055" t="s">
        <v>10</v>
      </c>
      <c r="C1055" t="s">
        <v>23</v>
      </c>
      <c r="D1055" t="str">
        <f>HYPERLINK("https://us2.cloudbeds.com/connect/10074733072513#/reservations/31691177070795?display=Andrea%20Morris&amp;reservation_id=31691177070795&amp;guest_id=31691177070792", "Andrea Morris")</f>
        <v>Andrea Morris</v>
      </c>
      <c r="E1055" t="s">
        <v>7437</v>
      </c>
      <c r="F1055" t="s">
        <v>4181</v>
      </c>
      <c r="G1055">
        <v>340.2</v>
      </c>
      <c r="H1055">
        <v>369.78</v>
      </c>
      <c r="I1055">
        <v>369.8</v>
      </c>
      <c r="J1055">
        <v>-0.02</v>
      </c>
    </row>
    <row r="1056" spans="1:10" x14ac:dyDescent="0.3">
      <c r="A1056" t="str">
        <f>HYPERLINK("https://us2.cloudbeds.com/connect/10074733072513#/reservations/31686998331614?display=MHGY8AKCV&amp;reservation_id=31686998331614", "MHGY8AKCV")</f>
        <v>MHGY8AKCV</v>
      </c>
      <c r="B1056" t="s">
        <v>10</v>
      </c>
      <c r="C1056" t="s">
        <v>42</v>
      </c>
      <c r="D1056" t="str">
        <f>HYPERLINK("https://us2.cloudbeds.com/connect/10074733072513#/reservations/31686998331614?display=Dennis%20Brinkman&amp;reservation_id=31686998331614&amp;guest_id=31678497476740", "Dennis Brinkman")</f>
        <v>Dennis Brinkman</v>
      </c>
      <c r="E1056" t="s">
        <v>2349</v>
      </c>
      <c r="F1056" t="s">
        <v>5573</v>
      </c>
      <c r="G1056">
        <v>741.6</v>
      </c>
      <c r="H1056">
        <v>806.1</v>
      </c>
      <c r="I1056">
        <v>806.12</v>
      </c>
      <c r="J1056">
        <v>-0.02</v>
      </c>
    </row>
    <row r="1057" spans="1:10" x14ac:dyDescent="0.3">
      <c r="A1057" t="str">
        <f>HYPERLINK("https://us2.cloudbeds.com/connect/10074733072513#/reservations/31684325839047?display=MHEXVQXTN&amp;reservation_id=31684325839047", "MHEXVQXTN")</f>
        <v>MHEXVQXTN</v>
      </c>
      <c r="B1057" t="s">
        <v>10</v>
      </c>
      <c r="C1057" t="s">
        <v>42</v>
      </c>
      <c r="D1057" t="str">
        <f>HYPERLINK("https://us2.cloudbeds.com/connect/10074733072513#/reservations/31684325839047?display=Jolene%20Herr&amp;reservation_id=31684325839047&amp;guest_id=31684315185326", "Jolene Herr")</f>
        <v>Jolene Herr</v>
      </c>
      <c r="E1057" t="s">
        <v>7498</v>
      </c>
      <c r="F1057" t="s">
        <v>5247</v>
      </c>
      <c r="G1057">
        <v>340.2</v>
      </c>
      <c r="H1057">
        <v>369.78</v>
      </c>
      <c r="I1057">
        <v>369.8</v>
      </c>
      <c r="J1057">
        <v>-0.02</v>
      </c>
    </row>
    <row r="1058" spans="1:10" x14ac:dyDescent="0.3">
      <c r="A1058" t="str">
        <f>HYPERLINK("https://us2.cloudbeds.com/connect/10074733072513#/reservations/31683638362366?display=MHE1D3H60&amp;reservation_id=31683638362366", "MHE1D3H60")</f>
        <v>MHE1D3H60</v>
      </c>
      <c r="B1058" t="s">
        <v>10</v>
      </c>
      <c r="C1058" t="s">
        <v>17</v>
      </c>
      <c r="D1058" t="str">
        <f>HYPERLINK("https://us2.cloudbeds.com/connect/10074733072513#/reservations/31683638362366?display=Brant%20Hollister&amp;reservation_id=31683638362366&amp;guest_id=31683638362306", "Brant Hollister")</f>
        <v>Brant Hollister</v>
      </c>
      <c r="E1058" t="s">
        <v>7544</v>
      </c>
      <c r="F1058" t="s">
        <v>5822</v>
      </c>
      <c r="G1058">
        <v>340.2</v>
      </c>
      <c r="H1058">
        <v>369.78</v>
      </c>
      <c r="I1058">
        <v>369.8</v>
      </c>
      <c r="J1058">
        <v>-0.02</v>
      </c>
    </row>
    <row r="1059" spans="1:10" x14ac:dyDescent="0.3">
      <c r="A1059" t="str">
        <f>HYPERLINK("https://us2.cloudbeds.com/connect/10074733072513#/reservations/31690115391732?display=MHJ1TNDX5&amp;reservation_id=31690115391732", "MHJ1TNDX5")</f>
        <v>MHJ1TNDX5</v>
      </c>
      <c r="B1059" t="s">
        <v>10</v>
      </c>
      <c r="C1059" t="s">
        <v>20</v>
      </c>
      <c r="D1059" t="str">
        <f>HYPERLINK("https://us2.cloudbeds.com/connect/10074733072513#/reservations/31690115391732?display=Tim%20Larson&amp;reservation_id=31690115391732&amp;guest_id=31690115391730", "Tim Larson")</f>
        <v>Tim Larson</v>
      </c>
      <c r="E1059" t="s">
        <v>7566</v>
      </c>
      <c r="F1059" t="s">
        <v>7567</v>
      </c>
      <c r="G1059">
        <v>340.2</v>
      </c>
      <c r="H1059">
        <v>369.78</v>
      </c>
      <c r="I1059">
        <v>369.8</v>
      </c>
      <c r="J1059">
        <v>-0.02</v>
      </c>
    </row>
    <row r="1060" spans="1:10" x14ac:dyDescent="0.3">
      <c r="A1060" t="str">
        <f>HYPERLINK("https://us2.cloudbeds.com/connect/10074733072513#/reservations/31692145443040?display=MHKKPGJ5F&amp;reservation_id=31692145443040", "MHKKPGJ5F")</f>
        <v>MHKKPGJ5F</v>
      </c>
      <c r="B1060" t="s">
        <v>10</v>
      </c>
      <c r="C1060" t="s">
        <v>42</v>
      </c>
      <c r="D1060" t="str">
        <f>HYPERLINK("https://us2.cloudbeds.com/connect/10074733072513#/reservations/31692145443040?display=Debra%20Shriner&amp;reservation_id=31692145443040&amp;guest_id=31692145438941", "Debra Shriner")</f>
        <v>Debra Shriner</v>
      </c>
      <c r="E1060" t="s">
        <v>7568</v>
      </c>
      <c r="F1060" t="s">
        <v>7269</v>
      </c>
      <c r="G1060">
        <v>893.8</v>
      </c>
      <c r="H1060">
        <v>971.54</v>
      </c>
      <c r="I1060">
        <v>971.56</v>
      </c>
      <c r="J1060">
        <v>-0.02</v>
      </c>
    </row>
    <row r="1061" spans="1:10" x14ac:dyDescent="0.3">
      <c r="A1061" t="str">
        <f>HYPERLINK("https://us2.cloudbeds.com/connect/10074733072513#/reservations/31685536161968?display=MHFGTCJHS&amp;reservation_id=31685536161968", "MHFGTCJHS")</f>
        <v>MHFGTCJHS</v>
      </c>
      <c r="B1061" t="s">
        <v>10</v>
      </c>
      <c r="C1061" t="s">
        <v>11</v>
      </c>
      <c r="D1061" t="str">
        <f>HYPERLINK("https://us2.cloudbeds.com/connect/10074733072513#/reservations/31685536161968?display=Angela%20Fischer&amp;reservation_id=31685536161968&amp;guest_id=31685536161963", "Angela Fischer")</f>
        <v>Angela Fischer</v>
      </c>
      <c r="E1061" t="s">
        <v>7612</v>
      </c>
      <c r="F1061" t="s">
        <v>6175</v>
      </c>
      <c r="G1061">
        <v>286.39999999999998</v>
      </c>
      <c r="H1061">
        <v>311.3</v>
      </c>
      <c r="I1061">
        <v>311.32</v>
      </c>
      <c r="J1061">
        <v>-0.02</v>
      </c>
    </row>
    <row r="1062" spans="1:10" x14ac:dyDescent="0.3">
      <c r="A1062" t="str">
        <f>HYPERLINK("https://us2.cloudbeds.com/connect/10074733072513#/reservations/31685424636046?display=MHFE1B77E&amp;reservation_id=31685424636046", "MHFE1B77E")</f>
        <v>MHFE1B77E</v>
      </c>
      <c r="B1062" t="s">
        <v>10</v>
      </c>
      <c r="C1062" t="s">
        <v>11</v>
      </c>
      <c r="D1062" t="str">
        <f>HYPERLINK("https://us2.cloudbeds.com/connect/10074733072513#/reservations/31685424636046?display=Derek%20Ahlers&amp;reservation_id=31685424636046&amp;guest_id=31685424631959", "Derek Ahlers")</f>
        <v>Derek Ahlers</v>
      </c>
      <c r="E1062" t="s">
        <v>7716</v>
      </c>
      <c r="F1062" t="s">
        <v>6899</v>
      </c>
      <c r="G1062">
        <v>340.2</v>
      </c>
      <c r="H1062">
        <v>369.78</v>
      </c>
      <c r="I1062">
        <v>369.8</v>
      </c>
      <c r="J1062">
        <v>-0.02</v>
      </c>
    </row>
    <row r="1063" spans="1:10" x14ac:dyDescent="0.3">
      <c r="A1063" t="str">
        <f>HYPERLINK("https://us2.cloudbeds.com/connect/10074733072513#/reservations/31692870746247?display=MHY6A36WH&amp;reservation_id=31692870746247", "MHY6A36WH")</f>
        <v>MHY6A36WH</v>
      </c>
      <c r="B1063" t="s">
        <v>10</v>
      </c>
      <c r="C1063" t="s">
        <v>14</v>
      </c>
      <c r="D1063" t="str">
        <f>HYPERLINK("https://us2.cloudbeds.com/connect/10074733072513#/reservations/31692870746247?display=Verlicia%20Eden&amp;reservation_id=31692870746247&amp;guest_id=31692870746245", "Verlicia Eden")</f>
        <v>Verlicia Eden</v>
      </c>
      <c r="E1063" t="s">
        <v>7843</v>
      </c>
      <c r="F1063" t="s">
        <v>7844</v>
      </c>
      <c r="G1063">
        <v>286.39999999999998</v>
      </c>
      <c r="H1063">
        <v>311.3</v>
      </c>
      <c r="I1063">
        <v>311.32</v>
      </c>
      <c r="J1063">
        <v>-0.02</v>
      </c>
    </row>
    <row r="1064" spans="1:10" x14ac:dyDescent="0.3">
      <c r="A1064" t="str">
        <f>HYPERLINK("https://us2.cloudbeds.com/connect/10074733072513#/reservations/31692881555691?display=MHY6J700E&amp;reservation_id=31692881555691", "MHY6J700E")</f>
        <v>MHY6J700E</v>
      </c>
      <c r="B1064" t="s">
        <v>10</v>
      </c>
      <c r="C1064" t="s">
        <v>14</v>
      </c>
      <c r="D1064" t="str">
        <f>HYPERLINK("https://us2.cloudbeds.com/connect/10074733072513#/reservations/31692881555691?display=Charles%20Eden&amp;reservation_id=31692881555691&amp;guest_id=31692881555686", "Charles Eden")</f>
        <v>Charles Eden</v>
      </c>
      <c r="E1064" t="s">
        <v>7845</v>
      </c>
      <c r="F1064" t="s">
        <v>7844</v>
      </c>
      <c r="G1064">
        <v>286.39999999999998</v>
      </c>
      <c r="H1064">
        <v>311.3</v>
      </c>
      <c r="I1064">
        <v>311.32</v>
      </c>
      <c r="J1064">
        <v>-0.02</v>
      </c>
    </row>
    <row r="1065" spans="1:10" x14ac:dyDescent="0.3">
      <c r="A1065" t="str">
        <f>HYPERLINK("https://us2.cloudbeds.com/connect/10074733072513#/reservations/31686266912967?display=MHG2XXQUH&amp;reservation_id=31686266912967", "MHG2XXQUH")</f>
        <v>MHG2XXQUH</v>
      </c>
      <c r="B1065" t="s">
        <v>10</v>
      </c>
      <c r="C1065" t="s">
        <v>14</v>
      </c>
      <c r="D1065" t="str">
        <f>HYPERLINK("https://us2.cloudbeds.com/connect/10074733072513#/reservations/31686266912967?display=Kim%20Bosen&amp;reservation_id=31686266912967&amp;guest_id=31686254788744", "Kim Bosen")</f>
        <v>Kim Bosen</v>
      </c>
      <c r="E1065" t="s">
        <v>7846</v>
      </c>
      <c r="F1065" t="s">
        <v>7727</v>
      </c>
      <c r="G1065">
        <v>286.39999999999998</v>
      </c>
      <c r="H1065">
        <v>311.3</v>
      </c>
      <c r="I1065">
        <v>311.32</v>
      </c>
      <c r="J1065">
        <v>-0.02</v>
      </c>
    </row>
    <row r="1066" spans="1:10" x14ac:dyDescent="0.3">
      <c r="A1066" t="str">
        <f>HYPERLINK("https://us2.cloudbeds.com/connect/10074733072513#/reservations/31686270591205?display=MHG2YM5X9&amp;reservation_id=31686270591205", "MHG2YM5X9")</f>
        <v>MHG2YM5X9</v>
      </c>
      <c r="B1066" t="s">
        <v>10</v>
      </c>
      <c r="C1066" t="s">
        <v>14</v>
      </c>
      <c r="D1066" t="str">
        <f>HYPERLINK("https://us2.cloudbeds.com/connect/10074733072513#/reservations/31686270591205?display=Rocky%20Mayberry&amp;reservation_id=31686270591205&amp;guest_id=31686270591203", "Rocky Mayberry")</f>
        <v>Rocky Mayberry</v>
      </c>
      <c r="E1066" t="s">
        <v>7881</v>
      </c>
      <c r="F1066" t="s">
        <v>7727</v>
      </c>
      <c r="G1066">
        <v>286.39999999999998</v>
      </c>
      <c r="H1066">
        <v>311.3</v>
      </c>
      <c r="I1066">
        <v>311.32</v>
      </c>
      <c r="J1066">
        <v>-0.02</v>
      </c>
    </row>
    <row r="1067" spans="1:10" x14ac:dyDescent="0.3">
      <c r="A1067" t="str">
        <f>HYPERLINK("https://us2.cloudbeds.com/connect/10074733072513#/reservations/31686119813269?display=MHFVQHX4U&amp;reservation_id=31686119813269", "MHFVQHX4U")</f>
        <v>MHFVQHX4U</v>
      </c>
      <c r="B1067" t="s">
        <v>10</v>
      </c>
      <c r="C1067" t="s">
        <v>14</v>
      </c>
      <c r="D1067" t="str">
        <f>HYPERLINK("https://us2.cloudbeds.com/connect/10074733072513#/reservations/31686119813269?display=Char%20Oltmanns&amp;reservation_id=31686119813269&amp;guest_id=31686119813255", "Char Oltmanns")</f>
        <v>Char Oltmanns</v>
      </c>
      <c r="E1067" t="s">
        <v>7911</v>
      </c>
      <c r="F1067" t="s">
        <v>7727</v>
      </c>
      <c r="G1067">
        <v>286.39999999999998</v>
      </c>
      <c r="H1067">
        <v>311.3</v>
      </c>
      <c r="I1067">
        <v>311.32</v>
      </c>
      <c r="J1067">
        <v>-0.02</v>
      </c>
    </row>
    <row r="1068" spans="1:10" x14ac:dyDescent="0.3">
      <c r="A1068" t="str">
        <f>HYPERLINK("https://us2.cloudbeds.com/connect/10074733072513#/reservations/31688560922771?display=MHHS5V0M4&amp;reservation_id=31688560922771", "MHHS5V0M4")</f>
        <v>MHHS5V0M4</v>
      </c>
      <c r="B1068" t="s">
        <v>10</v>
      </c>
      <c r="C1068" t="s">
        <v>42</v>
      </c>
      <c r="D1068" t="str">
        <f>HYPERLINK("https://us2.cloudbeds.com/connect/10074733072513#/reservations/31688560922771?display=Kippy%20Udehn&amp;reservation_id=31688560922771&amp;guest_id=31688560918674", "Kippy Udehn")</f>
        <v>Kippy Udehn</v>
      </c>
      <c r="E1068" t="s">
        <v>7959</v>
      </c>
      <c r="F1068" t="s">
        <v>7727</v>
      </c>
      <c r="G1068">
        <v>340.2</v>
      </c>
      <c r="H1068">
        <v>369.78</v>
      </c>
      <c r="I1068">
        <v>369.8</v>
      </c>
      <c r="J1068">
        <v>-0.02</v>
      </c>
    </row>
    <row r="1069" spans="1:10" x14ac:dyDescent="0.3">
      <c r="A1069" t="str">
        <f>HYPERLINK("https://us2.cloudbeds.com/connect/10074733072513#/reservations/31689030316214?display=MHX75ZJ9S&amp;reservation_id=31689030316214", "MHX75ZJ9S")</f>
        <v>MHX75ZJ9S</v>
      </c>
      <c r="B1069" t="s">
        <v>10</v>
      </c>
      <c r="C1069" t="s">
        <v>42</v>
      </c>
      <c r="D1069" t="str">
        <f>HYPERLINK("https://us2.cloudbeds.com/connect/10074733072513#/reservations/31689030316214?display=Joan%20Vanderwaal&amp;reservation_id=31689030316214&amp;guest_id=31689030316166", "Joan Vanderwaal")</f>
        <v>Joan Vanderwaal</v>
      </c>
      <c r="E1069" t="s">
        <v>8035</v>
      </c>
      <c r="F1069" t="s">
        <v>8012</v>
      </c>
      <c r="G1069">
        <v>392.4</v>
      </c>
      <c r="H1069">
        <v>426.52</v>
      </c>
      <c r="I1069">
        <v>426.54</v>
      </c>
      <c r="J1069">
        <v>-0.02</v>
      </c>
    </row>
    <row r="1070" spans="1:10" x14ac:dyDescent="0.3">
      <c r="A1070" t="str">
        <f>HYPERLINK("https://us2.cloudbeds.com/connect/10074733072513#/reservations/31686561812697?display=MHGA37RXW&amp;reservation_id=31686561812697", "MHGA37RXW")</f>
        <v>MHGA37RXW</v>
      </c>
      <c r="B1070" t="s">
        <v>10</v>
      </c>
      <c r="C1070" t="s">
        <v>14</v>
      </c>
      <c r="D1070" t="str">
        <f>HYPERLINK("https://us2.cloudbeds.com/connect/10074733072513#/reservations/31686561812697?display=Shawn%20Burke&amp;reservation_id=31686561812697&amp;guest_id=31686561812692", "Shawn Burke")</f>
        <v>Shawn Burke</v>
      </c>
      <c r="E1070" t="s">
        <v>8050</v>
      </c>
      <c r="F1070" t="s">
        <v>8051</v>
      </c>
      <c r="G1070">
        <v>227.3</v>
      </c>
      <c r="H1070">
        <v>247.06</v>
      </c>
      <c r="I1070">
        <v>247.08</v>
      </c>
      <c r="J1070">
        <v>-0.02</v>
      </c>
    </row>
    <row r="1071" spans="1:10" x14ac:dyDescent="0.3">
      <c r="A1071" t="str">
        <f>HYPERLINK("https://us2.cloudbeds.com/connect/10074733072513#/reservations/31687169593544?display=MHGPKZ7ND&amp;reservation_id=31687169593544", "MHGPKZ7ND")</f>
        <v>MHGPKZ7ND</v>
      </c>
      <c r="B1071" t="s">
        <v>10</v>
      </c>
      <c r="C1071" t="s">
        <v>11</v>
      </c>
      <c r="D1071" t="str">
        <f>HYPERLINK("https://us2.cloudbeds.com/connect/10074733072513#/reservations/31687169593544?display=Nick%20Liffrig&amp;reservation_id=31687169593544&amp;guest_id=31687169593538", "Nick Liffrig")</f>
        <v>Nick Liffrig</v>
      </c>
      <c r="E1071" t="s">
        <v>8144</v>
      </c>
      <c r="F1071" t="s">
        <v>7795</v>
      </c>
      <c r="G1071">
        <v>286.39999999999998</v>
      </c>
      <c r="H1071">
        <v>311.3</v>
      </c>
      <c r="I1071">
        <v>311.32</v>
      </c>
      <c r="J1071">
        <v>-0.02</v>
      </c>
    </row>
    <row r="1072" spans="1:10" x14ac:dyDescent="0.3">
      <c r="A1072" t="str">
        <f>HYPERLINK("https://us2.cloudbeds.com/connect/10074733072513#/reservations/31683455451385?display=MHDTNSZS0&amp;reservation_id=31683455451385", "MHDTNSZS0")</f>
        <v>MHDTNSZS0</v>
      </c>
      <c r="B1072" t="s">
        <v>10</v>
      </c>
      <c r="C1072" t="s">
        <v>11</v>
      </c>
      <c r="D1072" t="str">
        <f>HYPERLINK("https://us2.cloudbeds.com/connect/10074733072513#/reservations/31683455451385?display=Steven%20Westley&amp;reservation_id=31683455451385&amp;guest_id=31683455451332", "Steven Westley")</f>
        <v>Steven Westley</v>
      </c>
      <c r="E1072" t="s">
        <v>8225</v>
      </c>
      <c r="F1072" t="s">
        <v>8226</v>
      </c>
      <c r="G1072">
        <v>631.04</v>
      </c>
      <c r="H1072">
        <v>685.92</v>
      </c>
      <c r="I1072">
        <v>685.94</v>
      </c>
      <c r="J1072">
        <v>-0.02</v>
      </c>
    </row>
    <row r="1073" spans="1:10" x14ac:dyDescent="0.3">
      <c r="A1073" t="str">
        <f>HYPERLINK("https://us2.cloudbeds.com/connect/10074733072513#/reservations/31687366562012?display=MHGUYR5YS&amp;reservation_id=31687366562012", "MHGUYR5YS")</f>
        <v>MHGUYR5YS</v>
      </c>
      <c r="B1073" t="s">
        <v>10</v>
      </c>
      <c r="C1073" t="s">
        <v>42</v>
      </c>
      <c r="D1073" t="str">
        <f>HYPERLINK("https://us2.cloudbeds.com/connect/10074733072513#/reservations/31687366562012?display=Jeff%20Potts&amp;reservation_id=31687366562012&amp;guest_id=30661955879051", "Jeff Potts")</f>
        <v>Jeff Potts</v>
      </c>
      <c r="E1073" t="s">
        <v>2578</v>
      </c>
      <c r="F1073" t="s">
        <v>8245</v>
      </c>
      <c r="G1073">
        <v>225</v>
      </c>
      <c r="H1073">
        <v>244.56</v>
      </c>
      <c r="I1073">
        <v>244.58</v>
      </c>
      <c r="J1073">
        <v>-0.02</v>
      </c>
    </row>
    <row r="1074" spans="1:10" x14ac:dyDescent="0.3">
      <c r="A1074" t="str">
        <f>HYPERLINK("https://us2.cloudbeds.com/connect/10074733072513#/reservations/31691200319707?display=MHJTKX4AF&amp;reservation_id=31691200319707", "MHJTKX4AF")</f>
        <v>MHJTKX4AF</v>
      </c>
      <c r="B1074" t="s">
        <v>10</v>
      </c>
      <c r="C1074" t="s">
        <v>23</v>
      </c>
      <c r="D1074" t="str">
        <f>HYPERLINK("https://us2.cloudbeds.com/connect/10074733072513#/reservations/31691200319707?display=Letitia%20Croce&amp;reservation_id=31691200319707&amp;guest_id=31691200319692", "Letitia Croce")</f>
        <v>Letitia Croce</v>
      </c>
      <c r="E1074" t="s">
        <v>8299</v>
      </c>
      <c r="F1074" t="s">
        <v>6604</v>
      </c>
      <c r="G1074">
        <v>402.3</v>
      </c>
      <c r="H1074">
        <v>437.28</v>
      </c>
      <c r="I1074">
        <v>437.3</v>
      </c>
      <c r="J1074">
        <v>-0.02</v>
      </c>
    </row>
    <row r="1075" spans="1:10" x14ac:dyDescent="0.3">
      <c r="A1075" t="str">
        <f>HYPERLINK("https://us2.cloudbeds.com/connect/10074733072513#/reservations/31695009239245?display=MHMRVAUZY&amp;reservation_id=31695009239245", "MHMRVAUZY")</f>
        <v>MHMRVAUZY</v>
      </c>
      <c r="B1075" t="s">
        <v>10</v>
      </c>
      <c r="C1075" t="s">
        <v>20</v>
      </c>
      <c r="D1075" t="str">
        <f>HYPERLINK("https://us2.cloudbeds.com/connect/10074733072513#/reservations/31695009239245?display=Jacob%20Peterson&amp;reservation_id=31695009239245&amp;guest_id=31695009239240", "Jacob Peterson")</f>
        <v>Jacob Peterson</v>
      </c>
      <c r="E1075" t="s">
        <v>8315</v>
      </c>
      <c r="F1075" t="s">
        <v>8269</v>
      </c>
      <c r="G1075">
        <v>490.5</v>
      </c>
      <c r="H1075">
        <v>533.15</v>
      </c>
      <c r="I1075">
        <v>533.16999999999996</v>
      </c>
      <c r="J1075">
        <v>-0.02</v>
      </c>
    </row>
    <row r="1076" spans="1:10" x14ac:dyDescent="0.3">
      <c r="A1076" t="str">
        <f>HYPERLINK("https://us2.cloudbeds.com/connect/10074733072513#/reservations/31693254369492?display=MHYG3J33B&amp;reservation_id=31693254369492", "MHYG3J33B")</f>
        <v>MHYG3J33B</v>
      </c>
      <c r="B1076" t="s">
        <v>10</v>
      </c>
      <c r="C1076" t="s">
        <v>42</v>
      </c>
      <c r="D1076" t="str">
        <f>HYPERLINK("https://us2.cloudbeds.com/connect/10074733072513#/reservations/31693254369492?display=Peter%20Hummel&amp;reservation_id=31693254369492&amp;guest_id=31693254365393", "Peter Hummel")</f>
        <v>Peter Hummel</v>
      </c>
      <c r="E1076" t="s">
        <v>8326</v>
      </c>
      <c r="F1076" t="s">
        <v>7530</v>
      </c>
      <c r="G1076">
        <v>490.5</v>
      </c>
      <c r="H1076">
        <v>533.15</v>
      </c>
      <c r="I1076">
        <v>533.16999999999996</v>
      </c>
      <c r="J1076">
        <v>-0.02</v>
      </c>
    </row>
    <row r="1077" spans="1:10" x14ac:dyDescent="0.3">
      <c r="A1077" t="str">
        <f>HYPERLINK("https://us2.cloudbeds.com/connect/10074733072513#/reservations/31694831980699?display=MHMNDSETX&amp;reservation_id=31694831980699", "MHMNDSETX")</f>
        <v>MHMNDSETX</v>
      </c>
      <c r="B1077" t="s">
        <v>10</v>
      </c>
      <c r="C1077" t="s">
        <v>42</v>
      </c>
      <c r="D1077" t="str">
        <f>HYPERLINK("https://us2.cloudbeds.com/connect/10074733072513#/reservations/31694831980699?display=Marci%20Stanage&amp;reservation_id=31694831980699&amp;guest_id=31690054553828", "Marci Stanage")</f>
        <v>Marci Stanage</v>
      </c>
      <c r="E1077" t="s">
        <v>8337</v>
      </c>
      <c r="F1077" t="s">
        <v>8338</v>
      </c>
      <c r="G1077">
        <v>1098.9000000000001</v>
      </c>
      <c r="H1077">
        <v>1194.48</v>
      </c>
      <c r="I1077">
        <v>1194.5</v>
      </c>
      <c r="J1077">
        <v>-0.02</v>
      </c>
    </row>
    <row r="1078" spans="1:10" x14ac:dyDescent="0.3">
      <c r="A1078" t="str">
        <f>HYPERLINK("https://us2.cloudbeds.com/connect/10074733072513#/reservations/31688835211478?display=MHX267GP4&amp;reservation_id=31688835211478", "MHX267GP4")</f>
        <v>MHX267GP4</v>
      </c>
      <c r="B1078" t="s">
        <v>10</v>
      </c>
      <c r="C1078" t="s">
        <v>42</v>
      </c>
      <c r="D1078" t="str">
        <f>HYPERLINK("https://us2.cloudbeds.com/connect/10074733072513#/reservations/31688835211478?display=Scott%20Norton&amp;reservation_id=31688835211478&amp;guest_id=31688835211476", "Scott Norton")</f>
        <v>Scott Norton</v>
      </c>
      <c r="E1078" t="s">
        <v>8349</v>
      </c>
      <c r="F1078" t="s">
        <v>8350</v>
      </c>
      <c r="G1078">
        <v>556</v>
      </c>
      <c r="H1078">
        <v>604.35</v>
      </c>
      <c r="I1078">
        <v>604.37</v>
      </c>
      <c r="J1078">
        <v>-0.02</v>
      </c>
    </row>
    <row r="1079" spans="1:10" x14ac:dyDescent="0.3">
      <c r="A1079" t="str">
        <f>HYPERLINK("https://us2.cloudbeds.com/connect/10074733072513#/reservations/31694910890159?display=MHMPED7CA&amp;reservation_id=31694910890159", "MHMPED7CA")</f>
        <v>MHMPED7CA</v>
      </c>
      <c r="B1079" t="s">
        <v>10</v>
      </c>
      <c r="C1079" t="s">
        <v>42</v>
      </c>
      <c r="D1079" t="str">
        <f>HYPERLINK("https://us2.cloudbeds.com/connect/10074733072513#/reservations/31694910890159?display=Janet%20Dirks&amp;reservation_id=31694910890159&amp;guest_id=31694910890128", "Janet Dirks")</f>
        <v>Janet Dirks</v>
      </c>
      <c r="E1079" t="s">
        <v>8385</v>
      </c>
      <c r="F1079" t="s">
        <v>8333</v>
      </c>
      <c r="G1079">
        <v>392.4</v>
      </c>
      <c r="H1079">
        <v>426.52</v>
      </c>
      <c r="I1079">
        <v>426.54</v>
      </c>
      <c r="J1079">
        <v>-0.02</v>
      </c>
    </row>
    <row r="1080" spans="1:10" x14ac:dyDescent="0.3">
      <c r="A1080" t="str">
        <f>HYPERLINK("https://us2.cloudbeds.com/connect/10074733072513#/reservations/31695395094758?display=MHN4QMUMV&amp;reservation_id=31695395094758", "MHN4QMUMV")</f>
        <v>MHN4QMUMV</v>
      </c>
      <c r="B1080" t="s">
        <v>10</v>
      </c>
      <c r="C1080" t="s">
        <v>42</v>
      </c>
      <c r="D1080" t="str">
        <f>HYPERLINK("https://us2.cloudbeds.com/connect/10074733072513#/reservations/31695395094758?display=Scott%20Norton&amp;reservation_id=31695395094758&amp;guest_id=31688835211476", "Scott Norton")</f>
        <v>Scott Norton</v>
      </c>
      <c r="E1080" t="s">
        <v>8349</v>
      </c>
      <c r="F1080" t="s">
        <v>8266</v>
      </c>
      <c r="G1080">
        <v>556</v>
      </c>
      <c r="H1080">
        <v>604.35</v>
      </c>
      <c r="I1080">
        <v>604.37</v>
      </c>
      <c r="J1080">
        <v>-0.02</v>
      </c>
    </row>
    <row r="1081" spans="1:10" x14ac:dyDescent="0.3">
      <c r="A1081" t="str">
        <f>HYPERLINK("https://us2.cloudbeds.com/connect/10074733072513#/reservations/31688940998905?display=MHX4TE6XZ&amp;reservation_id=31688940998905", "MHX4TE6XZ")</f>
        <v>MHX4TE6XZ</v>
      </c>
      <c r="B1081" t="s">
        <v>10</v>
      </c>
      <c r="C1081" t="s">
        <v>121</v>
      </c>
      <c r="D1081" t="str">
        <f>HYPERLINK("https://us2.cloudbeds.com/connect/10074733072513#/reservations/31688940998905?display=Kylene%20Lynn%20Knettel&amp;reservation_id=31688940998905&amp;guest_id=31688940998900", "Kylene Lynn Knettel")</f>
        <v>Kylene Lynn Knettel</v>
      </c>
      <c r="E1081" t="s">
        <v>8422</v>
      </c>
      <c r="F1081" t="s">
        <v>8247</v>
      </c>
      <c r="G1081">
        <v>261.60000000000002</v>
      </c>
      <c r="H1081">
        <v>284.33999999999997</v>
      </c>
      <c r="I1081">
        <v>284.36</v>
      </c>
      <c r="J1081">
        <v>-0.02</v>
      </c>
    </row>
    <row r="1082" spans="1:10" x14ac:dyDescent="0.3">
      <c r="A1082" t="str">
        <f>HYPERLINK("https://us2.cloudbeds.com/connect/10074733072513#/reservations/31694831882493?display=MHMNDPNNK&amp;reservation_id=31694831882493", "MHMNDPNNK")</f>
        <v>MHMNDPNNK</v>
      </c>
      <c r="B1082" t="s">
        <v>10</v>
      </c>
      <c r="C1082" t="s">
        <v>42</v>
      </c>
      <c r="D1082" t="str">
        <f>HYPERLINK("https://us2.cloudbeds.com/connect/10074733072513#/reservations/31694831882493?display=Ricky%20Munch&amp;reservation_id=31694831882493&amp;guest_id=31694831882477", "Ricky Munch")</f>
        <v>Ricky Munch</v>
      </c>
      <c r="E1082" t="s">
        <v>8480</v>
      </c>
      <c r="F1082" t="s">
        <v>8027</v>
      </c>
      <c r="G1082">
        <v>4939</v>
      </c>
      <c r="H1082">
        <v>5368.67</v>
      </c>
      <c r="I1082">
        <v>5368.69</v>
      </c>
      <c r="J1082">
        <v>-0.02</v>
      </c>
    </row>
    <row r="1083" spans="1:10" x14ac:dyDescent="0.3">
      <c r="A1083" t="str">
        <f>HYPERLINK("https://us2.cloudbeds.com/connect/10074733072513#/reservations/31692352385164?display=MHKQ201YU&amp;reservation_id=31692352385164", "MHKQ201YU")</f>
        <v>MHKQ201YU</v>
      </c>
      <c r="B1083" t="s">
        <v>10</v>
      </c>
      <c r="C1083" t="s">
        <v>11</v>
      </c>
      <c r="D1083" t="str">
        <f>HYPERLINK("https://us2.cloudbeds.com/connect/10074733072513#/reservations/31692352385164?display=Angela%20Knakmuhs&amp;reservation_id=31692352385164&amp;guest_id=31692352381070", "Angela Knakmuhs")</f>
        <v>Angela Knakmuhs</v>
      </c>
      <c r="E1083" t="s">
        <v>8502</v>
      </c>
      <c r="F1083" t="s">
        <v>8338</v>
      </c>
      <c r="G1083">
        <v>246.4</v>
      </c>
      <c r="H1083">
        <v>267.82</v>
      </c>
      <c r="I1083">
        <v>267.83999999999997</v>
      </c>
      <c r="J1083">
        <v>-0.02</v>
      </c>
    </row>
    <row r="1084" spans="1:10" x14ac:dyDescent="0.3">
      <c r="A1084" t="str">
        <f>HYPERLINK("https://us2.cloudbeds.com/connect/10074733072513#/reservations/31695636209843?display=MHNAW0AAM&amp;reservation_id=31695636209843", "MHNAW0AAM")</f>
        <v>MHNAW0AAM</v>
      </c>
      <c r="B1084" t="s">
        <v>10</v>
      </c>
      <c r="C1084" t="s">
        <v>23</v>
      </c>
      <c r="D1084" t="str">
        <f>HYPERLINK("https://us2.cloudbeds.com/connect/10074733072513#/reservations/31695636209843?display=Douglas%20Thomson&amp;reservation_id=31695636209843&amp;guest_id=31695636209794", "Douglas Thomson")</f>
        <v>Douglas Thomson</v>
      </c>
      <c r="E1084" t="s">
        <v>8545</v>
      </c>
      <c r="F1084" t="s">
        <v>8546</v>
      </c>
      <c r="G1084">
        <v>750.6</v>
      </c>
      <c r="H1084">
        <v>815.88</v>
      </c>
      <c r="I1084">
        <v>815.9</v>
      </c>
      <c r="J1084">
        <v>-0.02</v>
      </c>
    </row>
    <row r="1085" spans="1:10" x14ac:dyDescent="0.3">
      <c r="A1085" t="str">
        <f>HYPERLINK("https://us2.cloudbeds.com/connect/10074733072513#/reservations/31695731675389?display=MHNDDGPR0&amp;reservation_id=31695731675389", "MHNDDGPR0")</f>
        <v>MHNDDGPR0</v>
      </c>
      <c r="B1085" t="s">
        <v>10</v>
      </c>
      <c r="C1085" t="s">
        <v>14</v>
      </c>
      <c r="D1085" t="str">
        <f>HYPERLINK("https://us2.cloudbeds.com/connect/10074733072513#/reservations/31695731675389?display=Allen%20Weihe&amp;reservation_id=31695731675389&amp;guest_id=31695722135779", "Allen Weihe")</f>
        <v>Allen Weihe</v>
      </c>
      <c r="E1085" t="s">
        <v>8574</v>
      </c>
      <c r="F1085" t="s">
        <v>8265</v>
      </c>
      <c r="G1085">
        <v>206.4</v>
      </c>
      <c r="H1085">
        <v>224.34</v>
      </c>
      <c r="I1085">
        <v>224.36</v>
      </c>
      <c r="J1085">
        <v>-0.02</v>
      </c>
    </row>
    <row r="1086" spans="1:10" x14ac:dyDescent="0.3">
      <c r="A1086" t="str">
        <f>HYPERLINK("https://us2.cloudbeds.com/connect/10074733072513#/reservations/31695371374755?display=MHN46MT7W&amp;reservation_id=31695371374755", "MHN46MT7W")</f>
        <v>MHN46MT7W</v>
      </c>
      <c r="B1086" t="s">
        <v>10</v>
      </c>
      <c r="C1086" t="s">
        <v>14</v>
      </c>
      <c r="D1086" t="str">
        <f>HYPERLINK("https://us2.cloudbeds.com/connect/10074733072513#/reservations/31695371374755?display=Debbie%20Smothers&amp;reservation_id=31695371374755&amp;guest_id=31695371374753", "Debbie Smothers")</f>
        <v>Debbie Smothers</v>
      </c>
      <c r="E1086" t="s">
        <v>8586</v>
      </c>
      <c r="F1086" t="s">
        <v>8387</v>
      </c>
      <c r="G1086">
        <v>381.6</v>
      </c>
      <c r="H1086">
        <v>414.78</v>
      </c>
      <c r="I1086">
        <v>414.8</v>
      </c>
      <c r="J1086">
        <v>-0.02</v>
      </c>
    </row>
    <row r="1087" spans="1:10" x14ac:dyDescent="0.3">
      <c r="A1087" t="str">
        <f>HYPERLINK("https://us2.cloudbeds.com/connect/10074733072513#/reservations/31689529090225?display=MHXJUANAR&amp;reservation_id=31689529090225", "MHXJUANAR")</f>
        <v>MHXJUANAR</v>
      </c>
      <c r="B1087" t="s">
        <v>10</v>
      </c>
      <c r="C1087" t="s">
        <v>11</v>
      </c>
      <c r="D1087" t="str">
        <f>HYPERLINK("https://us2.cloudbeds.com/connect/10074733072513#/reservations/31689529090225?display=Serena%20Swenson&amp;reservation_id=31689529090225&amp;guest_id=31689518280919", "Serena Swenson")</f>
        <v>Serena Swenson</v>
      </c>
      <c r="E1087" t="s">
        <v>8587</v>
      </c>
      <c r="F1087" t="s">
        <v>8034</v>
      </c>
      <c r="G1087">
        <v>286.39999999999998</v>
      </c>
      <c r="H1087">
        <v>311.3</v>
      </c>
      <c r="I1087">
        <v>311.32</v>
      </c>
      <c r="J1087">
        <v>-0.02</v>
      </c>
    </row>
    <row r="1088" spans="1:10" x14ac:dyDescent="0.3">
      <c r="A1088" t="str">
        <f>HYPERLINK("https://us2.cloudbeds.com/connect/10074733072513#/reservations/31695697019131?display=MHNCH9DTC&amp;reservation_id=31695697019131", "MHNCH9DTC")</f>
        <v>MHNCH9DTC</v>
      </c>
      <c r="B1088" t="s">
        <v>10</v>
      </c>
      <c r="C1088" t="s">
        <v>14</v>
      </c>
      <c r="D1088" t="str">
        <f>HYPERLINK("https://us2.cloudbeds.com/connect/10074733072513#/reservations/31695697019131?display=Sara%20J%20Helgeson&amp;reservation_id=31695697019131&amp;guest_id=31695686217886", "Sara J Helgeson")</f>
        <v>Sara J Helgeson</v>
      </c>
      <c r="E1088" t="s">
        <v>8781</v>
      </c>
      <c r="F1088" t="s">
        <v>8151</v>
      </c>
      <c r="G1088">
        <v>286.39999999999998</v>
      </c>
      <c r="H1088">
        <v>311.3</v>
      </c>
      <c r="I1088">
        <v>311.32</v>
      </c>
      <c r="J1088">
        <v>-0.02</v>
      </c>
    </row>
    <row r="1089" spans="1:10" x14ac:dyDescent="0.3">
      <c r="A1089" t="str">
        <f>HYPERLINK("https://us2.cloudbeds.com/connect/10074733072513#/reservations/31726412771552?display=MXE5CKGRP&amp;reservation_id=31726412771552", "MXE5CKGRP")</f>
        <v>MXE5CKGRP</v>
      </c>
      <c r="B1089" t="s">
        <v>10</v>
      </c>
      <c r="C1089" t="s">
        <v>14</v>
      </c>
      <c r="D1089" t="str">
        <f>HYPERLINK("https://us2.cloudbeds.com/connect/10074733072513#/reservations/31726412771552?display=Corey%20Olson&amp;reservation_id=31726412771552&amp;guest_id=31726412771535", "Corey Olson")</f>
        <v>Corey Olson</v>
      </c>
      <c r="E1089" t="s">
        <v>8800</v>
      </c>
      <c r="F1089" t="s">
        <v>8801</v>
      </c>
      <c r="G1089">
        <v>402.3</v>
      </c>
      <c r="H1089">
        <v>437.28</v>
      </c>
      <c r="I1089">
        <v>437.3</v>
      </c>
      <c r="J1089">
        <v>-0.02</v>
      </c>
    </row>
    <row r="1090" spans="1:10" x14ac:dyDescent="0.3">
      <c r="A1090" t="str">
        <f>HYPERLINK("https://us2.cloudbeds.com/connect/10074733072513#/reservations/31696048910468?display=MHNYH0AE7&amp;reservation_id=31696048910468", "MHNYH0AE7")</f>
        <v>MHNYH0AE7</v>
      </c>
      <c r="B1090" t="s">
        <v>10</v>
      </c>
      <c r="C1090" t="s">
        <v>23</v>
      </c>
      <c r="D1090" t="str">
        <f>HYPERLINK("https://us2.cloudbeds.com/connect/10074733072513#/reservations/31696048910468?display=Vickie%20Cartwright&amp;reservation_id=31696048910468&amp;guest_id=31696048910466", "Vickie Cartwright")</f>
        <v>Vickie Cartwright</v>
      </c>
      <c r="E1090" t="s">
        <v>8804</v>
      </c>
      <c r="F1090" t="s">
        <v>6746</v>
      </c>
      <c r="G1090">
        <v>752.4</v>
      </c>
      <c r="H1090">
        <v>817.84</v>
      </c>
      <c r="I1090">
        <v>817.86</v>
      </c>
      <c r="J1090">
        <v>-0.02</v>
      </c>
    </row>
    <row r="1091" spans="1:10" x14ac:dyDescent="0.3">
      <c r="A1091" t="str">
        <f>HYPERLINK("https://us2.cloudbeds.com/connect/10074733072513#/reservations/31730097029270?display=MXH0H9DK1&amp;reservation_id=31730097029270", "MXH0H9DK1")</f>
        <v>MXH0H9DK1</v>
      </c>
      <c r="B1091" t="s">
        <v>10</v>
      </c>
      <c r="C1091" t="s">
        <v>14</v>
      </c>
      <c r="D1091" t="str">
        <f>HYPERLINK("https://us2.cloudbeds.com/connect/10074733072513#/reservations/31730097029270?display=Robert%20Prinsen&amp;reservation_id=31730097029270&amp;guest_id=31730097029268", "Robert Prinsen")</f>
        <v>Robert Prinsen</v>
      </c>
      <c r="E1091" t="s">
        <v>8825</v>
      </c>
      <c r="F1091" t="s">
        <v>8826</v>
      </c>
      <c r="G1091">
        <v>308.48</v>
      </c>
      <c r="H1091">
        <v>335.3</v>
      </c>
      <c r="I1091">
        <v>335.32</v>
      </c>
      <c r="J1091">
        <v>-0.02</v>
      </c>
    </row>
    <row r="1092" spans="1:10" x14ac:dyDescent="0.3">
      <c r="A1092" t="str">
        <f>HYPERLINK("https://us2.cloudbeds.com/connect/10074733072513#/reservations/31693048213677?display=MHYARZGYE&amp;reservation_id=31693048213677", "MHYARZGYE")</f>
        <v>MHYARZGYE</v>
      </c>
      <c r="B1092" t="s">
        <v>10</v>
      </c>
      <c r="C1092" t="s">
        <v>14</v>
      </c>
      <c r="D1092" t="str">
        <f>HYPERLINK("https://us2.cloudbeds.com/connect/10074733072513#/reservations/31693048213677?display=Neil%20Anderson&amp;reservation_id=31693048213677&amp;guest_id=31693048213665", "Neil Anderson")</f>
        <v>Neil Anderson</v>
      </c>
      <c r="E1092" t="s">
        <v>8839</v>
      </c>
      <c r="F1092" t="s">
        <v>8259</v>
      </c>
      <c r="G1092">
        <v>206.4</v>
      </c>
      <c r="H1092">
        <v>224.34</v>
      </c>
      <c r="I1092">
        <v>224.36</v>
      </c>
      <c r="J1092">
        <v>-0.02</v>
      </c>
    </row>
    <row r="1093" spans="1:10" x14ac:dyDescent="0.3">
      <c r="A1093" t="str">
        <f>HYPERLINK("https://us2.cloudbeds.com/connect/10074733072513#/reservations/31690931724443?display=MHJMP22C1&amp;reservation_id=31690931724443", "MHJMP22C1")</f>
        <v>MHJMP22C1</v>
      </c>
      <c r="B1093" t="s">
        <v>10</v>
      </c>
      <c r="C1093" t="s">
        <v>14</v>
      </c>
      <c r="D1093" t="str">
        <f>HYPERLINK("https://us2.cloudbeds.com/connect/10074733072513#/reservations/31690931724443?display=Susan%20Stenson&amp;reservation_id=31690931724443&amp;guest_id=31690931724438", "Susan Stenson")</f>
        <v>Susan Stenson</v>
      </c>
      <c r="E1093" t="s">
        <v>8846</v>
      </c>
      <c r="F1093" t="s">
        <v>8210</v>
      </c>
      <c r="G1093">
        <v>286.39999999999998</v>
      </c>
      <c r="H1093">
        <v>311.3</v>
      </c>
      <c r="I1093">
        <v>311.32</v>
      </c>
      <c r="J1093">
        <v>-0.02</v>
      </c>
    </row>
    <row r="1094" spans="1:10" x14ac:dyDescent="0.3">
      <c r="A1094" t="str">
        <f>HYPERLINK("https://us2.cloudbeds.com/connect/10074733072513#/reservations/31691030536393?display=MHJP9CYPX&amp;reservation_id=31691030536393", "MHJP9CYPX")</f>
        <v>MHJP9CYPX</v>
      </c>
      <c r="B1094" t="s">
        <v>10</v>
      </c>
      <c r="C1094" t="s">
        <v>14</v>
      </c>
      <c r="D1094" t="str">
        <f>HYPERLINK("https://us2.cloudbeds.com/connect/10074733072513#/reservations/31691030536393?display=Jason%20Bentley&amp;reservation_id=31691030536393&amp;guest_id=31691021705390", "Jason Bentley")</f>
        <v>Jason Bentley</v>
      </c>
      <c r="E1094" t="s">
        <v>8888</v>
      </c>
      <c r="F1094" t="s">
        <v>8265</v>
      </c>
      <c r="G1094">
        <v>206.4</v>
      </c>
      <c r="H1094">
        <v>224.34</v>
      </c>
      <c r="I1094">
        <v>224.36</v>
      </c>
      <c r="J1094">
        <v>-0.02</v>
      </c>
    </row>
    <row r="1095" spans="1:10" x14ac:dyDescent="0.3">
      <c r="A1095" t="str">
        <f>HYPERLINK("https://us2.cloudbeds.com/connect/10074733072513#/reservations/31736057356435?display=MXYKR69VZ&amp;reservation_id=31736057356435", "MXYKR69VZ")</f>
        <v>MXYKR69VZ</v>
      </c>
      <c r="B1095" t="s">
        <v>10</v>
      </c>
      <c r="C1095" t="s">
        <v>11</v>
      </c>
      <c r="D1095" t="str">
        <f>HYPERLINK("https://us2.cloudbeds.com/connect/10074733072513#/reservations/31736057356435?display=Brianna%20Hellwig&amp;reservation_id=31736057356435&amp;guest_id=31736049668337", "Brianna Hellwig")</f>
        <v>Brianna Hellwig</v>
      </c>
      <c r="E1095" t="s">
        <v>8937</v>
      </c>
      <c r="F1095" t="s">
        <v>6916</v>
      </c>
      <c r="G1095">
        <v>287.32</v>
      </c>
      <c r="H1095">
        <v>312.3</v>
      </c>
      <c r="I1095">
        <v>312.32</v>
      </c>
      <c r="J1095">
        <v>-0.02</v>
      </c>
    </row>
    <row r="1096" spans="1:10" x14ac:dyDescent="0.3">
      <c r="A1096" t="str">
        <f>HYPERLINK("https://us2.cloudbeds.com/connect/10074733072513#/reservations/31733654335709?display=MXJPDTNBS&amp;reservation_id=31733654335709", "MXJPDTNBS")</f>
        <v>MXJPDTNBS</v>
      </c>
      <c r="B1096" t="s">
        <v>10</v>
      </c>
      <c r="C1096" t="s">
        <v>11</v>
      </c>
      <c r="D1096" t="str">
        <f>HYPERLINK("https://us2.cloudbeds.com/connect/10074733072513#/reservations/31733654335709?display=Tamra%20Willingham&amp;reservation_id=31733654335709&amp;guest_id=31733654331608", "Tamra Willingham")</f>
        <v>Tamra Willingham</v>
      </c>
      <c r="E1096" t="s">
        <v>8994</v>
      </c>
      <c r="F1096" t="s">
        <v>8596</v>
      </c>
      <c r="G1096">
        <v>340.2</v>
      </c>
      <c r="H1096">
        <v>369.78</v>
      </c>
      <c r="I1096">
        <v>369.8</v>
      </c>
      <c r="J1096">
        <v>-0.02</v>
      </c>
    </row>
    <row r="1097" spans="1:10" x14ac:dyDescent="0.3">
      <c r="A1097" t="str">
        <f>HYPERLINK("https://us2.cloudbeds.com/connect/10074733072513#/reservations/31731019387008?display=MXHZ318NB&amp;reservation_id=31731019387008", "MXHZ318NB")</f>
        <v>MXHZ318NB</v>
      </c>
      <c r="B1097" t="s">
        <v>10</v>
      </c>
      <c r="C1097" t="s">
        <v>23</v>
      </c>
      <c r="D1097" t="str">
        <f>HYPERLINK("https://us2.cloudbeds.com/connect/10074733072513#/reservations/31731019387008?display=Dave%20Emery&amp;reservation_id=31731019387008&amp;guest_id=31731019382916", "Dave Emery")</f>
        <v>Dave Emery</v>
      </c>
      <c r="E1097" t="s">
        <v>9044</v>
      </c>
      <c r="F1097" t="s">
        <v>9045</v>
      </c>
      <c r="G1097">
        <v>706.5</v>
      </c>
      <c r="H1097">
        <v>767.95</v>
      </c>
      <c r="I1097">
        <v>767.97</v>
      </c>
      <c r="J1097">
        <v>-0.02</v>
      </c>
    </row>
    <row r="1098" spans="1:10" x14ac:dyDescent="0.3">
      <c r="A1098" t="str">
        <f>HYPERLINK("https://us2.cloudbeds.com/connect/10074733072513#/reservations/31733116592263?display=MXJBMF6NU&amp;reservation_id=31733116592263", "MXJBMF6NU")</f>
        <v>MXJBMF6NU</v>
      </c>
      <c r="B1098" t="s">
        <v>10</v>
      </c>
      <c r="C1098" t="s">
        <v>42</v>
      </c>
      <c r="D1098" t="str">
        <f>HYPERLINK("https://us2.cloudbeds.com/connect/10074733072513#/reservations/31733116592263?display=Patsy%20Stevenson&amp;reservation_id=31733116592263&amp;guest_id=31733099880675", "Patsy Stevenson")</f>
        <v>Patsy Stevenson</v>
      </c>
      <c r="E1098" t="s">
        <v>9058</v>
      </c>
      <c r="F1098" t="s">
        <v>8596</v>
      </c>
      <c r="G1098">
        <v>340.2</v>
      </c>
      <c r="H1098">
        <v>369.78</v>
      </c>
      <c r="I1098">
        <v>369.8</v>
      </c>
      <c r="J1098">
        <v>-0.02</v>
      </c>
    </row>
    <row r="1099" spans="1:10" x14ac:dyDescent="0.3">
      <c r="A1099" t="str">
        <f>HYPERLINK("https://us2.cloudbeds.com/connect/10074733072513#/reservations/31730854715544?display=MXHJT64V5&amp;reservation_id=31730854715544", "MXHJT64V5")</f>
        <v>MXHJT64V5</v>
      </c>
      <c r="B1099" t="s">
        <v>10</v>
      </c>
      <c r="C1099" t="s">
        <v>11</v>
      </c>
      <c r="D1099" t="str">
        <f>HYPERLINK("https://us2.cloudbeds.com/connect/10074733072513#/reservations/31730854715544?display=Heather%20Meadows&amp;reservation_id=31730854715544&amp;guest_id=31730854711451", "Heather Meadows")</f>
        <v>Heather Meadows</v>
      </c>
      <c r="E1099" t="s">
        <v>9069</v>
      </c>
      <c r="F1099" t="s">
        <v>8596</v>
      </c>
      <c r="G1099">
        <v>340.2</v>
      </c>
      <c r="H1099">
        <v>369.78</v>
      </c>
      <c r="I1099">
        <v>369.8</v>
      </c>
      <c r="J1099">
        <v>-0.02</v>
      </c>
    </row>
    <row r="1100" spans="1:10" x14ac:dyDescent="0.3">
      <c r="A1100" t="str">
        <f>HYPERLINK("https://us2.cloudbeds.com/connect/10074733072513#/reservations/31732047585483?display=MXXHC1GW2&amp;reservation_id=31732047585483", "MXXHC1GW2")</f>
        <v>MXXHC1GW2</v>
      </c>
      <c r="B1100" t="s">
        <v>10</v>
      </c>
      <c r="C1100" t="s">
        <v>20</v>
      </c>
      <c r="D1100" t="str">
        <f>HYPERLINK("https://us2.cloudbeds.com/connect/10074733072513#/reservations/31732047585483?display=Greta%20Langpap&amp;reservation_id=31732047585483&amp;guest_id=31732047585480", "Greta Langpap")</f>
        <v>Greta Langpap</v>
      </c>
      <c r="E1100" t="s">
        <v>9088</v>
      </c>
      <c r="F1100" t="s">
        <v>9089</v>
      </c>
      <c r="G1100">
        <v>930.6</v>
      </c>
      <c r="H1100">
        <v>1011.54</v>
      </c>
      <c r="I1100">
        <v>1011.56</v>
      </c>
      <c r="J1100">
        <v>-0.02</v>
      </c>
    </row>
    <row r="1101" spans="1:10" x14ac:dyDescent="0.3">
      <c r="A1101" t="str">
        <f>HYPERLINK("https://us2.cloudbeds.com/connect/10074733072513#/reservations/31735246893191?display=MXY03PVUG&amp;reservation_id=31735246893191", "MXY03PVUG")</f>
        <v>MXY03PVUG</v>
      </c>
      <c r="B1101" t="s">
        <v>10</v>
      </c>
      <c r="C1101" t="s">
        <v>42</v>
      </c>
      <c r="D1101" t="str">
        <f>HYPERLINK("https://us2.cloudbeds.com/connect/10074733072513#/reservations/31735246893191?display=Susan%20Goehring-Teager&amp;reservation_id=31735246893191&amp;guest_id=31735234494695", "Susan Goehring-Teager")</f>
        <v>Susan Goehring-Teager</v>
      </c>
      <c r="E1101" t="s">
        <v>9117</v>
      </c>
      <c r="F1101" t="s">
        <v>9118</v>
      </c>
      <c r="G1101">
        <v>1031.9000000000001</v>
      </c>
      <c r="H1101">
        <v>1121.6600000000001</v>
      </c>
      <c r="I1101">
        <v>1121.68</v>
      </c>
      <c r="J1101">
        <v>-0.02</v>
      </c>
    </row>
    <row r="1102" spans="1:10" x14ac:dyDescent="0.3">
      <c r="A1102" t="str">
        <f>HYPERLINK("https://us2.cloudbeds.com/connect/10074733072513#/reservations/31732361220277?display=MXXPCGSHZ&amp;reservation_id=31732361220277", "MXXPCGSHZ")</f>
        <v>MXXPCGSHZ</v>
      </c>
      <c r="B1102" t="s">
        <v>10</v>
      </c>
      <c r="C1102" t="s">
        <v>20</v>
      </c>
      <c r="D1102" t="str">
        <f>HYPERLINK("https://us2.cloudbeds.com/connect/10074733072513#/reservations/31732361220277?display=Jessica%20Remily&amp;reservation_id=31732361220277&amp;guest_id=31732350656668", "Jessica Remily")</f>
        <v>Jessica Remily</v>
      </c>
      <c r="E1102" t="s">
        <v>9121</v>
      </c>
      <c r="F1102" t="s">
        <v>9122</v>
      </c>
      <c r="G1102">
        <v>340.2</v>
      </c>
      <c r="H1102">
        <v>369.78</v>
      </c>
      <c r="I1102">
        <v>369.8</v>
      </c>
      <c r="J1102">
        <v>-0.02</v>
      </c>
    </row>
    <row r="1103" spans="1:10" x14ac:dyDescent="0.3">
      <c r="A1103" t="str">
        <f>HYPERLINK("https://us2.cloudbeds.com/connect/10074733072513#/reservations/31696043380888?display=MHNYCBEP5&amp;reservation_id=31696043380888", "MHNYCBEP5")</f>
        <v>MHNYCBEP5</v>
      </c>
      <c r="B1103" t="s">
        <v>10</v>
      </c>
      <c r="C1103" t="s">
        <v>20</v>
      </c>
      <c r="D1103" t="str">
        <f>HYPERLINK("https://us2.cloudbeds.com/connect/10074733072513#/reservations/31696043380888?display=Shea%20Roberts&amp;reservation_id=31696043380888&amp;guest_id=31696029987015", "Shea Roberts")</f>
        <v>Shea Roberts</v>
      </c>
      <c r="E1103" t="s">
        <v>9141</v>
      </c>
      <c r="F1103" t="s">
        <v>8419</v>
      </c>
      <c r="G1103">
        <v>340.2</v>
      </c>
      <c r="H1103">
        <v>369.78</v>
      </c>
      <c r="I1103">
        <v>369.8</v>
      </c>
      <c r="J1103">
        <v>-0.02</v>
      </c>
    </row>
    <row r="1104" spans="1:10" x14ac:dyDescent="0.3">
      <c r="A1104" t="str">
        <f>HYPERLINK("https://us2.cloudbeds.com/connect/10074733072513#/reservations/31695981297845?display=MHNJPWTHS&amp;reservation_id=31695981297845", "MHNJPWTHS")</f>
        <v>MHNJPWTHS</v>
      </c>
      <c r="B1104" t="s">
        <v>10</v>
      </c>
      <c r="C1104" t="s">
        <v>42</v>
      </c>
      <c r="D1104" t="str">
        <f>HYPERLINK("https://us2.cloudbeds.com/connect/10074733072513#/reservations/31695981297845?display=William%20Armour&amp;reservation_id=31695981297845&amp;guest_id=31695970840792", "William Armour")</f>
        <v>William Armour</v>
      </c>
      <c r="E1104" t="s">
        <v>9143</v>
      </c>
      <c r="F1104" t="s">
        <v>6746</v>
      </c>
      <c r="G1104">
        <v>300.2</v>
      </c>
      <c r="H1104">
        <v>326.3</v>
      </c>
      <c r="I1104">
        <v>326.32</v>
      </c>
      <c r="J1104">
        <v>-0.02</v>
      </c>
    </row>
    <row r="1105" spans="1:10" x14ac:dyDescent="0.3">
      <c r="A1105" t="str">
        <f>HYPERLINK("https://us2.cloudbeds.com/connect/10074733072513#/reservations/31736104259796?display=MXYM0ZF2N&amp;reservation_id=31736104259796", "MXYM0ZF2N")</f>
        <v>MXYM0ZF2N</v>
      </c>
      <c r="B1105" t="s">
        <v>10</v>
      </c>
      <c r="C1105" t="s">
        <v>23</v>
      </c>
      <c r="D1105" t="str">
        <f>HYPERLINK("https://us2.cloudbeds.com/connect/10074733072513#/reservations/31736104259796?display=Lisa%20Elsasser&amp;reservation_id=31736104259796&amp;guest_id=31736104255700", "Lisa Elsasser")</f>
        <v>Lisa Elsasser</v>
      </c>
      <c r="E1105" t="s">
        <v>9154</v>
      </c>
      <c r="F1105" t="s">
        <v>9018</v>
      </c>
      <c r="G1105">
        <v>492.3</v>
      </c>
      <c r="H1105">
        <v>535.11</v>
      </c>
      <c r="I1105">
        <v>535.13</v>
      </c>
      <c r="J1105">
        <v>-0.02</v>
      </c>
    </row>
    <row r="1106" spans="1:10" x14ac:dyDescent="0.3">
      <c r="A1106" t="str">
        <f>HYPERLINK("https://us2.cloudbeds.com/connect/10074733072513#/reservations/31691880706303?display=MHKE08TD3&amp;reservation_id=31691880706303", "MHKE08TD3")</f>
        <v>MHKE08TD3</v>
      </c>
      <c r="B1106" t="s">
        <v>10</v>
      </c>
      <c r="C1106" t="s">
        <v>42</v>
      </c>
      <c r="D1106" t="str">
        <f>HYPERLINK("https://us2.cloudbeds.com/connect/10074733072513#/reservations/31691880706303?display=Sonja/%20John%20Schibi&amp;reservation_id=31691880706303&amp;guest_id=31691880706301", "Sonja/ John Schibi")</f>
        <v>Sonja/ John Schibi</v>
      </c>
      <c r="E1106" t="s">
        <v>5221</v>
      </c>
      <c r="F1106" t="s">
        <v>8419</v>
      </c>
      <c r="G1106">
        <v>340.2</v>
      </c>
      <c r="H1106">
        <v>369.78</v>
      </c>
      <c r="I1106">
        <v>369.8</v>
      </c>
      <c r="J1106">
        <v>-0.02</v>
      </c>
    </row>
    <row r="1107" spans="1:10" x14ac:dyDescent="0.3">
      <c r="A1107" t="str">
        <f>HYPERLINK("https://us2.cloudbeds.com/connect/10074733072513#/reservations/31735753380000?display=MXYD1SNDK&amp;reservation_id=31735753380000", "MXYD1SNDK")</f>
        <v>MXYD1SNDK</v>
      </c>
      <c r="B1107" t="s">
        <v>10</v>
      </c>
      <c r="C1107" t="s">
        <v>23</v>
      </c>
      <c r="D1107" t="str">
        <f>HYPERLINK("https://us2.cloudbeds.com/connect/10074733072513#/reservations/31735753380000?display=Michelle%20Buechler&amp;reservation_id=31735753380000&amp;guest_id=31735753379998", "Michelle Buechler")</f>
        <v>Michelle Buechler</v>
      </c>
      <c r="E1107" t="s">
        <v>9172</v>
      </c>
      <c r="F1107" t="s">
        <v>9018</v>
      </c>
      <c r="G1107">
        <v>492.3</v>
      </c>
      <c r="H1107">
        <v>535.11</v>
      </c>
      <c r="I1107">
        <v>535.13</v>
      </c>
      <c r="J1107">
        <v>-0.02</v>
      </c>
    </row>
    <row r="1108" spans="1:10" x14ac:dyDescent="0.3">
      <c r="A1108" t="str">
        <f>HYPERLINK("https://us2.cloudbeds.com/connect/10074733072513#/reservations/31736065388742?display=MXYY0VQQV&amp;reservation_id=31736065388742", "MXYY0VQQV")</f>
        <v>MXYY0VQQV</v>
      </c>
      <c r="B1108" t="s">
        <v>10</v>
      </c>
      <c r="C1108" t="s">
        <v>23</v>
      </c>
      <c r="D1108" t="str">
        <f>HYPERLINK("https://us2.cloudbeds.com/connect/10074733072513#/reservations/31736065388742?display=Stacy%20Acklie&amp;reservation_id=31736065388742&amp;guest_id=31736065384661", "Stacy Acklie")</f>
        <v>Stacy Acklie</v>
      </c>
      <c r="E1108" t="s">
        <v>9175</v>
      </c>
      <c r="F1108" t="s">
        <v>9018</v>
      </c>
      <c r="G1108">
        <v>492.3</v>
      </c>
      <c r="H1108">
        <v>535.11</v>
      </c>
      <c r="I1108">
        <v>535.13</v>
      </c>
      <c r="J1108">
        <v>-0.02</v>
      </c>
    </row>
    <row r="1109" spans="1:10" x14ac:dyDescent="0.3">
      <c r="A1109" t="str">
        <f>HYPERLINK("https://us2.cloudbeds.com/connect/10074733072513#/reservations/31696285335734?display=MHNRXC6H7&amp;reservation_id=31696285335734", "MHNRXC6H7")</f>
        <v>MHNRXC6H7</v>
      </c>
      <c r="B1109" t="s">
        <v>10</v>
      </c>
      <c r="C1109" t="s">
        <v>14</v>
      </c>
      <c r="D1109" t="str">
        <f>HYPERLINK("https://us2.cloudbeds.com/connect/10074733072513#/reservations/31696285335734?display=Jessi%20Riggins&amp;reservation_id=31696285335734&amp;guest_id=31696285335732", "Jessi Riggins")</f>
        <v>Jessi Riggins</v>
      </c>
      <c r="E1109" t="s">
        <v>9221</v>
      </c>
      <c r="F1109" t="s">
        <v>8513</v>
      </c>
      <c r="G1109">
        <v>308.48</v>
      </c>
      <c r="H1109">
        <v>335.3</v>
      </c>
      <c r="I1109">
        <v>335.32</v>
      </c>
      <c r="J1109">
        <v>-0.02</v>
      </c>
    </row>
    <row r="1110" spans="1:10" x14ac:dyDescent="0.3">
      <c r="A1110" t="str">
        <f>HYPERLINK("https://us2.cloudbeds.com/connect/10074733072513#/reservations/31691656278235?display=MHK890S0X&amp;reservation_id=31691656278235", "MHK890S0X")</f>
        <v>MHK890S0X</v>
      </c>
      <c r="B1110" t="s">
        <v>10</v>
      </c>
      <c r="C1110" t="s">
        <v>42</v>
      </c>
      <c r="D1110" t="str">
        <f>HYPERLINK("https://us2.cloudbeds.com/connect/10074733072513#/reservations/31691656278235?display=Peggy%20Mann&amp;reservation_id=31691656278235&amp;guest_id=31691645558916", "Peggy Mann")</f>
        <v>Peggy Mann</v>
      </c>
      <c r="E1110" t="s">
        <v>9223</v>
      </c>
      <c r="F1110" t="s">
        <v>8513</v>
      </c>
      <c r="G1110">
        <v>340.2</v>
      </c>
      <c r="H1110">
        <v>369.78</v>
      </c>
      <c r="I1110">
        <v>369.8</v>
      </c>
      <c r="J1110">
        <v>-0.02</v>
      </c>
    </row>
    <row r="1111" spans="1:10" x14ac:dyDescent="0.3">
      <c r="A1111" t="str">
        <f>HYPERLINK("https://us2.cloudbeds.com/connect/10074733072513#/reservations/31728410099902?display=MXFNDR3R9&amp;reservation_id=31728410099902", "MXFNDR3R9")</f>
        <v>MXFNDR3R9</v>
      </c>
      <c r="B1111" t="s">
        <v>10</v>
      </c>
      <c r="C1111" t="s">
        <v>20</v>
      </c>
      <c r="D1111" t="str">
        <f>HYPERLINK("https://us2.cloudbeds.com/connect/10074733072513#/reservations/31728410099902?display=Jeffrey%20Galley&amp;reservation_id=31728410099902&amp;guest_id=31728394104995", "Jeffrey Galley")</f>
        <v>Jeffrey Galley</v>
      </c>
      <c r="E1111" t="s">
        <v>9234</v>
      </c>
      <c r="F1111" t="s">
        <v>9235</v>
      </c>
      <c r="G1111">
        <v>340.2</v>
      </c>
      <c r="H1111">
        <v>369.78</v>
      </c>
      <c r="I1111">
        <v>369.8</v>
      </c>
      <c r="J1111">
        <v>-0.02</v>
      </c>
    </row>
    <row r="1112" spans="1:10" x14ac:dyDescent="0.3">
      <c r="A1112" t="str">
        <f>HYPERLINK("https://us2.cloudbeds.com/connect/10074733072513#/reservations/31730347085958?display=MXH6U4K2E&amp;reservation_id=31730347085958", "MXH6U4K2E")</f>
        <v>MXH6U4K2E</v>
      </c>
      <c r="B1112" t="s">
        <v>10</v>
      </c>
      <c r="C1112" t="s">
        <v>14</v>
      </c>
      <c r="D1112" t="str">
        <f>HYPERLINK("https://us2.cloudbeds.com/connect/10074733072513#/reservations/31730347085958?display=John%20Dietrich&amp;reservation_id=31730347085958&amp;guest_id=31730347085955", "John Dietrich")</f>
        <v>John Dietrich</v>
      </c>
      <c r="E1112" t="s">
        <v>9249</v>
      </c>
      <c r="F1112" t="s">
        <v>8443</v>
      </c>
      <c r="G1112">
        <v>340.2</v>
      </c>
      <c r="H1112">
        <v>369.78</v>
      </c>
      <c r="I1112">
        <v>369.8</v>
      </c>
      <c r="J1112">
        <v>-0.02</v>
      </c>
    </row>
    <row r="1113" spans="1:10" x14ac:dyDescent="0.3">
      <c r="A1113" t="str">
        <f>HYPERLINK("https://us2.cloudbeds.com/connect/10074733072513#/reservations/31731197190359?display=MXHSKW0HS&amp;reservation_id=31731197190359", "MXHSKW0HS")</f>
        <v>MXHSKW0HS</v>
      </c>
      <c r="B1113" t="s">
        <v>10</v>
      </c>
      <c r="C1113" t="s">
        <v>11</v>
      </c>
      <c r="D1113" t="str">
        <f>HYPERLINK("https://us2.cloudbeds.com/connect/10074733072513#/reservations/31731197190359?display=James%20Lee&amp;reservation_id=31731197190359&amp;guest_id=31731197190354", "James Lee")</f>
        <v>James Lee</v>
      </c>
      <c r="E1113" t="s">
        <v>9276</v>
      </c>
      <c r="F1113" t="s">
        <v>9277</v>
      </c>
      <c r="G1113">
        <v>469.68</v>
      </c>
      <c r="H1113">
        <v>510.52</v>
      </c>
      <c r="I1113">
        <v>510.54</v>
      </c>
      <c r="J1113">
        <v>-0.02</v>
      </c>
    </row>
    <row r="1114" spans="1:10" x14ac:dyDescent="0.3">
      <c r="A1114" t="str">
        <f>HYPERLINK("https://us2.cloudbeds.com/connect/10074733072513#/reservations/31734216257674?display=MXK6PZ0G4&amp;reservation_id=31734216257674", "MXK6PZ0G4")</f>
        <v>MXK6PZ0G4</v>
      </c>
      <c r="B1114" t="s">
        <v>10</v>
      </c>
      <c r="C1114" t="s">
        <v>20</v>
      </c>
      <c r="D1114" t="str">
        <f>HYPERLINK("https://us2.cloudbeds.com/connect/10074733072513#/reservations/31734216257674?display=Sarah%20Van%20Tassel&amp;reservation_id=31734216257674&amp;guest_id=31734206906623", "Sarah Van Tassel")</f>
        <v>Sarah Van Tassel</v>
      </c>
      <c r="E1114" t="s">
        <v>9292</v>
      </c>
      <c r="F1114" t="s">
        <v>9205</v>
      </c>
      <c r="G1114">
        <v>340.2</v>
      </c>
      <c r="H1114">
        <v>369.78</v>
      </c>
      <c r="I1114">
        <v>369.8</v>
      </c>
      <c r="J1114">
        <v>-0.02</v>
      </c>
    </row>
    <row r="1115" spans="1:10" x14ac:dyDescent="0.3">
      <c r="A1115" t="str">
        <f>HYPERLINK("https://us2.cloudbeds.com/connect/10074733072513#/reservations/31735439904983?display=MXY51HQXM&amp;reservation_id=31735439904983", "MXY51HQXM")</f>
        <v>MXY51HQXM</v>
      </c>
      <c r="B1115" t="s">
        <v>10</v>
      </c>
      <c r="C1115" t="s">
        <v>11</v>
      </c>
      <c r="D1115" t="str">
        <f>HYPERLINK("https://us2.cloudbeds.com/connect/10074733072513#/reservations/31735439904983?display=Jenny%20Bladow&amp;reservation_id=31735439904983&amp;guest_id=31735439900893", "Jenny Bladow")</f>
        <v>Jenny Bladow</v>
      </c>
      <c r="E1115" t="s">
        <v>9336</v>
      </c>
      <c r="F1115" t="s">
        <v>9033</v>
      </c>
      <c r="G1115">
        <v>402.3</v>
      </c>
      <c r="H1115">
        <v>437.28</v>
      </c>
      <c r="I1115">
        <v>437.3</v>
      </c>
      <c r="J1115">
        <v>-0.02</v>
      </c>
    </row>
    <row r="1116" spans="1:10" x14ac:dyDescent="0.3">
      <c r="A1116" t="str">
        <f>HYPERLINK("https://us2.cloudbeds.com/connect/10074733072513#/reservations/31734333980807?display=MXK9PWRHS&amp;reservation_id=31734333980807", "MXK9PWRHS")</f>
        <v>MXK9PWRHS</v>
      </c>
      <c r="B1116" t="s">
        <v>10</v>
      </c>
      <c r="C1116" t="s">
        <v>11</v>
      </c>
      <c r="D1116" t="str">
        <f>HYPERLINK("https://us2.cloudbeds.com/connect/10074733072513#/reservations/31734333980807?display=Matt%20Smith&amp;reservation_id=31734333980807&amp;guest_id=31734333980805", "Matt Smith")</f>
        <v>Matt Smith</v>
      </c>
      <c r="E1116" t="s">
        <v>9337</v>
      </c>
      <c r="F1116" t="s">
        <v>9338</v>
      </c>
      <c r="G1116">
        <v>352.26</v>
      </c>
      <c r="H1116">
        <v>382.89</v>
      </c>
      <c r="I1116">
        <v>382.91</v>
      </c>
      <c r="J1116">
        <v>-0.02</v>
      </c>
    </row>
    <row r="1117" spans="1:10" x14ac:dyDescent="0.3">
      <c r="A1117" t="str">
        <f>HYPERLINK("https://us2.cloudbeds.com/connect/10074733072513#/reservations/31734449291423?display=MXKCZ7H7V&amp;reservation_id=31734449291423", "MXKCZ7H7V")</f>
        <v>MXKCZ7H7V</v>
      </c>
      <c r="B1117" t="s">
        <v>10</v>
      </c>
      <c r="C1117" t="s">
        <v>42</v>
      </c>
      <c r="D1117" t="str">
        <f>HYPERLINK("https://us2.cloudbeds.com/connect/10074733072513#/reservations/31734449291423?display=Mallory%20House&amp;reservation_id=31734449291423&amp;guest_id=31734449287327", "Mallory House")</f>
        <v>Mallory House</v>
      </c>
      <c r="E1117" t="s">
        <v>9351</v>
      </c>
      <c r="F1117" t="s">
        <v>9285</v>
      </c>
      <c r="G1117">
        <v>236.3</v>
      </c>
      <c r="H1117">
        <v>256.83999999999997</v>
      </c>
      <c r="I1117">
        <v>256.86</v>
      </c>
      <c r="J1117">
        <v>-0.02</v>
      </c>
    </row>
    <row r="1118" spans="1:10" x14ac:dyDescent="0.3">
      <c r="A1118" t="str">
        <f>HYPERLINK("https://us2.cloudbeds.com/connect/10074733072513#/reservations/31728446079172?display=MXFZB59Y6&amp;reservation_id=31728446079172", "MXFZB59Y6")</f>
        <v>MXFZB59Y6</v>
      </c>
      <c r="B1118" t="s">
        <v>10</v>
      </c>
      <c r="C1118" t="s">
        <v>23</v>
      </c>
      <c r="D1118" t="str">
        <f>HYPERLINK("https://us2.cloudbeds.com/connect/10074733072513#/reservations/31728446079172?display=April%20King&amp;reservation_id=31728446079172&amp;guest_id=31728440148189", "April King")</f>
        <v>April King</v>
      </c>
      <c r="E1118" t="s">
        <v>9378</v>
      </c>
      <c r="F1118" t="s">
        <v>9379</v>
      </c>
      <c r="G1118">
        <v>518.4</v>
      </c>
      <c r="H1118">
        <v>563.48</v>
      </c>
      <c r="I1118">
        <v>563.5</v>
      </c>
      <c r="J1118">
        <v>-0.02</v>
      </c>
    </row>
    <row r="1119" spans="1:10" x14ac:dyDescent="0.3">
      <c r="A1119" t="str">
        <f>HYPERLINK("https://us2.cloudbeds.com/connect/10074733072513#/reservations/31735160328429?display=MXKUTQ5PT&amp;reservation_id=31735160328429", "MXKUTQ5PT")</f>
        <v>MXKUTQ5PT</v>
      </c>
      <c r="B1119" t="s">
        <v>10</v>
      </c>
      <c r="C1119" t="s">
        <v>42</v>
      </c>
      <c r="D1119" t="str">
        <f>HYPERLINK("https://us2.cloudbeds.com/connect/10074733072513#/reservations/31735160328429?display=Ricky%20Hurd&amp;reservation_id=31735160328429&amp;guest_id=31690271793344", "Ricky Hurd")</f>
        <v>Ricky Hurd</v>
      </c>
      <c r="E1119" t="s">
        <v>7438</v>
      </c>
      <c r="F1119" t="s">
        <v>9397</v>
      </c>
      <c r="G1119">
        <v>402.3</v>
      </c>
      <c r="H1119">
        <v>437.28</v>
      </c>
      <c r="I1119">
        <v>437.3</v>
      </c>
      <c r="J1119">
        <v>-0.02</v>
      </c>
    </row>
    <row r="1120" spans="1:10" x14ac:dyDescent="0.3">
      <c r="A1120" t="str">
        <f>HYPERLINK("https://us2.cloudbeds.com/connect/10074733072513#/reservations/31732250890465?display=MXXMXFPJ3&amp;reservation_id=31732250890465", "MXXMXFPJ3")</f>
        <v>MXXMXFPJ3</v>
      </c>
      <c r="B1120" t="s">
        <v>10</v>
      </c>
      <c r="C1120" t="s">
        <v>17</v>
      </c>
      <c r="D1120" t="str">
        <f>HYPERLINK("https://us2.cloudbeds.com/connect/10074733072513#/reservations/31732250890465?display=Jim%20Grott&amp;reservation_id=31732250890465&amp;guest_id=31732250886369", "Jim Grott")</f>
        <v>Jim Grott</v>
      </c>
      <c r="E1120" t="s">
        <v>9424</v>
      </c>
      <c r="F1120" t="s">
        <v>8596</v>
      </c>
      <c r="G1120">
        <v>340.2</v>
      </c>
      <c r="H1120">
        <v>369.78</v>
      </c>
      <c r="I1120">
        <v>369.8</v>
      </c>
      <c r="J1120">
        <v>-0.02</v>
      </c>
    </row>
    <row r="1121" spans="1:10" x14ac:dyDescent="0.3">
      <c r="A1121" t="str">
        <f>HYPERLINK("https://us2.cloudbeds.com/connect/10074733072513#/reservations/31733434642684?display=MXJJQYE1F&amp;reservation_id=31733434642684", "MXJJQYE1F")</f>
        <v>MXJJQYE1F</v>
      </c>
      <c r="B1121" t="s">
        <v>10</v>
      </c>
      <c r="C1121" t="s">
        <v>42</v>
      </c>
      <c r="D1121" t="str">
        <f>HYPERLINK("https://us2.cloudbeds.com/connect/10074733072513#/reservations/31733434642684?display=David%20Cloke&amp;reservation_id=31733434642684&amp;guest_id=31733434642679", "David Cloke")</f>
        <v>David Cloke</v>
      </c>
      <c r="E1121" t="s">
        <v>9443</v>
      </c>
      <c r="F1121" t="s">
        <v>8897</v>
      </c>
      <c r="G1121">
        <v>402.3</v>
      </c>
      <c r="H1121">
        <v>437.28</v>
      </c>
      <c r="I1121">
        <v>437.3</v>
      </c>
      <c r="J1121">
        <v>-0.02</v>
      </c>
    </row>
    <row r="1122" spans="1:10" x14ac:dyDescent="0.3">
      <c r="A1122" t="str">
        <f>HYPERLINK("https://us2.cloudbeds.com/connect/10074733072513#/reservations/31726304276680?display=MXE2K4FSC&amp;reservation_id=31726304276680", "MXE2K4FSC")</f>
        <v>MXE2K4FSC</v>
      </c>
      <c r="B1122" t="s">
        <v>10</v>
      </c>
      <c r="C1122" t="s">
        <v>14</v>
      </c>
      <c r="D1122" t="str">
        <f>HYPERLINK("https://us2.cloudbeds.com/connect/10074733072513#/reservations/31726304276680?display=Hannah%20Palmer&amp;reservation_id=31726304276680&amp;guest_id=31726297641104", "Hannah Palmer")</f>
        <v>Hannah Palmer</v>
      </c>
      <c r="E1122" t="s">
        <v>9444</v>
      </c>
      <c r="F1122" t="s">
        <v>9445</v>
      </c>
      <c r="G1122">
        <v>402.3</v>
      </c>
      <c r="H1122">
        <v>437.28</v>
      </c>
      <c r="I1122">
        <v>437.3</v>
      </c>
      <c r="J1122">
        <v>-0.02</v>
      </c>
    </row>
    <row r="1123" spans="1:10" x14ac:dyDescent="0.3">
      <c r="A1123" t="str">
        <f>HYPERLINK("https://us2.cloudbeds.com/connect/10074733072513#/reservations/31731760242915?display=MXXA0ZPSH&amp;reservation_id=31731760242915", "MXXA0ZPSH")</f>
        <v>MXXA0ZPSH</v>
      </c>
      <c r="B1123" t="s">
        <v>10</v>
      </c>
      <c r="C1123" t="s">
        <v>14</v>
      </c>
      <c r="D1123" t="str">
        <f>HYPERLINK("https://us2.cloudbeds.com/connect/10074733072513#/reservations/31731760242915?display=Craig%20Evans&amp;reservation_id=31731760242915&amp;guest_id=31731760242898", "Craig Evans")</f>
        <v>Craig Evans</v>
      </c>
      <c r="E1123" t="s">
        <v>9559</v>
      </c>
      <c r="F1123" t="s">
        <v>9319</v>
      </c>
      <c r="G1123">
        <v>425.08</v>
      </c>
      <c r="H1123">
        <v>462.04</v>
      </c>
      <c r="I1123">
        <v>462.06</v>
      </c>
      <c r="J1123">
        <v>-0.02</v>
      </c>
    </row>
    <row r="1124" spans="1:10" x14ac:dyDescent="0.3">
      <c r="A1124" t="str">
        <f>HYPERLINK("https://us2.cloudbeds.com/connect/10074733072513#/reservations/31727344668902?display=MXET6DUKC&amp;reservation_id=31727344668902", "MXET6DUKC")</f>
        <v>MXET6DUKC</v>
      </c>
      <c r="B1124" t="s">
        <v>10</v>
      </c>
      <c r="C1124" t="s">
        <v>14</v>
      </c>
      <c r="D1124" t="str">
        <f>HYPERLINK("https://us2.cloudbeds.com/connect/10074733072513#/reservations/31727344668902?display=Joe%20Goings&amp;reservation_id=31727344668902&amp;guest_id=31727326109848", "Joe Goings")</f>
        <v>Joe Goings</v>
      </c>
      <c r="E1124" t="s">
        <v>9631</v>
      </c>
      <c r="F1124" t="s">
        <v>9632</v>
      </c>
      <c r="G1124">
        <v>358.2</v>
      </c>
      <c r="H1124">
        <v>389.34</v>
      </c>
      <c r="I1124">
        <v>389.36</v>
      </c>
      <c r="J1124">
        <v>-0.02</v>
      </c>
    </row>
    <row r="1125" spans="1:10" x14ac:dyDescent="0.3">
      <c r="A1125" t="str">
        <f>HYPERLINK("https://us2.cloudbeds.com/connect/10074733072513#/reservations/31731598229660?display=MXX5T4HBV&amp;reservation_id=31731598229660", "MXX5T4HBV")</f>
        <v>MXX5T4HBV</v>
      </c>
      <c r="B1125" t="s">
        <v>10</v>
      </c>
      <c r="C1125" t="s">
        <v>11</v>
      </c>
      <c r="D1125" t="str">
        <f>HYPERLINK("https://us2.cloudbeds.com/connect/10074733072513#/reservations/31731598229660?display=Beckie%20Ajayi&amp;reservation_id=31731598229660&amp;guest_id=31731587207372", "Beckie Ajayi")</f>
        <v>Beckie Ajayi</v>
      </c>
      <c r="E1125" t="s">
        <v>9643</v>
      </c>
      <c r="F1125" t="s">
        <v>9338</v>
      </c>
      <c r="G1125">
        <v>340.2</v>
      </c>
      <c r="H1125">
        <v>369.78</v>
      </c>
      <c r="I1125">
        <v>369.8</v>
      </c>
      <c r="J1125">
        <v>-0.02</v>
      </c>
    </row>
    <row r="1126" spans="1:10" x14ac:dyDescent="0.3">
      <c r="A1126" t="str">
        <f>HYPERLINK("https://us2.cloudbeds.com/connect/10074733072513#/reservations/31723342946524?display=MXBPV23DU&amp;reservation_id=31723342946524", "MXBPV23DU")</f>
        <v>MXBPV23DU</v>
      </c>
      <c r="B1126" t="s">
        <v>10</v>
      </c>
      <c r="C1126" t="s">
        <v>23</v>
      </c>
      <c r="D1126" t="str">
        <f>HYPERLINK("https://us2.cloudbeds.com/connect/10074733072513#/reservations/31723342946524?display=Dana%20Randall&amp;reservation_id=31723342946524&amp;guest_id=17963621929137", "Dana Randall")</f>
        <v>Dana Randall</v>
      </c>
      <c r="E1126" t="s">
        <v>9674</v>
      </c>
      <c r="F1126" t="s">
        <v>9675</v>
      </c>
      <c r="G1126">
        <v>402.3</v>
      </c>
      <c r="H1126">
        <v>437.28</v>
      </c>
      <c r="I1126">
        <v>437.3</v>
      </c>
      <c r="J1126">
        <v>-0.02</v>
      </c>
    </row>
    <row r="1127" spans="1:10" x14ac:dyDescent="0.3">
      <c r="A1127" t="str">
        <f>HYPERLINK("https://us2.cloudbeds.com/connect/10074733072513#/reservations/31734525313206?display=MXKEMAV1B&amp;reservation_id=31734525313206", "MXKEMAV1B")</f>
        <v>MXKEMAV1B</v>
      </c>
      <c r="B1127" t="s">
        <v>10</v>
      </c>
      <c r="C1127" t="s">
        <v>14</v>
      </c>
      <c r="D1127" t="str">
        <f>HYPERLINK("https://us2.cloudbeds.com/connect/10074733072513#/reservations/31734525313206?display=Kevin%20Dickey&amp;reservation_id=31734525313206&amp;guest_id=31734525313203", "Kevin Dickey")</f>
        <v>Kevin Dickey</v>
      </c>
      <c r="E1127" t="s">
        <v>9762</v>
      </c>
      <c r="F1127" t="s">
        <v>9287</v>
      </c>
      <c r="G1127">
        <v>402.94</v>
      </c>
      <c r="H1127">
        <v>437.98</v>
      </c>
      <c r="I1127">
        <v>438</v>
      </c>
      <c r="J1127">
        <v>-0.02</v>
      </c>
    </row>
    <row r="1128" spans="1:10" x14ac:dyDescent="0.3">
      <c r="A1128" t="str">
        <f>HYPERLINK("https://us2.cloudbeds.com/connect/10074733072513#/reservations/31729680715933?display=MXGMT7T1C&amp;reservation_id=31729680715933", "MXGMT7T1C")</f>
        <v>MXGMT7T1C</v>
      </c>
      <c r="B1128" t="s">
        <v>10</v>
      </c>
      <c r="C1128" t="s">
        <v>42</v>
      </c>
      <c r="D1128" t="str">
        <f>HYPERLINK("https://us2.cloudbeds.com/connect/10074733072513#/reservations/31729680715933?display=Bret%20Brodersen&amp;reservation_id=31729680715933&amp;guest_id=31729680715930", "Bret Brodersen")</f>
        <v>Bret Brodersen</v>
      </c>
      <c r="E1128" t="s">
        <v>9770</v>
      </c>
      <c r="F1128" t="s">
        <v>7468</v>
      </c>
      <c r="G1128">
        <v>340.2</v>
      </c>
      <c r="H1128">
        <v>369.78</v>
      </c>
      <c r="I1128">
        <v>369.8</v>
      </c>
      <c r="J1128">
        <v>-0.02</v>
      </c>
    </row>
    <row r="1129" spans="1:10" x14ac:dyDescent="0.3">
      <c r="A1129" t="str">
        <f>HYPERLINK("https://us2.cloudbeds.com/connect/10074733072513#/reservations/31730984865925?display=MXHN6UPK3&amp;reservation_id=31730984865925", "MXHN6UPK3")</f>
        <v>MXHN6UPK3</v>
      </c>
      <c r="B1129" t="s">
        <v>10</v>
      </c>
      <c r="C1129" t="s">
        <v>11</v>
      </c>
      <c r="D1129" t="str">
        <f>HYPERLINK("https://us2.cloudbeds.com/connect/10074733072513#/reservations/31730984865925?display=Cheryl%20Coverdale&amp;reservation_id=31730984865925&amp;guest_id=31730976940266", "Cheryl Coverdale")</f>
        <v>Cheryl Coverdale</v>
      </c>
      <c r="E1129" t="s">
        <v>9780</v>
      </c>
      <c r="F1129" t="s">
        <v>7468</v>
      </c>
      <c r="G1129">
        <v>340.2</v>
      </c>
      <c r="H1129">
        <v>369.78</v>
      </c>
      <c r="I1129">
        <v>369.8</v>
      </c>
      <c r="J1129">
        <v>-0.02</v>
      </c>
    </row>
    <row r="1130" spans="1:10" x14ac:dyDescent="0.3">
      <c r="A1130" t="str">
        <f>HYPERLINK("https://us2.cloudbeds.com/connect/10074733072513#/reservations/31731279057031?display=MXHUZ02X3&amp;reservation_id=31731279057031", "MXHUZ02X3")</f>
        <v>MXHUZ02X3</v>
      </c>
      <c r="B1130" t="s">
        <v>10</v>
      </c>
      <c r="C1130" t="s">
        <v>42</v>
      </c>
      <c r="D1130" t="str">
        <f>HYPERLINK("https://us2.cloudbeds.com/connect/10074733072513#/reservations/31731279057031?display=Blayne%20Stenersen&amp;reservation_id=31731279057031&amp;guest_id=31731279052988", "Blayne Stenersen")</f>
        <v>Blayne Stenersen</v>
      </c>
      <c r="E1130" t="s">
        <v>9618</v>
      </c>
      <c r="F1130" t="s">
        <v>8992</v>
      </c>
      <c r="G1130">
        <v>477.9</v>
      </c>
      <c r="H1130">
        <v>519.46</v>
      </c>
      <c r="I1130">
        <v>519.48</v>
      </c>
      <c r="J1130">
        <v>-0.02</v>
      </c>
    </row>
    <row r="1131" spans="1:10" x14ac:dyDescent="0.3">
      <c r="A1131" t="str">
        <f>HYPERLINK("https://us2.cloudbeds.com/connect/10074733072513#/reservations/31728281239685?display=MXFK45CT7&amp;reservation_id=31728281239685", "MXFK45CT7")</f>
        <v>MXFK45CT7</v>
      </c>
      <c r="B1131" t="s">
        <v>10</v>
      </c>
      <c r="C1131" t="s">
        <v>17</v>
      </c>
      <c r="D1131" t="str">
        <f>HYPERLINK("https://us2.cloudbeds.com/connect/10074733072513#/reservations/31728281239685?display=Dawn%20Matlock&amp;reservation_id=31728281239685&amp;guest_id=31681589182696", "Dawn Matlock")</f>
        <v>Dawn Matlock</v>
      </c>
      <c r="E1131" t="s">
        <v>2960</v>
      </c>
      <c r="F1131" t="s">
        <v>9235</v>
      </c>
      <c r="G1131">
        <v>492.3</v>
      </c>
      <c r="H1131">
        <v>535.11</v>
      </c>
      <c r="I1131">
        <v>535.13</v>
      </c>
      <c r="J1131">
        <v>-0.02</v>
      </c>
    </row>
    <row r="1132" spans="1:10" x14ac:dyDescent="0.3">
      <c r="A1132" t="str">
        <f>HYPERLINK("https://us2.cloudbeds.com/connect/10074733072513#/reservations/31732854108399?display=MXJ4W46NE&amp;reservation_id=31732854108399", "MXJ4W46NE")</f>
        <v>MXJ4W46NE</v>
      </c>
      <c r="B1132" t="s">
        <v>10</v>
      </c>
      <c r="C1132" t="s">
        <v>42</v>
      </c>
      <c r="D1132" t="str">
        <f>HYPERLINK("https://us2.cloudbeds.com/connect/10074733072513#/reservations/31732854108399?display=Evelyn%20Otten&amp;reservation_id=31732854108399&amp;guest_id=31732831887521", "Evelyn Otten")</f>
        <v>Evelyn Otten</v>
      </c>
      <c r="E1132" t="s">
        <v>9823</v>
      </c>
      <c r="F1132" t="s">
        <v>9511</v>
      </c>
      <c r="G1132">
        <v>532.95000000000005</v>
      </c>
      <c r="H1132">
        <v>579.29999999999995</v>
      </c>
      <c r="I1132">
        <v>579.32000000000005</v>
      </c>
      <c r="J1132">
        <v>-0.02</v>
      </c>
    </row>
    <row r="1133" spans="1:10" x14ac:dyDescent="0.3">
      <c r="A1133" t="str">
        <f>HYPERLINK("https://us2.cloudbeds.com/connect/10074733072513#/reservations/31733760311516?display=MXJS48Y4V&amp;reservation_id=31733760311516", "MXJS48Y4V")</f>
        <v>MXJS48Y4V</v>
      </c>
      <c r="B1133" t="s">
        <v>10</v>
      </c>
      <c r="C1133" t="s">
        <v>42</v>
      </c>
      <c r="D1133" t="str">
        <f>HYPERLINK("https://us2.cloudbeds.com/connect/10074733072513#/reservations/31733760311516?display=Levi%20Grisham&amp;reservation_id=31733760311516&amp;guest_id=31733754945791", "Levi Grisham")</f>
        <v>Levi Grisham</v>
      </c>
      <c r="E1133" t="s">
        <v>9861</v>
      </c>
      <c r="F1133" t="s">
        <v>9511</v>
      </c>
      <c r="G1133">
        <v>340.2</v>
      </c>
      <c r="H1133">
        <v>369.78</v>
      </c>
      <c r="I1133">
        <v>369.8</v>
      </c>
      <c r="J1133">
        <v>-0.02</v>
      </c>
    </row>
    <row r="1134" spans="1:10" x14ac:dyDescent="0.3">
      <c r="A1134" t="str">
        <f>HYPERLINK("https://us2.cloudbeds.com/connect/10074733072513#/reservations/31726075187368?display=MXDTZVZ60&amp;reservation_id=31726075187368", "MXDTZVZ60")</f>
        <v>MXDTZVZ60</v>
      </c>
      <c r="B1134" t="s">
        <v>10</v>
      </c>
      <c r="C1134" t="s">
        <v>14</v>
      </c>
      <c r="D1134" t="str">
        <f>HYPERLINK("https://us2.cloudbeds.com/connect/10074733072513#/reservations/31726075187368?display=Jason%20Covais&amp;reservation_id=31726075187368&amp;guest_id=31726075187348", "Jason Covais")</f>
        <v>Jason Covais</v>
      </c>
      <c r="E1134" t="s">
        <v>9889</v>
      </c>
      <c r="F1134" t="s">
        <v>9056</v>
      </c>
      <c r="G1134">
        <v>402.3</v>
      </c>
      <c r="H1134">
        <v>437.28</v>
      </c>
      <c r="I1134">
        <v>437.3</v>
      </c>
      <c r="J1134">
        <v>-0.02</v>
      </c>
    </row>
    <row r="1135" spans="1:10" x14ac:dyDescent="0.3">
      <c r="A1135" t="str">
        <f>HYPERLINK("https://us2.cloudbeds.com/connect/10074733072513#/reservations/31729349193856?display=MXGEDMMBY&amp;reservation_id=31729349193856", "MXGEDMMBY")</f>
        <v>MXGEDMMBY</v>
      </c>
      <c r="B1135" t="s">
        <v>10</v>
      </c>
      <c r="C1135" t="s">
        <v>42</v>
      </c>
      <c r="D1135" t="str">
        <f>HYPERLINK("https://us2.cloudbeds.com/connect/10074733072513#/reservations/31729349193856?display=Joni%20Groeblinghoff&amp;reservation_id=31729349193856&amp;guest_id=31711060672669", "Joni Groeblinghoff")</f>
        <v>Joni Groeblinghoff</v>
      </c>
      <c r="E1135" t="s">
        <v>9893</v>
      </c>
      <c r="F1135" t="s">
        <v>9235</v>
      </c>
      <c r="G1135">
        <v>340.2</v>
      </c>
      <c r="H1135">
        <v>369.78</v>
      </c>
      <c r="I1135">
        <v>369.8</v>
      </c>
      <c r="J1135">
        <v>-0.02</v>
      </c>
    </row>
    <row r="1136" spans="1:10" x14ac:dyDescent="0.3">
      <c r="A1136" t="str">
        <f>HYPERLINK("https://us2.cloudbeds.com/connect/10074733072513#/reservations/31735036387509?display=MXKRZ9B3E&amp;reservation_id=31735036387509", "MXKRZ9B3E")</f>
        <v>MXKRZ9B3E</v>
      </c>
      <c r="B1136" t="s">
        <v>10</v>
      </c>
      <c r="C1136" t="s">
        <v>11</v>
      </c>
      <c r="D1136" t="str">
        <f>HYPERLINK("https://us2.cloudbeds.com/connect/10074733072513#/reservations/31735036387509?display=Andrew%20Stack&amp;reservation_id=31735036387509&amp;guest_id=31735020273886", "Andrew Stack")</f>
        <v>Andrew Stack</v>
      </c>
      <c r="E1136" t="s">
        <v>9911</v>
      </c>
      <c r="F1136" t="s">
        <v>9707</v>
      </c>
      <c r="G1136">
        <v>340.2</v>
      </c>
      <c r="H1136">
        <v>369.78</v>
      </c>
      <c r="I1136">
        <v>369.8</v>
      </c>
      <c r="J1136">
        <v>-0.02</v>
      </c>
    </row>
    <row r="1137" spans="1:10" x14ac:dyDescent="0.3">
      <c r="A1137" t="str">
        <f>HYPERLINK("https://us2.cloudbeds.com/connect/10074733072513#/reservations/31731010584789?display=MXHNSKEXK&amp;reservation_id=31731010584789", "MXHNSKEXK")</f>
        <v>MXHNSKEXK</v>
      </c>
      <c r="B1137" t="s">
        <v>10</v>
      </c>
      <c r="C1137" t="s">
        <v>42</v>
      </c>
      <c r="D1137" t="str">
        <f>HYPERLINK("https://us2.cloudbeds.com/connect/10074733072513#/reservations/31731010584789?display=Brian%20Wood&amp;reservation_id=31731010584789&amp;guest_id=31713393156317", "Brian Wood")</f>
        <v>Brian Wood</v>
      </c>
      <c r="E1137" t="s">
        <v>9941</v>
      </c>
      <c r="F1137" t="s">
        <v>7819</v>
      </c>
      <c r="G1137">
        <v>492.3</v>
      </c>
      <c r="H1137">
        <v>535.11</v>
      </c>
      <c r="I1137">
        <v>535.13</v>
      </c>
      <c r="J1137">
        <v>-0.02</v>
      </c>
    </row>
    <row r="1138" spans="1:10" x14ac:dyDescent="0.3">
      <c r="A1138" t="str">
        <f>HYPERLINK("https://us2.cloudbeds.com/connect/10074733072513#/reservations/31726709149904?display=MXECVHM8V&amp;reservation_id=31726709149904", "MXECVHM8V")</f>
        <v>MXECVHM8V</v>
      </c>
      <c r="B1138" t="s">
        <v>10</v>
      </c>
      <c r="C1138" t="s">
        <v>17</v>
      </c>
      <c r="D1138" t="str">
        <f>HYPERLINK("https://us2.cloudbeds.com/connect/10074733072513#/reservations/31726709149904?display=Sue%20Volk&amp;reservation_id=31726709149904&amp;guest_id=31726709145801", "Sue Volk")</f>
        <v>Sue Volk</v>
      </c>
      <c r="E1138" t="s">
        <v>9947</v>
      </c>
      <c r="F1138" t="s">
        <v>9817</v>
      </c>
      <c r="G1138">
        <v>912.6</v>
      </c>
      <c r="H1138">
        <v>991.98</v>
      </c>
      <c r="I1138">
        <v>992</v>
      </c>
      <c r="J1138">
        <v>-0.02</v>
      </c>
    </row>
    <row r="1139" spans="1:10" x14ac:dyDescent="0.3">
      <c r="A1139" t="str">
        <f>HYPERLINK("https://us2.cloudbeds.com/connect/10074733072513#/reservations/31726749872316?display=MXEDWSRJE&amp;reservation_id=31726749872316", "MXEDWSRJE")</f>
        <v>MXEDWSRJE</v>
      </c>
      <c r="B1139" t="s">
        <v>10</v>
      </c>
      <c r="C1139" t="s">
        <v>17</v>
      </c>
      <c r="D1139" t="str">
        <f>HYPERLINK("https://us2.cloudbeds.com/connect/10074733072513#/reservations/31726749872316?display=Sue%20Volk&amp;reservation_id=31726749872316&amp;guest_id=31726736699623", "Sue Volk")</f>
        <v>Sue Volk</v>
      </c>
      <c r="E1139" t="s">
        <v>9947</v>
      </c>
      <c r="F1139" t="s">
        <v>9817</v>
      </c>
      <c r="G1139">
        <v>912.6</v>
      </c>
      <c r="H1139">
        <v>991.98</v>
      </c>
      <c r="I1139">
        <v>992</v>
      </c>
      <c r="J1139">
        <v>-0.02</v>
      </c>
    </row>
    <row r="1140" spans="1:10" x14ac:dyDescent="0.3">
      <c r="A1140" t="str">
        <f>HYPERLINK("https://us2.cloudbeds.com/connect/10074733072513#/reservations/31730015482015?display=MXGVEH7U3&amp;reservation_id=31730015482015", "MXGVEH7U3")</f>
        <v>MXGVEH7U3</v>
      </c>
      <c r="B1140" t="s">
        <v>10</v>
      </c>
      <c r="C1140" t="s">
        <v>42</v>
      </c>
      <c r="D1140" t="str">
        <f>HYPERLINK("https://us2.cloudbeds.com/connect/10074733072513#/reservations/31730015482015?display=Chris%20Serie&amp;reservation_id=31730015482015&amp;guest_id=31730015477934", "Chris Serie")</f>
        <v>Chris Serie</v>
      </c>
      <c r="E1140" t="s">
        <v>9968</v>
      </c>
      <c r="F1140" t="s">
        <v>9247</v>
      </c>
      <c r="G1140">
        <v>388.8</v>
      </c>
      <c r="H1140">
        <v>422.61</v>
      </c>
      <c r="I1140">
        <v>422.63</v>
      </c>
      <c r="J1140">
        <v>-0.02</v>
      </c>
    </row>
    <row r="1141" spans="1:10" x14ac:dyDescent="0.3">
      <c r="A1141" t="str">
        <f>HYPERLINK("https://us2.cloudbeds.com/connect/10074733072513#/reservations/31725716443378?display=MXDKJF510&amp;reservation_id=31725716443378", "MXDKJF510")</f>
        <v>MXDKJF510</v>
      </c>
      <c r="B1141" t="s">
        <v>10</v>
      </c>
      <c r="C1141" t="s">
        <v>17</v>
      </c>
      <c r="D1141" t="str">
        <f>HYPERLINK("https://us2.cloudbeds.com/connect/10074733072513#/reservations/31725716443378?display=Edward%20Mentell&amp;reservation_id=31725716443378&amp;guest_id=31725716443373", "Edward Mentell")</f>
        <v>Edward Mentell</v>
      </c>
      <c r="E1141" t="s">
        <v>9969</v>
      </c>
      <c r="F1141" t="s">
        <v>9951</v>
      </c>
      <c r="G1141">
        <v>340.2</v>
      </c>
      <c r="H1141">
        <v>369.78</v>
      </c>
      <c r="I1141">
        <v>369.8</v>
      </c>
      <c r="J1141">
        <v>-0.02</v>
      </c>
    </row>
    <row r="1142" spans="1:10" x14ac:dyDescent="0.3">
      <c r="A1142" t="str">
        <f>HYPERLINK("https://us2.cloudbeds.com/connect/10074733072513#/reservations/31729409708231?display=MXGFVNMQP&amp;reservation_id=31729409708231", "MXGFVNMQP")</f>
        <v>MXGFVNMQP</v>
      </c>
      <c r="B1142" t="s">
        <v>10</v>
      </c>
      <c r="C1142" t="s">
        <v>14</v>
      </c>
      <c r="D1142" t="str">
        <f>HYPERLINK("https://us2.cloudbeds.com/connect/10074733072513#/reservations/31729409708231?display=Eugene%20Greenan&amp;reservation_id=31729409708231&amp;guest_id=31729409704130", "Eugene Greenan")</f>
        <v>Eugene Greenan</v>
      </c>
      <c r="E1142" t="s">
        <v>9980</v>
      </c>
      <c r="F1142" t="s">
        <v>6933</v>
      </c>
      <c r="G1142">
        <v>366.78</v>
      </c>
      <c r="H1142">
        <v>398.67</v>
      </c>
      <c r="I1142">
        <v>398.69</v>
      </c>
      <c r="J1142">
        <v>-0.02</v>
      </c>
    </row>
    <row r="1143" spans="1:10" x14ac:dyDescent="0.3">
      <c r="A1143" t="str">
        <f>HYPERLINK("https://us2.cloudbeds.com/connect/10074733072513#/reservations/31722346877079?display=MXB0G503B&amp;reservation_id=31722346877079", "MXB0G503B")</f>
        <v>MXB0G503B</v>
      </c>
      <c r="B1143" t="s">
        <v>10</v>
      </c>
      <c r="C1143" t="s">
        <v>42</v>
      </c>
      <c r="D1143" t="str">
        <f>HYPERLINK("https://us2.cloudbeds.com/connect/10074733072513#/reservations/31722346877079?display=Dennis%20Nelson&amp;reservation_id=31722346877079&amp;guest_id=31722346877075", "Dennis Nelson")</f>
        <v>Dennis Nelson</v>
      </c>
      <c r="E1143" t="s">
        <v>10014</v>
      </c>
      <c r="F1143" t="s">
        <v>7649</v>
      </c>
      <c r="G1143">
        <v>402.3</v>
      </c>
      <c r="H1143">
        <v>437.28</v>
      </c>
      <c r="I1143">
        <v>437.3</v>
      </c>
      <c r="J1143">
        <v>-0.02</v>
      </c>
    </row>
    <row r="1144" spans="1:10" x14ac:dyDescent="0.3">
      <c r="A1144" t="str">
        <f>HYPERLINK("https://us2.cloudbeds.com/connect/10074733072513#/reservations/31729222516955?display=MXGB5SQWS&amp;reservation_id=31729222516955", "MXGB5SQWS")</f>
        <v>MXGB5SQWS</v>
      </c>
      <c r="B1144" t="s">
        <v>10</v>
      </c>
      <c r="C1144" t="s">
        <v>42</v>
      </c>
      <c r="D1144" t="str">
        <f>HYPERLINK("https://us2.cloudbeds.com/connect/10074733072513#/reservations/31729222516955?display=Daniel%20Reams&amp;reservation_id=31729222516955&amp;guest_id=31729222516950", "Daniel Reams")</f>
        <v>Daniel Reams</v>
      </c>
      <c r="E1144" t="s">
        <v>10041</v>
      </c>
      <c r="F1144" t="s">
        <v>9914</v>
      </c>
      <c r="G1144">
        <v>721</v>
      </c>
      <c r="H1144">
        <v>783.71</v>
      </c>
      <c r="I1144">
        <v>783.73</v>
      </c>
      <c r="J1144">
        <v>-0.02</v>
      </c>
    </row>
    <row r="1145" spans="1:10" x14ac:dyDescent="0.3">
      <c r="A1145" t="str">
        <f>HYPERLINK("https://us2.cloudbeds.com/connect/10074733072513#/reservations/31730338951311?display=MXH6N987W&amp;reservation_id=31730338951311", "MXH6N987W")</f>
        <v>MXH6N987W</v>
      </c>
      <c r="B1145" t="s">
        <v>10</v>
      </c>
      <c r="C1145" t="s">
        <v>14</v>
      </c>
      <c r="D1145" t="str">
        <f>HYPERLINK("https://us2.cloudbeds.com/connect/10074733072513#/reservations/31730338951311?display=Gena%20Masat&amp;reservation_id=31730338951311&amp;guest_id=31730338951301", "Gena Masat")</f>
        <v>Gena Masat</v>
      </c>
      <c r="E1145" t="s">
        <v>10111</v>
      </c>
      <c r="F1145" t="s">
        <v>8045</v>
      </c>
      <c r="G1145">
        <v>340.2</v>
      </c>
      <c r="H1145">
        <v>369.78</v>
      </c>
      <c r="I1145">
        <v>369.8</v>
      </c>
      <c r="J1145">
        <v>-0.02</v>
      </c>
    </row>
    <row r="1146" spans="1:10" x14ac:dyDescent="0.3">
      <c r="A1146" t="str">
        <f>HYPERLINK("https://us2.cloudbeds.com/connect/10074733072513#/reservations/31728832000188?display=MXG16J3ZE&amp;reservation_id=31728832000188", "MXG16J3ZE")</f>
        <v>MXG16J3ZE</v>
      </c>
      <c r="B1146" t="s">
        <v>10</v>
      </c>
      <c r="C1146" t="s">
        <v>23</v>
      </c>
      <c r="D1146" t="str">
        <f>HYPERLINK("https://us2.cloudbeds.com/connect/10074733072513#/reservations/31728832000188?display=Kayla%20Virtues&amp;reservation_id=31728832000188&amp;guest_id=31728832000186", "Kayla Virtues")</f>
        <v>Kayla Virtues</v>
      </c>
      <c r="E1146" t="s">
        <v>10122</v>
      </c>
      <c r="F1146" t="s">
        <v>9930</v>
      </c>
      <c r="G1146">
        <v>402.3</v>
      </c>
      <c r="H1146">
        <v>437.28</v>
      </c>
      <c r="I1146">
        <v>437.3</v>
      </c>
      <c r="J1146">
        <v>-0.02</v>
      </c>
    </row>
    <row r="1147" spans="1:10" x14ac:dyDescent="0.3">
      <c r="A1147" t="str">
        <f>HYPERLINK("https://us2.cloudbeds.com/connect/10074733072513#/reservations/31730772394139?display=MXHHPPEC4&amp;reservation_id=31730772394139", "MXHHPPEC4")</f>
        <v>MXHHPPEC4</v>
      </c>
      <c r="B1147" t="s">
        <v>10</v>
      </c>
      <c r="C1147" t="s">
        <v>42</v>
      </c>
      <c r="D1147" t="str">
        <f>HYPERLINK("https://us2.cloudbeds.com/connect/10074733072513#/reservations/31730772394139?display=Tim%20Swanson&amp;reservation_id=31730772394139&amp;guest_id=31730772390047", "Tim Swanson")</f>
        <v>Tim Swanson</v>
      </c>
      <c r="E1147" t="s">
        <v>10209</v>
      </c>
      <c r="F1147" t="s">
        <v>9045</v>
      </c>
      <c r="G1147">
        <v>328</v>
      </c>
      <c r="H1147">
        <v>356.52</v>
      </c>
      <c r="I1147">
        <v>356.54</v>
      </c>
      <c r="J1147">
        <v>-0.02</v>
      </c>
    </row>
    <row r="1148" spans="1:10" x14ac:dyDescent="0.3">
      <c r="A1148" t="str">
        <f>HYPERLINK("https://us2.cloudbeds.com/connect/10074733072513#/reservations/31725627191523?display=MXDXA6JDB&amp;reservation_id=31725627191523", "MXDXA6JDB")</f>
        <v>MXDXA6JDB</v>
      </c>
      <c r="B1148" t="s">
        <v>10</v>
      </c>
      <c r="C1148" t="s">
        <v>17</v>
      </c>
      <c r="D1148" t="str">
        <f>HYPERLINK("https://us2.cloudbeds.com/connect/10074733072513#/reservations/31725627191523?display=Charles%20Phillips&amp;reservation_id=31725627191523&amp;guest_id=31725616677004", "Charles Phillips")</f>
        <v>Charles Phillips</v>
      </c>
      <c r="E1148" t="s">
        <v>4310</v>
      </c>
      <c r="F1148" t="s">
        <v>9463</v>
      </c>
      <c r="G1148">
        <v>340.2</v>
      </c>
      <c r="H1148">
        <v>369.78</v>
      </c>
      <c r="I1148">
        <v>369.8</v>
      </c>
      <c r="J1148">
        <v>-0.02</v>
      </c>
    </row>
    <row r="1149" spans="1:10" x14ac:dyDescent="0.3">
      <c r="A1149" t="str">
        <f>HYPERLINK("https://us2.cloudbeds.com/connect/10074733072513#/reservations/31726686515356?display=MXECCERXX&amp;reservation_id=31726686515356", "MXECCERXX")</f>
        <v>MXECCERXX</v>
      </c>
      <c r="B1149" t="s">
        <v>10</v>
      </c>
      <c r="C1149" t="s">
        <v>42</v>
      </c>
      <c r="D1149" t="str">
        <f>HYPERLINK("https://us2.cloudbeds.com/connect/10074733072513#/reservations/31726686515356?display=Judson%20Maggert&amp;reservation_id=31726686515356&amp;guest_id=31683113152731", "Judson Maggert")</f>
        <v>Judson Maggert</v>
      </c>
      <c r="E1149" t="s">
        <v>7072</v>
      </c>
      <c r="F1149" t="s">
        <v>9717</v>
      </c>
      <c r="G1149">
        <v>571.5</v>
      </c>
      <c r="H1149">
        <v>621.20000000000005</v>
      </c>
      <c r="I1149">
        <v>621.22</v>
      </c>
      <c r="J1149">
        <v>-0.02</v>
      </c>
    </row>
    <row r="1150" spans="1:10" x14ac:dyDescent="0.3">
      <c r="A1150" t="str">
        <f>HYPERLINK("https://us2.cloudbeds.com/connect/10074733072513#/reservations/31725209915530?display=MXD7YB8S9&amp;reservation_id=31725209915530", "MXD7YB8S9")</f>
        <v>MXD7YB8S9</v>
      </c>
      <c r="B1150" t="s">
        <v>10</v>
      </c>
      <c r="C1150" t="s">
        <v>23</v>
      </c>
      <c r="D1150" t="str">
        <f>HYPERLINK("https://us2.cloudbeds.com/connect/10074733072513#/reservations/31725209915530?display=Isaac%20Holst&amp;reservation_id=31725209915530&amp;guest_id=31692794310791", "Isaac Holst")</f>
        <v>Isaac Holst</v>
      </c>
      <c r="E1150" t="s">
        <v>7894</v>
      </c>
      <c r="F1150" t="s">
        <v>10812</v>
      </c>
      <c r="G1150">
        <v>340.2</v>
      </c>
      <c r="H1150">
        <v>369.78</v>
      </c>
      <c r="I1150">
        <v>369.8</v>
      </c>
      <c r="J1150">
        <v>-0.02</v>
      </c>
    </row>
    <row r="1151" spans="1:10" x14ac:dyDescent="0.3">
      <c r="A1151" t="str">
        <f>HYPERLINK("https://us2.cloudbeds.com/connect/10074733072513#/reservations/31716094832771?display=MX65Z8YJ7&amp;reservation_id=31716094832771", "MX65Z8YJ7")</f>
        <v>MX65Z8YJ7</v>
      </c>
      <c r="B1151" t="s">
        <v>10</v>
      </c>
      <c r="C1151" t="s">
        <v>23</v>
      </c>
      <c r="D1151" t="str">
        <f>HYPERLINK("https://us2.cloudbeds.com/connect/10074733072513#/reservations/31716094832771?display=Kathy%20Knutson&amp;reservation_id=31716094832771&amp;guest_id=31716088557783", "Kathy Knutson")</f>
        <v>Kathy Knutson</v>
      </c>
      <c r="E1151" t="s">
        <v>11166</v>
      </c>
      <c r="F1151" t="s">
        <v>10695</v>
      </c>
      <c r="G1151">
        <v>352.3</v>
      </c>
      <c r="H1151">
        <v>382.93</v>
      </c>
      <c r="I1151">
        <v>382.95</v>
      </c>
      <c r="J1151">
        <v>-0.02</v>
      </c>
    </row>
    <row r="1152" spans="1:10" x14ac:dyDescent="0.3">
      <c r="A1152" t="str">
        <f>HYPERLINK("https://us2.cloudbeds.com/connect/10074733072513#/reservations/31722454429915?display=MXB37RR16&amp;reservation_id=31722454429915", "MXB37RR16")</f>
        <v>MXB37RR16</v>
      </c>
      <c r="B1152" t="s">
        <v>10</v>
      </c>
      <c r="C1152" t="s">
        <v>42</v>
      </c>
      <c r="D1152" t="str">
        <f>HYPERLINK("https://us2.cloudbeds.com/connect/10074733072513#/reservations/31722454429915?display=Jackie%20Thill&amp;reservation_id=31722454429915&amp;guest_id=31722454425822", "Jackie Thill")</f>
        <v>Jackie Thill</v>
      </c>
      <c r="E1152" t="s">
        <v>11227</v>
      </c>
      <c r="F1152" t="s">
        <v>11216</v>
      </c>
      <c r="G1152">
        <v>340.2</v>
      </c>
      <c r="H1152">
        <v>369.78</v>
      </c>
      <c r="I1152">
        <v>369.8</v>
      </c>
      <c r="J1152">
        <v>-0.02</v>
      </c>
    </row>
    <row r="1153" spans="1:10" x14ac:dyDescent="0.3">
      <c r="A1153" t="str">
        <f>HYPERLINK("https://us2.cloudbeds.com/connect/10074733072513#/reservations/31719477788815?display=MX8PSPQMS&amp;reservation_id=31719477788815", "MX8PSPQMS")</f>
        <v>MX8PSPQMS</v>
      </c>
      <c r="B1153" t="s">
        <v>10</v>
      </c>
      <c r="C1153" t="s">
        <v>42</v>
      </c>
      <c r="D1153" t="str">
        <f>HYPERLINK("https://us2.cloudbeds.com/connect/10074733072513#/reservations/31719477788815?display=Douglass%20Norton&amp;reservation_id=31719477788815&amp;guest_id=31719465836742", "Douglass Norton")</f>
        <v>Douglass Norton</v>
      </c>
      <c r="E1153" t="s">
        <v>11265</v>
      </c>
      <c r="F1153" t="s">
        <v>11183</v>
      </c>
      <c r="G1153">
        <v>492.3</v>
      </c>
      <c r="H1153">
        <v>535.11</v>
      </c>
      <c r="I1153">
        <v>535.13</v>
      </c>
      <c r="J1153">
        <v>-0.02</v>
      </c>
    </row>
    <row r="1154" spans="1:10" x14ac:dyDescent="0.3">
      <c r="A1154" t="str">
        <f>HYPERLINK("https://us2.cloudbeds.com/connect/10074733072513#/reservations/31716181495965?display=MX67VB63K&amp;reservation_id=31716181495965", "MX67VB63K")</f>
        <v>MX67VB63K</v>
      </c>
      <c r="B1154" t="s">
        <v>10</v>
      </c>
      <c r="C1154" t="s">
        <v>23</v>
      </c>
      <c r="D1154" t="str">
        <f>HYPERLINK("https://us2.cloudbeds.com/connect/10074733072513#/reservations/31716181495965?display=Leah%20Schleuning&amp;reservation_id=31716181495965&amp;guest_id=31716171899024", "Leah Schleuning")</f>
        <v>Leah Schleuning</v>
      </c>
      <c r="E1154" t="s">
        <v>11321</v>
      </c>
      <c r="F1154" t="s">
        <v>10982</v>
      </c>
      <c r="G1154">
        <v>340.2</v>
      </c>
      <c r="H1154">
        <v>369.78</v>
      </c>
      <c r="I1154">
        <v>369.8</v>
      </c>
      <c r="J1154">
        <v>-0.02</v>
      </c>
    </row>
    <row r="1155" spans="1:10" x14ac:dyDescent="0.3">
      <c r="A1155" t="str">
        <f>HYPERLINK("https://us2.cloudbeds.com/connect/10074733072513#/reservations/31716683989154?display=MX6KQ1QBV&amp;reservation_id=31716683989154", "MX6KQ1QBV")</f>
        <v>MX6KQ1QBV</v>
      </c>
      <c r="B1155" t="s">
        <v>10</v>
      </c>
      <c r="C1155" t="s">
        <v>23</v>
      </c>
      <c r="D1155" t="str">
        <f>HYPERLINK("https://us2.cloudbeds.com/connect/10074733072513#/reservations/31716683989154?display=Arlene%20Harwood&amp;reservation_id=31716683989154&amp;guest_id=31716676034762", "Arlene Harwood")</f>
        <v>Arlene Harwood</v>
      </c>
      <c r="E1155" t="s">
        <v>11353</v>
      </c>
      <c r="F1155" t="s">
        <v>11354</v>
      </c>
      <c r="G1155">
        <v>340.2</v>
      </c>
      <c r="H1155">
        <v>369.78</v>
      </c>
      <c r="I1155">
        <v>369.8</v>
      </c>
      <c r="J1155">
        <v>-0.02</v>
      </c>
    </row>
    <row r="1156" spans="1:10" x14ac:dyDescent="0.3">
      <c r="A1156" t="str">
        <f>HYPERLINK("https://us2.cloudbeds.com/connect/10074733072513#/reservations/31715714322659?display=MX5T0DD5P&amp;reservation_id=31715714322659", "MX5T0DD5P")</f>
        <v>MX5T0DD5P</v>
      </c>
      <c r="B1156" t="s">
        <v>10</v>
      </c>
      <c r="C1156" t="s">
        <v>23</v>
      </c>
      <c r="D1156" t="str">
        <f>HYPERLINK("https://us2.cloudbeds.com/connect/10074733072513#/reservations/31715714322659?display=Devin%20Vosejpka&amp;reservation_id=31715714322659&amp;guest_id=31715714322656", "Devin Vosejpka")</f>
        <v>Devin Vosejpka</v>
      </c>
      <c r="E1156" t="s">
        <v>11471</v>
      </c>
      <c r="F1156" t="s">
        <v>10750</v>
      </c>
      <c r="G1156">
        <v>340.2</v>
      </c>
      <c r="H1156">
        <v>369.78</v>
      </c>
      <c r="I1156">
        <v>369.8</v>
      </c>
      <c r="J1156">
        <v>-0.02</v>
      </c>
    </row>
    <row r="1157" spans="1:10" x14ac:dyDescent="0.3">
      <c r="A1157" t="str">
        <f>HYPERLINK("https://us2.cloudbeds.com/connect/10074733072513#/reservations/31714437816528?display=MX4TD0Z7Q&amp;reservation_id=31714437816528", "MX4TD0Z7Q")</f>
        <v>MX4TD0Z7Q</v>
      </c>
      <c r="B1157" t="s">
        <v>10</v>
      </c>
      <c r="C1157" t="s">
        <v>23</v>
      </c>
      <c r="D1157" t="str">
        <f>HYPERLINK("https://us2.cloudbeds.com/connect/10074733072513#/reservations/31714437816528?display=Bonnie%20Hedlund&amp;reservation_id=31714437816528&amp;guest_id=31714437812474", "Bonnie Hedlund")</f>
        <v>Bonnie Hedlund</v>
      </c>
      <c r="E1157" t="s">
        <v>11477</v>
      </c>
      <c r="F1157" t="s">
        <v>10695</v>
      </c>
      <c r="G1157">
        <v>340.2</v>
      </c>
      <c r="H1157">
        <v>369.78</v>
      </c>
      <c r="I1157">
        <v>369.8</v>
      </c>
      <c r="J1157">
        <v>-0.02</v>
      </c>
    </row>
    <row r="1158" spans="1:10" x14ac:dyDescent="0.3">
      <c r="A1158" t="str">
        <f>HYPERLINK("https://us2.cloudbeds.com/connect/10074733072513#/reservations/31720378048694?display=MX9G5WET4&amp;reservation_id=31720378048694", "MX9G5WET4")</f>
        <v>MX9G5WET4</v>
      </c>
      <c r="B1158" t="s">
        <v>10</v>
      </c>
      <c r="C1158" t="s">
        <v>23</v>
      </c>
      <c r="D1158" t="str">
        <f>HYPERLINK("https://us2.cloudbeds.com/connect/10074733072513#/reservations/31720378048694?display=Isaiah%20Lopez&amp;reservation_id=31720378048694&amp;guest_id=31720364634270", "Isaiah Lopez")</f>
        <v>Isaiah Lopez</v>
      </c>
      <c r="E1158" t="s">
        <v>11493</v>
      </c>
      <c r="F1158" t="s">
        <v>11044</v>
      </c>
      <c r="G1158">
        <v>244.36</v>
      </c>
      <c r="H1158">
        <v>265.60000000000002</v>
      </c>
      <c r="I1158">
        <v>265.62</v>
      </c>
      <c r="J1158">
        <v>-0.02</v>
      </c>
    </row>
    <row r="1159" spans="1:10" x14ac:dyDescent="0.3">
      <c r="A1159" t="str">
        <f>HYPERLINK("https://us2.cloudbeds.com/connect/10074733072513#/reservations/31723398111447?display=MXBRBJ4U8&amp;reservation_id=31723398111447", "MXBRBJ4U8")</f>
        <v>MXBRBJ4U8</v>
      </c>
      <c r="B1159" t="s">
        <v>10</v>
      </c>
      <c r="C1159" t="s">
        <v>42</v>
      </c>
      <c r="D1159" t="str">
        <f>HYPERLINK("https://us2.cloudbeds.com/connect/10074733072513#/reservations/31723398111447?display=Teri%20Todd&amp;reservation_id=31723398111447&amp;guest_id=31684708155593", "Teri Todd")</f>
        <v>Teri Todd</v>
      </c>
      <c r="E1159" t="s">
        <v>10873</v>
      </c>
      <c r="F1159" t="s">
        <v>11509</v>
      </c>
      <c r="G1159">
        <v>168.3</v>
      </c>
      <c r="H1159">
        <v>182.92</v>
      </c>
      <c r="I1159">
        <v>182.94</v>
      </c>
      <c r="J1159">
        <v>-0.02</v>
      </c>
    </row>
    <row r="1160" spans="1:10" x14ac:dyDescent="0.3">
      <c r="A1160" t="str">
        <f>HYPERLINK("https://us2.cloudbeds.com/connect/10074733072513#/reservations/31721986384103?display=MXAZ95ZTP&amp;reservation_id=31721986384103", "MXAZ95ZTP")</f>
        <v>MXAZ95ZTP</v>
      </c>
      <c r="B1160" t="s">
        <v>10</v>
      </c>
      <c r="C1160" t="s">
        <v>42</v>
      </c>
      <c r="D1160" t="str">
        <f>HYPERLINK("https://us2.cloudbeds.com/connect/10074733072513#/reservations/31721986384103?display=Michael%20Schwake&amp;reservation_id=31721986384103&amp;guest_id=31717486862488", "Michael Schwake")</f>
        <v>Michael Schwake</v>
      </c>
      <c r="E1160" t="s">
        <v>11451</v>
      </c>
      <c r="F1160" t="s">
        <v>11163</v>
      </c>
      <c r="G1160">
        <v>1069.2</v>
      </c>
      <c r="H1160">
        <v>1162.2</v>
      </c>
      <c r="I1160">
        <v>1162.22</v>
      </c>
      <c r="J1160">
        <v>-0.02</v>
      </c>
    </row>
    <row r="1161" spans="1:10" x14ac:dyDescent="0.3">
      <c r="A1161" t="str">
        <f>HYPERLINK("https://us2.cloudbeds.com/connect/10074733072513#/reservations/31718595489957?display=MX83KT45N&amp;reservation_id=31718595489957", "MX83KT45N")</f>
        <v>MX83KT45N</v>
      </c>
      <c r="B1161" t="s">
        <v>10</v>
      </c>
      <c r="C1161" t="s">
        <v>23</v>
      </c>
      <c r="D1161" t="str">
        <f>HYPERLINK("https://us2.cloudbeds.com/connect/10074733072513#/reservations/31718595489957?display=Janet%20Zubell&amp;reservation_id=31718595489957&amp;guest_id=31690244407480", "Janet Zubell")</f>
        <v>Janet Zubell</v>
      </c>
      <c r="E1161" t="s">
        <v>11673</v>
      </c>
      <c r="F1161" t="s">
        <v>11485</v>
      </c>
      <c r="G1161">
        <v>518.4</v>
      </c>
      <c r="H1161">
        <v>563.48</v>
      </c>
      <c r="I1161">
        <v>563.5</v>
      </c>
      <c r="J1161">
        <v>-0.02</v>
      </c>
    </row>
    <row r="1162" spans="1:10" x14ac:dyDescent="0.3">
      <c r="A1162" t="str">
        <f>HYPERLINK("https://us2.cloudbeds.com/connect/10074733072513#/reservations/31712677966073?display=MX3HE29V4&amp;reservation_id=31712677966073", "MX3HE29V4")</f>
        <v>MX3HE29V4</v>
      </c>
      <c r="B1162" t="s">
        <v>10</v>
      </c>
      <c r="C1162" t="s">
        <v>23</v>
      </c>
      <c r="D1162" t="str">
        <f>HYPERLINK("https://us2.cloudbeds.com/connect/10074733072513#/reservations/31712677966073?display=Dean%20Oros&amp;reservation_id=31712677966073&amp;guest_id=31712677966060", "Dean Oros")</f>
        <v>Dean Oros</v>
      </c>
      <c r="E1162" t="s">
        <v>11700</v>
      </c>
      <c r="F1162" t="s">
        <v>8603</v>
      </c>
      <c r="G1162">
        <v>340.2</v>
      </c>
      <c r="H1162">
        <v>369.78</v>
      </c>
      <c r="I1162">
        <v>369.8</v>
      </c>
      <c r="J1162">
        <v>-0.02</v>
      </c>
    </row>
    <row r="1163" spans="1:10" x14ac:dyDescent="0.3">
      <c r="A1163" t="str">
        <f>HYPERLINK("https://us2.cloudbeds.com/connect/10074733072513#/reservations/31718063505615?display=MX7N19SW2&amp;reservation_id=31718063505615", "MX7N19SW2")</f>
        <v>MX7N19SW2</v>
      </c>
      <c r="B1163" t="s">
        <v>10</v>
      </c>
      <c r="C1163" t="s">
        <v>23</v>
      </c>
      <c r="D1163" t="str">
        <f>HYPERLINK("https://us2.cloudbeds.com/connect/10074733072513#/reservations/31718063505615?display=Nichol%20Brehmer&amp;reservation_id=31718063505615&amp;guest_id=31718050992307", "Nichol Brehmer")</f>
        <v>Nichol Brehmer</v>
      </c>
      <c r="E1163" t="s">
        <v>11754</v>
      </c>
      <c r="F1163" t="s">
        <v>11573</v>
      </c>
      <c r="G1163">
        <v>340.2</v>
      </c>
      <c r="H1163">
        <v>369.78</v>
      </c>
      <c r="I1163">
        <v>369.8</v>
      </c>
      <c r="J1163">
        <v>-0.02</v>
      </c>
    </row>
    <row r="1164" spans="1:10" x14ac:dyDescent="0.3">
      <c r="A1164" t="str">
        <f>HYPERLINK("https://us2.cloudbeds.com/connect/10074733072513#/reservations/31724862341256?display=MXCVP8GXH&amp;reservation_id=31724862341256", "MXCVP8GXH")</f>
        <v>MXCVP8GXH</v>
      </c>
      <c r="B1164" t="s">
        <v>10</v>
      </c>
      <c r="C1164" t="s">
        <v>23</v>
      </c>
      <c r="D1164" t="str">
        <f>HYPERLINK("https://us2.cloudbeds.com/connect/10074733072513#/reservations/31724862341256?display=Dale%20Bauer&amp;reservation_id=31724862341256&amp;guest_id=31724862341251", "Dale Bauer")</f>
        <v>Dale Bauer</v>
      </c>
      <c r="E1164" t="s">
        <v>11818</v>
      </c>
      <c r="F1164" t="s">
        <v>10982</v>
      </c>
      <c r="G1164">
        <v>227.3</v>
      </c>
      <c r="H1164">
        <v>247.06</v>
      </c>
      <c r="I1164">
        <v>247.08</v>
      </c>
      <c r="J1164">
        <v>-0.02</v>
      </c>
    </row>
    <row r="1165" spans="1:10" x14ac:dyDescent="0.3">
      <c r="A1165" t="str">
        <f>HYPERLINK("https://us2.cloudbeds.com/connect/10074733072513#/reservations/31722637213879?display=MXB7TW1Z6&amp;reservation_id=31722637213879", "MXB7TW1Z6")</f>
        <v>MXB7TW1Z6</v>
      </c>
      <c r="B1165" t="s">
        <v>10</v>
      </c>
      <c r="C1165" t="s">
        <v>23</v>
      </c>
      <c r="D1165" t="str">
        <f>HYPERLINK("https://us2.cloudbeds.com/connect/10074733072513#/reservations/31722637213879?display=Jim%20Porter&amp;reservation_id=31722637213879&amp;guest_id=31722633830648", "Jim Porter")</f>
        <v>Jim Porter</v>
      </c>
      <c r="E1165" t="s">
        <v>11841</v>
      </c>
      <c r="F1165" t="s">
        <v>11680</v>
      </c>
      <c r="G1165">
        <v>402.3</v>
      </c>
      <c r="H1165">
        <v>437.28</v>
      </c>
      <c r="I1165">
        <v>437.3</v>
      </c>
      <c r="J1165">
        <v>-0.02</v>
      </c>
    </row>
    <row r="1166" spans="1:10" x14ac:dyDescent="0.3">
      <c r="A1166" t="str">
        <f>HYPERLINK("https://us2.cloudbeds.com/connect/10074733072513#/reservations/31717969125551?display=MX7KKNK84&amp;reservation_id=31717969125551", "MX7KKNK84")</f>
        <v>MX7KKNK84</v>
      </c>
      <c r="B1166" t="s">
        <v>10</v>
      </c>
      <c r="C1166" t="s">
        <v>23</v>
      </c>
      <c r="D1166" t="str">
        <f>HYPERLINK("https://us2.cloudbeds.com/connect/10074733072513#/reservations/31717969125551?display=Davyen%20Garcia&amp;reservation_id=31717969125551&amp;guest_id=31717969125546", "Davyen Garcia")</f>
        <v>Davyen Garcia</v>
      </c>
      <c r="E1166" t="s">
        <v>11847</v>
      </c>
      <c r="F1166" t="s">
        <v>11680</v>
      </c>
      <c r="G1166">
        <v>244.36</v>
      </c>
      <c r="H1166">
        <v>265.60000000000002</v>
      </c>
      <c r="I1166">
        <v>265.62</v>
      </c>
      <c r="J1166">
        <v>-0.02</v>
      </c>
    </row>
    <row r="1167" spans="1:10" x14ac:dyDescent="0.3">
      <c r="A1167" t="str">
        <f>HYPERLINK("https://us2.cloudbeds.com/connect/10074733072513#/reservations/31718206193804?display=MX7QMKCPJ&amp;reservation_id=31718206193804", "MX7QMKCPJ")</f>
        <v>MX7QMKCPJ</v>
      </c>
      <c r="B1167" t="s">
        <v>10</v>
      </c>
      <c r="C1167" t="s">
        <v>23</v>
      </c>
      <c r="D1167" t="str">
        <f>HYPERLINK("https://us2.cloudbeds.com/connect/10074733072513#/reservations/31718206193804?display=Michelle%20Anderson&amp;reservation_id=31718206193804&amp;guest_id=31718206189710", "Michelle Anderson")</f>
        <v>Michelle Anderson</v>
      </c>
      <c r="E1167" t="s">
        <v>11862</v>
      </c>
      <c r="F1167" t="s">
        <v>11863</v>
      </c>
      <c r="G1167">
        <v>524.79999999999995</v>
      </c>
      <c r="H1167">
        <v>570.44000000000005</v>
      </c>
      <c r="I1167">
        <v>570.46</v>
      </c>
      <c r="J1167">
        <v>-0.02</v>
      </c>
    </row>
    <row r="1168" spans="1:10" x14ac:dyDescent="0.3">
      <c r="A1168" t="str">
        <f>HYPERLINK("https://us2.cloudbeds.com/connect/10074733072513#/reservations/31718044508294?display=MX7MX987M&amp;reservation_id=31718044508294", "MX7MX987M")</f>
        <v>MX7MX987M</v>
      </c>
      <c r="B1168" t="s">
        <v>10</v>
      </c>
      <c r="C1168" t="s">
        <v>42</v>
      </c>
      <c r="D1168" t="str">
        <f>HYPERLINK("https://us2.cloudbeds.com/connect/10074733072513#/reservations/31718044508294?display=Scott%20Crossfield&amp;reservation_id=31718044508294&amp;guest_id=31718044504214", "Scott Crossfield")</f>
        <v>Scott Crossfield</v>
      </c>
      <c r="E1168" t="s">
        <v>11866</v>
      </c>
      <c r="F1168" t="s">
        <v>11675</v>
      </c>
      <c r="G1168">
        <v>490.5</v>
      </c>
      <c r="H1168">
        <v>533.15</v>
      </c>
      <c r="I1168">
        <v>533.16999999999996</v>
      </c>
      <c r="J1168">
        <v>-0.02</v>
      </c>
    </row>
    <row r="1169" spans="1:10" x14ac:dyDescent="0.3">
      <c r="A1169" t="str">
        <f>HYPERLINK("https://us2.cloudbeds.com/connect/10074733072513#/reservations/31717640073413?display=MX7C788B7&amp;reservation_id=31717640073413", "MX7C788B7")</f>
        <v>MX7C788B7</v>
      </c>
      <c r="B1169" t="s">
        <v>10</v>
      </c>
      <c r="C1169" t="s">
        <v>23</v>
      </c>
      <c r="D1169" t="str">
        <f>HYPERLINK("https://us2.cloudbeds.com/connect/10074733072513#/reservations/31717640073413?display=Judy%20Vasecka&amp;reservation_id=31717640073413&amp;guest_id=31717640073408", "Judy Vasecka")</f>
        <v>Judy Vasecka</v>
      </c>
      <c r="E1169" t="s">
        <v>11878</v>
      </c>
      <c r="F1169" t="s">
        <v>11027</v>
      </c>
      <c r="G1169">
        <v>308.48</v>
      </c>
      <c r="H1169">
        <v>335.3</v>
      </c>
      <c r="I1169">
        <v>335.32</v>
      </c>
      <c r="J1169">
        <v>-0.02</v>
      </c>
    </row>
    <row r="1170" spans="1:10" x14ac:dyDescent="0.3">
      <c r="A1170" t="str">
        <f>HYPERLINK("https://us2.cloudbeds.com/connect/10074733072513#/reservations/31720880107737?display=MX9T0AWFH&amp;reservation_id=31720880107737", "MX9T0AWFH")</f>
        <v>MX9T0AWFH</v>
      </c>
      <c r="B1170" t="s">
        <v>10</v>
      </c>
      <c r="C1170" t="s">
        <v>23</v>
      </c>
      <c r="D1170" t="str">
        <f>HYPERLINK("https://us2.cloudbeds.com/connect/10074733072513#/reservations/31720880107737?display=Morgan%20Koch&amp;reservation_id=31720880107737&amp;guest_id=31720880107735", "Morgan Koch")</f>
        <v>Morgan Koch</v>
      </c>
      <c r="E1170" t="s">
        <v>11888</v>
      </c>
      <c r="F1170" t="s">
        <v>11873</v>
      </c>
      <c r="G1170">
        <v>392.4</v>
      </c>
      <c r="H1170">
        <v>426.52</v>
      </c>
      <c r="I1170">
        <v>426.54</v>
      </c>
      <c r="J1170">
        <v>-0.02</v>
      </c>
    </row>
    <row r="1171" spans="1:10" x14ac:dyDescent="0.3">
      <c r="A1171" t="str">
        <f>HYPERLINK("https://us2.cloudbeds.com/connect/10074733072513#/reservations/31716632752320?display=MX6J5JE7Y&amp;reservation_id=31716632752320", "MX6J5JE7Y")</f>
        <v>MX6J5JE7Y</v>
      </c>
      <c r="B1171" t="s">
        <v>10</v>
      </c>
      <c r="C1171" t="s">
        <v>23</v>
      </c>
      <c r="D1171" t="str">
        <f>HYPERLINK("https://us2.cloudbeds.com/connect/10074733072513#/reservations/31716632752320?display=James%20Lane&amp;reservation_id=31716632752320&amp;guest_id=31716620583071", "James Lane")</f>
        <v>James Lane</v>
      </c>
      <c r="E1171" t="s">
        <v>11929</v>
      </c>
      <c r="F1171" t="s">
        <v>11748</v>
      </c>
      <c r="G1171">
        <v>227.3</v>
      </c>
      <c r="H1171">
        <v>247.06</v>
      </c>
      <c r="I1171">
        <v>247.08</v>
      </c>
      <c r="J1171">
        <v>-0.02</v>
      </c>
    </row>
    <row r="1172" spans="1:10" x14ac:dyDescent="0.3">
      <c r="A1172" t="str">
        <f>HYPERLINK("https://us2.cloudbeds.com/connect/10074733072513#/reservations/31715389104321?display=MX5KN5NZK&amp;reservation_id=31715389104321", "MX5KN5NZK")</f>
        <v>MX5KN5NZK</v>
      </c>
      <c r="B1172" t="s">
        <v>10</v>
      </c>
      <c r="C1172" t="s">
        <v>23</v>
      </c>
      <c r="D1172" t="str">
        <f>HYPERLINK("https://us2.cloudbeds.com/connect/10074733072513#/reservations/31715389104321?display=Dan%20Moose&amp;reservation_id=31715389104321&amp;guest_id=31715389100286", "Dan Moose")</f>
        <v>Dan Moose</v>
      </c>
      <c r="E1172" t="s">
        <v>11937</v>
      </c>
      <c r="F1172" t="s">
        <v>11938</v>
      </c>
      <c r="G1172">
        <v>340.2</v>
      </c>
      <c r="H1172">
        <v>369.78</v>
      </c>
      <c r="I1172">
        <v>369.8</v>
      </c>
      <c r="J1172">
        <v>-0.02</v>
      </c>
    </row>
    <row r="1173" spans="1:10" x14ac:dyDescent="0.3">
      <c r="A1173" t="str">
        <f>HYPERLINK("https://us2.cloudbeds.com/connect/10074733072513#/reservations/31717313691791?display=MX73T16N1&amp;reservation_id=31717313691791", "MX73T16N1")</f>
        <v>MX73T16N1</v>
      </c>
      <c r="B1173" t="s">
        <v>10</v>
      </c>
      <c r="C1173" t="s">
        <v>23</v>
      </c>
      <c r="D1173" t="str">
        <f>HYPERLINK("https://us2.cloudbeds.com/connect/10074733072513#/reservations/31717313691791?display=Mike%20Emmick&amp;reservation_id=31717313691791&amp;guest_id=31717313687706", "Mike Emmick")</f>
        <v>Mike Emmick</v>
      </c>
      <c r="E1173" t="s">
        <v>11972</v>
      </c>
      <c r="F1173" t="s">
        <v>9926</v>
      </c>
      <c r="G1173">
        <v>227.3</v>
      </c>
      <c r="H1173">
        <v>247.06</v>
      </c>
      <c r="I1173">
        <v>247.08</v>
      </c>
      <c r="J1173">
        <v>-0.02</v>
      </c>
    </row>
    <row r="1174" spans="1:10" x14ac:dyDescent="0.3">
      <c r="A1174" t="str">
        <f>HYPERLINK("https://us2.cloudbeds.com/connect/10074733072513#/reservations/31717307904131?display=MX73Z551D&amp;reservation_id=31717307904131", "MX73Z551D")</f>
        <v>MX73Z551D</v>
      </c>
      <c r="B1174" t="s">
        <v>10</v>
      </c>
      <c r="C1174" t="s">
        <v>23</v>
      </c>
      <c r="D1174" t="str">
        <f>HYPERLINK("https://us2.cloudbeds.com/connect/10074733072513#/reservations/31717307904131?display=Mike%20Emmick&amp;reservation_id=31717307904131&amp;guest_id=31717301965026", "Mike Emmick")</f>
        <v>Mike Emmick</v>
      </c>
      <c r="E1174" t="s">
        <v>11974</v>
      </c>
      <c r="F1174" t="s">
        <v>9926</v>
      </c>
      <c r="G1174">
        <v>227.3</v>
      </c>
      <c r="H1174">
        <v>247.06</v>
      </c>
      <c r="I1174">
        <v>247.08</v>
      </c>
      <c r="J1174">
        <v>-0.02</v>
      </c>
    </row>
    <row r="1175" spans="1:10" x14ac:dyDescent="0.3">
      <c r="A1175" t="str">
        <f>HYPERLINK("https://us2.cloudbeds.com/connect/10074733072513#/reservations/31702975992053?display=MHT0H3XTD&amp;reservation_id=31702975992053", "MHT0H3XTD")</f>
        <v>MHT0H3XTD</v>
      </c>
      <c r="B1175" t="s">
        <v>10</v>
      </c>
      <c r="C1175" t="s">
        <v>23</v>
      </c>
      <c r="D1175" t="str">
        <f>HYPERLINK("https://us2.cloudbeds.com/connect/10074733072513#/reservations/31702975992053?display=Sydnee%20Clemens&amp;reservation_id=31702975992053&amp;guest_id=31702975992048", "Sydnee Clemens")</f>
        <v>Sydnee Clemens</v>
      </c>
      <c r="E1175" t="s">
        <v>12004</v>
      </c>
      <c r="F1175" t="s">
        <v>12005</v>
      </c>
      <c r="G1175">
        <v>360.2</v>
      </c>
      <c r="H1175">
        <v>391.52</v>
      </c>
      <c r="I1175">
        <v>391.54</v>
      </c>
      <c r="J1175">
        <v>-0.02</v>
      </c>
    </row>
    <row r="1176" spans="1:10" x14ac:dyDescent="0.3">
      <c r="A1176" t="str">
        <f>HYPERLINK("https://us2.cloudbeds.com/connect/10074733072513#/reservations/31718695919833?display=MX866XZ99&amp;reservation_id=31718695919833", "MX866XZ99")</f>
        <v>MX866XZ99</v>
      </c>
      <c r="B1176" t="s">
        <v>10</v>
      </c>
      <c r="C1176" t="s">
        <v>23</v>
      </c>
      <c r="D1176" t="str">
        <f>HYPERLINK("https://us2.cloudbeds.com/connect/10074733072513#/reservations/31718695919833?display=Tenille%20Manning%20Heier&amp;reservation_id=31718695919833&amp;guest_id=31718686118024", "Tenille Manning Heier")</f>
        <v>Tenille Manning Heier</v>
      </c>
      <c r="E1176" t="s">
        <v>12008</v>
      </c>
      <c r="F1176" t="s">
        <v>11027</v>
      </c>
      <c r="G1176">
        <v>308.48</v>
      </c>
      <c r="H1176">
        <v>335.3</v>
      </c>
      <c r="I1176">
        <v>335.32</v>
      </c>
      <c r="J1176">
        <v>-0.02</v>
      </c>
    </row>
    <row r="1177" spans="1:10" x14ac:dyDescent="0.3">
      <c r="A1177" t="str">
        <f>HYPERLINK("https://us2.cloudbeds.com/connect/10074733072513#/reservations/31716690501827?display=MX6KVX0PM&amp;reservation_id=31716690501827", "MX6KVX0PM")</f>
        <v>MX6KVX0PM</v>
      </c>
      <c r="B1177" t="s">
        <v>10</v>
      </c>
      <c r="C1177" t="s">
        <v>23</v>
      </c>
      <c r="D1177" t="str">
        <f>HYPERLINK("https://us2.cloudbeds.com/connect/10074733072513#/reservations/31716690501827?display=Debra%20Hanson&amp;reservation_id=31716690501827&amp;guest_id=31716683993250", "Debra Hanson")</f>
        <v>Debra Hanson</v>
      </c>
      <c r="E1177" t="s">
        <v>12013</v>
      </c>
      <c r="F1177" t="s">
        <v>12014</v>
      </c>
      <c r="G1177">
        <v>392.4</v>
      </c>
      <c r="H1177">
        <v>426.52</v>
      </c>
      <c r="I1177">
        <v>426.54</v>
      </c>
      <c r="J1177">
        <v>-0.02</v>
      </c>
    </row>
    <row r="1178" spans="1:10" x14ac:dyDescent="0.3">
      <c r="A1178" t="str">
        <f>HYPERLINK("https://us2.cloudbeds.com/connect/10074733072513#/reservations/31713271804032?display=MX3W83XM5&amp;reservation_id=31713271804032", "MX3W83XM5")</f>
        <v>MX3W83XM5</v>
      </c>
      <c r="B1178" t="s">
        <v>10</v>
      </c>
      <c r="C1178" t="s">
        <v>23</v>
      </c>
      <c r="D1178" t="str">
        <f>HYPERLINK("https://us2.cloudbeds.com/connect/10074733072513#/reservations/31713271804032?display=Crystal%20Vlcek&amp;reservation_id=31713271804032&amp;guest_id=31713257926879", "Crystal Vlcek")</f>
        <v>Crystal Vlcek</v>
      </c>
      <c r="E1178" t="s">
        <v>12111</v>
      </c>
      <c r="F1178" t="s">
        <v>10449</v>
      </c>
      <c r="G1178">
        <v>520.20000000000005</v>
      </c>
      <c r="H1178">
        <v>565.44000000000005</v>
      </c>
      <c r="I1178">
        <v>565.46</v>
      </c>
      <c r="J1178">
        <v>-0.02</v>
      </c>
    </row>
    <row r="1179" spans="1:10" x14ac:dyDescent="0.3">
      <c r="A1179" t="str">
        <f>HYPERLINK("https://us2.cloudbeds.com/connect/10074733072513#/reservations/31716071702751?display=MX654P0TH&amp;reservation_id=31716071702751", "MX654P0TH")</f>
        <v>MX654P0TH</v>
      </c>
      <c r="B1179" t="s">
        <v>10</v>
      </c>
      <c r="C1179" t="s">
        <v>42</v>
      </c>
      <c r="D1179" t="str">
        <f>HYPERLINK("https://us2.cloudbeds.com/connect/10074733072513#/reservations/31716071702751?display=Brian%20Ziggelman&amp;reservation_id=31716071702751&amp;guest_id=31716055699591", "Brian Ziggelman")</f>
        <v>Brian Ziggelman</v>
      </c>
      <c r="E1179" t="s">
        <v>12150</v>
      </c>
      <c r="F1179" t="s">
        <v>11748</v>
      </c>
      <c r="G1179">
        <v>392.4</v>
      </c>
      <c r="H1179">
        <v>426.52</v>
      </c>
      <c r="I1179">
        <v>426.54</v>
      </c>
      <c r="J1179">
        <v>-0.02</v>
      </c>
    </row>
    <row r="1180" spans="1:10" x14ac:dyDescent="0.3">
      <c r="A1180" t="str">
        <f>HYPERLINK("https://us2.cloudbeds.com/connect/10074733072513#/reservations/31718026215650?display=MX7M2S7J4&amp;reservation_id=31718026215650", "MX7M2S7J4")</f>
        <v>MX7M2S7J4</v>
      </c>
      <c r="B1180" t="s">
        <v>10</v>
      </c>
      <c r="C1180" t="s">
        <v>42</v>
      </c>
      <c r="D1180" t="str">
        <f>HYPERLINK("https://us2.cloudbeds.com/connect/10074733072513#/reservations/31718026215650?display=Mary%20Or%20Mike%20Buckman&amp;reservation_id=31718026215650&amp;guest_id=31718026215647", "Mary Or Mike Buckman")</f>
        <v>Mary Or Mike Buckman</v>
      </c>
      <c r="E1180" t="s">
        <v>12155</v>
      </c>
      <c r="F1180" t="s">
        <v>11573</v>
      </c>
      <c r="G1180">
        <v>340.2</v>
      </c>
      <c r="H1180">
        <v>369.78</v>
      </c>
      <c r="I1180">
        <v>369.8</v>
      </c>
      <c r="J1180">
        <v>-0.02</v>
      </c>
    </row>
    <row r="1181" spans="1:10" x14ac:dyDescent="0.3">
      <c r="A1181" t="str">
        <f>HYPERLINK("https://us2.cloudbeds.com/connect/10074733072513#/reservations/31711532343546?display=MX2Y51YVW&amp;reservation_id=31711532343546", "MX2Y51YVW")</f>
        <v>MX2Y51YVW</v>
      </c>
      <c r="B1181" t="s">
        <v>10</v>
      </c>
      <c r="C1181" t="s">
        <v>23</v>
      </c>
      <c r="D1181" t="str">
        <f>HYPERLINK("https://us2.cloudbeds.com/connect/10074733072513#/reservations/31711532343546?display=Donnie%20Provance&amp;reservation_id=31711532343546&amp;guest_id=31711522414817", "Donnie Provance")</f>
        <v>Donnie Provance</v>
      </c>
      <c r="E1181" t="s">
        <v>12158</v>
      </c>
      <c r="F1181" t="s">
        <v>11371</v>
      </c>
      <c r="G1181">
        <v>340.2</v>
      </c>
      <c r="H1181">
        <v>369.78</v>
      </c>
      <c r="I1181">
        <v>369.8</v>
      </c>
      <c r="J1181">
        <v>-0.02</v>
      </c>
    </row>
    <row r="1182" spans="1:10" x14ac:dyDescent="0.3">
      <c r="A1182" t="str">
        <f>HYPERLINK("https://us2.cloudbeds.com/connect/10074733072513#/reservations/31715790930065?display=MX5UW03ZA&amp;reservation_id=31715790930065", "MX5UW03ZA")</f>
        <v>MX5UW03ZA</v>
      </c>
      <c r="B1182" t="s">
        <v>10</v>
      </c>
      <c r="C1182" t="s">
        <v>42</v>
      </c>
      <c r="D1182" t="str">
        <f>HYPERLINK("https://us2.cloudbeds.com/connect/10074733072513#/reservations/31715790930065?display=Dennis%20Phelps&amp;reservation_id=31715790930065&amp;guest_id=31715767447782", "Dennis Phelps")</f>
        <v>Dennis Phelps</v>
      </c>
      <c r="E1182" t="s">
        <v>12209</v>
      </c>
      <c r="F1182" t="s">
        <v>11504</v>
      </c>
      <c r="G1182">
        <v>752.4</v>
      </c>
      <c r="H1182">
        <v>817.84</v>
      </c>
      <c r="I1182">
        <v>817.86</v>
      </c>
      <c r="J1182">
        <v>-0.02</v>
      </c>
    </row>
    <row r="1183" spans="1:10" x14ac:dyDescent="0.3">
      <c r="A1183" t="str">
        <f>HYPERLINK("https://us2.cloudbeds.com/connect/10074733072513#/reservations/31715087179944?display=MX5CWJ7X2&amp;reservation_id=31715087179944", "MX5CWJ7X2")</f>
        <v>MX5CWJ7X2</v>
      </c>
      <c r="B1183" t="s">
        <v>10</v>
      </c>
      <c r="C1183" t="s">
        <v>23</v>
      </c>
      <c r="D1183" t="str">
        <f>HYPERLINK("https://us2.cloudbeds.com/connect/10074733072513#/reservations/31715087179944?display=Steven%20Hoskin&amp;reservation_id=31715087179944&amp;guest_id=31715087179939", "Steven Hoskin")</f>
        <v>Steven Hoskin</v>
      </c>
      <c r="E1183" t="s">
        <v>12228</v>
      </c>
      <c r="F1183" t="s">
        <v>11699</v>
      </c>
      <c r="G1183">
        <v>340.2</v>
      </c>
      <c r="H1183">
        <v>369.78</v>
      </c>
      <c r="I1183">
        <v>369.8</v>
      </c>
      <c r="J1183">
        <v>-0.02</v>
      </c>
    </row>
    <row r="1184" spans="1:10" x14ac:dyDescent="0.3">
      <c r="A1184" t="str">
        <f>HYPERLINK("https://us2.cloudbeds.com/connect/10074733072513#/reservations/31720445157534?display=MX9HTXS5B&amp;reservation_id=31720445157534", "MX9HTXS5B")</f>
        <v>MX9HTXS5B</v>
      </c>
      <c r="B1184" t="s">
        <v>10</v>
      </c>
      <c r="C1184" t="s">
        <v>42</v>
      </c>
      <c r="D1184" t="str">
        <f>HYPERLINK("https://us2.cloudbeds.com/connect/10074733072513#/reservations/31720445157534?display=Lonny%20Bartling&amp;reservation_id=31720445157534&amp;guest_id=31714633990340", "Lonny Bartling")</f>
        <v>Lonny Bartling</v>
      </c>
      <c r="E1184" t="s">
        <v>10764</v>
      </c>
      <c r="F1184" t="s">
        <v>12165</v>
      </c>
      <c r="G1184">
        <v>484.8</v>
      </c>
      <c r="H1184">
        <v>526.96</v>
      </c>
      <c r="I1184">
        <v>526.98</v>
      </c>
      <c r="J1184">
        <v>-0.02</v>
      </c>
    </row>
    <row r="1185" spans="1:10" x14ac:dyDescent="0.3">
      <c r="A1185" t="str">
        <f>HYPERLINK("https://us2.cloudbeds.com/connect/10074733072513#/reservations/31716233335018?display=MX6991MX0&amp;reservation_id=31716233335018", "MX6991MX0")</f>
        <v>MX6991MX0</v>
      </c>
      <c r="B1185" t="s">
        <v>10</v>
      </c>
      <c r="C1185" t="s">
        <v>42</v>
      </c>
      <c r="D1185" t="str">
        <f>HYPERLINK("https://us2.cloudbeds.com/connect/10074733072513#/reservations/31716233335018?display=Jason%20Thompson&amp;reservation_id=31716233335018&amp;guest_id=31716222750858", "Jason Thompson")</f>
        <v>Jason Thompson</v>
      </c>
      <c r="E1185" t="s">
        <v>12323</v>
      </c>
      <c r="F1185" t="s">
        <v>12017</v>
      </c>
      <c r="G1185">
        <v>698.4</v>
      </c>
      <c r="H1185">
        <v>759.14</v>
      </c>
      <c r="I1185">
        <v>759.16</v>
      </c>
      <c r="J1185">
        <v>-0.02</v>
      </c>
    </row>
    <row r="1186" spans="1:10" x14ac:dyDescent="0.3">
      <c r="A1186" t="str">
        <f>HYPERLINK("https://us2.cloudbeds.com/connect/10074733072513#/reservations/31712158122197?display=MX344NT0D&amp;reservation_id=31712158122197", "MX344NT0D")</f>
        <v>MX344NT0D</v>
      </c>
      <c r="B1186" t="s">
        <v>10</v>
      </c>
      <c r="C1186" t="s">
        <v>42</v>
      </c>
      <c r="D1186" t="str">
        <f>HYPERLINK("https://us2.cloudbeds.com/connect/10074733072513#/reservations/31712158122197?display=Coach%20Aris%20Rodriguez%20Sturgis%20Baseball&amp;reservation_id=31712158122197&amp;guest_id=31712139313299", "Coach Aris Rodriguez Sturgis Baseball")</f>
        <v>Coach Aris Rodriguez Sturgis Baseball</v>
      </c>
      <c r="E1186" t="s">
        <v>12327</v>
      </c>
      <c r="F1186" t="s">
        <v>12261</v>
      </c>
      <c r="G1186">
        <v>490.5</v>
      </c>
      <c r="H1186">
        <v>533.15</v>
      </c>
      <c r="I1186">
        <v>533.16999999999996</v>
      </c>
      <c r="J1186">
        <v>-0.02</v>
      </c>
    </row>
    <row r="1187" spans="1:10" x14ac:dyDescent="0.3">
      <c r="A1187" t="str">
        <f>HYPERLINK("https://us2.cloudbeds.com/connect/10074733072513#/reservations/31717128286457?display=MX6W4N0SJ&amp;reservation_id=31717128286457", "MX6W4N0SJ")</f>
        <v>MX6W4N0SJ</v>
      </c>
      <c r="B1187" t="s">
        <v>10</v>
      </c>
      <c r="C1187" t="s">
        <v>23</v>
      </c>
      <c r="D1187" t="str">
        <f>HYPERLINK("https://us2.cloudbeds.com/connect/10074733072513#/reservations/31717128286457?display=Paul%20Thummel&amp;reservation_id=31717128286457&amp;guest_id=31717128286445", "Paul Thummel")</f>
        <v>Paul Thummel</v>
      </c>
      <c r="E1187" t="s">
        <v>12331</v>
      </c>
      <c r="F1187" t="s">
        <v>12303</v>
      </c>
      <c r="G1187">
        <v>168.26</v>
      </c>
      <c r="H1187">
        <v>182.88</v>
      </c>
      <c r="I1187">
        <v>182.9</v>
      </c>
      <c r="J1187">
        <v>-0.02</v>
      </c>
    </row>
    <row r="1188" spans="1:10" x14ac:dyDescent="0.3">
      <c r="A1188" t="str">
        <f>HYPERLINK("https://us2.cloudbeds.com/connect/10074733072513#/reservations/31716032561376?display=MX644ZSD8&amp;reservation_id=31716032561376", "MX644ZSD8")</f>
        <v>MX644ZSD8</v>
      </c>
      <c r="B1188" t="s">
        <v>10</v>
      </c>
      <c r="C1188" t="s">
        <v>42</v>
      </c>
      <c r="D1188" t="str">
        <f>HYPERLINK("https://us2.cloudbeds.com/connect/10074733072513#/reservations/31716032561376?display=Cindy%20Lien&amp;reservation_id=31716032561376&amp;guest_id=31700939161830", "Cindy Lien")</f>
        <v>Cindy Lien</v>
      </c>
      <c r="E1188" t="s">
        <v>12351</v>
      </c>
      <c r="F1188" t="s">
        <v>12352</v>
      </c>
      <c r="G1188">
        <v>244.4</v>
      </c>
      <c r="H1188">
        <v>265.64</v>
      </c>
      <c r="I1188">
        <v>265.66000000000003</v>
      </c>
      <c r="J1188">
        <v>-0.02</v>
      </c>
    </row>
    <row r="1189" spans="1:10" x14ac:dyDescent="0.3">
      <c r="A1189" t="str">
        <f>HYPERLINK("https://us2.cloudbeds.com/connect/10074733072513#/reservations/31711358591214?display=MX2GNHZPQ&amp;reservation_id=31711358591214", "MX2GNHZPQ")</f>
        <v>MX2GNHZPQ</v>
      </c>
      <c r="B1189" t="s">
        <v>10</v>
      </c>
      <c r="C1189" t="s">
        <v>23</v>
      </c>
      <c r="D1189" t="str">
        <f>HYPERLINK("https://us2.cloudbeds.com/connect/10074733072513#/reservations/31711358591214?display=Merrilee%20Easton&amp;reservation_id=31711358591214&amp;guest_id=31711350816918", "Merrilee Easton")</f>
        <v>Merrilee Easton</v>
      </c>
      <c r="E1189" t="s">
        <v>12360</v>
      </c>
      <c r="F1189" t="s">
        <v>11699</v>
      </c>
      <c r="G1189">
        <v>287.32</v>
      </c>
      <c r="H1189">
        <v>312.3</v>
      </c>
      <c r="I1189">
        <v>312.32</v>
      </c>
      <c r="J1189">
        <v>-0.02</v>
      </c>
    </row>
    <row r="1190" spans="1:10" x14ac:dyDescent="0.3">
      <c r="A1190" t="str">
        <f>HYPERLINK("https://us2.cloudbeds.com/connect/10074733072513#/reservations/31715461038233?display=MX5MHRCP4&amp;reservation_id=31715461038233", "MX5MHRCP4")</f>
        <v>MX5MHRCP4</v>
      </c>
      <c r="B1190" t="s">
        <v>10</v>
      </c>
      <c r="C1190" t="s">
        <v>23</v>
      </c>
      <c r="D1190" t="str">
        <f>HYPERLINK("https://us2.cloudbeds.com/connect/10074733072513#/reservations/31715461038233?display=Charles%20Phillips&amp;reservation_id=31715461038233&amp;guest_id=31715452907763", "Charles Phillips")</f>
        <v>Charles Phillips</v>
      </c>
      <c r="E1190" t="s">
        <v>12436</v>
      </c>
      <c r="F1190" t="s">
        <v>12017</v>
      </c>
      <c r="G1190">
        <v>340.2</v>
      </c>
      <c r="H1190">
        <v>369.78</v>
      </c>
      <c r="I1190">
        <v>369.8</v>
      </c>
      <c r="J1190">
        <v>-0.02</v>
      </c>
    </row>
    <row r="1191" spans="1:10" x14ac:dyDescent="0.3">
      <c r="A1191" t="str">
        <f>HYPERLINK("https://us2.cloudbeds.com/connect/10074733072513#/reservations/31711385673955?display=MX2HDCC4U&amp;reservation_id=31711385673955", "MX2HDCC4U")</f>
        <v>MX2HDCC4U</v>
      </c>
      <c r="B1191" t="s">
        <v>10</v>
      </c>
      <c r="C1191" t="s">
        <v>23</v>
      </c>
      <c r="D1191" t="str">
        <f>HYPERLINK("https://us2.cloudbeds.com/connect/10074733072513#/reservations/31711385673955?display=Stephanie%20Moser&amp;reservation_id=31711385673955&amp;guest_id=31711385673938", "Stephanie Moser")</f>
        <v>Stephanie Moser</v>
      </c>
      <c r="E1191" t="s">
        <v>12446</v>
      </c>
      <c r="F1191" t="s">
        <v>12137</v>
      </c>
      <c r="G1191">
        <v>340.2</v>
      </c>
      <c r="H1191">
        <v>369.78</v>
      </c>
      <c r="I1191">
        <v>369.8</v>
      </c>
      <c r="J1191">
        <v>-0.02</v>
      </c>
    </row>
    <row r="1192" spans="1:10" x14ac:dyDescent="0.3">
      <c r="A1192" t="str">
        <f>HYPERLINK("https://us2.cloudbeds.com/connect/10074733072513#/reservations/31716180897955?display=MX67URHW3&amp;reservation_id=31716180897955", "MX67URHW3")</f>
        <v>MX67URHW3</v>
      </c>
      <c r="B1192" t="s">
        <v>10</v>
      </c>
      <c r="C1192" t="s">
        <v>42</v>
      </c>
      <c r="D1192" t="str">
        <f>HYPERLINK("https://us2.cloudbeds.com/connect/10074733072513#/reservations/31716180897955?display=Terran%20Harkness&amp;reservation_id=31716180897955&amp;guest_id=31716180897949", "Terran Harkness")</f>
        <v>Terran Harkness</v>
      </c>
      <c r="E1192" t="s">
        <v>12448</v>
      </c>
      <c r="F1192" t="s">
        <v>12017</v>
      </c>
      <c r="G1192">
        <v>340.2</v>
      </c>
      <c r="H1192">
        <v>369.78</v>
      </c>
      <c r="I1192">
        <v>369.8</v>
      </c>
      <c r="J1192">
        <v>-0.02</v>
      </c>
    </row>
    <row r="1193" spans="1:10" x14ac:dyDescent="0.3">
      <c r="A1193" t="str">
        <f>HYPERLINK("https://us2.cloudbeds.com/connect/10074733072513#/reservations/31713740722390?display=MX4BJ7220&amp;reservation_id=31713740722390", "MX4BJ7220")</f>
        <v>MX4BJ7220</v>
      </c>
      <c r="B1193" t="s">
        <v>10</v>
      </c>
      <c r="C1193" t="s">
        <v>23</v>
      </c>
      <c r="D1193" t="str">
        <f>HYPERLINK("https://us2.cloudbeds.com/connect/10074733072513#/reservations/31713740722390?display=Scott%20Berglund&amp;reservation_id=31713740722390&amp;guest_id=31713740718296", "Scott Berglund")</f>
        <v>Scott Berglund</v>
      </c>
      <c r="E1193" t="s">
        <v>12481</v>
      </c>
      <c r="F1193" t="s">
        <v>12352</v>
      </c>
      <c r="G1193">
        <v>625.5</v>
      </c>
      <c r="H1193">
        <v>679.9</v>
      </c>
      <c r="I1193">
        <v>679.92</v>
      </c>
      <c r="J1193">
        <v>-0.02</v>
      </c>
    </row>
    <row r="1194" spans="1:10" x14ac:dyDescent="0.3">
      <c r="A1194" t="str">
        <f>HYPERLINK("https://us2.cloudbeds.com/connect/10074733072513#/reservations/31714188263627?display=MX4N0JXCM&amp;reservation_id=31714188263627", "MX4N0JXCM")</f>
        <v>MX4N0JXCM</v>
      </c>
      <c r="B1194" t="s">
        <v>10</v>
      </c>
      <c r="C1194" t="s">
        <v>23</v>
      </c>
      <c r="D1194" t="str">
        <f>HYPERLINK("https://us2.cloudbeds.com/connect/10074733072513#/reservations/31714188263627?display=Rocky%20Jones&amp;reservation_id=31714188263627&amp;guest_id=31714188263622", "Rocky Jones")</f>
        <v>Rocky Jones</v>
      </c>
      <c r="E1194" t="s">
        <v>12482</v>
      </c>
      <c r="F1194" t="s">
        <v>9834</v>
      </c>
      <c r="G1194">
        <v>340.2</v>
      </c>
      <c r="H1194">
        <v>369.78</v>
      </c>
      <c r="I1194">
        <v>369.8</v>
      </c>
      <c r="J1194">
        <v>-0.02</v>
      </c>
    </row>
    <row r="1195" spans="1:10" x14ac:dyDescent="0.3">
      <c r="A1195" t="str">
        <f>HYPERLINK("https://us2.cloudbeds.com/connect/10074733072513#/reservations/31713714585851?display=MX4AU5PXM&amp;reservation_id=31713714585851", "MX4AU5PXM")</f>
        <v>MX4AU5PXM</v>
      </c>
      <c r="B1195" t="s">
        <v>10</v>
      </c>
      <c r="C1195" t="s">
        <v>23</v>
      </c>
      <c r="D1195" t="str">
        <f>HYPERLINK("https://us2.cloudbeds.com/connect/10074733072513#/reservations/31713714585851?display=Ladonna%20Mielke&amp;reservation_id=31713714585851&amp;guest_id=31713714585846", "Ladonna Mielke")</f>
        <v>Ladonna Mielke</v>
      </c>
      <c r="E1195" t="s">
        <v>12503</v>
      </c>
      <c r="F1195" t="s">
        <v>12352</v>
      </c>
      <c r="G1195">
        <v>521.5</v>
      </c>
      <c r="H1195">
        <v>566.85</v>
      </c>
      <c r="I1195">
        <v>566.87</v>
      </c>
      <c r="J1195">
        <v>-0.02</v>
      </c>
    </row>
    <row r="1196" spans="1:10" x14ac:dyDescent="0.3">
      <c r="A1196" t="str">
        <f>HYPERLINK("https://us2.cloudbeds.com/connect/10074733072513#/reservations/31714464633019?display=MX4U2KV3Z&amp;reservation_id=31714464633019", "MX4U2KV3Z")</f>
        <v>MX4U2KV3Z</v>
      </c>
      <c r="B1196" t="s">
        <v>10</v>
      </c>
      <c r="C1196" t="s">
        <v>42</v>
      </c>
      <c r="D1196" t="str">
        <f>HYPERLINK("https://us2.cloudbeds.com/connect/10074733072513#/reservations/31714464633019?display=Pam%20Poppens&amp;reservation_id=31714464633019&amp;guest_id=31714464633003", "Pam Poppens")</f>
        <v>Pam Poppens</v>
      </c>
      <c r="E1196" t="s">
        <v>2954</v>
      </c>
      <c r="F1196" t="s">
        <v>11281</v>
      </c>
      <c r="G1196">
        <v>340.2</v>
      </c>
      <c r="H1196">
        <v>369.78</v>
      </c>
      <c r="I1196">
        <v>369.8</v>
      </c>
      <c r="J1196">
        <v>-0.02</v>
      </c>
    </row>
    <row r="1197" spans="1:10" x14ac:dyDescent="0.3">
      <c r="A1197" t="str">
        <f>HYPERLINK("https://us2.cloudbeds.com/connect/10074733072513#/reservations/31714690756807?display=MX52SA5KZ&amp;reservation_id=31714690756807", "MX52SA5KZ")</f>
        <v>MX52SA5KZ</v>
      </c>
      <c r="B1197" t="s">
        <v>10</v>
      </c>
      <c r="C1197" t="s">
        <v>23</v>
      </c>
      <c r="D1197" t="str">
        <f>HYPERLINK("https://us2.cloudbeds.com/connect/10074733072513#/reservations/31714690756807?display=Myles%20Wassenberg&amp;reservation_id=31714690756807&amp;guest_id=31714683076779", "Myles Wassenberg")</f>
        <v>Myles Wassenberg</v>
      </c>
      <c r="E1197" t="s">
        <v>12567</v>
      </c>
      <c r="F1197" t="s">
        <v>11281</v>
      </c>
      <c r="G1197">
        <v>340.2</v>
      </c>
      <c r="H1197">
        <v>369.78</v>
      </c>
      <c r="I1197">
        <v>369.8</v>
      </c>
      <c r="J1197">
        <v>-0.02</v>
      </c>
    </row>
    <row r="1198" spans="1:10" x14ac:dyDescent="0.3">
      <c r="A1198" t="str">
        <f>HYPERLINK("https://us2.cloudbeds.com/connect/10074733072513#/reservations/31702477324506?display=MHSKPKDKK&amp;reservation_id=31702477324506", "MHSKPKDKK")</f>
        <v>MHSKPKDKK</v>
      </c>
      <c r="B1198" t="s">
        <v>10</v>
      </c>
      <c r="C1198" t="s">
        <v>23</v>
      </c>
      <c r="D1198" t="str">
        <f>HYPERLINK("https://us2.cloudbeds.com/connect/10074733072513#/reservations/31702477324506?display=Steven%20Hoskin&amp;reservation_id=31702477324506&amp;guest_id=31702477324503", "Steven Hoskin")</f>
        <v>Steven Hoskin</v>
      </c>
      <c r="E1198" t="s">
        <v>12611</v>
      </c>
      <c r="F1198" t="s">
        <v>12326</v>
      </c>
      <c r="G1198">
        <v>340.2</v>
      </c>
      <c r="H1198">
        <v>369.78</v>
      </c>
      <c r="I1198">
        <v>369.8</v>
      </c>
      <c r="J1198">
        <v>-0.02</v>
      </c>
    </row>
    <row r="1199" spans="1:10" x14ac:dyDescent="0.3">
      <c r="A1199" t="str">
        <f>HYPERLINK("https://us2.cloudbeds.com/connect/10074733072513#/reservations/31713344626895?display=MX41F7407&amp;reservation_id=31713344626895", "MX41F7407")</f>
        <v>MX41F7407</v>
      </c>
      <c r="B1199" t="s">
        <v>10</v>
      </c>
      <c r="C1199" t="s">
        <v>23</v>
      </c>
      <c r="D1199" t="str">
        <f>HYPERLINK("https://us2.cloudbeds.com/connect/10074733072513#/reservations/31713344626895?display=Lindsey%20Thomas&amp;reservation_id=31713344626895&amp;guest_id=31713344626892", "Lindsey Thomas")</f>
        <v>Lindsey Thomas</v>
      </c>
      <c r="E1199" t="s">
        <v>12659</v>
      </c>
      <c r="F1199" t="s">
        <v>8603</v>
      </c>
      <c r="G1199">
        <v>340.2</v>
      </c>
      <c r="H1199">
        <v>369.78</v>
      </c>
      <c r="I1199">
        <v>369.8</v>
      </c>
      <c r="J1199">
        <v>-0.02</v>
      </c>
    </row>
    <row r="1200" spans="1:10" x14ac:dyDescent="0.3">
      <c r="A1200" t="str">
        <f>HYPERLINK("https://us2.cloudbeds.com/connect/10074733072513#/reservations/31712818811061?display=MX3Y0RH62&amp;reservation_id=31712818811061", "MX3Y0RH62")</f>
        <v>MX3Y0RH62</v>
      </c>
      <c r="B1200" t="s">
        <v>10</v>
      </c>
      <c r="C1200" t="s">
        <v>23</v>
      </c>
      <c r="D1200" t="str">
        <f>HYPERLINK("https://us2.cloudbeds.com/connect/10074733072513#/reservations/31712818811061?display=Weseman%20Kelly&amp;reservation_id=31712818811061&amp;guest_id=31712158122195", "Weseman Kelly")</f>
        <v>Weseman Kelly</v>
      </c>
      <c r="E1200" t="s">
        <v>12660</v>
      </c>
      <c r="F1200" t="s">
        <v>12137</v>
      </c>
      <c r="G1200">
        <v>340.2</v>
      </c>
      <c r="H1200">
        <v>369.78</v>
      </c>
      <c r="I1200">
        <v>369.8</v>
      </c>
      <c r="J1200">
        <v>-0.02</v>
      </c>
    </row>
    <row r="1201" spans="1:10" x14ac:dyDescent="0.3">
      <c r="A1201" t="str">
        <f>HYPERLINK("https://us2.cloudbeds.com/connect/10074733072513#/reservations/31712171180242?display=MX34FZ7SZ&amp;reservation_id=31712171180242", "MX34FZ7SZ")</f>
        <v>MX34FZ7SZ</v>
      </c>
      <c r="B1201" t="s">
        <v>10</v>
      </c>
      <c r="C1201" t="s">
        <v>23</v>
      </c>
      <c r="D1201" t="str">
        <f>HYPERLINK("https://us2.cloudbeds.com/connect/10074733072513#/reservations/31712171180242?display=Weseman%20Kelly&amp;reservation_id=31712171180242&amp;guest_id=31712158122195", "Weseman Kelly")</f>
        <v>Weseman Kelly</v>
      </c>
      <c r="E1201" t="s">
        <v>12660</v>
      </c>
      <c r="F1201" t="s">
        <v>12137</v>
      </c>
      <c r="G1201">
        <v>340.2</v>
      </c>
      <c r="H1201">
        <v>369.78</v>
      </c>
      <c r="I1201">
        <v>369.8</v>
      </c>
      <c r="J1201">
        <v>-0.02</v>
      </c>
    </row>
    <row r="1202" spans="1:10" x14ac:dyDescent="0.3">
      <c r="A1202" t="str">
        <f>HYPERLINK("https://us2.cloudbeds.com/connect/10074733072513#/reservations/31702463168667?display=MHSKDMGMQ&amp;reservation_id=31702463168667", "MHSKDMGMQ")</f>
        <v>MHSKDMGMQ</v>
      </c>
      <c r="B1202" t="s">
        <v>10</v>
      </c>
      <c r="C1202" t="s">
        <v>42</v>
      </c>
      <c r="D1202" t="str">
        <f>HYPERLINK("https://us2.cloudbeds.com/connect/10074733072513#/reservations/31702463168667?display=Brenda%20Edelman&amp;reservation_id=31702463168667&amp;guest_id=31702453252292", "Brenda Edelman")</f>
        <v>Brenda Edelman</v>
      </c>
      <c r="E1202" t="s">
        <v>12661</v>
      </c>
      <c r="F1202" t="s">
        <v>12662</v>
      </c>
      <c r="G1202">
        <v>340.2</v>
      </c>
      <c r="H1202">
        <v>369.78</v>
      </c>
      <c r="I1202">
        <v>369.8</v>
      </c>
      <c r="J1202">
        <v>-0.02</v>
      </c>
    </row>
    <row r="1203" spans="1:10" x14ac:dyDescent="0.3">
      <c r="A1203" t="str">
        <f>HYPERLINK("https://us2.cloudbeds.com/connect/10074733072513#/reservations/31712130609394?display=MX33EH9Z3&amp;reservation_id=31712130609394", "MX33EH9Z3")</f>
        <v>MX33EH9Z3</v>
      </c>
      <c r="B1203" t="s">
        <v>10</v>
      </c>
      <c r="C1203" t="s">
        <v>23</v>
      </c>
      <c r="D1203" t="str">
        <f>HYPERLINK("https://us2.cloudbeds.com/connect/10074733072513#/reservations/31712130609394?display=Wayne%20Fischbach&amp;reservation_id=31712130609394&amp;guest_id=31712130609391", "Wayne Fischbach")</f>
        <v>Wayne Fischbach</v>
      </c>
      <c r="E1203" t="s">
        <v>11117</v>
      </c>
      <c r="F1203" t="s">
        <v>12137</v>
      </c>
      <c r="G1203">
        <v>340.2</v>
      </c>
      <c r="H1203">
        <v>369.78</v>
      </c>
      <c r="I1203">
        <v>369.8</v>
      </c>
      <c r="J1203">
        <v>-0.02</v>
      </c>
    </row>
    <row r="1204" spans="1:10" x14ac:dyDescent="0.3">
      <c r="A1204" t="str">
        <f>HYPERLINK("https://us2.cloudbeds.com/connect/10074733072513#/reservations/31713198854280?display=MX3UZ9PS6&amp;reservation_id=31713198854280", "MX3UZ9PS6")</f>
        <v>MX3UZ9PS6</v>
      </c>
      <c r="B1204" t="s">
        <v>10</v>
      </c>
      <c r="C1204" t="s">
        <v>23</v>
      </c>
      <c r="D1204" t="str">
        <f>HYPERLINK("https://us2.cloudbeds.com/connect/10074733072513#/reservations/31713198854280?display=Brandt%20Hedquist&amp;reservation_id=31713198854280&amp;guest_id=31713189908728", "Brandt Hedquist")</f>
        <v>Brandt Hedquist</v>
      </c>
      <c r="E1204" t="s">
        <v>12727</v>
      </c>
      <c r="F1204" t="s">
        <v>12728</v>
      </c>
      <c r="G1204">
        <v>266.86</v>
      </c>
      <c r="H1204">
        <v>290.06</v>
      </c>
      <c r="I1204">
        <v>290.08</v>
      </c>
      <c r="J1204">
        <v>-0.02</v>
      </c>
    </row>
    <row r="1205" spans="1:10" x14ac:dyDescent="0.3">
      <c r="A1205" t="str">
        <f>HYPERLINK("https://us2.cloudbeds.com/connect/10074733072513#/reservations/31712836034738?display=MX3YFBQ7M&amp;reservation_id=31712836034738", "MX3YFBQ7M")</f>
        <v>MX3YFBQ7M</v>
      </c>
      <c r="B1205" t="s">
        <v>10</v>
      </c>
      <c r="C1205" t="s">
        <v>42</v>
      </c>
      <c r="D1205" t="str">
        <f>HYPERLINK("https://us2.cloudbeds.com/connect/10074733072513#/reservations/31712836034738?display=Todd%20Mints&amp;reservation_id=31712836034738&amp;guest_id=31712836034733", "Todd Mints")</f>
        <v>Todd Mints</v>
      </c>
      <c r="E1205" t="s">
        <v>12766</v>
      </c>
      <c r="F1205" t="s">
        <v>11694</v>
      </c>
      <c r="G1205">
        <v>402.3</v>
      </c>
      <c r="H1205">
        <v>437.28</v>
      </c>
      <c r="I1205">
        <v>437.3</v>
      </c>
      <c r="J1205">
        <v>-0.02</v>
      </c>
    </row>
    <row r="1206" spans="1:10" x14ac:dyDescent="0.3">
      <c r="A1206" t="str">
        <f>HYPERLINK("https://us2.cloudbeds.com/connect/10074733072513#/reservations/31711882109134?display=MX2U2WDG6&amp;reservation_id=31711882109134", "MX2U2WDG6")</f>
        <v>MX2U2WDG6</v>
      </c>
      <c r="B1206" t="s">
        <v>10</v>
      </c>
      <c r="C1206" t="s">
        <v>23</v>
      </c>
      <c r="D1206" t="str">
        <f>HYPERLINK("https://us2.cloudbeds.com/connect/10074733072513#/reservations/31711882109134?display=Jill%20Rasmussen%20Do%20Not%20Rent&amp;reservation_id=31711882109134&amp;guest_id=31711882109132", "Jill Rasmussen Do Not Rent")</f>
        <v>Jill Rasmussen Do Not Rent</v>
      </c>
      <c r="E1206" t="s">
        <v>12822</v>
      </c>
      <c r="F1206" t="s">
        <v>12701</v>
      </c>
      <c r="G1206">
        <v>1184.8</v>
      </c>
      <c r="H1206">
        <v>1287.8599999999999</v>
      </c>
      <c r="I1206">
        <v>1287.8800000000001</v>
      </c>
      <c r="J1206">
        <v>-0.02</v>
      </c>
    </row>
    <row r="1207" spans="1:10" x14ac:dyDescent="0.3">
      <c r="A1207" t="str">
        <f>HYPERLINK("https://us2.cloudbeds.com/connect/10074733072513#/reservations/31703182958745?display=MHT5QKNVB&amp;reservation_id=31703182958745", "MHT5QKNVB")</f>
        <v>MHT5QKNVB</v>
      </c>
      <c r="B1207" t="s">
        <v>10</v>
      </c>
      <c r="C1207" t="s">
        <v>42</v>
      </c>
      <c r="D1207" t="str">
        <f>HYPERLINK("https://us2.cloudbeds.com/connect/10074733072513#/reservations/31703182958745?display=Martha%20Moore&amp;reservation_id=31703182958745&amp;guest_id=31703182958743", "Martha Moore")</f>
        <v>Martha Moore</v>
      </c>
      <c r="E1207" t="s">
        <v>12889</v>
      </c>
      <c r="F1207" t="s">
        <v>12795</v>
      </c>
      <c r="G1207">
        <v>492.3</v>
      </c>
      <c r="H1207">
        <v>535.11</v>
      </c>
      <c r="I1207">
        <v>535.13</v>
      </c>
      <c r="J1207">
        <v>-0.02</v>
      </c>
    </row>
    <row r="1208" spans="1:10" x14ac:dyDescent="0.3">
      <c r="A1208" t="str">
        <f>HYPERLINK("https://us2.cloudbeds.com/connect/10074733072513#/reservations/31713656099027?display=MX49DS9YM&amp;reservation_id=31713656099027", "MX49DS9YM")</f>
        <v>MX49DS9YM</v>
      </c>
      <c r="B1208" t="s">
        <v>10</v>
      </c>
      <c r="C1208" t="s">
        <v>121</v>
      </c>
      <c r="D1208" t="str">
        <f>HYPERLINK("https://us2.cloudbeds.com/connect/10074733072513#/reservations/31713656099027?display=Jordan%20Gorombey&amp;reservation_id=31713656099027&amp;guest_id=31713656094935", "Jordan Gorombey")</f>
        <v>Jordan Gorombey</v>
      </c>
      <c r="E1208" t="s">
        <v>12912</v>
      </c>
      <c r="F1208" t="s">
        <v>12837</v>
      </c>
      <c r="G1208">
        <v>402.3</v>
      </c>
      <c r="H1208">
        <v>437.28</v>
      </c>
      <c r="I1208">
        <v>437.3</v>
      </c>
      <c r="J1208">
        <v>-0.02</v>
      </c>
    </row>
    <row r="1209" spans="1:10" x14ac:dyDescent="0.3">
      <c r="A1209" t="str">
        <f>HYPERLINK("https://us2.cloudbeds.com/connect/10074733072513#/reservations/31712393007314?display=MX3A4PTR7&amp;reservation_id=31712393007314", "MX3A4PTR7")</f>
        <v>MX3A4PTR7</v>
      </c>
      <c r="B1209" t="s">
        <v>10</v>
      </c>
      <c r="C1209" t="s">
        <v>23</v>
      </c>
      <c r="D1209" t="str">
        <f>HYPERLINK("https://us2.cloudbeds.com/connect/10074733072513#/reservations/31712393007314?display=Sonya%20Niva&amp;reservation_id=31712393007314&amp;guest_id=31712393007298", "Sonya Niva")</f>
        <v>Sonya Niva</v>
      </c>
      <c r="E1209" t="s">
        <v>12995</v>
      </c>
      <c r="F1209" t="s">
        <v>11371</v>
      </c>
      <c r="G1209">
        <v>398.18</v>
      </c>
      <c r="H1209">
        <v>432.8</v>
      </c>
      <c r="I1209">
        <v>432.82</v>
      </c>
      <c r="J1209">
        <v>-0.02</v>
      </c>
    </row>
    <row r="1210" spans="1:10" x14ac:dyDescent="0.3">
      <c r="A1210" t="str">
        <f>HYPERLINK("https://us2.cloudbeds.com/connect/10074733072513#/reservations/31703107670159?display=MHT3T4NE1&amp;reservation_id=31703107670159", "MHT3T4NE1")</f>
        <v>MHT3T4NE1</v>
      </c>
      <c r="B1210" t="s">
        <v>10</v>
      </c>
      <c r="C1210" t="s">
        <v>23</v>
      </c>
      <c r="D1210" t="str">
        <f>HYPERLINK("https://us2.cloudbeds.com/connect/10074733072513#/reservations/31703107670159?display=Brian%20Vanzanten&amp;reservation_id=31703107670159&amp;guest_id=31703107670144", "Brian Vanzanten")</f>
        <v>Brian Vanzanten</v>
      </c>
      <c r="E1210" t="s">
        <v>13006</v>
      </c>
      <c r="F1210" t="s">
        <v>12005</v>
      </c>
      <c r="G1210">
        <v>352.26</v>
      </c>
      <c r="H1210">
        <v>382.89</v>
      </c>
      <c r="I1210">
        <v>382.91</v>
      </c>
      <c r="J1210">
        <v>-0.02</v>
      </c>
    </row>
    <row r="1211" spans="1:10" x14ac:dyDescent="0.3">
      <c r="A1211" t="str">
        <f>HYPERLINK("https://us2.cloudbeds.com/connect/10074733072513#/reservations/31702103871634?display=MHSB7NHMU&amp;reservation_id=31702103871634", "MHSB7NHMU")</f>
        <v>MHSB7NHMU</v>
      </c>
      <c r="B1211" t="s">
        <v>10</v>
      </c>
      <c r="C1211" t="s">
        <v>23</v>
      </c>
      <c r="D1211" t="str">
        <f>HYPERLINK("https://us2.cloudbeds.com/connect/10074733072513#/reservations/31702103871634?display=Jill%20Burg&amp;reservation_id=31702103871634&amp;guest_id=31702103867540", "Jill Burg")</f>
        <v>Jill Burg</v>
      </c>
      <c r="E1211" t="s">
        <v>13104</v>
      </c>
      <c r="F1211" t="s">
        <v>11420</v>
      </c>
      <c r="G1211">
        <v>340.2</v>
      </c>
      <c r="H1211">
        <v>369.78</v>
      </c>
      <c r="I1211">
        <v>369.8</v>
      </c>
      <c r="J1211">
        <v>-0.02</v>
      </c>
    </row>
    <row r="1212" spans="1:10" x14ac:dyDescent="0.3">
      <c r="A1212" t="str">
        <f>HYPERLINK("https://us2.cloudbeds.com/connect/10074733072513#/reservations/31702075871472?display=MHSAH3CT5&amp;reservation_id=31702075871472", "MHSAH3CT5")</f>
        <v>MHSAH3CT5</v>
      </c>
      <c r="B1212" t="s">
        <v>10</v>
      </c>
      <c r="C1212" t="s">
        <v>23</v>
      </c>
      <c r="D1212" t="str">
        <f>HYPERLINK("https://us2.cloudbeds.com/connect/10074733072513#/reservations/31702075871472?display=Linda%20Evavold&amp;reservation_id=31702075871472&amp;guest_id=31702063173782", "Linda Evavold")</f>
        <v>Linda Evavold</v>
      </c>
      <c r="E1212" t="s">
        <v>12793</v>
      </c>
      <c r="F1212" t="s">
        <v>13125</v>
      </c>
      <c r="G1212">
        <v>1791</v>
      </c>
      <c r="H1212">
        <v>1946.8</v>
      </c>
      <c r="I1212">
        <v>1946.82</v>
      </c>
      <c r="J1212">
        <v>-0.02</v>
      </c>
    </row>
    <row r="1213" spans="1:10" x14ac:dyDescent="0.3">
      <c r="A1213" t="str">
        <f>HYPERLINK("https://us2.cloudbeds.com/connect/10074733072513#/reservations/31702339571961?display=MHSH8F832&amp;reservation_id=31702339571961", "MHSH8F832")</f>
        <v>MHSH8F832</v>
      </c>
      <c r="B1213" t="s">
        <v>10</v>
      </c>
      <c r="C1213" t="s">
        <v>121</v>
      </c>
      <c r="D1213" t="str">
        <f>HYPERLINK("https://us2.cloudbeds.com/connect/10074733072513#/reservations/31702339571961?display=Dean%20Heins&amp;reservation_id=31702339571961&amp;guest_id=30659890618569", "Dean Heins")</f>
        <v>Dean Heins</v>
      </c>
      <c r="E1213" t="s">
        <v>13196</v>
      </c>
      <c r="F1213" t="s">
        <v>13085</v>
      </c>
      <c r="G1213">
        <v>206.4</v>
      </c>
      <c r="H1213">
        <v>224.34</v>
      </c>
      <c r="I1213">
        <v>224.36</v>
      </c>
      <c r="J1213">
        <v>-0.02</v>
      </c>
    </row>
    <row r="1214" spans="1:10" x14ac:dyDescent="0.3">
      <c r="A1214" t="str">
        <f>HYPERLINK("https://us2.cloudbeds.com/connect/10074733072513#/reservations/31702538293377?display=MHSMB0VZ5&amp;reservation_id=31702538293377", "MHSMB0VZ5")</f>
        <v>MHSMB0VZ5</v>
      </c>
      <c r="B1214" t="s">
        <v>10</v>
      </c>
      <c r="C1214" t="s">
        <v>23</v>
      </c>
      <c r="D1214" t="str">
        <f>HYPERLINK("https://us2.cloudbeds.com/connect/10074733072513#/reservations/31702538293377?display=Aaron%20Chisolm&amp;reservation_id=31702538293377&amp;guest_id=31702538289340", "Aaron Chisolm")</f>
        <v>Aaron Chisolm</v>
      </c>
      <c r="E1214" t="s">
        <v>13251</v>
      </c>
      <c r="F1214" t="s">
        <v>13163</v>
      </c>
      <c r="G1214">
        <v>417.2</v>
      </c>
      <c r="H1214">
        <v>453.48</v>
      </c>
      <c r="I1214">
        <v>453.5</v>
      </c>
      <c r="J1214">
        <v>-0.02</v>
      </c>
    </row>
    <row r="1215" spans="1:10" x14ac:dyDescent="0.3">
      <c r="A1215" t="str">
        <f>HYPERLINK("https://us2.cloudbeds.com/connect/10074733072513#/reservations/31702126952619?display=MHSBR5QBM&amp;reservation_id=31702126952619", "MHSBR5QBM")</f>
        <v>MHSBR5QBM</v>
      </c>
      <c r="B1215" t="s">
        <v>10</v>
      </c>
      <c r="C1215" t="s">
        <v>23</v>
      </c>
      <c r="D1215" t="str">
        <f>HYPERLINK("https://us2.cloudbeds.com/connect/10074733072513#/reservations/31702126952619?display=Jose%20Garcia&amp;reservation_id=31702126952619&amp;guest_id=31702112800984", "Jose Garcia")</f>
        <v>Jose Garcia</v>
      </c>
      <c r="E1215" t="s">
        <v>13252</v>
      </c>
      <c r="F1215" t="s">
        <v>13163</v>
      </c>
      <c r="G1215">
        <v>417.2</v>
      </c>
      <c r="H1215">
        <v>453.48</v>
      </c>
      <c r="I1215">
        <v>453.5</v>
      </c>
      <c r="J1215">
        <v>-0.02</v>
      </c>
    </row>
    <row r="1216" spans="1:10" x14ac:dyDescent="0.3">
      <c r="A1216" t="str">
        <f>HYPERLINK("https://us2.cloudbeds.com/connect/10074733072513#/reservations/31702107484405?display=MHSBAP26R&amp;reservation_id=31702107484405", "MHSBAP26R")</f>
        <v>MHSBAP26R</v>
      </c>
      <c r="B1216" t="s">
        <v>10</v>
      </c>
      <c r="C1216" t="s">
        <v>23</v>
      </c>
      <c r="D1216" t="str">
        <f>HYPERLINK("https://us2.cloudbeds.com/connect/10074733072513#/reservations/31702107484405?display=Cole%20Rock&amp;reservation_id=31702107484405&amp;guest_id=31702086963356", "Cole Rock")</f>
        <v>Cole Rock</v>
      </c>
      <c r="E1216" t="s">
        <v>13253</v>
      </c>
      <c r="F1216" t="s">
        <v>13163</v>
      </c>
      <c r="G1216">
        <v>417.2</v>
      </c>
      <c r="H1216">
        <v>453.48</v>
      </c>
      <c r="I1216">
        <v>453.5</v>
      </c>
      <c r="J1216">
        <v>-0.02</v>
      </c>
    </row>
    <row r="1217" spans="1:10" x14ac:dyDescent="0.3">
      <c r="A1217" t="str">
        <f>HYPERLINK("https://us2.cloudbeds.com/connect/10074733072513#/reservations/31702086959247?display=MHSAQEUGB&amp;reservation_id=31702086959247", "MHSAQEUGB")</f>
        <v>MHSAQEUGB</v>
      </c>
      <c r="B1217" t="s">
        <v>10</v>
      </c>
      <c r="C1217" t="s">
        <v>23</v>
      </c>
      <c r="D1217" t="str">
        <f>HYPERLINK("https://us2.cloudbeds.com/connect/10074733072513#/reservations/31702086959247?display=James%20Tyler&amp;reservation_id=31702086959247&amp;guest_id=31702086959245", "James Tyler")</f>
        <v>James Tyler</v>
      </c>
      <c r="E1217" t="s">
        <v>13255</v>
      </c>
      <c r="F1217" t="s">
        <v>13163</v>
      </c>
      <c r="G1217">
        <v>417.2</v>
      </c>
      <c r="H1217">
        <v>453.48</v>
      </c>
      <c r="I1217">
        <v>453.5</v>
      </c>
      <c r="J1217">
        <v>-0.02</v>
      </c>
    </row>
    <row r="1218" spans="1:10" x14ac:dyDescent="0.3">
      <c r="A1218" t="str">
        <f>HYPERLINK("https://us2.cloudbeds.com/connect/10074733072513#/reservations/31702560960737?display=MHSMU4NXS&amp;reservation_id=31702560960737", "MHSMU4NXS")</f>
        <v>MHSMU4NXS</v>
      </c>
      <c r="B1218" t="s">
        <v>10</v>
      </c>
      <c r="C1218" t="s">
        <v>23</v>
      </c>
      <c r="D1218" t="str">
        <f>HYPERLINK("https://us2.cloudbeds.com/connect/10074733072513#/reservations/31702560960737?display=Curtis%20Simonson&amp;reservation_id=31702560960737&amp;guest_id=31702560960705", "Curtis Simonson")</f>
        <v>Curtis Simonson</v>
      </c>
      <c r="E1218" t="s">
        <v>13279</v>
      </c>
      <c r="F1218" t="s">
        <v>13182</v>
      </c>
      <c r="G1218">
        <v>340.2</v>
      </c>
      <c r="H1218">
        <v>369.78</v>
      </c>
      <c r="I1218">
        <v>369.8</v>
      </c>
      <c r="J1218">
        <v>-0.02</v>
      </c>
    </row>
    <row r="1219" spans="1:10" x14ac:dyDescent="0.3">
      <c r="A1219" t="str">
        <f>HYPERLINK("https://us2.cloudbeds.com/connect/10074733072513#/reservations/31701586518226?display=MHRV0FDMU&amp;reservation_id=31701586518226", "MHRV0FDMU")</f>
        <v>MHRV0FDMU</v>
      </c>
      <c r="B1219" t="s">
        <v>10</v>
      </c>
      <c r="C1219" t="s">
        <v>42</v>
      </c>
      <c r="D1219" t="str">
        <f>HYPERLINK("https://us2.cloudbeds.com/connect/10074733072513#/reservations/31701586518226?display=Chad%20Hauck&amp;reservation_id=31701586518226&amp;guest_id=31701586518224", "Chad Hauck")</f>
        <v>Chad Hauck</v>
      </c>
      <c r="E1219" t="s">
        <v>9431</v>
      </c>
      <c r="F1219" t="s">
        <v>13283</v>
      </c>
      <c r="G1219">
        <v>206.4</v>
      </c>
      <c r="H1219">
        <v>224.34</v>
      </c>
      <c r="I1219">
        <v>224.36</v>
      </c>
      <c r="J1219">
        <v>-0.02</v>
      </c>
    </row>
    <row r="1220" spans="1:10" x14ac:dyDescent="0.3">
      <c r="A1220" t="str">
        <f>HYPERLINK("https://us2.cloudbeds.com/connect/10074733072513#/reservations/31701469577463?display=MHRS0SC2D&amp;reservation_id=31701469577463", "MHRS0SC2D")</f>
        <v>MHRS0SC2D</v>
      </c>
      <c r="B1220" t="s">
        <v>10</v>
      </c>
      <c r="C1220" t="s">
        <v>42</v>
      </c>
      <c r="D1220" t="str">
        <f>HYPERLINK("https://us2.cloudbeds.com/connect/10074733072513#/reservations/31701469577463?display=Kofi%20Allen&amp;reservation_id=31701469577463&amp;guest_id=31701469577457", "Kofi Allen")</f>
        <v>Kofi Allen</v>
      </c>
      <c r="E1220" t="s">
        <v>13318</v>
      </c>
      <c r="F1220" t="s">
        <v>13311</v>
      </c>
      <c r="G1220">
        <v>1008.9</v>
      </c>
      <c r="H1220">
        <v>1096.6500000000001</v>
      </c>
      <c r="I1220">
        <v>1096.67</v>
      </c>
      <c r="J1220">
        <v>-0.02</v>
      </c>
    </row>
    <row r="1221" spans="1:10" x14ac:dyDescent="0.3">
      <c r="A1221" t="str">
        <f>HYPERLINK("https://us2.cloudbeds.com/connect/10074733072513#/reservations/31701801861268?display=MHS3H1YHY&amp;reservation_id=31701801861268", "MHS3H1YHY")</f>
        <v>MHS3H1YHY</v>
      </c>
      <c r="B1221" t="s">
        <v>10</v>
      </c>
      <c r="C1221" t="s">
        <v>42</v>
      </c>
      <c r="D1221" t="str">
        <f>HYPERLINK("https://us2.cloudbeds.com/connect/10074733072513#/reservations/31701801861268?display=Max%20Petersen&amp;reservation_id=31701801861268&amp;guest_id=31701794803944", "Max Petersen")</f>
        <v>Max Petersen</v>
      </c>
      <c r="E1221" t="s">
        <v>13339</v>
      </c>
      <c r="F1221" t="s">
        <v>11134</v>
      </c>
      <c r="G1221">
        <v>340.2</v>
      </c>
      <c r="H1221">
        <v>369.78</v>
      </c>
      <c r="I1221">
        <v>369.8</v>
      </c>
      <c r="J1221">
        <v>-0.02</v>
      </c>
    </row>
    <row r="1222" spans="1:10" x14ac:dyDescent="0.3">
      <c r="A1222" t="str">
        <f>HYPERLINK("https://us2.cloudbeds.com/connect/10074733072513#/reservations/31701195190427?display=MHRY0G4MP&amp;reservation_id=31701195190427", "MHRY0G4MP")</f>
        <v>MHRY0G4MP</v>
      </c>
      <c r="B1222" t="s">
        <v>10</v>
      </c>
      <c r="C1222" t="s">
        <v>23</v>
      </c>
      <c r="D1222" t="str">
        <f>HYPERLINK("https://us2.cloudbeds.com/connect/10074733072513#/reservations/31701195190427?display=Amanda%20Theurer&amp;reservation_id=31701195190427&amp;guest_id=31701188444352", "Amanda Theurer")</f>
        <v>Amanda Theurer</v>
      </c>
      <c r="E1222" t="s">
        <v>13380</v>
      </c>
      <c r="F1222" t="s">
        <v>13381</v>
      </c>
      <c r="G1222">
        <v>212.36</v>
      </c>
      <c r="H1222">
        <v>230.82</v>
      </c>
      <c r="I1222">
        <v>230.84</v>
      </c>
      <c r="J1222">
        <v>-0.02</v>
      </c>
    </row>
    <row r="1223" spans="1:10" x14ac:dyDescent="0.3">
      <c r="A1223" t="str">
        <f>HYPERLINK("https://us2.cloudbeds.com/connect/10074733072513#/reservations/31701030469844?display=MHRGQJX3V&amp;reservation_id=31701030469844", "MHRGQJX3V")</f>
        <v>MHRGQJX3V</v>
      </c>
      <c r="B1223" t="s">
        <v>10</v>
      </c>
      <c r="C1223" t="s">
        <v>42</v>
      </c>
      <c r="D1223" t="str">
        <f>HYPERLINK("https://us2.cloudbeds.com/connect/10074733072513#/reservations/31701030469844?display=Chad%20Hauck&amp;reservation_id=31701030469844&amp;guest_id=17963360571554", "Chad Hauck")</f>
        <v>Chad Hauck</v>
      </c>
      <c r="E1223" t="s">
        <v>9431</v>
      </c>
      <c r="F1223" t="s">
        <v>13260</v>
      </c>
      <c r="G1223">
        <v>206.4</v>
      </c>
      <c r="H1223">
        <v>224.34</v>
      </c>
      <c r="I1223">
        <v>224.36</v>
      </c>
      <c r="J1223">
        <v>-0.02</v>
      </c>
    </row>
    <row r="1224" spans="1:10" x14ac:dyDescent="0.3">
      <c r="A1224" t="str">
        <f>HYPERLINK("https://us2.cloudbeds.com/connect/10074733072513#/reservations/47413368217763?display=10NGPEW1VJ&amp;reservation_id=47413368217763", "10NGPEW1VJ")</f>
        <v>10NGPEW1VJ</v>
      </c>
      <c r="B1224" t="s">
        <v>10</v>
      </c>
      <c r="C1224" t="s">
        <v>13431</v>
      </c>
      <c r="D1224" t="str">
        <f>HYPERLINK("https://us2.cloudbeds.com/connect/10074733072513#/reservations/47413368217763?display=kimberly%20ann%20wolk&amp;reservation_id=47413368217763&amp;guest_id=47413368217761", "kimberly ann wolk")</f>
        <v>kimberly ann wolk</v>
      </c>
      <c r="E1224" t="s">
        <v>13437</v>
      </c>
      <c r="F1224" t="s">
        <v>13438</v>
      </c>
      <c r="G1224">
        <v>410.32</v>
      </c>
      <c r="H1224">
        <v>446.04</v>
      </c>
      <c r="I1224">
        <v>446.06</v>
      </c>
      <c r="J1224">
        <v>-0.02</v>
      </c>
    </row>
    <row r="1225" spans="1:10" x14ac:dyDescent="0.3">
      <c r="A1225" t="str">
        <f>HYPERLINK("https://us2.cloudbeds.com/connect/10074733072513#/reservations/30645795254432?display=YQ2E3A4VG&amp;reservation_id=30645795254432", "YQ2E3A4VG")</f>
        <v>YQ2E3A4VG</v>
      </c>
      <c r="B1225" t="s">
        <v>10</v>
      </c>
      <c r="C1225" t="s">
        <v>11</v>
      </c>
      <c r="D1225" t="str">
        <f>HYPERLINK("https://us2.cloudbeds.com/connect/10074733072513#/reservations/30645795254432?display=Beverley%20Duffy&amp;reservation_id=30645795254432&amp;guest_id=30645795250351", "Beverley Duffy")</f>
        <v>Beverley Duffy</v>
      </c>
      <c r="E1225" t="s">
        <v>12</v>
      </c>
      <c r="F1225" t="s">
        <v>13</v>
      </c>
      <c r="G1225">
        <v>103.2</v>
      </c>
      <c r="H1225">
        <v>112.17</v>
      </c>
      <c r="I1225">
        <v>112.18</v>
      </c>
      <c r="J1225">
        <v>-0.01</v>
      </c>
    </row>
    <row r="1226" spans="1:10" x14ac:dyDescent="0.3">
      <c r="A1226" t="str">
        <f>HYPERLINK("https://us2.cloudbeds.com/connect/10074733072513#/reservations/30652321136771?display=YQ7FS3ENP&amp;reservation_id=30652321136771", "YQ7FS3ENP")</f>
        <v>YQ7FS3ENP</v>
      </c>
      <c r="B1226" t="s">
        <v>10</v>
      </c>
      <c r="C1226" t="s">
        <v>17</v>
      </c>
      <c r="D1226" t="str">
        <f>HYPERLINK("https://us2.cloudbeds.com/connect/10074733072513#/reservations/30652321136771?display=Stephanie%20Kampa&amp;reservation_id=30652321136771&amp;guest_id=30652321132734", "Stephanie Kampa")</f>
        <v>Stephanie Kampa</v>
      </c>
      <c r="E1226" t="s">
        <v>18</v>
      </c>
      <c r="F1226" t="s">
        <v>19</v>
      </c>
      <c r="G1226">
        <v>230.2</v>
      </c>
      <c r="H1226">
        <v>250.22</v>
      </c>
      <c r="I1226">
        <v>250.23</v>
      </c>
      <c r="J1226">
        <v>-0.01</v>
      </c>
    </row>
    <row r="1227" spans="1:10" x14ac:dyDescent="0.3">
      <c r="A1227" t="str">
        <f>HYPERLINK("https://us2.cloudbeds.com/connect/10074733072513#/reservations/30646785306790?display=YQ36D4QV3&amp;reservation_id=30646785306790", "YQ36D4QV3")</f>
        <v>YQ36D4QV3</v>
      </c>
      <c r="B1227" t="s">
        <v>10</v>
      </c>
      <c r="C1227" t="s">
        <v>20</v>
      </c>
      <c r="D1227" t="str">
        <f>HYPERLINK("https://us2.cloudbeds.com/connect/10074733072513#/reservations/30646785306790?display=James%20Thorpe&amp;reservation_id=30646785306790&amp;guest_id=30646785306788", "James Thorpe")</f>
        <v>James Thorpe</v>
      </c>
      <c r="E1227" t="s">
        <v>21</v>
      </c>
      <c r="F1227" t="s">
        <v>22</v>
      </c>
      <c r="G1227">
        <v>134.1</v>
      </c>
      <c r="H1227">
        <v>145.76</v>
      </c>
      <c r="I1227">
        <v>145.77000000000001</v>
      </c>
      <c r="J1227">
        <v>-0.01</v>
      </c>
    </row>
    <row r="1228" spans="1:10" x14ac:dyDescent="0.3">
      <c r="A1228" t="str">
        <f>HYPERLINK("https://us2.cloudbeds.com/connect/10074733072513#/reservations/30647167983825?display=YQ3G5RC5S&amp;reservation_id=30647167983825", "YQ3G5RC5S")</f>
        <v>YQ3G5RC5S</v>
      </c>
      <c r="B1228" t="s">
        <v>10</v>
      </c>
      <c r="C1228" t="s">
        <v>14</v>
      </c>
      <c r="D1228" t="str">
        <f>HYPERLINK("https://us2.cloudbeds.com/connect/10074733072513#/reservations/30647167983825?display=Andrew%20Glanzer&amp;reservation_id=30647167983825&amp;guest_id=30647164006587", "Andrew Glanzer")</f>
        <v>Andrew Glanzer</v>
      </c>
      <c r="E1228" t="s">
        <v>32</v>
      </c>
      <c r="F1228" t="s">
        <v>33</v>
      </c>
      <c r="G1228">
        <v>237.33</v>
      </c>
      <c r="H1228">
        <v>257.97000000000003</v>
      </c>
      <c r="I1228">
        <v>257.98</v>
      </c>
      <c r="J1228">
        <v>-0.01</v>
      </c>
    </row>
    <row r="1229" spans="1:10" x14ac:dyDescent="0.3">
      <c r="A1229" t="str">
        <f>HYPERLINK("https://us2.cloudbeds.com/connect/10074733072513#/reservations/30645989531843?display=YQ2J246PP&amp;reservation_id=30645989531843", "YQ2J246PP")</f>
        <v>YQ2J246PP</v>
      </c>
      <c r="B1229" t="s">
        <v>10</v>
      </c>
      <c r="C1229" t="s">
        <v>23</v>
      </c>
      <c r="D1229" t="str">
        <f>HYPERLINK("https://us2.cloudbeds.com/connect/10074733072513#/reservations/30645989531843?display=Jeanette%20Pheifer&amp;reservation_id=30645989531843&amp;guest_id=30645989531841", "Jeanette Pheifer")</f>
        <v>Jeanette Pheifer</v>
      </c>
      <c r="E1229" t="s">
        <v>34</v>
      </c>
      <c r="F1229" t="s">
        <v>35</v>
      </c>
      <c r="G1229">
        <v>103.2</v>
      </c>
      <c r="H1229">
        <v>112.17</v>
      </c>
      <c r="I1229">
        <v>112.18</v>
      </c>
      <c r="J1229">
        <v>-0.01</v>
      </c>
    </row>
    <row r="1230" spans="1:10" x14ac:dyDescent="0.3">
      <c r="A1230" t="str">
        <f>HYPERLINK("https://us2.cloudbeds.com/connect/10074733072513#/reservations/30645914714285?display=YQ2H519Q1&amp;reservation_id=30645914714285", "YQ2H519Q1")</f>
        <v>YQ2H519Q1</v>
      </c>
      <c r="B1230" t="s">
        <v>10</v>
      </c>
      <c r="C1230" t="s">
        <v>14</v>
      </c>
      <c r="D1230" t="str">
        <f>HYPERLINK("https://us2.cloudbeds.com/connect/10074733072513#/reservations/30645914714285?display=Kim%20Hockett&amp;reservation_id=30645914714285&amp;guest_id=30645914714283", "Kim Hockett")</f>
        <v>Kim Hockett</v>
      </c>
      <c r="E1230" t="s">
        <v>36</v>
      </c>
      <c r="F1230" t="s">
        <v>37</v>
      </c>
      <c r="G1230">
        <v>103.2</v>
      </c>
      <c r="H1230">
        <v>112.17</v>
      </c>
      <c r="I1230">
        <v>112.18</v>
      </c>
      <c r="J1230">
        <v>-0.01</v>
      </c>
    </row>
    <row r="1231" spans="1:10" x14ac:dyDescent="0.3">
      <c r="A1231" t="str">
        <f>HYPERLINK("https://us2.cloudbeds.com/connect/10074733072513#/reservations/30645678256362?display=YQ2B3YGNE&amp;reservation_id=30645678256362", "YQ2B3YGNE")</f>
        <v>YQ2B3YGNE</v>
      </c>
      <c r="B1231" t="s">
        <v>10</v>
      </c>
      <c r="C1231" t="s">
        <v>23</v>
      </c>
      <c r="D1231" t="str">
        <f>HYPERLINK("https://us2.cloudbeds.com/connect/10074733072513#/reservations/30645678256362?display=Sheri%20Engleking&amp;reservation_id=30645678256362&amp;guest_id=30645678256359", "Sheri Engleking")</f>
        <v>Sheri Engleking</v>
      </c>
      <c r="E1231" t="s">
        <v>38</v>
      </c>
      <c r="F1231" t="s">
        <v>29</v>
      </c>
      <c r="G1231">
        <v>144</v>
      </c>
      <c r="H1231">
        <v>156.52000000000001</v>
      </c>
      <c r="I1231">
        <v>156.53</v>
      </c>
      <c r="J1231">
        <v>-0.01</v>
      </c>
    </row>
    <row r="1232" spans="1:10" x14ac:dyDescent="0.3">
      <c r="A1232" t="str">
        <f>HYPERLINK("https://us2.cloudbeds.com/connect/10074733072513#/reservations/30645770268862?display=YQ2DF7TC0&amp;reservation_id=30645770268862", "YQ2DF7TC0")</f>
        <v>YQ2DF7TC0</v>
      </c>
      <c r="B1232" t="s">
        <v>10</v>
      </c>
      <c r="C1232" t="s">
        <v>23</v>
      </c>
      <c r="D1232" t="str">
        <f>HYPERLINK("https://us2.cloudbeds.com/connect/10074733072513#/reservations/30645770268862?display=Beverly%20Witt&amp;reservation_id=30645770268862&amp;guest_id=30645770268860", "Beverly Witt")</f>
        <v>Beverly Witt</v>
      </c>
      <c r="E1232" t="s">
        <v>41</v>
      </c>
      <c r="F1232" t="s">
        <v>40</v>
      </c>
      <c r="G1232">
        <v>250.2</v>
      </c>
      <c r="H1232">
        <v>271.95999999999998</v>
      </c>
      <c r="I1232">
        <v>271.97000000000003</v>
      </c>
      <c r="J1232">
        <v>-0.01</v>
      </c>
    </row>
    <row r="1233" spans="1:10" x14ac:dyDescent="0.3">
      <c r="A1233" t="str">
        <f>HYPERLINK("https://us2.cloudbeds.com/connect/10074733072513#/reservations/30645903990995?display=YQ2GSWTSS&amp;reservation_id=30645903990995", "YQ2GSWTSS")</f>
        <v>YQ2GSWTSS</v>
      </c>
      <c r="B1233" t="s">
        <v>10</v>
      </c>
      <c r="C1233" t="s">
        <v>42</v>
      </c>
      <c r="D1233" t="str">
        <f>HYPERLINK("https://us2.cloudbeds.com/connect/10074733072513#/reservations/30645903990995?display=Peggy%20Schulte&amp;reservation_id=30645903990995&amp;guest_id=30645903990991", "Peggy Schulte")</f>
        <v>Peggy Schulte</v>
      </c>
      <c r="E1233" t="s">
        <v>43</v>
      </c>
      <c r="F1233" t="s">
        <v>40</v>
      </c>
      <c r="G1233">
        <v>250.2</v>
      </c>
      <c r="H1233">
        <v>271.95999999999998</v>
      </c>
      <c r="I1233">
        <v>271.97000000000003</v>
      </c>
      <c r="J1233">
        <v>-0.01</v>
      </c>
    </row>
    <row r="1234" spans="1:10" x14ac:dyDescent="0.3">
      <c r="A1234" t="str">
        <f>HYPERLINK("https://us2.cloudbeds.com/connect/10074733072513#/reservations/30650040037540?display=YQ5NXKGDY&amp;reservation_id=30650040037540", "YQ5NXKGDY")</f>
        <v>YQ5NXKGDY</v>
      </c>
      <c r="B1234" t="s">
        <v>10</v>
      </c>
      <c r="C1234" t="s">
        <v>42</v>
      </c>
      <c r="D1234" t="str">
        <f>HYPERLINK("https://us2.cloudbeds.com/connect/10074733072513#/reservations/30650040037540?display=Bonita%20Galles&amp;reservation_id=30650040037540&amp;guest_id=30650040037536", "Bonita Galles")</f>
        <v>Bonita Galles</v>
      </c>
      <c r="E1234" t="s">
        <v>44</v>
      </c>
      <c r="F1234" t="s">
        <v>45</v>
      </c>
      <c r="G1234">
        <v>134.1</v>
      </c>
      <c r="H1234">
        <v>145.76</v>
      </c>
      <c r="I1234">
        <v>145.77000000000001</v>
      </c>
      <c r="J1234">
        <v>-0.01</v>
      </c>
    </row>
    <row r="1235" spans="1:10" x14ac:dyDescent="0.3">
      <c r="A1235" t="str">
        <f>HYPERLINK("https://us2.cloudbeds.com/connect/10074733072513#/reservations/30646334890132?display=YQ2RTBA6F&amp;reservation_id=30646334890132", "YQ2RTBA6F")</f>
        <v>YQ2RTBA6F</v>
      </c>
      <c r="B1235" t="s">
        <v>10</v>
      </c>
      <c r="C1235" t="s">
        <v>14</v>
      </c>
      <c r="D1235" t="str">
        <f>HYPERLINK("https://us2.cloudbeds.com/connect/10074733072513#/reservations/30646334890132?display=Scott%20Spradley&amp;reservation_id=30646334890132&amp;guest_id=30646334886041", "Scott Spradley")</f>
        <v>Scott Spradley</v>
      </c>
      <c r="E1235" t="s">
        <v>46</v>
      </c>
      <c r="F1235" t="s">
        <v>47</v>
      </c>
      <c r="G1235">
        <v>87.2</v>
      </c>
      <c r="H1235">
        <v>94.78</v>
      </c>
      <c r="I1235">
        <v>94.79</v>
      </c>
      <c r="J1235">
        <v>-0.01</v>
      </c>
    </row>
    <row r="1236" spans="1:10" x14ac:dyDescent="0.3">
      <c r="A1236" t="str">
        <f>HYPERLINK("https://us2.cloudbeds.com/connect/10074733072513#/reservations/30645952360675?display=YQ2X3PSFZ&amp;reservation_id=30645952360675", "YQ2X3PSFZ")</f>
        <v>YQ2X3PSFZ</v>
      </c>
      <c r="B1236" t="s">
        <v>10</v>
      </c>
      <c r="C1236" t="s">
        <v>17</v>
      </c>
      <c r="D1236" t="str">
        <f>HYPERLINK("https://us2.cloudbeds.com/connect/10074733072513#/reservations/30645952360675?display=Gregory%20Schimkat&amp;reservation_id=30645952360675&amp;guest_id=30645952360671", "Gregory Schimkat")</f>
        <v>Gregory Schimkat</v>
      </c>
      <c r="E1236" t="s">
        <v>48</v>
      </c>
      <c r="F1236" t="s">
        <v>40</v>
      </c>
      <c r="G1236">
        <v>268.2</v>
      </c>
      <c r="H1236">
        <v>291.52</v>
      </c>
      <c r="I1236">
        <v>291.52999999999997</v>
      </c>
      <c r="J1236">
        <v>-0.01</v>
      </c>
    </row>
    <row r="1237" spans="1:10" x14ac:dyDescent="0.3">
      <c r="A1237" t="str">
        <f>HYPERLINK("https://us2.cloudbeds.com/connect/10074733072513#/reservations/30645804978371?display=YQ2EBGZ6A&amp;reservation_id=30645804978371", "YQ2EBGZ6A")</f>
        <v>YQ2EBGZ6A</v>
      </c>
      <c r="B1237" t="s">
        <v>10</v>
      </c>
      <c r="C1237" t="s">
        <v>14</v>
      </c>
      <c r="D1237" t="str">
        <f>HYPERLINK("https://us2.cloudbeds.com/connect/10074733072513#/reservations/30645804978371?display=David%20Plumb&amp;reservation_id=30645804978371&amp;guest_id=30645804974334", "David Plumb")</f>
        <v>David Plumb</v>
      </c>
      <c r="E1237" t="s">
        <v>49</v>
      </c>
      <c r="F1237" t="s">
        <v>13</v>
      </c>
      <c r="G1237">
        <v>87.2</v>
      </c>
      <c r="H1237">
        <v>94.78</v>
      </c>
      <c r="I1237">
        <v>94.79</v>
      </c>
      <c r="J1237">
        <v>-0.01</v>
      </c>
    </row>
    <row r="1238" spans="1:10" x14ac:dyDescent="0.3">
      <c r="A1238" t="str">
        <f>HYPERLINK("https://us2.cloudbeds.com/connect/10074733072513#/reservations/30645680083122?display=YQ2B56B5Q&amp;reservation_id=30645680083122", "YQ2B56B5Q")</f>
        <v>YQ2B56B5Q</v>
      </c>
      <c r="B1238" t="s">
        <v>10</v>
      </c>
      <c r="C1238" t="s">
        <v>42</v>
      </c>
      <c r="D1238" t="str">
        <f>HYPERLINK("https://us2.cloudbeds.com/connect/10074733072513#/reservations/30645680083122?display=Colin%20Zoellner&amp;reservation_id=30645680083122&amp;guest_id=30645680083073", "Colin Zoellner")</f>
        <v>Colin Zoellner</v>
      </c>
      <c r="E1238" t="s">
        <v>50</v>
      </c>
      <c r="F1238" t="s">
        <v>29</v>
      </c>
      <c r="G1238">
        <v>268.2</v>
      </c>
      <c r="H1238">
        <v>291.52</v>
      </c>
      <c r="I1238">
        <v>291.52999999999997</v>
      </c>
      <c r="J1238">
        <v>-0.01</v>
      </c>
    </row>
    <row r="1239" spans="1:10" x14ac:dyDescent="0.3">
      <c r="A1239" t="str">
        <f>HYPERLINK("https://us2.cloudbeds.com/connect/10074733072513#/reservations/30646353502415?display=YQ2SC17C1&amp;reservation_id=30646353502415", "YQ2SC17C1")</f>
        <v>YQ2SC17C1</v>
      </c>
      <c r="B1239" t="s">
        <v>10</v>
      </c>
      <c r="C1239" t="s">
        <v>20</v>
      </c>
      <c r="D1239" t="str">
        <f>HYPERLINK("https://us2.cloudbeds.com/connect/10074733072513#/reservations/30646353502415?display=Trina%20Simonson&amp;reservation_id=30646353502415&amp;guest_id=30646349762750", "Trina Simonson")</f>
        <v>Trina Simonson</v>
      </c>
      <c r="E1239" t="s">
        <v>53</v>
      </c>
      <c r="F1239" t="s">
        <v>54</v>
      </c>
      <c r="G1239">
        <v>152.15</v>
      </c>
      <c r="H1239">
        <v>165.38</v>
      </c>
      <c r="I1239">
        <v>165.39</v>
      </c>
      <c r="J1239">
        <v>-0.01</v>
      </c>
    </row>
    <row r="1240" spans="1:10" x14ac:dyDescent="0.3">
      <c r="A1240" t="str">
        <f>HYPERLINK("https://us2.cloudbeds.com/connect/10074733072513#/reservations/30646632599704?display=YQ32GCH1Y&amp;reservation_id=30646632599704", "YQ32GCH1Y")</f>
        <v>YQ32GCH1Y</v>
      </c>
      <c r="B1240" t="s">
        <v>10</v>
      </c>
      <c r="C1240" t="s">
        <v>20</v>
      </c>
      <c r="D1240" t="str">
        <f>HYPERLINK("https://us2.cloudbeds.com/connect/10074733072513#/reservations/30646632599704?display=Carol%20Parr&amp;reservation_id=30646632599704&amp;guest_id=30646632599701", "Carol Parr")</f>
        <v>Carol Parr</v>
      </c>
      <c r="E1240" t="s">
        <v>55</v>
      </c>
      <c r="F1240" t="s">
        <v>56</v>
      </c>
      <c r="G1240">
        <v>100.08</v>
      </c>
      <c r="H1240">
        <v>108.78</v>
      </c>
      <c r="I1240">
        <v>108.79</v>
      </c>
      <c r="J1240">
        <v>-0.01</v>
      </c>
    </row>
    <row r="1241" spans="1:10" x14ac:dyDescent="0.3">
      <c r="A1241" t="str">
        <f>HYPERLINK("https://us2.cloudbeds.com/connect/10074733072513#/reservations/30646162804883?display=YQ2NG7PRV&amp;reservation_id=30646162804883", "YQ2NG7PRV")</f>
        <v>YQ2NG7PRV</v>
      </c>
      <c r="B1241" t="s">
        <v>10</v>
      </c>
      <c r="C1241" t="s">
        <v>42</v>
      </c>
      <c r="D1241" t="str">
        <f>HYPERLINK("https://us2.cloudbeds.com/connect/10074733072513#/reservations/30646162804883?display=Timothy%20Rhode&amp;reservation_id=30646162804883&amp;guest_id=30646162804881", "Timothy Rhode")</f>
        <v>Timothy Rhode</v>
      </c>
      <c r="E1241" t="s">
        <v>57</v>
      </c>
      <c r="F1241" t="s">
        <v>58</v>
      </c>
      <c r="G1241">
        <v>208</v>
      </c>
      <c r="H1241">
        <v>226.09</v>
      </c>
      <c r="I1241">
        <v>226.1</v>
      </c>
      <c r="J1241">
        <v>-0.01</v>
      </c>
    </row>
    <row r="1242" spans="1:10" x14ac:dyDescent="0.3">
      <c r="A1242" t="str">
        <f>HYPERLINK("https://us2.cloudbeds.com/connect/10074733072513#/reservations/30646370668739?display=YQ2SQGTZM&amp;reservation_id=30646370668739", "YQ2SQGTZM")</f>
        <v>YQ2SQGTZM</v>
      </c>
      <c r="B1242" t="s">
        <v>10</v>
      </c>
      <c r="C1242" t="s">
        <v>14</v>
      </c>
      <c r="D1242" t="str">
        <f>HYPERLINK("https://us2.cloudbeds.com/connect/10074733072513#/reservations/30646370668739?display=Jennifer%20Dusek&amp;reservation_id=30646370668739&amp;guest_id=30646370668737", "Jennifer Dusek")</f>
        <v>Jennifer Dusek</v>
      </c>
      <c r="E1242" t="s">
        <v>59</v>
      </c>
      <c r="F1242" t="s">
        <v>54</v>
      </c>
      <c r="G1242">
        <v>127.2</v>
      </c>
      <c r="H1242">
        <v>138.26</v>
      </c>
      <c r="I1242">
        <v>138.27000000000001</v>
      </c>
      <c r="J1242">
        <v>-0.01</v>
      </c>
    </row>
    <row r="1243" spans="1:10" x14ac:dyDescent="0.3">
      <c r="A1243" t="str">
        <f>HYPERLINK("https://us2.cloudbeds.com/connect/10074733072513#/reservations/30646130335906?display=YQ2MYS9EX&amp;reservation_id=30646130335906", "YQ2MYS9EX")</f>
        <v>YQ2MYS9EX</v>
      </c>
      <c r="B1243" t="s">
        <v>10</v>
      </c>
      <c r="C1243" t="s">
        <v>11</v>
      </c>
      <c r="D1243" t="str">
        <f>HYPERLINK("https://us2.cloudbeds.com/connect/10074733072513#/reservations/30646130335906?display=Fredrick%20Hutchinson&amp;reservation_id=30646130335906&amp;guest_id=30646130335902", "Fredrick Hutchinson")</f>
        <v>Fredrick Hutchinson</v>
      </c>
      <c r="E1243" t="s">
        <v>60</v>
      </c>
      <c r="F1243" t="s">
        <v>58</v>
      </c>
      <c r="G1243">
        <v>250.77</v>
      </c>
      <c r="H1243">
        <v>272.58</v>
      </c>
      <c r="I1243">
        <v>272.58999999999997</v>
      </c>
      <c r="J1243">
        <v>-0.01</v>
      </c>
    </row>
    <row r="1244" spans="1:10" x14ac:dyDescent="0.3">
      <c r="A1244" t="str">
        <f>HYPERLINK("https://us2.cloudbeds.com/connect/10074733072513#/reservations/30645986488477?display=YQ2XWXH4X&amp;reservation_id=30645986488477", "YQ2XWXH4X")</f>
        <v>YQ2XWXH4X</v>
      </c>
      <c r="B1244" t="s">
        <v>10</v>
      </c>
      <c r="C1244" t="s">
        <v>14</v>
      </c>
      <c r="D1244" t="str">
        <f>HYPERLINK("https://us2.cloudbeds.com/connect/10074733072513#/reservations/30645986488477?display=Scot%20Dannenbring&amp;reservation_id=30645986488477&amp;guest_id=30645986488471", "Scot Dannenbring")</f>
        <v>Scot Dannenbring</v>
      </c>
      <c r="E1244" t="s">
        <v>61</v>
      </c>
      <c r="F1244" t="s">
        <v>62</v>
      </c>
      <c r="G1244">
        <v>103.2</v>
      </c>
      <c r="H1244">
        <v>112.17</v>
      </c>
      <c r="I1244">
        <v>112.18</v>
      </c>
      <c r="J1244">
        <v>-0.01</v>
      </c>
    </row>
    <row r="1245" spans="1:10" x14ac:dyDescent="0.3">
      <c r="A1245" t="str">
        <f>HYPERLINK("https://us2.cloudbeds.com/connect/10074733072513#/reservations/30646351057046?display=YQ2S9W5RV&amp;reservation_id=30646351057046", "YQ2S9W5RV")</f>
        <v>YQ2S9W5RV</v>
      </c>
      <c r="B1245" t="s">
        <v>10</v>
      </c>
      <c r="C1245" t="s">
        <v>20</v>
      </c>
      <c r="D1245" t="str">
        <f>HYPERLINK("https://us2.cloudbeds.com/connect/10074733072513#/reservations/30646351057046?display=Andrew%20Ulvestad&amp;reservation_id=30646351057046&amp;guest_id=30646351052955", "Andrew Ulvestad")</f>
        <v>Andrew Ulvestad</v>
      </c>
      <c r="E1245" t="s">
        <v>63</v>
      </c>
      <c r="F1245" t="s">
        <v>47</v>
      </c>
      <c r="G1245">
        <v>250.2</v>
      </c>
      <c r="H1245">
        <v>271.95999999999998</v>
      </c>
      <c r="I1245">
        <v>271.97000000000003</v>
      </c>
      <c r="J1245">
        <v>-0.01</v>
      </c>
    </row>
    <row r="1246" spans="1:10" x14ac:dyDescent="0.3">
      <c r="A1246" t="str">
        <f>HYPERLINK("https://us2.cloudbeds.com/connect/10074733072513#/reservations/30646325305511?display=YQ2RY8JTD&amp;reservation_id=30646325305511", "YQ2RY8JTD")</f>
        <v>YQ2RY8JTD</v>
      </c>
      <c r="B1246" t="s">
        <v>10</v>
      </c>
      <c r="C1246" t="s">
        <v>14</v>
      </c>
      <c r="D1246" t="str">
        <f>HYPERLINK("https://us2.cloudbeds.com/connect/10074733072513#/reservations/30646325305511?display=Linda%20Schafer-Lundquist&amp;reservation_id=30646325305511&amp;guest_id=30646325305501", "Linda Schafer-Lundquist")</f>
        <v>Linda Schafer-Lundquist</v>
      </c>
      <c r="E1246" t="s">
        <v>66</v>
      </c>
      <c r="F1246" t="s">
        <v>37</v>
      </c>
      <c r="G1246">
        <v>76.16</v>
      </c>
      <c r="H1246">
        <v>82.78</v>
      </c>
      <c r="I1246">
        <v>82.79</v>
      </c>
      <c r="J1246">
        <v>-0.01</v>
      </c>
    </row>
    <row r="1247" spans="1:10" x14ac:dyDescent="0.3">
      <c r="A1247" t="str">
        <f>HYPERLINK("https://us2.cloudbeds.com/connect/10074733072513#/reservations/30646169088249?display=YQ2NYHKMW&amp;reservation_id=30646169088249", "YQ2NYHKMW")</f>
        <v>YQ2NYHKMW</v>
      </c>
      <c r="B1247" t="s">
        <v>10</v>
      </c>
      <c r="C1247" t="s">
        <v>11</v>
      </c>
      <c r="D1247" t="str">
        <f>HYPERLINK("https://us2.cloudbeds.com/connect/10074733072513#/reservations/30646169088249?display=Clay%20Rammage&amp;reservation_id=30646169088249&amp;guest_id=30646169088245", "Clay Rammage")</f>
        <v>Clay Rammage</v>
      </c>
      <c r="E1247" t="s">
        <v>67</v>
      </c>
      <c r="F1247" t="s">
        <v>62</v>
      </c>
      <c r="G1247">
        <v>76.16</v>
      </c>
      <c r="H1247">
        <v>82.78</v>
      </c>
      <c r="I1247">
        <v>82.79</v>
      </c>
      <c r="J1247">
        <v>-0.01</v>
      </c>
    </row>
    <row r="1248" spans="1:10" x14ac:dyDescent="0.3">
      <c r="A1248" t="str">
        <f>HYPERLINK("https://us2.cloudbeds.com/connect/10074733072513#/reservations/30648381890698?display=YQ4E6E3SY&amp;reservation_id=30648381890698", "YQ4E6E3SY")</f>
        <v>YQ4E6E3SY</v>
      </c>
      <c r="B1248" t="s">
        <v>10</v>
      </c>
      <c r="C1248" t="s">
        <v>11</v>
      </c>
      <c r="D1248" t="str">
        <f>HYPERLINK("https://us2.cloudbeds.com/connect/10074733072513#/reservations/30648381890698?display=Josh%20Kester&amp;reservation_id=30648381890698&amp;guest_id=30648381886654", "Josh Kester")</f>
        <v>Josh Kester</v>
      </c>
      <c r="E1248" t="s">
        <v>68</v>
      </c>
      <c r="F1248" t="s">
        <v>69</v>
      </c>
      <c r="G1248">
        <v>100.08</v>
      </c>
      <c r="H1248">
        <v>108.78</v>
      </c>
      <c r="I1248">
        <v>108.79</v>
      </c>
      <c r="J1248">
        <v>-0.01</v>
      </c>
    </row>
    <row r="1249" spans="1:10" x14ac:dyDescent="0.3">
      <c r="A1249" t="str">
        <f>HYPERLINK("https://us2.cloudbeds.com/connect/10074733072513#/reservations/30647552942231?display=YQ3Q0EDB4&amp;reservation_id=30647552942231", "YQ3Q0EDB4")</f>
        <v>YQ3Q0EDB4</v>
      </c>
      <c r="B1249" t="s">
        <v>10</v>
      </c>
      <c r="C1249" t="s">
        <v>14</v>
      </c>
      <c r="D1249" t="str">
        <f>HYPERLINK("https://us2.cloudbeds.com/connect/10074733072513#/reservations/30647552942231?display=Angie%20Olesen&amp;reservation_id=30647552942231&amp;guest_id=30647548678277", "Angie Olesen")</f>
        <v>Angie Olesen</v>
      </c>
      <c r="E1249" t="s">
        <v>70</v>
      </c>
      <c r="F1249" t="s">
        <v>71</v>
      </c>
      <c r="G1249">
        <v>196.2</v>
      </c>
      <c r="H1249">
        <v>213.26</v>
      </c>
      <c r="I1249">
        <v>213.27</v>
      </c>
      <c r="J1249">
        <v>-0.01</v>
      </c>
    </row>
    <row r="1250" spans="1:10" x14ac:dyDescent="0.3">
      <c r="A1250" t="str">
        <f>HYPERLINK("https://us2.cloudbeds.com/connect/10074733072513#/reservations/30645727944928?display=YQ2CCX5DX&amp;reservation_id=30645727944928", "YQ2CCX5DX")</f>
        <v>YQ2CCX5DX</v>
      </c>
      <c r="B1250" t="s">
        <v>10</v>
      </c>
      <c r="C1250" t="s">
        <v>20</v>
      </c>
      <c r="D1250" t="str">
        <f>HYPERLINK("https://us2.cloudbeds.com/connect/10074733072513#/reservations/30645727944928?display=Tanner%20Acton&amp;reservation_id=30645727944928&amp;guest_id=30645727944919", "Tanner Acton")</f>
        <v>Tanner Acton</v>
      </c>
      <c r="E1250" t="s">
        <v>72</v>
      </c>
      <c r="F1250" t="s">
        <v>40</v>
      </c>
      <c r="G1250">
        <v>250.2</v>
      </c>
      <c r="H1250">
        <v>271.95999999999998</v>
      </c>
      <c r="I1250">
        <v>271.97000000000003</v>
      </c>
      <c r="J1250">
        <v>-0.01</v>
      </c>
    </row>
    <row r="1251" spans="1:10" x14ac:dyDescent="0.3">
      <c r="A1251" t="str">
        <f>HYPERLINK("https://us2.cloudbeds.com/connect/10074733072513#/reservations/30646001959114?display=YQ2JCK0DZ&amp;reservation_id=30646001959114", "YQ2JCK0DZ")</f>
        <v>YQ2JCK0DZ</v>
      </c>
      <c r="B1251" t="s">
        <v>10</v>
      </c>
      <c r="C1251" t="s">
        <v>42</v>
      </c>
      <c r="D1251" t="str">
        <f>HYPERLINK("https://us2.cloudbeds.com/connect/10074733072513#/reservations/30646001959114?display=Don%20Stark&amp;reservation_id=30646001959114&amp;guest_id=30646001959109", "Don Stark")</f>
        <v>Don Stark</v>
      </c>
      <c r="E1251" t="s">
        <v>73</v>
      </c>
      <c r="F1251" t="s">
        <v>62</v>
      </c>
      <c r="G1251">
        <v>258</v>
      </c>
      <c r="H1251">
        <v>280.44</v>
      </c>
      <c r="I1251">
        <v>280.45</v>
      </c>
      <c r="J1251">
        <v>-0.01</v>
      </c>
    </row>
    <row r="1252" spans="1:10" x14ac:dyDescent="0.3">
      <c r="A1252" t="str">
        <f>HYPERLINK("https://us2.cloudbeds.com/connect/10074733072513#/reservations/30645897068683?display=YQ2GN599R&amp;reservation_id=30645897068683", "YQ2GN599R")</f>
        <v>YQ2GN599R</v>
      </c>
      <c r="B1252" t="s">
        <v>10</v>
      </c>
      <c r="C1252" t="s">
        <v>42</v>
      </c>
      <c r="D1252" t="str">
        <f>HYPERLINK("https://us2.cloudbeds.com/connect/10074733072513#/reservations/30645897068683?display=Matthew%20Giove&amp;reservation_id=30645897068683&amp;guest_id=30645893496993", "Matthew Giove")</f>
        <v>Matthew Giove</v>
      </c>
      <c r="E1252" t="s">
        <v>74</v>
      </c>
      <c r="F1252" t="s">
        <v>40</v>
      </c>
      <c r="G1252">
        <v>264.2</v>
      </c>
      <c r="H1252">
        <v>287.18</v>
      </c>
      <c r="I1252">
        <v>287.19</v>
      </c>
      <c r="J1252">
        <v>-0.01</v>
      </c>
    </row>
    <row r="1253" spans="1:10" x14ac:dyDescent="0.3">
      <c r="A1253" t="str">
        <f>HYPERLINK("https://us2.cloudbeds.com/connect/10074733072513#/reservations/30646332891389?display=YQ2RRYMQG&amp;reservation_id=30646332891389", "YQ2RRYMQG")</f>
        <v>YQ2RRYMQG</v>
      </c>
      <c r="B1253" t="s">
        <v>10</v>
      </c>
      <c r="C1253" t="s">
        <v>14</v>
      </c>
      <c r="D1253" t="str">
        <f>HYPERLINK("https://us2.cloudbeds.com/connect/10074733072513#/reservations/30646332891389?display=Jessie%20Huebner&amp;reservation_id=30646332891389&amp;guest_id=30646332891379", "Jessie Huebner")</f>
        <v>Jessie Huebner</v>
      </c>
      <c r="E1253" t="s">
        <v>75</v>
      </c>
      <c r="F1253" t="s">
        <v>37</v>
      </c>
      <c r="G1253">
        <v>76.16</v>
      </c>
      <c r="H1253">
        <v>82.78</v>
      </c>
      <c r="I1253">
        <v>82.79</v>
      </c>
      <c r="J1253">
        <v>-0.01</v>
      </c>
    </row>
    <row r="1254" spans="1:10" x14ac:dyDescent="0.3">
      <c r="A1254" t="str">
        <f>HYPERLINK("https://us2.cloudbeds.com/connect/10074733072513#/reservations/30646154563798?display=YQ2N99F93&amp;reservation_id=30646154563798", "YQ2N99F93")</f>
        <v>YQ2N99F93</v>
      </c>
      <c r="B1254" t="s">
        <v>10</v>
      </c>
      <c r="C1254" t="s">
        <v>20</v>
      </c>
      <c r="D1254" t="str">
        <f>HYPERLINK("https://us2.cloudbeds.com/connect/10074733072513#/reservations/30646154563798?display=Eugenia%20Petersen&amp;reservation_id=30646154563798&amp;guest_id=30646154563785", "Eugenia Petersen")</f>
        <v>Eugenia Petersen</v>
      </c>
      <c r="E1254" t="s">
        <v>76</v>
      </c>
      <c r="F1254" t="s">
        <v>16</v>
      </c>
      <c r="G1254">
        <v>100.08</v>
      </c>
      <c r="H1254">
        <v>108.78</v>
      </c>
      <c r="I1254">
        <v>108.79</v>
      </c>
      <c r="J1254">
        <v>-0.01</v>
      </c>
    </row>
    <row r="1255" spans="1:10" x14ac:dyDescent="0.3">
      <c r="A1255" t="str">
        <f>HYPERLINK("https://us2.cloudbeds.com/connect/10074733072513#/reservations/30645971251337?display=YQ2XJNH91&amp;reservation_id=30645971251337", "YQ2XJNH91")</f>
        <v>YQ2XJNH91</v>
      </c>
      <c r="B1255" t="s">
        <v>10</v>
      </c>
      <c r="C1255" t="s">
        <v>11</v>
      </c>
      <c r="D1255" t="str">
        <f>HYPERLINK("https://us2.cloudbeds.com/connect/10074733072513#/reservations/30645971251337?display=Andrea%20Hennen&amp;reservation_id=30645971251337&amp;guest_id=30645971247251", "Andrea Hennen")</f>
        <v>Andrea Hennen</v>
      </c>
      <c r="E1255" t="s">
        <v>77</v>
      </c>
      <c r="F1255" t="s">
        <v>40</v>
      </c>
      <c r="G1255">
        <v>100.08</v>
      </c>
      <c r="H1255">
        <v>108.78</v>
      </c>
      <c r="I1255">
        <v>108.79</v>
      </c>
      <c r="J1255">
        <v>-0.01</v>
      </c>
    </row>
    <row r="1256" spans="1:10" x14ac:dyDescent="0.3">
      <c r="A1256" t="str">
        <f>HYPERLINK("https://us2.cloudbeds.com/connect/10074733072513#/reservations/30645969703155?display=YQ2XXDEKE&amp;reservation_id=30645969703155", "YQ2XXDEKE")</f>
        <v>YQ2XXDEKE</v>
      </c>
      <c r="B1256" t="s">
        <v>10</v>
      </c>
      <c r="C1256" t="s">
        <v>14</v>
      </c>
      <c r="D1256" t="str">
        <f>HYPERLINK("https://us2.cloudbeds.com/connect/10074733072513#/reservations/30645969703155?display=Tony%20Fischer&amp;reservation_id=30645969703155&amp;guest_id=30645962027169", "Tony Fischer")</f>
        <v>Tony Fischer</v>
      </c>
      <c r="E1256" t="s">
        <v>80</v>
      </c>
      <c r="F1256" t="s">
        <v>40</v>
      </c>
      <c r="G1256">
        <v>100.08</v>
      </c>
      <c r="H1256">
        <v>108.78</v>
      </c>
      <c r="I1256">
        <v>108.79</v>
      </c>
      <c r="J1256">
        <v>-0.01</v>
      </c>
    </row>
    <row r="1257" spans="1:10" x14ac:dyDescent="0.3">
      <c r="A1257" t="str">
        <f>HYPERLINK("https://us2.cloudbeds.com/connect/10074733072513#/reservations/30645959159999?display=YQ2X9H23S&amp;reservation_id=30645959159999", "YQ2X9H23S")</f>
        <v>YQ2X9H23S</v>
      </c>
      <c r="B1257" t="s">
        <v>10</v>
      </c>
      <c r="C1257" t="s">
        <v>20</v>
      </c>
      <c r="D1257" t="str">
        <f>HYPERLINK("https://us2.cloudbeds.com/connect/10074733072513#/reservations/30645959159999?display=Damon%20Mcparland&amp;reservation_id=30645959159999&amp;guest_id=30645959159981", "Damon Mcparland")</f>
        <v>Damon Mcparland</v>
      </c>
      <c r="E1257" t="s">
        <v>81</v>
      </c>
      <c r="F1257" t="s">
        <v>79</v>
      </c>
      <c r="G1257">
        <v>200.16</v>
      </c>
      <c r="H1257">
        <v>217.56</v>
      </c>
      <c r="I1257">
        <v>217.57</v>
      </c>
      <c r="J1257">
        <v>-0.01</v>
      </c>
    </row>
    <row r="1258" spans="1:10" x14ac:dyDescent="0.3">
      <c r="A1258" t="str">
        <f>HYPERLINK("https://us2.cloudbeds.com/connect/10074733072513#/reservations/30646383403260?display=YQ2T488H7&amp;reservation_id=30646383403260", "YQ2T488H7")</f>
        <v>YQ2T488H7</v>
      </c>
      <c r="B1258" t="s">
        <v>10</v>
      </c>
      <c r="C1258" t="s">
        <v>20</v>
      </c>
      <c r="D1258" t="str">
        <f>HYPERLINK("https://us2.cloudbeds.com/connect/10074733072513#/reservations/30646383403260?display=Pajor-Gyulai%20Zsolt&amp;reservation_id=30646383403260&amp;guest_id=30646383403210", "Pajor-Gyulai Zsolt")</f>
        <v>Pajor-Gyulai Zsolt</v>
      </c>
      <c r="E1258" t="s">
        <v>82</v>
      </c>
      <c r="F1258" t="s">
        <v>54</v>
      </c>
      <c r="G1258">
        <v>127.2</v>
      </c>
      <c r="H1258">
        <v>138.26</v>
      </c>
      <c r="I1258">
        <v>138.27000000000001</v>
      </c>
      <c r="J1258">
        <v>-0.01</v>
      </c>
    </row>
    <row r="1259" spans="1:10" x14ac:dyDescent="0.3">
      <c r="A1259" t="str">
        <f>HYPERLINK("https://us2.cloudbeds.com/connect/10074733072513#/reservations/30646334886043?display=YQ2RTB6EX&amp;reservation_id=30646334886043", "YQ2RTB6EX")</f>
        <v>YQ2RTB6EX</v>
      </c>
      <c r="B1259" t="s">
        <v>10</v>
      </c>
      <c r="C1259" t="s">
        <v>42</v>
      </c>
      <c r="D1259" t="str">
        <f>HYPERLINK("https://us2.cloudbeds.com/connect/10074733072513#/reservations/30646334886043?display=Jason%20Miller&amp;reservation_id=30646334886043&amp;guest_id=30646334886040", "Jason Miller")</f>
        <v>Jason Miller</v>
      </c>
      <c r="E1259" t="s">
        <v>83</v>
      </c>
      <c r="F1259" t="s">
        <v>37</v>
      </c>
      <c r="G1259">
        <v>103.2</v>
      </c>
      <c r="H1259">
        <v>112.17</v>
      </c>
      <c r="I1259">
        <v>112.18</v>
      </c>
      <c r="J1259">
        <v>-0.01</v>
      </c>
    </row>
    <row r="1260" spans="1:10" x14ac:dyDescent="0.3">
      <c r="A1260" t="str">
        <f>HYPERLINK("https://us2.cloudbeds.com/connect/10074733072513#/reservations/30646204903630?display=YQ2ZXZ80X&amp;reservation_id=30646204903630", "YQ2ZXZ80X")</f>
        <v>YQ2ZXZ80X</v>
      </c>
      <c r="B1260" t="s">
        <v>10</v>
      </c>
      <c r="C1260" t="s">
        <v>42</v>
      </c>
      <c r="D1260" t="str">
        <f>HYPERLINK("https://us2.cloudbeds.com/connect/10074733072513#/reservations/30646204903630?display=Gordon%20Breimon&amp;reservation_id=30646204903630&amp;guest_id=30646204903628", "Gordon Breimon")</f>
        <v>Gordon Breimon</v>
      </c>
      <c r="E1260" t="s">
        <v>84</v>
      </c>
      <c r="F1260" t="s">
        <v>85</v>
      </c>
      <c r="G1260">
        <v>250.2</v>
      </c>
      <c r="H1260">
        <v>271.95999999999998</v>
      </c>
      <c r="I1260">
        <v>271.97000000000003</v>
      </c>
      <c r="J1260">
        <v>-0.01</v>
      </c>
    </row>
    <row r="1261" spans="1:10" x14ac:dyDescent="0.3">
      <c r="A1261" t="str">
        <f>HYPERLINK("https://us2.cloudbeds.com/connect/10074733072513#/reservations/30646383403213?display=YQ2T488FR&amp;reservation_id=30646383403213", "YQ2T488FR")</f>
        <v>YQ2T488FR</v>
      </c>
      <c r="B1261" t="s">
        <v>10</v>
      </c>
      <c r="C1261" t="s">
        <v>11</v>
      </c>
      <c r="D1261" t="str">
        <f>HYPERLINK("https://us2.cloudbeds.com/connect/10074733072513#/reservations/30646383403213?display=Lynda%20Wood&amp;reservation_id=30646383403213&amp;guest_id=30646383403211", "Lynda Wood")</f>
        <v>Lynda Wood</v>
      </c>
      <c r="E1261" t="s">
        <v>86</v>
      </c>
      <c r="F1261" t="s">
        <v>87</v>
      </c>
      <c r="G1261">
        <v>76.16</v>
      </c>
      <c r="H1261">
        <v>82.78</v>
      </c>
      <c r="I1261">
        <v>82.79</v>
      </c>
      <c r="J1261">
        <v>-0.01</v>
      </c>
    </row>
    <row r="1262" spans="1:10" x14ac:dyDescent="0.3">
      <c r="A1262" t="str">
        <f>HYPERLINK("https://us2.cloudbeds.com/connect/10074733072513#/reservations/30648265396379?display=YQ4B76G6P&amp;reservation_id=30648265396379", "YQ4B76G6P")</f>
        <v>YQ4B76G6P</v>
      </c>
      <c r="B1262" t="s">
        <v>10</v>
      </c>
      <c r="C1262" t="s">
        <v>42</v>
      </c>
      <c r="D1262" t="str">
        <f>HYPERLINK("https://us2.cloudbeds.com/connect/10074733072513#/reservations/30648265396379?display=Blake%20Trullinger&amp;reservation_id=30648265396379&amp;guest_id=30648265396375", "Blake Trullinger")</f>
        <v>Blake Trullinger</v>
      </c>
      <c r="E1262" t="s">
        <v>88</v>
      </c>
      <c r="F1262" t="s">
        <v>89</v>
      </c>
      <c r="G1262">
        <v>268.2</v>
      </c>
      <c r="H1262">
        <v>291.52</v>
      </c>
      <c r="I1262">
        <v>291.52999999999997</v>
      </c>
      <c r="J1262">
        <v>-0.01</v>
      </c>
    </row>
    <row r="1263" spans="1:10" x14ac:dyDescent="0.3">
      <c r="A1263" t="str">
        <f>HYPERLINK("https://us2.cloudbeds.com/connect/10074733072513#/reservations/30648347095258?display=YQ4DA2T4C&amp;reservation_id=30648347095258", "YQ4DA2T4C")</f>
        <v>YQ4DA2T4C</v>
      </c>
      <c r="B1263" t="s">
        <v>10</v>
      </c>
      <c r="C1263" t="s">
        <v>42</v>
      </c>
      <c r="D1263" t="str">
        <f>HYPERLINK("https://us2.cloudbeds.com/connect/10074733072513#/reservations/30648347095258?display=James%20Call&amp;reservation_id=30648347095258&amp;guest_id=30648347095256", "James Call")</f>
        <v>James Call</v>
      </c>
      <c r="E1263" t="s">
        <v>88</v>
      </c>
      <c r="F1263" t="s">
        <v>89</v>
      </c>
      <c r="G1263">
        <v>384.3</v>
      </c>
      <c r="H1263">
        <v>417.72</v>
      </c>
      <c r="I1263">
        <v>417.73</v>
      </c>
      <c r="J1263">
        <v>-0.01</v>
      </c>
    </row>
    <row r="1264" spans="1:10" x14ac:dyDescent="0.3">
      <c r="A1264" t="str">
        <f>HYPERLINK("https://us2.cloudbeds.com/connect/10074733072513#/reservations/30646107885738?display=YQ2M2UJ1D&amp;reservation_id=30646107885738", "YQ2M2UJ1D")</f>
        <v>YQ2M2UJ1D</v>
      </c>
      <c r="B1264" t="s">
        <v>10</v>
      </c>
      <c r="C1264" t="s">
        <v>20</v>
      </c>
      <c r="D1264" t="str">
        <f>HYPERLINK("https://us2.cloudbeds.com/connect/10074733072513#/reservations/30646107885738?display=Heather%20Karges&amp;reservation_id=30646107885738&amp;guest_id=30646099411099", "Heather Karges")</f>
        <v>Heather Karges</v>
      </c>
      <c r="E1264" t="s">
        <v>90</v>
      </c>
      <c r="F1264" t="s">
        <v>31</v>
      </c>
      <c r="G1264">
        <v>250.2</v>
      </c>
      <c r="H1264">
        <v>271.95999999999998</v>
      </c>
      <c r="I1264">
        <v>271.97000000000003</v>
      </c>
      <c r="J1264">
        <v>-0.01</v>
      </c>
    </row>
    <row r="1265" spans="1:10" x14ac:dyDescent="0.3">
      <c r="A1265" t="str">
        <f>HYPERLINK("https://us2.cloudbeds.com/connect/10074733072513#/reservations/30645805244563?display=YQ2EBZ4KN&amp;reservation_id=30645805244563", "YQ2EBZ4KN")</f>
        <v>YQ2EBZ4KN</v>
      </c>
      <c r="B1265" t="s">
        <v>10</v>
      </c>
      <c r="C1265" t="s">
        <v>14</v>
      </c>
      <c r="D1265" t="str">
        <f>HYPERLINK("https://us2.cloudbeds.com/connect/10074733072513#/reservations/30645805244563?display=Steve%20And%20Pauletta%20Hernandez&amp;reservation_id=30645805244563&amp;guest_id=30645800382660", "Steve And Pauletta Hernandez")</f>
        <v>Steve And Pauletta Hernandez</v>
      </c>
      <c r="E1265" t="s">
        <v>91</v>
      </c>
      <c r="F1265" t="s">
        <v>92</v>
      </c>
      <c r="G1265">
        <v>76.16</v>
      </c>
      <c r="H1265">
        <v>82.78</v>
      </c>
      <c r="I1265">
        <v>82.79</v>
      </c>
      <c r="J1265">
        <v>-0.01</v>
      </c>
    </row>
    <row r="1266" spans="1:10" x14ac:dyDescent="0.3">
      <c r="A1266" t="str">
        <f>HYPERLINK("https://us2.cloudbeds.com/connect/10074733072513#/reservations/30646902722696?display=YQ39D52SS&amp;reservation_id=30646902722696", "YQ39D52SS")</f>
        <v>YQ39D52SS</v>
      </c>
      <c r="B1266" t="s">
        <v>10</v>
      </c>
      <c r="C1266" t="s">
        <v>11</v>
      </c>
      <c r="D1266" t="str">
        <f>HYPERLINK("https://us2.cloudbeds.com/connect/10074733072513#/reservations/30646902722696?display=Donna%20Detlefsen&amp;reservation_id=30646902722696&amp;guest_id=30646897049839", "Donna Detlefsen")</f>
        <v>Donna Detlefsen</v>
      </c>
      <c r="E1266" t="s">
        <v>93</v>
      </c>
      <c r="F1266" t="s">
        <v>25</v>
      </c>
      <c r="G1266">
        <v>152.15</v>
      </c>
      <c r="H1266">
        <v>165.38</v>
      </c>
      <c r="I1266">
        <v>165.39</v>
      </c>
      <c r="J1266">
        <v>-0.01</v>
      </c>
    </row>
    <row r="1267" spans="1:10" x14ac:dyDescent="0.3">
      <c r="A1267" t="str">
        <f>HYPERLINK("https://us2.cloudbeds.com/connect/10074733072513#/reservations/30645862408342?display=YQ2FQUQKF&amp;reservation_id=30645862408342", "YQ2FQUQKF")</f>
        <v>YQ2FQUQKF</v>
      </c>
      <c r="B1267" t="s">
        <v>10</v>
      </c>
      <c r="C1267" t="s">
        <v>20</v>
      </c>
      <c r="D1267" t="str">
        <f>HYPERLINK("https://us2.cloudbeds.com/connect/10074733072513#/reservations/30645862408342?display=Jeanne%20Moore&amp;reservation_id=30645862408342&amp;guest_id=30645856878846", "Jeanne Moore")</f>
        <v>Jeanne Moore</v>
      </c>
      <c r="E1267" t="s">
        <v>94</v>
      </c>
      <c r="F1267" t="s">
        <v>92</v>
      </c>
      <c r="G1267">
        <v>103.2</v>
      </c>
      <c r="H1267">
        <v>112.17</v>
      </c>
      <c r="I1267">
        <v>112.18</v>
      </c>
      <c r="J1267">
        <v>-0.01</v>
      </c>
    </row>
    <row r="1268" spans="1:10" x14ac:dyDescent="0.3">
      <c r="A1268" t="str">
        <f>HYPERLINK("https://us2.cloudbeds.com/connect/10074733072513#/reservations/30647684862151?display=YQ3TCM8UF&amp;reservation_id=30647684862151", "YQ3TCM8UF")</f>
        <v>YQ3TCM8UF</v>
      </c>
      <c r="B1268" t="s">
        <v>10</v>
      </c>
      <c r="C1268" t="s">
        <v>11</v>
      </c>
      <c r="D1268" t="str">
        <f>HYPERLINK("https://us2.cloudbeds.com/connect/10074733072513#/reservations/30647684862151?display=Neville%20Kenning&amp;reservation_id=30647684862151&amp;guest_id=30647684858070", "Neville Kenning")</f>
        <v>Neville Kenning</v>
      </c>
      <c r="E1268" t="s">
        <v>95</v>
      </c>
      <c r="F1268" t="s">
        <v>96</v>
      </c>
      <c r="G1268">
        <v>103.2</v>
      </c>
      <c r="H1268">
        <v>112.17</v>
      </c>
      <c r="I1268">
        <v>112.18</v>
      </c>
      <c r="J1268">
        <v>-0.01</v>
      </c>
    </row>
    <row r="1269" spans="1:10" x14ac:dyDescent="0.3">
      <c r="A1269" t="str">
        <f>HYPERLINK("https://us2.cloudbeds.com/connect/10074733072513#/reservations/30646150336720?display=YQ2N5NRYR&amp;reservation_id=30646150336720", "YQ2N5NRYR")</f>
        <v>YQ2N5NRYR</v>
      </c>
      <c r="B1269" t="s">
        <v>10</v>
      </c>
      <c r="C1269" t="s">
        <v>11</v>
      </c>
      <c r="D1269" t="str">
        <f>HYPERLINK("https://us2.cloudbeds.com/connect/10074733072513#/reservations/30646150336720?display=Cassandra%20Dominguez&amp;reservation_id=30646150336720&amp;guest_id=30646150332629", "Cassandra Dominguez")</f>
        <v>Cassandra Dominguez</v>
      </c>
      <c r="E1269" t="s">
        <v>97</v>
      </c>
      <c r="F1269" t="s">
        <v>98</v>
      </c>
      <c r="G1269">
        <v>103.2</v>
      </c>
      <c r="H1269">
        <v>112.17</v>
      </c>
      <c r="I1269">
        <v>112.18</v>
      </c>
      <c r="J1269">
        <v>-0.01</v>
      </c>
    </row>
    <row r="1270" spans="1:10" x14ac:dyDescent="0.3">
      <c r="A1270" t="str">
        <f>HYPERLINK("https://us2.cloudbeds.com/connect/10074733072513#/reservations/30648394461333?display=YQ4EH0U4U&amp;reservation_id=30648394461333", "YQ4EH0U4U")</f>
        <v>YQ4EH0U4U</v>
      </c>
      <c r="B1270" t="s">
        <v>10</v>
      </c>
      <c r="C1270" t="s">
        <v>14</v>
      </c>
      <c r="D1270" t="str">
        <f>HYPERLINK("https://us2.cloudbeds.com/connect/10074733072513#/reservations/30648394461333?display=Joshua%20Rivard&amp;reservation_id=30648394461333&amp;guest_id=30648394461329", "Joshua Rivard")</f>
        <v>Joshua Rivard</v>
      </c>
      <c r="E1270" t="s">
        <v>99</v>
      </c>
      <c r="F1270" t="s">
        <v>69</v>
      </c>
      <c r="G1270">
        <v>76.16</v>
      </c>
      <c r="H1270">
        <v>82.78</v>
      </c>
      <c r="I1270">
        <v>82.79</v>
      </c>
      <c r="J1270">
        <v>-0.01</v>
      </c>
    </row>
    <row r="1271" spans="1:10" x14ac:dyDescent="0.3">
      <c r="A1271" t="str">
        <f>HYPERLINK("https://us2.cloudbeds.com/connect/10074733072513#/reservations/30646109298906?display=YQ2M43TNN&amp;reservation_id=30646109298906", "YQ2M43TNN")</f>
        <v>YQ2M43TNN</v>
      </c>
      <c r="B1271" t="s">
        <v>10</v>
      </c>
      <c r="C1271" t="s">
        <v>11</v>
      </c>
      <c r="D1271" t="str">
        <f>HYPERLINK("https://us2.cloudbeds.com/connect/10074733072513#/reservations/30646109298906?display=Molly%20Gurule&amp;reservation_id=30646109298906&amp;guest_id=30646109298904", "Molly Gurule")</f>
        <v>Molly Gurule</v>
      </c>
      <c r="E1271" t="s">
        <v>100</v>
      </c>
      <c r="F1271" t="s">
        <v>101</v>
      </c>
      <c r="G1271">
        <v>76.16</v>
      </c>
      <c r="H1271">
        <v>82.78</v>
      </c>
      <c r="I1271">
        <v>82.79</v>
      </c>
      <c r="J1271">
        <v>-0.01</v>
      </c>
    </row>
    <row r="1272" spans="1:10" x14ac:dyDescent="0.3">
      <c r="A1272" t="str">
        <f>HYPERLINK("https://us2.cloudbeds.com/connect/10074733072513#/reservations/30646949126291?display=YQ3AJ9B2C&amp;reservation_id=30646949126291", "YQ3AJ9B2C")</f>
        <v>YQ3AJ9B2C</v>
      </c>
      <c r="B1272" t="s">
        <v>10</v>
      </c>
      <c r="C1272" t="s">
        <v>20</v>
      </c>
      <c r="D1272" t="str">
        <f>HYPERLINK("https://us2.cloudbeds.com/connect/10074733072513#/reservations/30646949126291?display=David%20Stauffacher&amp;reservation_id=30646949126291&amp;guest_id=30646940684483", "David Stauffacher")</f>
        <v>David Stauffacher</v>
      </c>
      <c r="E1272" t="s">
        <v>105</v>
      </c>
      <c r="F1272" t="s">
        <v>106</v>
      </c>
      <c r="G1272">
        <v>127.2</v>
      </c>
      <c r="H1272">
        <v>138.26</v>
      </c>
      <c r="I1272">
        <v>138.27000000000001</v>
      </c>
      <c r="J1272">
        <v>-0.01</v>
      </c>
    </row>
    <row r="1273" spans="1:10" x14ac:dyDescent="0.3">
      <c r="A1273" t="str">
        <f>HYPERLINK("https://us2.cloudbeds.com/connect/10074733072513#/reservations/30647504355540?display=YQ3ZPFDF4&amp;reservation_id=30647504355540", "YQ3ZPFDF4")</f>
        <v>YQ3ZPFDF4</v>
      </c>
      <c r="B1273" t="s">
        <v>10</v>
      </c>
      <c r="C1273" t="s">
        <v>23</v>
      </c>
      <c r="D1273" t="str">
        <f>HYPERLINK("https://us2.cloudbeds.com/connect/10074733072513#/reservations/30647504355540?display=Terry%20Head&amp;reservation_id=30647504355540&amp;guest_id=30647499128963", "Terry Head")</f>
        <v>Terry Head</v>
      </c>
      <c r="E1273" t="s">
        <v>107</v>
      </c>
      <c r="F1273" t="s">
        <v>108</v>
      </c>
      <c r="G1273">
        <v>268.2</v>
      </c>
      <c r="H1273">
        <v>291.52</v>
      </c>
      <c r="I1273">
        <v>291.52999999999997</v>
      </c>
      <c r="J1273">
        <v>-0.01</v>
      </c>
    </row>
    <row r="1274" spans="1:10" x14ac:dyDescent="0.3">
      <c r="A1274" t="str">
        <f>HYPERLINK("https://us2.cloudbeds.com/connect/10074733072513#/reservations/30646308430033?display=YQ2R710J9&amp;reservation_id=30646308430033", "YQ2R710J9")</f>
        <v>YQ2R710J9</v>
      </c>
      <c r="B1274" t="s">
        <v>10</v>
      </c>
      <c r="C1274" t="s">
        <v>17</v>
      </c>
      <c r="D1274" t="str">
        <f>HYPERLINK("https://us2.cloudbeds.com/connect/10074733072513#/reservations/30646308430033?display=Tara%20Mcgoven&amp;reservation_id=30646308430033&amp;guest_id=30646308430025", "Tara Mcgoven")</f>
        <v>Tara Mcgoven</v>
      </c>
      <c r="E1274" t="s">
        <v>111</v>
      </c>
      <c r="F1274" t="s">
        <v>112</v>
      </c>
      <c r="G1274">
        <v>294.3</v>
      </c>
      <c r="H1274">
        <v>319.89</v>
      </c>
      <c r="I1274">
        <v>319.89999999999998</v>
      </c>
      <c r="J1274">
        <v>-0.01</v>
      </c>
    </row>
    <row r="1275" spans="1:10" x14ac:dyDescent="0.3">
      <c r="A1275" t="str">
        <f>HYPERLINK("https://us2.cloudbeds.com/connect/10074733072513#/reservations/30646286303363?display=YQ2QYCA84&amp;reservation_id=30646286303363", "YQ2QYCA84")</f>
        <v>YQ2QYCA84</v>
      </c>
      <c r="B1275" t="s">
        <v>10</v>
      </c>
      <c r="C1275" t="s">
        <v>42</v>
      </c>
      <c r="D1275" t="str">
        <f>HYPERLINK("https://us2.cloudbeds.com/connect/10074733072513#/reservations/30646286303363?display=George%20Lewis&amp;reservation_id=30646286303363&amp;guest_id=30646281969902", "George Lewis")</f>
        <v>George Lewis</v>
      </c>
      <c r="E1275" t="s">
        <v>113</v>
      </c>
      <c r="F1275" t="s">
        <v>56</v>
      </c>
      <c r="G1275">
        <v>196.2</v>
      </c>
      <c r="H1275">
        <v>213.26</v>
      </c>
      <c r="I1275">
        <v>213.27</v>
      </c>
      <c r="J1275">
        <v>-0.01</v>
      </c>
    </row>
    <row r="1276" spans="1:10" x14ac:dyDescent="0.3">
      <c r="A1276" t="str">
        <f>HYPERLINK("https://us2.cloudbeds.com/connect/10074733072513#/reservations/30646292353255?display=YQ2QQFYN6&amp;reservation_id=30646292353255", "YQ2QQFYN6")</f>
        <v>YQ2QQFYN6</v>
      </c>
      <c r="B1276" t="s">
        <v>10</v>
      </c>
      <c r="C1276" t="s">
        <v>42</v>
      </c>
      <c r="D1276" t="str">
        <f>HYPERLINK("https://us2.cloudbeds.com/connect/10074733072513#/reservations/30646292353255?display=George%20Lewis&amp;reservation_id=30646292353255&amp;guest_id=30646286307472", "George Lewis")</f>
        <v>George Lewis</v>
      </c>
      <c r="E1276" t="s">
        <v>28</v>
      </c>
      <c r="F1276" t="s">
        <v>56</v>
      </c>
      <c r="G1276">
        <v>196.2</v>
      </c>
      <c r="H1276">
        <v>213.26</v>
      </c>
      <c r="I1276">
        <v>213.27</v>
      </c>
      <c r="J1276">
        <v>-0.01</v>
      </c>
    </row>
    <row r="1277" spans="1:10" x14ac:dyDescent="0.3">
      <c r="A1277" t="str">
        <f>HYPERLINK("https://us2.cloudbeds.com/connect/10074733072513#/reservations/30646272827562?display=YQ2QA0APG&amp;reservation_id=30646272827562", "YQ2QA0APG")</f>
        <v>YQ2QA0APG</v>
      </c>
      <c r="B1277" t="s">
        <v>10</v>
      </c>
      <c r="C1277" t="s">
        <v>11</v>
      </c>
      <c r="D1277" t="str">
        <f>HYPERLINK("https://us2.cloudbeds.com/connect/10074733072513#/reservations/30646272827562?display=Michael%20Mulvaney&amp;reservation_id=30646272827562&amp;guest_id=30646268330200", "Michael Mulvaney")</f>
        <v>Michael Mulvaney</v>
      </c>
      <c r="E1277" t="s">
        <v>114</v>
      </c>
      <c r="F1277" t="s">
        <v>115</v>
      </c>
      <c r="G1277">
        <v>76.16</v>
      </c>
      <c r="H1277">
        <v>82.78</v>
      </c>
      <c r="I1277">
        <v>82.79</v>
      </c>
      <c r="J1277">
        <v>-0.01</v>
      </c>
    </row>
    <row r="1278" spans="1:10" x14ac:dyDescent="0.3">
      <c r="A1278" t="str">
        <f>HYPERLINK("https://us2.cloudbeds.com/connect/10074733072513#/reservations/30647310012569?display=YQ3JQJHE7&amp;reservation_id=30647310012569", "YQ3JQJHE7")</f>
        <v>YQ3JQJHE7</v>
      </c>
      <c r="B1278" t="s">
        <v>10</v>
      </c>
      <c r="C1278" t="s">
        <v>20</v>
      </c>
      <c r="D1278" t="str">
        <f>HYPERLINK("https://us2.cloudbeds.com/connect/10074733072513#/reservations/30647310012569?display=Michael%20Klipping&amp;reservation_id=30647310012569&amp;guest_id=30647310012567", "Michael Klipping")</f>
        <v>Michael Klipping</v>
      </c>
      <c r="E1278" t="s">
        <v>116</v>
      </c>
      <c r="F1278" t="s">
        <v>106</v>
      </c>
      <c r="G1278">
        <v>100.08</v>
      </c>
      <c r="H1278">
        <v>108.78</v>
      </c>
      <c r="I1278">
        <v>108.79</v>
      </c>
      <c r="J1278">
        <v>-0.01</v>
      </c>
    </row>
    <row r="1279" spans="1:10" x14ac:dyDescent="0.3">
      <c r="A1279" t="str">
        <f>HYPERLINK("https://us2.cloudbeds.com/connect/10074733072513#/reservations/30646286835854?display=YQ2QYR477&amp;reservation_id=30646286835854", "YQ2QYR477")</f>
        <v>YQ2QYR477</v>
      </c>
      <c r="B1279" t="s">
        <v>10</v>
      </c>
      <c r="C1279" t="s">
        <v>14</v>
      </c>
      <c r="D1279" t="str">
        <f>HYPERLINK("https://us2.cloudbeds.com/connect/10074733072513#/reservations/30646286835854?display=Jeremiah%20Teel&amp;reservation_id=30646286835854&amp;guest_id=30646282694902", "Jeremiah Teel")</f>
        <v>Jeremiah Teel</v>
      </c>
      <c r="E1279" t="s">
        <v>117</v>
      </c>
      <c r="F1279" t="s">
        <v>115</v>
      </c>
      <c r="G1279">
        <v>76.16</v>
      </c>
      <c r="H1279">
        <v>82.78</v>
      </c>
      <c r="I1279">
        <v>82.79</v>
      </c>
      <c r="J1279">
        <v>-0.01</v>
      </c>
    </row>
    <row r="1280" spans="1:10" x14ac:dyDescent="0.3">
      <c r="A1280" t="str">
        <f>HYPERLINK("https://us2.cloudbeds.com/connect/10074733072513#/reservations/30646019768476?display=YQ2JRKJ9B&amp;reservation_id=30646019768476", "YQ2JRKJ9B")</f>
        <v>YQ2JRKJ9B</v>
      </c>
      <c r="B1280" t="s">
        <v>10</v>
      </c>
      <c r="C1280" t="s">
        <v>11</v>
      </c>
      <c r="D1280" t="str">
        <f>HYPERLINK("https://us2.cloudbeds.com/connect/10074733072513#/reservations/30646019768476?display=Stew%20Heyen&amp;reservation_id=30646019768476&amp;guest_id=30646001959112", "Stew Heyen")</f>
        <v>Stew Heyen</v>
      </c>
      <c r="E1280" t="s">
        <v>118</v>
      </c>
      <c r="F1280" t="s">
        <v>56</v>
      </c>
      <c r="G1280">
        <v>76.16</v>
      </c>
      <c r="H1280">
        <v>82.78</v>
      </c>
      <c r="I1280">
        <v>82.79</v>
      </c>
      <c r="J1280">
        <v>-0.01</v>
      </c>
    </row>
    <row r="1281" spans="1:10" x14ac:dyDescent="0.3">
      <c r="A1281" t="str">
        <f>HYPERLINK("https://us2.cloudbeds.com/connect/10074733072513#/reservations/30646034555017?display=YQ2K731CC&amp;reservation_id=30646034555017", "YQ2K731CC")</f>
        <v>YQ2K731CC</v>
      </c>
      <c r="B1281" t="s">
        <v>10</v>
      </c>
      <c r="C1281" t="s">
        <v>11</v>
      </c>
      <c r="D1281" t="str">
        <f>HYPERLINK("https://us2.cloudbeds.com/connect/10074733072513#/reservations/30646034555017?display=Thomas%20Carroll&amp;reservation_id=30646034555017&amp;guest_id=30646034555015", "Thomas Carroll")</f>
        <v>Thomas Carroll</v>
      </c>
      <c r="E1281" t="s">
        <v>119</v>
      </c>
      <c r="F1281" t="s">
        <v>56</v>
      </c>
      <c r="G1281">
        <v>76.16</v>
      </c>
      <c r="H1281">
        <v>82.78</v>
      </c>
      <c r="I1281">
        <v>82.79</v>
      </c>
      <c r="J1281">
        <v>-0.01</v>
      </c>
    </row>
    <row r="1282" spans="1:10" x14ac:dyDescent="0.3">
      <c r="A1282" t="str">
        <f>HYPERLINK("https://us2.cloudbeds.com/connect/10074733072513#/reservations/30646058946764?display=YQ2KRYPM7&amp;reservation_id=30646058946764", "YQ2KRYPM7")</f>
        <v>YQ2KRYPM7</v>
      </c>
      <c r="B1282" t="s">
        <v>10</v>
      </c>
      <c r="C1282" t="s">
        <v>42</v>
      </c>
      <c r="D1282" t="str">
        <f>HYPERLINK("https://us2.cloudbeds.com/connect/10074733072513#/reservations/30646058946764?display=Rick%20Dilley&amp;reservation_id=30646058946764&amp;guest_id=30646055530655", "Rick Dilley")</f>
        <v>Rick Dilley</v>
      </c>
      <c r="E1282" t="s">
        <v>120</v>
      </c>
      <c r="F1282" t="s">
        <v>56</v>
      </c>
      <c r="G1282">
        <v>134.1</v>
      </c>
      <c r="H1282">
        <v>145.76</v>
      </c>
      <c r="I1282">
        <v>145.77000000000001</v>
      </c>
      <c r="J1282">
        <v>-0.01</v>
      </c>
    </row>
    <row r="1283" spans="1:10" x14ac:dyDescent="0.3">
      <c r="A1283" t="str">
        <f>HYPERLINK("https://us2.cloudbeds.com/connect/10074733072513#/reservations/30646296256643?display=YQ2QTP92M&amp;reservation_id=30646296256643", "YQ2QTP92M")</f>
        <v>YQ2QTP92M</v>
      </c>
      <c r="B1283" t="s">
        <v>10</v>
      </c>
      <c r="C1283" t="s">
        <v>11</v>
      </c>
      <c r="D1283" t="str">
        <f>HYPERLINK("https://us2.cloudbeds.com/connect/10074733072513#/reservations/30646296256643?display=Mark%20St%20Aubin&amp;reservation_id=30646296256643&amp;guest_id=30646296252606", "Mark St Aubin")</f>
        <v>Mark St Aubin</v>
      </c>
      <c r="E1283" t="s">
        <v>123</v>
      </c>
      <c r="F1283" t="s">
        <v>124</v>
      </c>
      <c r="G1283">
        <v>196.2</v>
      </c>
      <c r="H1283">
        <v>213.26</v>
      </c>
      <c r="I1283">
        <v>213.27</v>
      </c>
      <c r="J1283">
        <v>-0.01</v>
      </c>
    </row>
    <row r="1284" spans="1:10" x14ac:dyDescent="0.3">
      <c r="A1284" t="str">
        <f>HYPERLINK("https://us2.cloudbeds.com/connect/10074733072513#/reservations/30646602866844?display=YQ31ZA54T&amp;reservation_id=30646602866844", "YQ31ZA54T")</f>
        <v>YQ31ZA54T</v>
      </c>
      <c r="B1284" t="s">
        <v>10</v>
      </c>
      <c r="C1284" t="s">
        <v>20</v>
      </c>
      <c r="D1284" t="str">
        <f>HYPERLINK("https://us2.cloudbeds.com/connect/10074733072513#/reservations/30646602866844?display=Roger%20Hill&amp;reservation_id=30646602866844&amp;guest_id=30646602866839", "Roger Hill")</f>
        <v>Roger Hill</v>
      </c>
      <c r="E1284" t="s">
        <v>125</v>
      </c>
      <c r="F1284" t="s">
        <v>56</v>
      </c>
      <c r="G1284">
        <v>103.2</v>
      </c>
      <c r="H1284">
        <v>112.17</v>
      </c>
      <c r="I1284">
        <v>112.18</v>
      </c>
      <c r="J1284">
        <v>-0.01</v>
      </c>
    </row>
    <row r="1285" spans="1:10" x14ac:dyDescent="0.3">
      <c r="A1285" t="str">
        <f>HYPERLINK("https://us2.cloudbeds.com/connect/10074733072513#/reservations/30647203233938?display=YQ3H2X8E4&amp;reservation_id=30647203233938", "YQ3H2X8E4")</f>
        <v>YQ3H2X8E4</v>
      </c>
      <c r="B1285" t="s">
        <v>10</v>
      </c>
      <c r="C1285" t="s">
        <v>14</v>
      </c>
      <c r="D1285" t="str">
        <f>HYPERLINK("https://us2.cloudbeds.com/connect/10074733072513#/reservations/30647203233938?display=Tricia%20Doughty&amp;reservation_id=30647203233938&amp;guest_id=30647203233929", "Tricia Doughty")</f>
        <v>Tricia Doughty</v>
      </c>
      <c r="E1285" t="s">
        <v>126</v>
      </c>
      <c r="F1285" t="s">
        <v>127</v>
      </c>
      <c r="G1285">
        <v>76.16</v>
      </c>
      <c r="H1285">
        <v>82.78</v>
      </c>
      <c r="I1285">
        <v>82.79</v>
      </c>
      <c r="J1285">
        <v>-0.01</v>
      </c>
    </row>
    <row r="1286" spans="1:10" x14ac:dyDescent="0.3">
      <c r="A1286" t="str">
        <f>HYPERLINK("https://us2.cloudbeds.com/connect/10074733072513#/reservations/30646403719406?display=YQ2TYCJA1&amp;reservation_id=30646403719406", "YQ2TYCJA1")</f>
        <v>YQ2TYCJA1</v>
      </c>
      <c r="B1286" t="s">
        <v>10</v>
      </c>
      <c r="C1286" t="s">
        <v>42</v>
      </c>
      <c r="D1286" t="str">
        <f>HYPERLINK("https://us2.cloudbeds.com/connect/10074733072513#/reservations/30646403719406?display=Marlene%20Schuelke&amp;reservation_id=30646403719406&amp;guest_id=30646403719401", "Marlene Schuelke")</f>
        <v>Marlene Schuelke</v>
      </c>
      <c r="E1286" t="s">
        <v>128</v>
      </c>
      <c r="F1286" t="s">
        <v>54</v>
      </c>
      <c r="G1286">
        <v>250.2</v>
      </c>
      <c r="H1286">
        <v>271.95999999999998</v>
      </c>
      <c r="I1286">
        <v>271.97000000000003</v>
      </c>
      <c r="J1286">
        <v>-0.01</v>
      </c>
    </row>
    <row r="1287" spans="1:10" x14ac:dyDescent="0.3">
      <c r="A1287" t="str">
        <f>HYPERLINK("https://us2.cloudbeds.com/connect/10074733072513#/reservations/30646906634456?display=YQ39GEUV1&amp;reservation_id=30646906634456", "YQ39GEUV1")</f>
        <v>YQ39GEUV1</v>
      </c>
      <c r="B1287" t="s">
        <v>10</v>
      </c>
      <c r="C1287" t="s">
        <v>14</v>
      </c>
      <c r="D1287" t="str">
        <f>HYPERLINK("https://us2.cloudbeds.com/connect/10074733072513#/reservations/30646906634456?display=Julie%20Thompson&amp;reservation_id=30646906634456&amp;guest_id=30646906634452", "Julie Thompson")</f>
        <v>Julie Thompson</v>
      </c>
      <c r="E1287" t="s">
        <v>129</v>
      </c>
      <c r="F1287" t="s">
        <v>25</v>
      </c>
      <c r="G1287">
        <v>118.15</v>
      </c>
      <c r="H1287">
        <v>128.41999999999999</v>
      </c>
      <c r="I1287">
        <v>128.43</v>
      </c>
      <c r="J1287">
        <v>-0.01</v>
      </c>
    </row>
    <row r="1288" spans="1:10" x14ac:dyDescent="0.3">
      <c r="A1288" t="str">
        <f>HYPERLINK("https://us2.cloudbeds.com/connect/10074733072513#/reservations/30646382428411?display=YQ2T3E4BC&amp;reservation_id=30646382428411", "YQ2T3E4BC")</f>
        <v>YQ2T3E4BC</v>
      </c>
      <c r="B1288" t="s">
        <v>10</v>
      </c>
      <c r="C1288" t="s">
        <v>11</v>
      </c>
      <c r="D1288" t="str">
        <f>HYPERLINK("https://us2.cloudbeds.com/connect/10074733072513#/reservations/30646382428411?display=Juliann%20Goodin&amp;reservation_id=30646382428411&amp;guest_id=30646382428409", "Juliann Goodin")</f>
        <v>Juliann Goodin</v>
      </c>
      <c r="E1288" t="s">
        <v>130</v>
      </c>
      <c r="F1288" t="s">
        <v>124</v>
      </c>
      <c r="G1288">
        <v>76.16</v>
      </c>
      <c r="H1288">
        <v>82.78</v>
      </c>
      <c r="I1288">
        <v>82.79</v>
      </c>
      <c r="J1288">
        <v>-0.01</v>
      </c>
    </row>
    <row r="1289" spans="1:10" x14ac:dyDescent="0.3">
      <c r="A1289" t="str">
        <f>HYPERLINK("https://us2.cloudbeds.com/connect/10074733072513#/reservations/30646519607522?display=YQ2WK3BA4&amp;reservation_id=30646519607522", "YQ2WK3BA4")</f>
        <v>YQ2WK3BA4</v>
      </c>
      <c r="B1289" t="s">
        <v>10</v>
      </c>
      <c r="C1289" t="s">
        <v>11</v>
      </c>
      <c r="D1289" t="str">
        <f>HYPERLINK("https://us2.cloudbeds.com/connect/10074733072513#/reservations/30646519607522?display=Edward%20Heydon&amp;reservation_id=30646519607522&amp;guest_id=30646519607514", "Edward Heydon")</f>
        <v>Edward Heydon</v>
      </c>
      <c r="E1289" t="s">
        <v>131</v>
      </c>
      <c r="F1289" t="s">
        <v>132</v>
      </c>
      <c r="G1289">
        <v>178.76</v>
      </c>
      <c r="H1289">
        <v>194.3</v>
      </c>
      <c r="I1289">
        <v>194.31</v>
      </c>
      <c r="J1289">
        <v>-0.01</v>
      </c>
    </row>
    <row r="1290" spans="1:10" x14ac:dyDescent="0.3">
      <c r="A1290" t="str">
        <f>HYPERLINK("https://us2.cloudbeds.com/connect/10074733072513#/reservations/30646277124245?display=YQ2QDKTA1&amp;reservation_id=30646277124245", "YQ2QDKTA1")</f>
        <v>YQ2QDKTA1</v>
      </c>
      <c r="B1290" t="s">
        <v>10</v>
      </c>
      <c r="C1290" t="s">
        <v>42</v>
      </c>
      <c r="D1290" t="str">
        <f>HYPERLINK("https://us2.cloudbeds.com/connect/10074733072513#/reservations/30646277124245?display=Richard%20Strand&amp;reservation_id=30646277124245&amp;guest_id=30646277124238", "Richard Strand")</f>
        <v>Richard Strand</v>
      </c>
      <c r="E1290" t="s">
        <v>133</v>
      </c>
      <c r="F1290" t="s">
        <v>56</v>
      </c>
      <c r="G1290">
        <v>134.1</v>
      </c>
      <c r="H1290">
        <v>145.76</v>
      </c>
      <c r="I1290">
        <v>145.77000000000001</v>
      </c>
      <c r="J1290">
        <v>-0.01</v>
      </c>
    </row>
    <row r="1291" spans="1:10" x14ac:dyDescent="0.3">
      <c r="A1291" t="str">
        <f>HYPERLINK("https://us2.cloudbeds.com/connect/10074733072513#/reservations/30647739551939?display=YQ3UPQ33P&amp;reservation_id=30647739551939", "YQ3UPQ33P")</f>
        <v>YQ3UPQ33P</v>
      </c>
      <c r="B1291" t="s">
        <v>10</v>
      </c>
      <c r="C1291" t="s">
        <v>14</v>
      </c>
      <c r="D1291" t="str">
        <f>HYPERLINK("https://us2.cloudbeds.com/connect/10074733072513#/reservations/30647739551939?display=Chandra%20Roberts&amp;reservation_id=30647739551939&amp;guest_id=30647734018219", "Chandra Roberts")</f>
        <v>Chandra Roberts</v>
      </c>
      <c r="E1291" t="s">
        <v>135</v>
      </c>
      <c r="F1291" t="s">
        <v>96</v>
      </c>
      <c r="G1291">
        <v>87.2</v>
      </c>
      <c r="H1291">
        <v>94.78</v>
      </c>
      <c r="I1291">
        <v>94.79</v>
      </c>
      <c r="J1291">
        <v>-0.01</v>
      </c>
    </row>
    <row r="1292" spans="1:10" x14ac:dyDescent="0.3">
      <c r="A1292" t="str">
        <f>HYPERLINK("https://us2.cloudbeds.com/connect/10074733072513#/reservations/30647103951074?display=YQ3EHRXJG&amp;reservation_id=30647103951074", "YQ3EHRXJG")</f>
        <v>YQ3EHRXJG</v>
      </c>
      <c r="B1292" t="s">
        <v>10</v>
      </c>
      <c r="C1292" t="s">
        <v>42</v>
      </c>
      <c r="D1292" t="str">
        <f>HYPERLINK("https://us2.cloudbeds.com/connect/10074733072513#/reservations/30647103951074?display=Dan%20Oltmanns&amp;reservation_id=30647103951074&amp;guest_id=30647098953866", "Dan Oltmanns")</f>
        <v>Dan Oltmanns</v>
      </c>
      <c r="E1292" t="s">
        <v>136</v>
      </c>
      <c r="F1292" t="s">
        <v>137</v>
      </c>
      <c r="G1292">
        <v>196.2</v>
      </c>
      <c r="H1292">
        <v>213.26</v>
      </c>
      <c r="I1292">
        <v>213.27</v>
      </c>
      <c r="J1292">
        <v>-0.01</v>
      </c>
    </row>
    <row r="1293" spans="1:10" x14ac:dyDescent="0.3">
      <c r="A1293" t="str">
        <f>HYPERLINK("https://us2.cloudbeds.com/connect/10074733072513#/reservations/30648063803535?display=YQ4626SQN&amp;reservation_id=30648063803535", "YQ4626SQN")</f>
        <v>YQ4626SQN</v>
      </c>
      <c r="B1293" t="s">
        <v>10</v>
      </c>
      <c r="C1293" t="s">
        <v>42</v>
      </c>
      <c r="D1293" t="str">
        <f>HYPERLINK("https://us2.cloudbeds.com/connect/10074733072513#/reservations/30648063803535?display=Jan%20Niettfeld&amp;reservation_id=30648063803535&amp;guest_id=30647319843017", "Jan Niettfeld")</f>
        <v>Jan Niettfeld</v>
      </c>
      <c r="E1293" t="s">
        <v>138</v>
      </c>
      <c r="F1293" t="s">
        <v>139</v>
      </c>
      <c r="G1293">
        <v>348</v>
      </c>
      <c r="H1293">
        <v>378.27</v>
      </c>
      <c r="I1293">
        <v>378.28</v>
      </c>
      <c r="J1293">
        <v>-0.01</v>
      </c>
    </row>
    <row r="1294" spans="1:10" x14ac:dyDescent="0.3">
      <c r="A1294" t="str">
        <f>HYPERLINK("https://us2.cloudbeds.com/connect/10074733072513#/reservations/30649425383622?display=YQ57SARUB&amp;reservation_id=30649425383622", "YQ57SARUB")</f>
        <v>YQ57SARUB</v>
      </c>
      <c r="B1294" t="s">
        <v>10</v>
      </c>
      <c r="C1294" t="s">
        <v>14</v>
      </c>
      <c r="D1294" t="str">
        <f>HYPERLINK("https://us2.cloudbeds.com/connect/10074733072513#/reservations/30649425383622?display=Ann%20Higgins&amp;reservation_id=30649425383622&amp;guest_id=30649425383618", "Ann Higgins")</f>
        <v>Ann Higgins</v>
      </c>
      <c r="E1294" t="s">
        <v>140</v>
      </c>
      <c r="F1294" t="s">
        <v>141</v>
      </c>
      <c r="G1294">
        <v>87.2</v>
      </c>
      <c r="H1294">
        <v>94.78</v>
      </c>
      <c r="I1294">
        <v>94.79</v>
      </c>
      <c r="J1294">
        <v>-0.01</v>
      </c>
    </row>
    <row r="1295" spans="1:10" x14ac:dyDescent="0.3">
      <c r="A1295" t="str">
        <f>HYPERLINK("https://us2.cloudbeds.com/connect/10074733072513#/reservations/30646929748178?display=YQ3A2V3YS&amp;reservation_id=30646929748178", "YQ3A2V3YS")</f>
        <v>YQ3A2V3YS</v>
      </c>
      <c r="B1295" t="s">
        <v>10</v>
      </c>
      <c r="C1295" t="s">
        <v>14</v>
      </c>
      <c r="D1295" t="str">
        <f>HYPERLINK("https://us2.cloudbeds.com/connect/10074733072513#/reservations/30646929748178?display=Jon%20Lambert&amp;reservation_id=30646929748178&amp;guest_id=30646929748170", "Jon Lambert")</f>
        <v>Jon Lambert</v>
      </c>
      <c r="E1295" t="s">
        <v>142</v>
      </c>
      <c r="F1295" t="s">
        <v>25</v>
      </c>
      <c r="G1295">
        <v>118.15</v>
      </c>
      <c r="H1295">
        <v>128.41999999999999</v>
      </c>
      <c r="I1295">
        <v>128.43</v>
      </c>
      <c r="J1295">
        <v>-0.01</v>
      </c>
    </row>
    <row r="1296" spans="1:10" x14ac:dyDescent="0.3">
      <c r="A1296" t="str">
        <f>HYPERLINK("https://us2.cloudbeds.com/connect/10074733072513#/reservations/30646920442083?display=YQ39S353W&amp;reservation_id=30646920442083", "YQ39S353W")</f>
        <v>YQ39S353W</v>
      </c>
      <c r="B1296" t="s">
        <v>10</v>
      </c>
      <c r="C1296" t="s">
        <v>14</v>
      </c>
      <c r="D1296" t="str">
        <f>HYPERLINK("https://us2.cloudbeds.com/connect/10074733072513#/reservations/30646920442083?display=Paul%20Lambert&amp;reservation_id=30646920442083&amp;guest_id=30646920442071", "Paul Lambert")</f>
        <v>Paul Lambert</v>
      </c>
      <c r="E1296" t="s">
        <v>142</v>
      </c>
      <c r="F1296" t="s">
        <v>25</v>
      </c>
      <c r="G1296">
        <v>118.15</v>
      </c>
      <c r="H1296">
        <v>128.41999999999999</v>
      </c>
      <c r="I1296">
        <v>128.43</v>
      </c>
      <c r="J1296">
        <v>-0.01</v>
      </c>
    </row>
    <row r="1297" spans="1:10" x14ac:dyDescent="0.3">
      <c r="A1297" t="str">
        <f>HYPERLINK("https://us2.cloudbeds.com/connect/10074733072513#/reservations/30646275096780?display=YQ2QBUFHN&amp;reservation_id=30646275096780", "YQ2QBUFHN")</f>
        <v>YQ2QBUFHN</v>
      </c>
      <c r="B1297" t="s">
        <v>10</v>
      </c>
      <c r="C1297" t="s">
        <v>20</v>
      </c>
      <c r="D1297" t="str">
        <f>HYPERLINK("https://us2.cloudbeds.com/connect/10074733072513#/reservations/30646275096780?display=Elizabeth%20Marquez&amp;reservation_id=30646275096780&amp;guest_id=30646275096775", "Elizabeth Marquez")</f>
        <v>Elizabeth Marquez</v>
      </c>
      <c r="E1297" t="s">
        <v>143</v>
      </c>
      <c r="F1297" t="s">
        <v>144</v>
      </c>
      <c r="G1297">
        <v>103.2</v>
      </c>
      <c r="H1297">
        <v>112.17</v>
      </c>
      <c r="I1297">
        <v>112.18</v>
      </c>
      <c r="J1297">
        <v>-0.01</v>
      </c>
    </row>
    <row r="1298" spans="1:10" x14ac:dyDescent="0.3">
      <c r="A1298" t="str">
        <f>HYPERLINK("https://us2.cloudbeds.com/connect/10074733072513#/reservations/30647748497649?display=YQ3V0B0NT&amp;reservation_id=30647748497649", "YQ3V0B0NT")</f>
        <v>YQ3V0B0NT</v>
      </c>
      <c r="B1298" t="s">
        <v>10</v>
      </c>
      <c r="C1298" t="s">
        <v>14</v>
      </c>
      <c r="D1298" t="str">
        <f>HYPERLINK("https://us2.cloudbeds.com/connect/10074733072513#/reservations/30647748497649?display=James%20Vogt&amp;reservation_id=30647748497649&amp;guest_id=30647748497647", "James Vogt")</f>
        <v>James Vogt</v>
      </c>
      <c r="E1298" t="s">
        <v>145</v>
      </c>
      <c r="F1298" t="s">
        <v>96</v>
      </c>
      <c r="G1298">
        <v>87.2</v>
      </c>
      <c r="H1298">
        <v>94.78</v>
      </c>
      <c r="I1298">
        <v>94.79</v>
      </c>
      <c r="J1298">
        <v>-0.01</v>
      </c>
    </row>
    <row r="1299" spans="1:10" x14ac:dyDescent="0.3">
      <c r="A1299" t="str">
        <f>HYPERLINK("https://us2.cloudbeds.com/connect/10074733072513#/reservations/30646749450449?display=YQ35FU20A&amp;reservation_id=30646749450449", "YQ35FU20A")</f>
        <v>YQ35FU20A</v>
      </c>
      <c r="B1299" t="s">
        <v>10</v>
      </c>
      <c r="C1299" t="s">
        <v>14</v>
      </c>
      <c r="D1299" t="str">
        <f>HYPERLINK("https://us2.cloudbeds.com/connect/10074733072513#/reservations/30646749450449?display=Garrett%20Karmazin&amp;reservation_id=30646749450449&amp;guest_id=30646749450447", "Garrett Karmazin")</f>
        <v>Garrett Karmazin</v>
      </c>
      <c r="E1299" t="s">
        <v>146</v>
      </c>
      <c r="F1299" t="s">
        <v>25</v>
      </c>
      <c r="G1299">
        <v>118.15</v>
      </c>
      <c r="H1299">
        <v>128.41999999999999</v>
      </c>
      <c r="I1299">
        <v>128.43</v>
      </c>
      <c r="J1299">
        <v>-0.01</v>
      </c>
    </row>
    <row r="1300" spans="1:10" x14ac:dyDescent="0.3">
      <c r="A1300" t="str">
        <f>HYPERLINK("https://us2.cloudbeds.com/connect/10074733072513#/reservations/30647690199214?display=YQ3TH5PQY&amp;reservation_id=30647690199214", "YQ3TH5PQY")</f>
        <v>YQ3TH5PQY</v>
      </c>
      <c r="B1300" t="s">
        <v>10</v>
      </c>
      <c r="C1300" t="s">
        <v>11</v>
      </c>
      <c r="D1300" t="str">
        <f>HYPERLINK("https://us2.cloudbeds.com/connect/10074733072513#/reservations/30647690199214?display=Katrina%20Grotjahn&amp;reservation_id=30647690199214&amp;guest_id=30647690199211", "Katrina Grotjahn")</f>
        <v>Katrina Grotjahn</v>
      </c>
      <c r="E1300" t="s">
        <v>147</v>
      </c>
      <c r="F1300" t="s">
        <v>96</v>
      </c>
      <c r="G1300">
        <v>87.2</v>
      </c>
      <c r="H1300">
        <v>94.78</v>
      </c>
      <c r="I1300">
        <v>94.79</v>
      </c>
      <c r="J1300">
        <v>-0.01</v>
      </c>
    </row>
    <row r="1301" spans="1:10" x14ac:dyDescent="0.3">
      <c r="A1301" t="str">
        <f>HYPERLINK("https://us2.cloudbeds.com/connect/10074733072513#/reservations/30647695761540?display=YQ3TYSXHW&amp;reservation_id=30647695761540", "YQ3TYSXHW")</f>
        <v>YQ3TYSXHW</v>
      </c>
      <c r="B1301" t="s">
        <v>10</v>
      </c>
      <c r="C1301" t="s">
        <v>11</v>
      </c>
      <c r="D1301" t="str">
        <f>HYPERLINK("https://us2.cloudbeds.com/connect/10074733072513#/reservations/30647695761540?display=Maria%20Terry&amp;reservation_id=30647695761540&amp;guest_id=30647695761537", "Maria Terry")</f>
        <v>Maria Terry</v>
      </c>
      <c r="E1301" t="s">
        <v>147</v>
      </c>
      <c r="F1301" t="s">
        <v>96</v>
      </c>
      <c r="G1301">
        <v>87.2</v>
      </c>
      <c r="H1301">
        <v>94.78</v>
      </c>
      <c r="I1301">
        <v>94.79</v>
      </c>
      <c r="J1301">
        <v>-0.01</v>
      </c>
    </row>
    <row r="1302" spans="1:10" x14ac:dyDescent="0.3">
      <c r="A1302" t="str">
        <f>HYPERLINK("https://us2.cloudbeds.com/connect/10074733072513#/reservations/30647743053966?display=YQ3USZHUQ&amp;reservation_id=30647743053966", "YQ3USZHUQ")</f>
        <v>YQ3USZHUQ</v>
      </c>
      <c r="B1302" t="s">
        <v>10</v>
      </c>
      <c r="C1302" t="s">
        <v>14</v>
      </c>
      <c r="D1302" t="str">
        <f>HYPERLINK("https://us2.cloudbeds.com/connect/10074733072513#/reservations/30647743053966?display=Amy%20Sunquist&amp;reservation_id=30647743053966&amp;guest_id=30647743049881", "Amy Sunquist")</f>
        <v>Amy Sunquist</v>
      </c>
      <c r="E1302" t="s">
        <v>135</v>
      </c>
      <c r="F1302" t="s">
        <v>96</v>
      </c>
      <c r="G1302">
        <v>87.2</v>
      </c>
      <c r="H1302">
        <v>94.78</v>
      </c>
      <c r="I1302">
        <v>94.79</v>
      </c>
      <c r="J1302">
        <v>-0.01</v>
      </c>
    </row>
    <row r="1303" spans="1:10" x14ac:dyDescent="0.3">
      <c r="A1303" t="str">
        <f>HYPERLINK("https://us2.cloudbeds.com/connect/10074733072513#/reservations/30646244135135?display=YQ2PXQU91&amp;reservation_id=30646244135135", "YQ2PXQU91")</f>
        <v>YQ2PXQU91</v>
      </c>
      <c r="B1303" t="s">
        <v>10</v>
      </c>
      <c r="C1303" t="s">
        <v>14</v>
      </c>
      <c r="D1303" t="str">
        <f>HYPERLINK("https://us2.cloudbeds.com/connect/10074733072513#/reservations/30646244135135?display=Ryan%20Mallo&amp;reservation_id=30646244135135&amp;guest_id=30646239727759", "Ryan Mallo")</f>
        <v>Ryan Mallo</v>
      </c>
      <c r="E1303" t="s">
        <v>148</v>
      </c>
      <c r="F1303" t="s">
        <v>104</v>
      </c>
      <c r="G1303">
        <v>87.2</v>
      </c>
      <c r="H1303">
        <v>94.78</v>
      </c>
      <c r="I1303">
        <v>94.79</v>
      </c>
      <c r="J1303">
        <v>-0.01</v>
      </c>
    </row>
    <row r="1304" spans="1:10" x14ac:dyDescent="0.3">
      <c r="A1304" t="str">
        <f>HYPERLINK("https://us2.cloudbeds.com/connect/10074733072513#/reservations/30647073775835?display=YQ3DPCTFA&amp;reservation_id=30647073775835", "YQ3DPCTFA")</f>
        <v>YQ3DPCTFA</v>
      </c>
      <c r="B1304" t="s">
        <v>10</v>
      </c>
      <c r="C1304" t="s">
        <v>11</v>
      </c>
      <c r="D1304" t="str">
        <f>HYPERLINK("https://us2.cloudbeds.com/connect/10074733072513#/reservations/30647073775835?display=Michael%20Casey&amp;reservation_id=30647073775835&amp;guest_id=30646562951376", "Michael Casey")</f>
        <v>Michael Casey</v>
      </c>
      <c r="E1304" t="s">
        <v>149</v>
      </c>
      <c r="F1304" t="s">
        <v>137</v>
      </c>
      <c r="G1304">
        <v>74.12</v>
      </c>
      <c r="H1304">
        <v>80.56</v>
      </c>
      <c r="I1304">
        <v>80.569999999999993</v>
      </c>
      <c r="J1304">
        <v>-0.01</v>
      </c>
    </row>
    <row r="1305" spans="1:10" x14ac:dyDescent="0.3">
      <c r="A1305" t="str">
        <f>HYPERLINK("https://us2.cloudbeds.com/connect/10074733072513#/reservations/30646988890319?display=YQ3BJQRAV&amp;reservation_id=30646988890319", "YQ3BJQRAV")</f>
        <v>YQ3BJQRAV</v>
      </c>
      <c r="B1305" t="s">
        <v>10</v>
      </c>
      <c r="C1305" t="s">
        <v>11</v>
      </c>
      <c r="D1305" t="str">
        <f>HYPERLINK("https://us2.cloudbeds.com/connect/10074733072513#/reservations/30646988890319?display=Tara%20Oshinski&amp;reservation_id=30646988890319&amp;guest_id=30646988886227", "Tara Oshinski")</f>
        <v>Tara Oshinski</v>
      </c>
      <c r="E1305" t="s">
        <v>150</v>
      </c>
      <c r="F1305" t="s">
        <v>85</v>
      </c>
      <c r="G1305">
        <v>118.15</v>
      </c>
      <c r="H1305">
        <v>128.41999999999999</v>
      </c>
      <c r="I1305">
        <v>128.43</v>
      </c>
      <c r="J1305">
        <v>-0.01</v>
      </c>
    </row>
    <row r="1306" spans="1:10" x14ac:dyDescent="0.3">
      <c r="A1306" t="str">
        <f>HYPERLINK("https://us2.cloudbeds.com/connect/10074733072513#/reservations/30646799089893?display=YQ36ZPBJT&amp;reservation_id=30646799089893", "YQ36ZPBJT")</f>
        <v>YQ36ZPBJT</v>
      </c>
      <c r="B1306" t="s">
        <v>10</v>
      </c>
      <c r="C1306" t="s">
        <v>11</v>
      </c>
      <c r="D1306" t="str">
        <f>HYPERLINK("https://us2.cloudbeds.com/connect/10074733072513#/reservations/30646799089893?display=Randall%20M%20Bennett&amp;reservation_id=30646799089893&amp;guest_id=30646799089891", "Randall M Bennett")</f>
        <v>Randall M Bennett</v>
      </c>
      <c r="E1306" t="s">
        <v>151</v>
      </c>
      <c r="F1306" t="s">
        <v>152</v>
      </c>
      <c r="G1306">
        <v>87.2</v>
      </c>
      <c r="H1306">
        <v>94.78</v>
      </c>
      <c r="I1306">
        <v>94.79</v>
      </c>
      <c r="J1306">
        <v>-0.01</v>
      </c>
    </row>
    <row r="1307" spans="1:10" x14ac:dyDescent="0.3">
      <c r="A1307" t="str">
        <f>HYPERLINK("https://us2.cloudbeds.com/connect/10074733072513#/reservations/30647211081889?display=YQ3H95KWQ&amp;reservation_id=30647211081889", "YQ3H95KWQ")</f>
        <v>YQ3H95KWQ</v>
      </c>
      <c r="B1307" t="s">
        <v>10</v>
      </c>
      <c r="C1307" t="s">
        <v>11</v>
      </c>
      <c r="D1307" t="str">
        <f>HYPERLINK("https://us2.cloudbeds.com/connect/10074733072513#/reservations/30647211081889?display=Carrianne%20Mankey&amp;reservation_id=30647211081889&amp;guest_id=30647211077804", "Carrianne Mankey")</f>
        <v>Carrianne Mankey</v>
      </c>
      <c r="E1307" t="s">
        <v>153</v>
      </c>
      <c r="F1307" t="s">
        <v>127</v>
      </c>
      <c r="G1307">
        <v>87.2</v>
      </c>
      <c r="H1307">
        <v>94.78</v>
      </c>
      <c r="I1307">
        <v>94.79</v>
      </c>
      <c r="J1307">
        <v>-0.01</v>
      </c>
    </row>
    <row r="1308" spans="1:10" x14ac:dyDescent="0.3">
      <c r="A1308" t="str">
        <f>HYPERLINK("https://us2.cloudbeds.com/connect/10074733072513#/reservations/30646718435551?display=YQ34MP0RU&amp;reservation_id=30646718435551", "YQ34MP0RU")</f>
        <v>YQ34MP0RU</v>
      </c>
      <c r="B1308" t="s">
        <v>10</v>
      </c>
      <c r="C1308" t="s">
        <v>20</v>
      </c>
      <c r="D1308" t="str">
        <f>HYPERLINK("https://us2.cloudbeds.com/connect/10074733072513#/reservations/30646718435551?display=Kevin%20Sherrick&amp;reservation_id=30646718435551&amp;guest_id=30646718435546", "Kevin Sherrick")</f>
        <v>Kevin Sherrick</v>
      </c>
      <c r="E1308" t="s">
        <v>154</v>
      </c>
      <c r="F1308" t="s">
        <v>155</v>
      </c>
      <c r="G1308">
        <v>103.2</v>
      </c>
      <c r="H1308">
        <v>112.17</v>
      </c>
      <c r="I1308">
        <v>112.18</v>
      </c>
      <c r="J1308">
        <v>-0.01</v>
      </c>
    </row>
    <row r="1309" spans="1:10" x14ac:dyDescent="0.3">
      <c r="A1309" t="str">
        <f>HYPERLINK("https://us2.cloudbeds.com/connect/10074733072513#/reservations/30646161117382?display=YQ2NEQR8X&amp;reservation_id=30646161117382", "YQ2NEQR8X")</f>
        <v>YQ2NEQR8X</v>
      </c>
      <c r="B1309" t="s">
        <v>10</v>
      </c>
      <c r="C1309" t="s">
        <v>14</v>
      </c>
      <c r="D1309" t="str">
        <f>HYPERLINK("https://us2.cloudbeds.com/connect/10074733072513#/reservations/30646161117382?display=Ron%20Schneider&amp;reservation_id=30646161117382&amp;guest_id=30646161117380", "Ron Schneider")</f>
        <v>Ron Schneider</v>
      </c>
      <c r="E1309" t="s">
        <v>156</v>
      </c>
      <c r="F1309" t="s">
        <v>98</v>
      </c>
      <c r="G1309">
        <v>74.12</v>
      </c>
      <c r="H1309">
        <v>80.56</v>
      </c>
      <c r="I1309">
        <v>80.569999999999993</v>
      </c>
      <c r="J1309">
        <v>-0.01</v>
      </c>
    </row>
    <row r="1310" spans="1:10" x14ac:dyDescent="0.3">
      <c r="A1310" t="str">
        <f>HYPERLINK("https://us2.cloudbeds.com/connect/10074733072513#/reservations/30647079133361?display=YQ3DTTW4J&amp;reservation_id=30647079133361", "YQ3DTTW4J")</f>
        <v>YQ3DTTW4J</v>
      </c>
      <c r="B1310" t="s">
        <v>10</v>
      </c>
      <c r="C1310" t="s">
        <v>11</v>
      </c>
      <c r="D1310" t="str">
        <f>HYPERLINK("https://us2.cloudbeds.com/connect/10074733072513#/reservations/30647079133361?display=Bennett%20W%20De%20Paula&amp;reservation_id=30647079133361&amp;guest_id=30647079133357", "Bennett W De Paula")</f>
        <v>Bennett W De Paula</v>
      </c>
      <c r="E1310" t="s">
        <v>157</v>
      </c>
      <c r="F1310" t="s">
        <v>137</v>
      </c>
      <c r="G1310">
        <v>87.2</v>
      </c>
      <c r="H1310">
        <v>94.78</v>
      </c>
      <c r="I1310">
        <v>94.79</v>
      </c>
      <c r="J1310">
        <v>-0.01</v>
      </c>
    </row>
    <row r="1311" spans="1:10" x14ac:dyDescent="0.3">
      <c r="A1311" t="str">
        <f>HYPERLINK("https://us2.cloudbeds.com/connect/10074733072513#/reservations/30646167249119?display=YQ2NJWESP&amp;reservation_id=30646167249119", "YQ2NJWESP")</f>
        <v>YQ2NJWESP</v>
      </c>
      <c r="B1311" t="s">
        <v>10</v>
      </c>
      <c r="C1311" t="s">
        <v>20</v>
      </c>
      <c r="D1311" t="str">
        <f>HYPERLINK("https://us2.cloudbeds.com/connect/10074733072513#/reservations/30646167249119?display=Paul%20Rowenhorst&amp;reservation_id=30646167249119&amp;guest_id=30646167249115", "Paul Rowenhorst")</f>
        <v>Paul Rowenhorst</v>
      </c>
      <c r="E1311" t="s">
        <v>158</v>
      </c>
      <c r="F1311" t="s">
        <v>98</v>
      </c>
      <c r="G1311">
        <v>103.2</v>
      </c>
      <c r="H1311">
        <v>112.17</v>
      </c>
      <c r="I1311">
        <v>112.18</v>
      </c>
      <c r="J1311">
        <v>-0.01</v>
      </c>
    </row>
    <row r="1312" spans="1:10" x14ac:dyDescent="0.3">
      <c r="A1312" t="str">
        <f>HYPERLINK("https://us2.cloudbeds.com/connect/10074733072513#/reservations/30646607409377?display=YQ31S4XED&amp;reservation_id=30646607409377", "YQ31S4XED")</f>
        <v>YQ31S4XED</v>
      </c>
      <c r="B1312" t="s">
        <v>10</v>
      </c>
      <c r="C1312" t="s">
        <v>11</v>
      </c>
      <c r="D1312" t="str">
        <f>HYPERLINK("https://us2.cloudbeds.com/connect/10074733072513#/reservations/30646607409377?display=Bill%20Wilson&amp;reservation_id=30646607409377&amp;guest_id=30646607409374", "Bill Wilson")</f>
        <v>Bill Wilson</v>
      </c>
      <c r="E1312" t="s">
        <v>159</v>
      </c>
      <c r="F1312" t="s">
        <v>160</v>
      </c>
      <c r="G1312">
        <v>103.2</v>
      </c>
      <c r="H1312">
        <v>112.17</v>
      </c>
      <c r="I1312">
        <v>112.18</v>
      </c>
      <c r="J1312">
        <v>-0.01</v>
      </c>
    </row>
    <row r="1313" spans="1:10" x14ac:dyDescent="0.3">
      <c r="A1313" t="str">
        <f>HYPERLINK("https://us2.cloudbeds.com/connect/10074733072513#/reservations/30646814855386?display=YQ37521Y3&amp;reservation_id=30646814855386", "YQ37521Y3")</f>
        <v>YQ37521Y3</v>
      </c>
      <c r="B1313" t="s">
        <v>10</v>
      </c>
      <c r="C1313" t="s">
        <v>17</v>
      </c>
      <c r="D1313" t="str">
        <f>HYPERLINK("https://us2.cloudbeds.com/connect/10074733072513#/reservations/30646814855386?display=Douglas%20Everson&amp;reservation_id=30646814855386&amp;guest_id=30646814855381", "Douglas Everson")</f>
        <v>Douglas Everson</v>
      </c>
      <c r="E1313" t="s">
        <v>161</v>
      </c>
      <c r="F1313" t="s">
        <v>162</v>
      </c>
      <c r="G1313">
        <v>196.2</v>
      </c>
      <c r="H1313">
        <v>213.26</v>
      </c>
      <c r="I1313">
        <v>213.27</v>
      </c>
      <c r="J1313">
        <v>-0.01</v>
      </c>
    </row>
    <row r="1314" spans="1:10" x14ac:dyDescent="0.3">
      <c r="A1314" t="str">
        <f>HYPERLINK("https://us2.cloudbeds.com/connect/10074733072513#/reservations/30646097187031?display=YQ2YQTSN6&amp;reservation_id=30646097187031", "YQ2YQTSN6")</f>
        <v>YQ2YQTSN6</v>
      </c>
      <c r="B1314" t="s">
        <v>10</v>
      </c>
      <c r="C1314" t="s">
        <v>42</v>
      </c>
      <c r="D1314" t="str">
        <f>HYPERLINK("https://us2.cloudbeds.com/connect/10074733072513#/reservations/30646097187031?display=James%20Clark&amp;reservation_id=30646097187031&amp;guest_id=30646097187013", "James Clark")</f>
        <v>James Clark</v>
      </c>
      <c r="E1314" t="s">
        <v>164</v>
      </c>
      <c r="F1314" t="s">
        <v>152</v>
      </c>
      <c r="G1314">
        <v>259.2</v>
      </c>
      <c r="H1314">
        <v>281.74</v>
      </c>
      <c r="I1314">
        <v>281.75</v>
      </c>
      <c r="J1314">
        <v>-0.01</v>
      </c>
    </row>
    <row r="1315" spans="1:10" x14ac:dyDescent="0.3">
      <c r="A1315" t="str">
        <f>HYPERLINK("https://us2.cloudbeds.com/connect/10074733072513#/reservations/30646661595315?display=YQ337RBVH&amp;reservation_id=30646661595315", "YQ337RBVH")</f>
        <v>YQ337RBVH</v>
      </c>
      <c r="B1315" t="s">
        <v>10</v>
      </c>
      <c r="C1315" t="s">
        <v>14</v>
      </c>
      <c r="D1315" t="str">
        <f>HYPERLINK("https://us2.cloudbeds.com/connect/10074733072513#/reservations/30646661595315?display=Howard%20Tefft&amp;reservation_id=30646661595315&amp;guest_id=30646661595311", "Howard Tefft")</f>
        <v>Howard Tefft</v>
      </c>
      <c r="E1315" t="s">
        <v>165</v>
      </c>
      <c r="F1315" t="s">
        <v>25</v>
      </c>
      <c r="G1315">
        <v>108.12</v>
      </c>
      <c r="H1315">
        <v>117.52</v>
      </c>
      <c r="I1315">
        <v>117.53</v>
      </c>
      <c r="J1315">
        <v>-0.01</v>
      </c>
    </row>
    <row r="1316" spans="1:10" x14ac:dyDescent="0.3">
      <c r="A1316" t="str">
        <f>HYPERLINK("https://us2.cloudbeds.com/connect/10074733072513#/reservations/30646833967313?display=YQ37Y5SKD&amp;reservation_id=30646833967313", "YQ37Y5SKD")</f>
        <v>YQ37Y5SKD</v>
      </c>
      <c r="B1316" t="s">
        <v>10</v>
      </c>
      <c r="C1316" t="s">
        <v>11</v>
      </c>
      <c r="D1316" t="str">
        <f>HYPERLINK("https://us2.cloudbeds.com/connect/10074733072513#/reservations/30646833967313?display=Stephen%20Shelton%20Smith&amp;reservation_id=30646833967313&amp;guest_id=30646833967308", "Stephen Shelton Smith")</f>
        <v>Stephen Shelton Smith</v>
      </c>
      <c r="E1316" t="s">
        <v>166</v>
      </c>
      <c r="F1316" t="s">
        <v>162</v>
      </c>
      <c r="G1316">
        <v>76.16</v>
      </c>
      <c r="H1316">
        <v>82.78</v>
      </c>
      <c r="I1316">
        <v>82.79</v>
      </c>
      <c r="J1316">
        <v>-0.01</v>
      </c>
    </row>
    <row r="1317" spans="1:10" x14ac:dyDescent="0.3">
      <c r="A1317" t="str">
        <f>HYPERLINK("https://us2.cloudbeds.com/connect/10074733072513#/reservations/30646226243779?display=YQ2P3Z23Z&amp;reservation_id=30646226243779", "YQ2P3Z23Z")</f>
        <v>YQ2P3Z23Z</v>
      </c>
      <c r="B1317" t="s">
        <v>10</v>
      </c>
      <c r="C1317" t="s">
        <v>11</v>
      </c>
      <c r="D1317" t="str">
        <f>HYPERLINK("https://us2.cloudbeds.com/connect/10074733072513#/reservations/30646226243779?display=Deborah%20L%20Diercks&amp;reservation_id=30646226243779&amp;guest_id=30646226243777", "Deborah L Diercks")</f>
        <v>Deborah L Diercks</v>
      </c>
      <c r="E1317" t="s">
        <v>167</v>
      </c>
      <c r="F1317" t="s">
        <v>104</v>
      </c>
      <c r="G1317">
        <v>282.56</v>
      </c>
      <c r="H1317">
        <v>307.13</v>
      </c>
      <c r="I1317">
        <v>307.14</v>
      </c>
      <c r="J1317">
        <v>-0.01</v>
      </c>
    </row>
    <row r="1318" spans="1:10" x14ac:dyDescent="0.3">
      <c r="A1318" t="str">
        <f>HYPERLINK("https://us2.cloudbeds.com/connect/10074733072513#/reservations/30646268326093?display=YQ2Q6726B&amp;reservation_id=30646268326093", "YQ2Q6726B")</f>
        <v>YQ2Q6726B</v>
      </c>
      <c r="B1318" t="s">
        <v>10</v>
      </c>
      <c r="C1318" t="s">
        <v>20</v>
      </c>
      <c r="D1318" t="str">
        <f>HYPERLINK("https://us2.cloudbeds.com/connect/10074733072513#/reservations/30646268326093?display=Jill%20Ayala&amp;reservation_id=30646268326093&amp;guest_id=30646261395587", "Jill Ayala")</f>
        <v>Jill Ayala</v>
      </c>
      <c r="E1318" t="s">
        <v>168</v>
      </c>
      <c r="F1318" t="s">
        <v>144</v>
      </c>
      <c r="G1318">
        <v>103.2</v>
      </c>
      <c r="H1318">
        <v>112.17</v>
      </c>
      <c r="I1318">
        <v>112.18</v>
      </c>
      <c r="J1318">
        <v>-0.01</v>
      </c>
    </row>
    <row r="1319" spans="1:10" x14ac:dyDescent="0.3">
      <c r="A1319" t="str">
        <f>HYPERLINK("https://us2.cloudbeds.com/connect/10074733072513#/reservations/30647787569286?display=YQ3W0985S&amp;reservation_id=30647787569286", "YQ3W0985S")</f>
        <v>YQ3W0985S</v>
      </c>
      <c r="B1319" t="s">
        <v>10</v>
      </c>
      <c r="C1319" t="s">
        <v>20</v>
      </c>
      <c r="D1319" t="str">
        <f>HYPERLINK("https://us2.cloudbeds.com/connect/10074733072513#/reservations/30647787569286?display=Brian%20Heyer&amp;reservation_id=30647787569286&amp;guest_id=30647787569281", "Brian Heyer")</f>
        <v>Brian Heyer</v>
      </c>
      <c r="E1319" t="s">
        <v>169</v>
      </c>
      <c r="F1319" t="s">
        <v>170</v>
      </c>
      <c r="G1319">
        <v>87.2</v>
      </c>
      <c r="H1319">
        <v>94.78</v>
      </c>
      <c r="I1319">
        <v>94.79</v>
      </c>
      <c r="J1319">
        <v>-0.01</v>
      </c>
    </row>
    <row r="1320" spans="1:10" x14ac:dyDescent="0.3">
      <c r="A1320" t="str">
        <f>HYPERLINK("https://us2.cloudbeds.com/connect/10074733072513#/reservations/30646034411655?display=YQ2K6W1Z2&amp;reservation_id=30646034411655", "YQ2K6W1Z2")</f>
        <v>YQ2K6W1Z2</v>
      </c>
      <c r="B1320" t="s">
        <v>10</v>
      </c>
      <c r="C1320" t="s">
        <v>14</v>
      </c>
      <c r="D1320" t="str">
        <f>HYPERLINK("https://us2.cloudbeds.com/connect/10074733072513#/reservations/30646034411655?display=Ron%20Sayler&amp;reservation_id=30646034411655&amp;guest_id=30646034411652", "Ron Sayler")</f>
        <v>Ron Sayler</v>
      </c>
      <c r="E1320" t="s">
        <v>171</v>
      </c>
      <c r="F1320" t="s">
        <v>152</v>
      </c>
      <c r="G1320">
        <v>76.16</v>
      </c>
      <c r="H1320">
        <v>82.78</v>
      </c>
      <c r="I1320">
        <v>82.79</v>
      </c>
      <c r="J1320">
        <v>-0.01</v>
      </c>
    </row>
    <row r="1321" spans="1:10" x14ac:dyDescent="0.3">
      <c r="A1321" t="str">
        <f>HYPERLINK("https://us2.cloudbeds.com/connect/10074733072513#/reservations/30647244337381?display=YQ3X470Y0&amp;reservation_id=30647244337381", "YQ3X470Y0")</f>
        <v>YQ3X470Y0</v>
      </c>
      <c r="B1321" t="s">
        <v>10</v>
      </c>
      <c r="C1321" t="s">
        <v>20</v>
      </c>
      <c r="D1321" t="str">
        <f>HYPERLINK("https://us2.cloudbeds.com/connect/10074733072513#/reservations/30647244337381?display=Andy%20Dorizas&amp;reservation_id=30647244337381&amp;guest_id=30647235502285", "Andy Dorizas")</f>
        <v>Andy Dorizas</v>
      </c>
      <c r="E1321" t="s">
        <v>172</v>
      </c>
      <c r="F1321" t="s">
        <v>106</v>
      </c>
      <c r="G1321">
        <v>143.19999999999999</v>
      </c>
      <c r="H1321">
        <v>155.65</v>
      </c>
      <c r="I1321">
        <v>155.66</v>
      </c>
      <c r="J1321">
        <v>-0.01</v>
      </c>
    </row>
    <row r="1322" spans="1:10" x14ac:dyDescent="0.3">
      <c r="A1322" t="str">
        <f>HYPERLINK("https://us2.cloudbeds.com/connect/10074733072513#/reservations/30647200223418?display=YQ3H00FV8&amp;reservation_id=30647200223418", "YQ3H00FV8")</f>
        <v>YQ3H00FV8</v>
      </c>
      <c r="B1322" t="s">
        <v>10</v>
      </c>
      <c r="C1322" t="s">
        <v>11</v>
      </c>
      <c r="D1322" t="str">
        <f>HYPERLINK("https://us2.cloudbeds.com/connect/10074733072513#/reservations/30647200223418?display=Alexandra%20Kroeger&amp;reservation_id=30647200223418&amp;guest_id=30647200223410", "Alexandra Kroeger")</f>
        <v>Alexandra Kroeger</v>
      </c>
      <c r="E1322" t="s">
        <v>173</v>
      </c>
      <c r="F1322" t="s">
        <v>174</v>
      </c>
      <c r="G1322">
        <v>127.2</v>
      </c>
      <c r="H1322">
        <v>138.26</v>
      </c>
      <c r="I1322">
        <v>138.27000000000001</v>
      </c>
      <c r="J1322">
        <v>-0.01</v>
      </c>
    </row>
    <row r="1323" spans="1:10" x14ac:dyDescent="0.3">
      <c r="A1323" t="str">
        <f>HYPERLINK("https://us2.cloudbeds.com/connect/10074733072513#/reservations/30647833104598?display=YQ405MB1R&amp;reservation_id=30647833104598", "YQ405MB1R")</f>
        <v>YQ405MB1R</v>
      </c>
      <c r="B1323" t="s">
        <v>10</v>
      </c>
      <c r="C1323" t="s">
        <v>11</v>
      </c>
      <c r="D1323" t="str">
        <f>HYPERLINK("https://us2.cloudbeds.com/connect/10074733072513#/reservations/30647833104598?display=Sarah%20Heins&amp;reservation_id=30647833104598&amp;guest_id=30647833100517", "Sarah Heins")</f>
        <v>Sarah Heins</v>
      </c>
      <c r="E1323" t="s">
        <v>175</v>
      </c>
      <c r="F1323" t="s">
        <v>176</v>
      </c>
      <c r="G1323">
        <v>87.2</v>
      </c>
      <c r="H1323">
        <v>94.78</v>
      </c>
      <c r="I1323">
        <v>94.79</v>
      </c>
      <c r="J1323">
        <v>-0.01</v>
      </c>
    </row>
    <row r="1324" spans="1:10" x14ac:dyDescent="0.3">
      <c r="A1324" t="str">
        <f>HYPERLINK("https://us2.cloudbeds.com/connect/10074733072513#/reservations/30648624509108?display=YQ4KD0AVM&amp;reservation_id=30648624509108", "YQ4KD0AVM")</f>
        <v>YQ4KD0AVM</v>
      </c>
      <c r="B1324" t="s">
        <v>10</v>
      </c>
      <c r="C1324" t="s">
        <v>11</v>
      </c>
      <c r="D1324" t="str">
        <f>HYPERLINK("https://us2.cloudbeds.com/connect/10074733072513#/reservations/30648624509108?display=John%20Siegel&amp;reservation_id=30648624509108&amp;guest_id=30648619356386", "John Siegel")</f>
        <v>John Siegel</v>
      </c>
      <c r="E1324" t="s">
        <v>178</v>
      </c>
      <c r="F1324" t="s">
        <v>179</v>
      </c>
      <c r="G1324">
        <v>76.16</v>
      </c>
      <c r="H1324">
        <v>82.78</v>
      </c>
      <c r="I1324">
        <v>82.79</v>
      </c>
      <c r="J1324">
        <v>-0.01</v>
      </c>
    </row>
    <row r="1325" spans="1:10" x14ac:dyDescent="0.3">
      <c r="A1325" t="str">
        <f>HYPERLINK("https://us2.cloudbeds.com/connect/10074733072513#/reservations/30646268330202?display=YQ2Q675VT&amp;reservation_id=30646268330202", "YQ2Q675VT")</f>
        <v>YQ2Q675VT</v>
      </c>
      <c r="B1325" t="s">
        <v>10</v>
      </c>
      <c r="C1325" t="s">
        <v>20</v>
      </c>
      <c r="D1325" t="str">
        <f>HYPERLINK("https://us2.cloudbeds.com/connect/10074733072513#/reservations/30646268330202?display=Rebecca%20Gagnon&amp;reservation_id=30646268330202&amp;guest_id=30646268330197", "Rebecca Gagnon")</f>
        <v>Rebecca Gagnon</v>
      </c>
      <c r="E1325" t="s">
        <v>180</v>
      </c>
      <c r="F1325" t="s">
        <v>144</v>
      </c>
      <c r="G1325">
        <v>103.2</v>
      </c>
      <c r="H1325">
        <v>112.17</v>
      </c>
      <c r="I1325">
        <v>112.18</v>
      </c>
      <c r="J1325">
        <v>-0.01</v>
      </c>
    </row>
    <row r="1326" spans="1:10" x14ac:dyDescent="0.3">
      <c r="A1326" t="str">
        <f>HYPERLINK("https://us2.cloudbeds.com/connect/10074733072513#/reservations/30646850257091?display=YQ381U531&amp;reservation_id=30646850257091", "YQ381U531")</f>
        <v>YQ381U531</v>
      </c>
      <c r="B1326" t="s">
        <v>10</v>
      </c>
      <c r="C1326" t="s">
        <v>14</v>
      </c>
      <c r="D1326" t="str">
        <f>HYPERLINK("https://us2.cloudbeds.com/connect/10074733072513#/reservations/30646850257091?display=Sam%20Parker&amp;reservation_id=30646850257091&amp;guest_id=30646846693535", "Sam Parker")</f>
        <v>Sam Parker</v>
      </c>
      <c r="E1326" t="s">
        <v>181</v>
      </c>
      <c r="F1326" t="s">
        <v>22</v>
      </c>
      <c r="G1326">
        <v>103.2</v>
      </c>
      <c r="H1326">
        <v>112.17</v>
      </c>
      <c r="I1326">
        <v>112.18</v>
      </c>
      <c r="J1326">
        <v>-0.01</v>
      </c>
    </row>
    <row r="1327" spans="1:10" x14ac:dyDescent="0.3">
      <c r="A1327" t="str">
        <f>HYPERLINK("https://us2.cloudbeds.com/connect/10074733072513#/reservations/30647088980189?display=YQ3E56W7A&amp;reservation_id=30647088980189", "YQ3E56W7A")</f>
        <v>YQ3E56W7A</v>
      </c>
      <c r="B1327" t="s">
        <v>10</v>
      </c>
      <c r="C1327" t="s">
        <v>14</v>
      </c>
      <c r="D1327" t="str">
        <f>HYPERLINK("https://us2.cloudbeds.com/connect/10074733072513#/reservations/30647088980189?display=Mark%20Lutjeharms&amp;reservation_id=30647088980189&amp;guest_id=30647088980186", "Mark Lutjeharms")</f>
        <v>Mark Lutjeharms</v>
      </c>
      <c r="E1327" t="s">
        <v>182</v>
      </c>
      <c r="F1327" t="s">
        <v>137</v>
      </c>
      <c r="G1327">
        <v>87.2</v>
      </c>
      <c r="H1327">
        <v>94.78</v>
      </c>
      <c r="I1327">
        <v>94.79</v>
      </c>
      <c r="J1327">
        <v>-0.01</v>
      </c>
    </row>
    <row r="1328" spans="1:10" x14ac:dyDescent="0.3">
      <c r="A1328" t="str">
        <f>HYPERLINK("https://us2.cloudbeds.com/connect/10074733072513#/reservations/30648288276667?display=YQ4BQG5XR&amp;reservation_id=30648288276667", "YQ4BQG5XR")</f>
        <v>YQ4BQG5XR</v>
      </c>
      <c r="B1328" t="s">
        <v>10</v>
      </c>
      <c r="C1328" t="s">
        <v>11</v>
      </c>
      <c r="D1328" t="str">
        <f>HYPERLINK("https://us2.cloudbeds.com/connect/10074733072513#/reservations/30648288276667?display=Anthony%20Swanson&amp;reservation_id=30648288276667&amp;guest_id=30648288276618", "Anthony Swanson")</f>
        <v>Anthony Swanson</v>
      </c>
      <c r="E1328" t="s">
        <v>183</v>
      </c>
      <c r="F1328" t="s">
        <v>184</v>
      </c>
      <c r="G1328">
        <v>103.2</v>
      </c>
      <c r="H1328">
        <v>112.17</v>
      </c>
      <c r="I1328">
        <v>112.18</v>
      </c>
      <c r="J1328">
        <v>-0.01</v>
      </c>
    </row>
    <row r="1329" spans="1:10" x14ac:dyDescent="0.3">
      <c r="A1329" t="str">
        <f>HYPERLINK("https://us2.cloudbeds.com/connect/10074733072513#/reservations/30646466416860?display=YQ2V887NT&amp;reservation_id=30646466416860", "YQ2V887NT")</f>
        <v>YQ2V887NT</v>
      </c>
      <c r="B1329" t="s">
        <v>10</v>
      </c>
      <c r="C1329" t="s">
        <v>11</v>
      </c>
      <c r="D1329" t="str">
        <f>HYPERLINK("https://us2.cloudbeds.com/connect/10074733072513#/reservations/30646466416860?display=Ming%20Dai&amp;reservation_id=30646466416860&amp;guest_id=30646466416858", "Ming Dai")</f>
        <v>Ming Dai</v>
      </c>
      <c r="E1329" t="s">
        <v>185</v>
      </c>
      <c r="F1329" t="s">
        <v>186</v>
      </c>
      <c r="G1329">
        <v>76.16</v>
      </c>
      <c r="H1329">
        <v>82.78</v>
      </c>
      <c r="I1329">
        <v>82.79</v>
      </c>
      <c r="J1329">
        <v>-0.01</v>
      </c>
    </row>
    <row r="1330" spans="1:10" x14ac:dyDescent="0.3">
      <c r="A1330" t="str">
        <f>HYPERLINK("https://us2.cloudbeds.com/connect/10074733072513#/reservations/30647052665012?display=YQ3D7JEVD&amp;reservation_id=30647052665012", "YQ3D7JEVD")</f>
        <v>YQ3D7JEVD</v>
      </c>
      <c r="B1330" t="s">
        <v>10</v>
      </c>
      <c r="C1330" t="s">
        <v>14</v>
      </c>
      <c r="D1330" t="str">
        <f>HYPERLINK("https://us2.cloudbeds.com/connect/10074733072513#/reservations/30647052665012?display=Thomas%20Bauer&amp;reservation_id=30647052665012&amp;guest_id=30647045914781", "Thomas Bauer")</f>
        <v>Thomas Bauer</v>
      </c>
      <c r="E1330" t="s">
        <v>187</v>
      </c>
      <c r="F1330" t="s">
        <v>137</v>
      </c>
      <c r="G1330">
        <v>152.32</v>
      </c>
      <c r="H1330">
        <v>165.56</v>
      </c>
      <c r="I1330">
        <v>165.57</v>
      </c>
      <c r="J1330">
        <v>-0.01</v>
      </c>
    </row>
    <row r="1331" spans="1:10" x14ac:dyDescent="0.3">
      <c r="A1331" t="str">
        <f>HYPERLINK("https://us2.cloudbeds.com/connect/10074733072513#/reservations/30646429778147?display=YQ2UABNBS&amp;reservation_id=30646429778147", "YQ2UABNBS")</f>
        <v>YQ2UABNBS</v>
      </c>
      <c r="B1331" t="s">
        <v>10</v>
      </c>
      <c r="C1331" t="s">
        <v>14</v>
      </c>
      <c r="D1331" t="str">
        <f>HYPERLINK("https://us2.cloudbeds.com/connect/10074733072513#/reservations/30646429778147?display=David%20Cihlar&amp;reservation_id=30646429778147&amp;guest_id=30646422208657", "David Cihlar")</f>
        <v>David Cihlar</v>
      </c>
      <c r="E1331" t="s">
        <v>188</v>
      </c>
      <c r="F1331" t="s">
        <v>144</v>
      </c>
      <c r="G1331">
        <v>87.2</v>
      </c>
      <c r="H1331">
        <v>94.78</v>
      </c>
      <c r="I1331">
        <v>94.79</v>
      </c>
      <c r="J1331">
        <v>-0.01</v>
      </c>
    </row>
    <row r="1332" spans="1:10" x14ac:dyDescent="0.3">
      <c r="A1332" t="str">
        <f>HYPERLINK("https://us2.cloudbeds.com/connect/10074733072513#/reservations/30647019606213?display=YQ3CCNHUK&amp;reservation_id=30647019606213", "YQ3CCNHUK")</f>
        <v>YQ3CCNHUK</v>
      </c>
      <c r="B1332" t="s">
        <v>10</v>
      </c>
      <c r="C1332" t="s">
        <v>11</v>
      </c>
      <c r="D1332" t="str">
        <f>HYPERLINK("https://us2.cloudbeds.com/connect/10074733072513#/reservations/30647019606213?display=Craig%20Poindexter&amp;reservation_id=30647019606213&amp;guest_id=30647014797497", "Craig Poindexter")</f>
        <v>Craig Poindexter</v>
      </c>
      <c r="E1332" t="s">
        <v>189</v>
      </c>
      <c r="F1332" t="s">
        <v>137</v>
      </c>
      <c r="G1332">
        <v>76.16</v>
      </c>
      <c r="H1332">
        <v>82.78</v>
      </c>
      <c r="I1332">
        <v>82.79</v>
      </c>
      <c r="J1332">
        <v>-0.01</v>
      </c>
    </row>
    <row r="1333" spans="1:10" x14ac:dyDescent="0.3">
      <c r="A1333" t="str">
        <f>HYPERLINK("https://us2.cloudbeds.com/connect/10074733072513#/reservations/30647098949766?display=YQ3EDKD0N&amp;reservation_id=30647098949766", "YQ3EDKD0N")</f>
        <v>YQ3EDKD0N</v>
      </c>
      <c r="B1333" t="s">
        <v>10</v>
      </c>
      <c r="C1333" t="s">
        <v>14</v>
      </c>
      <c r="D1333" t="str">
        <f>HYPERLINK("https://us2.cloudbeds.com/connect/10074733072513#/reservations/30647098949766?display=Carla%20Caynon&amp;reservation_id=30647098949766&amp;guest_id=30647094485172", "Carla Caynon")</f>
        <v>Carla Caynon</v>
      </c>
      <c r="E1333" t="s">
        <v>190</v>
      </c>
      <c r="F1333" t="s">
        <v>137</v>
      </c>
      <c r="G1333">
        <v>76.16</v>
      </c>
      <c r="H1333">
        <v>82.78</v>
      </c>
      <c r="I1333">
        <v>82.79</v>
      </c>
      <c r="J1333">
        <v>-0.01</v>
      </c>
    </row>
    <row r="1334" spans="1:10" x14ac:dyDescent="0.3">
      <c r="A1334" t="str">
        <f>HYPERLINK("https://us2.cloudbeds.com/connect/10074733072513#/reservations/30647756218501?display=YQ3V6RSJ3&amp;reservation_id=30647756218501", "YQ3V6RSJ3")</f>
        <v>YQ3V6RSJ3</v>
      </c>
      <c r="B1334" t="s">
        <v>10</v>
      </c>
      <c r="C1334" t="s">
        <v>11</v>
      </c>
      <c r="D1334" t="str">
        <f>HYPERLINK("https://us2.cloudbeds.com/connect/10074733072513#/reservations/30647756218501?display=Josephine%20Jent&amp;reservation_id=30647756218501&amp;guest_id=30647756214460", "Josephine Jent")</f>
        <v>Josephine Jent</v>
      </c>
      <c r="E1334" t="s">
        <v>191</v>
      </c>
      <c r="F1334" t="s">
        <v>96</v>
      </c>
      <c r="G1334">
        <v>87.2</v>
      </c>
      <c r="H1334">
        <v>94.78</v>
      </c>
      <c r="I1334">
        <v>94.79</v>
      </c>
      <c r="J1334">
        <v>-0.01</v>
      </c>
    </row>
    <row r="1335" spans="1:10" x14ac:dyDescent="0.3">
      <c r="A1335" t="str">
        <f>HYPERLINK("https://us2.cloudbeds.com/connect/10074733072513#/reservations/30646857560302?display=YQ3882CEF&amp;reservation_id=30646857560302", "YQ3882CEF")</f>
        <v>YQ3882CEF</v>
      </c>
      <c r="B1335" t="s">
        <v>10</v>
      </c>
      <c r="C1335" t="s">
        <v>14</v>
      </c>
      <c r="D1335" t="str">
        <f>HYPERLINK("https://us2.cloudbeds.com/connect/10074733072513#/reservations/30646857560302?display=Ryan%20Grajkowski&amp;reservation_id=30646857560302&amp;guest_id=30646857560297", "Ryan Grajkowski")</f>
        <v>Ryan Grajkowski</v>
      </c>
      <c r="E1335" t="s">
        <v>192</v>
      </c>
      <c r="F1335" t="s">
        <v>22</v>
      </c>
      <c r="G1335">
        <v>103.2</v>
      </c>
      <c r="H1335">
        <v>112.17</v>
      </c>
      <c r="I1335">
        <v>112.18</v>
      </c>
      <c r="J1335">
        <v>-0.01</v>
      </c>
    </row>
    <row r="1336" spans="1:10" x14ac:dyDescent="0.3">
      <c r="A1336" t="str">
        <f>HYPERLINK("https://us2.cloudbeds.com/connect/10074733072513#/reservations/30646866264276?display=YQ38FDJ28&amp;reservation_id=30646866264276", "YQ38FDJ28")</f>
        <v>YQ38FDJ28</v>
      </c>
      <c r="B1336" t="s">
        <v>10</v>
      </c>
      <c r="C1336" t="s">
        <v>14</v>
      </c>
      <c r="D1336" t="str">
        <f>HYPERLINK("https://us2.cloudbeds.com/connect/10074733072513#/reservations/30646866264276?display=Renee%20Lehn&amp;reservation_id=30646866264276&amp;guest_id=30646866264274", "Renee Lehn")</f>
        <v>Renee Lehn</v>
      </c>
      <c r="E1336" t="s">
        <v>193</v>
      </c>
      <c r="F1336" t="s">
        <v>22</v>
      </c>
      <c r="G1336">
        <v>103.2</v>
      </c>
      <c r="H1336">
        <v>112.17</v>
      </c>
      <c r="I1336">
        <v>112.18</v>
      </c>
      <c r="J1336">
        <v>-0.01</v>
      </c>
    </row>
    <row r="1337" spans="1:10" x14ac:dyDescent="0.3">
      <c r="A1337" t="str">
        <f>HYPERLINK("https://us2.cloudbeds.com/connect/10074733072513#/reservations/30647030427840?display=YQ3CGASUH&amp;reservation_id=30647030427840", "YQ3CGASUH")</f>
        <v>YQ3CGASUH</v>
      </c>
      <c r="B1337" t="s">
        <v>10</v>
      </c>
      <c r="C1337" t="s">
        <v>20</v>
      </c>
      <c r="D1337" t="str">
        <f>HYPERLINK("https://us2.cloudbeds.com/connect/10074733072513#/reservations/30647030427840?display=Sueann%20Johnson&amp;reservation_id=30647030427840&amp;guest_id=30647023894690", "Sueann Johnson")</f>
        <v>Sueann Johnson</v>
      </c>
      <c r="E1337" t="s">
        <v>194</v>
      </c>
      <c r="F1337" t="s">
        <v>137</v>
      </c>
      <c r="G1337">
        <v>103.2</v>
      </c>
      <c r="H1337">
        <v>112.17</v>
      </c>
      <c r="I1337">
        <v>112.18</v>
      </c>
      <c r="J1337">
        <v>-0.01</v>
      </c>
    </row>
    <row r="1338" spans="1:10" x14ac:dyDescent="0.3">
      <c r="A1338" t="str">
        <f>HYPERLINK("https://us2.cloudbeds.com/connect/10074733072513#/reservations/30647724187846?display=YQ3UCRXM6&amp;reservation_id=30647724187846", "YQ3UCRXM6")</f>
        <v>YQ3UCRXM6</v>
      </c>
      <c r="B1338" t="s">
        <v>10</v>
      </c>
      <c r="C1338" t="s">
        <v>11</v>
      </c>
      <c r="D1338" t="str">
        <f>HYPERLINK("https://us2.cloudbeds.com/connect/10074733072513#/reservations/30647724187846?display=Carol%20Bright&amp;reservation_id=30647724187846&amp;guest_id=30647717937327", "Carol Bright")</f>
        <v>Carol Bright</v>
      </c>
      <c r="E1338" t="s">
        <v>195</v>
      </c>
      <c r="F1338" t="s">
        <v>196</v>
      </c>
      <c r="G1338">
        <v>174.4</v>
      </c>
      <c r="H1338">
        <v>189.56</v>
      </c>
      <c r="I1338">
        <v>189.57</v>
      </c>
      <c r="J1338">
        <v>-0.01</v>
      </c>
    </row>
    <row r="1339" spans="1:10" x14ac:dyDescent="0.3">
      <c r="A1339" t="str">
        <f>HYPERLINK("https://us2.cloudbeds.com/connect/10074733072513#/reservations/30648298938550?display=YQ4C2FS36&amp;reservation_id=30648298938550", "YQ4C2FS36")</f>
        <v>YQ4C2FS36</v>
      </c>
      <c r="B1339" t="s">
        <v>10</v>
      </c>
      <c r="C1339" t="s">
        <v>14</v>
      </c>
      <c r="D1339" t="str">
        <f>HYPERLINK("https://us2.cloudbeds.com/connect/10074733072513#/reservations/30648298938550?display=Benjamin%20Peek&amp;reservation_id=30648298938550&amp;guest_id=30648298938547", "Benjamin Peek")</f>
        <v>Benjamin Peek</v>
      </c>
      <c r="E1339" t="s">
        <v>197</v>
      </c>
      <c r="F1339" t="s">
        <v>184</v>
      </c>
      <c r="G1339">
        <v>76.16</v>
      </c>
      <c r="H1339">
        <v>82.78</v>
      </c>
      <c r="I1339">
        <v>82.79</v>
      </c>
      <c r="J1339">
        <v>-0.01</v>
      </c>
    </row>
    <row r="1340" spans="1:10" x14ac:dyDescent="0.3">
      <c r="A1340" t="str">
        <f>HYPERLINK("https://us2.cloudbeds.com/connect/10074733072513#/reservations/30646432952448?display=YQ2UD0UHK&amp;reservation_id=30646432952448", "YQ2UD0UHK")</f>
        <v>YQ2UD0UHK</v>
      </c>
      <c r="B1340" t="s">
        <v>10</v>
      </c>
      <c r="C1340" t="s">
        <v>11</v>
      </c>
      <c r="D1340" t="str">
        <f>HYPERLINK("https://us2.cloudbeds.com/connect/10074733072513#/reservations/30646432952448?display=Rachel%20Wehmeier&amp;reservation_id=30646432952448&amp;guest_id=30646432948401", "Rachel Wehmeier")</f>
        <v>Rachel Wehmeier</v>
      </c>
      <c r="E1340" t="s">
        <v>198</v>
      </c>
      <c r="F1340" t="s">
        <v>144</v>
      </c>
      <c r="G1340">
        <v>87.2</v>
      </c>
      <c r="H1340">
        <v>94.78</v>
      </c>
      <c r="I1340">
        <v>94.79</v>
      </c>
      <c r="J1340">
        <v>-0.01</v>
      </c>
    </row>
    <row r="1341" spans="1:10" x14ac:dyDescent="0.3">
      <c r="A1341" t="str">
        <f>HYPERLINK("https://us2.cloudbeds.com/connect/10074733072513#/reservations/30646392754401?display=YQ2TC4FE5&amp;reservation_id=30646392754401", "YQ2TC4FE5")</f>
        <v>YQ2TC4FE5</v>
      </c>
      <c r="B1341" t="s">
        <v>10</v>
      </c>
      <c r="C1341" t="s">
        <v>20</v>
      </c>
      <c r="D1341" t="str">
        <f>HYPERLINK("https://us2.cloudbeds.com/connect/10074733072513#/reservations/30646392754401?display=Jenny%20Hoefer&amp;reservation_id=30646392754401&amp;guest_id=30646388138127", "Jenny Hoefer")</f>
        <v>Jenny Hoefer</v>
      </c>
      <c r="E1341" t="s">
        <v>199</v>
      </c>
      <c r="F1341" t="s">
        <v>22</v>
      </c>
      <c r="G1341">
        <v>134.1</v>
      </c>
      <c r="H1341">
        <v>145.76</v>
      </c>
      <c r="I1341">
        <v>145.77000000000001</v>
      </c>
      <c r="J1341">
        <v>-0.01</v>
      </c>
    </row>
    <row r="1342" spans="1:10" x14ac:dyDescent="0.3">
      <c r="A1342" t="str">
        <f>HYPERLINK("https://us2.cloudbeds.com/connect/10074733072513#/reservations/30646436495580?display=YQ2UG0KQE&amp;reservation_id=30646436495580", "YQ2UG0KQE")</f>
        <v>YQ2UG0KQE</v>
      </c>
      <c r="B1342" t="s">
        <v>10</v>
      </c>
      <c r="C1342" t="s">
        <v>11</v>
      </c>
      <c r="D1342" t="str">
        <f>HYPERLINK("https://us2.cloudbeds.com/connect/10074733072513#/reservations/30646436495580?display=Melvin%20Wehmeier&amp;reservation_id=30646436495580&amp;guest_id=30646436495578", "Melvin Wehmeier")</f>
        <v>Melvin Wehmeier</v>
      </c>
      <c r="E1342" t="s">
        <v>198</v>
      </c>
      <c r="F1342" t="s">
        <v>144</v>
      </c>
      <c r="G1342">
        <v>87.2</v>
      </c>
      <c r="H1342">
        <v>94.78</v>
      </c>
      <c r="I1342">
        <v>94.79</v>
      </c>
      <c r="J1342">
        <v>-0.01</v>
      </c>
    </row>
    <row r="1343" spans="1:10" x14ac:dyDescent="0.3">
      <c r="A1343" t="str">
        <f>HYPERLINK("https://us2.cloudbeds.com/connect/10074733072513#/reservations/30646442176755?display=YQ2UKQNM8&amp;reservation_id=30646442176755", "YQ2UKQNM8")</f>
        <v>YQ2UKQNM8</v>
      </c>
      <c r="B1343" t="s">
        <v>10</v>
      </c>
      <c r="C1343" t="s">
        <v>11</v>
      </c>
      <c r="D1343" t="str">
        <f>HYPERLINK("https://us2.cloudbeds.com/connect/10074733072513#/reservations/30646442176755?display=Mary%20Ellen%20Esser&amp;reservation_id=30646442176755&amp;guest_id=30646442176749", "Mary Ellen Esser")</f>
        <v>Mary Ellen Esser</v>
      </c>
      <c r="E1343" t="s">
        <v>200</v>
      </c>
      <c r="F1343" t="s">
        <v>144</v>
      </c>
      <c r="G1343">
        <v>87.2</v>
      </c>
      <c r="H1343">
        <v>94.78</v>
      </c>
      <c r="I1343">
        <v>94.79</v>
      </c>
      <c r="J1343">
        <v>-0.01</v>
      </c>
    </row>
    <row r="1344" spans="1:10" x14ac:dyDescent="0.3">
      <c r="A1344" t="str">
        <f>HYPERLINK("https://us2.cloudbeds.com/connect/10074733072513#/reservations/30647234105499?display=YQ3HSJ9VW&amp;reservation_id=30647234105499", "YQ3HSJ9VW")</f>
        <v>YQ3HSJ9VW</v>
      </c>
      <c r="B1344" t="s">
        <v>10</v>
      </c>
      <c r="C1344" t="s">
        <v>14</v>
      </c>
      <c r="D1344" t="str">
        <f>HYPERLINK("https://us2.cloudbeds.com/connect/10074733072513#/reservations/30647234105499?display=George%20Wellinghoff&amp;reservation_id=30647234105499&amp;guest_id=30647234105497", "George Wellinghoff")</f>
        <v>George Wellinghoff</v>
      </c>
      <c r="E1344" t="s">
        <v>201</v>
      </c>
      <c r="F1344" t="s">
        <v>127</v>
      </c>
      <c r="G1344">
        <v>87.2</v>
      </c>
      <c r="H1344">
        <v>94.78</v>
      </c>
      <c r="I1344">
        <v>94.79</v>
      </c>
      <c r="J1344">
        <v>-0.01</v>
      </c>
    </row>
    <row r="1345" spans="1:10" x14ac:dyDescent="0.3">
      <c r="A1345" t="str">
        <f>HYPERLINK("https://us2.cloudbeds.com/connect/10074733072513#/reservations/30646547673287?display=YQ30APABS&amp;reservation_id=30646547673287", "YQ30APABS")</f>
        <v>YQ30APABS</v>
      </c>
      <c r="B1345" t="s">
        <v>10</v>
      </c>
      <c r="C1345" t="s">
        <v>20</v>
      </c>
      <c r="D1345" t="str">
        <f>HYPERLINK("https://us2.cloudbeds.com/connect/10074733072513#/reservations/30646547673287?display=Stefan%20Rankovic&amp;reservation_id=30646547673287&amp;guest_id=30646547673285", "Stefan Rankovic")</f>
        <v>Stefan Rankovic</v>
      </c>
      <c r="E1345" t="s">
        <v>202</v>
      </c>
      <c r="F1345" t="s">
        <v>162</v>
      </c>
      <c r="G1345">
        <v>103.2</v>
      </c>
      <c r="H1345">
        <v>112.17</v>
      </c>
      <c r="I1345">
        <v>112.18</v>
      </c>
      <c r="J1345">
        <v>-0.01</v>
      </c>
    </row>
    <row r="1346" spans="1:10" x14ac:dyDescent="0.3">
      <c r="A1346" t="str">
        <f>HYPERLINK("https://us2.cloudbeds.com/connect/10074733072513#/reservations/30646809055425?display=YQ3705YMN&amp;reservation_id=30646809055425", "YQ3705YMN")</f>
        <v>YQ3705YMN</v>
      </c>
      <c r="B1346" t="s">
        <v>10</v>
      </c>
      <c r="C1346" t="s">
        <v>14</v>
      </c>
      <c r="D1346" t="str">
        <f>HYPERLINK("https://us2.cloudbeds.com/connect/10074733072513#/reservations/30646809055425?display=Seema%20Shah&amp;reservation_id=30646809055425&amp;guest_id=30646809051389", "Seema Shah")</f>
        <v>Seema Shah</v>
      </c>
      <c r="E1346" t="s">
        <v>203</v>
      </c>
      <c r="F1346" t="s">
        <v>162</v>
      </c>
      <c r="G1346">
        <v>87.2</v>
      </c>
      <c r="H1346">
        <v>94.78</v>
      </c>
      <c r="I1346">
        <v>94.79</v>
      </c>
      <c r="J1346">
        <v>-0.01</v>
      </c>
    </row>
    <row r="1347" spans="1:10" x14ac:dyDescent="0.3">
      <c r="A1347" t="str">
        <f>HYPERLINK("https://us2.cloudbeds.com/connect/10074733072513#/reservations/30646919819486?display=YQ39RXRDD&amp;reservation_id=30646919819486", "YQ39RXRDD")</f>
        <v>YQ39RXRDD</v>
      </c>
      <c r="B1347" t="s">
        <v>10</v>
      </c>
      <c r="C1347" t="s">
        <v>20</v>
      </c>
      <c r="D1347" t="str">
        <f>HYPERLINK("https://us2.cloudbeds.com/connect/10074733072513#/reservations/30646919819486?display=Nancy%20Shank&amp;reservation_id=30646919819486&amp;guest_id=30646919815400", "Nancy Shank")</f>
        <v>Nancy Shank</v>
      </c>
      <c r="E1347" t="s">
        <v>204</v>
      </c>
      <c r="F1347" t="s">
        <v>205</v>
      </c>
      <c r="G1347">
        <v>103.2</v>
      </c>
      <c r="H1347">
        <v>112.17</v>
      </c>
      <c r="I1347">
        <v>112.18</v>
      </c>
      <c r="J1347">
        <v>-0.01</v>
      </c>
    </row>
    <row r="1348" spans="1:10" x14ac:dyDescent="0.3">
      <c r="A1348" t="str">
        <f>HYPERLINK("https://us2.cloudbeds.com/connect/10074733072513#/reservations/30646249873560?display=YQ2PNYJNN&amp;reservation_id=30646249873560", "YQ2PNYJNN")</f>
        <v>YQ2PNYJNN</v>
      </c>
      <c r="B1348" t="s">
        <v>10</v>
      </c>
      <c r="C1348" t="s">
        <v>14</v>
      </c>
      <c r="D1348" t="str">
        <f>HYPERLINK("https://us2.cloudbeds.com/connect/10074733072513#/reservations/30646249873560?display=Kara%20Stanton&amp;reservation_id=30646249873560&amp;guest_id=30646249873556", "Kara Stanton")</f>
        <v>Kara Stanton</v>
      </c>
      <c r="E1348" t="s">
        <v>206</v>
      </c>
      <c r="F1348" t="s">
        <v>104</v>
      </c>
      <c r="G1348">
        <v>76.16</v>
      </c>
      <c r="H1348">
        <v>82.78</v>
      </c>
      <c r="I1348">
        <v>82.79</v>
      </c>
      <c r="J1348">
        <v>-0.01</v>
      </c>
    </row>
    <row r="1349" spans="1:10" x14ac:dyDescent="0.3">
      <c r="A1349" t="str">
        <f>HYPERLINK("https://us2.cloudbeds.com/connect/10074733072513#/reservations/30648398205145?display=YQ4EK62WR&amp;reservation_id=30648398205145", "YQ4EK62WR")</f>
        <v>YQ4EK62WR</v>
      </c>
      <c r="B1349" t="s">
        <v>10</v>
      </c>
      <c r="C1349" t="s">
        <v>14</v>
      </c>
      <c r="D1349" t="str">
        <f>HYPERLINK("https://us2.cloudbeds.com/connect/10074733072513#/reservations/30648398205145?display=Rixie%20Burroughs&amp;reservation_id=30648398205145&amp;guest_id=30648398201061", "Rixie Burroughs")</f>
        <v>Rixie Burroughs</v>
      </c>
      <c r="E1349" t="s">
        <v>207</v>
      </c>
      <c r="F1349" t="s">
        <v>69</v>
      </c>
      <c r="G1349">
        <v>76.16</v>
      </c>
      <c r="H1349">
        <v>82.78</v>
      </c>
      <c r="I1349">
        <v>82.79</v>
      </c>
      <c r="J1349">
        <v>-0.01</v>
      </c>
    </row>
    <row r="1350" spans="1:10" x14ac:dyDescent="0.3">
      <c r="A1350" t="str">
        <f>HYPERLINK("https://us2.cloudbeds.com/connect/10074733072513#/reservations/30647684858072?display=YQ3TCM55S&amp;reservation_id=30647684858072", "YQ3TCM55S")</f>
        <v>YQ3TCM55S</v>
      </c>
      <c r="B1350" t="s">
        <v>10</v>
      </c>
      <c r="C1350" t="s">
        <v>14</v>
      </c>
      <c r="D1350" t="str">
        <f>HYPERLINK("https://us2.cloudbeds.com/connect/10074733072513#/reservations/30647684858072?display=James%20Gurganus&amp;reservation_id=30647684858072&amp;guest_id=30647684858067", "James Gurganus")</f>
        <v>James Gurganus</v>
      </c>
      <c r="E1350" t="s">
        <v>208</v>
      </c>
      <c r="F1350" t="s">
        <v>196</v>
      </c>
      <c r="G1350">
        <v>87.2</v>
      </c>
      <c r="H1350">
        <v>94.78</v>
      </c>
      <c r="I1350">
        <v>94.79</v>
      </c>
      <c r="J1350">
        <v>-0.01</v>
      </c>
    </row>
    <row r="1351" spans="1:10" x14ac:dyDescent="0.3">
      <c r="A1351" t="str">
        <f>HYPERLINK("https://us2.cloudbeds.com/connect/10074733072513#/reservations/30647690150142?display=YQ3TH4DZK&amp;reservation_id=30647690150142", "YQ3TH4DZK")</f>
        <v>YQ3TH4DZK</v>
      </c>
      <c r="B1351" t="s">
        <v>10</v>
      </c>
      <c r="C1351" t="s">
        <v>42</v>
      </c>
      <c r="D1351" t="str">
        <f>HYPERLINK("https://us2.cloudbeds.com/connect/10074733072513#/reservations/30647690150142?display=Jim%20Naasz&amp;reservation_id=30647690150142&amp;guest_id=30647690150135", "Jim Naasz")</f>
        <v>Jim Naasz</v>
      </c>
      <c r="E1351" t="s">
        <v>209</v>
      </c>
      <c r="F1351" t="s">
        <v>27</v>
      </c>
      <c r="G1351">
        <v>250.2</v>
      </c>
      <c r="H1351">
        <v>271.95999999999998</v>
      </c>
      <c r="I1351">
        <v>271.97000000000003</v>
      </c>
      <c r="J1351">
        <v>-0.01</v>
      </c>
    </row>
    <row r="1352" spans="1:10" x14ac:dyDescent="0.3">
      <c r="A1352" t="str">
        <f>HYPERLINK("https://us2.cloudbeds.com/connect/10074733072513#/reservations/30647134851209?display=YQ3FATDC7&amp;reservation_id=30647134851209", "YQ3FATDC7")</f>
        <v>YQ3FATDC7</v>
      </c>
      <c r="B1352" t="s">
        <v>10</v>
      </c>
      <c r="C1352" t="s">
        <v>14</v>
      </c>
      <c r="D1352" t="str">
        <f>HYPERLINK("https://us2.cloudbeds.com/connect/10074733072513#/reservations/30647134851209?display=David%20Hathaway&amp;reservation_id=30647134851209&amp;guest_id=30647134847125", "David Hathaway")</f>
        <v>David Hathaway</v>
      </c>
      <c r="E1352" t="s">
        <v>210</v>
      </c>
      <c r="F1352" t="s">
        <v>160</v>
      </c>
      <c r="G1352">
        <v>76.16</v>
      </c>
      <c r="H1352">
        <v>82.78</v>
      </c>
      <c r="I1352">
        <v>82.79</v>
      </c>
      <c r="J1352">
        <v>-0.01</v>
      </c>
    </row>
    <row r="1353" spans="1:10" x14ac:dyDescent="0.3">
      <c r="A1353" t="str">
        <f>HYPERLINK("https://us2.cloudbeds.com/connect/10074733072513#/reservations/30647131287713?display=YQ3F7T83G&amp;reservation_id=30647131287713", "YQ3F7T83G")</f>
        <v>YQ3F7T83G</v>
      </c>
      <c r="B1353" t="s">
        <v>10</v>
      </c>
      <c r="C1353" t="s">
        <v>14</v>
      </c>
      <c r="D1353" t="str">
        <f>HYPERLINK("https://us2.cloudbeds.com/connect/10074733072513#/reservations/30647131287713?display=Scott%20Sand&amp;reservation_id=30647131287713&amp;guest_id=30647131287698", "Scott Sand")</f>
        <v>Scott Sand</v>
      </c>
      <c r="E1353" t="s">
        <v>211</v>
      </c>
      <c r="F1353" t="s">
        <v>160</v>
      </c>
      <c r="G1353">
        <v>76.16</v>
      </c>
      <c r="H1353">
        <v>82.78</v>
      </c>
      <c r="I1353">
        <v>82.79</v>
      </c>
      <c r="J1353">
        <v>-0.01</v>
      </c>
    </row>
    <row r="1354" spans="1:10" x14ac:dyDescent="0.3">
      <c r="A1354" t="str">
        <f>HYPERLINK("https://us2.cloudbeds.com/connect/10074733072513#/reservations/30647470780617?display=YQ3NU54G8&amp;reservation_id=30647470780617", "YQ3NU54G8")</f>
        <v>YQ3NU54G8</v>
      </c>
      <c r="B1354" t="s">
        <v>10</v>
      </c>
      <c r="C1354" t="s">
        <v>20</v>
      </c>
      <c r="D1354" t="str">
        <f>HYPERLINK("https://us2.cloudbeds.com/connect/10074733072513#/reservations/30647470780617?display=John%20Rich&amp;reservation_id=30647470780617&amp;guest_id=30647470780613", "John Rich")</f>
        <v>John Rich</v>
      </c>
      <c r="E1354" t="s">
        <v>212</v>
      </c>
      <c r="F1354" t="s">
        <v>213</v>
      </c>
      <c r="G1354">
        <v>87.2</v>
      </c>
      <c r="H1354">
        <v>94.78</v>
      </c>
      <c r="I1354">
        <v>94.79</v>
      </c>
      <c r="J1354">
        <v>-0.01</v>
      </c>
    </row>
    <row r="1355" spans="1:10" x14ac:dyDescent="0.3">
      <c r="A1355" t="str">
        <f>HYPERLINK("https://us2.cloudbeds.com/connect/10074733072513#/reservations/30647760199899?display=YQ3VA6YJH&amp;reservation_id=30647760199899", "YQ3VA6YJH")</f>
        <v>YQ3VA6YJH</v>
      </c>
      <c r="B1355" t="s">
        <v>10</v>
      </c>
      <c r="C1355" t="s">
        <v>14</v>
      </c>
      <c r="D1355" t="str">
        <f>HYPERLINK("https://us2.cloudbeds.com/connect/10074733072513#/reservations/30647760199899?display=Jessica%20Cunio&amp;reservation_id=30647760199899&amp;guest_id=30647760199891", "Jessica Cunio")</f>
        <v>Jessica Cunio</v>
      </c>
      <c r="E1355" t="s">
        <v>214</v>
      </c>
      <c r="F1355" t="s">
        <v>96</v>
      </c>
      <c r="G1355">
        <v>87.2</v>
      </c>
      <c r="H1355">
        <v>94.78</v>
      </c>
      <c r="I1355">
        <v>94.79</v>
      </c>
      <c r="J1355">
        <v>-0.01</v>
      </c>
    </row>
    <row r="1356" spans="1:10" x14ac:dyDescent="0.3">
      <c r="A1356" t="str">
        <f>HYPERLINK("https://us2.cloudbeds.com/connect/10074733072513#/reservations/30647596863708?display=YQ3R4FJ8W&amp;reservation_id=30647596863708", "YQ3R4FJ8W")</f>
        <v>YQ3R4FJ8W</v>
      </c>
      <c r="B1356" t="s">
        <v>10</v>
      </c>
      <c r="C1356" t="s">
        <v>14</v>
      </c>
      <c r="D1356" t="str">
        <f>HYPERLINK("https://us2.cloudbeds.com/connect/10074733072513#/reservations/30647596863708?display=Jorge%20Constanza&amp;reservation_id=30647596863708&amp;guest_id=30647596863702", "Jorge Constanza")</f>
        <v>Jorge Constanza</v>
      </c>
      <c r="E1356" t="s">
        <v>215</v>
      </c>
      <c r="F1356" t="s">
        <v>155</v>
      </c>
      <c r="G1356">
        <v>361.93</v>
      </c>
      <c r="H1356">
        <v>393.41</v>
      </c>
      <c r="I1356">
        <v>393.42</v>
      </c>
      <c r="J1356">
        <v>-0.01</v>
      </c>
    </row>
    <row r="1357" spans="1:10" x14ac:dyDescent="0.3">
      <c r="A1357" t="str">
        <f>HYPERLINK("https://us2.cloudbeds.com/connect/10074733072513#/reservations/30647145160958?display=YQ3FJJ9HS&amp;reservation_id=30647145160958", "YQ3FJJ9HS")</f>
        <v>YQ3FJJ9HS</v>
      </c>
      <c r="B1357" t="s">
        <v>10</v>
      </c>
      <c r="C1357" t="s">
        <v>14</v>
      </c>
      <c r="D1357" t="str">
        <f>HYPERLINK("https://us2.cloudbeds.com/connect/10074733072513#/reservations/30647145160958?display=Adrianne%20Ostermeier&amp;reservation_id=30647145160958&amp;guest_id=30647145160949", "Adrianne Ostermeier")</f>
        <v>Adrianne Ostermeier</v>
      </c>
      <c r="E1357" t="s">
        <v>219</v>
      </c>
      <c r="F1357" t="s">
        <v>144</v>
      </c>
      <c r="G1357">
        <v>76.16</v>
      </c>
      <c r="H1357">
        <v>82.78</v>
      </c>
      <c r="I1357">
        <v>82.79</v>
      </c>
      <c r="J1357">
        <v>-0.01</v>
      </c>
    </row>
    <row r="1358" spans="1:10" x14ac:dyDescent="0.3">
      <c r="A1358" t="str">
        <f>HYPERLINK("https://us2.cloudbeds.com/connect/10074733072513#/reservations/30647259025584?display=YQ3XGJZE2&amp;reservation_id=30647259025584", "YQ3XGJZE2")</f>
        <v>YQ3XGJZE2</v>
      </c>
      <c r="B1358" t="s">
        <v>10</v>
      </c>
      <c r="C1358" t="s">
        <v>11</v>
      </c>
      <c r="D1358" t="str">
        <f>HYPERLINK("https://us2.cloudbeds.com/connect/10074733072513#/reservations/30647259025584?display=Nicole%20Burch&amp;reservation_id=30647259025584&amp;guest_id=30647259025567", "Nicole Burch")</f>
        <v>Nicole Burch</v>
      </c>
      <c r="E1358" t="s">
        <v>220</v>
      </c>
      <c r="F1358" t="s">
        <v>106</v>
      </c>
      <c r="G1358">
        <v>262.39999999999998</v>
      </c>
      <c r="H1358">
        <v>285.22000000000003</v>
      </c>
      <c r="I1358">
        <v>285.23</v>
      </c>
      <c r="J1358">
        <v>-0.01</v>
      </c>
    </row>
    <row r="1359" spans="1:10" x14ac:dyDescent="0.3">
      <c r="A1359" t="str">
        <f>HYPERLINK("https://us2.cloudbeds.com/connect/10074733072513#/reservations/30647259844748?display=YQ3XH9HY7&amp;reservation_id=30647259844748", "YQ3XH9HY7")</f>
        <v>YQ3XH9HY7</v>
      </c>
      <c r="B1359" t="s">
        <v>10</v>
      </c>
      <c r="C1359" t="s">
        <v>11</v>
      </c>
      <c r="D1359" t="str">
        <f>HYPERLINK("https://us2.cloudbeds.com/connect/10074733072513#/reservations/30647259844748?display=Kerstin%20Laporte&amp;reservation_id=30647259844748&amp;guest_id=30647259844743", "Kerstin Laporte")</f>
        <v>Kerstin Laporte</v>
      </c>
      <c r="E1359" t="s">
        <v>221</v>
      </c>
      <c r="F1359" t="s">
        <v>127</v>
      </c>
      <c r="G1359">
        <v>76.16</v>
      </c>
      <c r="H1359">
        <v>82.78</v>
      </c>
      <c r="I1359">
        <v>82.79</v>
      </c>
      <c r="J1359">
        <v>-0.01</v>
      </c>
    </row>
    <row r="1360" spans="1:10" x14ac:dyDescent="0.3">
      <c r="A1360" t="str">
        <f>HYPERLINK("https://us2.cloudbeds.com/connect/10074733072513#/reservations/30646534861040?display=YQ2WWVQ6V&amp;reservation_id=30646534861040", "YQ2WWVQ6V")</f>
        <v>YQ2WWVQ6V</v>
      </c>
      <c r="B1360" t="s">
        <v>10</v>
      </c>
      <c r="C1360" t="s">
        <v>11</v>
      </c>
      <c r="D1360" t="str">
        <f>HYPERLINK("https://us2.cloudbeds.com/connect/10074733072513#/reservations/30646534861040?display=Lisa%20Mawdsley&amp;reservation_id=30646534861040&amp;guest_id=30646534861038", "Lisa Mawdsley")</f>
        <v>Lisa Mawdsley</v>
      </c>
      <c r="E1360" t="s">
        <v>222</v>
      </c>
      <c r="F1360" t="s">
        <v>132</v>
      </c>
      <c r="G1360">
        <v>87.2</v>
      </c>
      <c r="H1360">
        <v>94.78</v>
      </c>
      <c r="I1360">
        <v>94.79</v>
      </c>
      <c r="J1360">
        <v>-0.01</v>
      </c>
    </row>
    <row r="1361" spans="1:10" x14ac:dyDescent="0.3">
      <c r="A1361" t="str">
        <f>HYPERLINK("https://us2.cloudbeds.com/connect/10074733072513#/reservations/30646672060576?display=YQ33GYXUY&amp;reservation_id=30646672060576", "YQ33GYXUY")</f>
        <v>YQ33GYXUY</v>
      </c>
      <c r="B1361" t="s">
        <v>10</v>
      </c>
      <c r="C1361" t="s">
        <v>42</v>
      </c>
      <c r="D1361" t="str">
        <f>HYPERLINK("https://us2.cloudbeds.com/connect/10074733072513#/reservations/30646672060576?display=Bonnie%20Burkey&amp;reservation_id=30646672060576&amp;guest_id=30646672060562", "Bonnie Burkey")</f>
        <v>Bonnie Burkey</v>
      </c>
      <c r="E1361" t="s">
        <v>223</v>
      </c>
      <c r="F1361" t="s">
        <v>108</v>
      </c>
      <c r="G1361">
        <v>304.2</v>
      </c>
      <c r="H1361">
        <v>330.66</v>
      </c>
      <c r="I1361">
        <v>330.67</v>
      </c>
      <c r="J1361">
        <v>-0.01</v>
      </c>
    </row>
    <row r="1362" spans="1:10" x14ac:dyDescent="0.3">
      <c r="A1362" t="str">
        <f>HYPERLINK("https://us2.cloudbeds.com/connect/10074733072513#/reservations/30647098953868?display=YQ3EDKGQ0&amp;reservation_id=30647098953868", "YQ3EDKGQ0")</f>
        <v>YQ3EDKGQ0</v>
      </c>
      <c r="B1362" t="s">
        <v>10</v>
      </c>
      <c r="C1362" t="s">
        <v>11</v>
      </c>
      <c r="D1362" t="str">
        <f>HYPERLINK("https://us2.cloudbeds.com/connect/10074733072513#/reservations/30647098953868?display=Harry%20J%20Truman&amp;reservation_id=30647098953868&amp;guest_id=30647098953863", "Harry J Truman")</f>
        <v>Harry J Truman</v>
      </c>
      <c r="E1362" t="s">
        <v>224</v>
      </c>
      <c r="F1362" t="s">
        <v>225</v>
      </c>
      <c r="G1362">
        <v>76.16</v>
      </c>
      <c r="H1362">
        <v>82.78</v>
      </c>
      <c r="I1362">
        <v>82.79</v>
      </c>
      <c r="J1362">
        <v>-0.01</v>
      </c>
    </row>
    <row r="1363" spans="1:10" x14ac:dyDescent="0.3">
      <c r="A1363" t="str">
        <f>HYPERLINK("https://us2.cloudbeds.com/connect/10074733072513#/reservations/30646654664845?display=YQ331WGT9&amp;reservation_id=30646654664845", "YQ331WGT9")</f>
        <v>YQ331WGT9</v>
      </c>
      <c r="B1363" t="s">
        <v>10</v>
      </c>
      <c r="C1363" t="s">
        <v>11</v>
      </c>
      <c r="D1363" t="str">
        <f>HYPERLINK("https://us2.cloudbeds.com/connect/10074733072513#/reservations/30646654664845?display=Mark%20Uptegrove&amp;reservation_id=30646654664845&amp;guest_id=30646654660763", "Mark Uptegrove")</f>
        <v>Mark Uptegrove</v>
      </c>
      <c r="E1363" t="s">
        <v>226</v>
      </c>
      <c r="F1363" t="s">
        <v>108</v>
      </c>
      <c r="G1363">
        <v>127.2</v>
      </c>
      <c r="H1363">
        <v>138.26</v>
      </c>
      <c r="I1363">
        <v>138.27000000000001</v>
      </c>
      <c r="J1363">
        <v>-0.01</v>
      </c>
    </row>
    <row r="1364" spans="1:10" x14ac:dyDescent="0.3">
      <c r="A1364" t="str">
        <f>HYPERLINK("https://us2.cloudbeds.com/connect/10074733072513#/reservations/30646554538203?display=YQ30GXB7K&amp;reservation_id=30646554538203", "YQ30GXB7K")</f>
        <v>YQ30GXB7K</v>
      </c>
      <c r="B1364" t="s">
        <v>10</v>
      </c>
      <c r="C1364" t="s">
        <v>14</v>
      </c>
      <c r="D1364" t="str">
        <f>HYPERLINK("https://us2.cloudbeds.com/connect/10074733072513#/reservations/30646554538203?display=Joseph%20Voith&amp;reservation_id=30646554538203&amp;guest_id=30646554538201", "Joseph Voith")</f>
        <v>Joseph Voith</v>
      </c>
      <c r="E1364" t="s">
        <v>227</v>
      </c>
      <c r="F1364" t="s">
        <v>132</v>
      </c>
      <c r="G1364">
        <v>76.16</v>
      </c>
      <c r="H1364">
        <v>82.78</v>
      </c>
      <c r="I1364">
        <v>82.79</v>
      </c>
      <c r="J1364">
        <v>-0.01</v>
      </c>
    </row>
    <row r="1365" spans="1:10" x14ac:dyDescent="0.3">
      <c r="A1365" t="str">
        <f>HYPERLINK("https://us2.cloudbeds.com/connect/10074733072513#/reservations/30646550782082?display=YQ30DCR2P&amp;reservation_id=30646550782082", "YQ30DCR2P")</f>
        <v>YQ30DCR2P</v>
      </c>
      <c r="B1365" t="s">
        <v>10</v>
      </c>
      <c r="C1365" t="s">
        <v>14</v>
      </c>
      <c r="D1365" t="str">
        <f>HYPERLINK("https://us2.cloudbeds.com/connect/10074733072513#/reservations/30646550782082?display=Maribel%20Voith&amp;reservation_id=30646550782082&amp;guest_id=30646550778046", "Maribel Voith")</f>
        <v>Maribel Voith</v>
      </c>
      <c r="E1365" t="s">
        <v>227</v>
      </c>
      <c r="F1365" t="s">
        <v>132</v>
      </c>
      <c r="G1365">
        <v>76.16</v>
      </c>
      <c r="H1365">
        <v>82.78</v>
      </c>
      <c r="I1365">
        <v>82.79</v>
      </c>
      <c r="J1365">
        <v>-0.01</v>
      </c>
    </row>
    <row r="1366" spans="1:10" x14ac:dyDescent="0.3">
      <c r="A1366" t="str">
        <f>HYPERLINK("https://us2.cloudbeds.com/connect/10074733072513#/reservations/30646526644403?display=YQ2WQ152V&amp;reservation_id=30646526644403", "YQ2WQ152V")</f>
        <v>YQ2WQ152V</v>
      </c>
      <c r="B1366" t="s">
        <v>10</v>
      </c>
      <c r="C1366" t="s">
        <v>20</v>
      </c>
      <c r="D1366" t="str">
        <f>HYPERLINK("https://us2.cloudbeds.com/connect/10074733072513#/reservations/30646526644403?display=Carole%20Brisson&amp;reservation_id=30646526644403&amp;guest_id=30646526644401", "Carole Brisson")</f>
        <v>Carole Brisson</v>
      </c>
      <c r="E1366" t="s">
        <v>228</v>
      </c>
      <c r="F1366" t="s">
        <v>132</v>
      </c>
      <c r="G1366">
        <v>87.2</v>
      </c>
      <c r="H1366">
        <v>94.78</v>
      </c>
      <c r="I1366">
        <v>94.79</v>
      </c>
      <c r="J1366">
        <v>-0.01</v>
      </c>
    </row>
    <row r="1367" spans="1:10" x14ac:dyDescent="0.3">
      <c r="A1367" t="str">
        <f>HYPERLINK("https://us2.cloudbeds.com/connect/10074733072513#/reservations/30648277557390?display=YQ4BHETB8&amp;reservation_id=30648277557390", "YQ4BHETB8")</f>
        <v>YQ4BHETB8</v>
      </c>
      <c r="B1367" t="s">
        <v>10</v>
      </c>
      <c r="C1367" t="s">
        <v>14</v>
      </c>
      <c r="D1367" t="str">
        <f>HYPERLINK("https://us2.cloudbeds.com/connect/10074733072513#/reservations/30648277557390?display=Candice%20Boub&amp;reservation_id=30648277557390&amp;guest_id=30648277557382", "Candice Boub")</f>
        <v>Candice Boub</v>
      </c>
      <c r="E1367" t="s">
        <v>229</v>
      </c>
      <c r="F1367" t="s">
        <v>184</v>
      </c>
      <c r="G1367">
        <v>182.4</v>
      </c>
      <c r="H1367">
        <v>198.26</v>
      </c>
      <c r="I1367">
        <v>198.27</v>
      </c>
      <c r="J1367">
        <v>-0.01</v>
      </c>
    </row>
    <row r="1368" spans="1:10" x14ac:dyDescent="0.3">
      <c r="A1368" t="str">
        <f>HYPERLINK("https://us2.cloudbeds.com/connect/10074733072513#/reservations/30647659069651?display=YQ3SNUXBX&amp;reservation_id=30647659069651", "YQ3SNUXBX")</f>
        <v>YQ3SNUXBX</v>
      </c>
      <c r="B1368" t="s">
        <v>10</v>
      </c>
      <c r="C1368" t="s">
        <v>20</v>
      </c>
      <c r="D1368" t="str">
        <f>HYPERLINK("https://us2.cloudbeds.com/connect/10074733072513#/reservations/30647659069651?display=Debbie%20Steever&amp;reservation_id=30647659069651&amp;guest_id=30647659069646", "Debbie Steever")</f>
        <v>Debbie Steever</v>
      </c>
      <c r="E1368" t="s">
        <v>230</v>
      </c>
      <c r="F1368" t="s">
        <v>96</v>
      </c>
      <c r="G1368">
        <v>366.3</v>
      </c>
      <c r="H1368">
        <v>398.16</v>
      </c>
      <c r="I1368">
        <v>398.17</v>
      </c>
      <c r="J1368">
        <v>-0.01</v>
      </c>
    </row>
    <row r="1369" spans="1:10" x14ac:dyDescent="0.3">
      <c r="A1369" t="str">
        <f>HYPERLINK("https://us2.cloudbeds.com/connect/10074733072513#/reservations/30647621005532?display=YQ3RZRC2D&amp;reservation_id=30647621005532", "YQ3RZRC2D")</f>
        <v>YQ3RZRC2D</v>
      </c>
      <c r="B1369" t="s">
        <v>10</v>
      </c>
      <c r="C1369" t="s">
        <v>42</v>
      </c>
      <c r="D1369" t="str">
        <f>HYPERLINK("https://us2.cloudbeds.com/connect/10074733072513#/reservations/30647621005532?display=Daniel%20Gabbert&amp;reservation_id=30647621005532&amp;guest_id=30647621005523", "Daniel Gabbert")</f>
        <v>Daniel Gabbert</v>
      </c>
      <c r="E1369" t="s">
        <v>231</v>
      </c>
      <c r="F1369" t="s">
        <v>155</v>
      </c>
      <c r="G1369">
        <v>384.3</v>
      </c>
      <c r="H1369">
        <v>417.72</v>
      </c>
      <c r="I1369">
        <v>417.73</v>
      </c>
      <c r="J1369">
        <v>-0.01</v>
      </c>
    </row>
    <row r="1370" spans="1:10" x14ac:dyDescent="0.3">
      <c r="A1370" t="str">
        <f>HYPERLINK("https://us2.cloudbeds.com/connect/10074733072513#/reservations/30647559897282?display=YQ3Q69UW8&amp;reservation_id=30647559897282", "YQ3Q69UW8")</f>
        <v>YQ3Q69UW8</v>
      </c>
      <c r="B1370" t="s">
        <v>10</v>
      </c>
      <c r="C1370" t="s">
        <v>121</v>
      </c>
      <c r="D1370" t="str">
        <f>HYPERLINK("https://us2.cloudbeds.com/connect/10074733072513#/reservations/30647559897282?display=Melisa%20Okolie&amp;reservation_id=30647559897282&amp;guest_id=30647559893228", "Melisa Okolie")</f>
        <v>Melisa Okolie</v>
      </c>
      <c r="E1370" t="s">
        <v>232</v>
      </c>
      <c r="F1370" t="s">
        <v>108</v>
      </c>
      <c r="G1370">
        <v>143.65</v>
      </c>
      <c r="H1370">
        <v>156.13999999999999</v>
      </c>
      <c r="I1370">
        <v>156.15</v>
      </c>
      <c r="J1370">
        <v>-0.01</v>
      </c>
    </row>
    <row r="1371" spans="1:10" x14ac:dyDescent="0.3">
      <c r="A1371" t="str">
        <f>HYPERLINK("https://us2.cloudbeds.com/connect/10074733072513#/reservations/30647999561856?display=YQ44E14YW&amp;reservation_id=30647999561856", "YQ44E14YW")</f>
        <v>YQ44E14YW</v>
      </c>
      <c r="B1371" t="s">
        <v>10</v>
      </c>
      <c r="C1371" t="s">
        <v>11</v>
      </c>
      <c r="D1371" t="str">
        <f>HYPERLINK("https://us2.cloudbeds.com/connect/10074733072513#/reservations/30647999561856?display=Bailey%20Lomas&amp;reservation_id=30647999561856&amp;guest_id=30647715258569", "Bailey Lomas")</f>
        <v>Bailey Lomas</v>
      </c>
      <c r="E1371" t="s">
        <v>233</v>
      </c>
      <c r="F1371" t="s">
        <v>234</v>
      </c>
      <c r="G1371">
        <v>127.2</v>
      </c>
      <c r="H1371">
        <v>138.26</v>
      </c>
      <c r="I1371">
        <v>138.27000000000001</v>
      </c>
      <c r="J1371">
        <v>-0.01</v>
      </c>
    </row>
    <row r="1372" spans="1:10" x14ac:dyDescent="0.3">
      <c r="A1372" t="str">
        <f>HYPERLINK("https://us2.cloudbeds.com/connect/10074733072513#/reservations/30647566123261?display=YQ3QBX649&amp;reservation_id=30647566123261", "YQ3QBX649")</f>
        <v>YQ3QBX649</v>
      </c>
      <c r="B1372" t="s">
        <v>10</v>
      </c>
      <c r="C1372" t="s">
        <v>14</v>
      </c>
      <c r="D1372" t="str">
        <f>HYPERLINK("https://us2.cloudbeds.com/connect/10074733072513#/reservations/30647566123261?display=Barrette%20Lafrance&amp;reservation_id=30647566123261&amp;guest_id=30647566123256", "Barrette Lafrance")</f>
        <v>Barrette Lafrance</v>
      </c>
      <c r="E1372" t="s">
        <v>235</v>
      </c>
      <c r="F1372" t="s">
        <v>155</v>
      </c>
      <c r="G1372">
        <v>76.16</v>
      </c>
      <c r="H1372">
        <v>82.78</v>
      </c>
      <c r="I1372">
        <v>82.79</v>
      </c>
      <c r="J1372">
        <v>-0.01</v>
      </c>
    </row>
    <row r="1373" spans="1:10" x14ac:dyDescent="0.3">
      <c r="A1373" t="str">
        <f>HYPERLINK("https://us2.cloudbeds.com/connect/10074733072513#/reservations/30647715258619?display=YQ3U5A36X&amp;reservation_id=30647715258619", "YQ3U5A36X")</f>
        <v>YQ3U5A36X</v>
      </c>
      <c r="B1373" t="s">
        <v>10</v>
      </c>
      <c r="C1373" t="s">
        <v>11</v>
      </c>
      <c r="D1373" t="str">
        <f>HYPERLINK("https://us2.cloudbeds.com/connect/10074733072513#/reservations/30647715258619?display=Bailey%20Lomas&amp;reservation_id=30647715258619&amp;guest_id=30647715258569", "Bailey Lomas")</f>
        <v>Bailey Lomas</v>
      </c>
      <c r="E1373" t="s">
        <v>233</v>
      </c>
      <c r="F1373" t="s">
        <v>196</v>
      </c>
      <c r="G1373">
        <v>103.2</v>
      </c>
      <c r="H1373">
        <v>112.17</v>
      </c>
      <c r="I1373">
        <v>112.18</v>
      </c>
      <c r="J1373">
        <v>-0.01</v>
      </c>
    </row>
    <row r="1374" spans="1:10" x14ac:dyDescent="0.3">
      <c r="A1374" t="str">
        <f>HYPERLINK("https://us2.cloudbeds.com/connect/10074733072513#/reservations/30646562947282?display=YQ30NYB26&amp;reservation_id=30646562947282", "YQ30NYB26")</f>
        <v>YQ30NYB26</v>
      </c>
      <c r="B1374" t="s">
        <v>10</v>
      </c>
      <c r="C1374" t="s">
        <v>14</v>
      </c>
      <c r="D1374" t="str">
        <f>HYPERLINK("https://us2.cloudbeds.com/connect/10074733072513#/reservations/30646562947282?display=Richard%20Boler&amp;reservation_id=30646562947282&amp;guest_id=30646562947267", "Richard Boler")</f>
        <v>Richard Boler</v>
      </c>
      <c r="E1374" t="s">
        <v>236</v>
      </c>
      <c r="F1374" t="s">
        <v>132</v>
      </c>
      <c r="G1374">
        <v>87.2</v>
      </c>
      <c r="H1374">
        <v>94.78</v>
      </c>
      <c r="I1374">
        <v>94.79</v>
      </c>
      <c r="J1374">
        <v>-0.01</v>
      </c>
    </row>
    <row r="1375" spans="1:10" x14ac:dyDescent="0.3">
      <c r="A1375" t="str">
        <f>HYPERLINK("https://us2.cloudbeds.com/connect/10074733072513#/reservations/30647556579522?display=YQ3Q3GKC2&amp;reservation_id=30647556579522", "YQ3Q3GKC2")</f>
        <v>YQ3Q3GKC2</v>
      </c>
      <c r="B1375" t="s">
        <v>10</v>
      </c>
      <c r="C1375" t="s">
        <v>11</v>
      </c>
      <c r="D1375" t="str">
        <f>HYPERLINK("https://us2.cloudbeds.com/connect/10074733072513#/reservations/30647556579522?display=Mike%20Laskowski&amp;reservation_id=30647556579522&amp;guest_id=30647552946329", "Mike Laskowski")</f>
        <v>Mike Laskowski</v>
      </c>
      <c r="E1375" t="s">
        <v>237</v>
      </c>
      <c r="F1375" t="s">
        <v>238</v>
      </c>
      <c r="G1375">
        <v>76.16</v>
      </c>
      <c r="H1375">
        <v>82.78</v>
      </c>
      <c r="I1375">
        <v>82.79</v>
      </c>
      <c r="J1375">
        <v>-0.01</v>
      </c>
    </row>
    <row r="1376" spans="1:10" x14ac:dyDescent="0.3">
      <c r="A1376" t="str">
        <f>HYPERLINK("https://us2.cloudbeds.com/connect/10074733072513#/reservations/30647990706389?display=YQ446XRKM&amp;reservation_id=30647990706389", "YQ446XRKM")</f>
        <v>YQ446XRKM</v>
      </c>
      <c r="B1376" t="s">
        <v>10</v>
      </c>
      <c r="C1376" t="s">
        <v>11</v>
      </c>
      <c r="D1376" t="str">
        <f>HYPERLINK("https://us2.cloudbeds.com/connect/10074733072513#/reservations/30647990706389?display=Brandon%20Casteel&amp;reservation_id=30647990706389&amp;guest_id=30647981994180", "Brandon Casteel")</f>
        <v>Brandon Casteel</v>
      </c>
      <c r="E1376" t="s">
        <v>239</v>
      </c>
      <c r="F1376" t="s">
        <v>96</v>
      </c>
      <c r="G1376">
        <v>76.16</v>
      </c>
      <c r="H1376">
        <v>82.78</v>
      </c>
      <c r="I1376">
        <v>82.79</v>
      </c>
      <c r="J1376">
        <v>-0.01</v>
      </c>
    </row>
    <row r="1377" spans="1:10" x14ac:dyDescent="0.3">
      <c r="A1377" t="str">
        <f>HYPERLINK("https://us2.cloudbeds.com/connect/10074733072513#/reservations/30647981990088?display=YQ43W79MB&amp;reservation_id=30647981990088", "YQ43W79MB")</f>
        <v>YQ43W79MB</v>
      </c>
      <c r="B1377" t="s">
        <v>10</v>
      </c>
      <c r="C1377" t="s">
        <v>14</v>
      </c>
      <c r="D1377" t="str">
        <f>HYPERLINK("https://us2.cloudbeds.com/connect/10074733072513#/reservations/30647981990088?display=Jennifer%20Schmidt&amp;reservation_id=30647981990088&amp;guest_id=30647981990082", "Jennifer Schmidt")</f>
        <v>Jennifer Schmidt</v>
      </c>
      <c r="E1377" t="s">
        <v>240</v>
      </c>
      <c r="F1377" t="s">
        <v>96</v>
      </c>
      <c r="G1377">
        <v>103.2</v>
      </c>
      <c r="H1377">
        <v>112.17</v>
      </c>
      <c r="I1377">
        <v>112.18</v>
      </c>
      <c r="J1377">
        <v>-0.01</v>
      </c>
    </row>
    <row r="1378" spans="1:10" x14ac:dyDescent="0.3">
      <c r="A1378" t="str">
        <f>HYPERLINK("https://us2.cloudbeds.com/connect/10074733072513#/reservations/30646570930313?display=YQ30UCFM7&amp;reservation_id=30646570930313", "YQ30UCFM7")</f>
        <v>YQ30UCFM7</v>
      </c>
      <c r="B1378" t="s">
        <v>10</v>
      </c>
      <c r="C1378" t="s">
        <v>20</v>
      </c>
      <c r="D1378" t="str">
        <f>HYPERLINK("https://us2.cloudbeds.com/connect/10074733072513#/reservations/30646570930313?display=Shirleen%20Stewart&amp;reservation_id=30646570930313&amp;guest_id=30646570930308", "Shirleen Stewart")</f>
        <v>Shirleen Stewart</v>
      </c>
      <c r="E1378" t="s">
        <v>241</v>
      </c>
      <c r="F1378" t="s">
        <v>132</v>
      </c>
      <c r="G1378">
        <v>103.2</v>
      </c>
      <c r="H1378">
        <v>112.17</v>
      </c>
      <c r="I1378">
        <v>112.18</v>
      </c>
      <c r="J1378">
        <v>-0.01</v>
      </c>
    </row>
    <row r="1379" spans="1:10" x14ac:dyDescent="0.3">
      <c r="A1379" t="str">
        <f>HYPERLINK("https://us2.cloudbeds.com/connect/10074733072513#/reservations/30647693709472?display=YQ3TK4F63&amp;reservation_id=30647693709472", "YQ3TK4F63")</f>
        <v>YQ3TK4F63</v>
      </c>
      <c r="B1379" t="s">
        <v>10</v>
      </c>
      <c r="C1379" t="s">
        <v>42</v>
      </c>
      <c r="D1379" t="str">
        <f>HYPERLINK("https://us2.cloudbeds.com/connect/10074733072513#/reservations/30647693709472?display=Garrett%20Young&amp;reservation_id=30647693709472&amp;guest_id=30647693709469", "Garrett Young")</f>
        <v>Garrett Young</v>
      </c>
      <c r="E1379" t="s">
        <v>242</v>
      </c>
      <c r="F1379" t="s">
        <v>27</v>
      </c>
      <c r="G1379">
        <v>308</v>
      </c>
      <c r="H1379">
        <v>334.79</v>
      </c>
      <c r="I1379">
        <v>334.8</v>
      </c>
      <c r="J1379">
        <v>-0.01</v>
      </c>
    </row>
    <row r="1380" spans="1:10" x14ac:dyDescent="0.3">
      <c r="A1380" t="str">
        <f>HYPERLINK("https://us2.cloudbeds.com/connect/10074733072513#/reservations/30646539686026?display=YQ30411SY&amp;reservation_id=30646539686026", "YQ30411SY")</f>
        <v>YQ30411SY</v>
      </c>
      <c r="B1380" t="s">
        <v>10</v>
      </c>
      <c r="C1380" t="s">
        <v>121</v>
      </c>
      <c r="D1380" t="str">
        <f>HYPERLINK("https://us2.cloudbeds.com/connect/10074733072513#/reservations/30646539686026?display=David%20Sasseville&amp;reservation_id=30646539686026&amp;guest_id=30646539686024", "David Sasseville")</f>
        <v>David Sasseville</v>
      </c>
      <c r="E1380" t="s">
        <v>244</v>
      </c>
      <c r="F1380" t="s">
        <v>132</v>
      </c>
      <c r="G1380">
        <v>87.2</v>
      </c>
      <c r="H1380">
        <v>94.78</v>
      </c>
      <c r="I1380">
        <v>94.79</v>
      </c>
      <c r="J1380">
        <v>-0.01</v>
      </c>
    </row>
    <row r="1381" spans="1:10" x14ac:dyDescent="0.3">
      <c r="A1381" t="str">
        <f>HYPERLINK("https://us2.cloudbeds.com/connect/10074733072513#/reservations/30647647031436?display=YQ3SDPXW5&amp;reservation_id=30647647031436", "YQ3SDPXW5")</f>
        <v>YQ3SDPXW5</v>
      </c>
      <c r="B1381" t="s">
        <v>10</v>
      </c>
      <c r="C1381" t="s">
        <v>17</v>
      </c>
      <c r="D1381" t="str">
        <f>HYPERLINK("https://us2.cloudbeds.com/connect/10074733072513#/reservations/30647647031436?display=Hilary%20Underwood&amp;reservation_id=30647647031436&amp;guest_id=30647647031432", "Hilary Underwood")</f>
        <v>Hilary Underwood</v>
      </c>
      <c r="E1381" t="s">
        <v>245</v>
      </c>
      <c r="F1381" t="s">
        <v>96</v>
      </c>
      <c r="G1381">
        <v>134.1</v>
      </c>
      <c r="H1381">
        <v>145.76</v>
      </c>
      <c r="I1381">
        <v>145.77000000000001</v>
      </c>
      <c r="J1381">
        <v>-0.01</v>
      </c>
    </row>
    <row r="1382" spans="1:10" x14ac:dyDescent="0.3">
      <c r="A1382" t="str">
        <f>HYPERLINK("https://us2.cloudbeds.com/connect/10074733072513#/reservations/30649313620162?display=YQ5502SFR&amp;reservation_id=30649313620162", "YQ5502SFR")</f>
        <v>YQ5502SFR</v>
      </c>
      <c r="B1382" t="s">
        <v>10</v>
      </c>
      <c r="C1382" t="s">
        <v>17</v>
      </c>
      <c r="D1382" t="str">
        <f>HYPERLINK("https://us2.cloudbeds.com/connect/10074733072513#/reservations/30649313620162?display=Teri%20Gave&amp;reservation_id=30649313620162&amp;guest_id=30649313620160", "Teri Gave")</f>
        <v>Teri Gave</v>
      </c>
      <c r="E1382" t="s">
        <v>246</v>
      </c>
      <c r="F1382" t="s">
        <v>247</v>
      </c>
      <c r="G1382">
        <v>134.1</v>
      </c>
      <c r="H1382">
        <v>145.76</v>
      </c>
      <c r="I1382">
        <v>145.77000000000001</v>
      </c>
      <c r="J1382">
        <v>-0.01</v>
      </c>
    </row>
    <row r="1383" spans="1:10" x14ac:dyDescent="0.3">
      <c r="A1383" t="str">
        <f>HYPERLINK("https://us2.cloudbeds.com/connect/10074733072513#/reservations/30647801409736?display=YQ3WBVCGF&amp;reservation_id=30647801409736", "YQ3WBVCGF")</f>
        <v>YQ3WBVCGF</v>
      </c>
      <c r="B1383" t="s">
        <v>10</v>
      </c>
      <c r="C1383" t="s">
        <v>14</v>
      </c>
      <c r="D1383" t="str">
        <f>HYPERLINK("https://us2.cloudbeds.com/connect/10074733072513#/reservations/30647801409736?display=Timothy%20Pint&amp;reservation_id=30647801409736&amp;guest_id=30647801409731", "Timothy Pint")</f>
        <v>Timothy Pint</v>
      </c>
      <c r="E1383" t="s">
        <v>248</v>
      </c>
      <c r="F1383" t="s">
        <v>170</v>
      </c>
      <c r="G1383">
        <v>103.2</v>
      </c>
      <c r="H1383">
        <v>112.17</v>
      </c>
      <c r="I1383">
        <v>112.18</v>
      </c>
      <c r="J1383">
        <v>-0.01</v>
      </c>
    </row>
    <row r="1384" spans="1:10" x14ac:dyDescent="0.3">
      <c r="A1384" t="str">
        <f>HYPERLINK("https://us2.cloudbeds.com/connect/10074733072513#/reservations/30646904918234?display=YQ39F05WA&amp;reservation_id=30646904918234", "YQ39F05WA")</f>
        <v>YQ39F05WA</v>
      </c>
      <c r="B1384" t="s">
        <v>10</v>
      </c>
      <c r="C1384" t="s">
        <v>14</v>
      </c>
      <c r="D1384" t="str">
        <f>HYPERLINK("https://us2.cloudbeds.com/connect/10074733072513#/reservations/30646904918234?display=Nick%20Ortmeier&amp;reservation_id=30646904918234&amp;guest_id=30646904918225", "Nick Ortmeier")</f>
        <v>Nick Ortmeier</v>
      </c>
      <c r="E1384" t="s">
        <v>249</v>
      </c>
      <c r="F1384" t="s">
        <v>27</v>
      </c>
      <c r="G1384">
        <v>304.2</v>
      </c>
      <c r="H1384">
        <v>330.66</v>
      </c>
      <c r="I1384">
        <v>330.67</v>
      </c>
      <c r="J1384">
        <v>-0.01</v>
      </c>
    </row>
    <row r="1385" spans="1:10" x14ac:dyDescent="0.3">
      <c r="A1385" t="str">
        <f>HYPERLINK("https://us2.cloudbeds.com/connect/10074733072513#/reservations/30646933754052?display=YQ3A6AJ4W&amp;reservation_id=30646933754052", "YQ3A6AJ4W")</f>
        <v>YQ3A6AJ4W</v>
      </c>
      <c r="B1385" t="s">
        <v>10</v>
      </c>
      <c r="C1385" t="s">
        <v>11</v>
      </c>
      <c r="D1385" t="str">
        <f>HYPERLINK("https://us2.cloudbeds.com/connect/10074733072513#/reservations/30646933754052?display=Aaron%20Anderson&amp;reservation_id=30646933754052&amp;guest_id=30646933754050", "Aaron Anderson")</f>
        <v>Aaron Anderson</v>
      </c>
      <c r="E1385" t="s">
        <v>250</v>
      </c>
      <c r="F1385" t="s">
        <v>205</v>
      </c>
      <c r="G1385">
        <v>87.2</v>
      </c>
      <c r="H1385">
        <v>94.78</v>
      </c>
      <c r="I1385">
        <v>94.79</v>
      </c>
      <c r="J1385">
        <v>-0.01</v>
      </c>
    </row>
    <row r="1386" spans="1:10" x14ac:dyDescent="0.3">
      <c r="A1386" t="str">
        <f>HYPERLINK("https://us2.cloudbeds.com/connect/10074733072513#/reservations/30647780454603?display=YQ3VR98VE&amp;reservation_id=30647780454603", "YQ3VR98VE")</f>
        <v>YQ3VR98VE</v>
      </c>
      <c r="B1386" t="s">
        <v>10</v>
      </c>
      <c r="C1386" t="s">
        <v>11</v>
      </c>
      <c r="D1386" t="str">
        <f>HYPERLINK("https://us2.cloudbeds.com/connect/10074733072513#/reservations/30647780454603?display=Deanna%20Handel&amp;reservation_id=30647780454603&amp;guest_id=30647776694522", "Deanna Handel")</f>
        <v>Deanna Handel</v>
      </c>
      <c r="E1386" t="s">
        <v>251</v>
      </c>
      <c r="F1386" t="s">
        <v>27</v>
      </c>
      <c r="G1386">
        <v>127.2</v>
      </c>
      <c r="H1386">
        <v>138.26</v>
      </c>
      <c r="I1386">
        <v>138.27000000000001</v>
      </c>
      <c r="J1386">
        <v>-0.01</v>
      </c>
    </row>
    <row r="1387" spans="1:10" x14ac:dyDescent="0.3">
      <c r="A1387" t="str">
        <f>HYPERLINK("https://us2.cloudbeds.com/connect/10074733072513#/reservations/30647284613363?display=YQ3J55P0A&amp;reservation_id=30647284613363", "YQ3J55P0A")</f>
        <v>YQ3J55P0A</v>
      </c>
      <c r="B1387" t="s">
        <v>10</v>
      </c>
      <c r="C1387" t="s">
        <v>42</v>
      </c>
      <c r="D1387" t="str">
        <f>HYPERLINK("https://us2.cloudbeds.com/connect/10074733072513#/reservations/30647284613363?display=Ann%20Beyer&amp;reservation_id=30647284613363&amp;guest_id=30647284613361", "Ann Beyer")</f>
        <v>Ann Beyer</v>
      </c>
      <c r="E1387" t="s">
        <v>252</v>
      </c>
      <c r="F1387" t="s">
        <v>253</v>
      </c>
      <c r="G1387">
        <v>357.3</v>
      </c>
      <c r="H1387">
        <v>388.38</v>
      </c>
      <c r="I1387">
        <v>388.39</v>
      </c>
      <c r="J1387">
        <v>-0.01</v>
      </c>
    </row>
    <row r="1388" spans="1:10" x14ac:dyDescent="0.3">
      <c r="A1388" t="str">
        <f>HYPERLINK("https://us2.cloudbeds.com/connect/10074733072513#/reservations/30646693654699?display=YQ341SF7W&amp;reservation_id=30646693654699", "YQ341SF7W")</f>
        <v>YQ341SF7W</v>
      </c>
      <c r="B1388" t="s">
        <v>10</v>
      </c>
      <c r="C1388" t="s">
        <v>11</v>
      </c>
      <c r="D1388" t="str">
        <f>HYPERLINK("https://us2.cloudbeds.com/connect/10074733072513#/reservations/30646693654699?display=Julie%20Hollander&amp;reservation_id=30646693654699&amp;guest_id=30646689026271", "Julie Hollander")</f>
        <v>Julie Hollander</v>
      </c>
      <c r="E1388" t="s">
        <v>254</v>
      </c>
      <c r="F1388" t="s">
        <v>184</v>
      </c>
      <c r="G1388">
        <v>76.16</v>
      </c>
      <c r="H1388">
        <v>82.78</v>
      </c>
      <c r="I1388">
        <v>82.79</v>
      </c>
      <c r="J1388">
        <v>-0.01</v>
      </c>
    </row>
    <row r="1389" spans="1:10" x14ac:dyDescent="0.3">
      <c r="A1389" t="str">
        <f>HYPERLINK("https://us2.cloudbeds.com/connect/10074733072513#/reservations/30648701055133?display=YQ4MBXB56&amp;reservation_id=30648701055133", "YQ4MBXB56")</f>
        <v>YQ4MBXB56</v>
      </c>
      <c r="B1389" t="s">
        <v>10</v>
      </c>
      <c r="C1389" t="s">
        <v>20</v>
      </c>
      <c r="D1389" t="str">
        <f>HYPERLINK("https://us2.cloudbeds.com/connect/10074733072513#/reservations/30648701055133?display=Timothy%20Shearon&amp;reservation_id=30648701055133&amp;guest_id=30648701055114", "Timothy Shearon")</f>
        <v>Timothy Shearon</v>
      </c>
      <c r="E1389" t="s">
        <v>255</v>
      </c>
      <c r="F1389" t="s">
        <v>256</v>
      </c>
      <c r="G1389">
        <v>100.08</v>
      </c>
      <c r="H1389">
        <v>108.78</v>
      </c>
      <c r="I1389">
        <v>108.79</v>
      </c>
      <c r="J1389">
        <v>-0.01</v>
      </c>
    </row>
    <row r="1390" spans="1:10" x14ac:dyDescent="0.3">
      <c r="A1390" t="str">
        <f>HYPERLINK("https://us2.cloudbeds.com/connect/10074733072513#/reservations/30646761959575?display=YQ35QF4QZ&amp;reservation_id=30646761959575", "YQ35QF4QZ")</f>
        <v>YQ35QF4QZ</v>
      </c>
      <c r="B1390" t="s">
        <v>10</v>
      </c>
      <c r="C1390" t="s">
        <v>121</v>
      </c>
      <c r="D1390" t="str">
        <f>HYPERLINK("https://us2.cloudbeds.com/connect/10074733072513#/reservations/30646761959575?display=Dean%20Kes&amp;reservation_id=30646761959575&amp;guest_id=30646761955490", "Dean Kes")</f>
        <v>Dean Kes</v>
      </c>
      <c r="E1390" t="s">
        <v>257</v>
      </c>
      <c r="F1390" t="s">
        <v>258</v>
      </c>
      <c r="G1390">
        <v>143.65</v>
      </c>
      <c r="H1390">
        <v>156.13999999999999</v>
      </c>
      <c r="I1390">
        <v>156.15</v>
      </c>
      <c r="J1390">
        <v>-0.01</v>
      </c>
    </row>
    <row r="1391" spans="1:10" x14ac:dyDescent="0.3">
      <c r="A1391" t="str">
        <f>HYPERLINK("https://us2.cloudbeds.com/connect/10074733072513#/reservations/30648521244810?display=YQ4HZUS2H&amp;reservation_id=30648521244810", "YQ4HZUS2H")</f>
        <v>YQ4HZUS2H</v>
      </c>
      <c r="B1391" t="s">
        <v>10</v>
      </c>
      <c r="C1391" t="s">
        <v>14</v>
      </c>
      <c r="D1391" t="str">
        <f>HYPERLINK("https://us2.cloudbeds.com/connect/10074733072513#/reservations/30648521244810?display=Chakor%20Sharma&amp;reservation_id=30648521244810&amp;guest_id=30648521240723", "Chakor Sharma")</f>
        <v>Chakor Sharma</v>
      </c>
      <c r="E1391" t="s">
        <v>259</v>
      </c>
      <c r="F1391" t="s">
        <v>260</v>
      </c>
      <c r="G1391">
        <v>76.16</v>
      </c>
      <c r="H1391">
        <v>82.78</v>
      </c>
      <c r="I1391">
        <v>82.79</v>
      </c>
      <c r="J1391">
        <v>-0.01</v>
      </c>
    </row>
    <row r="1392" spans="1:10" x14ac:dyDescent="0.3">
      <c r="A1392" t="str">
        <f>HYPERLINK("https://us2.cloudbeds.com/connect/10074733072513#/reservations/30648491585745?display=YQ4GWUHUW&amp;reservation_id=30648491585745", "YQ4GWUHUW")</f>
        <v>YQ4GWUHUW</v>
      </c>
      <c r="B1392" t="s">
        <v>10</v>
      </c>
      <c r="C1392" t="s">
        <v>20</v>
      </c>
      <c r="D1392" t="str">
        <f>HYPERLINK("https://us2.cloudbeds.com/connect/10074733072513#/reservations/30648491585745?display=Wyatt%20Glaeser&amp;reservation_id=30648491585745&amp;guest_id=30648491585740", "Wyatt Glaeser")</f>
        <v>Wyatt Glaeser</v>
      </c>
      <c r="E1392" t="s">
        <v>261</v>
      </c>
      <c r="F1392" t="s">
        <v>69</v>
      </c>
      <c r="G1392">
        <v>103.2</v>
      </c>
      <c r="H1392">
        <v>112.17</v>
      </c>
      <c r="I1392">
        <v>112.18</v>
      </c>
      <c r="J1392">
        <v>-0.01</v>
      </c>
    </row>
    <row r="1393" spans="1:10" x14ac:dyDescent="0.3">
      <c r="A1393" t="str">
        <f>HYPERLINK("https://us2.cloudbeds.com/connect/10074733072513#/reservations/30648003277010?display=YQ44H5KTJ&amp;reservation_id=30648003277010", "YQ44H5KTJ")</f>
        <v>YQ44H5KTJ</v>
      </c>
      <c r="B1393" t="s">
        <v>10</v>
      </c>
      <c r="C1393" t="s">
        <v>20</v>
      </c>
      <c r="D1393" t="str">
        <f>HYPERLINK("https://us2.cloudbeds.com/connect/10074733072513#/reservations/30648003277010?display=Elliot%20Jobe&amp;reservation_id=30648003277010&amp;guest_id=30648003272928", "Elliot Jobe")</f>
        <v>Elliot Jobe</v>
      </c>
      <c r="E1393" t="s">
        <v>262</v>
      </c>
      <c r="F1393" t="s">
        <v>234</v>
      </c>
      <c r="G1393">
        <v>100.08</v>
      </c>
      <c r="H1393">
        <v>108.78</v>
      </c>
      <c r="I1393">
        <v>108.79</v>
      </c>
      <c r="J1393">
        <v>-0.01</v>
      </c>
    </row>
    <row r="1394" spans="1:10" x14ac:dyDescent="0.3">
      <c r="A1394" t="str">
        <f>HYPERLINK("https://us2.cloudbeds.com/connect/10074733072513#/reservations/30648504787125?display=YQ4HB1TDQ&amp;reservation_id=30648504787125", "YQ4HB1TDQ")</f>
        <v>YQ4HB1TDQ</v>
      </c>
      <c r="B1394" t="s">
        <v>10</v>
      </c>
      <c r="C1394" t="s">
        <v>20</v>
      </c>
      <c r="D1394" t="str">
        <f>HYPERLINK("https://us2.cloudbeds.com/connect/10074733072513#/reservations/30648504787125?display=Duane%20Brettmann&amp;reservation_id=30648504787125&amp;guest_id=30648504787111", "Duane Brettmann")</f>
        <v>Duane Brettmann</v>
      </c>
      <c r="E1394" t="s">
        <v>263</v>
      </c>
      <c r="F1394" t="s">
        <v>69</v>
      </c>
      <c r="G1394">
        <v>103.2</v>
      </c>
      <c r="H1394">
        <v>112.17</v>
      </c>
      <c r="I1394">
        <v>112.18</v>
      </c>
      <c r="J1394">
        <v>-0.01</v>
      </c>
    </row>
    <row r="1395" spans="1:10" x14ac:dyDescent="0.3">
      <c r="A1395" t="str">
        <f>HYPERLINK("https://us2.cloudbeds.com/connect/10074733072513#/reservations/30646900875461?display=YQ39BJMK1&amp;reservation_id=30646900875461", "YQ39BJMK1")</f>
        <v>YQ39BJMK1</v>
      </c>
      <c r="B1395" t="s">
        <v>10</v>
      </c>
      <c r="C1395" t="s">
        <v>20</v>
      </c>
      <c r="D1395" t="str">
        <f>HYPERLINK("https://us2.cloudbeds.com/connect/10074733072513#/reservations/30646900875461?display=Dale%20Simpson&amp;reservation_id=30646900875461&amp;guest_id=30646896005277", "Dale Simpson")</f>
        <v>Dale Simpson</v>
      </c>
      <c r="E1395" t="s">
        <v>265</v>
      </c>
      <c r="F1395" t="s">
        <v>205</v>
      </c>
      <c r="G1395">
        <v>87.2</v>
      </c>
      <c r="H1395">
        <v>94.78</v>
      </c>
      <c r="I1395">
        <v>94.79</v>
      </c>
      <c r="J1395">
        <v>-0.01</v>
      </c>
    </row>
    <row r="1396" spans="1:10" x14ac:dyDescent="0.3">
      <c r="A1396" t="str">
        <f>HYPERLINK("https://us2.cloudbeds.com/connect/10074733072513#/reservations/30648976224405?display=YQ4TCJARW&amp;reservation_id=30648976224405", "YQ4TCJARW")</f>
        <v>YQ4TCJARW</v>
      </c>
      <c r="B1396" t="s">
        <v>10</v>
      </c>
      <c r="C1396" t="s">
        <v>11</v>
      </c>
      <c r="D1396" t="str">
        <f>HYPERLINK("https://us2.cloudbeds.com/connect/10074733072513#/reservations/30648976224405?display=Harris%20Pollard&amp;reservation_id=30648976224405&amp;guest_id=30648976224402", "Harris Pollard")</f>
        <v>Harris Pollard</v>
      </c>
      <c r="E1396" t="s">
        <v>266</v>
      </c>
      <c r="F1396" t="s">
        <v>267</v>
      </c>
      <c r="G1396">
        <v>222.4</v>
      </c>
      <c r="H1396">
        <v>241.74</v>
      </c>
      <c r="I1396">
        <v>241.75</v>
      </c>
      <c r="J1396">
        <v>-0.01</v>
      </c>
    </row>
    <row r="1397" spans="1:10" x14ac:dyDescent="0.3">
      <c r="A1397" t="str">
        <f>HYPERLINK("https://us2.cloudbeds.com/connect/10074733072513#/reservations/30646973472994?display=YQ3B6QR09&amp;reservation_id=30646973472994", "YQ3B6QR09")</f>
        <v>YQ3B6QR09</v>
      </c>
      <c r="B1397" t="s">
        <v>10</v>
      </c>
      <c r="C1397" t="s">
        <v>20</v>
      </c>
      <c r="D1397" t="str">
        <f>HYPERLINK("https://us2.cloudbeds.com/connect/10074733072513#/reservations/30646973472994?display=Laura%20Mckeegan&amp;reservation_id=30646973472994&amp;guest_id=30646967406802", "Laura Mckeegan")</f>
        <v>Laura Mckeegan</v>
      </c>
      <c r="E1397" t="s">
        <v>268</v>
      </c>
      <c r="F1397" t="s">
        <v>176</v>
      </c>
      <c r="G1397">
        <v>87.2</v>
      </c>
      <c r="H1397">
        <v>94.78</v>
      </c>
      <c r="I1397">
        <v>94.79</v>
      </c>
      <c r="J1397">
        <v>-0.01</v>
      </c>
    </row>
    <row r="1398" spans="1:10" x14ac:dyDescent="0.3">
      <c r="A1398" t="str">
        <f>HYPERLINK("https://us2.cloudbeds.com/connect/10074733072513#/reservations/30649946808522?display=YQ5Y608YT&amp;reservation_id=30649946808522", "YQ5Y608YT")</f>
        <v>YQ5Y608YT</v>
      </c>
      <c r="B1398" t="s">
        <v>10</v>
      </c>
      <c r="C1398" t="s">
        <v>11</v>
      </c>
      <c r="D1398" t="str">
        <f>HYPERLINK("https://us2.cloudbeds.com/connect/10074733072513#/reservations/30649946808522?display=David%20Foord&amp;reservation_id=30649946808522&amp;guest_id=30649946804478", "David Foord")</f>
        <v>David Foord</v>
      </c>
      <c r="E1398" t="s">
        <v>269</v>
      </c>
      <c r="F1398" t="s">
        <v>270</v>
      </c>
      <c r="G1398">
        <v>76.16</v>
      </c>
      <c r="H1398">
        <v>82.78</v>
      </c>
      <c r="I1398">
        <v>82.79</v>
      </c>
      <c r="J1398">
        <v>-0.01</v>
      </c>
    </row>
    <row r="1399" spans="1:10" x14ac:dyDescent="0.3">
      <c r="A1399" t="str">
        <f>HYPERLINK("https://us2.cloudbeds.com/connect/10074733072513#/reservations/30648881877135?display=YQ4QW0W7Q&amp;reservation_id=30648881877135", "YQ4QW0W7Q")</f>
        <v>YQ4QW0W7Q</v>
      </c>
      <c r="B1399" t="s">
        <v>10</v>
      </c>
      <c r="C1399" t="s">
        <v>14</v>
      </c>
      <c r="D1399" t="str">
        <f>HYPERLINK("https://us2.cloudbeds.com/connect/10074733072513#/reservations/30648881877135?display=Brian%20Thimmig&amp;reservation_id=30648881877135&amp;guest_id=30648881877133", "Brian Thimmig")</f>
        <v>Brian Thimmig</v>
      </c>
      <c r="E1399" t="s">
        <v>271</v>
      </c>
      <c r="F1399" t="s">
        <v>272</v>
      </c>
      <c r="G1399">
        <v>76.16</v>
      </c>
      <c r="H1399">
        <v>82.78</v>
      </c>
      <c r="I1399">
        <v>82.79</v>
      </c>
      <c r="J1399">
        <v>-0.01</v>
      </c>
    </row>
    <row r="1400" spans="1:10" x14ac:dyDescent="0.3">
      <c r="A1400" t="str">
        <f>HYPERLINK("https://us2.cloudbeds.com/connect/10074733072513#/reservations/30647532007559?display=YQ3PFPSJ4&amp;reservation_id=30647532007559", "YQ3PFPSJ4")</f>
        <v>YQ3PFPSJ4</v>
      </c>
      <c r="B1400" t="s">
        <v>10</v>
      </c>
      <c r="C1400" t="s">
        <v>42</v>
      </c>
      <c r="D1400" t="str">
        <f>HYPERLINK("https://us2.cloudbeds.com/connect/10074733072513#/reservations/30647532007559?display=Alex%20Plimpton&amp;reservation_id=30647532007559&amp;guest_id=30647532007557", "Alex Plimpton")</f>
        <v>Alex Plimpton</v>
      </c>
      <c r="E1400" t="s">
        <v>273</v>
      </c>
      <c r="F1400" t="s">
        <v>71</v>
      </c>
      <c r="G1400">
        <v>196.2</v>
      </c>
      <c r="H1400">
        <v>213.26</v>
      </c>
      <c r="I1400">
        <v>213.27</v>
      </c>
      <c r="J1400">
        <v>-0.01</v>
      </c>
    </row>
    <row r="1401" spans="1:10" x14ac:dyDescent="0.3">
      <c r="A1401" t="str">
        <f>HYPERLINK("https://us2.cloudbeds.com/connect/10074733072513#/reservations/30647580827859?display=YQ3QNVBW5&amp;reservation_id=30647580827859", "YQ3QNVBW5")</f>
        <v>YQ3QNVBW5</v>
      </c>
      <c r="B1401" t="s">
        <v>10</v>
      </c>
      <c r="C1401" t="s">
        <v>14</v>
      </c>
      <c r="D1401" t="str">
        <f>HYPERLINK("https://us2.cloudbeds.com/connect/10074733072513#/reservations/30647580827859?display=Cleve%20Smith&amp;reservation_id=30647580827859&amp;guest_id=30647580827857", "Cleve Smith")</f>
        <v>Cleve Smith</v>
      </c>
      <c r="E1401" t="s">
        <v>276</v>
      </c>
      <c r="F1401" t="s">
        <v>277</v>
      </c>
      <c r="G1401">
        <v>268.2</v>
      </c>
      <c r="H1401">
        <v>291.52</v>
      </c>
      <c r="I1401">
        <v>291.52999999999997</v>
      </c>
      <c r="J1401">
        <v>-0.01</v>
      </c>
    </row>
    <row r="1402" spans="1:10" x14ac:dyDescent="0.3">
      <c r="A1402" t="str">
        <f>HYPERLINK("https://us2.cloudbeds.com/connect/10074733072513#/reservations/30646816444565?display=YQ376D8V1&amp;reservation_id=30646816444565", "YQ376D8V1")</f>
        <v>YQ376D8V1</v>
      </c>
      <c r="B1402" t="s">
        <v>10</v>
      </c>
      <c r="C1402" t="s">
        <v>14</v>
      </c>
      <c r="D1402" t="str">
        <f>HYPERLINK("https://us2.cloudbeds.com/connect/10074733072513#/reservations/30646816444565?display=Susan%20Wellman&amp;reservation_id=30646816444565&amp;guest_id=30646816444556", "Susan Wellman")</f>
        <v>Susan Wellman</v>
      </c>
      <c r="E1402" t="s">
        <v>278</v>
      </c>
      <c r="F1402" t="s">
        <v>205</v>
      </c>
      <c r="G1402">
        <v>76.16</v>
      </c>
      <c r="H1402">
        <v>82.78</v>
      </c>
      <c r="I1402">
        <v>82.79</v>
      </c>
      <c r="J1402">
        <v>-0.01</v>
      </c>
    </row>
    <row r="1403" spans="1:10" x14ac:dyDescent="0.3">
      <c r="A1403" t="str">
        <f>HYPERLINK("https://us2.cloudbeds.com/connect/10074733072513#/reservations/30646830235867?display=YQ37X1149&amp;reservation_id=30646830235867", "YQ37X1149")</f>
        <v>YQ37X1149</v>
      </c>
      <c r="B1403" t="s">
        <v>10</v>
      </c>
      <c r="C1403" t="s">
        <v>14</v>
      </c>
      <c r="D1403" t="str">
        <f>HYPERLINK("https://us2.cloudbeds.com/connect/10074733072513#/reservations/30646830235867?display=John%20Debernardeaux&amp;reservation_id=30646830235867&amp;guest_id=30646830235861", "John Debernardeaux")</f>
        <v>John Debernardeaux</v>
      </c>
      <c r="E1403" t="s">
        <v>279</v>
      </c>
      <c r="F1403" t="s">
        <v>205</v>
      </c>
      <c r="G1403">
        <v>76.16</v>
      </c>
      <c r="H1403">
        <v>82.78</v>
      </c>
      <c r="I1403">
        <v>82.79</v>
      </c>
      <c r="J1403">
        <v>-0.01</v>
      </c>
    </row>
    <row r="1404" spans="1:10" x14ac:dyDescent="0.3">
      <c r="A1404" t="str">
        <f>HYPERLINK("https://us2.cloudbeds.com/connect/10074733072513#/reservations/30647167987937?display=YQ3G5RFVG&amp;reservation_id=30647167987937", "YQ3G5RFVG")</f>
        <v>YQ3G5RFVG</v>
      </c>
      <c r="B1404" t="s">
        <v>10</v>
      </c>
      <c r="C1404" t="s">
        <v>14</v>
      </c>
      <c r="D1404" t="str">
        <f>HYPERLINK("https://us2.cloudbeds.com/connect/10074733072513#/reservations/30647167987937?display=Kristin%20Spath&amp;reservation_id=30647167987937&amp;guest_id=30647167987932", "Kristin Spath")</f>
        <v>Kristin Spath</v>
      </c>
      <c r="E1404" t="s">
        <v>280</v>
      </c>
      <c r="F1404" t="s">
        <v>33</v>
      </c>
      <c r="G1404">
        <v>222.4</v>
      </c>
      <c r="H1404">
        <v>241.74</v>
      </c>
      <c r="I1404">
        <v>241.75</v>
      </c>
      <c r="J1404">
        <v>-0.01</v>
      </c>
    </row>
    <row r="1405" spans="1:10" x14ac:dyDescent="0.3">
      <c r="A1405" t="str">
        <f>HYPERLINK("https://us2.cloudbeds.com/connect/10074733072513#/reservations/30646953795726?display=YQ3AN78TE&amp;reservation_id=30646953795726", "YQ3AN78TE")</f>
        <v>YQ3AN78TE</v>
      </c>
      <c r="B1405" t="s">
        <v>10</v>
      </c>
      <c r="C1405" t="s">
        <v>14</v>
      </c>
      <c r="D1405" t="str">
        <f>HYPERLINK("https://us2.cloudbeds.com/connect/10074733072513#/reservations/30646953795726?display=Thomas%20Turechek&amp;reservation_id=30646953795726&amp;guest_id=30646953795721", "Thomas Turechek")</f>
        <v>Thomas Turechek</v>
      </c>
      <c r="E1405" t="s">
        <v>281</v>
      </c>
      <c r="F1405" t="s">
        <v>176</v>
      </c>
      <c r="G1405">
        <v>87.2</v>
      </c>
      <c r="H1405">
        <v>94.78</v>
      </c>
      <c r="I1405">
        <v>94.79</v>
      </c>
      <c r="J1405">
        <v>-0.01</v>
      </c>
    </row>
    <row r="1406" spans="1:10" x14ac:dyDescent="0.3">
      <c r="A1406" t="str">
        <f>HYPERLINK("https://us2.cloudbeds.com/connect/10074733072513#/reservations/30647910842516?display=YQ4257GZA&amp;reservation_id=30647910842516", "YQ4257GZA")</f>
        <v>YQ4257GZA</v>
      </c>
      <c r="B1406" t="s">
        <v>10</v>
      </c>
      <c r="C1406" t="s">
        <v>20</v>
      </c>
      <c r="D1406" t="str">
        <f>HYPERLINK("https://us2.cloudbeds.com/connect/10074733072513#/reservations/30647910842516?display=Tracy%20Laue&amp;reservation_id=30647910842516&amp;guest_id=30647910842514", "Tracy Laue")</f>
        <v>Tracy Laue</v>
      </c>
      <c r="E1406" t="s">
        <v>282</v>
      </c>
      <c r="F1406" t="s">
        <v>176</v>
      </c>
      <c r="G1406">
        <v>87.2</v>
      </c>
      <c r="H1406">
        <v>94.78</v>
      </c>
      <c r="I1406">
        <v>94.79</v>
      </c>
      <c r="J1406">
        <v>-0.01</v>
      </c>
    </row>
    <row r="1407" spans="1:10" x14ac:dyDescent="0.3">
      <c r="A1407" t="str">
        <f>HYPERLINK("https://us2.cloudbeds.com/connect/10074733072513#/reservations/30647821316264?display=YQ3WSZA4J&amp;reservation_id=30647821316264", "YQ3WSZA4J")</f>
        <v>YQ3WSZA4J</v>
      </c>
      <c r="B1407" t="s">
        <v>10</v>
      </c>
      <c r="C1407" t="s">
        <v>20</v>
      </c>
      <c r="D1407" t="str">
        <f>HYPERLINK("https://us2.cloudbeds.com/connect/10074733072513#/reservations/30647821316264?display=Ken%20Szych&amp;reservation_id=30647821316264&amp;guest_id=30647813103760", "Ken Szych")</f>
        <v>Ken Szych</v>
      </c>
      <c r="E1407" t="s">
        <v>283</v>
      </c>
      <c r="F1407" t="s">
        <v>176</v>
      </c>
      <c r="G1407">
        <v>174.4</v>
      </c>
      <c r="H1407">
        <v>189.56</v>
      </c>
      <c r="I1407">
        <v>189.57</v>
      </c>
      <c r="J1407">
        <v>-0.01</v>
      </c>
    </row>
    <row r="1408" spans="1:10" x14ac:dyDescent="0.3">
      <c r="A1408" t="str">
        <f>HYPERLINK("https://us2.cloudbeds.com/connect/10074733072513#/reservations/30646967611594?display=YQ3B1SNY3&amp;reservation_id=30646967611594", "YQ3B1SNY3")</f>
        <v>YQ3B1SNY3</v>
      </c>
      <c r="B1408" t="s">
        <v>10</v>
      </c>
      <c r="C1408" t="s">
        <v>42</v>
      </c>
      <c r="D1408" t="str">
        <f>HYPERLINK("https://us2.cloudbeds.com/connect/10074733072513#/reservations/30646967611594?display=Angela%20Morris&amp;reservation_id=30646967611594&amp;guest_id=30646962024701", "Angela Morris")</f>
        <v>Angela Morris</v>
      </c>
      <c r="E1408" t="s">
        <v>284</v>
      </c>
      <c r="F1408" t="s">
        <v>33</v>
      </c>
      <c r="G1408">
        <v>222.4</v>
      </c>
      <c r="H1408">
        <v>241.74</v>
      </c>
      <c r="I1408">
        <v>241.75</v>
      </c>
      <c r="J1408">
        <v>-0.01</v>
      </c>
    </row>
    <row r="1409" spans="1:10" x14ac:dyDescent="0.3">
      <c r="A1409" t="str">
        <f>HYPERLINK("https://us2.cloudbeds.com/connect/10074733072513#/reservations/30647251579091?display=YQ3XAAHGP&amp;reservation_id=30647251579091", "YQ3XAAHGP")</f>
        <v>YQ3XAAHGP</v>
      </c>
      <c r="B1409" t="s">
        <v>10</v>
      </c>
      <c r="C1409" t="s">
        <v>42</v>
      </c>
      <c r="D1409" t="str">
        <f>HYPERLINK("https://us2.cloudbeds.com/connect/10074733072513#/reservations/30647251579091?display=Mary%20Paradeis&amp;reservation_id=30647251579091&amp;guest_id=30647251579083", "Mary Paradeis")</f>
        <v>Mary Paradeis</v>
      </c>
      <c r="E1409" t="s">
        <v>285</v>
      </c>
      <c r="F1409" t="s">
        <v>253</v>
      </c>
      <c r="G1409">
        <v>250.2</v>
      </c>
      <c r="H1409">
        <v>271.95999999999998</v>
      </c>
      <c r="I1409">
        <v>271.97000000000003</v>
      </c>
      <c r="J1409">
        <v>-0.01</v>
      </c>
    </row>
    <row r="1410" spans="1:10" x14ac:dyDescent="0.3">
      <c r="A1410" t="str">
        <f>HYPERLINK("https://us2.cloudbeds.com/connect/10074733072513#/reservations/30648887185644?display=YQ4R3GMTN&amp;reservation_id=30648887185644", "YQ4R3GMTN")</f>
        <v>YQ4R3GMTN</v>
      </c>
      <c r="B1410" t="s">
        <v>10</v>
      </c>
      <c r="C1410" t="s">
        <v>14</v>
      </c>
      <c r="D1410" t="str">
        <f>HYPERLINK("https://us2.cloudbeds.com/connect/10074733072513#/reservations/30648887185644?display=Charles%20Minor&amp;reservation_id=30648887185644&amp;guest_id=30648887185642", "Charles Minor")</f>
        <v>Charles Minor</v>
      </c>
      <c r="E1410" t="s">
        <v>286</v>
      </c>
      <c r="F1410" t="s">
        <v>272</v>
      </c>
      <c r="G1410">
        <v>87.2</v>
      </c>
      <c r="H1410">
        <v>94.78</v>
      </c>
      <c r="I1410">
        <v>94.79</v>
      </c>
      <c r="J1410">
        <v>-0.01</v>
      </c>
    </row>
    <row r="1411" spans="1:10" x14ac:dyDescent="0.3">
      <c r="A1411" t="str">
        <f>HYPERLINK("https://us2.cloudbeds.com/connect/10074733072513#/reservations/30647050186956?display=YQ3D5GGDQ&amp;reservation_id=30647050186956", "YQ3D5GGDQ")</f>
        <v>YQ3D5GGDQ</v>
      </c>
      <c r="B1411" t="s">
        <v>10</v>
      </c>
      <c r="C1411" t="s">
        <v>11</v>
      </c>
      <c r="D1411" t="str">
        <f>HYPERLINK("https://us2.cloudbeds.com/connect/10074733072513#/reservations/30647050186956?display=Guadalupe%20Martinez&amp;reservation_id=30647050186956&amp;guest_id=30647045382321", "Guadalupe Martinez")</f>
        <v>Guadalupe Martinez</v>
      </c>
      <c r="E1411" t="s">
        <v>287</v>
      </c>
      <c r="F1411" t="s">
        <v>288</v>
      </c>
      <c r="G1411">
        <v>76.16</v>
      </c>
      <c r="H1411">
        <v>82.78</v>
      </c>
      <c r="I1411">
        <v>82.79</v>
      </c>
      <c r="J1411">
        <v>-0.01</v>
      </c>
    </row>
    <row r="1412" spans="1:10" x14ac:dyDescent="0.3">
      <c r="A1412" t="str">
        <f>HYPERLINK("https://us2.cloudbeds.com/connect/10074733072513#/reservations/30647015858358?display=YQ3C9X8C8&amp;reservation_id=30647015858358", "YQ3C9X8C8")</f>
        <v>YQ3C9X8C8</v>
      </c>
      <c r="B1412" t="s">
        <v>10</v>
      </c>
      <c r="C1412" t="s">
        <v>20</v>
      </c>
      <c r="D1412" t="str">
        <f>HYPERLINK("https://us2.cloudbeds.com/connect/10074733072513#/reservations/30647015858358?display=Timothy%20Herman&amp;reservation_id=30647015858358&amp;guest_id=30647015858306", "Timothy Herman")</f>
        <v>Timothy Herman</v>
      </c>
      <c r="E1412" t="s">
        <v>289</v>
      </c>
      <c r="F1412" t="s">
        <v>288</v>
      </c>
      <c r="G1412">
        <v>87.2</v>
      </c>
      <c r="H1412">
        <v>94.78</v>
      </c>
      <c r="I1412">
        <v>94.79</v>
      </c>
      <c r="J1412">
        <v>-0.01</v>
      </c>
    </row>
    <row r="1413" spans="1:10" x14ac:dyDescent="0.3">
      <c r="A1413" t="str">
        <f>HYPERLINK("https://us2.cloudbeds.com/connect/10074733072513#/reservations/30648976220311?display=YQ4TCJ72U&amp;reservation_id=30648976220311", "YQ4TCJ72U")</f>
        <v>YQ4TCJ72U</v>
      </c>
      <c r="B1413" t="s">
        <v>10</v>
      </c>
      <c r="C1413" t="s">
        <v>20</v>
      </c>
      <c r="D1413" t="str">
        <f>HYPERLINK("https://us2.cloudbeds.com/connect/10074733072513#/reservations/30648976220311?display=Beth%20Wilson&amp;reservation_id=30648976220311&amp;guest_id=30648976220306", "Beth Wilson")</f>
        <v>Beth Wilson</v>
      </c>
      <c r="E1413" t="s">
        <v>290</v>
      </c>
      <c r="F1413" t="s">
        <v>267</v>
      </c>
      <c r="G1413">
        <v>127.2</v>
      </c>
      <c r="H1413">
        <v>138.26</v>
      </c>
      <c r="I1413">
        <v>138.27000000000001</v>
      </c>
      <c r="J1413">
        <v>-0.01</v>
      </c>
    </row>
    <row r="1414" spans="1:10" x14ac:dyDescent="0.3">
      <c r="A1414" t="str">
        <f>HYPERLINK("https://us2.cloudbeds.com/connect/10074733072513#/reservations/30647187534025?display=YQ3GMACK6&amp;reservation_id=30647187534025", "YQ3GMACK6")</f>
        <v>YQ3GMACK6</v>
      </c>
      <c r="B1414" t="s">
        <v>10</v>
      </c>
      <c r="C1414" t="s">
        <v>17</v>
      </c>
      <c r="D1414" t="str">
        <f>HYPERLINK("https://us2.cloudbeds.com/connect/10074733072513#/reservations/30647187534025?display=Colin%20Zoellner&amp;reservation_id=30647187534025&amp;guest_id=30647187534023", "Colin Zoellner")</f>
        <v>Colin Zoellner</v>
      </c>
      <c r="E1414" t="s">
        <v>291</v>
      </c>
      <c r="F1414" t="s">
        <v>174</v>
      </c>
      <c r="G1414">
        <v>250.2</v>
      </c>
      <c r="H1414">
        <v>271.95999999999998</v>
      </c>
      <c r="I1414">
        <v>271.97000000000003</v>
      </c>
      <c r="J1414">
        <v>-0.01</v>
      </c>
    </row>
    <row r="1415" spans="1:10" x14ac:dyDescent="0.3">
      <c r="A1415" t="str">
        <f>HYPERLINK("https://us2.cloudbeds.com/connect/10074733072513#/reservations/30648745373874?display=YQ4NFUXTB&amp;reservation_id=30648745373874", "YQ4NFUXTB")</f>
        <v>YQ4NFUXTB</v>
      </c>
      <c r="B1415" t="s">
        <v>10</v>
      </c>
      <c r="C1415" t="s">
        <v>42</v>
      </c>
      <c r="D1415" t="str">
        <f>HYPERLINK("https://us2.cloudbeds.com/connect/10074733072513#/reservations/30648745373874?display=Avery%20Zahn&amp;reservation_id=30648745373874&amp;guest_id=30648734597367", "Avery Zahn")</f>
        <v>Avery Zahn</v>
      </c>
      <c r="E1415" t="s">
        <v>292</v>
      </c>
      <c r="F1415" t="s">
        <v>272</v>
      </c>
      <c r="G1415">
        <v>196.2</v>
      </c>
      <c r="H1415">
        <v>213.26</v>
      </c>
      <c r="I1415">
        <v>213.27</v>
      </c>
      <c r="J1415">
        <v>-0.01</v>
      </c>
    </row>
    <row r="1416" spans="1:10" x14ac:dyDescent="0.3">
      <c r="A1416" t="str">
        <f>HYPERLINK("https://us2.cloudbeds.com/connect/10074733072513#/reservations/30648734597373?display=YQ4N6RN3N&amp;reservation_id=30648734597373", "YQ4N6RN3N")</f>
        <v>YQ4N6RN3N</v>
      </c>
      <c r="B1416" t="s">
        <v>10</v>
      </c>
      <c r="C1416" t="s">
        <v>42</v>
      </c>
      <c r="D1416" t="str">
        <f>HYPERLINK("https://us2.cloudbeds.com/connect/10074733072513#/reservations/30648734597373?display=Avery%20Zahn&amp;reservation_id=30648734597373&amp;guest_id=30648734597367", "Avery Zahn")</f>
        <v>Avery Zahn</v>
      </c>
      <c r="E1416" t="s">
        <v>292</v>
      </c>
      <c r="F1416" t="s">
        <v>272</v>
      </c>
      <c r="G1416">
        <v>196.2</v>
      </c>
      <c r="H1416">
        <v>213.26</v>
      </c>
      <c r="I1416">
        <v>213.27</v>
      </c>
      <c r="J1416">
        <v>-0.01</v>
      </c>
    </row>
    <row r="1417" spans="1:10" x14ac:dyDescent="0.3">
      <c r="A1417" t="str">
        <f>HYPERLINK("https://us2.cloudbeds.com/connect/10074733072513#/reservations/30648614973578?display=YQ4K4VWZ7&amp;reservation_id=30648614973578", "YQ4K4VWZ7")</f>
        <v>YQ4K4VWZ7</v>
      </c>
      <c r="B1417" t="s">
        <v>10</v>
      </c>
      <c r="C1417" t="s">
        <v>11</v>
      </c>
      <c r="D1417" t="str">
        <f>HYPERLINK("https://us2.cloudbeds.com/connect/10074733072513#/reservations/30648614973578?display=Adam%20Weiner&amp;reservation_id=30648614973578&amp;guest_id=30648614973576", "Adam Weiner")</f>
        <v>Adam Weiner</v>
      </c>
      <c r="E1417" t="s">
        <v>293</v>
      </c>
      <c r="F1417" t="s">
        <v>179</v>
      </c>
      <c r="G1417">
        <v>152.32</v>
      </c>
      <c r="H1417">
        <v>165.56</v>
      </c>
      <c r="I1417">
        <v>165.57</v>
      </c>
      <c r="J1417">
        <v>-0.01</v>
      </c>
    </row>
    <row r="1418" spans="1:10" x14ac:dyDescent="0.3">
      <c r="A1418" t="str">
        <f>HYPERLINK("https://us2.cloudbeds.com/connect/10074733072513#/reservations/30648723746944?display=YQ4MPXW4B&amp;reservation_id=30648723746944", "YQ4MPXW4B")</f>
        <v>YQ4MPXW4B</v>
      </c>
      <c r="B1418" t="s">
        <v>10</v>
      </c>
      <c r="C1418" t="s">
        <v>20</v>
      </c>
      <c r="D1418" t="str">
        <f>HYPERLINK("https://us2.cloudbeds.com/connect/10074733072513#/reservations/30648723746944?display=Frans%20Mortier&amp;reservation_id=30648723746944&amp;guest_id=30648717680866", "Frans Mortier")</f>
        <v>Frans Mortier</v>
      </c>
      <c r="E1418" t="s">
        <v>294</v>
      </c>
      <c r="F1418" t="s">
        <v>256</v>
      </c>
      <c r="G1418">
        <v>103.2</v>
      </c>
      <c r="H1418">
        <v>112.17</v>
      </c>
      <c r="I1418">
        <v>112.18</v>
      </c>
      <c r="J1418">
        <v>-0.01</v>
      </c>
    </row>
    <row r="1419" spans="1:10" x14ac:dyDescent="0.3">
      <c r="A1419" t="str">
        <f>HYPERLINK("https://us2.cloudbeds.com/connect/10074733072513#/reservations/30648961863823?display=YQ4T0FNTR&amp;reservation_id=30648961863823", "YQ4T0FNTR")</f>
        <v>YQ4T0FNTR</v>
      </c>
      <c r="B1419" t="s">
        <v>10</v>
      </c>
      <c r="C1419" t="s">
        <v>42</v>
      </c>
      <c r="D1419" t="str">
        <f>HYPERLINK("https://us2.cloudbeds.com/connect/10074733072513#/reservations/30648961863823?display=Kathryn%20Fosness&amp;reservation_id=30648961863823&amp;guest_id=30648961863819", "Kathryn Fosness")</f>
        <v>Kathryn Fosness</v>
      </c>
      <c r="E1419" t="s">
        <v>295</v>
      </c>
      <c r="F1419" t="s">
        <v>267</v>
      </c>
      <c r="G1419">
        <v>134.1</v>
      </c>
      <c r="H1419">
        <v>145.76</v>
      </c>
      <c r="I1419">
        <v>145.77000000000001</v>
      </c>
      <c r="J1419">
        <v>-0.01</v>
      </c>
    </row>
    <row r="1420" spans="1:10" x14ac:dyDescent="0.3">
      <c r="A1420" t="str">
        <f>HYPERLINK("https://us2.cloudbeds.com/connect/10074733072513#/reservations/30648155640022?display=YQ48DYBRX&amp;reservation_id=30648155640022", "YQ48DYBRX")</f>
        <v>YQ48DYBRX</v>
      </c>
      <c r="B1420" t="s">
        <v>10</v>
      </c>
      <c r="C1420" t="s">
        <v>11</v>
      </c>
      <c r="D1420" t="str">
        <f>HYPERLINK("https://us2.cloudbeds.com/connect/10074733072513#/reservations/30648155640022?display=Marsha%20Pereira&amp;reservation_id=30648155640022&amp;guest_id=30648155640020", "Marsha Pereira")</f>
        <v>Marsha Pereira</v>
      </c>
      <c r="E1420" t="s">
        <v>296</v>
      </c>
      <c r="F1420" t="s">
        <v>179</v>
      </c>
      <c r="G1420">
        <v>87.2</v>
      </c>
      <c r="H1420">
        <v>94.78</v>
      </c>
      <c r="I1420">
        <v>94.79</v>
      </c>
      <c r="J1420">
        <v>-0.01</v>
      </c>
    </row>
    <row r="1421" spans="1:10" x14ac:dyDescent="0.3">
      <c r="A1421" t="str">
        <f>HYPERLINK("https://us2.cloudbeds.com/connect/10074733072513#/reservations/30647107719300?display=YQ3EY0DS5&amp;reservation_id=30647107719300", "YQ3EY0DS5")</f>
        <v>YQ3EY0DS5</v>
      </c>
      <c r="B1421" t="s">
        <v>10</v>
      </c>
      <c r="C1421" t="s">
        <v>14</v>
      </c>
      <c r="D1421" t="str">
        <f>HYPERLINK("https://us2.cloudbeds.com/connect/10074733072513#/reservations/30647107719300?display=Michael%20Mcclure&amp;reservation_id=30647107719300&amp;guest_id=30647103955163", "Michael Mcclure")</f>
        <v>Michael Mcclure</v>
      </c>
      <c r="E1421" t="s">
        <v>297</v>
      </c>
      <c r="F1421" t="s">
        <v>225</v>
      </c>
      <c r="G1421">
        <v>87.2</v>
      </c>
      <c r="H1421">
        <v>94.78</v>
      </c>
      <c r="I1421">
        <v>94.79</v>
      </c>
      <c r="J1421">
        <v>-0.01</v>
      </c>
    </row>
    <row r="1422" spans="1:10" x14ac:dyDescent="0.3">
      <c r="A1422" t="str">
        <f>HYPERLINK("https://us2.cloudbeds.com/connect/10074733072513#/reservations/30648143212745?display=YQ4835X6D&amp;reservation_id=30648143212745", "YQ4835X6D")</f>
        <v>YQ4835X6D</v>
      </c>
      <c r="B1422" t="s">
        <v>10</v>
      </c>
      <c r="C1422" t="s">
        <v>11</v>
      </c>
      <c r="D1422" t="str">
        <f>HYPERLINK("https://us2.cloudbeds.com/connect/10074733072513#/reservations/30648143212745?display=Benjamin%20Stuber&amp;reservation_id=30648143212745&amp;guest_id=30648143212743", "Benjamin Stuber")</f>
        <v>Benjamin Stuber</v>
      </c>
      <c r="E1422" t="s">
        <v>298</v>
      </c>
      <c r="F1422" t="s">
        <v>179</v>
      </c>
      <c r="G1422">
        <v>76.16</v>
      </c>
      <c r="H1422">
        <v>82.78</v>
      </c>
      <c r="I1422">
        <v>82.79</v>
      </c>
      <c r="J1422">
        <v>-0.01</v>
      </c>
    </row>
    <row r="1423" spans="1:10" x14ac:dyDescent="0.3">
      <c r="A1423" t="str">
        <f>HYPERLINK("https://us2.cloudbeds.com/connect/10074733072513#/reservations/30650310918354?display=YQ5UG1545&amp;reservation_id=30650310918354", "YQ5UG1545")</f>
        <v>YQ5UG1545</v>
      </c>
      <c r="B1423" t="s">
        <v>10</v>
      </c>
      <c r="C1423" t="s">
        <v>14</v>
      </c>
      <c r="D1423" t="str">
        <f>HYPERLINK("https://us2.cloudbeds.com/connect/10074733072513#/reservations/30650310918354?display=Nadim%20Ladha&amp;reservation_id=30650310918354&amp;guest_id=30650310914273", "Nadim Ladha")</f>
        <v>Nadim Ladha</v>
      </c>
      <c r="E1423" t="s">
        <v>299</v>
      </c>
      <c r="F1423" t="s">
        <v>300</v>
      </c>
      <c r="G1423">
        <v>87.2</v>
      </c>
      <c r="H1423">
        <v>94.78</v>
      </c>
      <c r="I1423">
        <v>94.79</v>
      </c>
      <c r="J1423">
        <v>-0.01</v>
      </c>
    </row>
    <row r="1424" spans="1:10" x14ac:dyDescent="0.3">
      <c r="A1424" t="str">
        <f>HYPERLINK("https://us2.cloudbeds.com/connect/10074733072513#/reservations/30647961460885?display=YQ43EU189&amp;reservation_id=30647961460885", "YQ43EU189")</f>
        <v>YQ43EU189</v>
      </c>
      <c r="B1424" t="s">
        <v>10</v>
      </c>
      <c r="C1424" t="s">
        <v>14</v>
      </c>
      <c r="D1424" t="str">
        <f>HYPERLINK("https://us2.cloudbeds.com/connect/10074733072513#/reservations/30647961460885?display=Tori%20Lechnir&amp;reservation_id=30647961460885&amp;guest_id=30647961460880", "Tori Lechnir")</f>
        <v>Tori Lechnir</v>
      </c>
      <c r="E1424" t="s">
        <v>301</v>
      </c>
      <c r="F1424" t="s">
        <v>89</v>
      </c>
      <c r="G1424">
        <v>127.2</v>
      </c>
      <c r="H1424">
        <v>138.26</v>
      </c>
      <c r="I1424">
        <v>138.27000000000001</v>
      </c>
      <c r="J1424">
        <v>-0.01</v>
      </c>
    </row>
    <row r="1425" spans="1:10" x14ac:dyDescent="0.3">
      <c r="A1425" t="str">
        <f>HYPERLINK("https://us2.cloudbeds.com/connect/10074733072513#/reservations/30650321711236?display=YQ5UP4FV6&amp;reservation_id=30650321711236", "YQ5UP4FV6")</f>
        <v>YQ5UP4FV6</v>
      </c>
      <c r="B1425" t="s">
        <v>10</v>
      </c>
      <c r="C1425" t="s">
        <v>14</v>
      </c>
      <c r="D1425" t="str">
        <f>HYPERLINK("https://us2.cloudbeds.com/connect/10074733072513#/reservations/30650321711236?display=Aman%20Zamani&amp;reservation_id=30650321711236&amp;guest_id=30650316628151", "Aman Zamani")</f>
        <v>Aman Zamani</v>
      </c>
      <c r="E1425" t="s">
        <v>299</v>
      </c>
      <c r="F1425" t="s">
        <v>300</v>
      </c>
      <c r="G1425">
        <v>87.2</v>
      </c>
      <c r="H1425">
        <v>94.78</v>
      </c>
      <c r="I1425">
        <v>94.79</v>
      </c>
      <c r="J1425">
        <v>-0.01</v>
      </c>
    </row>
    <row r="1426" spans="1:10" x14ac:dyDescent="0.3">
      <c r="A1426" t="str">
        <f>HYPERLINK("https://us2.cloudbeds.com/connect/10074733072513#/reservations/30648204492999?display=YQ49YRP7Q&amp;reservation_id=30648204492999", "YQ49YRP7Q")</f>
        <v>YQ49YRP7Q</v>
      </c>
      <c r="B1426" t="s">
        <v>10</v>
      </c>
      <c r="C1426" t="s">
        <v>14</v>
      </c>
      <c r="D1426" t="str">
        <f>HYPERLINK("https://us2.cloudbeds.com/connect/10074733072513#/reservations/30648204492999?display=Scott%20Sand&amp;reservation_id=30648204492999&amp;guest_id=30647131287698", "Scott Sand")</f>
        <v>Scott Sand</v>
      </c>
      <c r="E1426" t="s">
        <v>211</v>
      </c>
      <c r="F1426" t="s">
        <v>89</v>
      </c>
      <c r="G1426">
        <v>127.2</v>
      </c>
      <c r="H1426">
        <v>138.26</v>
      </c>
      <c r="I1426">
        <v>138.27000000000001</v>
      </c>
      <c r="J1426">
        <v>-0.01</v>
      </c>
    </row>
    <row r="1427" spans="1:10" x14ac:dyDescent="0.3">
      <c r="A1427" t="str">
        <f>HYPERLINK("https://us2.cloudbeds.com/connect/10074733072513#/reservations/30648223420598?display=YQ4A4QEVD&amp;reservation_id=30648223420598", "YQ4A4QEVD")</f>
        <v>YQ4A4QEVD</v>
      </c>
      <c r="B1427" t="s">
        <v>10</v>
      </c>
      <c r="C1427" t="s">
        <v>14</v>
      </c>
      <c r="D1427" t="str">
        <f>HYPERLINK("https://us2.cloudbeds.com/connect/10074733072513#/reservations/30648223420598?display=Amalendu%20Roy&amp;reservation_id=30648223420598&amp;guest_id=30648223420595", "Amalendu Roy")</f>
        <v>Amalendu Roy</v>
      </c>
      <c r="E1427" t="s">
        <v>302</v>
      </c>
      <c r="F1427" t="s">
        <v>89</v>
      </c>
      <c r="G1427">
        <v>127.2</v>
      </c>
      <c r="H1427">
        <v>138.26</v>
      </c>
      <c r="I1427">
        <v>138.27000000000001</v>
      </c>
      <c r="J1427">
        <v>-0.01</v>
      </c>
    </row>
    <row r="1428" spans="1:10" x14ac:dyDescent="0.3">
      <c r="A1428" t="str">
        <f>HYPERLINK("https://us2.cloudbeds.com/connect/10074733072513#/reservations/30648228421836?display=YQ4A90KF2&amp;reservation_id=30648228421836", "YQ4A90KF2")</f>
        <v>YQ4A90KF2</v>
      </c>
      <c r="B1428" t="s">
        <v>10</v>
      </c>
      <c r="C1428" t="s">
        <v>14</v>
      </c>
      <c r="D1428" t="str">
        <f>HYPERLINK("https://us2.cloudbeds.com/connect/10074733072513#/reservations/30648228421836?display=Kendra%20Newbold&amp;reservation_id=30648228421836&amp;guest_id=30648223420596", "Kendra Newbold")</f>
        <v>Kendra Newbold</v>
      </c>
      <c r="E1428" t="s">
        <v>303</v>
      </c>
      <c r="F1428" t="s">
        <v>89</v>
      </c>
      <c r="G1428">
        <v>127.2</v>
      </c>
      <c r="H1428">
        <v>138.26</v>
      </c>
      <c r="I1428">
        <v>138.27000000000001</v>
      </c>
      <c r="J1428">
        <v>-0.01</v>
      </c>
    </row>
    <row r="1429" spans="1:10" x14ac:dyDescent="0.3">
      <c r="A1429" t="str">
        <f>HYPERLINK("https://us2.cloudbeds.com/connect/10074733072513#/reservations/30648653959390?display=YQ4Y4RRCF&amp;reservation_id=30648653959390", "YQ4Y4RRCF")</f>
        <v>YQ4Y4RRCF</v>
      </c>
      <c r="B1429" t="s">
        <v>10</v>
      </c>
      <c r="C1429" t="s">
        <v>20</v>
      </c>
      <c r="D1429" t="str">
        <f>HYPERLINK("https://us2.cloudbeds.com/connect/10074733072513#/reservations/30648653959390?display=Nicholas%20Hagen&amp;reservation_id=30648653959390&amp;guest_id=30648649359504", "Nicholas Hagen")</f>
        <v>Nicholas Hagen</v>
      </c>
      <c r="E1429" t="s">
        <v>304</v>
      </c>
      <c r="F1429" t="s">
        <v>277</v>
      </c>
      <c r="G1429">
        <v>103.2</v>
      </c>
      <c r="H1429">
        <v>112.17</v>
      </c>
      <c r="I1429">
        <v>112.18</v>
      </c>
      <c r="J1429">
        <v>-0.01</v>
      </c>
    </row>
    <row r="1430" spans="1:10" x14ac:dyDescent="0.3">
      <c r="A1430" t="str">
        <f>HYPERLINK("https://us2.cloudbeds.com/connect/10074733072513#/reservations/30648929157344?display=YQ4S5TKDD&amp;reservation_id=30648929157344", "YQ4S5TKDD")</f>
        <v>YQ4S5TKDD</v>
      </c>
      <c r="B1430" t="s">
        <v>10</v>
      </c>
      <c r="C1430" t="s">
        <v>20</v>
      </c>
      <c r="D1430" t="str">
        <f>HYPERLINK("https://us2.cloudbeds.com/connect/10074733072513#/reservations/30648929157344?display=Mingjie%20Piao&amp;reservation_id=30648929157344&amp;guest_id=30648929157328", "Mingjie Piao")</f>
        <v>Mingjie Piao</v>
      </c>
      <c r="E1430" t="s">
        <v>305</v>
      </c>
      <c r="F1430" t="s">
        <v>306</v>
      </c>
      <c r="G1430">
        <v>103.2</v>
      </c>
      <c r="H1430">
        <v>112.17</v>
      </c>
      <c r="I1430">
        <v>112.18</v>
      </c>
      <c r="J1430">
        <v>-0.01</v>
      </c>
    </row>
    <row r="1431" spans="1:10" x14ac:dyDescent="0.3">
      <c r="A1431" t="str">
        <f>HYPERLINK("https://us2.cloudbeds.com/connect/10074733072513#/reservations/30648213700805?display=YQ49TJWH7&amp;reservation_id=30648213700805", "YQ49TJWH7")</f>
        <v>YQ49TJWH7</v>
      </c>
      <c r="B1431" t="s">
        <v>10</v>
      </c>
      <c r="C1431" t="s">
        <v>11</v>
      </c>
      <c r="D1431" t="str">
        <f>HYPERLINK("https://us2.cloudbeds.com/connect/10074733072513#/reservations/30648213700805?display=Andrea%20Coenen&amp;reservation_id=30648213700805&amp;guest_id=30648213700802", "Andrea Coenen")</f>
        <v>Andrea Coenen</v>
      </c>
      <c r="E1431" t="s">
        <v>307</v>
      </c>
      <c r="F1431" t="s">
        <v>89</v>
      </c>
      <c r="G1431">
        <v>127.2</v>
      </c>
      <c r="H1431">
        <v>138.26</v>
      </c>
      <c r="I1431">
        <v>138.27000000000001</v>
      </c>
      <c r="J1431">
        <v>-0.01</v>
      </c>
    </row>
    <row r="1432" spans="1:10" x14ac:dyDescent="0.3">
      <c r="A1432" t="str">
        <f>HYPERLINK("https://us2.cloudbeds.com/connect/10074733072513#/reservations/30648236757152?display=YQ4AG1XXD&amp;reservation_id=30648236757152", "YQ4AG1XXD")</f>
        <v>YQ4AG1XXD</v>
      </c>
      <c r="B1432" t="s">
        <v>10</v>
      </c>
      <c r="C1432" t="s">
        <v>14</v>
      </c>
      <c r="D1432" t="str">
        <f>HYPERLINK("https://us2.cloudbeds.com/connect/10074733072513#/reservations/30648236757152?display=Edward%20Sepek&amp;reservation_id=30648236757152&amp;guest_id=30648236757150", "Edward Sepek")</f>
        <v>Edward Sepek</v>
      </c>
      <c r="E1432" t="s">
        <v>308</v>
      </c>
      <c r="F1432" t="s">
        <v>89</v>
      </c>
      <c r="G1432">
        <v>127.2</v>
      </c>
      <c r="H1432">
        <v>138.26</v>
      </c>
      <c r="I1432">
        <v>138.27000000000001</v>
      </c>
      <c r="J1432">
        <v>-0.01</v>
      </c>
    </row>
    <row r="1433" spans="1:10" x14ac:dyDescent="0.3">
      <c r="A1433" t="str">
        <f>HYPERLINK("https://us2.cloudbeds.com/connect/10074733072513#/reservations/30647367618815?display=YQ3Y95GZ1&amp;reservation_id=30647367618815", "YQ3Y95GZ1")</f>
        <v>YQ3Y95GZ1</v>
      </c>
      <c r="B1433" t="s">
        <v>10</v>
      </c>
      <c r="C1433" t="s">
        <v>14</v>
      </c>
      <c r="D1433" t="str">
        <f>HYPERLINK("https://us2.cloudbeds.com/connect/10074733072513#/reservations/30647367618815?display=Ramiro%20Aranda%20Jr&amp;reservation_id=30647367618815&amp;guest_id=30647367618813", "Ramiro Aranda Jr")</f>
        <v>Ramiro Aranda Jr</v>
      </c>
      <c r="E1433" t="s">
        <v>309</v>
      </c>
      <c r="F1433" t="s">
        <v>310</v>
      </c>
      <c r="G1433">
        <v>76.16</v>
      </c>
      <c r="H1433">
        <v>82.78</v>
      </c>
      <c r="I1433">
        <v>82.79</v>
      </c>
      <c r="J1433">
        <v>-0.01</v>
      </c>
    </row>
    <row r="1434" spans="1:10" x14ac:dyDescent="0.3">
      <c r="A1434" t="str">
        <f>HYPERLINK("https://us2.cloudbeds.com/connect/10074733072513#/reservations/30647362973858?display=YQ3Y588CP&amp;reservation_id=30647362973858", "YQ3Y588CP")</f>
        <v>YQ3Y588CP</v>
      </c>
      <c r="B1434" t="s">
        <v>10</v>
      </c>
      <c r="C1434" t="s">
        <v>14</v>
      </c>
      <c r="D1434" t="str">
        <f>HYPERLINK("https://us2.cloudbeds.com/connect/10074733072513#/reservations/30647362973858?display=Galo%20Degillo&amp;reservation_id=30647362973858&amp;guest_id=30647362973851", "Galo Degillo")</f>
        <v>Galo Degillo</v>
      </c>
      <c r="E1434" t="s">
        <v>309</v>
      </c>
      <c r="F1434" t="s">
        <v>310</v>
      </c>
      <c r="G1434">
        <v>76.16</v>
      </c>
      <c r="H1434">
        <v>82.78</v>
      </c>
      <c r="I1434">
        <v>82.79</v>
      </c>
      <c r="J1434">
        <v>-0.01</v>
      </c>
    </row>
    <row r="1435" spans="1:10" x14ac:dyDescent="0.3">
      <c r="A1435" t="str">
        <f>HYPERLINK("https://us2.cloudbeds.com/connect/10074733072513#/reservations/30647354962125?display=YQ3KVGADW&amp;reservation_id=30647354962125", "YQ3KVGADW")</f>
        <v>YQ3KVGADW</v>
      </c>
      <c r="B1435" t="s">
        <v>10</v>
      </c>
      <c r="C1435" t="s">
        <v>42</v>
      </c>
      <c r="D1435" t="str">
        <f>HYPERLINK("https://us2.cloudbeds.com/connect/10074733072513#/reservations/30647354962125?display=Brandi%20Waite&amp;reservation_id=30647354962125&amp;guest_id=30647354962123", "Brandi Waite")</f>
        <v>Brandi Waite</v>
      </c>
      <c r="E1435" t="s">
        <v>311</v>
      </c>
      <c r="F1435" t="s">
        <v>310</v>
      </c>
      <c r="G1435">
        <v>87.2</v>
      </c>
      <c r="H1435">
        <v>94.78</v>
      </c>
      <c r="I1435">
        <v>94.79</v>
      </c>
      <c r="J1435">
        <v>-0.01</v>
      </c>
    </row>
    <row r="1436" spans="1:10" x14ac:dyDescent="0.3">
      <c r="A1436" t="str">
        <f>HYPERLINK("https://us2.cloudbeds.com/connect/10074733072513#/reservations/30647339536526?display=YQ3KXG2GJ&amp;reservation_id=30647339536526", "YQ3KXG2GJ")</f>
        <v>YQ3KXG2GJ</v>
      </c>
      <c r="B1436" t="s">
        <v>10</v>
      </c>
      <c r="C1436" t="s">
        <v>20</v>
      </c>
      <c r="D1436" t="str">
        <f>HYPERLINK("https://us2.cloudbeds.com/connect/10074733072513#/reservations/30647339536526?display=Marie%20Fournier&amp;reservation_id=30647339536526&amp;guest_id=30647339536521", "Marie Fournier")</f>
        <v>Marie Fournier</v>
      </c>
      <c r="E1436" t="s">
        <v>312</v>
      </c>
      <c r="F1436" t="s">
        <v>310</v>
      </c>
      <c r="G1436">
        <v>87.2</v>
      </c>
      <c r="H1436">
        <v>94.78</v>
      </c>
      <c r="I1436">
        <v>94.79</v>
      </c>
      <c r="J1436">
        <v>-0.01</v>
      </c>
    </row>
    <row r="1437" spans="1:10" x14ac:dyDescent="0.3">
      <c r="A1437" t="str">
        <f>HYPERLINK("https://us2.cloudbeds.com/connect/10074733072513#/reservations/30647920275632?display=YQ42D5WUA&amp;reservation_id=30647920275632", "YQ42D5WUA")</f>
        <v>YQ42D5WUA</v>
      </c>
      <c r="B1437" t="s">
        <v>10</v>
      </c>
      <c r="C1437" t="s">
        <v>42</v>
      </c>
      <c r="D1437" t="str">
        <f>HYPERLINK("https://us2.cloudbeds.com/connect/10074733072513#/reservations/30647920275632?display=Nancy%20Boyd&amp;reservation_id=30647920275632&amp;guest_id=30647920275628", "Nancy Boyd")</f>
        <v>Nancy Boyd</v>
      </c>
      <c r="E1437" t="s">
        <v>313</v>
      </c>
      <c r="F1437" t="s">
        <v>89</v>
      </c>
      <c r="G1437">
        <v>152.19999999999999</v>
      </c>
      <c r="H1437">
        <v>165.43</v>
      </c>
      <c r="I1437">
        <v>165.44</v>
      </c>
      <c r="J1437">
        <v>-0.01</v>
      </c>
    </row>
    <row r="1438" spans="1:10" x14ac:dyDescent="0.3">
      <c r="A1438" t="str">
        <f>HYPERLINK("https://us2.cloudbeds.com/connect/10074733072513#/reservations/30648249274608?display=YQ4AQJT08&amp;reservation_id=30648249274608", "YQ4AQJT08")</f>
        <v>YQ4AQJT08</v>
      </c>
      <c r="B1438" t="s">
        <v>10</v>
      </c>
      <c r="C1438" t="s">
        <v>42</v>
      </c>
      <c r="D1438" t="str">
        <f>HYPERLINK("https://us2.cloudbeds.com/connect/10074733072513#/reservations/30648249274608?display=William%20Simmons&amp;reservation_id=30648249274608&amp;guest_id=30648249274593", "William Simmons")</f>
        <v>William Simmons</v>
      </c>
      <c r="E1438" t="s">
        <v>314</v>
      </c>
      <c r="F1438" t="s">
        <v>89</v>
      </c>
      <c r="G1438">
        <v>127.2</v>
      </c>
      <c r="H1438">
        <v>138.26</v>
      </c>
      <c r="I1438">
        <v>138.27000000000001</v>
      </c>
      <c r="J1438">
        <v>-0.01</v>
      </c>
    </row>
    <row r="1439" spans="1:10" x14ac:dyDescent="0.3">
      <c r="A1439" t="str">
        <f>HYPERLINK("https://us2.cloudbeds.com/connect/10074733072513#/reservations/30649053515907?display=YQ4VBP2JM&amp;reservation_id=30649053515907", "YQ4VBP2JM")</f>
        <v>YQ4VBP2JM</v>
      </c>
      <c r="B1439" t="s">
        <v>10</v>
      </c>
      <c r="C1439" t="s">
        <v>14</v>
      </c>
      <c r="D1439" t="str">
        <f>HYPERLINK("https://us2.cloudbeds.com/connect/10074733072513#/reservations/30649053515907?display=Jorge%20A%20Landeros&amp;reservation_id=30649053515907&amp;guest_id=30649048461475", "Jorge A Landeros")</f>
        <v>Jorge A Landeros</v>
      </c>
      <c r="E1439" t="s">
        <v>315</v>
      </c>
      <c r="F1439" t="s">
        <v>306</v>
      </c>
      <c r="G1439">
        <v>76.16</v>
      </c>
      <c r="H1439">
        <v>82.78</v>
      </c>
      <c r="I1439">
        <v>82.79</v>
      </c>
      <c r="J1439">
        <v>-0.01</v>
      </c>
    </row>
    <row r="1440" spans="1:10" x14ac:dyDescent="0.3">
      <c r="A1440" t="str">
        <f>HYPERLINK("https://us2.cloudbeds.com/connect/10074733072513#/reservations/30648942711010?display=YQ4SHAPCX&amp;reservation_id=30648942711010", "YQ4SHAPCX")</f>
        <v>YQ4SHAPCX</v>
      </c>
      <c r="B1440" t="s">
        <v>10</v>
      </c>
      <c r="C1440" t="s">
        <v>20</v>
      </c>
      <c r="D1440" t="str">
        <f>HYPERLINK("https://us2.cloudbeds.com/connect/10074733072513#/reservations/30648942711010?display=John%20Kurowski&amp;reservation_id=30648942711010&amp;guest_id=30648942711005", "John Kurowski")</f>
        <v>John Kurowski</v>
      </c>
      <c r="E1440" t="s">
        <v>316</v>
      </c>
      <c r="F1440" t="s">
        <v>306</v>
      </c>
      <c r="G1440">
        <v>196.2</v>
      </c>
      <c r="H1440">
        <v>213.26</v>
      </c>
      <c r="I1440">
        <v>213.27</v>
      </c>
      <c r="J1440">
        <v>-0.01</v>
      </c>
    </row>
    <row r="1441" spans="1:10" x14ac:dyDescent="0.3">
      <c r="A1441" t="str">
        <f>HYPERLINK("https://us2.cloudbeds.com/connect/10074733072513#/reservations/30647603200131?display=YQ3R9QTRQ&amp;reservation_id=30647603200131", "YQ3R9QTRQ")</f>
        <v>YQ3R9QTRQ</v>
      </c>
      <c r="B1441" t="s">
        <v>10</v>
      </c>
      <c r="C1441" t="s">
        <v>14</v>
      </c>
      <c r="D1441" t="str">
        <f>HYPERLINK("https://us2.cloudbeds.com/connect/10074733072513#/reservations/30647603200131?display=Michelle%20Kimpton&amp;reservation_id=30647603200131&amp;guest_id=30647603200129", "Michelle Kimpton")</f>
        <v>Michelle Kimpton</v>
      </c>
      <c r="E1441" t="s">
        <v>317</v>
      </c>
      <c r="F1441" t="s">
        <v>277</v>
      </c>
      <c r="G1441">
        <v>103.2</v>
      </c>
      <c r="H1441">
        <v>112.17</v>
      </c>
      <c r="I1441">
        <v>112.18</v>
      </c>
      <c r="J1441">
        <v>-0.01</v>
      </c>
    </row>
    <row r="1442" spans="1:10" x14ac:dyDescent="0.3">
      <c r="A1442" t="str">
        <f>HYPERLINK("https://us2.cloudbeds.com/connect/10074733072513#/reservations/30648266944711?display=YQ4B8GXWU&amp;reservation_id=30648266944711", "YQ4B8GXWU")</f>
        <v>YQ4B8GXWU</v>
      </c>
      <c r="B1442" t="s">
        <v>10</v>
      </c>
      <c r="C1442" t="s">
        <v>20</v>
      </c>
      <c r="D1442" t="str">
        <f>HYPERLINK("https://us2.cloudbeds.com/connect/10074733072513#/reservations/30648266944711?display=Hope%20Whirlwind%20Soldier&amp;reservation_id=30648266944711&amp;guest_id=30648266940630", "Hope Whirlwind Soldier")</f>
        <v>Hope Whirlwind Soldier</v>
      </c>
      <c r="E1442" t="s">
        <v>318</v>
      </c>
      <c r="F1442" t="s">
        <v>179</v>
      </c>
      <c r="G1442">
        <v>87.2</v>
      </c>
      <c r="H1442">
        <v>94.78</v>
      </c>
      <c r="I1442">
        <v>94.79</v>
      </c>
      <c r="J1442">
        <v>-0.01</v>
      </c>
    </row>
    <row r="1443" spans="1:10" x14ac:dyDescent="0.3">
      <c r="A1443" t="str">
        <f>HYPERLINK("https://us2.cloudbeds.com/connect/10074733072513#/reservations/30648084795526?display=YQ46JU06Y&amp;reservation_id=30648084795526", "YQ46JU06Y")</f>
        <v>YQ46JU06Y</v>
      </c>
      <c r="B1443" t="s">
        <v>10</v>
      </c>
      <c r="C1443" t="s">
        <v>20</v>
      </c>
      <c r="D1443" t="str">
        <f>HYPERLINK("https://us2.cloudbeds.com/connect/10074733072513#/reservations/30648084795526?display=David%20Krumm&amp;reservation_id=30648084795526&amp;guest_id=30648084791484", "David Krumm")</f>
        <v>David Krumm</v>
      </c>
      <c r="E1443" t="s">
        <v>319</v>
      </c>
      <c r="F1443" t="s">
        <v>225</v>
      </c>
      <c r="G1443">
        <v>87.2</v>
      </c>
      <c r="H1443">
        <v>94.78</v>
      </c>
      <c r="I1443">
        <v>94.79</v>
      </c>
      <c r="J1443">
        <v>-0.01</v>
      </c>
    </row>
    <row r="1444" spans="1:10" x14ac:dyDescent="0.3">
      <c r="A1444" t="str">
        <f>HYPERLINK("https://us2.cloudbeds.com/connect/10074733072513#/reservations/30649144316092?display=YQ50MAZ0F&amp;reservation_id=30649144316092", "YQ50MAZ0F")</f>
        <v>YQ50MAZ0F</v>
      </c>
      <c r="B1444" t="s">
        <v>10</v>
      </c>
      <c r="C1444" t="s">
        <v>20</v>
      </c>
      <c r="D1444" t="str">
        <f>HYPERLINK("https://us2.cloudbeds.com/connect/10074733072513#/reservations/30649144316092?display=Marty%20Hornstein&amp;reservation_id=30649144316092&amp;guest_id=30649144316087", "Marty Hornstein")</f>
        <v>Marty Hornstein</v>
      </c>
      <c r="E1444" t="s">
        <v>320</v>
      </c>
      <c r="F1444" t="s">
        <v>321</v>
      </c>
      <c r="G1444">
        <v>87.2</v>
      </c>
      <c r="H1444">
        <v>94.78</v>
      </c>
      <c r="I1444">
        <v>94.79</v>
      </c>
      <c r="J1444">
        <v>-0.01</v>
      </c>
    </row>
    <row r="1445" spans="1:10" x14ac:dyDescent="0.3">
      <c r="A1445" t="str">
        <f>HYPERLINK("https://us2.cloudbeds.com/connect/10074733072513#/reservations/30648248639673?display=YQ4AQ26VQ&amp;reservation_id=30648248639673", "YQ4AQ26VQ")</f>
        <v>YQ4AQ26VQ</v>
      </c>
      <c r="B1445" t="s">
        <v>10</v>
      </c>
      <c r="C1445" t="s">
        <v>14</v>
      </c>
      <c r="D1445" t="str">
        <f>HYPERLINK("https://us2.cloudbeds.com/connect/10074733072513#/reservations/30648248639673?display=Natalie%20Wayne&amp;reservation_id=30648248639673&amp;guest_id=30648248639669", "Natalie Wayne")</f>
        <v>Natalie Wayne</v>
      </c>
      <c r="E1445" t="s">
        <v>322</v>
      </c>
      <c r="F1445" t="s">
        <v>179</v>
      </c>
      <c r="G1445">
        <v>87.2</v>
      </c>
      <c r="H1445">
        <v>94.78</v>
      </c>
      <c r="I1445">
        <v>94.79</v>
      </c>
      <c r="J1445">
        <v>-0.01</v>
      </c>
    </row>
    <row r="1446" spans="1:10" x14ac:dyDescent="0.3">
      <c r="A1446" t="str">
        <f>HYPERLINK("https://us2.cloudbeds.com/connect/10074733072513#/reservations/30648924389512?display=YQ4S1SV7Y&amp;reservation_id=30648924389512", "YQ4S1SV7Y")</f>
        <v>YQ4S1SV7Y</v>
      </c>
      <c r="B1446" t="s">
        <v>10</v>
      </c>
      <c r="C1446" t="s">
        <v>20</v>
      </c>
      <c r="D1446" t="str">
        <f>HYPERLINK("https://us2.cloudbeds.com/connect/10074733072513#/reservations/30648924389512?display=Glynis%20Peterson&amp;reservation_id=30648924389512&amp;guest_id=30648924389510", "Glynis Peterson")</f>
        <v>Glynis Peterson</v>
      </c>
      <c r="E1446" t="s">
        <v>323</v>
      </c>
      <c r="F1446" t="s">
        <v>306</v>
      </c>
      <c r="G1446">
        <v>103.2</v>
      </c>
      <c r="H1446">
        <v>112.17</v>
      </c>
      <c r="I1446">
        <v>112.18</v>
      </c>
      <c r="J1446">
        <v>-0.01</v>
      </c>
    </row>
    <row r="1447" spans="1:10" x14ac:dyDescent="0.3">
      <c r="A1447" t="str">
        <f>HYPERLINK("https://us2.cloudbeds.com/connect/10074733072513#/reservations/30648483004593?display=YQ4GPMP32&amp;reservation_id=30648483004593", "YQ4GPMP32")</f>
        <v>YQ4GPMP32</v>
      </c>
      <c r="B1447" t="s">
        <v>10</v>
      </c>
      <c r="C1447" t="s">
        <v>20</v>
      </c>
      <c r="D1447" t="str">
        <f>HYPERLINK("https://us2.cloudbeds.com/connect/10074733072513#/reservations/30648483004593?display=Holly%20Rye&amp;reservation_id=30648483004593&amp;guest_id=30648483004591", "Holly Rye")</f>
        <v>Holly Rye</v>
      </c>
      <c r="E1447" t="s">
        <v>324</v>
      </c>
      <c r="F1447" t="s">
        <v>325</v>
      </c>
      <c r="G1447">
        <v>103.2</v>
      </c>
      <c r="H1447">
        <v>112.17</v>
      </c>
      <c r="I1447">
        <v>112.18</v>
      </c>
      <c r="J1447">
        <v>-0.01</v>
      </c>
    </row>
    <row r="1448" spans="1:10" x14ac:dyDescent="0.3">
      <c r="A1448" t="str">
        <f>HYPERLINK("https://us2.cloudbeds.com/connect/10074733072513#/reservations/30648221810886?display=YQ4A3EYQ8&amp;reservation_id=30648221810886", "YQ4A3EYQ8")</f>
        <v>YQ4A3EYQ8</v>
      </c>
      <c r="B1448" t="s">
        <v>10</v>
      </c>
      <c r="C1448" t="s">
        <v>20</v>
      </c>
      <c r="D1448" t="str">
        <f>HYPERLINK("https://us2.cloudbeds.com/connect/10074733072513#/reservations/30648221810886?display=Abigail%20Hanson&amp;reservation_id=30648221810886&amp;guest_id=30648221810881", "Abigail Hanson")</f>
        <v>Abigail Hanson</v>
      </c>
      <c r="E1448" t="s">
        <v>329</v>
      </c>
      <c r="F1448" t="s">
        <v>179</v>
      </c>
      <c r="G1448">
        <v>103.2</v>
      </c>
      <c r="H1448">
        <v>112.17</v>
      </c>
      <c r="I1448">
        <v>112.18</v>
      </c>
      <c r="J1448">
        <v>-0.01</v>
      </c>
    </row>
    <row r="1449" spans="1:10" x14ac:dyDescent="0.3">
      <c r="A1449" t="str">
        <f>HYPERLINK("https://us2.cloudbeds.com/connect/10074733072513#/reservations/30649055412439?display=YQ4VDBS4C&amp;reservation_id=30649055412439", "YQ4VDBS4C")</f>
        <v>YQ4VDBS4C</v>
      </c>
      <c r="B1449" t="s">
        <v>10</v>
      </c>
      <c r="C1449" t="s">
        <v>11</v>
      </c>
      <c r="D1449" t="str">
        <f>HYPERLINK("https://us2.cloudbeds.com/connect/10074733072513#/reservations/30649055412439?display=Charles%20Kelly&amp;reservation_id=30649055412439&amp;guest_id=30649055412437", "Charles Kelly")</f>
        <v>Charles Kelly</v>
      </c>
      <c r="E1449" t="s">
        <v>330</v>
      </c>
      <c r="F1449" t="s">
        <v>306</v>
      </c>
      <c r="G1449">
        <v>87.2</v>
      </c>
      <c r="H1449">
        <v>94.78</v>
      </c>
      <c r="I1449">
        <v>94.79</v>
      </c>
      <c r="J1449">
        <v>-0.01</v>
      </c>
    </row>
    <row r="1450" spans="1:10" x14ac:dyDescent="0.3">
      <c r="A1450" t="str">
        <f>HYPERLINK("https://us2.cloudbeds.com/connect/10074733072513#/reservations/30648345678049?display=YQ4D8TEZY&amp;reservation_id=30648345678049", "YQ4D8TEZY")</f>
        <v>YQ4D8TEZY</v>
      </c>
      <c r="B1450" t="s">
        <v>10</v>
      </c>
      <c r="C1450" t="s">
        <v>11</v>
      </c>
      <c r="D1450" t="str">
        <f>HYPERLINK("https://us2.cloudbeds.com/connect/10074733072513#/reservations/30648345678049?display=Marie%20Schmitz&amp;reservation_id=30648345678049&amp;guest_id=30648345678046", "Marie Schmitz")</f>
        <v>Marie Schmitz</v>
      </c>
      <c r="E1450" t="s">
        <v>331</v>
      </c>
      <c r="F1450" t="s">
        <v>332</v>
      </c>
      <c r="G1450">
        <v>87.2</v>
      </c>
      <c r="H1450">
        <v>94.78</v>
      </c>
      <c r="I1450">
        <v>94.79</v>
      </c>
      <c r="J1450">
        <v>-0.01</v>
      </c>
    </row>
    <row r="1451" spans="1:10" x14ac:dyDescent="0.3">
      <c r="A1451" t="str">
        <f>HYPERLINK("https://us2.cloudbeds.com/connect/10074733072513#/reservations/30649060360365?display=YQ4VHHHMH&amp;reservation_id=30649060360365", "YQ4VHHHMH")</f>
        <v>YQ4VHHHMH</v>
      </c>
      <c r="B1451" t="s">
        <v>10</v>
      </c>
      <c r="C1451" t="s">
        <v>11</v>
      </c>
      <c r="D1451" t="str">
        <f>HYPERLINK("https://us2.cloudbeds.com/connect/10074733072513#/reservations/30649060360365?display=Jacob%20Gregory%20Schwartz&amp;reservation_id=30649060360365&amp;guest_id=30649060360363", "Jacob Gregory Schwartz")</f>
        <v>Jacob Gregory Schwartz</v>
      </c>
      <c r="E1451" t="s">
        <v>333</v>
      </c>
      <c r="F1451" t="s">
        <v>306</v>
      </c>
      <c r="G1451">
        <v>76.16</v>
      </c>
      <c r="H1451">
        <v>82.78</v>
      </c>
      <c r="I1451">
        <v>82.79</v>
      </c>
      <c r="J1451">
        <v>-0.01</v>
      </c>
    </row>
    <row r="1452" spans="1:10" x14ac:dyDescent="0.3">
      <c r="A1452" t="str">
        <f>HYPERLINK("https://us2.cloudbeds.com/connect/10074733072513#/reservations/30648822022368?display=YQ4PEXE5W&amp;reservation_id=30648822022368", "YQ4PEXE5W")</f>
        <v>YQ4PEXE5W</v>
      </c>
      <c r="B1452" t="s">
        <v>10</v>
      </c>
      <c r="C1452" t="s">
        <v>20</v>
      </c>
      <c r="D1452" t="str">
        <f>HYPERLINK("https://us2.cloudbeds.com/connect/10074733072513#/reservations/30648822022368?display=Carrie%20Calo&amp;reservation_id=30648822022368&amp;guest_id=30648822022363", "Carrie Calo")</f>
        <v>Carrie Calo</v>
      </c>
      <c r="E1452" t="s">
        <v>334</v>
      </c>
      <c r="F1452" t="s">
        <v>335</v>
      </c>
      <c r="G1452">
        <v>87.2</v>
      </c>
      <c r="H1452">
        <v>94.78</v>
      </c>
      <c r="I1452">
        <v>94.79</v>
      </c>
      <c r="J1452">
        <v>-0.01</v>
      </c>
    </row>
    <row r="1453" spans="1:10" x14ac:dyDescent="0.3">
      <c r="A1453" t="str">
        <f>HYPERLINK("https://us2.cloudbeds.com/connect/10074733072513#/reservations/30649024667891?display=YQ4UKEB7D&amp;reservation_id=30649024667891", "YQ4UKEB7D")</f>
        <v>YQ4UKEB7D</v>
      </c>
      <c r="B1453" t="s">
        <v>10</v>
      </c>
      <c r="C1453" t="s">
        <v>20</v>
      </c>
      <c r="D1453" t="str">
        <f>HYPERLINK("https://us2.cloudbeds.com/connect/10074733072513#/reservations/30649024667891?display=Luca%20Laiolo&amp;reservation_id=30649024667891&amp;guest_id=30649024667886", "Luca Laiolo")</f>
        <v>Luca Laiolo</v>
      </c>
      <c r="E1453" t="s">
        <v>336</v>
      </c>
      <c r="F1453" t="s">
        <v>306</v>
      </c>
      <c r="G1453">
        <v>87.2</v>
      </c>
      <c r="H1453">
        <v>94.78</v>
      </c>
      <c r="I1453">
        <v>94.79</v>
      </c>
      <c r="J1453">
        <v>-0.01</v>
      </c>
    </row>
    <row r="1454" spans="1:10" x14ac:dyDescent="0.3">
      <c r="A1454" t="str">
        <f>HYPERLINK("https://us2.cloudbeds.com/connect/10074733072513#/reservations/30647192269029?display=YQ3GQA4Y5&amp;reservation_id=30647192269029", "YQ3GQA4Y5")</f>
        <v>YQ3GQA4Y5</v>
      </c>
      <c r="B1454" t="s">
        <v>10</v>
      </c>
      <c r="C1454" t="s">
        <v>20</v>
      </c>
      <c r="D1454" t="str">
        <f>HYPERLINK("https://us2.cloudbeds.com/connect/10074733072513#/reservations/30647192269029?display=Katie%20Rigg&amp;reservation_id=30647192269029&amp;guest_id=30647192269027", "Katie Rigg")</f>
        <v>Katie Rigg</v>
      </c>
      <c r="E1454" t="s">
        <v>337</v>
      </c>
      <c r="F1454" t="s">
        <v>174</v>
      </c>
      <c r="G1454">
        <v>134.1</v>
      </c>
      <c r="H1454">
        <v>145.76</v>
      </c>
      <c r="I1454">
        <v>145.77000000000001</v>
      </c>
      <c r="J1454">
        <v>-0.01</v>
      </c>
    </row>
    <row r="1455" spans="1:10" x14ac:dyDescent="0.3">
      <c r="A1455" t="str">
        <f>HYPERLINK("https://us2.cloudbeds.com/connect/10074733072513#/reservations/30648827887798?display=YQ4PJGY89&amp;reservation_id=30648827887798", "YQ4PJGY89")</f>
        <v>YQ4PJGY89</v>
      </c>
      <c r="B1455" t="s">
        <v>10</v>
      </c>
      <c r="C1455" t="s">
        <v>14</v>
      </c>
      <c r="D1455" t="str">
        <f>HYPERLINK("https://us2.cloudbeds.com/connect/10074733072513#/reservations/30648827887798?display=Noel%20Perez&amp;reservation_id=30648827887798&amp;guest_id=30648827887795", "Noel Perez")</f>
        <v>Noel Perez</v>
      </c>
      <c r="E1455" t="s">
        <v>338</v>
      </c>
      <c r="F1455" t="s">
        <v>335</v>
      </c>
      <c r="G1455">
        <v>196.2</v>
      </c>
      <c r="H1455">
        <v>213.26</v>
      </c>
      <c r="I1455">
        <v>213.27</v>
      </c>
      <c r="J1455">
        <v>-0.01</v>
      </c>
    </row>
    <row r="1456" spans="1:10" x14ac:dyDescent="0.3">
      <c r="A1456" t="str">
        <f>HYPERLINK("https://us2.cloudbeds.com/connect/10074733072513#/reservations/30648817938562?display=YQ4PB3Q49&amp;reservation_id=30648817938562", "YQ4PB3Q49")</f>
        <v>YQ4PB3Q49</v>
      </c>
      <c r="B1456" t="s">
        <v>10</v>
      </c>
      <c r="C1456" t="s">
        <v>14</v>
      </c>
      <c r="D1456" t="str">
        <f>HYPERLINK("https://us2.cloudbeds.com/connect/10074733072513#/reservations/30648817938562?display=Marshall%20Namken&amp;reservation_id=30648817938562&amp;guest_id=30648811925660", "Marshall Namken")</f>
        <v>Marshall Namken</v>
      </c>
      <c r="E1456" t="s">
        <v>338</v>
      </c>
      <c r="F1456" t="s">
        <v>335</v>
      </c>
      <c r="G1456">
        <v>196.2</v>
      </c>
      <c r="H1456">
        <v>213.26</v>
      </c>
      <c r="I1456">
        <v>213.27</v>
      </c>
      <c r="J1456">
        <v>-0.01</v>
      </c>
    </row>
    <row r="1457" spans="1:10" x14ac:dyDescent="0.3">
      <c r="A1457" t="str">
        <f>HYPERLINK("https://us2.cloudbeds.com/connect/10074733072513#/reservations/30648793702614?display=YQ4ZNMCTK&amp;reservation_id=30648793702614", "YQ4ZNMCTK")</f>
        <v>YQ4ZNMCTK</v>
      </c>
      <c r="B1457" t="s">
        <v>10</v>
      </c>
      <c r="C1457" t="s">
        <v>14</v>
      </c>
      <c r="D1457" t="str">
        <f>HYPERLINK("https://us2.cloudbeds.com/connect/10074733072513#/reservations/30648793702614?display=Kyle%20Seppanen&amp;reservation_id=30648793702614&amp;guest_id=30648793702609", "Kyle Seppanen")</f>
        <v>Kyle Seppanen</v>
      </c>
      <c r="E1457" t="s">
        <v>338</v>
      </c>
      <c r="F1457" t="s">
        <v>335</v>
      </c>
      <c r="G1457">
        <v>196.2</v>
      </c>
      <c r="H1457">
        <v>213.26</v>
      </c>
      <c r="I1457">
        <v>213.27</v>
      </c>
      <c r="J1457">
        <v>-0.01</v>
      </c>
    </row>
    <row r="1458" spans="1:10" x14ac:dyDescent="0.3">
      <c r="A1458" t="str">
        <f>HYPERLINK("https://us2.cloudbeds.com/connect/10074733072513#/reservations/30648772157658?display=YQ4Z5GSZ5&amp;reservation_id=30648772157658", "YQ4Z5GSZ5")</f>
        <v>YQ4Z5GSZ5</v>
      </c>
      <c r="B1458" t="s">
        <v>10</v>
      </c>
      <c r="C1458" t="s">
        <v>14</v>
      </c>
      <c r="D1458" t="str">
        <f>HYPERLINK("https://us2.cloudbeds.com/connect/10074733072513#/reservations/30648772157658?display=Caleb%20Seppanen&amp;reservation_id=30648772157658&amp;guest_id=30648772157656", "Caleb Seppanen")</f>
        <v>Caleb Seppanen</v>
      </c>
      <c r="E1458" t="s">
        <v>338</v>
      </c>
      <c r="F1458" t="s">
        <v>335</v>
      </c>
      <c r="G1458">
        <v>196.2</v>
      </c>
      <c r="H1458">
        <v>213.26</v>
      </c>
      <c r="I1458">
        <v>213.27</v>
      </c>
      <c r="J1458">
        <v>-0.01</v>
      </c>
    </row>
    <row r="1459" spans="1:10" x14ac:dyDescent="0.3">
      <c r="A1459" t="str">
        <f>HYPERLINK("https://us2.cloudbeds.com/connect/10074733072513#/reservations/30649068048558?display=YQ4VZ0FX1&amp;reservation_id=30649068048558", "YQ4VZ0FX1")</f>
        <v>YQ4VZ0FX1</v>
      </c>
      <c r="B1459" t="s">
        <v>10</v>
      </c>
      <c r="C1459" t="s">
        <v>14</v>
      </c>
      <c r="D1459" t="str">
        <f>HYPERLINK("https://us2.cloudbeds.com/connect/10074733072513#/reservations/30649068048558?display=Jake%20Lesofski&amp;reservation_id=30649068048558&amp;guest_id=30649068048553", "Jake Lesofski")</f>
        <v>Jake Lesofski</v>
      </c>
      <c r="E1459" t="s">
        <v>339</v>
      </c>
      <c r="F1459" t="s">
        <v>306</v>
      </c>
      <c r="G1459">
        <v>76.16</v>
      </c>
      <c r="H1459">
        <v>82.78</v>
      </c>
      <c r="I1459">
        <v>82.79</v>
      </c>
      <c r="J1459">
        <v>-0.01</v>
      </c>
    </row>
    <row r="1460" spans="1:10" x14ac:dyDescent="0.3">
      <c r="A1460" t="str">
        <f>HYPERLINK("https://us2.cloudbeds.com/connect/10074733072513#/reservations/30648271896757?display=YQ4BCMCAU&amp;reservation_id=30648271896757", "YQ4BCMCAU")</f>
        <v>YQ4BCMCAU</v>
      </c>
      <c r="B1460" t="s">
        <v>10</v>
      </c>
      <c r="C1460" t="s">
        <v>14</v>
      </c>
      <c r="D1460" t="str">
        <f>HYPERLINK("https://us2.cloudbeds.com/connect/10074733072513#/reservations/30648271896757?display=Terry%20Gerney&amp;reservation_id=30648271896757&amp;guest_id=30648271896755", "Terry Gerney")</f>
        <v>Terry Gerney</v>
      </c>
      <c r="E1460" t="s">
        <v>340</v>
      </c>
      <c r="F1460" t="s">
        <v>179</v>
      </c>
      <c r="G1460">
        <v>76.16</v>
      </c>
      <c r="H1460">
        <v>82.78</v>
      </c>
      <c r="I1460">
        <v>82.79</v>
      </c>
      <c r="J1460">
        <v>-0.01</v>
      </c>
    </row>
    <row r="1461" spans="1:10" x14ac:dyDescent="0.3">
      <c r="A1461" t="str">
        <f>HYPERLINK("https://us2.cloudbeds.com/connect/10074733072513#/reservations/30648264552689?display=YQ4B6G0FC&amp;reservation_id=30648264552689", "YQ4B6G0FC")</f>
        <v>YQ4B6G0FC</v>
      </c>
      <c r="B1461" t="s">
        <v>10</v>
      </c>
      <c r="C1461" t="s">
        <v>20</v>
      </c>
      <c r="D1461" t="str">
        <f>HYPERLINK("https://us2.cloudbeds.com/connect/10074733072513#/reservations/30648264552689?display=Tammy%20Corneliusen&amp;reservation_id=30648264552689&amp;guest_id=30648259149985", "Tammy Corneliusen")</f>
        <v>Tammy Corneliusen</v>
      </c>
      <c r="E1461" t="s">
        <v>341</v>
      </c>
      <c r="F1461" t="s">
        <v>179</v>
      </c>
      <c r="G1461">
        <v>103.2</v>
      </c>
      <c r="H1461">
        <v>112.17</v>
      </c>
      <c r="I1461">
        <v>112.18</v>
      </c>
      <c r="J1461">
        <v>-0.01</v>
      </c>
    </row>
    <row r="1462" spans="1:10" x14ac:dyDescent="0.3">
      <c r="A1462" t="str">
        <f>HYPERLINK("https://us2.cloudbeds.com/connect/10074733072513#/reservations/30647424417996?display=YQ3MZ20UB&amp;reservation_id=30647424417996", "YQ3MZ20UB")</f>
        <v>YQ3MZ20UB</v>
      </c>
      <c r="B1462" t="s">
        <v>10</v>
      </c>
      <c r="C1462" t="s">
        <v>11</v>
      </c>
      <c r="D1462" t="str">
        <f>HYPERLINK("https://us2.cloudbeds.com/connect/10074733072513#/reservations/30647424417996?display=Julie%20Blair&amp;reservation_id=30647424417996&amp;guest_id=30647424417994", "Julie Blair")</f>
        <v>Julie Blair</v>
      </c>
      <c r="E1462" t="s">
        <v>342</v>
      </c>
      <c r="F1462" t="s">
        <v>343</v>
      </c>
      <c r="G1462">
        <v>337.4</v>
      </c>
      <c r="H1462">
        <v>366.74</v>
      </c>
      <c r="I1462">
        <v>366.75</v>
      </c>
      <c r="J1462">
        <v>-0.01</v>
      </c>
    </row>
    <row r="1463" spans="1:10" x14ac:dyDescent="0.3">
      <c r="A1463" t="str">
        <f>HYPERLINK("https://us2.cloudbeds.com/connect/10074733072513#/reservations/30647577538710?display=YQ3QY5RKV&amp;reservation_id=30647577538710", "YQ3QY5RKV")</f>
        <v>YQ3QY5RKV</v>
      </c>
      <c r="B1463" t="s">
        <v>10</v>
      </c>
      <c r="C1463" t="s">
        <v>20</v>
      </c>
      <c r="D1463" t="str">
        <f>HYPERLINK("https://us2.cloudbeds.com/connect/10074733072513#/reservations/30647577538710?display=Darin%20Kozinski&amp;reservation_id=30647577538710&amp;guest_id=30647567909053", "Darin Kozinski")</f>
        <v>Darin Kozinski</v>
      </c>
      <c r="E1463" t="s">
        <v>344</v>
      </c>
      <c r="F1463" t="s">
        <v>277</v>
      </c>
      <c r="G1463">
        <v>143.19999999999999</v>
      </c>
      <c r="H1463">
        <v>155.65</v>
      </c>
      <c r="I1463">
        <v>155.66</v>
      </c>
      <c r="J1463">
        <v>-0.01</v>
      </c>
    </row>
    <row r="1464" spans="1:10" x14ac:dyDescent="0.3">
      <c r="A1464" t="str">
        <f>HYPERLINK("https://us2.cloudbeds.com/connect/10074733072513#/reservations/30648243433630?display=YQ4AYMBCU&amp;reservation_id=30648243433630", "YQ4AYMBCU")</f>
        <v>YQ4AYMBCU</v>
      </c>
      <c r="B1464" t="s">
        <v>10</v>
      </c>
      <c r="C1464" t="s">
        <v>11</v>
      </c>
      <c r="D1464" t="str">
        <f>HYPERLINK("https://us2.cloudbeds.com/connect/10074733072513#/reservations/30648243433630?display=Stacie%20Lynn%20King&amp;reservation_id=30648243433630&amp;guest_id=30648243433628", "Stacie Lynn King")</f>
        <v>Stacie Lynn King</v>
      </c>
      <c r="E1464" t="s">
        <v>345</v>
      </c>
      <c r="F1464" t="s">
        <v>179</v>
      </c>
      <c r="G1464">
        <v>76.16</v>
      </c>
      <c r="H1464">
        <v>82.78</v>
      </c>
      <c r="I1464">
        <v>82.79</v>
      </c>
      <c r="J1464">
        <v>-0.01</v>
      </c>
    </row>
    <row r="1465" spans="1:10" x14ac:dyDescent="0.3">
      <c r="A1465" t="str">
        <f>HYPERLINK("https://us2.cloudbeds.com/connect/10074733072513#/reservations/30649673269396?display=YQ5DV33ZH&amp;reservation_id=30649673269396", "YQ5DV33ZH")</f>
        <v>YQ5DV33ZH</v>
      </c>
      <c r="B1465" t="s">
        <v>10</v>
      </c>
      <c r="C1465" t="s">
        <v>14</v>
      </c>
      <c r="D1465" t="str">
        <f>HYPERLINK("https://us2.cloudbeds.com/connect/10074733072513#/reservations/30649673269396?display=Rich%20Spiczka&amp;reservation_id=30649673269396&amp;guest_id=30649663475851", "Rich Spiczka")</f>
        <v>Rich Spiczka</v>
      </c>
      <c r="E1465" t="s">
        <v>346</v>
      </c>
      <c r="F1465" t="s">
        <v>335</v>
      </c>
      <c r="G1465">
        <v>87.2</v>
      </c>
      <c r="H1465">
        <v>94.78</v>
      </c>
      <c r="I1465">
        <v>94.79</v>
      </c>
      <c r="J1465">
        <v>-0.01</v>
      </c>
    </row>
    <row r="1466" spans="1:10" x14ac:dyDescent="0.3">
      <c r="A1466" t="str">
        <f>HYPERLINK("https://us2.cloudbeds.com/connect/10074733072513#/reservations/30648381911226?display=YQ4E6EMNN&amp;reservation_id=30648381911226", "YQ4E6EMNN")</f>
        <v>YQ4E6EMNN</v>
      </c>
      <c r="B1466" t="s">
        <v>10</v>
      </c>
      <c r="C1466" t="s">
        <v>20</v>
      </c>
      <c r="D1466" t="str">
        <f>HYPERLINK("https://us2.cloudbeds.com/connect/10074733072513#/reservations/30648381911226?display=Jeambar%20Denis&amp;reservation_id=30648381911226&amp;guest_id=30648381911177", "Jeambar Denis")</f>
        <v>Jeambar Denis</v>
      </c>
      <c r="E1466" t="s">
        <v>347</v>
      </c>
      <c r="F1466" t="s">
        <v>348</v>
      </c>
      <c r="G1466">
        <v>87.2</v>
      </c>
      <c r="H1466">
        <v>94.78</v>
      </c>
      <c r="I1466">
        <v>94.79</v>
      </c>
      <c r="J1466">
        <v>-0.01</v>
      </c>
    </row>
    <row r="1467" spans="1:10" x14ac:dyDescent="0.3">
      <c r="A1467" t="str">
        <f>HYPERLINK("https://us2.cloudbeds.com/connect/10074733072513#/reservations/30647214252224?display=YQ3H4MQYN&amp;reservation_id=30647214252224", "YQ3H4MQYN")</f>
        <v>YQ3H4MQYN</v>
      </c>
      <c r="B1467" t="s">
        <v>10</v>
      </c>
      <c r="C1467" t="s">
        <v>14</v>
      </c>
      <c r="D1467" t="str">
        <f>HYPERLINK("https://us2.cloudbeds.com/connect/10074733072513#/reservations/30647214252224?display=Dawn%20Malcolm&amp;reservation_id=30647214252224&amp;guest_id=30647205769376", "Dawn Malcolm")</f>
        <v>Dawn Malcolm</v>
      </c>
      <c r="E1467" t="s">
        <v>349</v>
      </c>
      <c r="F1467" t="s">
        <v>174</v>
      </c>
      <c r="G1467">
        <v>100.08</v>
      </c>
      <c r="H1467">
        <v>108.78</v>
      </c>
      <c r="I1467">
        <v>108.79</v>
      </c>
      <c r="J1467">
        <v>-0.01</v>
      </c>
    </row>
    <row r="1468" spans="1:10" x14ac:dyDescent="0.3">
      <c r="A1468" t="str">
        <f>HYPERLINK("https://us2.cloudbeds.com/connect/10074733072513#/reservations/30649031622803?display=YQ4UQ9SZA&amp;reservation_id=30649031622803", "YQ4UQ9SZA")</f>
        <v>YQ4UQ9SZA</v>
      </c>
      <c r="B1468" t="s">
        <v>10</v>
      </c>
      <c r="C1468" t="s">
        <v>20</v>
      </c>
      <c r="D1468" t="str">
        <f>HYPERLINK("https://us2.cloudbeds.com/connect/10074733072513#/reservations/30649031622803?display=Steven%20Barker&amp;reservation_id=30649031622803&amp;guest_id=30649031622799", "Steven Barker")</f>
        <v>Steven Barker</v>
      </c>
      <c r="E1468" t="s">
        <v>350</v>
      </c>
      <c r="F1468" t="s">
        <v>351</v>
      </c>
      <c r="G1468">
        <v>103.2</v>
      </c>
      <c r="H1468">
        <v>112.17</v>
      </c>
      <c r="I1468">
        <v>112.18</v>
      </c>
      <c r="J1468">
        <v>-0.01</v>
      </c>
    </row>
    <row r="1469" spans="1:10" x14ac:dyDescent="0.3">
      <c r="A1469" t="str">
        <f>HYPERLINK("https://us2.cloudbeds.com/connect/10074733072513#/reservations/30648330731674?display=YQ4CT9HT6&amp;reservation_id=30648330731674", "YQ4CT9HT6")</f>
        <v>YQ4CT9HT6</v>
      </c>
      <c r="B1469" t="s">
        <v>10</v>
      </c>
      <c r="C1469" t="s">
        <v>14</v>
      </c>
      <c r="D1469" t="str">
        <f>HYPERLINK("https://us2.cloudbeds.com/connect/10074733072513#/reservations/30648330731674?display=John%20Partin&amp;reservation_id=30648330731674&amp;guest_id=30647461654663", "John Partin")</f>
        <v>John Partin</v>
      </c>
      <c r="E1469" t="s">
        <v>352</v>
      </c>
      <c r="F1469" t="s">
        <v>353</v>
      </c>
      <c r="G1469">
        <v>76.16</v>
      </c>
      <c r="H1469">
        <v>82.78</v>
      </c>
      <c r="I1469">
        <v>82.79</v>
      </c>
      <c r="J1469">
        <v>-0.01</v>
      </c>
    </row>
    <row r="1470" spans="1:10" x14ac:dyDescent="0.3">
      <c r="A1470" t="str">
        <f>HYPERLINK("https://us2.cloudbeds.com/connect/10074733072513#/reservations/30648328409285?display=YQ4CRAU9P&amp;reservation_id=30648328409285", "YQ4CRAU9P")</f>
        <v>YQ4CRAU9P</v>
      </c>
      <c r="B1470" t="s">
        <v>10</v>
      </c>
      <c r="C1470" t="s">
        <v>14</v>
      </c>
      <c r="D1470" t="str">
        <f>HYPERLINK("https://us2.cloudbeds.com/connect/10074733072513#/reservations/30648328409285?display=Robert%20Delgado&amp;reservation_id=30648328409285&amp;guest_id=30648328409281", "Robert Delgado")</f>
        <v>Robert Delgado</v>
      </c>
      <c r="E1470" t="s">
        <v>354</v>
      </c>
      <c r="F1470" t="s">
        <v>353</v>
      </c>
      <c r="G1470">
        <v>87.2</v>
      </c>
      <c r="H1470">
        <v>94.78</v>
      </c>
      <c r="I1470">
        <v>94.79</v>
      </c>
      <c r="J1470">
        <v>-0.01</v>
      </c>
    </row>
    <row r="1471" spans="1:10" x14ac:dyDescent="0.3">
      <c r="A1471" t="str">
        <f>HYPERLINK("https://us2.cloudbeds.com/connect/10074733072513#/reservations/30648366547139?display=YQ4DQG59A&amp;reservation_id=30648366547139", "YQ4DQG59A")</f>
        <v>YQ4DQG59A</v>
      </c>
      <c r="B1471" t="s">
        <v>10</v>
      </c>
      <c r="C1471" t="s">
        <v>20</v>
      </c>
      <c r="D1471" t="str">
        <f>HYPERLINK("https://us2.cloudbeds.com/connect/10074733072513#/reservations/30648366547139?display=Jennifer%20Garvey&amp;reservation_id=30648366547139&amp;guest_id=30648366543046", "Jennifer Garvey")</f>
        <v>Jennifer Garvey</v>
      </c>
      <c r="E1471" t="s">
        <v>355</v>
      </c>
      <c r="F1471" t="s">
        <v>348</v>
      </c>
      <c r="G1471">
        <v>103.2</v>
      </c>
      <c r="H1471">
        <v>112.17</v>
      </c>
      <c r="I1471">
        <v>112.18</v>
      </c>
      <c r="J1471">
        <v>-0.01</v>
      </c>
    </row>
    <row r="1472" spans="1:10" x14ac:dyDescent="0.3">
      <c r="A1472" t="str">
        <f>HYPERLINK("https://us2.cloudbeds.com/connect/10074733072513#/reservations/30647917203618?display=YQ42AJGVW&amp;reservation_id=30647917203618", "YQ42AJGVW")</f>
        <v>YQ42AJGVW</v>
      </c>
      <c r="B1472" t="s">
        <v>10</v>
      </c>
      <c r="C1472" t="s">
        <v>11</v>
      </c>
      <c r="D1472" t="str">
        <f>HYPERLINK("https://us2.cloudbeds.com/connect/10074733072513#/reservations/30647917203618?display=Cary%20Pelletier&amp;reservation_id=30647917203618&amp;guest_id=30647910842512", "Cary Pelletier")</f>
        <v>Cary Pelletier</v>
      </c>
      <c r="E1472" t="s">
        <v>356</v>
      </c>
      <c r="F1472" t="s">
        <v>357</v>
      </c>
      <c r="G1472">
        <v>174.4</v>
      </c>
      <c r="H1472">
        <v>189.56</v>
      </c>
      <c r="I1472">
        <v>189.57</v>
      </c>
      <c r="J1472">
        <v>-0.01</v>
      </c>
    </row>
    <row r="1473" spans="1:10" x14ac:dyDescent="0.3">
      <c r="A1473" t="str">
        <f>HYPERLINK("https://us2.cloudbeds.com/connect/10074733072513#/reservations/30649024647323?display=YQ4UKDPB4&amp;reservation_id=30649024647323", "YQ4UKDPB4")</f>
        <v>YQ4UKDPB4</v>
      </c>
      <c r="B1473" t="s">
        <v>10</v>
      </c>
      <c r="C1473" t="s">
        <v>20</v>
      </c>
      <c r="D1473" t="str">
        <f>HYPERLINK("https://us2.cloudbeds.com/connect/10074733072513#/reservations/30649024647323?display=Jennifer%20Garvey&amp;reservation_id=30649024647323&amp;guest_id=30649017852106", "Jennifer Garvey")</f>
        <v>Jennifer Garvey</v>
      </c>
      <c r="E1473" t="s">
        <v>358</v>
      </c>
      <c r="F1473" t="s">
        <v>351</v>
      </c>
      <c r="G1473">
        <v>103.2</v>
      </c>
      <c r="H1473">
        <v>112.17</v>
      </c>
      <c r="I1473">
        <v>112.18</v>
      </c>
      <c r="J1473">
        <v>-0.01</v>
      </c>
    </row>
    <row r="1474" spans="1:10" x14ac:dyDescent="0.3">
      <c r="A1474" t="str">
        <f>HYPERLINK("https://us2.cloudbeds.com/connect/10074733072513#/reservations/30649678426269?display=YQ5EAN4AB&amp;reservation_id=30649678426269", "YQ5EAN4AB")</f>
        <v>YQ5EAN4AB</v>
      </c>
      <c r="B1474" t="s">
        <v>10</v>
      </c>
      <c r="C1474" t="s">
        <v>20</v>
      </c>
      <c r="D1474" t="str">
        <f>HYPERLINK("https://us2.cloudbeds.com/connect/10074733072513#/reservations/30649678426269?display=Junxiao%20Wang%20Kejian%20Wang%20Xiaojun%20Feng&amp;reservation_id=30649678426269&amp;guest_id=30649676349636", "Junxiao Wang Kejian Wang Xiaojun Feng")</f>
        <v>Junxiao Wang Kejian Wang Xiaojun Feng</v>
      </c>
      <c r="E1474" t="s">
        <v>359</v>
      </c>
      <c r="F1474" t="s">
        <v>335</v>
      </c>
      <c r="G1474">
        <v>103.2</v>
      </c>
      <c r="H1474">
        <v>112.17</v>
      </c>
      <c r="I1474">
        <v>112.18</v>
      </c>
      <c r="J1474">
        <v>-0.01</v>
      </c>
    </row>
    <row r="1475" spans="1:10" x14ac:dyDescent="0.3">
      <c r="A1475" t="str">
        <f>HYPERLINK("https://us2.cloudbeds.com/connect/10074733072513#/reservations/30647392932084?display=YQ3YUGT7Q&amp;reservation_id=30647392932084", "YQ3YUGT7Q")</f>
        <v>YQ3YUGT7Q</v>
      </c>
      <c r="B1475" t="s">
        <v>10</v>
      </c>
      <c r="C1475" t="s">
        <v>42</v>
      </c>
      <c r="D1475" t="str">
        <f>HYPERLINK("https://us2.cloudbeds.com/connect/10074733072513#/reservations/30647392932084?display=Paul%20Farkas&amp;reservation_id=30647392932084&amp;guest_id=30647382859996", "Paul Farkas")</f>
        <v>Paul Farkas</v>
      </c>
      <c r="E1475" t="s">
        <v>360</v>
      </c>
      <c r="F1475" t="s">
        <v>361</v>
      </c>
      <c r="G1475">
        <v>488</v>
      </c>
      <c r="H1475">
        <v>530.45000000000005</v>
      </c>
      <c r="I1475">
        <v>530.46</v>
      </c>
      <c r="J1475">
        <v>-0.01</v>
      </c>
    </row>
    <row r="1476" spans="1:10" x14ac:dyDescent="0.3">
      <c r="A1476" t="str">
        <f>HYPERLINK("https://us2.cloudbeds.com/connect/10074733072513#/reservations/30647862767815?display=YQ40UMP06&amp;reservation_id=30647862767815", "YQ40UMP06")</f>
        <v>YQ40UMP06</v>
      </c>
      <c r="B1476" t="s">
        <v>10</v>
      </c>
      <c r="C1476" t="s">
        <v>14</v>
      </c>
      <c r="D1476" t="str">
        <f>HYPERLINK("https://us2.cloudbeds.com/connect/10074733072513#/reservations/30647862767815?display=Douglas%20Baer&amp;reservation_id=30647862767815&amp;guest_id=30647862767812", "Douglas Baer")</f>
        <v>Douglas Baer</v>
      </c>
      <c r="E1476" t="s">
        <v>362</v>
      </c>
      <c r="F1476" t="s">
        <v>361</v>
      </c>
      <c r="G1476">
        <v>87.2</v>
      </c>
      <c r="H1476">
        <v>94.78</v>
      </c>
      <c r="I1476">
        <v>94.79</v>
      </c>
      <c r="J1476">
        <v>-0.01</v>
      </c>
    </row>
    <row r="1477" spans="1:10" x14ac:dyDescent="0.3">
      <c r="A1477" t="str">
        <f>HYPERLINK("https://us2.cloudbeds.com/connect/10074733072513#/reservations/30648271651061?display=YQ4BCFHNJ&amp;reservation_id=30648271651061", "YQ4BCFHNJ")</f>
        <v>YQ4BCFHNJ</v>
      </c>
      <c r="B1477" t="s">
        <v>10</v>
      </c>
      <c r="C1477" t="s">
        <v>14</v>
      </c>
      <c r="D1477" t="str">
        <f>HYPERLINK("https://us2.cloudbeds.com/connect/10074733072513#/reservations/30648271651061?display=Linda%20Guzman&amp;reservation_id=30648271651061&amp;guest_id=30648271651059", "Linda Guzman")</f>
        <v>Linda Guzman</v>
      </c>
      <c r="E1477" t="s">
        <v>363</v>
      </c>
      <c r="F1477" t="s">
        <v>332</v>
      </c>
      <c r="G1477">
        <v>76.16</v>
      </c>
      <c r="H1477">
        <v>82.78</v>
      </c>
      <c r="I1477">
        <v>82.79</v>
      </c>
      <c r="J1477">
        <v>-0.01</v>
      </c>
    </row>
    <row r="1478" spans="1:10" x14ac:dyDescent="0.3">
      <c r="A1478" t="str">
        <f>HYPERLINK("https://us2.cloudbeds.com/connect/10074733072513#/reservations/30648319750283?display=YQ4CK0VVP&amp;reservation_id=30648319750283", "YQ4CK0VVP")</f>
        <v>YQ4CK0VVP</v>
      </c>
      <c r="B1478" t="s">
        <v>10</v>
      </c>
      <c r="C1478" t="s">
        <v>14</v>
      </c>
      <c r="D1478" t="str">
        <f>HYPERLINK("https://us2.cloudbeds.com/connect/10074733072513#/reservations/30648319750283?display=Lawrence%20West&amp;reservation_id=30648319750283&amp;guest_id=30648314511611", "Lawrence West")</f>
        <v>Lawrence West</v>
      </c>
      <c r="E1478" t="s">
        <v>364</v>
      </c>
      <c r="F1478" t="s">
        <v>332</v>
      </c>
      <c r="G1478">
        <v>76.16</v>
      </c>
      <c r="H1478">
        <v>82.78</v>
      </c>
      <c r="I1478">
        <v>82.79</v>
      </c>
      <c r="J1478">
        <v>-0.01</v>
      </c>
    </row>
    <row r="1479" spans="1:10" x14ac:dyDescent="0.3">
      <c r="A1479" t="str">
        <f>HYPERLINK("https://us2.cloudbeds.com/connect/10074733072513#/reservations/30648355852427?display=YQ4DHFXK3&amp;reservation_id=30648355852427", "YQ4DHFXK3")</f>
        <v>YQ4DHFXK3</v>
      </c>
      <c r="B1479" t="s">
        <v>10</v>
      </c>
      <c r="C1479" t="s">
        <v>11</v>
      </c>
      <c r="D1479" t="str">
        <f>HYPERLINK("https://us2.cloudbeds.com/connect/10074733072513#/reservations/30648355852427?display=Julie%20Fuerstenau&amp;reservation_id=30648355852427&amp;guest_id=30648355848343", "Julie Fuerstenau")</f>
        <v>Julie Fuerstenau</v>
      </c>
      <c r="E1479" t="s">
        <v>365</v>
      </c>
      <c r="F1479" t="s">
        <v>332</v>
      </c>
      <c r="G1479">
        <v>76.16</v>
      </c>
      <c r="H1479">
        <v>82.78</v>
      </c>
      <c r="I1479">
        <v>82.79</v>
      </c>
      <c r="J1479">
        <v>-0.01</v>
      </c>
    </row>
    <row r="1480" spans="1:10" x14ac:dyDescent="0.3">
      <c r="A1480" t="str">
        <f>HYPERLINK("https://us2.cloudbeds.com/connect/10074733072513#/reservations/30648495276233?display=YQ4H317QU&amp;reservation_id=30648495276233", "YQ4H317QU")</f>
        <v>YQ4H317QU</v>
      </c>
      <c r="B1480" t="s">
        <v>10</v>
      </c>
      <c r="C1480" t="s">
        <v>20</v>
      </c>
      <c r="D1480" t="str">
        <f>HYPERLINK("https://us2.cloudbeds.com/connect/10074733072513#/reservations/30648495276233?display=Nancy%20Anderson&amp;reservation_id=30648495276233&amp;guest_id=30648490205370", "Nancy Anderson")</f>
        <v>Nancy Anderson</v>
      </c>
      <c r="E1480" t="s">
        <v>366</v>
      </c>
      <c r="F1480" t="s">
        <v>325</v>
      </c>
      <c r="G1480">
        <v>214.2</v>
      </c>
      <c r="H1480">
        <v>232.83</v>
      </c>
      <c r="I1480">
        <v>232.84</v>
      </c>
      <c r="J1480">
        <v>-0.01</v>
      </c>
    </row>
    <row r="1481" spans="1:10" x14ac:dyDescent="0.3">
      <c r="A1481" t="str">
        <f>HYPERLINK("https://us2.cloudbeds.com/connect/10074733072513#/reservations/30648751837404?display=YQ4NYCE5T&amp;reservation_id=30648751837404", "YQ4NYCE5T")</f>
        <v>YQ4NYCE5T</v>
      </c>
      <c r="B1481" t="s">
        <v>10</v>
      </c>
      <c r="C1481" t="s">
        <v>14</v>
      </c>
      <c r="D1481" t="str">
        <f>HYPERLINK("https://us2.cloudbeds.com/connect/10074733072513#/reservations/30648751837404?display=Jeff%20Klinkner&amp;reservation_id=30648751837404&amp;guest_id=30645814382843", "Jeff Klinkner")</f>
        <v>Jeff Klinkner</v>
      </c>
      <c r="E1481" t="s">
        <v>368</v>
      </c>
      <c r="F1481" t="s">
        <v>332</v>
      </c>
      <c r="G1481">
        <v>76.16</v>
      </c>
      <c r="H1481">
        <v>82.78</v>
      </c>
      <c r="I1481">
        <v>82.79</v>
      </c>
      <c r="J1481">
        <v>-0.01</v>
      </c>
    </row>
    <row r="1482" spans="1:10" x14ac:dyDescent="0.3">
      <c r="A1482" t="str">
        <f>HYPERLINK("https://us2.cloudbeds.com/connect/10074733072513#/reservations/30648799150307?display=YQ4ZS8WC7&amp;reservation_id=30648799150307", "YQ4ZS8WC7")</f>
        <v>YQ4ZS8WC7</v>
      </c>
      <c r="B1482" t="s">
        <v>10</v>
      </c>
      <c r="C1482" t="s">
        <v>14</v>
      </c>
      <c r="D1482" t="str">
        <f>HYPERLINK("https://us2.cloudbeds.com/connect/10074733072513#/reservations/30648799150307?display=Gloria%20Hunstad&amp;reservation_id=30648799150307&amp;guest_id=30648799146223", "Gloria Hunstad")</f>
        <v>Gloria Hunstad</v>
      </c>
      <c r="E1482" t="s">
        <v>369</v>
      </c>
      <c r="F1482" t="s">
        <v>335</v>
      </c>
      <c r="G1482">
        <v>69.760000000000005</v>
      </c>
      <c r="H1482">
        <v>75.819999999999993</v>
      </c>
      <c r="I1482">
        <v>75.83</v>
      </c>
      <c r="J1482">
        <v>-0.01</v>
      </c>
    </row>
    <row r="1483" spans="1:10" x14ac:dyDescent="0.3">
      <c r="A1483" t="str">
        <f>HYPERLINK("https://us2.cloudbeds.com/connect/10074733072513#/reservations/30648241635577?display=YQ4AK5A9F&amp;reservation_id=30648241635577", "YQ4AK5A9F")</f>
        <v>YQ4AK5A9F</v>
      </c>
      <c r="B1483" t="s">
        <v>10</v>
      </c>
      <c r="C1483" t="s">
        <v>121</v>
      </c>
      <c r="D1483" t="str">
        <f>HYPERLINK("https://us2.cloudbeds.com/connect/10074733072513#/reservations/30648241635577?display=Tyler%20Lannon&amp;reservation_id=30648241635577&amp;guest_id=30648241635568", "Tyler Lannon")</f>
        <v>Tyler Lannon</v>
      </c>
      <c r="E1483" t="s">
        <v>370</v>
      </c>
      <c r="F1483" t="s">
        <v>332</v>
      </c>
      <c r="G1483">
        <v>66.2</v>
      </c>
      <c r="H1483">
        <v>71.95</v>
      </c>
      <c r="I1483">
        <v>71.959999999999994</v>
      </c>
      <c r="J1483">
        <v>-0.01</v>
      </c>
    </row>
    <row r="1484" spans="1:10" x14ac:dyDescent="0.3">
      <c r="A1484" t="str">
        <f>HYPERLINK("https://us2.cloudbeds.com/connect/10074733072513#/reservations/30648756109445?display=YQ4NZWA2M&amp;reservation_id=30648756109445", "YQ4NZWA2M")</f>
        <v>YQ4NZWA2M</v>
      </c>
      <c r="B1484" t="s">
        <v>10</v>
      </c>
      <c r="C1484" t="s">
        <v>20</v>
      </c>
      <c r="D1484" t="str">
        <f>HYPERLINK("https://us2.cloudbeds.com/connect/10074733072513#/reservations/30648756109445?display=Charles%20Cook&amp;reservation_id=30648756109445&amp;guest_id=30648756109442", "Charles Cook")</f>
        <v>Charles Cook</v>
      </c>
      <c r="E1484" t="s">
        <v>371</v>
      </c>
      <c r="F1484" t="s">
        <v>332</v>
      </c>
      <c r="G1484">
        <v>87.2</v>
      </c>
      <c r="H1484">
        <v>94.78</v>
      </c>
      <c r="I1484">
        <v>94.79</v>
      </c>
      <c r="J1484">
        <v>-0.01</v>
      </c>
    </row>
    <row r="1485" spans="1:10" x14ac:dyDescent="0.3">
      <c r="A1485" t="str">
        <f>HYPERLINK("https://us2.cloudbeds.com/connect/10074733072513#/reservations/30649703375074?display=YQ5EVZC4Z&amp;reservation_id=30649703375074", "YQ5EVZC4Z")</f>
        <v>YQ5EVZC4Z</v>
      </c>
      <c r="B1485" t="s">
        <v>10</v>
      </c>
      <c r="C1485" t="s">
        <v>14</v>
      </c>
      <c r="D1485" t="str">
        <f>HYPERLINK("https://us2.cloudbeds.com/connect/10074733072513#/reservations/30649703375074?display=Steve%20Heisler&amp;reservation_id=30649703375074&amp;guest_id=30649703375072", "Steve Heisler")</f>
        <v>Steve Heisler</v>
      </c>
      <c r="E1485" t="s">
        <v>372</v>
      </c>
      <c r="F1485" t="s">
        <v>335</v>
      </c>
      <c r="G1485">
        <v>76.16</v>
      </c>
      <c r="H1485">
        <v>82.78</v>
      </c>
      <c r="I1485">
        <v>82.79</v>
      </c>
      <c r="J1485">
        <v>-0.01</v>
      </c>
    </row>
    <row r="1486" spans="1:10" x14ac:dyDescent="0.3">
      <c r="A1486" t="str">
        <f>HYPERLINK("https://us2.cloudbeds.com/connect/10074733072513#/reservations/30648296538336?display=YQ4C0F21E&amp;reservation_id=30648296538336", "YQ4C0F21E")</f>
        <v>YQ4C0F21E</v>
      </c>
      <c r="B1486" t="s">
        <v>10</v>
      </c>
      <c r="C1486" t="s">
        <v>14</v>
      </c>
      <c r="D1486" t="str">
        <f>HYPERLINK("https://us2.cloudbeds.com/connect/10074733072513#/reservations/30648296538336?display=Michael%20Mcclain&amp;reservation_id=30648296538336&amp;guest_id=30648286146707", "Michael Mcclain")</f>
        <v>Michael Mcclain</v>
      </c>
      <c r="E1486" t="s">
        <v>375</v>
      </c>
      <c r="F1486" t="s">
        <v>376</v>
      </c>
      <c r="G1486">
        <v>87.2</v>
      </c>
      <c r="H1486">
        <v>94.78</v>
      </c>
      <c r="I1486">
        <v>94.79</v>
      </c>
      <c r="J1486">
        <v>-0.01</v>
      </c>
    </row>
    <row r="1487" spans="1:10" x14ac:dyDescent="0.3">
      <c r="A1487" t="str">
        <f>HYPERLINK("https://us2.cloudbeds.com/connect/10074733072513#/reservations/30647820296401?display=YQ3WRSUKY&amp;reservation_id=30647820296401", "YQ3WRSUKY")</f>
        <v>YQ3WRSUKY</v>
      </c>
      <c r="B1487" t="s">
        <v>10</v>
      </c>
      <c r="C1487" t="s">
        <v>14</v>
      </c>
      <c r="D1487" t="str">
        <f>HYPERLINK("https://us2.cloudbeds.com/connect/10074733072513#/reservations/30647820296401?display=Dayna%20Blankenship&amp;reservation_id=30647820296401&amp;guest_id=30647816306817", "Dayna Blankenship")</f>
        <v>Dayna Blankenship</v>
      </c>
      <c r="E1487" t="s">
        <v>377</v>
      </c>
      <c r="F1487" t="s">
        <v>361</v>
      </c>
      <c r="G1487">
        <v>87.2</v>
      </c>
      <c r="H1487">
        <v>94.78</v>
      </c>
      <c r="I1487">
        <v>94.79</v>
      </c>
      <c r="J1487">
        <v>-0.01</v>
      </c>
    </row>
    <row r="1488" spans="1:10" x14ac:dyDescent="0.3">
      <c r="A1488" t="str">
        <f>HYPERLINK("https://us2.cloudbeds.com/connect/10074733072513#/reservations/30648396157071?display=YQ4EXF39W&amp;reservation_id=30648396157071", "YQ4EXF39W")</f>
        <v>YQ4EXF39W</v>
      </c>
      <c r="B1488" t="s">
        <v>10</v>
      </c>
      <c r="C1488" t="s">
        <v>11</v>
      </c>
      <c r="D1488" t="str">
        <f>HYPERLINK("https://us2.cloudbeds.com/connect/10074733072513#/reservations/30648396157071?display=Glen%20Martino&amp;reservation_id=30648396157071&amp;guest_id=30648396157066", "Glen Martino")</f>
        <v>Glen Martino</v>
      </c>
      <c r="E1488" t="s">
        <v>378</v>
      </c>
      <c r="F1488" t="s">
        <v>348</v>
      </c>
      <c r="G1488">
        <v>87.2</v>
      </c>
      <c r="H1488">
        <v>94.78</v>
      </c>
      <c r="I1488">
        <v>94.79</v>
      </c>
      <c r="J1488">
        <v>-0.01</v>
      </c>
    </row>
    <row r="1489" spans="1:10" x14ac:dyDescent="0.3">
      <c r="A1489" t="str">
        <f>HYPERLINK("https://us2.cloudbeds.com/connect/10074733072513#/reservations/30647331061974?display=YQ3KBB8HW&amp;reservation_id=30647331061974", "YQ3KBB8HW")</f>
        <v>YQ3KBB8HW</v>
      </c>
      <c r="B1489" t="s">
        <v>10</v>
      </c>
      <c r="C1489" t="s">
        <v>14</v>
      </c>
      <c r="D1489" t="str">
        <f>HYPERLINK("https://us2.cloudbeds.com/connect/10074733072513#/reservations/30647331061974?display=Alexxis%20Arfsten&amp;reservation_id=30647331061974&amp;guest_id=30647331061963", "Alexxis Arfsten")</f>
        <v>Alexxis Arfsten</v>
      </c>
      <c r="E1489" t="s">
        <v>379</v>
      </c>
      <c r="F1489" t="s">
        <v>270</v>
      </c>
      <c r="G1489">
        <v>76.16</v>
      </c>
      <c r="H1489">
        <v>82.78</v>
      </c>
      <c r="I1489">
        <v>82.79</v>
      </c>
      <c r="J1489">
        <v>-0.01</v>
      </c>
    </row>
    <row r="1490" spans="1:10" x14ac:dyDescent="0.3">
      <c r="A1490" t="str">
        <f>HYPERLINK("https://us2.cloudbeds.com/connect/10074733072513#/reservations/30647870349532?display=YQ4142Z36&amp;reservation_id=30647870349532", "YQ4142Z36")</f>
        <v>YQ4142Z36</v>
      </c>
      <c r="B1490" t="s">
        <v>10</v>
      </c>
      <c r="C1490" t="s">
        <v>11</v>
      </c>
      <c r="D1490" t="str">
        <f>HYPERLINK("https://us2.cloudbeds.com/connect/10074733072513#/reservations/30647870349532?display=Carri%20Crawford&amp;reservation_id=30647870349532&amp;guest_id=30647870349527", "Carri Crawford")</f>
        <v>Carri Crawford</v>
      </c>
      <c r="E1490" t="s">
        <v>380</v>
      </c>
      <c r="F1490" t="s">
        <v>361</v>
      </c>
      <c r="G1490">
        <v>198.4</v>
      </c>
      <c r="H1490">
        <v>215.65</v>
      </c>
      <c r="I1490">
        <v>215.66</v>
      </c>
      <c r="J1490">
        <v>-0.01</v>
      </c>
    </row>
    <row r="1491" spans="1:10" x14ac:dyDescent="0.3">
      <c r="A1491" t="str">
        <f>HYPERLINK("https://us2.cloudbeds.com/connect/10074733072513#/reservations/30647321854195?display=YQ3K3J19C&amp;reservation_id=30647321854195", "YQ3K3J19C")</f>
        <v>YQ3K3J19C</v>
      </c>
      <c r="B1491" t="s">
        <v>10</v>
      </c>
      <c r="C1491" t="s">
        <v>11</v>
      </c>
      <c r="D1491" t="str">
        <f>HYPERLINK("https://us2.cloudbeds.com/connect/10074733072513#/reservations/30647321854195?display=Valerie%20Maimone&amp;reservation_id=30647321854195&amp;guest_id=30647321854193", "Valerie Maimone")</f>
        <v>Valerie Maimone</v>
      </c>
      <c r="E1491" t="s">
        <v>381</v>
      </c>
      <c r="F1491" t="s">
        <v>270</v>
      </c>
      <c r="G1491">
        <v>76.16</v>
      </c>
      <c r="H1491">
        <v>82.78</v>
      </c>
      <c r="I1491">
        <v>82.79</v>
      </c>
      <c r="J1491">
        <v>-0.01</v>
      </c>
    </row>
    <row r="1492" spans="1:10" x14ac:dyDescent="0.3">
      <c r="A1492" t="str">
        <f>HYPERLINK("https://us2.cloudbeds.com/connect/10074733072513#/reservations/30647244341474?display=YQ3X474D1&amp;reservation_id=30647244341474", "YQ3X474D1")</f>
        <v>YQ3X474D1</v>
      </c>
      <c r="B1492" t="s">
        <v>10</v>
      </c>
      <c r="C1492" t="s">
        <v>11</v>
      </c>
      <c r="D1492" t="str">
        <f>HYPERLINK("https://us2.cloudbeds.com/connect/10074733072513#/reservations/30647244341474?display=Roxann%20Lyons&amp;reservation_id=30647244341474&amp;guest_id=30647244341466", "Roxann Lyons")</f>
        <v>Roxann Lyons</v>
      </c>
      <c r="E1492" t="s">
        <v>382</v>
      </c>
      <c r="F1492" t="s">
        <v>270</v>
      </c>
      <c r="G1492">
        <v>76.16</v>
      </c>
      <c r="H1492">
        <v>82.78</v>
      </c>
      <c r="I1492">
        <v>82.79</v>
      </c>
      <c r="J1492">
        <v>-0.01</v>
      </c>
    </row>
    <row r="1493" spans="1:10" x14ac:dyDescent="0.3">
      <c r="A1493" t="str">
        <f>HYPERLINK("https://us2.cloudbeds.com/connect/10074733072513#/reservations/30650672193786?display=YQ66NM5RH&amp;reservation_id=30650672193786", "YQ66NM5RH")</f>
        <v>YQ66NM5RH</v>
      </c>
      <c r="B1493" t="s">
        <v>10</v>
      </c>
      <c r="C1493" t="s">
        <v>20</v>
      </c>
      <c r="D1493" t="str">
        <f>HYPERLINK("https://us2.cloudbeds.com/connect/10074733072513#/reservations/30650672193786?display=Roxann%20Snell&amp;reservation_id=30650672193786&amp;guest_id=30650672193737", "Roxann Snell")</f>
        <v>Roxann Snell</v>
      </c>
      <c r="E1493" t="s">
        <v>383</v>
      </c>
      <c r="F1493" t="s">
        <v>384</v>
      </c>
      <c r="G1493">
        <v>294.3</v>
      </c>
      <c r="H1493">
        <v>319.89</v>
      </c>
      <c r="I1493">
        <v>319.89999999999998</v>
      </c>
      <c r="J1493">
        <v>-0.01</v>
      </c>
    </row>
    <row r="1494" spans="1:10" x14ac:dyDescent="0.3">
      <c r="A1494" t="str">
        <f>HYPERLINK("https://us2.cloudbeds.com/connect/10074733072513#/reservations/30648809422977?display=YQ4P3URG8&amp;reservation_id=30648809422977", "YQ4P3URG8")</f>
        <v>YQ4P3URG8</v>
      </c>
      <c r="B1494" t="s">
        <v>10</v>
      </c>
      <c r="C1494" t="s">
        <v>14</v>
      </c>
      <c r="D1494" t="str">
        <f>HYPERLINK("https://us2.cloudbeds.com/connect/10074733072513#/reservations/30648809422977?display=Jay%20Nielsen&amp;reservation_id=30648809422977&amp;guest_id=30648809418902", "Jay Nielsen")</f>
        <v>Jay Nielsen</v>
      </c>
      <c r="E1494" t="s">
        <v>385</v>
      </c>
      <c r="F1494" t="s">
        <v>45</v>
      </c>
      <c r="G1494">
        <v>134.1</v>
      </c>
      <c r="H1494">
        <v>145.76</v>
      </c>
      <c r="I1494">
        <v>145.77000000000001</v>
      </c>
      <c r="J1494">
        <v>-0.01</v>
      </c>
    </row>
    <row r="1495" spans="1:10" x14ac:dyDescent="0.3">
      <c r="A1495" t="str">
        <f>HYPERLINK("https://us2.cloudbeds.com/connect/10074733072513#/reservations/30648381911179?display=YQ4E6EMM9&amp;reservation_id=30648381911179", "YQ4E6EMM9")</f>
        <v>YQ4E6EMM9</v>
      </c>
      <c r="B1495" t="s">
        <v>10</v>
      </c>
      <c r="C1495" t="s">
        <v>14</v>
      </c>
      <c r="D1495" t="str">
        <f>HYPERLINK("https://us2.cloudbeds.com/connect/10074733072513#/reservations/30648381911179?display=Charles%20Kneyse&amp;reservation_id=30648381911179&amp;guest_id=30647484330119", "Charles Kneyse")</f>
        <v>Charles Kneyse</v>
      </c>
      <c r="E1495" t="s">
        <v>386</v>
      </c>
      <c r="F1495" t="s">
        <v>348</v>
      </c>
      <c r="G1495">
        <v>87.2</v>
      </c>
      <c r="H1495">
        <v>94.78</v>
      </c>
      <c r="I1495">
        <v>94.79</v>
      </c>
      <c r="J1495">
        <v>-0.01</v>
      </c>
    </row>
    <row r="1496" spans="1:10" x14ac:dyDescent="0.3">
      <c r="A1496" t="str">
        <f>HYPERLINK("https://us2.cloudbeds.com/connect/10074733072513#/reservations/30647395569821?display=YQ3YWZ9D7&amp;reservation_id=30647395569821", "YQ3YWZ9D7")</f>
        <v>YQ3YWZ9D7</v>
      </c>
      <c r="B1496" t="s">
        <v>10</v>
      </c>
      <c r="C1496" t="s">
        <v>11</v>
      </c>
      <c r="D1496" t="str">
        <f>HYPERLINK("https://us2.cloudbeds.com/connect/10074733072513#/reservations/30647395569821?display=Phil%20Thompson&amp;reservation_id=30647395569821&amp;guest_id=30647395569819", "Phil Thompson")</f>
        <v>Phil Thompson</v>
      </c>
      <c r="E1496" t="s">
        <v>387</v>
      </c>
      <c r="F1496" t="s">
        <v>388</v>
      </c>
      <c r="G1496">
        <v>103.2</v>
      </c>
      <c r="H1496">
        <v>112.17</v>
      </c>
      <c r="I1496">
        <v>112.18</v>
      </c>
      <c r="J1496">
        <v>-0.01</v>
      </c>
    </row>
    <row r="1497" spans="1:10" x14ac:dyDescent="0.3">
      <c r="A1497" t="str">
        <f>HYPERLINK("https://us2.cloudbeds.com/connect/10074733072513#/reservations/30650391687394?display=YQ5WX4M6R&amp;reservation_id=30650391687394", "YQ5WX4M6R")</f>
        <v>YQ5WX4M6R</v>
      </c>
      <c r="B1497" t="s">
        <v>10</v>
      </c>
      <c r="C1497" t="s">
        <v>14</v>
      </c>
      <c r="D1497" t="str">
        <f>HYPERLINK("https://us2.cloudbeds.com/connect/10074733072513#/reservations/30650391687394?display=Timothy%20Boerger&amp;reservation_id=30650391687394&amp;guest_id=30650391687389", "Timothy Boerger")</f>
        <v>Timothy Boerger</v>
      </c>
      <c r="E1497" t="s">
        <v>389</v>
      </c>
      <c r="F1497" t="s">
        <v>71</v>
      </c>
      <c r="G1497">
        <v>87.2</v>
      </c>
      <c r="H1497">
        <v>94.78</v>
      </c>
      <c r="I1497">
        <v>94.79</v>
      </c>
      <c r="J1497">
        <v>-0.01</v>
      </c>
    </row>
    <row r="1498" spans="1:10" x14ac:dyDescent="0.3">
      <c r="A1498" t="str">
        <f>HYPERLINK("https://us2.cloudbeds.com/connect/10074733072513#/reservations/30647345225886?display=YQ3KN9CTE&amp;reservation_id=30647345225886", "YQ3KN9CTE")</f>
        <v>YQ3KN9CTE</v>
      </c>
      <c r="B1498" t="s">
        <v>10</v>
      </c>
      <c r="C1498" t="s">
        <v>14</v>
      </c>
      <c r="D1498" t="str">
        <f>HYPERLINK("https://us2.cloudbeds.com/connect/10074733072513#/reservations/30647345225886?display=Anne%20Grundahl&amp;reservation_id=30647345225886&amp;guest_id=30647345225883", "Anne Grundahl")</f>
        <v>Anne Grundahl</v>
      </c>
      <c r="E1498" t="s">
        <v>390</v>
      </c>
      <c r="F1498" t="s">
        <v>361</v>
      </c>
      <c r="G1498">
        <v>76.16</v>
      </c>
      <c r="H1498">
        <v>82.78</v>
      </c>
      <c r="I1498">
        <v>82.79</v>
      </c>
      <c r="J1498">
        <v>-0.01</v>
      </c>
    </row>
    <row r="1499" spans="1:10" x14ac:dyDescent="0.3">
      <c r="A1499" t="str">
        <f>HYPERLINK("https://us2.cloudbeds.com/connect/10074733072513#/reservations/30647187538121?display=YQ3GMAGCA&amp;reservation_id=30647187538121", "YQ3GMAGCA")</f>
        <v>YQ3GMAGCA</v>
      </c>
      <c r="B1499" t="s">
        <v>10</v>
      </c>
      <c r="C1499" t="s">
        <v>20</v>
      </c>
      <c r="D1499" t="str">
        <f>HYPERLINK("https://us2.cloudbeds.com/connect/10074733072513#/reservations/30647187538121?display=Jay%20Titchbourne&amp;reservation_id=30647187538121&amp;guest_id=30647187534076", "Jay Titchbourne")</f>
        <v>Jay Titchbourne</v>
      </c>
      <c r="E1499" t="s">
        <v>391</v>
      </c>
      <c r="F1499" t="s">
        <v>270</v>
      </c>
      <c r="G1499">
        <v>87.2</v>
      </c>
      <c r="H1499">
        <v>94.78</v>
      </c>
      <c r="I1499">
        <v>94.79</v>
      </c>
      <c r="J1499">
        <v>-0.01</v>
      </c>
    </row>
    <row r="1500" spans="1:10" x14ac:dyDescent="0.3">
      <c r="A1500" t="str">
        <f>HYPERLINK("https://us2.cloudbeds.com/connect/10074733072513#/reservations/30650292355265?display=YQ5U0CK4A&amp;reservation_id=30650292355265", "YQ5U0CK4A")</f>
        <v>YQ5U0CK4A</v>
      </c>
      <c r="B1500" t="s">
        <v>10</v>
      </c>
      <c r="C1500" t="s">
        <v>11</v>
      </c>
      <c r="D1500" t="str">
        <f>HYPERLINK("https://us2.cloudbeds.com/connect/10074733072513#/reservations/30650292355265?display=David%20Lyons&amp;reservation_id=30650292355265&amp;guest_id=30650282008801", "David Lyons")</f>
        <v>David Lyons</v>
      </c>
      <c r="E1500" t="s">
        <v>392</v>
      </c>
      <c r="F1500" t="s">
        <v>343</v>
      </c>
      <c r="G1500">
        <v>222.4</v>
      </c>
      <c r="H1500">
        <v>241.74</v>
      </c>
      <c r="I1500">
        <v>241.75</v>
      </c>
      <c r="J1500">
        <v>-0.01</v>
      </c>
    </row>
    <row r="1501" spans="1:10" x14ac:dyDescent="0.3">
      <c r="A1501" t="str">
        <f>HYPERLINK("https://us2.cloudbeds.com/connect/10074733072513#/reservations/30647889178764?display=YQ41JVMFW&amp;reservation_id=30647889178764", "YQ41JVMFW")</f>
        <v>YQ41JVMFW</v>
      </c>
      <c r="B1501" t="s">
        <v>10</v>
      </c>
      <c r="C1501" t="s">
        <v>11</v>
      </c>
      <c r="D1501" t="str">
        <f>HYPERLINK("https://us2.cloudbeds.com/connect/10074733072513#/reservations/30647889178764?display=Hilariel%20Pascual&amp;reservation_id=30647889178764&amp;guest_id=30647889178759", "Hilariel Pascual")</f>
        <v>Hilariel Pascual</v>
      </c>
      <c r="E1501" t="s">
        <v>393</v>
      </c>
      <c r="F1501" t="s">
        <v>361</v>
      </c>
      <c r="G1501">
        <v>76.16</v>
      </c>
      <c r="H1501">
        <v>82.78</v>
      </c>
      <c r="I1501">
        <v>82.79</v>
      </c>
      <c r="J1501">
        <v>-0.01</v>
      </c>
    </row>
    <row r="1502" spans="1:10" x14ac:dyDescent="0.3">
      <c r="A1502" t="str">
        <f>HYPERLINK("https://us2.cloudbeds.com/connect/10074733072513#/reservations/30647482265825?display=YQ3Z6RZ1S&amp;reservation_id=30647482265825", "YQ3Z6RZ1S")</f>
        <v>YQ3Z6RZ1S</v>
      </c>
      <c r="B1502" t="s">
        <v>10</v>
      </c>
      <c r="C1502" t="s">
        <v>20</v>
      </c>
      <c r="D1502" t="str">
        <f>HYPERLINK("https://us2.cloudbeds.com/connect/10074733072513#/reservations/30647482265825?display=Scott%20Wagner&amp;reservation_id=30647482265825&amp;guest_id=30647473340628", "Scott Wagner")</f>
        <v>Scott Wagner</v>
      </c>
      <c r="E1502" t="s">
        <v>394</v>
      </c>
      <c r="F1502" t="s">
        <v>395</v>
      </c>
      <c r="G1502">
        <v>87.2</v>
      </c>
      <c r="H1502">
        <v>94.78</v>
      </c>
      <c r="I1502">
        <v>94.79</v>
      </c>
      <c r="J1502">
        <v>-0.01</v>
      </c>
    </row>
    <row r="1503" spans="1:10" x14ac:dyDescent="0.3">
      <c r="A1503" t="str">
        <f>HYPERLINK("https://us2.cloudbeds.com/connect/10074733072513#/reservations/30647363051656?display=YQ3Y5ADR9&amp;reservation_id=30647363051656", "YQ3Y5ADR9")</f>
        <v>YQ3Y5ADR9</v>
      </c>
      <c r="B1503" t="s">
        <v>10</v>
      </c>
      <c r="C1503" t="s">
        <v>14</v>
      </c>
      <c r="D1503" t="str">
        <f>HYPERLINK("https://us2.cloudbeds.com/connect/10074733072513#/reservations/30647363051656?display=Braeden%20Nelson&amp;reservation_id=30647363051656&amp;guest_id=30647356006638", "Braeden Nelson")</f>
        <v>Braeden Nelson</v>
      </c>
      <c r="E1503" t="s">
        <v>397</v>
      </c>
      <c r="F1503" t="s">
        <v>361</v>
      </c>
      <c r="G1503">
        <v>76.16</v>
      </c>
      <c r="H1503">
        <v>82.78</v>
      </c>
      <c r="I1503">
        <v>82.79</v>
      </c>
      <c r="J1503">
        <v>-0.01</v>
      </c>
    </row>
    <row r="1504" spans="1:10" x14ac:dyDescent="0.3">
      <c r="A1504" t="str">
        <f>HYPERLINK("https://us2.cloudbeds.com/connect/10074733072513#/reservations/30648204488916?display=YQ49YRYG2&amp;reservation_id=30648204488916", "YQ49YRYG2")</f>
        <v>YQ49YRYG2</v>
      </c>
      <c r="B1504" t="s">
        <v>10</v>
      </c>
      <c r="C1504" t="s">
        <v>14</v>
      </c>
      <c r="D1504" t="str">
        <f>HYPERLINK("https://us2.cloudbeds.com/connect/10074733072513#/reservations/30648204488916?display=Matt%20Hendrickson&amp;reservation_id=30648204488916&amp;guest_id=30648204488912", "Matt Hendrickson")</f>
        <v>Matt Hendrickson</v>
      </c>
      <c r="E1504" t="s">
        <v>398</v>
      </c>
      <c r="F1504" t="s">
        <v>395</v>
      </c>
      <c r="G1504">
        <v>87.2</v>
      </c>
      <c r="H1504">
        <v>94.78</v>
      </c>
      <c r="I1504">
        <v>94.79</v>
      </c>
      <c r="J1504">
        <v>-0.01</v>
      </c>
    </row>
    <row r="1505" spans="1:10" x14ac:dyDescent="0.3">
      <c r="A1505" t="str">
        <f>HYPERLINK("https://us2.cloudbeds.com/connect/10074733072513#/reservations/30647960486141?display=YQ43E2U5X&amp;reservation_id=30647960486141", "YQ43E2U5X")</f>
        <v>YQ43E2U5X</v>
      </c>
      <c r="B1505" t="s">
        <v>10</v>
      </c>
      <c r="C1505" t="s">
        <v>20</v>
      </c>
      <c r="D1505" t="str">
        <f>HYPERLINK("https://us2.cloudbeds.com/connect/10074733072513#/reservations/30647960486141?display=Nancy%20Ahern&amp;reservation_id=30647960486141&amp;guest_id=30647960486091", "Nancy Ahern")</f>
        <v>Nancy Ahern</v>
      </c>
      <c r="E1505" t="s">
        <v>399</v>
      </c>
      <c r="F1505" t="s">
        <v>400</v>
      </c>
      <c r="G1505">
        <v>103.2</v>
      </c>
      <c r="H1505">
        <v>112.17</v>
      </c>
      <c r="I1505">
        <v>112.18</v>
      </c>
      <c r="J1505">
        <v>-0.01</v>
      </c>
    </row>
    <row r="1506" spans="1:10" x14ac:dyDescent="0.3">
      <c r="A1506" t="str">
        <f>HYPERLINK("https://us2.cloudbeds.com/connect/10074733072513#/reservations/30647969857756?display=YQ43YWMSU&amp;reservation_id=30647969857756", "YQ43YWMSU")</f>
        <v>YQ43YWMSU</v>
      </c>
      <c r="B1506" t="s">
        <v>10</v>
      </c>
      <c r="C1506" t="s">
        <v>14</v>
      </c>
      <c r="D1506" t="str">
        <f>HYPERLINK("https://us2.cloudbeds.com/connect/10074733072513#/reservations/30647969857756?display=Tim%20Blenner&amp;reservation_id=30647969857756&amp;guest_id=30647969857743", "Tim Blenner")</f>
        <v>Tim Blenner</v>
      </c>
      <c r="E1506" t="s">
        <v>401</v>
      </c>
      <c r="F1506" t="s">
        <v>400</v>
      </c>
      <c r="G1506">
        <v>87.2</v>
      </c>
      <c r="H1506">
        <v>94.78</v>
      </c>
      <c r="I1506">
        <v>94.79</v>
      </c>
      <c r="J1506">
        <v>-0.01</v>
      </c>
    </row>
    <row r="1507" spans="1:10" x14ac:dyDescent="0.3">
      <c r="A1507" t="str">
        <f>HYPERLINK("https://us2.cloudbeds.com/connect/10074733072513#/reservations/30647403790520?display=YQ3M6M18A&amp;reservation_id=30647403790520", "YQ3M6M18A")</f>
        <v>YQ3M6M18A</v>
      </c>
      <c r="B1507" t="s">
        <v>10</v>
      </c>
      <c r="C1507" t="s">
        <v>121</v>
      </c>
      <c r="D1507" t="str">
        <f>HYPERLINK("https://us2.cloudbeds.com/connect/10074733072513#/reservations/30647403790520?display=Casey%20Wollman&amp;reservation_id=30647403790520&amp;guest_id=30647403790516", "Casey Wollman")</f>
        <v>Casey Wollman</v>
      </c>
      <c r="E1507" t="s">
        <v>402</v>
      </c>
      <c r="F1507" t="s">
        <v>388</v>
      </c>
      <c r="G1507">
        <v>103.2</v>
      </c>
      <c r="H1507">
        <v>112.17</v>
      </c>
      <c r="I1507">
        <v>112.18</v>
      </c>
      <c r="J1507">
        <v>-0.01</v>
      </c>
    </row>
    <row r="1508" spans="1:10" x14ac:dyDescent="0.3">
      <c r="A1508" t="str">
        <f>HYPERLINK("https://us2.cloudbeds.com/connect/10074733072513#/reservations/30648953966769?display=YQ4SQQW85&amp;reservation_id=30648953966769", "YQ4SQQW85")</f>
        <v>YQ4SQQW85</v>
      </c>
      <c r="B1508" t="s">
        <v>10</v>
      </c>
      <c r="C1508" t="s">
        <v>121</v>
      </c>
      <c r="D1508" t="str">
        <f>HYPERLINK("https://us2.cloudbeds.com/connect/10074733072513#/reservations/30648953966769?display=Richard%20Croucher&amp;reservation_id=30648953966769&amp;guest_id=30648953966767", "Richard Croucher")</f>
        <v>Richard Croucher</v>
      </c>
      <c r="E1508" t="s">
        <v>403</v>
      </c>
      <c r="F1508" t="s">
        <v>45</v>
      </c>
      <c r="G1508">
        <v>222.4</v>
      </c>
      <c r="H1508">
        <v>241.74</v>
      </c>
      <c r="I1508">
        <v>241.75</v>
      </c>
      <c r="J1508">
        <v>-0.01</v>
      </c>
    </row>
    <row r="1509" spans="1:10" x14ac:dyDescent="0.3">
      <c r="A1509" t="str">
        <f>HYPERLINK("https://us2.cloudbeds.com/connect/10074733072513#/reservations/30647382855902?display=YQ3YM0GHV&amp;reservation_id=30647382855902", "YQ3YM0GHV")</f>
        <v>YQ3YM0GHV</v>
      </c>
      <c r="B1509" t="s">
        <v>10</v>
      </c>
      <c r="C1509" t="s">
        <v>121</v>
      </c>
      <c r="D1509" t="str">
        <f>HYPERLINK("https://us2.cloudbeds.com/connect/10074733072513#/reservations/30647382855902?display=Scott%20Reed&amp;reservation_id=30647382855902&amp;guest_id=30647382855900", "Scott Reed")</f>
        <v>Scott Reed</v>
      </c>
      <c r="E1509" t="s">
        <v>404</v>
      </c>
      <c r="F1509" t="s">
        <v>388</v>
      </c>
      <c r="G1509">
        <v>113.2</v>
      </c>
      <c r="H1509">
        <v>123.04</v>
      </c>
      <c r="I1509">
        <v>123.05</v>
      </c>
      <c r="J1509">
        <v>-0.01</v>
      </c>
    </row>
    <row r="1510" spans="1:10" x14ac:dyDescent="0.3">
      <c r="A1510" t="str">
        <f>HYPERLINK("https://us2.cloudbeds.com/connect/10074733072513#/reservations/30648948883673?display=YQ4SMHHXV&amp;reservation_id=30648948883673", "YQ4SMHHXV")</f>
        <v>YQ4SMHHXV</v>
      </c>
      <c r="B1510" t="s">
        <v>10</v>
      </c>
      <c r="C1510" t="s">
        <v>42</v>
      </c>
      <c r="D1510" t="str">
        <f>HYPERLINK("https://us2.cloudbeds.com/connect/10074733072513#/reservations/30648948883673?display=Nicole%20Heintz&amp;reservation_id=30648948883673&amp;guest_id=30648948883668", "Nicole Heintz")</f>
        <v>Nicole Heintz</v>
      </c>
      <c r="E1510" t="s">
        <v>405</v>
      </c>
      <c r="F1510" t="s">
        <v>45</v>
      </c>
      <c r="G1510">
        <v>124.1</v>
      </c>
      <c r="H1510">
        <v>134.88999999999999</v>
      </c>
      <c r="I1510">
        <v>134.9</v>
      </c>
      <c r="J1510">
        <v>-0.01</v>
      </c>
    </row>
    <row r="1511" spans="1:10" x14ac:dyDescent="0.3">
      <c r="A1511" t="str">
        <f>HYPERLINK("https://us2.cloudbeds.com/connect/10074733072513#/reservations/30650196848836?display=YQ5RXS033&amp;reservation_id=30650196848836", "YQ5RXS033")</f>
        <v>YQ5RXS033</v>
      </c>
      <c r="B1511" t="s">
        <v>10</v>
      </c>
      <c r="C1511" t="s">
        <v>14</v>
      </c>
      <c r="D1511" t="str">
        <f>HYPERLINK("https://us2.cloudbeds.com/connect/10074733072513#/reservations/30650196848836?display=Shannon%20Vanhouten&amp;reservation_id=30650196848836&amp;guest_id=30647940980903", "Shannon Vanhouten")</f>
        <v>Shannon Vanhouten</v>
      </c>
      <c r="E1511" t="s">
        <v>406</v>
      </c>
      <c r="F1511" t="s">
        <v>325</v>
      </c>
      <c r="G1511">
        <v>76.16</v>
      </c>
      <c r="H1511">
        <v>82.78</v>
      </c>
      <c r="I1511">
        <v>82.79</v>
      </c>
      <c r="J1511">
        <v>-0.01</v>
      </c>
    </row>
    <row r="1512" spans="1:10" x14ac:dyDescent="0.3">
      <c r="A1512" t="str">
        <f>HYPERLINK("https://us2.cloudbeds.com/connect/10074733072513#/reservations/30647940980907?display=YQ42UY50T&amp;reservation_id=30647940980907", "YQ42UY50T")</f>
        <v>YQ42UY50T</v>
      </c>
      <c r="B1512" t="s">
        <v>10</v>
      </c>
      <c r="C1512" t="s">
        <v>14</v>
      </c>
      <c r="D1512" t="str">
        <f>HYPERLINK("https://us2.cloudbeds.com/connect/10074733072513#/reservations/30647940980907?display=Shannon%20Vanhouten&amp;reservation_id=30647940980907&amp;guest_id=30647940980903", "Shannon Vanhouten")</f>
        <v>Shannon Vanhouten</v>
      </c>
      <c r="E1512" t="s">
        <v>406</v>
      </c>
      <c r="F1512" t="s">
        <v>357</v>
      </c>
      <c r="G1512">
        <v>76.16</v>
      </c>
      <c r="H1512">
        <v>82.78</v>
      </c>
      <c r="I1512">
        <v>82.79</v>
      </c>
      <c r="J1512">
        <v>-0.01</v>
      </c>
    </row>
    <row r="1513" spans="1:10" x14ac:dyDescent="0.3">
      <c r="A1513" t="str">
        <f>HYPERLINK("https://us2.cloudbeds.com/connect/10074733072513#/reservations/30648108032131?display=YQ476GJP6&amp;reservation_id=30648108032131", "YQ476GJP6")</f>
        <v>YQ476GJP6</v>
      </c>
      <c r="B1513" t="s">
        <v>10</v>
      </c>
      <c r="C1513" t="s">
        <v>14</v>
      </c>
      <c r="D1513" t="str">
        <f>HYPERLINK("https://us2.cloudbeds.com/connect/10074733072513#/reservations/30648108032131?display=Tom%20Atkins&amp;reservation_id=30648108032131&amp;guest_id=30648108032129", "Tom Atkins")</f>
        <v>Tom Atkins</v>
      </c>
      <c r="E1513" t="s">
        <v>407</v>
      </c>
      <c r="F1513" t="s">
        <v>300</v>
      </c>
      <c r="G1513">
        <v>178.56</v>
      </c>
      <c r="H1513">
        <v>194.08</v>
      </c>
      <c r="I1513">
        <v>194.09</v>
      </c>
      <c r="J1513">
        <v>-0.01</v>
      </c>
    </row>
    <row r="1514" spans="1:10" x14ac:dyDescent="0.3">
      <c r="A1514" t="str">
        <f>HYPERLINK("https://us2.cloudbeds.com/connect/10074733072513#/reservations/30651907248311?display=YQ7593CS7&amp;reservation_id=30651907248311", "YQ7593CS7")</f>
        <v>YQ7593CS7</v>
      </c>
      <c r="B1514" t="s">
        <v>10</v>
      </c>
      <c r="C1514" t="s">
        <v>23</v>
      </c>
      <c r="D1514" t="str">
        <f>HYPERLINK("https://us2.cloudbeds.com/connect/10074733072513#/reservations/30651907248311?display=Melissa%20Ketterl&amp;reservation_id=30651907248311&amp;guest_id=30651898249373", "Melissa Ketterl")</f>
        <v>Melissa Ketterl</v>
      </c>
      <c r="E1514" t="s">
        <v>408</v>
      </c>
      <c r="F1514" t="s">
        <v>409</v>
      </c>
      <c r="G1514">
        <v>867.3</v>
      </c>
      <c r="H1514">
        <v>942.75</v>
      </c>
      <c r="I1514">
        <v>942.76</v>
      </c>
      <c r="J1514">
        <v>-0.01</v>
      </c>
    </row>
    <row r="1515" spans="1:10" x14ac:dyDescent="0.3">
      <c r="A1515" t="str">
        <f>HYPERLINK("https://us2.cloudbeds.com/connect/10074733072513#/reservations/30650306396301?display=YQ5UC7AY8&amp;reservation_id=30650306396301", "YQ5UC7AY8")</f>
        <v>YQ5UC7AY8</v>
      </c>
      <c r="B1515" t="s">
        <v>10</v>
      </c>
      <c r="C1515" t="s">
        <v>14</v>
      </c>
      <c r="D1515" t="str">
        <f>HYPERLINK("https://us2.cloudbeds.com/connect/10074733072513#/reservations/30650306396301?display=Sara%20Linquist&amp;reservation_id=30650306396301&amp;guest_id=30650306396296", "Sara Linquist")</f>
        <v>Sara Linquist</v>
      </c>
      <c r="E1515" t="s">
        <v>410</v>
      </c>
      <c r="F1515" t="s">
        <v>300</v>
      </c>
      <c r="G1515">
        <v>87.2</v>
      </c>
      <c r="H1515">
        <v>94.78</v>
      </c>
      <c r="I1515">
        <v>94.79</v>
      </c>
      <c r="J1515">
        <v>-0.01</v>
      </c>
    </row>
    <row r="1516" spans="1:10" x14ac:dyDescent="0.3">
      <c r="A1516" t="str">
        <f>HYPERLINK("https://us2.cloudbeds.com/connect/10074733072513#/reservations/30647920177355?display=YQ42D38M7&amp;reservation_id=30647920177355", "YQ42D38M7")</f>
        <v>YQ42D38M7</v>
      </c>
      <c r="B1516" t="s">
        <v>10</v>
      </c>
      <c r="C1516" t="s">
        <v>14</v>
      </c>
      <c r="D1516" t="str">
        <f>HYPERLINK("https://us2.cloudbeds.com/connect/10074733072513#/reservations/30647920177355?display=Clifford%20Aspinall&amp;reservation_id=30647920177355&amp;guest_id=30647920177348", "Clifford Aspinall")</f>
        <v>Clifford Aspinall</v>
      </c>
      <c r="E1516" t="s">
        <v>411</v>
      </c>
      <c r="F1516" t="s">
        <v>357</v>
      </c>
      <c r="G1516">
        <v>76.16</v>
      </c>
      <c r="H1516">
        <v>82.78</v>
      </c>
      <c r="I1516">
        <v>82.79</v>
      </c>
      <c r="J1516">
        <v>-0.01</v>
      </c>
    </row>
    <row r="1517" spans="1:10" x14ac:dyDescent="0.3">
      <c r="A1517" t="str">
        <f>HYPERLINK("https://us2.cloudbeds.com/connect/10074733072513#/reservations/30647905276158?display=YQ420HK9Q&amp;reservation_id=30647905276158", "YQ420HK9Q")</f>
        <v>YQ420HK9Q</v>
      </c>
      <c r="B1517" t="s">
        <v>10</v>
      </c>
      <c r="C1517" t="s">
        <v>20</v>
      </c>
      <c r="D1517" t="str">
        <f>HYPERLINK("https://us2.cloudbeds.com/connect/10074733072513#/reservations/30647905276158?display=Jayne%20Draves&amp;reservation_id=30647905276158&amp;guest_id=30647905276155", "Jayne Draves")</f>
        <v>Jayne Draves</v>
      </c>
      <c r="E1517" t="s">
        <v>412</v>
      </c>
      <c r="F1517" t="s">
        <v>357</v>
      </c>
      <c r="G1517">
        <v>103.2</v>
      </c>
      <c r="H1517">
        <v>112.17</v>
      </c>
      <c r="I1517">
        <v>112.18</v>
      </c>
      <c r="J1517">
        <v>-0.01</v>
      </c>
    </row>
    <row r="1518" spans="1:10" x14ac:dyDescent="0.3">
      <c r="A1518" t="str">
        <f>HYPERLINK("https://us2.cloudbeds.com/connect/10074733072513#/reservations/30649036910825?display=YQ4UUP0JD&amp;reservation_id=30649036910825", "YQ4UUP0JD")</f>
        <v>YQ4UUP0JD</v>
      </c>
      <c r="B1518" t="s">
        <v>10</v>
      </c>
      <c r="C1518" t="s">
        <v>20</v>
      </c>
      <c r="D1518" t="str">
        <f>HYPERLINK("https://us2.cloudbeds.com/connect/10074733072513#/reservations/30649036910825?display=Emily%20Odiase&amp;reservation_id=30649036910825&amp;guest_id=30649036910821", "Emily Odiase")</f>
        <v>Emily Odiase</v>
      </c>
      <c r="E1518" t="s">
        <v>413</v>
      </c>
      <c r="F1518" t="s">
        <v>351</v>
      </c>
      <c r="G1518">
        <v>103.2</v>
      </c>
      <c r="H1518">
        <v>112.17</v>
      </c>
      <c r="I1518">
        <v>112.18</v>
      </c>
      <c r="J1518">
        <v>-0.01</v>
      </c>
    </row>
    <row r="1519" spans="1:10" x14ac:dyDescent="0.3">
      <c r="A1519" t="str">
        <f>HYPERLINK("https://us2.cloudbeds.com/connect/10074733072513#/reservations/30647870345430?display=YQ4142KAT&amp;reservation_id=30647870345430", "YQ4142KAT")</f>
        <v>YQ4142KAT</v>
      </c>
      <c r="B1519" t="s">
        <v>10</v>
      </c>
      <c r="C1519" t="s">
        <v>121</v>
      </c>
      <c r="D1519" t="str">
        <f>HYPERLINK("https://us2.cloudbeds.com/connect/10074733072513#/reservations/30647870345430?display=Thea%20Crimsen&amp;reservation_id=30647870345430&amp;guest_id=30647862767813", "Thea Crimsen")</f>
        <v>Thea Crimsen</v>
      </c>
      <c r="E1519" t="s">
        <v>414</v>
      </c>
      <c r="F1519" t="s">
        <v>357</v>
      </c>
      <c r="G1519">
        <v>87.2</v>
      </c>
      <c r="H1519">
        <v>94.78</v>
      </c>
      <c r="I1519">
        <v>94.79</v>
      </c>
      <c r="J1519">
        <v>-0.01</v>
      </c>
    </row>
    <row r="1520" spans="1:10" x14ac:dyDescent="0.3">
      <c r="A1520" t="str">
        <f>HYPERLINK("https://us2.cloudbeds.com/connect/10074733072513#/reservations/30647949844707?display=YQ4353QDT&amp;reservation_id=30647949844707", "YQ4353QDT")</f>
        <v>YQ4353QDT</v>
      </c>
      <c r="B1520" t="s">
        <v>10</v>
      </c>
      <c r="C1520" t="s">
        <v>20</v>
      </c>
      <c r="D1520" t="str">
        <f>HYPERLINK("https://us2.cloudbeds.com/connect/10074733072513#/reservations/30647949844707?display=Lawrence%20Lavers&amp;reservation_id=30647949844707&amp;guest_id=30647949844705", "Lawrence Lavers")</f>
        <v>Lawrence Lavers</v>
      </c>
      <c r="E1520" t="s">
        <v>415</v>
      </c>
      <c r="F1520" t="s">
        <v>400</v>
      </c>
      <c r="G1520">
        <v>87.2</v>
      </c>
      <c r="H1520">
        <v>94.78</v>
      </c>
      <c r="I1520">
        <v>94.79</v>
      </c>
      <c r="J1520">
        <v>-0.01</v>
      </c>
    </row>
    <row r="1521" spans="1:10" x14ac:dyDescent="0.3">
      <c r="A1521" t="str">
        <f>HYPERLINK("https://us2.cloudbeds.com/connect/10074733072513#/reservations/30647985082532?display=YQ441RBCP&amp;reservation_id=30647985082532", "YQ441RBCP")</f>
        <v>YQ441RBCP</v>
      </c>
      <c r="B1521" t="s">
        <v>10</v>
      </c>
      <c r="C1521" t="s">
        <v>20</v>
      </c>
      <c r="D1521" t="str">
        <f>HYPERLINK("https://us2.cloudbeds.com/connect/10074733072513#/reservations/30647985082532?display=Barbara%20Foy&amp;reservation_id=30647985082532&amp;guest_id=30647985082519", "Barbara Foy")</f>
        <v>Barbara Foy</v>
      </c>
      <c r="E1521" t="s">
        <v>418</v>
      </c>
      <c r="F1521" t="s">
        <v>400</v>
      </c>
      <c r="G1521">
        <v>87.2</v>
      </c>
      <c r="H1521">
        <v>94.78</v>
      </c>
      <c r="I1521">
        <v>94.79</v>
      </c>
      <c r="J1521">
        <v>-0.01</v>
      </c>
    </row>
    <row r="1522" spans="1:10" x14ac:dyDescent="0.3">
      <c r="A1522" t="str">
        <f>HYPERLINK("https://us2.cloudbeds.com/connect/10074733072513#/reservations/30649042403456?display=YQ4UUP4BC&amp;reservation_id=30649042403456", "YQ4UUP4BC")</f>
        <v>YQ4UUP4BC</v>
      </c>
      <c r="B1522" t="s">
        <v>10</v>
      </c>
      <c r="C1522" t="s">
        <v>14</v>
      </c>
      <c r="D1522" t="str">
        <f>HYPERLINK("https://us2.cloudbeds.com/connect/10074733072513#/reservations/30649042403456?display=Margaret%20Zahn&amp;reservation_id=30649042403456&amp;guest_id=30649036914903", "Margaret Zahn")</f>
        <v>Margaret Zahn</v>
      </c>
      <c r="E1522" t="s">
        <v>419</v>
      </c>
      <c r="F1522" t="s">
        <v>351</v>
      </c>
      <c r="G1522">
        <v>87.2</v>
      </c>
      <c r="H1522">
        <v>94.78</v>
      </c>
      <c r="I1522">
        <v>94.79</v>
      </c>
      <c r="J1522">
        <v>-0.01</v>
      </c>
    </row>
    <row r="1523" spans="1:10" x14ac:dyDescent="0.3">
      <c r="A1523" t="str">
        <f>HYPERLINK("https://us2.cloudbeds.com/connect/10074733072513#/reservations/30649174450369?display=YQ51EZ8HC&amp;reservation_id=30649174450369", "YQ51EZ8HC")</f>
        <v>YQ51EZ8HC</v>
      </c>
      <c r="B1523" t="s">
        <v>10</v>
      </c>
      <c r="C1523" t="s">
        <v>14</v>
      </c>
      <c r="D1523" t="str">
        <f>HYPERLINK("https://us2.cloudbeds.com/connect/10074733072513#/reservations/30649174450369?display=Kelvin%20Neufeld&amp;reservation_id=30649174450369&amp;guest_id=30649169363119", "Kelvin Neufeld")</f>
        <v>Kelvin Neufeld</v>
      </c>
      <c r="E1523" t="s">
        <v>420</v>
      </c>
      <c r="F1523" t="s">
        <v>321</v>
      </c>
      <c r="G1523">
        <v>87.2</v>
      </c>
      <c r="H1523">
        <v>94.78</v>
      </c>
      <c r="I1523">
        <v>94.79</v>
      </c>
      <c r="J1523">
        <v>-0.01</v>
      </c>
    </row>
    <row r="1524" spans="1:10" x14ac:dyDescent="0.3">
      <c r="A1524" t="str">
        <f>HYPERLINK("https://us2.cloudbeds.com/connect/10074733072513#/reservations/30648526381258?display=YQ4HT8PZF&amp;reservation_id=30648526381258", "YQ4HT8PZF")</f>
        <v>YQ4HT8PZF</v>
      </c>
      <c r="B1524" t="s">
        <v>10</v>
      </c>
      <c r="C1524" t="s">
        <v>20</v>
      </c>
      <c r="D1524" t="str">
        <f>HYPERLINK("https://us2.cloudbeds.com/connect/10074733072513#/reservations/30648526381258?display=Carlene%20Rosenthal&amp;reservation_id=30648526381258&amp;guest_id=30648526381256", "Carlene Rosenthal")</f>
        <v>Carlene Rosenthal</v>
      </c>
      <c r="E1524" t="s">
        <v>421</v>
      </c>
      <c r="F1524" t="s">
        <v>260</v>
      </c>
      <c r="G1524">
        <v>103.2</v>
      </c>
      <c r="H1524">
        <v>112.17</v>
      </c>
      <c r="I1524">
        <v>112.18</v>
      </c>
      <c r="J1524">
        <v>-0.01</v>
      </c>
    </row>
    <row r="1525" spans="1:10" x14ac:dyDescent="0.3">
      <c r="A1525" t="str">
        <f>HYPERLINK("https://us2.cloudbeds.com/connect/10074733072513#/reservations/30648416850104?display=YQ4F2TU5J&amp;reservation_id=30648416850104", "YQ4F2TU5J")</f>
        <v>YQ4F2TU5J</v>
      </c>
      <c r="B1525" t="s">
        <v>10</v>
      </c>
      <c r="C1525" t="s">
        <v>14</v>
      </c>
      <c r="D1525" t="str">
        <f>HYPERLINK("https://us2.cloudbeds.com/connect/10074733072513#/reservations/30648416850104?display=Cheryl%20Sanderson&amp;reservation_id=30648416850104&amp;guest_id=30648416850100", "Cheryl Sanderson")</f>
        <v>Cheryl Sanderson</v>
      </c>
      <c r="E1525" t="s">
        <v>422</v>
      </c>
      <c r="F1525" t="s">
        <v>351</v>
      </c>
      <c r="G1525">
        <v>76.16</v>
      </c>
      <c r="H1525">
        <v>82.78</v>
      </c>
      <c r="I1525">
        <v>82.79</v>
      </c>
      <c r="J1525">
        <v>-0.01</v>
      </c>
    </row>
    <row r="1526" spans="1:10" x14ac:dyDescent="0.3">
      <c r="A1526" t="str">
        <f>HYPERLINK("https://us2.cloudbeds.com/connect/10074733072513#/reservations/30648421220559?display=YQ4F6JHEK&amp;reservation_id=30648421220559", "YQ4F6JHEK")</f>
        <v>YQ4F6JHEK</v>
      </c>
      <c r="B1526" t="s">
        <v>10</v>
      </c>
      <c r="C1526" t="s">
        <v>14</v>
      </c>
      <c r="D1526" t="str">
        <f>HYPERLINK("https://us2.cloudbeds.com/connect/10074733072513#/reservations/30648421220559?display=Ryan%20Hewlett&amp;reservation_id=30648421220559&amp;guest_id=30648421220554", "Ryan Hewlett")</f>
        <v>Ryan Hewlett</v>
      </c>
      <c r="E1526" t="s">
        <v>423</v>
      </c>
      <c r="F1526" t="s">
        <v>351</v>
      </c>
      <c r="G1526">
        <v>76.16</v>
      </c>
      <c r="H1526">
        <v>82.78</v>
      </c>
      <c r="I1526">
        <v>82.79</v>
      </c>
      <c r="J1526">
        <v>-0.01</v>
      </c>
    </row>
    <row r="1527" spans="1:10" x14ac:dyDescent="0.3">
      <c r="A1527" t="str">
        <f>HYPERLINK("https://us2.cloudbeds.com/connect/10074733072513#/reservations/30648426893474?display=YQ4FBCCZ4&amp;reservation_id=30648426893474", "YQ4FBCCZ4")</f>
        <v>YQ4FBCCZ4</v>
      </c>
      <c r="B1527" t="s">
        <v>10</v>
      </c>
      <c r="C1527" t="s">
        <v>14</v>
      </c>
      <c r="D1527" t="str">
        <f>HYPERLINK("https://us2.cloudbeds.com/connect/10074733072513#/reservations/30648426893474?display=Joy%20Gleeson&amp;reservation_id=30648426893474&amp;guest_id=30648426893465", "Joy Gleeson")</f>
        <v>Joy Gleeson</v>
      </c>
      <c r="E1527" t="s">
        <v>424</v>
      </c>
      <c r="F1527" t="s">
        <v>351</v>
      </c>
      <c r="G1527">
        <v>76.16</v>
      </c>
      <c r="H1527">
        <v>82.78</v>
      </c>
      <c r="I1527">
        <v>82.79</v>
      </c>
      <c r="J1527">
        <v>-0.01</v>
      </c>
    </row>
    <row r="1528" spans="1:10" x14ac:dyDescent="0.3">
      <c r="A1528" t="str">
        <f>HYPERLINK("https://us2.cloudbeds.com/connect/10074733072513#/reservations/30647961456783?display=YQ43ETUFW&amp;reservation_id=30647961456783", "YQ43ETUFW")</f>
        <v>YQ43ETUFW</v>
      </c>
      <c r="B1528" t="s">
        <v>10</v>
      </c>
      <c r="C1528" t="s">
        <v>14</v>
      </c>
      <c r="D1528" t="str">
        <f>HYPERLINK("https://us2.cloudbeds.com/connect/10074733072513#/reservations/30647961456783?display=Joshua%20Nunes&amp;reservation_id=30647961456783&amp;guest_id=30647957692605", "Joshua Nunes")</f>
        <v>Joshua Nunes</v>
      </c>
      <c r="E1528" t="s">
        <v>425</v>
      </c>
      <c r="F1528" t="s">
        <v>400</v>
      </c>
      <c r="G1528">
        <v>76.16</v>
      </c>
      <c r="H1528">
        <v>82.78</v>
      </c>
      <c r="I1528">
        <v>82.79</v>
      </c>
      <c r="J1528">
        <v>-0.01</v>
      </c>
    </row>
    <row r="1529" spans="1:10" x14ac:dyDescent="0.3">
      <c r="A1529" t="str">
        <f>HYPERLINK("https://us2.cloudbeds.com/connect/10074733072513#/reservations/30647447883924?display=YQ3NAS022&amp;reservation_id=30647447883924", "YQ3NAS022")</f>
        <v>YQ3NAS022</v>
      </c>
      <c r="B1529" t="s">
        <v>10</v>
      </c>
      <c r="C1529" t="s">
        <v>42</v>
      </c>
      <c r="D1529" t="str">
        <f>HYPERLINK("https://us2.cloudbeds.com/connect/10074733072513#/reservations/30647447883924?display=Wendy%20Breuer&amp;reservation_id=30647447883924&amp;guest_id=30647447883922", "Wendy Breuer")</f>
        <v>Wendy Breuer</v>
      </c>
      <c r="E1529" t="s">
        <v>426</v>
      </c>
      <c r="F1529" t="s">
        <v>343</v>
      </c>
      <c r="G1529">
        <v>118.15</v>
      </c>
      <c r="H1529">
        <v>128.41999999999999</v>
      </c>
      <c r="I1529">
        <v>128.43</v>
      </c>
      <c r="J1529">
        <v>-0.01</v>
      </c>
    </row>
    <row r="1530" spans="1:10" x14ac:dyDescent="0.3">
      <c r="A1530" t="str">
        <f>HYPERLINK("https://us2.cloudbeds.com/connect/10074733072513#/reservations/30649017852108?display=YQ4UEMMFH&amp;reservation_id=30649017852108", "YQ4UEMMFH")</f>
        <v>YQ4UEMMFH</v>
      </c>
      <c r="B1530" t="s">
        <v>10</v>
      </c>
      <c r="C1530" t="s">
        <v>11</v>
      </c>
      <c r="D1530" t="str">
        <f>HYPERLINK("https://us2.cloudbeds.com/connect/10074733072513#/reservations/30649017852108?display=Troy%20Scarlatelli&amp;reservation_id=30649017852108&amp;guest_id=30649017852097", "Troy Scarlatelli")</f>
        <v>Troy Scarlatelli</v>
      </c>
      <c r="E1530" t="s">
        <v>427</v>
      </c>
      <c r="F1530" t="s">
        <v>351</v>
      </c>
      <c r="G1530">
        <v>76.16</v>
      </c>
      <c r="H1530">
        <v>82.78</v>
      </c>
      <c r="I1530">
        <v>82.79</v>
      </c>
      <c r="J1530">
        <v>-0.01</v>
      </c>
    </row>
    <row r="1531" spans="1:10" x14ac:dyDescent="0.3">
      <c r="A1531" t="str">
        <f>HYPERLINK("https://us2.cloudbeds.com/connect/10074733072513#/reservations/30650213437673?display=YQ5RWRK64&amp;reservation_id=30650213437673", "YQ5RWRK64")</f>
        <v>YQ5RWRK64</v>
      </c>
      <c r="B1531" t="s">
        <v>10</v>
      </c>
      <c r="C1531" t="s">
        <v>14</v>
      </c>
      <c r="D1531" t="str">
        <f>HYPERLINK("https://us2.cloudbeds.com/connect/10074733072513#/reservations/30650213437673?display=Stephanie%20Lodes&amp;reservation_id=30650213437673&amp;guest_id=30650213437671", "Stephanie Lodes")</f>
        <v>Stephanie Lodes</v>
      </c>
      <c r="E1531" t="s">
        <v>428</v>
      </c>
      <c r="F1531" t="s">
        <v>325</v>
      </c>
      <c r="G1531">
        <v>76.16</v>
      </c>
      <c r="H1531">
        <v>82.78</v>
      </c>
      <c r="I1531">
        <v>82.79</v>
      </c>
      <c r="J1531">
        <v>-0.01</v>
      </c>
    </row>
    <row r="1532" spans="1:10" x14ac:dyDescent="0.3">
      <c r="A1532" t="str">
        <f>HYPERLINK("https://us2.cloudbeds.com/connect/10074733072513#/reservations/30648185684106?display=YQ495WCHB&amp;reservation_id=30648185684106", "YQ495WCHB")</f>
        <v>YQ495WCHB</v>
      </c>
      <c r="B1532" t="s">
        <v>10</v>
      </c>
      <c r="C1532" t="s">
        <v>42</v>
      </c>
      <c r="D1532" t="str">
        <f>HYPERLINK("https://us2.cloudbeds.com/connect/10074733072513#/reservations/30648185684106?display=Michelle%20Ganshaw&amp;reservation_id=30648185684106&amp;guest_id=30648185684096", "Michelle Ganshaw")</f>
        <v>Michelle Ganshaw</v>
      </c>
      <c r="E1532" t="s">
        <v>429</v>
      </c>
      <c r="F1532" t="s">
        <v>395</v>
      </c>
      <c r="G1532">
        <v>118.15</v>
      </c>
      <c r="H1532">
        <v>128.41999999999999</v>
      </c>
      <c r="I1532">
        <v>128.43</v>
      </c>
      <c r="J1532">
        <v>-0.01</v>
      </c>
    </row>
    <row r="1533" spans="1:10" x14ac:dyDescent="0.3">
      <c r="A1533" t="str">
        <f>HYPERLINK("https://us2.cloudbeds.com/connect/10074733072513#/reservations/30647484330122?display=YQ3Z8J5YA&amp;reservation_id=30647484330122", "YQ3Z8J5YA")</f>
        <v>YQ3Z8J5YA</v>
      </c>
      <c r="B1533" t="s">
        <v>10</v>
      </c>
      <c r="C1533" t="s">
        <v>14</v>
      </c>
      <c r="D1533" t="str">
        <f>HYPERLINK("https://us2.cloudbeds.com/connect/10074733072513#/reservations/30647484330122?display=Charles%20Kneyse&amp;reservation_id=30647484330122&amp;guest_id=30647484330119", "Charles Kneyse")</f>
        <v>Charles Kneyse</v>
      </c>
      <c r="E1533" t="s">
        <v>386</v>
      </c>
      <c r="F1533" t="s">
        <v>395</v>
      </c>
      <c r="G1533">
        <v>87.2</v>
      </c>
      <c r="H1533">
        <v>94.78</v>
      </c>
      <c r="I1533">
        <v>94.79</v>
      </c>
      <c r="J1533">
        <v>-0.01</v>
      </c>
    </row>
    <row r="1534" spans="1:10" x14ac:dyDescent="0.3">
      <c r="A1534" t="str">
        <f>HYPERLINK("https://us2.cloudbeds.com/connect/10074733072513#/reservations/30650310914275?display=YQ5UG11CX&amp;reservation_id=30650310914275", "YQ5UG11CX")</f>
        <v>YQ5UG11CX</v>
      </c>
      <c r="B1534" t="s">
        <v>10</v>
      </c>
      <c r="C1534" t="s">
        <v>11</v>
      </c>
      <c r="D1534" t="str">
        <f>HYPERLINK("https://us2.cloudbeds.com/connect/10074733072513#/reservations/30650310914275?display=Nicholas%20Meadows&amp;reservation_id=30650310914275&amp;guest_id=30650310914272", "Nicholas Meadows")</f>
        <v>Nicholas Meadows</v>
      </c>
      <c r="E1534" t="s">
        <v>430</v>
      </c>
      <c r="F1534" t="s">
        <v>343</v>
      </c>
      <c r="G1534">
        <v>143.19999999999999</v>
      </c>
      <c r="H1534">
        <v>155.65</v>
      </c>
      <c r="I1534">
        <v>155.66</v>
      </c>
      <c r="J1534">
        <v>-0.01</v>
      </c>
    </row>
    <row r="1535" spans="1:10" x14ac:dyDescent="0.3">
      <c r="A1535" t="str">
        <f>HYPERLINK("https://us2.cloudbeds.com/connect/10074733072513#/reservations/30648841457828?display=YQ4PUV88A&amp;reservation_id=30648841457828", "YQ4PUV88A")</f>
        <v>YQ4PUV88A</v>
      </c>
      <c r="B1535" t="s">
        <v>10</v>
      </c>
      <c r="C1535" t="s">
        <v>42</v>
      </c>
      <c r="D1535" t="str">
        <f>HYPERLINK("https://us2.cloudbeds.com/connect/10074733072513#/reservations/30648841457828?display=Lorraine%20Kintz&amp;reservation_id=30648841457828&amp;guest_id=30648833667279", "Lorraine Kintz")</f>
        <v>Lorraine Kintz</v>
      </c>
      <c r="E1535" t="s">
        <v>431</v>
      </c>
      <c r="F1535" t="s">
        <v>432</v>
      </c>
      <c r="G1535">
        <v>250.2</v>
      </c>
      <c r="H1535">
        <v>271.95999999999998</v>
      </c>
      <c r="I1535">
        <v>271.97000000000003</v>
      </c>
      <c r="J1535">
        <v>-0.01</v>
      </c>
    </row>
    <row r="1536" spans="1:10" x14ac:dyDescent="0.3">
      <c r="A1536" t="str">
        <f>HYPERLINK("https://us2.cloudbeds.com/connect/10074733072513#/reservations/30648547774605?display=YQ4XEA2MN&amp;reservation_id=30648547774605", "YQ4XEA2MN")</f>
        <v>YQ4XEA2MN</v>
      </c>
      <c r="B1536" t="s">
        <v>10</v>
      </c>
      <c r="C1536" t="s">
        <v>20</v>
      </c>
      <c r="D1536" t="str">
        <f>HYPERLINK("https://us2.cloudbeds.com/connect/10074733072513#/reservations/30648547774605?display=Steven%20Barker&amp;reservation_id=30648547774605&amp;guest_id=30648547774603", "Steven Barker")</f>
        <v>Steven Barker</v>
      </c>
      <c r="E1536" t="s">
        <v>433</v>
      </c>
      <c r="F1536" t="s">
        <v>260</v>
      </c>
      <c r="G1536">
        <v>103.2</v>
      </c>
      <c r="H1536">
        <v>112.17</v>
      </c>
      <c r="I1536">
        <v>112.18</v>
      </c>
      <c r="J1536">
        <v>-0.01</v>
      </c>
    </row>
    <row r="1537" spans="1:10" x14ac:dyDescent="0.3">
      <c r="A1537" t="str">
        <f>HYPERLINK("https://us2.cloudbeds.com/connect/10074733072513#/reservations/30650358259906?display=YQ5VMVGKY&amp;reservation_id=30650358259906", "YQ5VMVGKY")</f>
        <v>YQ5VMVGKY</v>
      </c>
      <c r="B1537" t="s">
        <v>10</v>
      </c>
      <c r="C1537" t="s">
        <v>20</v>
      </c>
      <c r="D1537" t="str">
        <f>HYPERLINK("https://us2.cloudbeds.com/connect/10074733072513#/reservations/30650358259906?display=Kyungha%20Hwang&amp;reservation_id=30650358259906&amp;guest_id=30650352668820", "Kyungha Hwang")</f>
        <v>Kyungha Hwang</v>
      </c>
      <c r="E1537" t="s">
        <v>434</v>
      </c>
      <c r="F1537" t="s">
        <v>300</v>
      </c>
      <c r="G1537">
        <v>103.2</v>
      </c>
      <c r="H1537">
        <v>112.17</v>
      </c>
      <c r="I1537">
        <v>112.18</v>
      </c>
      <c r="J1537">
        <v>-0.01</v>
      </c>
    </row>
    <row r="1538" spans="1:10" x14ac:dyDescent="0.3">
      <c r="A1538" t="str">
        <f>HYPERLINK("https://us2.cloudbeds.com/connect/10074733072513#/reservations/30649178464470?display=YQ51X3VXQ&amp;reservation_id=30649178464470", "YQ51X3VXQ")</f>
        <v>YQ51X3VXQ</v>
      </c>
      <c r="B1538" t="s">
        <v>10</v>
      </c>
      <c r="C1538" t="s">
        <v>20</v>
      </c>
      <c r="D1538" t="str">
        <f>HYPERLINK("https://us2.cloudbeds.com/connect/10074733072513#/reservations/30649178464470?display=Debbie%20Hofmann&amp;reservation_id=30649178464470&amp;guest_id=30649174454469", "Debbie Hofmann")</f>
        <v>Debbie Hofmann</v>
      </c>
      <c r="E1538" t="s">
        <v>435</v>
      </c>
      <c r="F1538" t="s">
        <v>321</v>
      </c>
      <c r="G1538">
        <v>87.2</v>
      </c>
      <c r="H1538">
        <v>94.78</v>
      </c>
      <c r="I1538">
        <v>94.79</v>
      </c>
      <c r="J1538">
        <v>-0.01</v>
      </c>
    </row>
    <row r="1539" spans="1:10" x14ac:dyDescent="0.3">
      <c r="A1539" t="str">
        <f>HYPERLINK("https://us2.cloudbeds.com/connect/10074733072513#/reservations/30648304062669?display=YQ4C6QEEH&amp;reservation_id=30648304062669", "YQ4C6QEEH")</f>
        <v>YQ4C6QEEH</v>
      </c>
      <c r="B1539" t="s">
        <v>10</v>
      </c>
      <c r="C1539" t="s">
        <v>20</v>
      </c>
      <c r="D1539" t="str">
        <f>HYPERLINK("https://us2.cloudbeds.com/connect/10074733072513#/reservations/30648304062669?display=Jeremy%20Bakeberg&amp;reservation_id=30648304062669&amp;guest_id=30648304062665", "Jeremy Bakeberg")</f>
        <v>Jeremy Bakeberg</v>
      </c>
      <c r="E1539" t="s">
        <v>436</v>
      </c>
      <c r="F1539" t="s">
        <v>353</v>
      </c>
      <c r="G1539">
        <v>87.2</v>
      </c>
      <c r="H1539">
        <v>94.78</v>
      </c>
      <c r="I1539">
        <v>94.79</v>
      </c>
      <c r="J1539">
        <v>-0.01</v>
      </c>
    </row>
    <row r="1540" spans="1:10" x14ac:dyDescent="0.3">
      <c r="A1540" t="str">
        <f>HYPERLINK("https://us2.cloudbeds.com/connect/10074733072513#/reservations/30649221222596?display=YQ52Y5P7J&amp;reservation_id=30649221222596", "YQ52Y5P7J")</f>
        <v>YQ52Y5P7J</v>
      </c>
      <c r="B1540" t="s">
        <v>10</v>
      </c>
      <c r="C1540" t="s">
        <v>121</v>
      </c>
      <c r="D1540" t="str">
        <f>HYPERLINK("https://us2.cloudbeds.com/connect/10074733072513#/reservations/30649221222596?display=Nathan%20Dick&amp;reservation_id=30649221222596&amp;guest_id=30649221218509", "Nathan Dick")</f>
        <v>Nathan Dick</v>
      </c>
      <c r="E1540" t="s">
        <v>437</v>
      </c>
      <c r="F1540" t="s">
        <v>321</v>
      </c>
      <c r="G1540">
        <v>276</v>
      </c>
      <c r="H1540">
        <v>300</v>
      </c>
      <c r="I1540">
        <v>300.01</v>
      </c>
      <c r="J1540">
        <v>-0.01</v>
      </c>
    </row>
    <row r="1541" spans="1:10" x14ac:dyDescent="0.3">
      <c r="A1541" t="str">
        <f>HYPERLINK("https://us2.cloudbeds.com/connect/10074733072513#/reservations/30647503442073?display=YQ3ZZMWYB&amp;reservation_id=30647503442073", "YQ3ZZMWYB")</f>
        <v>YQ3ZZMWYB</v>
      </c>
      <c r="B1541" t="s">
        <v>10</v>
      </c>
      <c r="C1541" t="s">
        <v>11</v>
      </c>
      <c r="D1541" t="str">
        <f>HYPERLINK("https://us2.cloudbeds.com/connect/10074733072513#/reservations/30647503442073?display=Justin%20Paul%20Kallhoff&amp;reservation_id=30647503442073&amp;guest_id=30647499043017", "Justin Paul Kallhoff")</f>
        <v>Justin Paul Kallhoff</v>
      </c>
      <c r="E1541" t="s">
        <v>438</v>
      </c>
      <c r="F1541" t="s">
        <v>395</v>
      </c>
      <c r="G1541">
        <v>76.16</v>
      </c>
      <c r="H1541">
        <v>82.78</v>
      </c>
      <c r="I1541">
        <v>82.79</v>
      </c>
      <c r="J1541">
        <v>-0.01</v>
      </c>
    </row>
    <row r="1542" spans="1:10" x14ac:dyDescent="0.3">
      <c r="A1542" t="str">
        <f>HYPERLINK("https://us2.cloudbeds.com/connect/10074733072513#/reservations/30648304058561?display=YQ4C6QAM1&amp;reservation_id=30648304058561", "YQ4C6QAM1")</f>
        <v>YQ4C6QAM1</v>
      </c>
      <c r="B1542" t="s">
        <v>10</v>
      </c>
      <c r="C1542" t="s">
        <v>20</v>
      </c>
      <c r="D1542" t="str">
        <f>HYPERLINK("https://us2.cloudbeds.com/connect/10074733072513#/reservations/30648304058561?display=Jo%20Ann%20Welfring&amp;reservation_id=30648304058561&amp;guest_id=30648298938548", "Jo Ann Welfring")</f>
        <v>Jo Ann Welfring</v>
      </c>
      <c r="E1542" t="s">
        <v>439</v>
      </c>
      <c r="F1542" t="s">
        <v>353</v>
      </c>
      <c r="G1542">
        <v>87.2</v>
      </c>
      <c r="H1542">
        <v>94.78</v>
      </c>
      <c r="I1542">
        <v>94.79</v>
      </c>
      <c r="J1542">
        <v>-0.01</v>
      </c>
    </row>
    <row r="1543" spans="1:10" x14ac:dyDescent="0.3">
      <c r="A1543" t="str">
        <f>HYPERLINK("https://us2.cloudbeds.com/connect/10074733072513#/reservations/30649322938564?display=YQ557V5AY&amp;reservation_id=30649322938564", "YQ557V5AY")</f>
        <v>YQ557V5AY</v>
      </c>
      <c r="B1543" t="s">
        <v>10</v>
      </c>
      <c r="C1543" t="s">
        <v>11</v>
      </c>
      <c r="D1543" t="str">
        <f>HYPERLINK("https://us2.cloudbeds.com/connect/10074733072513#/reservations/30649322938564?display=Tracy%20Hinckley&amp;reservation_id=30649322938564&amp;guest_id=30649322938560", "Tracy Hinckley")</f>
        <v>Tracy Hinckley</v>
      </c>
      <c r="E1543" t="s">
        <v>440</v>
      </c>
      <c r="F1543" t="s">
        <v>247</v>
      </c>
      <c r="G1543">
        <v>100.08</v>
      </c>
      <c r="H1543">
        <v>108.78</v>
      </c>
      <c r="I1543">
        <v>108.79</v>
      </c>
      <c r="J1543">
        <v>-0.01</v>
      </c>
    </row>
    <row r="1544" spans="1:10" x14ac:dyDescent="0.3">
      <c r="A1544" t="str">
        <f>HYPERLINK("https://us2.cloudbeds.com/connect/10074733072513#/reservations/30648286146709?display=YQ4BZMTMY&amp;reservation_id=30648286146709", "YQ4BZMTMY")</f>
        <v>YQ4BZMTMY</v>
      </c>
      <c r="B1544" t="s">
        <v>10</v>
      </c>
      <c r="C1544" t="s">
        <v>14</v>
      </c>
      <c r="D1544" t="str">
        <f>HYPERLINK("https://us2.cloudbeds.com/connect/10074733072513#/reservations/30648286146709?display=Marlene%20Aguilar&amp;reservation_id=30648286146709&amp;guest_id=30648286146706", "Marlene Aguilar")</f>
        <v>Marlene Aguilar</v>
      </c>
      <c r="E1544" t="s">
        <v>441</v>
      </c>
      <c r="F1544" t="s">
        <v>353</v>
      </c>
      <c r="G1544">
        <v>103.2</v>
      </c>
      <c r="H1544">
        <v>112.17</v>
      </c>
      <c r="I1544">
        <v>112.18</v>
      </c>
      <c r="J1544">
        <v>-0.01</v>
      </c>
    </row>
    <row r="1545" spans="1:10" x14ac:dyDescent="0.3">
      <c r="A1545" t="str">
        <f>HYPERLINK("https://us2.cloudbeds.com/connect/10074733072513#/reservations/30648565772536?display=YQ4XTFTNX&amp;reservation_id=30648565772536", "YQ4XTFTNX")</f>
        <v>YQ4XTFTNX</v>
      </c>
      <c r="B1545" t="s">
        <v>10</v>
      </c>
      <c r="C1545" t="s">
        <v>20</v>
      </c>
      <c r="D1545" t="str">
        <f>HYPERLINK("https://us2.cloudbeds.com/connect/10074733072513#/reservations/30648565772536?display=Shannon%20Hatheway&amp;reservation_id=30648565772536&amp;guest_id=30648565772488", "Shannon Hatheway")</f>
        <v>Shannon Hatheway</v>
      </c>
      <c r="E1545" t="s">
        <v>442</v>
      </c>
      <c r="F1545" t="s">
        <v>260</v>
      </c>
      <c r="G1545">
        <v>87.2</v>
      </c>
      <c r="H1545">
        <v>94.78</v>
      </c>
      <c r="I1545">
        <v>94.79</v>
      </c>
      <c r="J1545">
        <v>-0.01</v>
      </c>
    </row>
    <row r="1546" spans="1:10" x14ac:dyDescent="0.3">
      <c r="A1546" t="str">
        <f>HYPERLINK("https://us2.cloudbeds.com/connect/10074733072513#/reservations/30647508664554?display=YQ3ZT3AA8&amp;reservation_id=30647508664554", "YQ3ZT3AA8")</f>
        <v>YQ3ZT3AA8</v>
      </c>
      <c r="B1546" t="s">
        <v>10</v>
      </c>
      <c r="C1546" t="s">
        <v>11</v>
      </c>
      <c r="D1546" t="str">
        <f>HYPERLINK("https://us2.cloudbeds.com/connect/10074733072513#/reservations/30647508664554?display=Debbie%20Bayer&amp;reservation_id=30647508664554&amp;guest_id=30647503446173", "Debbie Bayer")</f>
        <v>Debbie Bayer</v>
      </c>
      <c r="E1546" t="s">
        <v>443</v>
      </c>
      <c r="F1546" t="s">
        <v>395</v>
      </c>
      <c r="G1546">
        <v>76.16</v>
      </c>
      <c r="H1546">
        <v>82.78</v>
      </c>
      <c r="I1546">
        <v>82.79</v>
      </c>
      <c r="J1546">
        <v>-0.01</v>
      </c>
    </row>
    <row r="1547" spans="1:10" x14ac:dyDescent="0.3">
      <c r="A1547" t="str">
        <f>HYPERLINK("https://us2.cloudbeds.com/connect/10074733072513#/reservations/30648531579043?display=YQ4X0YDZ3&amp;reservation_id=30648531579043", "YQ4X0YDZ3")</f>
        <v>YQ4X0YDZ3</v>
      </c>
      <c r="B1547" t="s">
        <v>10</v>
      </c>
      <c r="C1547" t="s">
        <v>20</v>
      </c>
      <c r="D1547" t="str">
        <f>HYPERLINK("https://us2.cloudbeds.com/connect/10074733072513#/reservations/30648531579043?display=Rao%20Sukhavasi&amp;reservation_id=30648531579043&amp;guest_id=30648531579041", "Rao Sukhavasi")</f>
        <v>Rao Sukhavasi</v>
      </c>
      <c r="E1547" t="s">
        <v>444</v>
      </c>
      <c r="F1547" t="s">
        <v>260</v>
      </c>
      <c r="G1547">
        <v>103.2</v>
      </c>
      <c r="H1547">
        <v>112.17</v>
      </c>
      <c r="I1547">
        <v>112.18</v>
      </c>
      <c r="J1547">
        <v>-0.01</v>
      </c>
    </row>
    <row r="1548" spans="1:10" x14ac:dyDescent="0.3">
      <c r="A1548" t="str">
        <f>HYPERLINK("https://us2.cloudbeds.com/connect/10074733072513#/reservations/30649201627279?display=YQ524YGC3&amp;reservation_id=30649201627279", "YQ524YGC3")</f>
        <v>YQ524YGC3</v>
      </c>
      <c r="B1548" t="s">
        <v>10</v>
      </c>
      <c r="C1548" t="s">
        <v>14</v>
      </c>
      <c r="D1548" t="str">
        <f>HYPERLINK("https://us2.cloudbeds.com/connect/10074733072513#/reservations/30649201627279?display=Margot%20Gillette&amp;reservation_id=30649201627279&amp;guest_id=30649192308930", "Margot Gillette")</f>
        <v>Margot Gillette</v>
      </c>
      <c r="E1548" t="s">
        <v>445</v>
      </c>
      <c r="F1548" t="s">
        <v>321</v>
      </c>
      <c r="G1548">
        <v>76.16</v>
      </c>
      <c r="H1548">
        <v>82.78</v>
      </c>
      <c r="I1548">
        <v>82.79</v>
      </c>
      <c r="J1548">
        <v>-0.01</v>
      </c>
    </row>
    <row r="1549" spans="1:10" x14ac:dyDescent="0.3">
      <c r="A1549" t="str">
        <f>HYPERLINK("https://us2.cloudbeds.com/connect/10074733072513#/reservations/30648454471828?display=YQ4G1KQ6R&amp;reservation_id=30648454471828", "YQ4G1KQ6R")</f>
        <v>YQ4G1KQ6R</v>
      </c>
      <c r="B1549" t="s">
        <v>10</v>
      </c>
      <c r="C1549" t="s">
        <v>14</v>
      </c>
      <c r="D1549" t="str">
        <f>HYPERLINK("https://us2.cloudbeds.com/connect/10074733072513#/reservations/30648454471828?display=William%20Graves&amp;reservation_id=30648454471828&amp;guest_id=30648454471826", "William Graves")</f>
        <v>William Graves</v>
      </c>
      <c r="E1549" t="s">
        <v>447</v>
      </c>
      <c r="F1549" t="s">
        <v>448</v>
      </c>
      <c r="G1549">
        <v>196.2</v>
      </c>
      <c r="H1549">
        <v>213.26</v>
      </c>
      <c r="I1549">
        <v>213.27</v>
      </c>
      <c r="J1549">
        <v>-0.01</v>
      </c>
    </row>
    <row r="1550" spans="1:10" x14ac:dyDescent="0.3">
      <c r="A1550" t="str">
        <f>HYPERLINK("https://us2.cloudbeds.com/connect/10074733072513#/reservations/30648300376193?display=YQ4C3MS84&amp;reservation_id=30648300376193", "YQ4C3MS84")</f>
        <v>YQ4C3MS84</v>
      </c>
      <c r="B1550" t="s">
        <v>10</v>
      </c>
      <c r="C1550" t="s">
        <v>20</v>
      </c>
      <c r="D1550" t="str">
        <f>HYPERLINK("https://us2.cloudbeds.com/connect/10074733072513#/reservations/30648300376193?display=Tami%20Mcguire&amp;reservation_id=30648300376193&amp;guest_id=30648300372145", "Tami Mcguire")</f>
        <v>Tami Mcguire</v>
      </c>
      <c r="E1550" t="s">
        <v>449</v>
      </c>
      <c r="F1550" t="s">
        <v>376</v>
      </c>
      <c r="G1550">
        <v>250.2</v>
      </c>
      <c r="H1550">
        <v>271.95999999999998</v>
      </c>
      <c r="I1550">
        <v>271.97000000000003</v>
      </c>
      <c r="J1550">
        <v>-0.01</v>
      </c>
    </row>
    <row r="1551" spans="1:10" x14ac:dyDescent="0.3">
      <c r="A1551" t="str">
        <f>HYPERLINK("https://us2.cloudbeds.com/connect/10074733072513#/reservations/30648538341629?display=YQ4X6BJKV&amp;reservation_id=30648538341629", "YQ4X6BJKV")</f>
        <v>YQ4X6BJKV</v>
      </c>
      <c r="B1551" t="s">
        <v>10</v>
      </c>
      <c r="C1551" t="s">
        <v>14</v>
      </c>
      <c r="D1551" t="str">
        <f>HYPERLINK("https://us2.cloudbeds.com/connect/10074733072513#/reservations/30648538341629?display=Jackie%20Zuhde&amp;reservation_id=30648538341629&amp;guest_id=30648538341616", "Jackie Zuhde")</f>
        <v>Jackie Zuhde</v>
      </c>
      <c r="E1551" t="s">
        <v>450</v>
      </c>
      <c r="F1551" t="s">
        <v>417</v>
      </c>
      <c r="G1551">
        <v>222.4</v>
      </c>
      <c r="H1551">
        <v>241.74</v>
      </c>
      <c r="I1551">
        <v>241.75</v>
      </c>
      <c r="J1551">
        <v>-0.01</v>
      </c>
    </row>
    <row r="1552" spans="1:10" x14ac:dyDescent="0.3">
      <c r="A1552" t="str">
        <f>HYPERLINK("https://us2.cloudbeds.com/connect/10074733072513#/reservations/30648293417168?display=YQ4BUR6VJ&amp;reservation_id=30648293417168", "YQ4BUR6VJ")</f>
        <v>YQ4BUR6VJ</v>
      </c>
      <c r="B1552" t="s">
        <v>10</v>
      </c>
      <c r="C1552" t="s">
        <v>20</v>
      </c>
      <c r="D1552" t="str">
        <f>HYPERLINK("https://us2.cloudbeds.com/connect/10074733072513#/reservations/30648293417168?display=Frank%20Florschuetz&amp;reservation_id=30648293417168&amp;guest_id=30648293413086", "Frank Florschuetz")</f>
        <v>Frank Florschuetz</v>
      </c>
      <c r="E1552" t="s">
        <v>451</v>
      </c>
      <c r="F1552" t="s">
        <v>353</v>
      </c>
      <c r="G1552">
        <v>87.2</v>
      </c>
      <c r="H1552">
        <v>94.78</v>
      </c>
      <c r="I1552">
        <v>94.79</v>
      </c>
      <c r="J1552">
        <v>-0.01</v>
      </c>
    </row>
    <row r="1553" spans="1:10" x14ac:dyDescent="0.3">
      <c r="A1553" t="str">
        <f>HYPERLINK("https://us2.cloudbeds.com/connect/10074733072513#/reservations/30648314511613?display=YQ4CFK6E6&amp;reservation_id=30648314511613", "YQ4CFK6E6")</f>
        <v>YQ4CFK6E6</v>
      </c>
      <c r="B1553" t="s">
        <v>10</v>
      </c>
      <c r="C1553" t="s">
        <v>20</v>
      </c>
      <c r="D1553" t="str">
        <f>HYPERLINK("https://us2.cloudbeds.com/connect/10074733072513#/reservations/30648314511613?display=Flavio%20Tosi&amp;reservation_id=30648314511613&amp;guest_id=30648314511608", "Flavio Tosi")</f>
        <v>Flavio Tosi</v>
      </c>
      <c r="E1553" t="s">
        <v>452</v>
      </c>
      <c r="F1553" t="s">
        <v>353</v>
      </c>
      <c r="G1553">
        <v>103.2</v>
      </c>
      <c r="H1553">
        <v>112.17</v>
      </c>
      <c r="I1553">
        <v>112.18</v>
      </c>
      <c r="J1553">
        <v>-0.01</v>
      </c>
    </row>
    <row r="1554" spans="1:10" x14ac:dyDescent="0.3">
      <c r="A1554" t="str">
        <f>HYPERLINK("https://us2.cloudbeds.com/connect/10074733072513#/reservations/30648583344303?display=YQ4JB9SDB&amp;reservation_id=30648583344303", "YQ4JB9SDB")</f>
        <v>YQ4JB9SDB</v>
      </c>
      <c r="B1554" t="s">
        <v>10</v>
      </c>
      <c r="C1554" t="s">
        <v>14</v>
      </c>
      <c r="D1554" t="str">
        <f>HYPERLINK("https://us2.cloudbeds.com/connect/10074733072513#/reservations/30648583344303?display=John%20Radermacher&amp;reservation_id=30648583344303&amp;guest_id=30648583344301", "John Radermacher")</f>
        <v>John Radermacher</v>
      </c>
      <c r="E1554" t="s">
        <v>450</v>
      </c>
      <c r="F1554" t="s">
        <v>417</v>
      </c>
      <c r="G1554">
        <v>222.4</v>
      </c>
      <c r="H1554">
        <v>241.74</v>
      </c>
      <c r="I1554">
        <v>241.75</v>
      </c>
      <c r="J1554">
        <v>-0.01</v>
      </c>
    </row>
    <row r="1555" spans="1:10" x14ac:dyDescent="0.3">
      <c r="A1555" t="str">
        <f>HYPERLINK("https://us2.cloudbeds.com/connect/10074733072513#/reservations/30649234014342?display=YQ52VVNX8&amp;reservation_id=30649234014342", "YQ52VVNX8")</f>
        <v>YQ52VVNX8</v>
      </c>
      <c r="B1555" t="s">
        <v>10</v>
      </c>
      <c r="C1555" t="s">
        <v>42</v>
      </c>
      <c r="D1555" t="str">
        <f>HYPERLINK("https://us2.cloudbeds.com/connect/10074733072513#/reservations/30649234014342?display=Michelle%20Red%20Willow&amp;reservation_id=30649234014342&amp;guest_id=30649234014338", "Michelle Red Willow")</f>
        <v>Michelle Red Willow</v>
      </c>
      <c r="E1555" t="s">
        <v>453</v>
      </c>
      <c r="F1555" t="s">
        <v>353</v>
      </c>
      <c r="G1555">
        <v>76.16</v>
      </c>
      <c r="H1555">
        <v>82.78</v>
      </c>
      <c r="I1555">
        <v>82.79</v>
      </c>
      <c r="J1555">
        <v>-0.01</v>
      </c>
    </row>
    <row r="1556" spans="1:10" x14ac:dyDescent="0.3">
      <c r="A1556" t="str">
        <f>HYPERLINK("https://us2.cloudbeds.com/connect/10074733072513#/reservations/30648724107471?display=YQ4MUWQGT&amp;reservation_id=30648724107471", "YQ4MUWQGT")</f>
        <v>YQ4MUWQGT</v>
      </c>
      <c r="B1556" t="s">
        <v>10</v>
      </c>
      <c r="C1556" t="s">
        <v>20</v>
      </c>
      <c r="D1556" t="str">
        <f>HYPERLINK("https://us2.cloudbeds.com/connect/10074733072513#/reservations/30648724107471?display=Marcelino%20Mangual&amp;reservation_id=30648724107471&amp;guest_id=30648724103390", "Marcelino Mangual")</f>
        <v>Marcelino Mangual</v>
      </c>
      <c r="E1556" t="s">
        <v>454</v>
      </c>
      <c r="F1556" t="s">
        <v>455</v>
      </c>
      <c r="G1556">
        <v>127.2</v>
      </c>
      <c r="H1556">
        <v>138.26</v>
      </c>
      <c r="I1556">
        <v>138.27000000000001</v>
      </c>
      <c r="J1556">
        <v>-0.01</v>
      </c>
    </row>
    <row r="1557" spans="1:10" x14ac:dyDescent="0.3">
      <c r="A1557" t="str">
        <f>HYPERLINK("https://us2.cloudbeds.com/connect/10074733072513#/reservations/30649293115619?display=YQ54FQ9N1&amp;reservation_id=30649293115619", "YQ54FQ9N1")</f>
        <v>YQ54FQ9N1</v>
      </c>
      <c r="B1557" t="s">
        <v>10</v>
      </c>
      <c r="C1557" t="s">
        <v>20</v>
      </c>
      <c r="D1557" t="str">
        <f>HYPERLINK("https://us2.cloudbeds.com/connect/10074733072513#/reservations/30649293115619?display=Ernest%20Legault&amp;reservation_id=30649293115619&amp;guest_id=30649293115614", "Ernest Legault")</f>
        <v>Ernest Legault</v>
      </c>
      <c r="E1557" t="s">
        <v>456</v>
      </c>
      <c r="F1557" t="s">
        <v>247</v>
      </c>
      <c r="G1557">
        <v>103.2</v>
      </c>
      <c r="H1557">
        <v>112.17</v>
      </c>
      <c r="I1557">
        <v>112.18</v>
      </c>
      <c r="J1557">
        <v>-0.01</v>
      </c>
    </row>
    <row r="1558" spans="1:10" x14ac:dyDescent="0.3">
      <c r="A1558" t="str">
        <f>HYPERLINK("https://us2.cloudbeds.com/connect/10074733072513#/reservations/30648758112457?display=YQ4NQM1D0&amp;reservation_id=30648758112457", "YQ4NQM1D0")</f>
        <v>YQ4NQM1D0</v>
      </c>
      <c r="B1558" t="s">
        <v>10</v>
      </c>
      <c r="C1558" t="s">
        <v>121</v>
      </c>
      <c r="D1558" t="str">
        <f>HYPERLINK("https://us2.cloudbeds.com/connect/10074733072513#/reservations/30648758112457?display=Brady%20Gaer&amp;reservation_id=30648758112457&amp;guest_id=30648758108377", "Brady Gaer")</f>
        <v>Brady Gaer</v>
      </c>
      <c r="E1558" t="s">
        <v>459</v>
      </c>
      <c r="F1558" t="s">
        <v>455</v>
      </c>
      <c r="G1558">
        <v>214.4</v>
      </c>
      <c r="H1558">
        <v>233.04</v>
      </c>
      <c r="I1558">
        <v>233.05</v>
      </c>
      <c r="J1558">
        <v>-0.01</v>
      </c>
    </row>
    <row r="1559" spans="1:10" x14ac:dyDescent="0.3">
      <c r="A1559" t="str">
        <f>HYPERLINK("https://us2.cloudbeds.com/connect/10074733072513#/reservations/30648106873057?display=YQ475HBDZ&amp;reservation_id=30648106873057", "YQ475HBDZ")</f>
        <v>YQ475HBDZ</v>
      </c>
      <c r="B1559" t="s">
        <v>10</v>
      </c>
      <c r="C1559" t="s">
        <v>20</v>
      </c>
      <c r="D1559" t="str">
        <f>HYPERLINK("https://us2.cloudbeds.com/connect/10074733072513#/reservations/30648106873057?display=Amy%20Moen&amp;reservation_id=30648106873057&amp;guest_id=30648106873055", "Amy Moen")</f>
        <v>Amy Moen</v>
      </c>
      <c r="E1559" t="s">
        <v>460</v>
      </c>
      <c r="F1559" t="s">
        <v>461</v>
      </c>
      <c r="G1559">
        <v>87.2</v>
      </c>
      <c r="H1559">
        <v>94.78</v>
      </c>
      <c r="I1559">
        <v>94.79</v>
      </c>
      <c r="J1559">
        <v>-0.01</v>
      </c>
    </row>
    <row r="1560" spans="1:10" x14ac:dyDescent="0.3">
      <c r="A1560" t="str">
        <f>HYPERLINK("https://us2.cloudbeds.com/connect/10074733072513#/reservations/30650400567508?display=YQ5WPKPJ6&amp;reservation_id=30650400567508", "YQ5WPKPJ6")</f>
        <v>YQ5WPKPJ6</v>
      </c>
      <c r="B1560" t="s">
        <v>10</v>
      </c>
      <c r="C1560" t="s">
        <v>42</v>
      </c>
      <c r="D1560" t="str">
        <f>HYPERLINK("https://us2.cloudbeds.com/connect/10074733072513#/reservations/30650400567508?display=Grace%20Goehring&amp;reservation_id=30650400567508&amp;guest_id=30650400567503", "Grace Goehring")</f>
        <v>Grace Goehring</v>
      </c>
      <c r="E1560" t="s">
        <v>462</v>
      </c>
      <c r="F1560" t="s">
        <v>71</v>
      </c>
      <c r="G1560">
        <v>87.2</v>
      </c>
      <c r="H1560">
        <v>94.78</v>
      </c>
      <c r="I1560">
        <v>94.79</v>
      </c>
      <c r="J1560">
        <v>-0.01</v>
      </c>
    </row>
    <row r="1561" spans="1:10" x14ac:dyDescent="0.3">
      <c r="A1561" t="str">
        <f>HYPERLINK("https://us2.cloudbeds.com/connect/10074733072513#/reservations/30650410004703?display=YQ600JCGQ&amp;reservation_id=30650410004703", "YQ600JCGQ")</f>
        <v>YQ600JCGQ</v>
      </c>
      <c r="B1561" t="s">
        <v>10</v>
      </c>
      <c r="C1561" t="s">
        <v>20</v>
      </c>
      <c r="D1561" t="str">
        <f>HYPERLINK("https://us2.cloudbeds.com/connect/10074733072513#/reservations/30650410004703?display=Jeremy%20Bakeberg&amp;reservation_id=30650410004703&amp;guest_id=30650410004698", "Jeremy Bakeberg")</f>
        <v>Jeremy Bakeberg</v>
      </c>
      <c r="E1561" t="s">
        <v>463</v>
      </c>
      <c r="F1561" t="s">
        <v>448</v>
      </c>
      <c r="G1561">
        <v>174.4</v>
      </c>
      <c r="H1561">
        <v>189.56</v>
      </c>
      <c r="I1561">
        <v>189.57</v>
      </c>
      <c r="J1561">
        <v>-0.01</v>
      </c>
    </row>
    <row r="1562" spans="1:10" x14ac:dyDescent="0.3">
      <c r="A1562" t="str">
        <f>HYPERLINK("https://us2.cloudbeds.com/connect/10074733072513#/reservations/30648491581641?display=YQ4GWUE5K&amp;reservation_id=30648491581641", "YQ4GWUE5K")</f>
        <v>YQ4GWUE5K</v>
      </c>
      <c r="B1562" t="s">
        <v>10</v>
      </c>
      <c r="C1562" t="s">
        <v>11</v>
      </c>
      <c r="D1562" t="str">
        <f>HYPERLINK("https://us2.cloudbeds.com/connect/10074733072513#/reservations/30648491581641?display=Jamie%20Marie%20Stefan&amp;reservation_id=30648491581641&amp;guest_id=30648491581635", "Jamie Marie Stefan")</f>
        <v>Jamie Marie Stefan</v>
      </c>
      <c r="E1562" t="s">
        <v>464</v>
      </c>
      <c r="F1562" t="s">
        <v>465</v>
      </c>
      <c r="G1562">
        <v>87.2</v>
      </c>
      <c r="H1562">
        <v>94.78</v>
      </c>
      <c r="I1562">
        <v>94.79</v>
      </c>
      <c r="J1562">
        <v>-0.01</v>
      </c>
    </row>
    <row r="1563" spans="1:10" x14ac:dyDescent="0.3">
      <c r="A1563" t="str">
        <f>HYPERLINK("https://us2.cloudbeds.com/connect/10074733072513#/reservations/30649068052643?display=YQ4VZ0J9S&amp;reservation_id=30649068052643", "YQ4VZ0J9S")</f>
        <v>YQ4VZ0J9S</v>
      </c>
      <c r="B1563" t="s">
        <v>10</v>
      </c>
      <c r="C1563" t="s">
        <v>11</v>
      </c>
      <c r="D1563" t="str">
        <f>HYPERLINK("https://us2.cloudbeds.com/connect/10074733072513#/reservations/30649068052643?display=Mark%20Hager&amp;reservation_id=30649068052643&amp;guest_id=30649068048557", "Mark Hager")</f>
        <v>Mark Hager</v>
      </c>
      <c r="E1563" t="s">
        <v>466</v>
      </c>
      <c r="F1563" t="s">
        <v>458</v>
      </c>
      <c r="G1563">
        <v>100.08</v>
      </c>
      <c r="H1563">
        <v>108.78</v>
      </c>
      <c r="I1563">
        <v>108.79</v>
      </c>
      <c r="J1563">
        <v>-0.01</v>
      </c>
    </row>
    <row r="1564" spans="1:10" x14ac:dyDescent="0.3">
      <c r="A1564" t="str">
        <f>HYPERLINK("https://us2.cloudbeds.com/connect/10074733072513#/reservations/30648336650377?display=YQ4D197SR&amp;reservation_id=30648336650377", "YQ4D197SR")</f>
        <v>YQ4D197SR</v>
      </c>
      <c r="B1564" t="s">
        <v>10</v>
      </c>
      <c r="C1564" t="s">
        <v>20</v>
      </c>
      <c r="D1564" t="str">
        <f>HYPERLINK("https://us2.cloudbeds.com/connect/10074733072513#/reservations/30648336650377?display=Deirdre%20Decaluwe&amp;reservation_id=30648336650377&amp;guest_id=30648332607739", "Deirdre Decaluwe")</f>
        <v>Deirdre Decaluwe</v>
      </c>
      <c r="E1564" t="s">
        <v>468</v>
      </c>
      <c r="F1564" t="s">
        <v>469</v>
      </c>
      <c r="G1564">
        <v>87.2</v>
      </c>
      <c r="H1564">
        <v>94.78</v>
      </c>
      <c r="I1564">
        <v>94.79</v>
      </c>
      <c r="J1564">
        <v>-0.01</v>
      </c>
    </row>
    <row r="1565" spans="1:10" x14ac:dyDescent="0.3">
      <c r="A1565" t="str">
        <f>HYPERLINK("https://us2.cloudbeds.com/connect/10074733072513#/reservations/30650376548487?display=YQ5W5CDX1&amp;reservation_id=30650376548487", "YQ5W5CDX1")</f>
        <v>YQ5W5CDX1</v>
      </c>
      <c r="B1565" t="s">
        <v>10</v>
      </c>
      <c r="C1565" t="s">
        <v>14</v>
      </c>
      <c r="D1565" t="str">
        <f>HYPERLINK("https://us2.cloudbeds.com/connect/10074733072513#/reservations/30650376548487?display=Peter%20Karstens&amp;reservation_id=30650376548487&amp;guest_id=30650369593594", "Peter Karstens")</f>
        <v>Peter Karstens</v>
      </c>
      <c r="E1565" t="s">
        <v>470</v>
      </c>
      <c r="F1565" t="s">
        <v>471</v>
      </c>
      <c r="G1565">
        <v>87.2</v>
      </c>
      <c r="H1565">
        <v>94.78</v>
      </c>
      <c r="I1565">
        <v>94.79</v>
      </c>
      <c r="J1565">
        <v>-0.01</v>
      </c>
    </row>
    <row r="1566" spans="1:10" x14ac:dyDescent="0.3">
      <c r="A1566" t="str">
        <f>HYPERLINK("https://us2.cloudbeds.com/connect/10074733072513#/reservations/30653951549582?display=YQ8ZGU2RJ&amp;reservation_id=30653951549582", "YQ8ZGU2RJ")</f>
        <v>YQ8ZGU2RJ</v>
      </c>
      <c r="B1566" t="s">
        <v>10</v>
      </c>
      <c r="C1566" t="s">
        <v>20</v>
      </c>
      <c r="D1566" t="str">
        <f>HYPERLINK("https://us2.cloudbeds.com/connect/10074733072513#/reservations/30653951549582?display=Colleen%20Beattie&amp;reservation_id=30653951549582&amp;guest_id=30653951549578", "Colleen Beattie")</f>
        <v>Colleen Beattie</v>
      </c>
      <c r="E1566" t="s">
        <v>472</v>
      </c>
      <c r="F1566" t="s">
        <v>473</v>
      </c>
      <c r="G1566">
        <v>87.2</v>
      </c>
      <c r="H1566">
        <v>94.78</v>
      </c>
      <c r="I1566">
        <v>94.79</v>
      </c>
      <c r="J1566">
        <v>-0.01</v>
      </c>
    </row>
    <row r="1567" spans="1:10" x14ac:dyDescent="0.3">
      <c r="A1567" t="str">
        <f>HYPERLINK("https://us2.cloudbeds.com/connect/10074733072513#/reservations/30649751085237?display=YQ5G5VW48&amp;reservation_id=30649751085237", "YQ5G5VW48")</f>
        <v>YQ5G5VW48</v>
      </c>
      <c r="B1567" t="s">
        <v>10</v>
      </c>
      <c r="C1567" t="s">
        <v>14</v>
      </c>
      <c r="D1567" t="str">
        <f>HYPERLINK("https://us2.cloudbeds.com/connect/10074733072513#/reservations/30649751085237?display=Heidi%20C%20Johnson&amp;reservation_id=30649751085237&amp;guest_id=30649751085235", "Heidi C Johnson")</f>
        <v>Heidi C Johnson</v>
      </c>
      <c r="E1567" t="s">
        <v>475</v>
      </c>
      <c r="F1567" t="s">
        <v>476</v>
      </c>
      <c r="G1567">
        <v>87.2</v>
      </c>
      <c r="H1567">
        <v>94.78</v>
      </c>
      <c r="I1567">
        <v>94.79</v>
      </c>
      <c r="J1567">
        <v>-0.01</v>
      </c>
    </row>
    <row r="1568" spans="1:10" x14ac:dyDescent="0.3">
      <c r="A1568" t="str">
        <f>HYPERLINK("https://us2.cloudbeds.com/connect/10074733072513#/reservations/30649430159489?display=YQ57WBZFJ&amp;reservation_id=30649430159489", "YQ57WBZFJ")</f>
        <v>YQ57WBZFJ</v>
      </c>
      <c r="B1568" t="s">
        <v>10</v>
      </c>
      <c r="C1568" t="s">
        <v>14</v>
      </c>
      <c r="D1568" t="str">
        <f>HYPERLINK("https://us2.cloudbeds.com/connect/10074733072513#/reservations/30649430159489?display=Wayne%20Kinder&amp;reservation_id=30649430159489&amp;guest_id=30649421901987", "Wayne Kinder")</f>
        <v>Wayne Kinder</v>
      </c>
      <c r="E1568" t="s">
        <v>479</v>
      </c>
      <c r="F1568" t="s">
        <v>478</v>
      </c>
      <c r="G1568">
        <v>76.16</v>
      </c>
      <c r="H1568">
        <v>82.78</v>
      </c>
      <c r="I1568">
        <v>82.79</v>
      </c>
      <c r="J1568">
        <v>-0.01</v>
      </c>
    </row>
    <row r="1569" spans="1:10" x14ac:dyDescent="0.3">
      <c r="A1569" t="str">
        <f>HYPERLINK("https://us2.cloudbeds.com/connect/10074733072513#/reservations/30649756491969?display=YQ5GAHA9D&amp;reservation_id=30649756491969", "YQ5GAHA9D")</f>
        <v>YQ5GAHA9D</v>
      </c>
      <c r="B1569" t="s">
        <v>10</v>
      </c>
      <c r="C1569" t="s">
        <v>14</v>
      </c>
      <c r="D1569" t="str">
        <f>HYPERLINK("https://us2.cloudbeds.com/connect/10074733072513#/reservations/30649756491969?display=Michelle%20Vanlaningham&amp;reservation_id=30649756491969&amp;guest_id=30649756487929", "Michelle Vanlaningham")</f>
        <v>Michelle Vanlaningham</v>
      </c>
      <c r="E1569" t="s">
        <v>480</v>
      </c>
      <c r="F1569" t="s">
        <v>476</v>
      </c>
      <c r="G1569">
        <v>87.2</v>
      </c>
      <c r="H1569">
        <v>94.78</v>
      </c>
      <c r="I1569">
        <v>94.79</v>
      </c>
      <c r="J1569">
        <v>-0.01</v>
      </c>
    </row>
    <row r="1570" spans="1:10" x14ac:dyDescent="0.3">
      <c r="A1570" t="str">
        <f>HYPERLINK("https://us2.cloudbeds.com/connect/10074733072513#/reservations/30648799146225?display=YQ4ZS8SKH&amp;reservation_id=30648799146225", "YQ4ZS8SKH")</f>
        <v>YQ4ZS8SKH</v>
      </c>
      <c r="B1570" t="s">
        <v>10</v>
      </c>
      <c r="C1570" t="s">
        <v>11</v>
      </c>
      <c r="D1570" t="str">
        <f>HYPERLINK("https://us2.cloudbeds.com/connect/10074733072513#/reservations/30648799146225?display=Steven%20Thomas&amp;reservation_id=30648799146225&amp;guest_id=30648799146222", "Steven Thomas")</f>
        <v>Steven Thomas</v>
      </c>
      <c r="E1570" t="s">
        <v>481</v>
      </c>
      <c r="F1570" t="s">
        <v>432</v>
      </c>
      <c r="G1570">
        <v>76.16</v>
      </c>
      <c r="H1570">
        <v>82.78</v>
      </c>
      <c r="I1570">
        <v>82.79</v>
      </c>
      <c r="J1570">
        <v>-0.01</v>
      </c>
    </row>
    <row r="1571" spans="1:10" x14ac:dyDescent="0.3">
      <c r="A1571" t="str">
        <f>HYPERLINK("https://us2.cloudbeds.com/connect/10074733072513#/reservations/30649552744604?display=YQ5B3NS51&amp;reservation_id=30649552744604", "YQ5B3NS51")</f>
        <v>YQ5B3NS51</v>
      </c>
      <c r="B1571" t="s">
        <v>10</v>
      </c>
      <c r="C1571" t="s">
        <v>42</v>
      </c>
      <c r="D1571" t="str">
        <f>HYPERLINK("https://us2.cloudbeds.com/connect/10074733072513#/reservations/30649552744604?display=Kenneth%20Pederson&amp;reservation_id=30649552744604&amp;guest_id=30649552744594", "Kenneth Pederson")</f>
        <v>Kenneth Pederson</v>
      </c>
      <c r="E1571" t="s">
        <v>482</v>
      </c>
      <c r="F1571" t="s">
        <v>432</v>
      </c>
      <c r="G1571">
        <v>134.1</v>
      </c>
      <c r="H1571">
        <v>145.76</v>
      </c>
      <c r="I1571">
        <v>145.77000000000001</v>
      </c>
      <c r="J1571">
        <v>-0.01</v>
      </c>
    </row>
    <row r="1572" spans="1:10" x14ac:dyDescent="0.3">
      <c r="A1572" t="str">
        <f>HYPERLINK("https://us2.cloudbeds.com/connect/10074733072513#/reservations/30650191646900?display=YQ5REF89M&amp;reservation_id=30650191646900", "YQ5REF89M")</f>
        <v>YQ5REF89M</v>
      </c>
      <c r="B1572" t="s">
        <v>10</v>
      </c>
      <c r="C1572" t="s">
        <v>11</v>
      </c>
      <c r="D1572" t="str">
        <f>HYPERLINK("https://us2.cloudbeds.com/connect/10074733072513#/reservations/30650191646900?display=Dawn%20Bellis&amp;reservation_id=30650191646900&amp;guest_id=30650191646898", "Dawn Bellis")</f>
        <v>Dawn Bellis</v>
      </c>
      <c r="E1572" t="s">
        <v>483</v>
      </c>
      <c r="F1572" t="s">
        <v>484</v>
      </c>
      <c r="G1572">
        <v>87.2</v>
      </c>
      <c r="H1572">
        <v>94.78</v>
      </c>
      <c r="I1572">
        <v>94.79</v>
      </c>
      <c r="J1572">
        <v>-0.01</v>
      </c>
    </row>
    <row r="1573" spans="1:10" x14ac:dyDescent="0.3">
      <c r="A1573" t="str">
        <f>HYPERLINK("https://us2.cloudbeds.com/connect/10074733072513#/reservations/30648728268959?display=YQ4N1GJTJ&amp;reservation_id=30648728268959", "YQ4N1GJTJ")</f>
        <v>YQ4N1GJTJ</v>
      </c>
      <c r="B1573" t="s">
        <v>10</v>
      </c>
      <c r="C1573" t="s">
        <v>14</v>
      </c>
      <c r="D1573" t="str">
        <f>HYPERLINK("https://us2.cloudbeds.com/connect/10074733072513#/reservations/30648728268959?display=Todd%20Cogdill&amp;reservation_id=30648728268959&amp;guest_id=30648728268957", "Todd Cogdill")</f>
        <v>Todd Cogdill</v>
      </c>
      <c r="E1573" t="s">
        <v>485</v>
      </c>
      <c r="F1573" t="s">
        <v>432</v>
      </c>
      <c r="G1573">
        <v>76.16</v>
      </c>
      <c r="H1573">
        <v>82.78</v>
      </c>
      <c r="I1573">
        <v>82.79</v>
      </c>
      <c r="J1573">
        <v>-0.01</v>
      </c>
    </row>
    <row r="1574" spans="1:10" x14ac:dyDescent="0.3">
      <c r="A1574" t="str">
        <f>HYPERLINK("https://us2.cloudbeds.com/connect/10074733072513#/reservations/30651256742108?display=YQ6YYJ351&amp;reservation_id=30651256742108", "YQ6YYJ351")</f>
        <v>YQ6YYJ351</v>
      </c>
      <c r="B1574" t="s">
        <v>10</v>
      </c>
      <c r="C1574" t="s">
        <v>11</v>
      </c>
      <c r="D1574" t="str">
        <f>HYPERLINK("https://us2.cloudbeds.com/connect/10074733072513#/reservations/30651256742108?display=Michelle%20Maxwell&amp;reservation_id=30651256742108&amp;guest_id=30651256738016", "Michelle Maxwell")</f>
        <v>Michelle Maxwell</v>
      </c>
      <c r="E1574" t="s">
        <v>486</v>
      </c>
      <c r="F1574" t="s">
        <v>487</v>
      </c>
      <c r="G1574">
        <v>87.2</v>
      </c>
      <c r="H1574">
        <v>94.78</v>
      </c>
      <c r="I1574">
        <v>94.79</v>
      </c>
      <c r="J1574">
        <v>-0.01</v>
      </c>
    </row>
    <row r="1575" spans="1:10" x14ac:dyDescent="0.3">
      <c r="A1575" t="str">
        <f>HYPERLINK("https://us2.cloudbeds.com/connect/10074733072513#/reservations/30648833663185?display=YQ4PZCBY0&amp;reservation_id=30648833663185", "YQ4PZCBY0")</f>
        <v>YQ4PZCBY0</v>
      </c>
      <c r="B1575" t="s">
        <v>10</v>
      </c>
      <c r="C1575" t="s">
        <v>14</v>
      </c>
      <c r="D1575" t="str">
        <f>HYPERLINK("https://us2.cloudbeds.com/connect/10074733072513#/reservations/30648833663185?display=Veronika%20Lustyuk&amp;reservation_id=30648833663185&amp;guest_id=30648827887796", "Veronika Lustyuk")</f>
        <v>Veronika Lustyuk</v>
      </c>
      <c r="E1575" t="s">
        <v>488</v>
      </c>
      <c r="F1575" t="s">
        <v>432</v>
      </c>
      <c r="G1575">
        <v>76.16</v>
      </c>
      <c r="H1575">
        <v>82.78</v>
      </c>
      <c r="I1575">
        <v>82.79</v>
      </c>
      <c r="J1575">
        <v>-0.01</v>
      </c>
    </row>
    <row r="1576" spans="1:10" x14ac:dyDescent="0.3">
      <c r="A1576" t="str">
        <f>HYPERLINK("https://us2.cloudbeds.com/connect/10074733072513#/reservations/30648587264206?display=YQ4JEJUV9&amp;reservation_id=30648587264206", "YQ4JEJUV9")</f>
        <v>YQ4JEJUV9</v>
      </c>
      <c r="B1576" t="s">
        <v>10</v>
      </c>
      <c r="C1576" t="s">
        <v>20</v>
      </c>
      <c r="D1576" t="str">
        <f>HYPERLINK("https://us2.cloudbeds.com/connect/10074733072513#/reservations/30648587264206?display=Roman%20Frigge&amp;reservation_id=30648587264206&amp;guest_id=30648587264204", "Roman Frigge")</f>
        <v>Roman Frigge</v>
      </c>
      <c r="E1576" t="s">
        <v>489</v>
      </c>
      <c r="F1576" t="s">
        <v>417</v>
      </c>
      <c r="G1576">
        <v>222.4</v>
      </c>
      <c r="H1576">
        <v>241.74</v>
      </c>
      <c r="I1576">
        <v>241.75</v>
      </c>
      <c r="J1576">
        <v>-0.01</v>
      </c>
    </row>
    <row r="1577" spans="1:10" x14ac:dyDescent="0.3">
      <c r="A1577" t="str">
        <f>HYPERLINK("https://us2.cloudbeds.com/connect/10074733072513#/reservations/30648891740387?display=YQ4R7BED7&amp;reservation_id=30648891740387", "YQ4R7BED7")</f>
        <v>YQ4R7BED7</v>
      </c>
      <c r="B1577" t="s">
        <v>10</v>
      </c>
      <c r="C1577" t="s">
        <v>14</v>
      </c>
      <c r="D1577" t="str">
        <f>HYPERLINK("https://us2.cloudbeds.com/connect/10074733072513#/reservations/30648891740387?display=Mickey%20Koehler&amp;reservation_id=30648891740387&amp;guest_id=30648891740374", "Mickey Koehler")</f>
        <v>Mickey Koehler</v>
      </c>
      <c r="E1577" t="s">
        <v>490</v>
      </c>
      <c r="F1577" t="s">
        <v>491</v>
      </c>
      <c r="G1577">
        <v>87.2</v>
      </c>
      <c r="H1577">
        <v>94.78</v>
      </c>
      <c r="I1577">
        <v>94.79</v>
      </c>
      <c r="J1577">
        <v>-0.01</v>
      </c>
    </row>
    <row r="1578" spans="1:10" x14ac:dyDescent="0.3">
      <c r="A1578" t="str">
        <f>HYPERLINK("https://us2.cloudbeds.com/connect/10074733072513#/reservations/30648817942660?display=YQ4PB3TTF&amp;reservation_id=30648817942660", "YQ4PB3TTF")</f>
        <v>YQ4PB3TTF</v>
      </c>
      <c r="B1578" t="s">
        <v>10</v>
      </c>
      <c r="C1578" t="s">
        <v>14</v>
      </c>
      <c r="D1578" t="str">
        <f>HYPERLINK("https://us2.cloudbeds.com/connect/10074733072513#/reservations/30648817942660?display=Roger%20Santala&amp;reservation_id=30648817942660&amp;guest_id=30648817942658", "Roger Santala")</f>
        <v>Roger Santala</v>
      </c>
      <c r="E1578" t="s">
        <v>492</v>
      </c>
      <c r="F1578" t="s">
        <v>432</v>
      </c>
      <c r="G1578">
        <v>76.16</v>
      </c>
      <c r="H1578">
        <v>82.78</v>
      </c>
      <c r="I1578">
        <v>82.79</v>
      </c>
      <c r="J1578">
        <v>-0.01</v>
      </c>
    </row>
    <row r="1579" spans="1:10" x14ac:dyDescent="0.3">
      <c r="A1579" t="str">
        <f>HYPERLINK("https://us2.cloudbeds.com/connect/10074733072513#/reservations/30648822026444?display=YQ4PEXHUF&amp;reservation_id=30648822026444", "YQ4PEXHUF")</f>
        <v>YQ4PEXHUF</v>
      </c>
      <c r="B1579" t="s">
        <v>10</v>
      </c>
      <c r="C1579" t="s">
        <v>14</v>
      </c>
      <c r="D1579" t="str">
        <f>HYPERLINK("https://us2.cloudbeds.com/connect/10074733072513#/reservations/30648822026444?display=Lori%20Schweitzer&amp;reservation_id=30648822026444&amp;guest_id=30648822022366", "Lori Schweitzer")</f>
        <v>Lori Schweitzer</v>
      </c>
      <c r="E1579" t="s">
        <v>493</v>
      </c>
      <c r="F1579" t="s">
        <v>432</v>
      </c>
      <c r="G1579">
        <v>76.16</v>
      </c>
      <c r="H1579">
        <v>82.78</v>
      </c>
      <c r="I1579">
        <v>82.79</v>
      </c>
      <c r="J1579">
        <v>-0.01</v>
      </c>
    </row>
    <row r="1580" spans="1:10" x14ac:dyDescent="0.3">
      <c r="A1580" t="str">
        <f>HYPERLINK("https://us2.cloudbeds.com/connect/10074733072513#/reservations/30648154882176?display=YQ487CG41&amp;reservation_id=30648154882176", "YQ487CG41")</f>
        <v>YQ487CG41</v>
      </c>
      <c r="B1580" t="s">
        <v>10</v>
      </c>
      <c r="C1580" t="s">
        <v>14</v>
      </c>
      <c r="D1580" t="str">
        <f>HYPERLINK("https://us2.cloudbeds.com/connect/10074733072513#/reservations/30648154882176?display=Richard%20Tease&amp;reservation_id=30648154882176&amp;guest_id=30648148205729", "Richard Tease")</f>
        <v>Richard Tease</v>
      </c>
      <c r="E1580" t="s">
        <v>494</v>
      </c>
      <c r="F1580" t="s">
        <v>461</v>
      </c>
      <c r="G1580">
        <v>87.2</v>
      </c>
      <c r="H1580">
        <v>94.78</v>
      </c>
      <c r="I1580">
        <v>94.79</v>
      </c>
      <c r="J1580">
        <v>-0.01</v>
      </c>
    </row>
    <row r="1581" spans="1:10" x14ac:dyDescent="0.3">
      <c r="A1581" t="str">
        <f>HYPERLINK("https://us2.cloudbeds.com/connect/10074733072513#/reservations/30648598413532?display=YQ4JZ062Y&amp;reservation_id=30648598413532", "YQ4JZ062Y")</f>
        <v>YQ4JZ062Y</v>
      </c>
      <c r="B1581" t="s">
        <v>10</v>
      </c>
      <c r="C1581" t="s">
        <v>20</v>
      </c>
      <c r="D1581" t="str">
        <f>HYPERLINK("https://us2.cloudbeds.com/connect/10074733072513#/reservations/30648598413532?display=Keith%20Graber&amp;reservation_id=30648598413532&amp;guest_id=30648598413527", "Keith Graber")</f>
        <v>Keith Graber</v>
      </c>
      <c r="E1581" t="s">
        <v>495</v>
      </c>
      <c r="F1581" t="s">
        <v>417</v>
      </c>
      <c r="G1581">
        <v>222.4</v>
      </c>
      <c r="H1581">
        <v>241.74</v>
      </c>
      <c r="I1581">
        <v>241.75</v>
      </c>
      <c r="J1581">
        <v>-0.01</v>
      </c>
    </row>
    <row r="1582" spans="1:10" x14ac:dyDescent="0.3">
      <c r="A1582" t="str">
        <f>HYPERLINK("https://us2.cloudbeds.com/connect/10074733072513#/reservations/30648108036244?display=YQ476GNHR&amp;reservation_id=30648108036244", "YQ476GNHR")</f>
        <v>YQ476GNHR</v>
      </c>
      <c r="B1582" t="s">
        <v>10</v>
      </c>
      <c r="C1582" t="s">
        <v>14</v>
      </c>
      <c r="D1582" t="str">
        <f>HYPERLINK("https://us2.cloudbeds.com/connect/10074733072513#/reservations/30648108036244?display=Marco%20Dib&amp;reservation_id=30648108036244&amp;guest_id=30648108036239", "Marco Dib")</f>
        <v>Marco Dib</v>
      </c>
      <c r="E1582" t="s">
        <v>497</v>
      </c>
      <c r="F1582" t="s">
        <v>461</v>
      </c>
      <c r="G1582">
        <v>76.16</v>
      </c>
      <c r="H1582">
        <v>82.78</v>
      </c>
      <c r="I1582">
        <v>82.79</v>
      </c>
      <c r="J1582">
        <v>-0.01</v>
      </c>
    </row>
    <row r="1583" spans="1:10" x14ac:dyDescent="0.3">
      <c r="A1583" t="str">
        <f>HYPERLINK("https://us2.cloudbeds.com/connect/10074733072513#/reservations/30649308639398?display=YQ54ST8PX&amp;reservation_id=30649308639398", "YQ54ST8PX")</f>
        <v>YQ54ST8PX</v>
      </c>
      <c r="B1583" t="s">
        <v>10</v>
      </c>
      <c r="C1583" t="s">
        <v>11</v>
      </c>
      <c r="D1583" t="str">
        <f>HYPERLINK("https://us2.cloudbeds.com/connect/10074733072513#/reservations/30649308639398?display=Jim%20Stolp&amp;reservation_id=30649308639398&amp;guest_id=30649308639389", "Jim Stolp")</f>
        <v>Jim Stolp</v>
      </c>
      <c r="E1583" t="s">
        <v>498</v>
      </c>
      <c r="F1583" t="s">
        <v>499</v>
      </c>
      <c r="G1583">
        <v>134.1</v>
      </c>
      <c r="H1583">
        <v>145.76</v>
      </c>
      <c r="I1583">
        <v>145.77000000000001</v>
      </c>
      <c r="J1583">
        <v>-0.01</v>
      </c>
    </row>
    <row r="1584" spans="1:10" x14ac:dyDescent="0.3">
      <c r="A1584" t="str">
        <f>HYPERLINK("https://us2.cloudbeds.com/connect/10074733072513#/reservations/30650771034319?display=YQ6980XG6&amp;reservation_id=30650771034319", "YQ6980XG6")</f>
        <v>YQ6980XG6</v>
      </c>
      <c r="B1584" t="s">
        <v>10</v>
      </c>
      <c r="C1584" t="s">
        <v>20</v>
      </c>
      <c r="D1584" t="str">
        <f>HYPERLINK("https://us2.cloudbeds.com/connect/10074733072513#/reservations/30650771034319?display=Patty%20Oleary&amp;reservation_id=30650771034319&amp;guest_id=30650766721187", "Patty Oleary")</f>
        <v>Patty Oleary</v>
      </c>
      <c r="E1584" t="s">
        <v>500</v>
      </c>
      <c r="F1584" t="s">
        <v>501</v>
      </c>
      <c r="G1584">
        <v>87.2</v>
      </c>
      <c r="H1584">
        <v>94.78</v>
      </c>
      <c r="I1584">
        <v>94.79</v>
      </c>
      <c r="J1584">
        <v>-0.01</v>
      </c>
    </row>
    <row r="1585" spans="1:10" x14ac:dyDescent="0.3">
      <c r="A1585" t="str">
        <f>HYPERLINK("https://us2.cloudbeds.com/connect/10074733072513#/reservations/30649762767055?display=YQ5GFR17Z&amp;reservation_id=30649762767055", "YQ5GFR17Z")</f>
        <v>YQ5GFR17Z</v>
      </c>
      <c r="B1585" t="s">
        <v>10</v>
      </c>
      <c r="C1585" t="s">
        <v>42</v>
      </c>
      <c r="D1585" t="str">
        <f>HYPERLINK("https://us2.cloudbeds.com/connect/10074733072513#/reservations/30649762767055?display=Anita%20Koenig&amp;reservation_id=30649762767055&amp;guest_id=30649762762975", "Anita Koenig")</f>
        <v>Anita Koenig</v>
      </c>
      <c r="E1585" t="s">
        <v>502</v>
      </c>
      <c r="F1585" t="s">
        <v>499</v>
      </c>
      <c r="G1585">
        <v>268.2</v>
      </c>
      <c r="H1585">
        <v>291.52</v>
      </c>
      <c r="I1585">
        <v>291.52999999999997</v>
      </c>
      <c r="J1585">
        <v>-0.01</v>
      </c>
    </row>
    <row r="1586" spans="1:10" x14ac:dyDescent="0.3">
      <c r="A1586" t="str">
        <f>HYPERLINK("https://us2.cloudbeds.com/connect/10074733072513#/reservations/30651117732059?display=YQ6X3BUTA&amp;reservation_id=30651117732059", "YQ6X3BUTA")</f>
        <v>YQ6X3BUTA</v>
      </c>
      <c r="B1586" t="s">
        <v>10</v>
      </c>
      <c r="C1586" t="s">
        <v>42</v>
      </c>
      <c r="D1586" t="str">
        <f>HYPERLINK("https://us2.cloudbeds.com/connect/10074733072513#/reservations/30651117732059?display=Kenneth%20Zeeb&amp;reservation_id=30651117732059&amp;guest_id=30651117727968", "Kenneth Zeeb")</f>
        <v>Kenneth Zeeb</v>
      </c>
      <c r="E1586" t="s">
        <v>505</v>
      </c>
      <c r="F1586" t="s">
        <v>504</v>
      </c>
      <c r="G1586">
        <v>196.2</v>
      </c>
      <c r="H1586">
        <v>213.26</v>
      </c>
      <c r="I1586">
        <v>213.27</v>
      </c>
      <c r="J1586">
        <v>-0.01</v>
      </c>
    </row>
    <row r="1587" spans="1:10" x14ac:dyDescent="0.3">
      <c r="A1587" t="str">
        <f>HYPERLINK("https://us2.cloudbeds.com/connect/10074733072513#/reservations/30649774797024?display=YQ5GPVQ17&amp;reservation_id=30649774797024", "YQ5GPVQ17")</f>
        <v>YQ5GPVQ17</v>
      </c>
      <c r="B1587" t="s">
        <v>10</v>
      </c>
      <c r="C1587" t="s">
        <v>20</v>
      </c>
      <c r="D1587" t="str">
        <f>HYPERLINK("https://us2.cloudbeds.com/connect/10074733072513#/reservations/30649774797024?display=Tina%20Reed&amp;reservation_id=30649774797024&amp;guest_id=30649769836686", "Tina Reed")</f>
        <v>Tina Reed</v>
      </c>
      <c r="E1587" t="s">
        <v>506</v>
      </c>
      <c r="F1587" t="s">
        <v>476</v>
      </c>
      <c r="G1587">
        <v>87.2</v>
      </c>
      <c r="H1587">
        <v>94.78</v>
      </c>
      <c r="I1587">
        <v>94.79</v>
      </c>
      <c r="J1587">
        <v>-0.01</v>
      </c>
    </row>
    <row r="1588" spans="1:10" x14ac:dyDescent="0.3">
      <c r="A1588" t="str">
        <f>HYPERLINK("https://us2.cloudbeds.com/connect/10074733072513#/reservations/30649742082179?display=YQ5FVCB4W&amp;reservation_id=30649742082179", "YQ5FVCB4W")</f>
        <v>YQ5FVCB4W</v>
      </c>
      <c r="B1588" t="s">
        <v>10</v>
      </c>
      <c r="C1588" t="s">
        <v>20</v>
      </c>
      <c r="D1588" t="str">
        <f>HYPERLINK("https://us2.cloudbeds.com/connect/10074733072513#/reservations/30649742082179?display=Stephen%20Nolen&amp;reservation_id=30649742082179&amp;guest_id=30649742078088", "Stephen Nolen")</f>
        <v>Stephen Nolen</v>
      </c>
      <c r="E1588" t="s">
        <v>507</v>
      </c>
      <c r="F1588" t="s">
        <v>476</v>
      </c>
      <c r="G1588">
        <v>103.2</v>
      </c>
      <c r="H1588">
        <v>112.17</v>
      </c>
      <c r="I1588">
        <v>112.18</v>
      </c>
      <c r="J1588">
        <v>-0.01</v>
      </c>
    </row>
    <row r="1589" spans="1:10" x14ac:dyDescent="0.3">
      <c r="A1589" t="str">
        <f>HYPERLINK("https://us2.cloudbeds.com/connect/10074733072513#/reservations/30649773547669?display=YQ5GZU0Q0&amp;reservation_id=30649773547669", "YQ5GZU0Q0")</f>
        <v>YQ5GZU0Q0</v>
      </c>
      <c r="B1589" t="s">
        <v>10</v>
      </c>
      <c r="C1589" t="s">
        <v>42</v>
      </c>
      <c r="D1589" t="str">
        <f>HYPERLINK("https://us2.cloudbeds.com/connect/10074733072513#/reservations/30649773547669?display=Kari%20Sandmann&amp;reservation_id=30649773547669&amp;guest_id=30649768292537", "Kari Sandmann")</f>
        <v>Kari Sandmann</v>
      </c>
      <c r="E1589" t="s">
        <v>508</v>
      </c>
      <c r="F1589" t="s">
        <v>499</v>
      </c>
      <c r="G1589">
        <v>268.2</v>
      </c>
      <c r="H1589">
        <v>291.52</v>
      </c>
      <c r="I1589">
        <v>291.52999999999997</v>
      </c>
      <c r="J1589">
        <v>-0.01</v>
      </c>
    </row>
    <row r="1590" spans="1:10" x14ac:dyDescent="0.3">
      <c r="A1590" t="str">
        <f>HYPERLINK("https://us2.cloudbeds.com/connect/10074733072513#/reservations/30651082793194?display=YQ6H6TNER&amp;reservation_id=30651082793194", "YQ6H6TNER")</f>
        <v>YQ6H6TNER</v>
      </c>
      <c r="B1590" t="s">
        <v>10</v>
      </c>
      <c r="C1590" t="s">
        <v>11</v>
      </c>
      <c r="D1590" t="str">
        <f>HYPERLINK("https://us2.cloudbeds.com/connect/10074733072513#/reservations/30651082793194?display=Katrina%20Jones&amp;reservation_id=30651082793194&amp;guest_id=30651082793167", "Katrina Jones")</f>
        <v>Katrina Jones</v>
      </c>
      <c r="E1590" t="s">
        <v>509</v>
      </c>
      <c r="F1590" t="s">
        <v>504</v>
      </c>
      <c r="G1590">
        <v>76.16</v>
      </c>
      <c r="H1590">
        <v>82.78</v>
      </c>
      <c r="I1590">
        <v>82.79</v>
      </c>
      <c r="J1590">
        <v>-0.01</v>
      </c>
    </row>
    <row r="1591" spans="1:10" x14ac:dyDescent="0.3">
      <c r="A1591" t="str">
        <f>HYPERLINK("https://us2.cloudbeds.com/connect/10074733072513#/reservations/30648853667971?display=YQ4Q880GY&amp;reservation_id=30648853667971", "YQ4Q880GY")</f>
        <v>YQ4Q880GY</v>
      </c>
      <c r="B1591" t="s">
        <v>10</v>
      </c>
      <c r="C1591" t="s">
        <v>42</v>
      </c>
      <c r="D1591" t="str">
        <f>HYPERLINK("https://us2.cloudbeds.com/connect/10074733072513#/reservations/30648853667971?display=Ralph%20Coombs&amp;reservation_id=30648853667971&amp;guest_id=30648853667968", "Ralph Coombs")</f>
        <v>Ralph Coombs</v>
      </c>
      <c r="E1591" t="s">
        <v>511</v>
      </c>
      <c r="F1591" t="s">
        <v>491</v>
      </c>
      <c r="G1591">
        <v>134.1</v>
      </c>
      <c r="H1591">
        <v>145.76</v>
      </c>
      <c r="I1591">
        <v>145.77000000000001</v>
      </c>
      <c r="J1591">
        <v>-0.01</v>
      </c>
    </row>
    <row r="1592" spans="1:10" x14ac:dyDescent="0.3">
      <c r="A1592" t="str">
        <f>HYPERLINK("https://us2.cloudbeds.com/connect/10074733072513#/reservations/30649969479882?display=YQ5YP445Q&amp;reservation_id=30649969479882", "YQ5YP445Q")</f>
        <v>YQ5YP445Q</v>
      </c>
      <c r="B1592" t="s">
        <v>10</v>
      </c>
      <c r="C1592" t="s">
        <v>42</v>
      </c>
      <c r="D1592" t="str">
        <f>HYPERLINK("https://us2.cloudbeds.com/connect/10074733072513#/reservations/30649969479882?display=Roxanne%20Hirsch&amp;reservation_id=30649969479882&amp;guest_id=30649966129315", "Roxanne Hirsch")</f>
        <v>Roxanne Hirsch</v>
      </c>
      <c r="E1592" t="s">
        <v>512</v>
      </c>
      <c r="F1592" t="s">
        <v>141</v>
      </c>
      <c r="G1592">
        <v>86.15</v>
      </c>
      <c r="H1592">
        <v>93.64</v>
      </c>
      <c r="I1592">
        <v>93.65</v>
      </c>
      <c r="J1592">
        <v>-0.01</v>
      </c>
    </row>
    <row r="1593" spans="1:10" x14ac:dyDescent="0.3">
      <c r="A1593" t="str">
        <f>HYPERLINK("https://us2.cloudbeds.com/connect/10074733072513#/reservations/30648611569874?display=YQ4K2396M&amp;reservation_id=30648611569874", "YQ4K2396M")</f>
        <v>YQ4K2396M</v>
      </c>
      <c r="B1593" t="s">
        <v>10</v>
      </c>
      <c r="C1593" t="s">
        <v>42</v>
      </c>
      <c r="D1593" t="str">
        <f>HYPERLINK("https://us2.cloudbeds.com/connect/10074733072513#/reservations/30648611569874?display=Brandi%20Lafriniere&amp;reservation_id=30648611569874&amp;guest_id=30648611569871", "Brandi Lafriniere")</f>
        <v>Brandi Lafriniere</v>
      </c>
      <c r="E1593" t="s">
        <v>513</v>
      </c>
      <c r="F1593" t="s">
        <v>417</v>
      </c>
      <c r="G1593">
        <v>250.2</v>
      </c>
      <c r="H1593">
        <v>271.95999999999998</v>
      </c>
      <c r="I1593">
        <v>271.97000000000003</v>
      </c>
      <c r="J1593">
        <v>-0.01</v>
      </c>
    </row>
    <row r="1594" spans="1:10" x14ac:dyDescent="0.3">
      <c r="A1594" t="str">
        <f>HYPERLINK("https://us2.cloudbeds.com/connect/10074733072513#/reservations/30648578683083?display=YQ4J7C548&amp;reservation_id=30648578683083", "YQ4J7C548")</f>
        <v>YQ4J7C548</v>
      </c>
      <c r="B1594" t="s">
        <v>10</v>
      </c>
      <c r="C1594" t="s">
        <v>20</v>
      </c>
      <c r="D1594" t="str">
        <f>HYPERLINK("https://us2.cloudbeds.com/connect/10074733072513#/reservations/30648578683083?display=Leyna%20Hoffer&amp;reservation_id=30648578683083&amp;guest_id=30648575217849", "Leyna Hoffer")</f>
        <v>Leyna Hoffer</v>
      </c>
      <c r="E1594" t="s">
        <v>514</v>
      </c>
      <c r="F1594" t="s">
        <v>417</v>
      </c>
      <c r="G1594">
        <v>302.39999999999998</v>
      </c>
      <c r="H1594">
        <v>328.7</v>
      </c>
      <c r="I1594">
        <v>328.71</v>
      </c>
      <c r="J1594">
        <v>-0.01</v>
      </c>
    </row>
    <row r="1595" spans="1:10" x14ac:dyDescent="0.3">
      <c r="A1595" t="str">
        <f>HYPERLINK("https://us2.cloudbeds.com/connect/10074733072513#/reservations/30648480395482?display=YQ4GNG573&amp;reservation_id=30648480395482", "YQ4GNG573")</f>
        <v>YQ4GNG573</v>
      </c>
      <c r="B1595" t="s">
        <v>10</v>
      </c>
      <c r="C1595" t="s">
        <v>14</v>
      </c>
      <c r="D1595" t="str">
        <f>HYPERLINK("https://us2.cloudbeds.com/connect/10074733072513#/reservations/30648480395482?display=Don%20Emmons&amp;reservation_id=30648480395482&amp;guest_id=30648480395480", "Don Emmons")</f>
        <v>Don Emmons</v>
      </c>
      <c r="E1595" t="s">
        <v>515</v>
      </c>
      <c r="F1595" t="s">
        <v>465</v>
      </c>
      <c r="G1595">
        <v>174.4</v>
      </c>
      <c r="H1595">
        <v>189.56</v>
      </c>
      <c r="I1595">
        <v>189.57</v>
      </c>
      <c r="J1595">
        <v>-0.01</v>
      </c>
    </row>
    <row r="1596" spans="1:10" x14ac:dyDescent="0.3">
      <c r="A1596" t="str">
        <f>HYPERLINK("https://us2.cloudbeds.com/connect/10074733072513#/reservations/30648570552475?display=YQ4J0GU06&amp;reservation_id=30648570552475", "YQ4J0GU06")</f>
        <v>YQ4J0GU06</v>
      </c>
      <c r="B1596" t="s">
        <v>10</v>
      </c>
      <c r="C1596" t="s">
        <v>11</v>
      </c>
      <c r="D1596" t="str">
        <f>HYPERLINK("https://us2.cloudbeds.com/connect/10074733072513#/reservations/30648570552475?display=Roger%20J%20Varilek&amp;reservation_id=30648570552475&amp;guest_id=30648570552473", "Roger J Varilek")</f>
        <v>Roger J Varilek</v>
      </c>
      <c r="E1596" t="s">
        <v>516</v>
      </c>
      <c r="F1596" t="s">
        <v>417</v>
      </c>
      <c r="G1596">
        <v>134.1</v>
      </c>
      <c r="H1596">
        <v>145.76</v>
      </c>
      <c r="I1596">
        <v>145.77000000000001</v>
      </c>
      <c r="J1596">
        <v>-0.01</v>
      </c>
    </row>
    <row r="1597" spans="1:10" x14ac:dyDescent="0.3">
      <c r="A1597" t="str">
        <f>HYPERLINK("https://us2.cloudbeds.com/connect/10074733072513#/reservations/30648864862393?display=YQ4QHMH1H&amp;reservation_id=30648864862393", "YQ4QHMH1H")</f>
        <v>YQ4QHMH1H</v>
      </c>
      <c r="B1597" t="s">
        <v>10</v>
      </c>
      <c r="C1597" t="s">
        <v>14</v>
      </c>
      <c r="D1597" t="str">
        <f>HYPERLINK("https://us2.cloudbeds.com/connect/10074733072513#/reservations/30648864862393?display=Courtney%20Macdowell&amp;reservation_id=30648864862393&amp;guest_id=30648864862343", "Courtney Macdowell")</f>
        <v>Courtney Macdowell</v>
      </c>
      <c r="E1597" t="s">
        <v>518</v>
      </c>
      <c r="F1597" t="s">
        <v>491</v>
      </c>
      <c r="G1597">
        <v>76.16</v>
      </c>
      <c r="H1597">
        <v>82.78</v>
      </c>
      <c r="I1597">
        <v>82.79</v>
      </c>
      <c r="J1597">
        <v>-0.01</v>
      </c>
    </row>
    <row r="1598" spans="1:10" x14ac:dyDescent="0.3">
      <c r="A1598" t="str">
        <f>HYPERLINK("https://us2.cloudbeds.com/connect/10074733072513#/reservations/30648490205372?display=YQ4GVP4CG&amp;reservation_id=30648490205372", "YQ4GVP4CG")</f>
        <v>YQ4GVP4CG</v>
      </c>
      <c r="B1598" t="s">
        <v>10</v>
      </c>
      <c r="C1598" t="s">
        <v>11</v>
      </c>
      <c r="D1598" t="str">
        <f>HYPERLINK("https://us2.cloudbeds.com/connect/10074733072513#/reservations/30648490205372?display=David%20Oconnell&amp;reservation_id=30648490205372&amp;guest_id=30648490205367", "David Oconnell")</f>
        <v>David Oconnell</v>
      </c>
      <c r="E1598" t="s">
        <v>119</v>
      </c>
      <c r="F1598" t="s">
        <v>465</v>
      </c>
      <c r="G1598">
        <v>76.16</v>
      </c>
      <c r="H1598">
        <v>82.78</v>
      </c>
      <c r="I1598">
        <v>82.79</v>
      </c>
      <c r="J1598">
        <v>-0.01</v>
      </c>
    </row>
    <row r="1599" spans="1:10" x14ac:dyDescent="0.3">
      <c r="A1599" t="str">
        <f>HYPERLINK("https://us2.cloudbeds.com/connect/10074733072513#/reservations/30649982279817?display=YQ5M2UA0K&amp;reservation_id=30649982279817", "YQ5M2UA0K")</f>
        <v>YQ5M2UA0K</v>
      </c>
      <c r="B1599" t="s">
        <v>10</v>
      </c>
      <c r="C1599" t="s">
        <v>42</v>
      </c>
      <c r="D1599" t="str">
        <f>HYPERLINK("https://us2.cloudbeds.com/connect/10074733072513#/reservations/30649982279817?display=David%20Ringgenberg&amp;reservation_id=30649982279817&amp;guest_id=30649982275772", "David Ringgenberg")</f>
        <v>David Ringgenberg</v>
      </c>
      <c r="E1599" t="s">
        <v>521</v>
      </c>
      <c r="F1599" t="s">
        <v>141</v>
      </c>
      <c r="G1599">
        <v>66.150000000000006</v>
      </c>
      <c r="H1599">
        <v>71.900000000000006</v>
      </c>
      <c r="I1599">
        <v>71.91</v>
      </c>
      <c r="J1599">
        <v>-0.01</v>
      </c>
    </row>
    <row r="1600" spans="1:10" x14ac:dyDescent="0.3">
      <c r="A1600" t="str">
        <f>HYPERLINK("https://us2.cloudbeds.com/connect/10074733072513#/reservations/30648505209036?display=YQ4HBDKRW&amp;reservation_id=30648505209036", "YQ4HBDKRW")</f>
        <v>YQ4HBDKRW</v>
      </c>
      <c r="B1600" t="s">
        <v>10</v>
      </c>
      <c r="C1600" t="s">
        <v>11</v>
      </c>
      <c r="D1600" t="str">
        <f>HYPERLINK("https://us2.cloudbeds.com/connect/10074733072513#/reservations/30648505209036?display=Michael%20R%20Mertz&amp;reservation_id=30648505209036&amp;guest_id=30648505209028", "Michael R Mertz")</f>
        <v>Michael R Mertz</v>
      </c>
      <c r="E1600" t="s">
        <v>522</v>
      </c>
      <c r="F1600" t="s">
        <v>465</v>
      </c>
      <c r="G1600">
        <v>76.16</v>
      </c>
      <c r="H1600">
        <v>82.78</v>
      </c>
      <c r="I1600">
        <v>82.79</v>
      </c>
      <c r="J1600">
        <v>-0.01</v>
      </c>
    </row>
    <row r="1601" spans="1:10" x14ac:dyDescent="0.3">
      <c r="A1601" t="str">
        <f>HYPERLINK("https://us2.cloudbeds.com/connect/10074733072513#/reservations/30648505213133?display=YQ4HBDZK4&amp;reservation_id=30648505213133", "YQ4HBDZK4")</f>
        <v>YQ4HBDZK4</v>
      </c>
      <c r="B1601" t="s">
        <v>10</v>
      </c>
      <c r="C1601" t="s">
        <v>14</v>
      </c>
      <c r="D1601" t="str">
        <f>HYPERLINK("https://us2.cloudbeds.com/connect/10074733072513#/reservations/30648505213133?display=Kerry%20Boyd&amp;reservation_id=30648505213133&amp;guest_id=30648505213131", "Kerry Boyd")</f>
        <v>Kerry Boyd</v>
      </c>
      <c r="E1601" t="s">
        <v>523</v>
      </c>
      <c r="F1601" t="s">
        <v>465</v>
      </c>
      <c r="G1601">
        <v>76.16</v>
      </c>
      <c r="H1601">
        <v>82.78</v>
      </c>
      <c r="I1601">
        <v>82.79</v>
      </c>
      <c r="J1601">
        <v>-0.01</v>
      </c>
    </row>
    <row r="1602" spans="1:10" x14ac:dyDescent="0.3">
      <c r="A1602" t="str">
        <f>HYPERLINK("https://us2.cloudbeds.com/connect/10074733072513#/reservations/30648512762016?display=YQ4HHPQX5&amp;reservation_id=30648512762016", "YQ4HHPQX5")</f>
        <v>YQ4HHPQX5</v>
      </c>
      <c r="B1602" t="s">
        <v>10</v>
      </c>
      <c r="C1602" t="s">
        <v>14</v>
      </c>
      <c r="D1602" t="str">
        <f>HYPERLINK("https://us2.cloudbeds.com/connect/10074733072513#/reservations/30648512762016?display=Jan%20Blaue&amp;reservation_id=30648512762016&amp;guest_id=30648512762004", "Jan Blaue")</f>
        <v>Jan Blaue</v>
      </c>
      <c r="E1602" t="s">
        <v>524</v>
      </c>
      <c r="F1602" t="s">
        <v>465</v>
      </c>
      <c r="G1602">
        <v>76.16</v>
      </c>
      <c r="H1602">
        <v>82.78</v>
      </c>
      <c r="I1602">
        <v>82.79</v>
      </c>
      <c r="J1602">
        <v>-0.01</v>
      </c>
    </row>
    <row r="1603" spans="1:10" x14ac:dyDescent="0.3">
      <c r="A1603" t="str">
        <f>HYPERLINK("https://us2.cloudbeds.com/connect/10074733072513#/reservations/30648565772490?display=YQ4XTFTM5&amp;reservation_id=30648565772490", "YQ4XTFTM5")</f>
        <v>YQ4XTFTM5</v>
      </c>
      <c r="B1603" t="s">
        <v>10</v>
      </c>
      <c r="C1603" t="s">
        <v>11</v>
      </c>
      <c r="D1603" t="str">
        <f>HYPERLINK("https://us2.cloudbeds.com/connect/10074733072513#/reservations/30648565772490?display=Susan%20Keeton&amp;reservation_id=30648565772490&amp;guest_id=30648565772487", "Susan Keeton")</f>
        <v>Susan Keeton</v>
      </c>
      <c r="E1603" t="s">
        <v>525</v>
      </c>
      <c r="F1603" t="s">
        <v>417</v>
      </c>
      <c r="G1603">
        <v>222.4</v>
      </c>
      <c r="H1603">
        <v>241.74</v>
      </c>
      <c r="I1603">
        <v>241.75</v>
      </c>
      <c r="J1603">
        <v>-0.01</v>
      </c>
    </row>
    <row r="1604" spans="1:10" x14ac:dyDescent="0.3">
      <c r="A1604" t="str">
        <f>HYPERLINK("https://us2.cloudbeds.com/connect/10074733072513#/reservations/30651273928922?display=YQ6M32BBJ&amp;reservation_id=30651273928922", "YQ6M32BBJ")</f>
        <v>YQ6M32BBJ</v>
      </c>
      <c r="B1604" t="s">
        <v>10</v>
      </c>
      <c r="C1604" t="s">
        <v>20</v>
      </c>
      <c r="D1604" t="str">
        <f>HYPERLINK("https://us2.cloudbeds.com/connect/10074733072513#/reservations/30651273928922?display=Sandra%20Jayne%20Belen&amp;reservation_id=30651273928922&amp;guest_id=30651273928920", "Sandra Jayne Belen")</f>
        <v>Sandra Jayne Belen</v>
      </c>
      <c r="E1604" t="s">
        <v>526</v>
      </c>
      <c r="F1604" t="s">
        <v>487</v>
      </c>
      <c r="G1604">
        <v>103.2</v>
      </c>
      <c r="H1604">
        <v>112.17</v>
      </c>
      <c r="I1604">
        <v>112.18</v>
      </c>
      <c r="J1604">
        <v>-0.01</v>
      </c>
    </row>
    <row r="1605" spans="1:10" x14ac:dyDescent="0.3">
      <c r="A1605" t="str">
        <f>HYPERLINK("https://us2.cloudbeds.com/connect/10074733072513#/reservations/30649453342867?display=YQ58XTS56&amp;reservation_id=30649453342867", "YQ58XTS56")</f>
        <v>YQ58XTS56</v>
      </c>
      <c r="B1605" t="s">
        <v>10</v>
      </c>
      <c r="C1605" t="s">
        <v>14</v>
      </c>
      <c r="D1605" t="str">
        <f>HYPERLINK("https://us2.cloudbeds.com/connect/10074733072513#/reservations/30649453342867?display=Shayne%20Mcgaughy&amp;reservation_id=30649453342867&amp;guest_id=30649453342864", "Shayne Mcgaughy")</f>
        <v>Shayne Mcgaughy</v>
      </c>
      <c r="E1605" t="s">
        <v>527</v>
      </c>
      <c r="F1605" t="s">
        <v>141</v>
      </c>
      <c r="G1605">
        <v>76.16</v>
      </c>
      <c r="H1605">
        <v>82.78</v>
      </c>
      <c r="I1605">
        <v>82.79</v>
      </c>
      <c r="J1605">
        <v>-0.01</v>
      </c>
    </row>
    <row r="1606" spans="1:10" x14ac:dyDescent="0.3">
      <c r="A1606" t="str">
        <f>HYPERLINK("https://us2.cloudbeds.com/connect/10074733072513#/reservations/30649457512680?display=YQ58MDT65&amp;reservation_id=30649457512680", "YQ58MDT65")</f>
        <v>YQ58MDT65</v>
      </c>
      <c r="B1606" t="s">
        <v>10</v>
      </c>
      <c r="C1606" t="s">
        <v>11</v>
      </c>
      <c r="D1606" t="str">
        <f>HYPERLINK("https://us2.cloudbeds.com/connect/10074733072513#/reservations/30649457512680?display=Justin%20Paul%20Jedlicka&amp;reservation_id=30649457512680&amp;guest_id=30649457512677", "Justin Paul Jedlicka")</f>
        <v>Justin Paul Jedlicka</v>
      </c>
      <c r="E1606" t="s">
        <v>530</v>
      </c>
      <c r="F1606" t="s">
        <v>141</v>
      </c>
      <c r="G1606">
        <v>76.16</v>
      </c>
      <c r="H1606">
        <v>82.78</v>
      </c>
      <c r="I1606">
        <v>82.79</v>
      </c>
      <c r="J1606">
        <v>-0.01</v>
      </c>
    </row>
    <row r="1607" spans="1:10" x14ac:dyDescent="0.3">
      <c r="A1607" t="str">
        <f>HYPERLINK("https://us2.cloudbeds.com/connect/10074733072513#/reservations/30649462403202?display=YQ58QHW0Q&amp;reservation_id=30649462403202", "YQ58QHW0Q")</f>
        <v>YQ58QHW0Q</v>
      </c>
      <c r="B1607" t="s">
        <v>10</v>
      </c>
      <c r="C1607" t="s">
        <v>11</v>
      </c>
      <c r="D1607" t="str">
        <f>HYPERLINK("https://us2.cloudbeds.com/connect/10074733072513#/reservations/30649462403202?display=Ga%20Kinds&amp;reservation_id=30649462403202&amp;guest_id=30649462399166", "Ga Kinds")</f>
        <v>Ga Kinds</v>
      </c>
      <c r="E1607" t="s">
        <v>531</v>
      </c>
      <c r="F1607" t="s">
        <v>141</v>
      </c>
      <c r="G1607">
        <v>76.16</v>
      </c>
      <c r="H1607">
        <v>82.78</v>
      </c>
      <c r="I1607">
        <v>82.79</v>
      </c>
      <c r="J1607">
        <v>-0.01</v>
      </c>
    </row>
    <row r="1608" spans="1:10" x14ac:dyDescent="0.3">
      <c r="A1608" t="str">
        <f>HYPERLINK("https://us2.cloudbeds.com/connect/10074733072513#/reservations/30649187451039?display=YQ51PN0N2&amp;reservation_id=30649187451039", "YQ51PN0N2")</f>
        <v>YQ51PN0N2</v>
      </c>
      <c r="B1608" t="s">
        <v>10</v>
      </c>
      <c r="C1608" t="s">
        <v>42</v>
      </c>
      <c r="D1608" t="str">
        <f>HYPERLINK("https://us2.cloudbeds.com/connect/10074733072513#/reservations/30649187451039?display=John%20Lewis&amp;reservation_id=30649187451039&amp;guest_id=30649187446954", "John Lewis")</f>
        <v>John Lewis</v>
      </c>
      <c r="E1608" t="s">
        <v>532</v>
      </c>
      <c r="F1608" t="s">
        <v>417</v>
      </c>
      <c r="G1608">
        <v>134.1</v>
      </c>
      <c r="H1608">
        <v>145.76</v>
      </c>
      <c r="I1608">
        <v>145.77000000000001</v>
      </c>
      <c r="J1608">
        <v>-0.01</v>
      </c>
    </row>
    <row r="1609" spans="1:10" x14ac:dyDescent="0.3">
      <c r="A1609" t="str">
        <f>HYPERLINK("https://us2.cloudbeds.com/connect/10074733072513#/reservations/30648558084243?display=YQ4XMWVZV&amp;reservation_id=30648558084243", "YQ4XMWVZV")</f>
        <v>YQ4XMWVZV</v>
      </c>
      <c r="B1609" t="s">
        <v>10</v>
      </c>
      <c r="C1609" t="s">
        <v>17</v>
      </c>
      <c r="D1609" t="str">
        <f>HYPERLINK("https://us2.cloudbeds.com/connect/10074733072513#/reservations/30648558084243?display=Mike%20Davies&amp;reservation_id=30648558084243&amp;guest_id=30648558084238", "Mike Davies")</f>
        <v>Mike Davies</v>
      </c>
      <c r="E1609" t="s">
        <v>533</v>
      </c>
      <c r="F1609" t="s">
        <v>417</v>
      </c>
      <c r="G1609">
        <v>250.2</v>
      </c>
      <c r="H1609">
        <v>271.95999999999998</v>
      </c>
      <c r="I1609">
        <v>271.97000000000003</v>
      </c>
      <c r="J1609">
        <v>-0.01</v>
      </c>
    </row>
    <row r="1610" spans="1:10" x14ac:dyDescent="0.3">
      <c r="A1610" t="str">
        <f>HYPERLINK("https://us2.cloudbeds.com/connect/10074733072513#/reservations/30649222709396?display=YQ52ME4H4&amp;reservation_id=30649222709396", "YQ52ME4H4")</f>
        <v>YQ52ME4H4</v>
      </c>
      <c r="B1610" t="s">
        <v>10</v>
      </c>
      <c r="C1610" t="s">
        <v>20</v>
      </c>
      <c r="D1610" t="str">
        <f>HYPERLINK("https://us2.cloudbeds.com/connect/10074733072513#/reservations/30649222709396?display=Aaron%20Aberson&amp;reservation_id=30649222709396&amp;guest_id=30649188602009", "Aaron Aberson")</f>
        <v>Aaron Aberson</v>
      </c>
      <c r="E1610" t="s">
        <v>534</v>
      </c>
      <c r="F1610" t="s">
        <v>535</v>
      </c>
      <c r="G1610">
        <v>267.3</v>
      </c>
      <c r="H1610">
        <v>290.55</v>
      </c>
      <c r="I1610">
        <v>290.56</v>
      </c>
      <c r="J1610">
        <v>-0.01</v>
      </c>
    </row>
    <row r="1611" spans="1:10" x14ac:dyDescent="0.3">
      <c r="A1611" t="str">
        <f>HYPERLINK("https://us2.cloudbeds.com/connect/10074733072513#/reservations/30649209090177?display=YQ52AV5BH&amp;reservation_id=30649209090177", "YQ52AV5BH")</f>
        <v>YQ52AV5BH</v>
      </c>
      <c r="B1611" t="s">
        <v>10</v>
      </c>
      <c r="C1611" t="s">
        <v>20</v>
      </c>
      <c r="D1611" t="str">
        <f>HYPERLINK("https://us2.cloudbeds.com/connect/10074733072513#/reservations/30649209090177?display=Aaron%20Aberson&amp;reservation_id=30649209090177&amp;guest_id=30649188602009", "Aaron Aberson")</f>
        <v>Aaron Aberson</v>
      </c>
      <c r="E1611" t="s">
        <v>534</v>
      </c>
      <c r="F1611" t="s">
        <v>535</v>
      </c>
      <c r="G1611">
        <v>267.3</v>
      </c>
      <c r="H1611">
        <v>290.55</v>
      </c>
      <c r="I1611">
        <v>290.56</v>
      </c>
      <c r="J1611">
        <v>-0.01</v>
      </c>
    </row>
    <row r="1612" spans="1:10" x14ac:dyDescent="0.3">
      <c r="A1612" t="str">
        <f>HYPERLINK("https://us2.cloudbeds.com/connect/10074733072513#/reservations/30649188606105?display=YQ51QM5C2&amp;reservation_id=30649188606105", "YQ51QM5C2")</f>
        <v>YQ51QM5C2</v>
      </c>
      <c r="B1612" t="s">
        <v>10</v>
      </c>
      <c r="C1612" t="s">
        <v>20</v>
      </c>
      <c r="D1612" t="str">
        <f>HYPERLINK("https://us2.cloudbeds.com/connect/10074733072513#/reservations/30649188606105?display=Aaron%20Aberson&amp;reservation_id=30649188606105&amp;guest_id=30649188602009", "Aaron Aberson")</f>
        <v>Aaron Aberson</v>
      </c>
      <c r="E1612" t="s">
        <v>534</v>
      </c>
      <c r="F1612" t="s">
        <v>535</v>
      </c>
      <c r="G1612">
        <v>267.3</v>
      </c>
      <c r="H1612">
        <v>290.55</v>
      </c>
      <c r="I1612">
        <v>290.56</v>
      </c>
      <c r="J1612">
        <v>-0.01</v>
      </c>
    </row>
    <row r="1613" spans="1:10" x14ac:dyDescent="0.3">
      <c r="A1613" t="str">
        <f>HYPERLINK("https://us2.cloudbeds.com/connect/10074733072513#/reservations/30649039368440?display=YQ4UWRDBJ&amp;reservation_id=30649039368440", "YQ4UWRDBJ")</f>
        <v>YQ4UWRDBJ</v>
      </c>
      <c r="B1613" t="s">
        <v>10</v>
      </c>
      <c r="C1613" t="s">
        <v>11</v>
      </c>
      <c r="D1613" t="str">
        <f>HYPERLINK("https://us2.cloudbeds.com/connect/10074733072513#/reservations/30649039368440?display=Jeremy%20Gray&amp;reservation_id=30649039368440&amp;guest_id=30649039368435", "Jeremy Gray")</f>
        <v>Jeremy Gray</v>
      </c>
      <c r="E1613" t="s">
        <v>536</v>
      </c>
      <c r="F1613" t="s">
        <v>458</v>
      </c>
      <c r="G1613">
        <v>200.16</v>
      </c>
      <c r="H1613">
        <v>217.56</v>
      </c>
      <c r="I1613">
        <v>217.57</v>
      </c>
      <c r="J1613">
        <v>-0.01</v>
      </c>
    </row>
    <row r="1614" spans="1:10" x14ac:dyDescent="0.3">
      <c r="A1614" t="str">
        <f>HYPERLINK("https://us2.cloudbeds.com/connect/10074733072513#/reservations/30650061312201?display=YQ5Z3XGCA&amp;reservation_id=30650061312201", "YQ5Z3XGCA")</f>
        <v>YQ5Z3XGCA</v>
      </c>
      <c r="B1614" t="s">
        <v>10</v>
      </c>
      <c r="C1614" t="s">
        <v>20</v>
      </c>
      <c r="D1614" t="str">
        <f>HYPERLINK("https://us2.cloudbeds.com/connect/10074733072513#/reservations/30650061312201?display=Patrick%20Tillou&amp;reservation_id=30650061312201&amp;guest_id=30650056548539", "Patrick Tillou")</f>
        <v>Patrick Tillou</v>
      </c>
      <c r="E1614" t="s">
        <v>537</v>
      </c>
      <c r="F1614" t="s">
        <v>487</v>
      </c>
      <c r="G1614">
        <v>103.2</v>
      </c>
      <c r="H1614">
        <v>112.17</v>
      </c>
      <c r="I1614">
        <v>112.18</v>
      </c>
      <c r="J1614">
        <v>-0.01</v>
      </c>
    </row>
    <row r="1615" spans="1:10" x14ac:dyDescent="0.3">
      <c r="A1615" t="str">
        <f>HYPERLINK("https://us2.cloudbeds.com/connect/10074733072513#/reservations/30650376552600?display=YQ5W5CHAN&amp;reservation_id=30650376552600", "YQ5W5CHAN")</f>
        <v>YQ5W5CHAN</v>
      </c>
      <c r="B1615" t="s">
        <v>10</v>
      </c>
      <c r="C1615" t="s">
        <v>11</v>
      </c>
      <c r="D1615" t="str">
        <f>HYPERLINK("https://us2.cloudbeds.com/connect/10074733072513#/reservations/30650376552600?display=Joshua%20Mcfarland&amp;reservation_id=30650376552600&amp;guest_id=30650376552597", "Joshua Mcfarland")</f>
        <v>Joshua Mcfarland</v>
      </c>
      <c r="E1615" t="s">
        <v>538</v>
      </c>
      <c r="F1615" t="s">
        <v>471</v>
      </c>
      <c r="G1615">
        <v>76.16</v>
      </c>
      <c r="H1615">
        <v>82.78</v>
      </c>
      <c r="I1615">
        <v>82.79</v>
      </c>
      <c r="J1615">
        <v>-0.01</v>
      </c>
    </row>
    <row r="1616" spans="1:10" x14ac:dyDescent="0.3">
      <c r="A1616" t="str">
        <f>HYPERLINK("https://us2.cloudbeds.com/connect/10074733072513#/reservations/30651529650395?display=YQ6SKN5Y4&amp;reservation_id=30651529650395", "YQ6SKN5Y4")</f>
        <v>YQ6SKN5Y4</v>
      </c>
      <c r="B1616" t="s">
        <v>10</v>
      </c>
      <c r="C1616" t="s">
        <v>11</v>
      </c>
      <c r="D1616" t="str">
        <f>HYPERLINK("https://us2.cloudbeds.com/connect/10074733072513#/reservations/30651529650395?display=Brandi%20Jenne'&amp;reservation_id=30651529650395&amp;guest_id=30651529646311", "Brandi Jenne'")</f>
        <v>Brandi Jenne'</v>
      </c>
      <c r="E1616" t="s">
        <v>542</v>
      </c>
      <c r="F1616" t="s">
        <v>543</v>
      </c>
      <c r="G1616">
        <v>134.78</v>
      </c>
      <c r="H1616">
        <v>146.5</v>
      </c>
      <c r="I1616">
        <v>146.51</v>
      </c>
      <c r="J1616">
        <v>-0.01</v>
      </c>
    </row>
    <row r="1617" spans="1:10" x14ac:dyDescent="0.3">
      <c r="A1617" t="str">
        <f>HYPERLINK("https://us2.cloudbeds.com/connect/10074733072513#/reservations/30650094506154?display=YQ5ZVX5GN&amp;reservation_id=30650094506154", "YQ5ZVX5GN")</f>
        <v>YQ5ZVX5GN</v>
      </c>
      <c r="B1617" t="s">
        <v>10</v>
      </c>
      <c r="C1617" t="s">
        <v>11</v>
      </c>
      <c r="D1617" t="str">
        <f>HYPERLINK("https://us2.cloudbeds.com/connect/10074733072513#/reservations/30650094506154?display=Douglas%20Simon&amp;reservation_id=30650094506154&amp;guest_id=30650094506142", "Douglas Simon")</f>
        <v>Douglas Simon</v>
      </c>
      <c r="E1617" t="s">
        <v>544</v>
      </c>
      <c r="F1617" t="s">
        <v>545</v>
      </c>
      <c r="G1617">
        <v>90.07</v>
      </c>
      <c r="H1617">
        <v>97.9</v>
      </c>
      <c r="I1617">
        <v>97.91</v>
      </c>
      <c r="J1617">
        <v>-0.01</v>
      </c>
    </row>
    <row r="1618" spans="1:10" x14ac:dyDescent="0.3">
      <c r="A1618" t="str">
        <f>HYPERLINK("https://us2.cloudbeds.com/connect/10074733072513#/reservations/30650467557538?display=YQ61G3SP3&amp;reservation_id=30650467557538", "YQ61G3SP3")</f>
        <v>YQ61G3SP3</v>
      </c>
      <c r="B1618" t="s">
        <v>10</v>
      </c>
      <c r="C1618" t="s">
        <v>14</v>
      </c>
      <c r="D1618" t="str">
        <f>HYPERLINK("https://us2.cloudbeds.com/connect/10074733072513#/reservations/30650467557538?display=Igor%20Mierzvinski&amp;reservation_id=30650467557538&amp;guest_id=30650467553453", "Igor Mierzvinski")</f>
        <v>Igor Mierzvinski</v>
      </c>
      <c r="E1618" t="s">
        <v>546</v>
      </c>
      <c r="F1618" t="s">
        <v>484</v>
      </c>
      <c r="G1618">
        <v>64.150000000000006</v>
      </c>
      <c r="H1618">
        <v>69.72</v>
      </c>
      <c r="I1618">
        <v>69.73</v>
      </c>
      <c r="J1618">
        <v>-0.01</v>
      </c>
    </row>
    <row r="1619" spans="1:10" x14ac:dyDescent="0.3">
      <c r="A1619" t="str">
        <f>HYPERLINK("https://us2.cloudbeds.com/connect/10074733072513#/reservations/30649655603343?display=YQ5DZF1KH&amp;reservation_id=30649655603343", "YQ5DZF1KH")</f>
        <v>YQ5DZF1KH</v>
      </c>
      <c r="B1619" t="s">
        <v>10</v>
      </c>
      <c r="C1619" t="s">
        <v>11</v>
      </c>
      <c r="D1619" t="str">
        <f>HYPERLINK("https://us2.cloudbeds.com/connect/10074733072513#/reservations/30649655603343?display=William%20Haring&amp;reservation_id=30649655603343&amp;guest_id=30649646080130", "William Haring")</f>
        <v>William Haring</v>
      </c>
      <c r="E1619" t="s">
        <v>547</v>
      </c>
      <c r="F1619" t="s">
        <v>548</v>
      </c>
      <c r="G1619">
        <v>72.17</v>
      </c>
      <c r="H1619">
        <v>78.44</v>
      </c>
      <c r="I1619">
        <v>78.45</v>
      </c>
      <c r="J1619">
        <v>-0.01</v>
      </c>
    </row>
    <row r="1620" spans="1:10" x14ac:dyDescent="0.3">
      <c r="A1620" t="str">
        <f>HYPERLINK("https://us2.cloudbeds.com/connect/10074733072513#/reservations/30649960595676?display=YQ5YHKU1E&amp;reservation_id=30649960595676", "YQ5YHKU1E")</f>
        <v>YQ5YHKU1E</v>
      </c>
      <c r="B1620" t="s">
        <v>10</v>
      </c>
      <c r="C1620" t="s">
        <v>20</v>
      </c>
      <c r="D1620" t="str">
        <f>HYPERLINK("https://us2.cloudbeds.com/connect/10074733072513#/reservations/30649960595676?display=Sophia%20Benedix&amp;reservation_id=30649960595676&amp;guest_id=30649953255621", "Sophia Benedix")</f>
        <v>Sophia Benedix</v>
      </c>
      <c r="E1620" t="s">
        <v>549</v>
      </c>
      <c r="F1620" t="s">
        <v>550</v>
      </c>
      <c r="G1620">
        <v>134.1</v>
      </c>
      <c r="H1620">
        <v>145.76</v>
      </c>
      <c r="I1620">
        <v>145.77000000000001</v>
      </c>
      <c r="J1620">
        <v>-0.01</v>
      </c>
    </row>
    <row r="1621" spans="1:10" x14ac:dyDescent="0.3">
      <c r="A1621" t="str">
        <f>HYPERLINK("https://us2.cloudbeds.com/connect/10074733072513#/reservations/30650196852935?display=YQ5RXS3SA&amp;reservation_id=30650196852935", "YQ5RXS3SA")</f>
        <v>YQ5RXS3SA</v>
      </c>
      <c r="B1621" t="s">
        <v>10</v>
      </c>
      <c r="C1621" t="s">
        <v>14</v>
      </c>
      <c r="D1621" t="str">
        <f>HYPERLINK("https://us2.cloudbeds.com/connect/10074733072513#/reservations/30650196852935?display=Perry%20Hoss&amp;reservation_id=30650196852935&amp;guest_id=30650196852931", "Perry Hoss")</f>
        <v>Perry Hoss</v>
      </c>
      <c r="E1621" t="s">
        <v>546</v>
      </c>
      <c r="F1621" t="s">
        <v>484</v>
      </c>
      <c r="G1621">
        <v>64.150000000000006</v>
      </c>
      <c r="H1621">
        <v>69.72</v>
      </c>
      <c r="I1621">
        <v>69.73</v>
      </c>
      <c r="J1621">
        <v>-0.01</v>
      </c>
    </row>
    <row r="1622" spans="1:10" x14ac:dyDescent="0.3">
      <c r="A1622" t="str">
        <f>HYPERLINK("https://us2.cloudbeds.com/connect/10074733072513#/reservations/30649442201732?display=YQ589GRX1&amp;reservation_id=30649442201732", "YQ589GRX1")</f>
        <v>YQ589GRX1</v>
      </c>
      <c r="B1622" t="s">
        <v>10</v>
      </c>
      <c r="C1622" t="s">
        <v>20</v>
      </c>
      <c r="D1622" t="str">
        <f>HYPERLINK("https://us2.cloudbeds.com/connect/10074733072513#/reservations/30649442201732?display=Zach%20Garland&amp;reservation_id=30649442201732&amp;guest_id=30649442201730", "Zach Garland")</f>
        <v>Zach Garland</v>
      </c>
      <c r="E1622" t="s">
        <v>551</v>
      </c>
      <c r="F1622" t="s">
        <v>552</v>
      </c>
      <c r="G1622">
        <v>134.1</v>
      </c>
      <c r="H1622">
        <v>145.76</v>
      </c>
      <c r="I1622">
        <v>145.77000000000001</v>
      </c>
      <c r="J1622">
        <v>-0.01</v>
      </c>
    </row>
    <row r="1623" spans="1:10" x14ac:dyDescent="0.3">
      <c r="A1623" t="str">
        <f>HYPERLINK("https://us2.cloudbeds.com/connect/10074733072513#/reservations/30649455612034?display=YQ58KQWSQ&amp;reservation_id=30649455612034", "YQ58KQWSQ")</f>
        <v>YQ58KQWSQ</v>
      </c>
      <c r="B1623" t="s">
        <v>10</v>
      </c>
      <c r="C1623" t="s">
        <v>20</v>
      </c>
      <c r="D1623" t="str">
        <f>HYPERLINK("https://us2.cloudbeds.com/connect/10074733072513#/reservations/30649455612034?display=Lavern%20Erikson&amp;reservation_id=30649455612034&amp;guest_id=30649450201305", "Lavern Erikson")</f>
        <v>Lavern Erikson</v>
      </c>
      <c r="E1623" t="s">
        <v>555</v>
      </c>
      <c r="F1623" t="s">
        <v>552</v>
      </c>
      <c r="G1623">
        <v>103.2</v>
      </c>
      <c r="H1623">
        <v>112.17</v>
      </c>
      <c r="I1623">
        <v>112.18</v>
      </c>
      <c r="J1623">
        <v>-0.01</v>
      </c>
    </row>
    <row r="1624" spans="1:10" x14ac:dyDescent="0.3">
      <c r="A1624" t="str">
        <f>HYPERLINK("https://us2.cloudbeds.com/connect/10074733072513#/reservations/30650298429687?display=YQ5U5GY3N&amp;reservation_id=30650298429687", "YQ5U5GY3N")</f>
        <v>YQ5U5GY3N</v>
      </c>
      <c r="B1624" t="s">
        <v>10</v>
      </c>
      <c r="C1624" t="s">
        <v>11</v>
      </c>
      <c r="D1624" t="str">
        <f>HYPERLINK("https://us2.cloudbeds.com/connect/10074733072513#/reservations/30650298429687?display=Kristin%20Anderson&amp;reservation_id=30650298429687&amp;guest_id=30650298429670", "Kristin Anderson")</f>
        <v>Kristin Anderson</v>
      </c>
      <c r="E1624" t="s">
        <v>556</v>
      </c>
      <c r="F1624" t="s">
        <v>557</v>
      </c>
      <c r="G1624">
        <v>250.2</v>
      </c>
      <c r="H1624">
        <v>271.95999999999998</v>
      </c>
      <c r="I1624">
        <v>271.97000000000003</v>
      </c>
      <c r="J1624">
        <v>-0.01</v>
      </c>
    </row>
    <row r="1625" spans="1:10" x14ac:dyDescent="0.3">
      <c r="A1625" t="str">
        <f>HYPERLINK("https://us2.cloudbeds.com/connect/10074733072513#/reservations/30649581822135?display=YQ5BS7W9B&amp;reservation_id=30649581822135", "YQ5BS7W9B")</f>
        <v>YQ5BS7W9B</v>
      </c>
      <c r="B1625" t="s">
        <v>10</v>
      </c>
      <c r="C1625" t="s">
        <v>11</v>
      </c>
      <c r="D1625" t="str">
        <f>HYPERLINK("https://us2.cloudbeds.com/connect/10074733072513#/reservations/30649581822135?display=Phil%20Boys%20Room%20Covington&amp;reservation_id=30649581822135&amp;guest_id=30649581822133", "Phil Boys Room Covington")</f>
        <v>Phil Boys Room Covington</v>
      </c>
      <c r="E1625" t="s">
        <v>559</v>
      </c>
      <c r="F1625" t="s">
        <v>560</v>
      </c>
      <c r="G1625">
        <v>268.2</v>
      </c>
      <c r="H1625">
        <v>291.52</v>
      </c>
      <c r="I1625">
        <v>291.52999999999997</v>
      </c>
      <c r="J1625">
        <v>-0.01</v>
      </c>
    </row>
    <row r="1626" spans="1:10" x14ac:dyDescent="0.3">
      <c r="A1626" t="str">
        <f>HYPERLINK("https://us2.cloudbeds.com/connect/10074733072513#/reservations/30652390383808?display=YQ7H9Y01T&amp;reservation_id=30652390383808", "YQ7H9Y01T")</f>
        <v>YQ7H9Y01T</v>
      </c>
      <c r="B1626" t="s">
        <v>10</v>
      </c>
      <c r="C1626" t="s">
        <v>42</v>
      </c>
      <c r="D1626" t="str">
        <f>HYPERLINK("https://us2.cloudbeds.com/connect/10074733072513#/reservations/30652390383808?display=Phyllis%20Bolie&amp;reservation_id=30652390383808&amp;guest_id=30652377505951", "Phyllis Bolie")</f>
        <v>Phyllis Bolie</v>
      </c>
      <c r="E1626" t="s">
        <v>561</v>
      </c>
      <c r="F1626" t="s">
        <v>19</v>
      </c>
      <c r="G1626">
        <v>250.2</v>
      </c>
      <c r="H1626">
        <v>271.95999999999998</v>
      </c>
      <c r="I1626">
        <v>271.97000000000003</v>
      </c>
      <c r="J1626">
        <v>-0.01</v>
      </c>
    </row>
    <row r="1627" spans="1:10" x14ac:dyDescent="0.3">
      <c r="A1627" t="str">
        <f>HYPERLINK("https://us2.cloudbeds.com/connect/10074733072513#/reservations/30649589289179?display=YQ5C1HP2D&amp;reservation_id=30649589289179", "YQ5C1HP2D")</f>
        <v>YQ5C1HP2D</v>
      </c>
      <c r="B1627" t="s">
        <v>10</v>
      </c>
      <c r="C1627" t="s">
        <v>11</v>
      </c>
      <c r="D1627" t="str">
        <f>HYPERLINK("https://us2.cloudbeds.com/connect/10074733072513#/reservations/30649589289179?display=Phil%20Covington&amp;reservation_id=30649589289179&amp;guest_id=30649589289177", "Phil Covington")</f>
        <v>Phil Covington</v>
      </c>
      <c r="E1627" t="s">
        <v>559</v>
      </c>
      <c r="F1627" t="s">
        <v>560</v>
      </c>
      <c r="G1627">
        <v>250.2</v>
      </c>
      <c r="H1627">
        <v>271.95999999999998</v>
      </c>
      <c r="I1627">
        <v>271.97000000000003</v>
      </c>
      <c r="J1627">
        <v>-0.01</v>
      </c>
    </row>
    <row r="1628" spans="1:10" x14ac:dyDescent="0.3">
      <c r="A1628" t="str">
        <f>HYPERLINK("https://us2.cloudbeds.com/connect/10074733072513#/reservations/30652173463695?display=YQ7C2J7E2&amp;reservation_id=30652173463695", "YQ7C2J7E2")</f>
        <v>YQ7C2J7E2</v>
      </c>
      <c r="B1628" t="s">
        <v>10</v>
      </c>
      <c r="C1628" t="s">
        <v>11</v>
      </c>
      <c r="D1628" t="str">
        <f>HYPERLINK("https://us2.cloudbeds.com/connect/10074733072513#/reservations/30652173463695?display=Denise%20Jindra&amp;reservation_id=30652173463695&amp;guest_id=30652173463693", "Denise Jindra")</f>
        <v>Denise Jindra</v>
      </c>
      <c r="E1628" t="s">
        <v>562</v>
      </c>
      <c r="F1628" t="s">
        <v>218</v>
      </c>
      <c r="G1628">
        <v>250.2</v>
      </c>
      <c r="H1628">
        <v>271.95999999999998</v>
      </c>
      <c r="I1628">
        <v>271.97000000000003</v>
      </c>
      <c r="J1628">
        <v>-0.01</v>
      </c>
    </row>
    <row r="1629" spans="1:10" x14ac:dyDescent="0.3">
      <c r="A1629" t="str">
        <f>HYPERLINK("https://us2.cloudbeds.com/connect/10074733072513#/reservations/30652015362181?display=YQ7818QW3&amp;reservation_id=30652015362181", "YQ7818QW3")</f>
        <v>YQ7818QW3</v>
      </c>
      <c r="B1629" t="s">
        <v>10</v>
      </c>
      <c r="C1629" t="s">
        <v>14</v>
      </c>
      <c r="D1629" t="str">
        <f>HYPERLINK("https://us2.cloudbeds.com/connect/10074733072513#/reservations/30652015362181?display=Nachum%20Gall&amp;reservation_id=30652015362181&amp;guest_id=30652015358123", "Nachum Gall")</f>
        <v>Nachum Gall</v>
      </c>
      <c r="E1629" t="s">
        <v>565</v>
      </c>
      <c r="F1629" t="s">
        <v>564</v>
      </c>
      <c r="G1629">
        <v>64.150000000000006</v>
      </c>
      <c r="H1629">
        <v>69.72</v>
      </c>
      <c r="I1629">
        <v>69.73</v>
      </c>
      <c r="J1629">
        <v>-0.01</v>
      </c>
    </row>
    <row r="1630" spans="1:10" x14ac:dyDescent="0.3">
      <c r="A1630" t="str">
        <f>HYPERLINK("https://us2.cloudbeds.com/connect/10074733072513#/reservations/30649610543313?display=YQ5CJF662&amp;reservation_id=30649610543313", "YQ5CJF662")</f>
        <v>YQ5CJF662</v>
      </c>
      <c r="B1630" t="s">
        <v>10</v>
      </c>
      <c r="C1630" t="s">
        <v>14</v>
      </c>
      <c r="D1630" t="str">
        <f>HYPERLINK("https://us2.cloudbeds.com/connect/10074733072513#/reservations/30649610543313?display=Bob%20Alva&amp;reservation_id=30649610543313&amp;guest_id=30649610543304", "Bob Alva")</f>
        <v>Bob Alva</v>
      </c>
      <c r="E1630" t="s">
        <v>566</v>
      </c>
      <c r="F1630" t="s">
        <v>560</v>
      </c>
      <c r="G1630">
        <v>103.2</v>
      </c>
      <c r="H1630">
        <v>112.17</v>
      </c>
      <c r="I1630">
        <v>112.18</v>
      </c>
      <c r="J1630">
        <v>-0.01</v>
      </c>
    </row>
    <row r="1631" spans="1:10" x14ac:dyDescent="0.3">
      <c r="A1631" t="str">
        <f>HYPERLINK("https://us2.cloudbeds.com/connect/10074733072513#/reservations/30648595202294?display=YQ4JY9R9D&amp;reservation_id=30648595202294", "YQ4JY9R9D")</f>
        <v>YQ4JY9R9D</v>
      </c>
      <c r="B1631" t="s">
        <v>10</v>
      </c>
      <c r="C1631" t="s">
        <v>14</v>
      </c>
      <c r="D1631" t="str">
        <f>HYPERLINK("https://us2.cloudbeds.com/connect/10074733072513#/reservations/30648595202294?display=Tj%20Sterk&amp;reservation_id=30648595202294&amp;guest_id=30648595202276", "Tj Sterk")</f>
        <v>Tj Sterk</v>
      </c>
      <c r="E1631" t="s">
        <v>568</v>
      </c>
      <c r="F1631" t="s">
        <v>569</v>
      </c>
      <c r="G1631">
        <v>267.3</v>
      </c>
      <c r="H1631">
        <v>290.55</v>
      </c>
      <c r="I1631">
        <v>290.56</v>
      </c>
      <c r="J1631">
        <v>-0.01</v>
      </c>
    </row>
    <row r="1632" spans="1:10" x14ac:dyDescent="0.3">
      <c r="A1632" t="str">
        <f>HYPERLINK("https://us2.cloudbeds.com/connect/10074733072513#/reservations/30648588378245?display=YQ4JFHUV1&amp;reservation_id=30648588378245", "YQ4JFHUV1")</f>
        <v>YQ4JFHUV1</v>
      </c>
      <c r="B1632" t="s">
        <v>10</v>
      </c>
      <c r="C1632" t="s">
        <v>14</v>
      </c>
      <c r="D1632" t="str">
        <f>HYPERLINK("https://us2.cloudbeds.com/connect/10074733072513#/reservations/30648588378245?display=Jeremy%20King&amp;reservation_id=30648588378245&amp;guest_id=30648582779124", "Jeremy King")</f>
        <v>Jeremy King</v>
      </c>
      <c r="E1632" t="s">
        <v>568</v>
      </c>
      <c r="F1632" t="s">
        <v>569</v>
      </c>
      <c r="G1632">
        <v>267.3</v>
      </c>
      <c r="H1632">
        <v>290.55</v>
      </c>
      <c r="I1632">
        <v>290.56</v>
      </c>
      <c r="J1632">
        <v>-0.01</v>
      </c>
    </row>
    <row r="1633" spans="1:10" x14ac:dyDescent="0.3">
      <c r="A1633" t="str">
        <f>HYPERLINK("https://us2.cloudbeds.com/connect/10074733072513#/reservations/30652102226073?display=YQ7A8GUQ8&amp;reservation_id=30652102226073", "YQ7A8GUQ8")</f>
        <v>YQ7A8GUQ8</v>
      </c>
      <c r="B1633" t="s">
        <v>10</v>
      </c>
      <c r="C1633" t="s">
        <v>14</v>
      </c>
      <c r="D1633" t="str">
        <f>HYPERLINK("https://us2.cloudbeds.com/connect/10074733072513#/reservations/30652102226073?display=Travis%20Schonleber&amp;reservation_id=30652102226073&amp;guest_id=30652102221989", "Travis Schonleber")</f>
        <v>Travis Schonleber</v>
      </c>
      <c r="E1633" t="s">
        <v>571</v>
      </c>
      <c r="F1633" t="s">
        <v>572</v>
      </c>
      <c r="G1633">
        <v>64.150000000000006</v>
      </c>
      <c r="H1633">
        <v>69.72</v>
      </c>
      <c r="I1633">
        <v>69.73</v>
      </c>
      <c r="J1633">
        <v>-0.01</v>
      </c>
    </row>
    <row r="1634" spans="1:10" x14ac:dyDescent="0.3">
      <c r="A1634" t="str">
        <f>HYPERLINK("https://us2.cloudbeds.com/connect/10074733072513#/reservations/30650760569010?display=YQ68W6BFK&amp;reservation_id=30650760569010", "YQ68W6BFK")</f>
        <v>YQ68W6BFK</v>
      </c>
      <c r="B1634" t="s">
        <v>10</v>
      </c>
      <c r="C1634" t="s">
        <v>14</v>
      </c>
      <c r="D1634" t="str">
        <f>HYPERLINK("https://us2.cloudbeds.com/connect/10074733072513#/reservations/30650760569010?display=Elise%20Frieder&amp;reservation_id=30650760569010&amp;guest_id=30650760569006", "Elise Frieder")</f>
        <v>Elise Frieder</v>
      </c>
      <c r="E1634" t="s">
        <v>573</v>
      </c>
      <c r="F1634" t="s">
        <v>574</v>
      </c>
      <c r="G1634">
        <v>64.150000000000006</v>
      </c>
      <c r="H1634">
        <v>69.72</v>
      </c>
      <c r="I1634">
        <v>69.73</v>
      </c>
      <c r="J1634">
        <v>-0.01</v>
      </c>
    </row>
    <row r="1635" spans="1:10" x14ac:dyDescent="0.3">
      <c r="A1635" t="str">
        <f>HYPERLINK("https://us2.cloudbeds.com/connect/10074733072513#/reservations/30649262784735?display=YQ53N79YB&amp;reservation_id=30649262784735", "YQ53N79YB")</f>
        <v>YQ53N79YB</v>
      </c>
      <c r="B1635" t="s">
        <v>10</v>
      </c>
      <c r="C1635" t="s">
        <v>14</v>
      </c>
      <c r="D1635" t="str">
        <f>HYPERLINK("https://us2.cloudbeds.com/connect/10074733072513#/reservations/30649262784735?display=Amy%20Hinker&amp;reservation_id=30649262784735&amp;guest_id=30649262784722", "Amy Hinker")</f>
        <v>Amy Hinker</v>
      </c>
      <c r="E1635" t="s">
        <v>575</v>
      </c>
      <c r="F1635" t="s">
        <v>576</v>
      </c>
      <c r="G1635">
        <v>222.4</v>
      </c>
      <c r="H1635">
        <v>241.74</v>
      </c>
      <c r="I1635">
        <v>241.75</v>
      </c>
      <c r="J1635">
        <v>-0.01</v>
      </c>
    </row>
    <row r="1636" spans="1:10" x14ac:dyDescent="0.3">
      <c r="A1636" t="str">
        <f>HYPERLINK("https://us2.cloudbeds.com/connect/10074733072513#/reservations/30648958795985?display=YQ4SUTBQ1&amp;reservation_id=30648958795985", "YQ4SUTBQ1")</f>
        <v>YQ4SUTBQ1</v>
      </c>
      <c r="B1636" t="s">
        <v>10</v>
      </c>
      <c r="C1636" t="s">
        <v>42</v>
      </c>
      <c r="D1636" t="str">
        <f>HYPERLINK("https://us2.cloudbeds.com/connect/10074733072513#/reservations/30648958795985?display=Keith%20Chvatal&amp;reservation_id=30648958795985&amp;guest_id=30648958791889", "Keith Chvatal")</f>
        <v>Keith Chvatal</v>
      </c>
      <c r="E1636" t="s">
        <v>577</v>
      </c>
      <c r="F1636" t="s">
        <v>554</v>
      </c>
      <c r="G1636">
        <v>134.1</v>
      </c>
      <c r="H1636">
        <v>145.76</v>
      </c>
      <c r="I1636">
        <v>145.77000000000001</v>
      </c>
      <c r="J1636">
        <v>-0.01</v>
      </c>
    </row>
    <row r="1637" spans="1:10" x14ac:dyDescent="0.3">
      <c r="A1637" t="str">
        <f>HYPERLINK("https://us2.cloudbeds.com/connect/10074733072513#/reservations/30649732096205?display=YQ5FMVJ01&amp;reservation_id=30649732096205", "YQ5FMVJ01")</f>
        <v>YQ5FMVJ01</v>
      </c>
      <c r="B1637" t="s">
        <v>10</v>
      </c>
      <c r="C1637" t="s">
        <v>20</v>
      </c>
      <c r="D1637" t="str">
        <f>HYPERLINK("https://us2.cloudbeds.com/connect/10074733072513#/reservations/30649732096205?display=Tobias%20Bockermann&amp;reservation_id=30649732096205&amp;guest_id=30649732096195", "Tobias Bockermann")</f>
        <v>Tobias Bockermann</v>
      </c>
      <c r="E1637" t="s">
        <v>578</v>
      </c>
      <c r="F1637" t="s">
        <v>548</v>
      </c>
      <c r="G1637">
        <v>103.2</v>
      </c>
      <c r="H1637">
        <v>112.17</v>
      </c>
      <c r="I1637">
        <v>112.18</v>
      </c>
      <c r="J1637">
        <v>-0.01</v>
      </c>
    </row>
    <row r="1638" spans="1:10" x14ac:dyDescent="0.3">
      <c r="A1638" t="str">
        <f>HYPERLINK("https://us2.cloudbeds.com/connect/10074733072513#/reservations/30649272860801?display=YQ53VNM7M&amp;reservation_id=30649272860801", "YQ53VNM7M")</f>
        <v>YQ53VNM7M</v>
      </c>
      <c r="B1638" t="s">
        <v>10</v>
      </c>
      <c r="C1638" t="s">
        <v>11</v>
      </c>
      <c r="D1638" t="str">
        <f>HYPERLINK("https://us2.cloudbeds.com/connect/10074733072513#/reservations/30649272860801?display=Susanne%20Bain&amp;reservation_id=30649272860801&amp;guest_id=30649262788835", "Susanne Bain")</f>
        <v>Susanne Bain</v>
      </c>
      <c r="E1638" t="s">
        <v>579</v>
      </c>
      <c r="F1638" t="s">
        <v>576</v>
      </c>
      <c r="G1638">
        <v>222.4</v>
      </c>
      <c r="H1638">
        <v>241.74</v>
      </c>
      <c r="I1638">
        <v>241.75</v>
      </c>
      <c r="J1638">
        <v>-0.01</v>
      </c>
    </row>
    <row r="1639" spans="1:10" x14ac:dyDescent="0.3">
      <c r="A1639" t="str">
        <f>HYPERLINK("https://us2.cloudbeds.com/connect/10074733072513#/reservations/30649011142816?display=YQ4U90WGY&amp;reservation_id=30649011142816", "YQ4U90WGY")</f>
        <v>YQ4U90WGY</v>
      </c>
      <c r="B1639" t="s">
        <v>10</v>
      </c>
      <c r="C1639" t="s">
        <v>14</v>
      </c>
      <c r="D1639" t="str">
        <f>HYPERLINK("https://us2.cloudbeds.com/connect/10074733072513#/reservations/30649011142816?display=Connie%20Chung&amp;reservation_id=30649011142816&amp;guest_id=30649006657683", "Connie Chung")</f>
        <v>Connie Chung</v>
      </c>
      <c r="E1639" t="s">
        <v>580</v>
      </c>
      <c r="F1639" t="s">
        <v>554</v>
      </c>
      <c r="G1639">
        <v>90.07</v>
      </c>
      <c r="H1639">
        <v>97.9</v>
      </c>
      <c r="I1639">
        <v>97.91</v>
      </c>
      <c r="J1639">
        <v>-0.01</v>
      </c>
    </row>
    <row r="1640" spans="1:10" x14ac:dyDescent="0.3">
      <c r="A1640" t="str">
        <f>HYPERLINK("https://us2.cloudbeds.com/connect/10074733072513#/reservations/30650672193739?display=YQ66NM5Q3&amp;reservation_id=30650672193739", "YQ66NM5Q3")</f>
        <v>YQ66NM5Q3</v>
      </c>
      <c r="B1640" t="s">
        <v>10</v>
      </c>
      <c r="C1640" t="s">
        <v>14</v>
      </c>
      <c r="D1640" t="str">
        <f>HYPERLINK("https://us2.cloudbeds.com/connect/10074733072513#/reservations/30650672193739?display=Jim%20Swanson&amp;reservation_id=30650672193739&amp;guest_id=30650672193736", "Jim Swanson")</f>
        <v>Jim Swanson</v>
      </c>
      <c r="E1640" t="s">
        <v>581</v>
      </c>
      <c r="F1640" t="s">
        <v>582</v>
      </c>
      <c r="G1640">
        <v>128.4</v>
      </c>
      <c r="H1640">
        <v>139.56</v>
      </c>
      <c r="I1640">
        <v>139.57</v>
      </c>
      <c r="J1640">
        <v>-0.01</v>
      </c>
    </row>
    <row r="1641" spans="1:10" x14ac:dyDescent="0.3">
      <c r="A1641" t="str">
        <f>HYPERLINK("https://us2.cloudbeds.com/connect/10074733072513#/reservations/30650429190366?display=YQ60GP86H&amp;reservation_id=30650429190366", "YQ60GP86H")</f>
        <v>YQ60GP86H</v>
      </c>
      <c r="B1641" t="s">
        <v>10</v>
      </c>
      <c r="C1641" t="s">
        <v>11</v>
      </c>
      <c r="D1641" t="str">
        <f>HYPERLINK("https://us2.cloudbeds.com/connect/10074733072513#/reservations/30650429190366?display=Alex%20Mcglothlen&amp;reservation_id=30650429190366&amp;guest_id=30648491585743", "Alex Mcglothlen")</f>
        <v>Alex Mcglothlen</v>
      </c>
      <c r="E1641" t="s">
        <v>583</v>
      </c>
      <c r="F1641" t="s">
        <v>582</v>
      </c>
      <c r="G1641">
        <v>64.150000000000006</v>
      </c>
      <c r="H1641">
        <v>69.72</v>
      </c>
      <c r="I1641">
        <v>69.73</v>
      </c>
      <c r="J1641">
        <v>-0.01</v>
      </c>
    </row>
    <row r="1642" spans="1:10" x14ac:dyDescent="0.3">
      <c r="A1642" t="str">
        <f>HYPERLINK("https://us2.cloudbeds.com/connect/10074733072513#/reservations/30651668856962?display=YQ6W62QBV&amp;reservation_id=30651668856962", "YQ6W62QBV")</f>
        <v>YQ6W62QBV</v>
      </c>
      <c r="B1642" t="s">
        <v>10</v>
      </c>
      <c r="C1642" t="s">
        <v>14</v>
      </c>
      <c r="D1642" t="str">
        <f>HYPERLINK("https://us2.cloudbeds.com/connect/10074733072513#/reservations/30651668856962?display=Taylor%20Barnes&amp;reservation_id=30651668856962&amp;guest_id=30651668852878", "Taylor Barnes")</f>
        <v>Taylor Barnes</v>
      </c>
      <c r="E1642" t="s">
        <v>584</v>
      </c>
      <c r="F1642" t="s">
        <v>585</v>
      </c>
      <c r="G1642">
        <v>67.2</v>
      </c>
      <c r="H1642">
        <v>73.040000000000006</v>
      </c>
      <c r="I1642">
        <v>73.05</v>
      </c>
      <c r="J1642">
        <v>-0.01</v>
      </c>
    </row>
    <row r="1643" spans="1:10" x14ac:dyDescent="0.3">
      <c r="A1643" t="str">
        <f>HYPERLINK("https://us2.cloudbeds.com/connect/10074733072513#/reservations/30649293119703?display=YQ54FQDEQ&amp;reservation_id=30649293119703", "YQ54FQDEQ")</f>
        <v>YQ54FQDEQ</v>
      </c>
      <c r="B1643" t="s">
        <v>10</v>
      </c>
      <c r="C1643" t="s">
        <v>11</v>
      </c>
      <c r="D1643" t="str">
        <f>HYPERLINK("https://us2.cloudbeds.com/connect/10074733072513#/reservations/30649293119703?display=Connie%20Richter&amp;reservation_id=30649293119703&amp;guest_id=30649293115617", "Connie Richter")</f>
        <v>Connie Richter</v>
      </c>
      <c r="E1643" t="s">
        <v>586</v>
      </c>
      <c r="F1643" t="s">
        <v>576</v>
      </c>
      <c r="G1643">
        <v>90.07</v>
      </c>
      <c r="H1643">
        <v>97.9</v>
      </c>
      <c r="I1643">
        <v>97.91</v>
      </c>
      <c r="J1643">
        <v>-0.01</v>
      </c>
    </row>
    <row r="1644" spans="1:10" x14ac:dyDescent="0.3">
      <c r="A1644" t="str">
        <f>HYPERLINK("https://us2.cloudbeds.com/connect/10074733072513#/reservations/30649210863763?display=YQ52CEGWX&amp;reservation_id=30649210863763", "YQ52CEGWX")</f>
        <v>YQ52CEGWX</v>
      </c>
      <c r="B1644" t="s">
        <v>10</v>
      </c>
      <c r="C1644" t="s">
        <v>14</v>
      </c>
      <c r="D1644" t="str">
        <f>HYPERLINK("https://us2.cloudbeds.com/connect/10074733072513#/reservations/30649210863763?display=Melisa%20Bailey&amp;reservation_id=30649210863763&amp;guest_id=30649210863752", "Melisa Bailey")</f>
        <v>Melisa Bailey</v>
      </c>
      <c r="E1644" t="s">
        <v>587</v>
      </c>
      <c r="F1644" t="s">
        <v>576</v>
      </c>
      <c r="G1644">
        <v>250.2</v>
      </c>
      <c r="H1644">
        <v>271.95999999999998</v>
      </c>
      <c r="I1644">
        <v>271.97000000000003</v>
      </c>
      <c r="J1644">
        <v>-0.01</v>
      </c>
    </row>
    <row r="1645" spans="1:10" x14ac:dyDescent="0.3">
      <c r="A1645" t="str">
        <f>HYPERLINK("https://us2.cloudbeds.com/connect/10074733072513#/reservations/30649209487584?display=YQ52B9788&amp;reservation_id=30649209487584", "YQ52B9788")</f>
        <v>YQ52B9788</v>
      </c>
      <c r="B1645" t="s">
        <v>10</v>
      </c>
      <c r="C1645" t="s">
        <v>14</v>
      </c>
      <c r="D1645" t="str">
        <f>HYPERLINK("https://us2.cloudbeds.com/connect/10074733072513#/reservations/30649209487584?display=Melisa%20Bailey&amp;reservation_id=30649209487584&amp;guest_id=30649201631380", "Melisa Bailey")</f>
        <v>Melisa Bailey</v>
      </c>
      <c r="E1645" t="s">
        <v>587</v>
      </c>
      <c r="F1645" t="s">
        <v>576</v>
      </c>
      <c r="G1645">
        <v>250.2</v>
      </c>
      <c r="H1645">
        <v>271.95999999999998</v>
      </c>
      <c r="I1645">
        <v>271.97000000000003</v>
      </c>
      <c r="J1645">
        <v>-0.01</v>
      </c>
    </row>
    <row r="1646" spans="1:10" x14ac:dyDescent="0.3">
      <c r="A1646" t="str">
        <f>HYPERLINK("https://us2.cloudbeds.com/connect/10074733072513#/reservations/30650423083211?display=YQ60BKA57&amp;reservation_id=30650423083211", "YQ60BKA57")</f>
        <v>YQ60BKA57</v>
      </c>
      <c r="B1646" t="s">
        <v>10</v>
      </c>
      <c r="C1646" t="s">
        <v>11</v>
      </c>
      <c r="D1646" t="str">
        <f>HYPERLINK("https://us2.cloudbeds.com/connect/10074733072513#/reservations/30650423083211?display=Linda%20Youngs&amp;reservation_id=30650423083211&amp;guest_id=30650423083208", "Linda Youngs")</f>
        <v>Linda Youngs</v>
      </c>
      <c r="E1646" t="s">
        <v>588</v>
      </c>
      <c r="F1646" t="s">
        <v>471</v>
      </c>
      <c r="G1646">
        <v>64.150000000000006</v>
      </c>
      <c r="H1646">
        <v>69.72</v>
      </c>
      <c r="I1646">
        <v>69.73</v>
      </c>
      <c r="J1646">
        <v>-0.01</v>
      </c>
    </row>
    <row r="1647" spans="1:10" x14ac:dyDescent="0.3">
      <c r="A1647" t="str">
        <f>HYPERLINK("https://us2.cloudbeds.com/connect/10074733072513#/reservations/30650114801835?display=YQ5PFYUGB&amp;reservation_id=30650114801835", "YQ5PFYUGB")</f>
        <v>YQ5PFYUGB</v>
      </c>
      <c r="B1647" t="s">
        <v>10</v>
      </c>
      <c r="C1647" t="s">
        <v>14</v>
      </c>
      <c r="D1647" t="str">
        <f>HYPERLINK("https://us2.cloudbeds.com/connect/10074733072513#/reservations/30650114801835?display=Jennifer%20Paradeis&amp;reservation_id=30650114801835&amp;guest_id=30650114801832", "Jennifer Paradeis")</f>
        <v>Jennifer Paradeis</v>
      </c>
      <c r="E1647" t="s">
        <v>589</v>
      </c>
      <c r="F1647" t="s">
        <v>590</v>
      </c>
      <c r="G1647">
        <v>222.4</v>
      </c>
      <c r="H1647">
        <v>241.74</v>
      </c>
      <c r="I1647">
        <v>241.75</v>
      </c>
      <c r="J1647">
        <v>-0.01</v>
      </c>
    </row>
    <row r="1648" spans="1:10" x14ac:dyDescent="0.3">
      <c r="A1648" t="str">
        <f>HYPERLINK("https://us2.cloudbeds.com/connect/10074733072513#/reservations/30649175261351?display=YQ51FDR7J&amp;reservation_id=30649175261351", "YQ51FDR7J")</f>
        <v>YQ51FDR7J</v>
      </c>
      <c r="B1648" t="s">
        <v>10</v>
      </c>
      <c r="C1648" t="s">
        <v>42</v>
      </c>
      <c r="D1648" t="str">
        <f>HYPERLINK("https://us2.cloudbeds.com/connect/10074733072513#/reservations/30649175261351?display=Roy%20Guinn&amp;reservation_id=30649175261351&amp;guest_id=30649175261347", "Roy Guinn")</f>
        <v>Roy Guinn</v>
      </c>
      <c r="E1648" t="s">
        <v>591</v>
      </c>
      <c r="F1648" t="s">
        <v>592</v>
      </c>
      <c r="G1648">
        <v>534.6</v>
      </c>
      <c r="H1648">
        <v>581.1</v>
      </c>
      <c r="I1648">
        <v>581.11</v>
      </c>
      <c r="J1648">
        <v>-0.01</v>
      </c>
    </row>
    <row r="1649" spans="1:10" x14ac:dyDescent="0.3">
      <c r="A1649" t="str">
        <f>HYPERLINK("https://us2.cloudbeds.com/connect/10074733072513#/reservations/30650520002696?display=YQ62RB7PA&amp;reservation_id=30650520002696", "YQ62RB7PA")</f>
        <v>YQ62RB7PA</v>
      </c>
      <c r="B1649" t="s">
        <v>10</v>
      </c>
      <c r="C1649" t="s">
        <v>42</v>
      </c>
      <c r="D1649" t="str">
        <f>HYPERLINK("https://us2.cloudbeds.com/connect/10074733072513#/reservations/30650520002696?display=Christine%20Sanders&amp;reservation_id=30650520002696&amp;guest_id=30649604915332", "Christine Sanders")</f>
        <v>Christine Sanders</v>
      </c>
      <c r="E1649" t="s">
        <v>593</v>
      </c>
      <c r="F1649" t="s">
        <v>594</v>
      </c>
      <c r="G1649">
        <v>267.3</v>
      </c>
      <c r="H1649">
        <v>290.55</v>
      </c>
      <c r="I1649">
        <v>290.56</v>
      </c>
      <c r="J1649">
        <v>-0.01</v>
      </c>
    </row>
    <row r="1650" spans="1:10" x14ac:dyDescent="0.3">
      <c r="A1650" t="str">
        <f>HYPERLINK("https://us2.cloudbeds.com/connect/10074733072513#/reservations/30650437484728?display=YQ60NP1MR&amp;reservation_id=30650437484728", "YQ60NP1MR")</f>
        <v>YQ60NP1MR</v>
      </c>
      <c r="B1650" t="s">
        <v>10</v>
      </c>
      <c r="C1650" t="s">
        <v>14</v>
      </c>
      <c r="D1650" t="str">
        <f>HYPERLINK("https://us2.cloudbeds.com/connect/10074733072513#/reservations/30650437484728?display=Dennis%20Theal&amp;reservation_id=30650437484728&amp;guest_id=30650437484726", "Dennis Theal")</f>
        <v>Dennis Theal</v>
      </c>
      <c r="E1650" t="s">
        <v>595</v>
      </c>
      <c r="F1650" t="s">
        <v>582</v>
      </c>
      <c r="G1650">
        <v>64.150000000000006</v>
      </c>
      <c r="H1650">
        <v>69.72</v>
      </c>
      <c r="I1650">
        <v>69.73</v>
      </c>
      <c r="J1650">
        <v>-0.01</v>
      </c>
    </row>
    <row r="1651" spans="1:10" x14ac:dyDescent="0.3">
      <c r="A1651" t="str">
        <f>HYPERLINK("https://us2.cloudbeds.com/connect/10074733072513#/reservations/30650753011929?display=YQ68PR205&amp;reservation_id=30650753011929", "YQ68PR205")</f>
        <v>YQ68PR205</v>
      </c>
      <c r="B1651" t="s">
        <v>10</v>
      </c>
      <c r="C1651" t="s">
        <v>14</v>
      </c>
      <c r="D1651" t="str">
        <f>HYPERLINK("https://us2.cloudbeds.com/connect/10074733072513#/reservations/30650753011929?display=Matt%20Brady&amp;reservation_id=30650753011929&amp;guest_id=30650753011924", "Matt Brady")</f>
        <v>Matt Brady</v>
      </c>
      <c r="E1651" t="s">
        <v>596</v>
      </c>
      <c r="F1651" t="s">
        <v>574</v>
      </c>
      <c r="G1651">
        <v>140.4</v>
      </c>
      <c r="H1651">
        <v>152.6</v>
      </c>
      <c r="I1651">
        <v>152.61000000000001</v>
      </c>
      <c r="J1651">
        <v>-0.01</v>
      </c>
    </row>
    <row r="1652" spans="1:10" x14ac:dyDescent="0.3">
      <c r="A1652" t="str">
        <f>HYPERLINK("https://us2.cloudbeds.com/connect/10074733072513#/reservations/30651192131727?display=YQ6K0374N&amp;reservation_id=30651192131727", "YQ6K0374N")</f>
        <v>YQ6K0374N</v>
      </c>
      <c r="B1652" t="s">
        <v>10</v>
      </c>
      <c r="C1652" t="s">
        <v>11</v>
      </c>
      <c r="D1652" t="str">
        <f>HYPERLINK("https://us2.cloudbeds.com/connect/10074733072513#/reservations/30651192131727?display=David%20Robert%20Helser&amp;reservation_id=30651192131727&amp;guest_id=30651192131723", "David Robert Helser")</f>
        <v>David Robert Helser</v>
      </c>
      <c r="E1652" t="s">
        <v>597</v>
      </c>
      <c r="F1652" t="s">
        <v>560</v>
      </c>
      <c r="G1652">
        <v>90.07</v>
      </c>
      <c r="H1652">
        <v>97.9</v>
      </c>
      <c r="I1652">
        <v>97.91</v>
      </c>
      <c r="J1652">
        <v>-0.01</v>
      </c>
    </row>
    <row r="1653" spans="1:10" x14ac:dyDescent="0.3">
      <c r="A1653" t="str">
        <f>HYPERLINK("https://us2.cloudbeds.com/connect/10074733072513#/reservations/30649379406046?display=YQ56MXEUF&amp;reservation_id=30649379406046", "YQ56MXEUF")</f>
        <v>YQ56MXEUF</v>
      </c>
      <c r="B1653" t="s">
        <v>10</v>
      </c>
      <c r="C1653" t="s">
        <v>20</v>
      </c>
      <c r="D1653" t="str">
        <f>HYPERLINK("https://us2.cloudbeds.com/connect/10074733072513#/reservations/30649379406046?display=Tony%20Seagle&amp;reservation_id=30649379406046&amp;guest_id=30649379406044", "Tony Seagle")</f>
        <v>Tony Seagle</v>
      </c>
      <c r="E1653" t="s">
        <v>598</v>
      </c>
      <c r="F1653" t="s">
        <v>599</v>
      </c>
      <c r="G1653">
        <v>267.3</v>
      </c>
      <c r="H1653">
        <v>290.55</v>
      </c>
      <c r="I1653">
        <v>290.56</v>
      </c>
      <c r="J1653">
        <v>-0.01</v>
      </c>
    </row>
    <row r="1654" spans="1:10" x14ac:dyDescent="0.3">
      <c r="A1654" t="str">
        <f>HYPERLINK("https://us2.cloudbeds.com/connect/10074733072513#/reservations/30650780221619?display=YQ69FP6V7&amp;reservation_id=30650780221619", "YQ69FP6V7")</f>
        <v>YQ69FP6V7</v>
      </c>
      <c r="B1654" t="s">
        <v>10</v>
      </c>
      <c r="C1654" t="s">
        <v>42</v>
      </c>
      <c r="D1654" t="str">
        <f>HYPERLINK("https://us2.cloudbeds.com/connect/10074733072513#/reservations/30650780221619?display=Margret%20Pierce&amp;reservation_id=30650780221619&amp;guest_id=30650780221612", "Margret Pierce")</f>
        <v>Margret Pierce</v>
      </c>
      <c r="E1654" t="s">
        <v>600</v>
      </c>
      <c r="F1654" t="s">
        <v>574</v>
      </c>
      <c r="G1654">
        <v>356.4</v>
      </c>
      <c r="H1654">
        <v>387.4</v>
      </c>
      <c r="I1654">
        <v>387.41</v>
      </c>
      <c r="J1654">
        <v>-0.01</v>
      </c>
    </row>
    <row r="1655" spans="1:10" x14ac:dyDescent="0.3">
      <c r="A1655" t="str">
        <f>HYPERLINK("https://us2.cloudbeds.com/connect/10074733072513#/reservations/30649134457050?display=YQ50E0CNK&amp;reservation_id=30649134457050", "YQ50E0CNK")</f>
        <v>YQ50E0CNK</v>
      </c>
      <c r="B1655" t="s">
        <v>10</v>
      </c>
      <c r="C1655" t="s">
        <v>42</v>
      </c>
      <c r="D1655" t="str">
        <f>HYPERLINK("https://us2.cloudbeds.com/connect/10074733072513#/reservations/30649134457050?display=Randall%20Brant&amp;reservation_id=30649134457050&amp;guest_id=30648978153695", "Randall Brant")</f>
        <v>Randall Brant</v>
      </c>
      <c r="E1655" t="s">
        <v>553</v>
      </c>
      <c r="F1655" t="s">
        <v>592</v>
      </c>
      <c r="G1655">
        <v>622.6</v>
      </c>
      <c r="H1655">
        <v>676.76</v>
      </c>
      <c r="I1655">
        <v>676.77</v>
      </c>
      <c r="J1655">
        <v>-0.01</v>
      </c>
    </row>
    <row r="1656" spans="1:10" x14ac:dyDescent="0.3">
      <c r="A1656" t="str">
        <f>HYPERLINK("https://us2.cloudbeds.com/connect/10074733072513#/reservations/30649115590828?display=YQ4WV3DBU&amp;reservation_id=30649115590828", "YQ4WV3DBU")</f>
        <v>YQ4WV3DBU</v>
      </c>
      <c r="B1656" t="s">
        <v>10</v>
      </c>
      <c r="C1656" t="s">
        <v>42</v>
      </c>
      <c r="D1656" t="str">
        <f>HYPERLINK("https://us2.cloudbeds.com/connect/10074733072513#/reservations/30649115590828?display=Randall%20Brant&amp;reservation_id=30649115590828&amp;guest_id=30648978153695", "Randall Brant")</f>
        <v>Randall Brant</v>
      </c>
      <c r="E1656" t="s">
        <v>553</v>
      </c>
      <c r="F1656" t="s">
        <v>592</v>
      </c>
      <c r="G1656">
        <v>622.6</v>
      </c>
      <c r="H1656">
        <v>676.76</v>
      </c>
      <c r="I1656">
        <v>676.77</v>
      </c>
      <c r="J1656">
        <v>-0.01</v>
      </c>
    </row>
    <row r="1657" spans="1:10" x14ac:dyDescent="0.3">
      <c r="A1657" t="str">
        <f>HYPERLINK("https://us2.cloudbeds.com/connect/10074733072513#/reservations/30650764824776?display=YQ692PPE7&amp;reservation_id=30650764824776", "YQ692PPE7")</f>
        <v>YQ692PPE7</v>
      </c>
      <c r="B1657" t="s">
        <v>10</v>
      </c>
      <c r="C1657" t="s">
        <v>11</v>
      </c>
      <c r="D1657" t="str">
        <f>HYPERLINK("https://us2.cloudbeds.com/connect/10074733072513#/reservations/30650764824776?display=Jason%20Franke&amp;reservation_id=30650764824776&amp;guest_id=30650764820684", "Jason Franke")</f>
        <v>Jason Franke</v>
      </c>
      <c r="E1657" t="s">
        <v>601</v>
      </c>
      <c r="F1657" t="s">
        <v>574</v>
      </c>
      <c r="G1657">
        <v>64.150000000000006</v>
      </c>
      <c r="H1657">
        <v>69.72</v>
      </c>
      <c r="I1657">
        <v>69.73</v>
      </c>
      <c r="J1657">
        <v>-0.01</v>
      </c>
    </row>
    <row r="1658" spans="1:10" x14ac:dyDescent="0.3">
      <c r="A1658" t="str">
        <f>HYPERLINK("https://us2.cloudbeds.com/connect/10074733072513#/reservations/30650528518335?display=YQ631H6EW&amp;reservation_id=30650528518335", "YQ631H6EW")</f>
        <v>YQ631H6EW</v>
      </c>
      <c r="B1658" t="s">
        <v>10</v>
      </c>
      <c r="C1658" t="s">
        <v>11</v>
      </c>
      <c r="D1658" t="str">
        <f>HYPERLINK("https://us2.cloudbeds.com/connect/10074733072513#/reservations/30650528518335?display=Michael%20Josepher&amp;reservation_id=30650528518335&amp;guest_id=30650528518330", "Michael Josepher")</f>
        <v>Michael Josepher</v>
      </c>
      <c r="E1658" t="s">
        <v>603</v>
      </c>
      <c r="F1658" t="s">
        <v>604</v>
      </c>
      <c r="G1658">
        <v>64.150000000000006</v>
      </c>
      <c r="H1658">
        <v>69.72</v>
      </c>
      <c r="I1658">
        <v>69.73</v>
      </c>
      <c r="J1658">
        <v>-0.01</v>
      </c>
    </row>
    <row r="1659" spans="1:10" x14ac:dyDescent="0.3">
      <c r="A1659" t="str">
        <f>HYPERLINK("https://us2.cloudbeds.com/connect/10074733072513#/reservations/30649048834275?display=YQ4V7QQJ2&amp;reservation_id=30649048834275", "YQ4V7QQJ2")</f>
        <v>YQ4V7QQJ2</v>
      </c>
      <c r="B1659" t="s">
        <v>10</v>
      </c>
      <c r="C1659" t="s">
        <v>23</v>
      </c>
      <c r="D1659" t="str">
        <f>HYPERLINK("https://us2.cloudbeds.com/connect/10074733072513#/reservations/30649048834275?display=Lori%20Severson&amp;reservation_id=30649048834275&amp;guest_id=30649048834252", "Lori Severson")</f>
        <v>Lori Severson</v>
      </c>
      <c r="E1659" t="s">
        <v>605</v>
      </c>
      <c r="F1659" t="s">
        <v>592</v>
      </c>
      <c r="G1659">
        <v>134.1</v>
      </c>
      <c r="H1659">
        <v>145.76</v>
      </c>
      <c r="I1659">
        <v>145.77000000000001</v>
      </c>
      <c r="J1659">
        <v>-0.01</v>
      </c>
    </row>
    <row r="1660" spans="1:10" x14ac:dyDescent="0.3">
      <c r="A1660" t="str">
        <f>HYPERLINK("https://us2.cloudbeds.com/connect/10074733072513#/reservations/30649808732313?display=YQ5HYJ2UB&amp;reservation_id=30649808732313", "YQ5HYJ2UB")</f>
        <v>YQ5HYJ2UB</v>
      </c>
      <c r="B1660" t="s">
        <v>10</v>
      </c>
      <c r="C1660" t="s">
        <v>14</v>
      </c>
      <c r="D1660" t="str">
        <f>HYPERLINK("https://us2.cloudbeds.com/connect/10074733072513#/reservations/30649808732313?display=Mark%20Stiefel&amp;reservation_id=30649808732313&amp;guest_id=30649808728228", "Mark Stiefel")</f>
        <v>Mark Stiefel</v>
      </c>
      <c r="E1660" t="s">
        <v>606</v>
      </c>
      <c r="F1660" t="s">
        <v>607</v>
      </c>
      <c r="G1660">
        <v>267.3</v>
      </c>
      <c r="H1660">
        <v>290.55</v>
      </c>
      <c r="I1660">
        <v>290.56</v>
      </c>
      <c r="J1660">
        <v>-0.01</v>
      </c>
    </row>
    <row r="1661" spans="1:10" x14ac:dyDescent="0.3">
      <c r="A1661" t="str">
        <f>HYPERLINK("https://us2.cloudbeds.com/connect/10074733072513#/reservations/30649808728230?display=YQ5HYXW5K&amp;reservation_id=30649808728230", "YQ5HYXW5K")</f>
        <v>YQ5HYXW5K</v>
      </c>
      <c r="B1661" t="s">
        <v>10</v>
      </c>
      <c r="C1661" t="s">
        <v>14</v>
      </c>
      <c r="D1661" t="str">
        <f>HYPERLINK("https://us2.cloudbeds.com/connect/10074733072513#/reservations/30649808728230?display=Petrus%20Strydom&amp;reservation_id=30649808728230&amp;guest_id=30649808728225", "Petrus Strydom")</f>
        <v>Petrus Strydom</v>
      </c>
      <c r="E1661" t="s">
        <v>608</v>
      </c>
      <c r="F1661" t="s">
        <v>609</v>
      </c>
      <c r="G1661">
        <v>64.150000000000006</v>
      </c>
      <c r="H1661">
        <v>69.72</v>
      </c>
      <c r="I1661">
        <v>69.73</v>
      </c>
      <c r="J1661">
        <v>-0.01</v>
      </c>
    </row>
    <row r="1662" spans="1:10" x14ac:dyDescent="0.3">
      <c r="A1662" t="str">
        <f>HYPERLINK("https://us2.cloudbeds.com/connect/10074733072513#/reservations/30649769836688?display=YQ5GYPP31&amp;reservation_id=30649769836688", "YQ5GYPP31")</f>
        <v>YQ5GYPP31</v>
      </c>
      <c r="B1662" t="s">
        <v>10</v>
      </c>
      <c r="C1662" t="s">
        <v>14</v>
      </c>
      <c r="D1662" t="str">
        <f>HYPERLINK("https://us2.cloudbeds.com/connect/10074733072513#/reservations/30649769836688?display=Ruth%20Connor&amp;reservation_id=30649769836688&amp;guest_id=30649769836683", "Ruth Connor")</f>
        <v>Ruth Connor</v>
      </c>
      <c r="E1662" t="s">
        <v>610</v>
      </c>
      <c r="F1662" t="s">
        <v>611</v>
      </c>
      <c r="G1662">
        <v>64.150000000000006</v>
      </c>
      <c r="H1662">
        <v>69.72</v>
      </c>
      <c r="I1662">
        <v>69.73</v>
      </c>
      <c r="J1662">
        <v>-0.01</v>
      </c>
    </row>
    <row r="1663" spans="1:10" x14ac:dyDescent="0.3">
      <c r="A1663" t="str">
        <f>HYPERLINK("https://us2.cloudbeds.com/connect/10074733072513#/reservations/30649760755876?display=YQ5GE42DU&amp;reservation_id=30649760755876", "YQ5GE42DU")</f>
        <v>YQ5GE42DU</v>
      </c>
      <c r="B1663" t="s">
        <v>10</v>
      </c>
      <c r="C1663" t="s">
        <v>14</v>
      </c>
      <c r="D1663" t="str">
        <f>HYPERLINK("https://us2.cloudbeds.com/connect/10074733072513#/reservations/30649760755876?display=Matthew%20Davis&amp;reservation_id=30649760755876&amp;guest_id=30649760755871", "Matthew Davis")</f>
        <v>Matthew Davis</v>
      </c>
      <c r="E1663" t="s">
        <v>612</v>
      </c>
      <c r="F1663" t="s">
        <v>611</v>
      </c>
      <c r="G1663">
        <v>64.150000000000006</v>
      </c>
      <c r="H1663">
        <v>69.72</v>
      </c>
      <c r="I1663">
        <v>69.73</v>
      </c>
      <c r="J1663">
        <v>-0.01</v>
      </c>
    </row>
    <row r="1664" spans="1:10" x14ac:dyDescent="0.3">
      <c r="A1664" t="str">
        <f>HYPERLINK("https://us2.cloudbeds.com/connect/10074733072513#/reservations/30650532188372?display=YQ634KAX7&amp;reservation_id=30650532188372", "YQ634KAX7")</f>
        <v>YQ634KAX7</v>
      </c>
      <c r="B1664" t="s">
        <v>10</v>
      </c>
      <c r="C1664" t="s">
        <v>14</v>
      </c>
      <c r="D1664" t="str">
        <f>HYPERLINK("https://us2.cloudbeds.com/connect/10074733072513#/reservations/30650532188372?display=David%20Smith&amp;reservation_id=30650532188372&amp;guest_id=30650532188368", "David Smith")</f>
        <v>David Smith</v>
      </c>
      <c r="E1664" t="s">
        <v>613</v>
      </c>
      <c r="F1664" t="s">
        <v>604</v>
      </c>
      <c r="G1664">
        <v>87.2</v>
      </c>
      <c r="H1664">
        <v>94.78</v>
      </c>
      <c r="I1664">
        <v>94.79</v>
      </c>
      <c r="J1664">
        <v>-0.01</v>
      </c>
    </row>
    <row r="1665" spans="1:10" x14ac:dyDescent="0.3">
      <c r="A1665" t="str">
        <f>HYPERLINK("https://us2.cloudbeds.com/connect/10074733072513#/reservations/30652917555346?display=YQ7V30M5U&amp;reservation_id=30652917555346", "YQ7V30M5U")</f>
        <v>YQ7V30M5U</v>
      </c>
      <c r="B1665" t="s">
        <v>10</v>
      </c>
      <c r="C1665" t="s">
        <v>14</v>
      </c>
      <c r="D1665" t="str">
        <f>HYPERLINK("https://us2.cloudbeds.com/connect/10074733072513#/reservations/30652917555346?display=Howard%20Chung&amp;reservation_id=30652917555346&amp;guest_id=30652917555337", "Howard Chung")</f>
        <v>Howard Chung</v>
      </c>
      <c r="E1665" t="s">
        <v>614</v>
      </c>
      <c r="F1665" t="s">
        <v>615</v>
      </c>
      <c r="G1665">
        <v>64.150000000000006</v>
      </c>
      <c r="H1665">
        <v>69.72</v>
      </c>
      <c r="I1665">
        <v>69.73</v>
      </c>
      <c r="J1665">
        <v>-0.01</v>
      </c>
    </row>
    <row r="1666" spans="1:10" x14ac:dyDescent="0.3">
      <c r="A1666" t="str">
        <f>HYPERLINK("https://us2.cloudbeds.com/connect/10074733072513#/reservations/30650826469568?display=YQ6AYP0H1&amp;reservation_id=30650826469568", "YQ6AYP0H1")</f>
        <v>YQ6AYP0H1</v>
      </c>
      <c r="B1666" t="s">
        <v>10</v>
      </c>
      <c r="C1666" t="s">
        <v>42</v>
      </c>
      <c r="D1666" t="str">
        <f>HYPERLINK("https://us2.cloudbeds.com/connect/10074733072513#/reservations/30650826469568?display=Melody%20Sand&amp;reservation_id=30650826469568&amp;guest_id=30650826465523", "Melody Sand")</f>
        <v>Melody Sand</v>
      </c>
      <c r="E1666" t="s">
        <v>616</v>
      </c>
      <c r="F1666" t="s">
        <v>501</v>
      </c>
      <c r="G1666">
        <v>285.3</v>
      </c>
      <c r="H1666">
        <v>310.11</v>
      </c>
      <c r="I1666">
        <v>310.12</v>
      </c>
      <c r="J1666">
        <v>-0.01</v>
      </c>
    </row>
    <row r="1667" spans="1:10" x14ac:dyDescent="0.3">
      <c r="A1667" t="str">
        <f>HYPERLINK("https://us2.cloudbeds.com/connect/10074733072513#/reservations/30651114516642?display=YQ6X0YF8E&amp;reservation_id=30651114516642", "YQ6X0YF8E")</f>
        <v>YQ6X0YF8E</v>
      </c>
      <c r="B1667" t="s">
        <v>10</v>
      </c>
      <c r="C1667" t="s">
        <v>14</v>
      </c>
      <c r="D1667" t="str">
        <f>HYPERLINK("https://us2.cloudbeds.com/connect/10074733072513#/reservations/30651114516642?display=Laura%20Toppenberg&amp;reservation_id=30651114516642&amp;guest_id=30646154567892", "Laura Toppenberg")</f>
        <v>Laura Toppenberg</v>
      </c>
      <c r="E1667" t="s">
        <v>15</v>
      </c>
      <c r="F1667" t="s">
        <v>617</v>
      </c>
      <c r="G1667">
        <v>225.6</v>
      </c>
      <c r="H1667">
        <v>245.22</v>
      </c>
      <c r="I1667">
        <v>245.23</v>
      </c>
      <c r="J1667">
        <v>-0.01</v>
      </c>
    </row>
    <row r="1668" spans="1:10" x14ac:dyDescent="0.3">
      <c r="A1668" t="str">
        <f>HYPERLINK("https://us2.cloudbeds.com/connect/10074733072513#/reservations/30650918957209?display=YQ6D0ZZ60&amp;reservation_id=30650918957209", "YQ6D0ZZ60")</f>
        <v>YQ6D0ZZ60</v>
      </c>
      <c r="B1668" t="s">
        <v>10</v>
      </c>
      <c r="C1668" t="s">
        <v>14</v>
      </c>
      <c r="D1668" t="str">
        <f>HYPERLINK("https://us2.cloudbeds.com/connect/10074733072513#/reservations/30650918957209?display=Amy%20Radermacher&amp;reservation_id=30650918957209&amp;guest_id=30650914553993", "Amy Radermacher")</f>
        <v>Amy Radermacher</v>
      </c>
      <c r="E1668" t="s">
        <v>618</v>
      </c>
      <c r="F1668" t="s">
        <v>619</v>
      </c>
      <c r="G1668">
        <v>127.2</v>
      </c>
      <c r="H1668">
        <v>138.26</v>
      </c>
      <c r="I1668">
        <v>138.27000000000001</v>
      </c>
      <c r="J1668">
        <v>-0.01</v>
      </c>
    </row>
    <row r="1669" spans="1:10" x14ac:dyDescent="0.3">
      <c r="A1669" t="str">
        <f>HYPERLINK("https://us2.cloudbeds.com/connect/10074733072513#/reservations/30649414455496?display=YQ57J3ZU0&amp;reservation_id=30649414455496", "YQ57J3ZU0")</f>
        <v>YQ57J3ZU0</v>
      </c>
      <c r="B1669" t="s">
        <v>10</v>
      </c>
      <c r="C1669" t="s">
        <v>42</v>
      </c>
      <c r="D1669" t="str">
        <f>HYPERLINK("https://us2.cloudbeds.com/connect/10074733072513#/reservations/30649414455496?display=Katie%20Urevig&amp;reservation_id=30649414455496&amp;guest_id=30649414455494", "Katie Urevig")</f>
        <v>Katie Urevig</v>
      </c>
      <c r="E1669" t="s">
        <v>621</v>
      </c>
      <c r="F1669" t="s">
        <v>374</v>
      </c>
      <c r="G1669">
        <v>250.2</v>
      </c>
      <c r="H1669">
        <v>271.95999999999998</v>
      </c>
      <c r="I1669">
        <v>271.97000000000003</v>
      </c>
      <c r="J1669">
        <v>-0.01</v>
      </c>
    </row>
    <row r="1670" spans="1:10" x14ac:dyDescent="0.3">
      <c r="A1670" t="str">
        <f>HYPERLINK("https://us2.cloudbeds.com/connect/10074733072513#/reservations/30652678058235?display=YQ7ZW2A9N&amp;reservation_id=30652678058235", "YQ7ZW2A9N")</f>
        <v>YQ7ZW2A9N</v>
      </c>
      <c r="B1670" t="s">
        <v>10</v>
      </c>
      <c r="C1670" t="s">
        <v>42</v>
      </c>
      <c r="D1670" t="str">
        <f>HYPERLINK("https://us2.cloudbeds.com/connect/10074733072513#/reservations/30652678058235?display=Taylor%20Yost&amp;reservation_id=30652678058235&amp;guest_id=30652678058227", "Taylor Yost")</f>
        <v>Taylor Yost</v>
      </c>
      <c r="E1670" t="s">
        <v>622</v>
      </c>
      <c r="F1670" t="s">
        <v>576</v>
      </c>
      <c r="G1670">
        <v>143.65</v>
      </c>
      <c r="H1670">
        <v>156.13999999999999</v>
      </c>
      <c r="I1670">
        <v>156.15</v>
      </c>
      <c r="J1670">
        <v>-0.01</v>
      </c>
    </row>
    <row r="1671" spans="1:10" x14ac:dyDescent="0.3">
      <c r="A1671" t="str">
        <f>HYPERLINK("https://us2.cloudbeds.com/connect/10074733072513#/reservations/30650787750105?display=YQ69M3N55&amp;reservation_id=30650787750105", "YQ69M3N55")</f>
        <v>YQ69M3N55</v>
      </c>
      <c r="B1671" t="s">
        <v>10</v>
      </c>
      <c r="C1671" t="s">
        <v>14</v>
      </c>
      <c r="D1671" t="str">
        <f>HYPERLINK("https://us2.cloudbeds.com/connect/10074733072513#/reservations/30650787750105?display=Petrus%20Strydom&amp;reservation_id=30650787750105&amp;guest_id=30649808728225", "Petrus Strydom")</f>
        <v>Petrus Strydom</v>
      </c>
      <c r="E1671" t="s">
        <v>608</v>
      </c>
      <c r="F1671" t="s">
        <v>501</v>
      </c>
      <c r="G1671">
        <v>64.150000000000006</v>
      </c>
      <c r="H1671">
        <v>69.72</v>
      </c>
      <c r="I1671">
        <v>69.73</v>
      </c>
      <c r="J1671">
        <v>-0.01</v>
      </c>
    </row>
    <row r="1672" spans="1:10" x14ac:dyDescent="0.3">
      <c r="A1672" t="str">
        <f>HYPERLINK("https://us2.cloudbeds.com/connect/10074733072513#/reservations/30650808865020?display=YQ6A6U8E2&amp;reservation_id=30650808865020", "YQ6A6U8E2")</f>
        <v>YQ6A6U8E2</v>
      </c>
      <c r="B1672" t="s">
        <v>10</v>
      </c>
      <c r="C1672" t="s">
        <v>42</v>
      </c>
      <c r="D1672" t="str">
        <f>HYPERLINK("https://us2.cloudbeds.com/connect/10074733072513#/reservations/30650808865020?display=Edward%20Yocham&amp;reservation_id=30650808865020&amp;guest_id=30650805063922", "Edward Yocham")</f>
        <v>Edward Yocham</v>
      </c>
      <c r="E1672" t="s">
        <v>623</v>
      </c>
      <c r="F1672" t="s">
        <v>501</v>
      </c>
      <c r="G1672">
        <v>766.8</v>
      </c>
      <c r="H1672">
        <v>833.5</v>
      </c>
      <c r="I1672">
        <v>833.51</v>
      </c>
      <c r="J1672">
        <v>-0.01</v>
      </c>
    </row>
    <row r="1673" spans="1:10" x14ac:dyDescent="0.3">
      <c r="A1673" t="str">
        <f>HYPERLINK("https://us2.cloudbeds.com/connect/10074733072513#/reservations/30650793574573?display=YQ69R0PK6&amp;reservation_id=30650793574573", "YQ69R0PK6")</f>
        <v>YQ69R0PK6</v>
      </c>
      <c r="B1673" t="s">
        <v>10</v>
      </c>
      <c r="C1673" t="s">
        <v>11</v>
      </c>
      <c r="D1673" t="str">
        <f>HYPERLINK("https://us2.cloudbeds.com/connect/10074733072513#/reservations/30650793574573?display=Pam%20Meyer&amp;reservation_id=30650793574573&amp;guest_id=30650793574560", "Pam Meyer")</f>
        <v>Pam Meyer</v>
      </c>
      <c r="E1673" t="s">
        <v>624</v>
      </c>
      <c r="F1673" t="s">
        <v>501</v>
      </c>
      <c r="G1673">
        <v>64.150000000000006</v>
      </c>
      <c r="H1673">
        <v>69.72</v>
      </c>
      <c r="I1673">
        <v>69.73</v>
      </c>
      <c r="J1673">
        <v>-0.01</v>
      </c>
    </row>
    <row r="1674" spans="1:10" x14ac:dyDescent="0.3">
      <c r="A1674" t="str">
        <f>HYPERLINK("https://us2.cloudbeds.com/connect/10074733072513#/reservations/30652498501848?display=YQ7KCYTD2&amp;reservation_id=30652498501848", "YQ7KCYTD2")</f>
        <v>YQ7KCYTD2</v>
      </c>
      <c r="B1674" t="s">
        <v>10</v>
      </c>
      <c r="C1674" t="s">
        <v>20</v>
      </c>
      <c r="D1674" t="str">
        <f>HYPERLINK("https://us2.cloudbeds.com/connect/10074733072513#/reservations/30652498501848?display=Tom%20Six&amp;reservation_id=30652498501848&amp;guest_id=30652498497754", "Tom Six")</f>
        <v>Tom Six</v>
      </c>
      <c r="E1674" t="s">
        <v>625</v>
      </c>
      <c r="F1674" t="s">
        <v>619</v>
      </c>
      <c r="G1674">
        <v>127.2</v>
      </c>
      <c r="H1674">
        <v>138.26</v>
      </c>
      <c r="I1674">
        <v>138.27000000000001</v>
      </c>
      <c r="J1674">
        <v>-0.01</v>
      </c>
    </row>
    <row r="1675" spans="1:10" x14ac:dyDescent="0.3">
      <c r="A1675" t="str">
        <f>HYPERLINK("https://us2.cloudbeds.com/connect/10074733072513#/reservations/30652839346335?display=YQ7T32CTT&amp;reservation_id=30652839346335", "YQ7T32CTT")</f>
        <v>YQ7T32CTT</v>
      </c>
      <c r="B1675" t="s">
        <v>10</v>
      </c>
      <c r="C1675" t="s">
        <v>14</v>
      </c>
      <c r="D1675" t="str">
        <f>HYPERLINK("https://us2.cloudbeds.com/connect/10074733072513#/reservations/30652839346335?display=Matt%20Hendrickson&amp;reservation_id=30652839346335&amp;guest_id=30646172717225", "Matt Hendrickson")</f>
        <v>Matt Hendrickson</v>
      </c>
      <c r="E1675" t="s">
        <v>398</v>
      </c>
      <c r="F1675" t="s">
        <v>626</v>
      </c>
      <c r="G1675">
        <v>87.2</v>
      </c>
      <c r="H1675">
        <v>94.78</v>
      </c>
      <c r="I1675">
        <v>94.79</v>
      </c>
      <c r="J1675">
        <v>-0.01</v>
      </c>
    </row>
    <row r="1676" spans="1:10" x14ac:dyDescent="0.3">
      <c r="A1676" t="str">
        <f>HYPERLINK("https://us2.cloudbeds.com/connect/10074733072513#/reservations/30649406349530?display=YQ57C96DM&amp;reservation_id=30649406349530", "YQ57C96DM")</f>
        <v>YQ57C96DM</v>
      </c>
      <c r="B1676" t="s">
        <v>10</v>
      </c>
      <c r="C1676" t="s">
        <v>14</v>
      </c>
      <c r="D1676" t="str">
        <f>HYPERLINK("https://us2.cloudbeds.com/connect/10074733072513#/reservations/30649406349530?display=Heather%20Petersen&amp;reservation_id=30649406349530&amp;guest_id=30649401753737", "Heather Petersen")</f>
        <v>Heather Petersen</v>
      </c>
      <c r="E1676" t="s">
        <v>627</v>
      </c>
      <c r="F1676" t="s">
        <v>599</v>
      </c>
      <c r="G1676">
        <v>64.150000000000006</v>
      </c>
      <c r="H1676">
        <v>69.72</v>
      </c>
      <c r="I1676">
        <v>69.73</v>
      </c>
      <c r="J1676">
        <v>-0.01</v>
      </c>
    </row>
    <row r="1677" spans="1:10" x14ac:dyDescent="0.3">
      <c r="A1677" t="str">
        <f>HYPERLINK("https://us2.cloudbeds.com/connect/10074733072513#/reservations/30652815134941?display=YQ7SFYM79&amp;reservation_id=30652815134941", "YQ7SFYM79")</f>
        <v>YQ7SFYM79</v>
      </c>
      <c r="B1677" t="s">
        <v>10</v>
      </c>
      <c r="C1677" t="s">
        <v>11</v>
      </c>
      <c r="D1677" t="str">
        <f>HYPERLINK("https://us2.cloudbeds.com/connect/10074733072513#/reservations/30652815134941?display=David%20Niblett&amp;reservation_id=30652815134941&amp;guest_id=30652810997894", "David Niblett")</f>
        <v>David Niblett</v>
      </c>
      <c r="E1677" t="s">
        <v>628</v>
      </c>
      <c r="F1677" t="s">
        <v>629</v>
      </c>
      <c r="G1677">
        <v>64.150000000000006</v>
      </c>
      <c r="H1677">
        <v>69.72</v>
      </c>
      <c r="I1677">
        <v>69.73</v>
      </c>
      <c r="J1677">
        <v>-0.01</v>
      </c>
    </row>
    <row r="1678" spans="1:10" x14ac:dyDescent="0.3">
      <c r="A1678" t="str">
        <f>HYPERLINK("https://us2.cloudbeds.com/connect/10074733072513#/reservations/30652680581327?display=YQ7P16H61&amp;reservation_id=30652680581327", "YQ7P16H61")</f>
        <v>YQ7P16H61</v>
      </c>
      <c r="B1678" t="s">
        <v>10</v>
      </c>
      <c r="C1678" t="s">
        <v>42</v>
      </c>
      <c r="D1678" t="str">
        <f>HYPERLINK("https://us2.cloudbeds.com/connect/10074733072513#/reservations/30652680581327?display=Cathline%20Denholm&amp;reservation_id=30652680581327&amp;guest_id=30652680581319", "Cathline Denholm")</f>
        <v>Cathline Denholm</v>
      </c>
      <c r="E1678" t="s">
        <v>630</v>
      </c>
      <c r="F1678" t="s">
        <v>576</v>
      </c>
      <c r="G1678">
        <v>134.1</v>
      </c>
      <c r="H1678">
        <v>145.76</v>
      </c>
      <c r="I1678">
        <v>145.77000000000001</v>
      </c>
      <c r="J1678">
        <v>-0.01</v>
      </c>
    </row>
    <row r="1679" spans="1:10" x14ac:dyDescent="0.3">
      <c r="A1679" t="str">
        <f>HYPERLINK("https://us2.cloudbeds.com/connect/10074733072513#/reservations/30652810993800?display=YQ7SC5EH5&amp;reservation_id=30652810993800", "YQ7SC5EH5")</f>
        <v>YQ7SC5EH5</v>
      </c>
      <c r="B1679" t="s">
        <v>10</v>
      </c>
      <c r="C1679" t="s">
        <v>14</v>
      </c>
      <c r="D1679" t="str">
        <f>HYPERLINK("https://us2.cloudbeds.com/connect/10074733072513#/reservations/30652810993800?display=Steve%20Adams&amp;reservation_id=30652810993800&amp;guest_id=30652806439153", "Steve Adams")</f>
        <v>Steve Adams</v>
      </c>
      <c r="E1679" t="s">
        <v>631</v>
      </c>
      <c r="F1679" t="s">
        <v>629</v>
      </c>
      <c r="G1679">
        <v>64.150000000000006</v>
      </c>
      <c r="H1679">
        <v>69.72</v>
      </c>
      <c r="I1679">
        <v>69.73</v>
      </c>
      <c r="J1679">
        <v>-0.01</v>
      </c>
    </row>
    <row r="1680" spans="1:10" x14ac:dyDescent="0.3">
      <c r="A1680" t="str">
        <f>HYPERLINK("https://us2.cloudbeds.com/connect/10074733072513#/reservations/30651913449659?display=YQ75EAVCR&amp;reservation_id=30651913449659", "YQ75EAVCR")</f>
        <v>YQ75EAVCR</v>
      </c>
      <c r="B1680" t="s">
        <v>10</v>
      </c>
      <c r="C1680" t="s">
        <v>14</v>
      </c>
      <c r="D1680" t="str">
        <f>HYPERLINK("https://us2.cloudbeds.com/connect/10074733072513#/reservations/30651913449659?display=Leann%20Lind&amp;reservation_id=30651913449659&amp;guest_id=30651913449609", "Leann Lind")</f>
        <v>Leann Lind</v>
      </c>
      <c r="E1680" t="s">
        <v>632</v>
      </c>
      <c r="F1680" t="s">
        <v>409</v>
      </c>
      <c r="G1680">
        <v>267.3</v>
      </c>
      <c r="H1680">
        <v>290.55</v>
      </c>
      <c r="I1680">
        <v>290.56</v>
      </c>
      <c r="J1680">
        <v>-0.01</v>
      </c>
    </row>
    <row r="1681" spans="1:10" x14ac:dyDescent="0.3">
      <c r="A1681" t="str">
        <f>HYPERLINK("https://us2.cloudbeds.com/connect/10074733072513#/reservations/30649996619974?display=YQ5MF0B6Q&amp;reservation_id=30649996619974", "YQ5MF0B6Q")</f>
        <v>YQ5MF0B6Q</v>
      </c>
      <c r="B1681" t="s">
        <v>10</v>
      </c>
      <c r="C1681" t="s">
        <v>11</v>
      </c>
      <c r="D1681" t="str">
        <f>HYPERLINK("https://us2.cloudbeds.com/connect/10074733072513#/reservations/30649996619974?display=Tracy%20Jo%20Peterson&amp;reservation_id=30649996619974&amp;guest_id=30649996619970", "Tracy Jo Peterson")</f>
        <v>Tracy Jo Peterson</v>
      </c>
      <c r="E1681" t="s">
        <v>633</v>
      </c>
      <c r="F1681" t="s">
        <v>634</v>
      </c>
      <c r="G1681">
        <v>64.150000000000006</v>
      </c>
      <c r="H1681">
        <v>69.72</v>
      </c>
      <c r="I1681">
        <v>69.73</v>
      </c>
      <c r="J1681">
        <v>-0.01</v>
      </c>
    </row>
    <row r="1682" spans="1:10" x14ac:dyDescent="0.3">
      <c r="A1682" t="str">
        <f>HYPERLINK("https://us2.cloudbeds.com/connect/10074733072513#/reservations/30649915695322?display=YQ5KCPG7Y&amp;reservation_id=30649915695322", "YQ5KCPG7Y")</f>
        <v>YQ5KCPG7Y</v>
      </c>
      <c r="B1682" t="s">
        <v>10</v>
      </c>
      <c r="C1682" t="s">
        <v>42</v>
      </c>
      <c r="D1682" t="str">
        <f>HYPERLINK("https://us2.cloudbeds.com/connect/10074733072513#/reservations/30649915695322?display=Julie%20Hewitt&amp;reservation_id=30649915695322&amp;guest_id=30649915695306", "Julie Hewitt")</f>
        <v>Julie Hewitt</v>
      </c>
      <c r="E1682" t="s">
        <v>636</v>
      </c>
      <c r="F1682" t="s">
        <v>634</v>
      </c>
      <c r="G1682">
        <v>84.15</v>
      </c>
      <c r="H1682">
        <v>91.46</v>
      </c>
      <c r="I1682">
        <v>91.47</v>
      </c>
      <c r="J1682">
        <v>-0.01</v>
      </c>
    </row>
    <row r="1683" spans="1:10" x14ac:dyDescent="0.3">
      <c r="A1683" t="str">
        <f>HYPERLINK("https://us2.cloudbeds.com/connect/10074733072513#/reservations/30649391181954?display=YQ56WG4E5&amp;reservation_id=30649391181954", "YQ56WG4E5")</f>
        <v>YQ56WG4E5</v>
      </c>
      <c r="B1683" t="s">
        <v>10</v>
      </c>
      <c r="C1683" t="s">
        <v>42</v>
      </c>
      <c r="D1683" t="str">
        <f>HYPERLINK("https://us2.cloudbeds.com/connect/10074733072513#/reservations/30649391181954?display=Kendra%20Becker&amp;reservation_id=30649391181954&amp;guest_id=30649379410147", "Kendra Becker")</f>
        <v>Kendra Becker</v>
      </c>
      <c r="E1683" t="s">
        <v>637</v>
      </c>
      <c r="F1683" t="s">
        <v>638</v>
      </c>
      <c r="G1683">
        <v>216</v>
      </c>
      <c r="H1683">
        <v>234.78</v>
      </c>
      <c r="I1683">
        <v>234.79</v>
      </c>
      <c r="J1683">
        <v>-0.01</v>
      </c>
    </row>
    <row r="1684" spans="1:10" x14ac:dyDescent="0.3">
      <c r="A1684" t="str">
        <f>HYPERLINK("https://us2.cloudbeds.com/connect/10074733072513#/reservations/30650000179355?display=YQ5MX0CMS&amp;reservation_id=30650000179355", "YQ5MX0CMS")</f>
        <v>YQ5MX0CMS</v>
      </c>
      <c r="B1684" t="s">
        <v>10</v>
      </c>
      <c r="C1684" t="s">
        <v>14</v>
      </c>
      <c r="D1684" t="str">
        <f>HYPERLINK("https://us2.cloudbeds.com/connect/10074733072513#/reservations/30650000179355?display=Jerry%20Young&amp;reservation_id=30650000179355&amp;guest_id=30650000179353", "Jerry Young")</f>
        <v>Jerry Young</v>
      </c>
      <c r="E1684" t="s">
        <v>639</v>
      </c>
      <c r="F1684" t="s">
        <v>634</v>
      </c>
      <c r="G1684">
        <v>64.150000000000006</v>
      </c>
      <c r="H1684">
        <v>69.72</v>
      </c>
      <c r="I1684">
        <v>69.73</v>
      </c>
      <c r="J1684">
        <v>-0.01</v>
      </c>
    </row>
    <row r="1685" spans="1:10" x14ac:dyDescent="0.3">
      <c r="A1685" t="str">
        <f>HYPERLINK("https://us2.cloudbeds.com/connect/10074733072513#/reservations/30653507903673?display=YQ8D5QWG5&amp;reservation_id=30653507903673", "YQ8D5QWG5")</f>
        <v>YQ8D5QWG5</v>
      </c>
      <c r="B1685" t="s">
        <v>10</v>
      </c>
      <c r="C1685" t="s">
        <v>20</v>
      </c>
      <c r="D1685" t="str">
        <f>HYPERLINK("https://us2.cloudbeds.com/connect/10074733072513#/reservations/30653507903673?display=Kevin%20Karsner&amp;reservation_id=30653507903673&amp;guest_id=30653507903663", "Kevin Karsner")</f>
        <v>Kevin Karsner</v>
      </c>
      <c r="E1685" t="s">
        <v>640</v>
      </c>
      <c r="F1685" t="s">
        <v>328</v>
      </c>
      <c r="G1685">
        <v>67.2</v>
      </c>
      <c r="H1685">
        <v>73.040000000000006</v>
      </c>
      <c r="I1685">
        <v>73.05</v>
      </c>
      <c r="J1685">
        <v>-0.01</v>
      </c>
    </row>
    <row r="1686" spans="1:10" x14ac:dyDescent="0.3">
      <c r="A1686" t="str">
        <f>HYPERLINK("https://us2.cloudbeds.com/connect/10074733072513#/reservations/30651054022834?display=YQ6GFY4CZ&amp;reservation_id=30651054022834", "YQ6GFY4CZ")</f>
        <v>YQ6GFY4CZ</v>
      </c>
      <c r="B1686" t="s">
        <v>10</v>
      </c>
      <c r="C1686" t="s">
        <v>121</v>
      </c>
      <c r="D1686" t="str">
        <f>HYPERLINK("https://us2.cloudbeds.com/connect/10074733072513#/reservations/30651054022834?display=Randall%20Brant&amp;reservation_id=30651054022834&amp;guest_id=30648978153695", "Randall Brant")</f>
        <v>Randall Brant</v>
      </c>
      <c r="E1686" t="s">
        <v>553</v>
      </c>
      <c r="F1686" t="s">
        <v>638</v>
      </c>
      <c r="G1686">
        <v>304</v>
      </c>
      <c r="H1686">
        <v>330.44</v>
      </c>
      <c r="I1686">
        <v>330.45</v>
      </c>
      <c r="J1686">
        <v>-0.01</v>
      </c>
    </row>
    <row r="1687" spans="1:10" x14ac:dyDescent="0.3">
      <c r="A1687" t="str">
        <f>HYPERLINK("https://us2.cloudbeds.com/connect/10074733072513#/reservations/30651138654368?display=YQ6XY049M&amp;reservation_id=30651138654368", "YQ6XY049M")</f>
        <v>YQ6XY049M</v>
      </c>
      <c r="B1687" t="s">
        <v>10</v>
      </c>
      <c r="C1687" t="s">
        <v>14</v>
      </c>
      <c r="D1687" t="str">
        <f>HYPERLINK("https://us2.cloudbeds.com/connect/10074733072513#/reservations/30651138654368?display=Shanaea%20Vanderpol&amp;reservation_id=30651138654368&amp;guest_id=30651138654366", "Shanaea Vanderpol")</f>
        <v>Shanaea Vanderpol</v>
      </c>
      <c r="E1687" t="s">
        <v>641</v>
      </c>
      <c r="F1687" t="s">
        <v>617</v>
      </c>
      <c r="G1687">
        <v>67.2</v>
      </c>
      <c r="H1687">
        <v>73.040000000000006</v>
      </c>
      <c r="I1687">
        <v>73.05</v>
      </c>
      <c r="J1687">
        <v>-0.01</v>
      </c>
    </row>
    <row r="1688" spans="1:10" x14ac:dyDescent="0.3">
      <c r="A1688" t="str">
        <f>HYPERLINK("https://us2.cloudbeds.com/connect/10074733072513#/reservations/30649353101500?display=YQ560CG50&amp;reservation_id=30649353101500", "YQ560CG50")</f>
        <v>YQ560CG50</v>
      </c>
      <c r="B1688" t="s">
        <v>10</v>
      </c>
      <c r="C1688" t="s">
        <v>11</v>
      </c>
      <c r="D1688" t="str">
        <f>HYPERLINK("https://us2.cloudbeds.com/connect/10074733072513#/reservations/30649353101500?display=Pamela%20Meyer&amp;reservation_id=30649353101500&amp;guest_id=30649353101488", "Pamela Meyer")</f>
        <v>Pamela Meyer</v>
      </c>
      <c r="E1688" t="s">
        <v>624</v>
      </c>
      <c r="F1688" t="s">
        <v>599</v>
      </c>
      <c r="G1688">
        <v>64.150000000000006</v>
      </c>
      <c r="H1688">
        <v>69.72</v>
      </c>
      <c r="I1688">
        <v>69.73</v>
      </c>
      <c r="J1688">
        <v>-0.01</v>
      </c>
    </row>
    <row r="1689" spans="1:10" x14ac:dyDescent="0.3">
      <c r="A1689" t="str">
        <f>HYPERLINK("https://us2.cloudbeds.com/connect/10074733072513#/reservations/30651003551901?display=YQ6F62N8H&amp;reservation_id=30651003551901", "YQ6F62N8H")</f>
        <v>YQ6F62N8H</v>
      </c>
      <c r="B1689" t="s">
        <v>10</v>
      </c>
      <c r="C1689" t="s">
        <v>14</v>
      </c>
      <c r="D1689" t="str">
        <f>HYPERLINK("https://us2.cloudbeds.com/connect/10074733072513#/reservations/30651003551901?display=Nathan%20Koland&amp;reservation_id=30651003551901&amp;guest_id=30651003551891", "Nathan Koland")</f>
        <v>Nathan Koland</v>
      </c>
      <c r="E1689" t="s">
        <v>644</v>
      </c>
      <c r="F1689" t="s">
        <v>638</v>
      </c>
      <c r="G1689">
        <v>64.150000000000006</v>
      </c>
      <c r="H1689">
        <v>69.72</v>
      </c>
      <c r="I1689">
        <v>69.73</v>
      </c>
      <c r="J1689">
        <v>-0.01</v>
      </c>
    </row>
    <row r="1690" spans="1:10" x14ac:dyDescent="0.3">
      <c r="A1690" t="str">
        <f>HYPERLINK("https://us2.cloudbeds.com/connect/10074733072513#/reservations/30651519619216?display=YQ6SC8190&amp;reservation_id=30651519619216", "YQ6SC8190")</f>
        <v>YQ6SC8190</v>
      </c>
      <c r="B1690" t="s">
        <v>10</v>
      </c>
      <c r="C1690" t="s">
        <v>11</v>
      </c>
      <c r="D1690" t="str">
        <f>HYPERLINK("https://us2.cloudbeds.com/connect/10074733072513#/reservations/30651519619216?display=Destinee%20Christensen&amp;reservation_id=30651519619216&amp;guest_id=30651519619214", "Destinee Christensen")</f>
        <v>Destinee Christensen</v>
      </c>
      <c r="E1690" t="s">
        <v>646</v>
      </c>
      <c r="F1690" t="s">
        <v>647</v>
      </c>
      <c r="G1690">
        <v>134.78</v>
      </c>
      <c r="H1690">
        <v>146.5</v>
      </c>
      <c r="I1690">
        <v>146.51</v>
      </c>
      <c r="J1690">
        <v>-0.01</v>
      </c>
    </row>
    <row r="1691" spans="1:10" x14ac:dyDescent="0.3">
      <c r="A1691" t="str">
        <f>HYPERLINK("https://us2.cloudbeds.com/connect/10074733072513#/reservations/30651045953760?display=YQ6G8RJPB&amp;reservation_id=30651045953760", "YQ6G8RJPB")</f>
        <v>YQ6G8RJPB</v>
      </c>
      <c r="B1691" t="s">
        <v>10</v>
      </c>
      <c r="C1691" t="s">
        <v>11</v>
      </c>
      <c r="D1691" t="str">
        <f>HYPERLINK("https://us2.cloudbeds.com/connect/10074733072513#/reservations/30651045953760?display=Mary%20Sopkowiak&amp;reservation_id=30651045953760&amp;guest_id=30651040673929", "Mary Sopkowiak")</f>
        <v>Mary Sopkowiak</v>
      </c>
      <c r="E1691" t="s">
        <v>648</v>
      </c>
      <c r="F1691" t="s">
        <v>638</v>
      </c>
      <c r="G1691">
        <v>64.150000000000006</v>
      </c>
      <c r="H1691">
        <v>69.72</v>
      </c>
      <c r="I1691">
        <v>69.73</v>
      </c>
      <c r="J1691">
        <v>-0.01</v>
      </c>
    </row>
    <row r="1692" spans="1:10" x14ac:dyDescent="0.3">
      <c r="A1692" t="str">
        <f>HYPERLINK("https://us2.cloudbeds.com/connect/10074733072513#/reservations/30651045933262?display=YQ6G8R0V6&amp;reservation_id=30651045933262", "YQ6G8R0V6")</f>
        <v>YQ6G8R0V6</v>
      </c>
      <c r="B1692" t="s">
        <v>10</v>
      </c>
      <c r="C1692" t="s">
        <v>11</v>
      </c>
      <c r="D1692" t="str">
        <f>HYPERLINK("https://us2.cloudbeds.com/connect/10074733072513#/reservations/30651045933262?display=Jane%20Buege&amp;reservation_id=30651045933262&amp;guest_id=30651045933260", "Jane Buege")</f>
        <v>Jane Buege</v>
      </c>
      <c r="E1692" t="s">
        <v>119</v>
      </c>
      <c r="F1692" t="s">
        <v>638</v>
      </c>
      <c r="G1692">
        <v>64.150000000000006</v>
      </c>
      <c r="H1692">
        <v>69.72</v>
      </c>
      <c r="I1692">
        <v>69.73</v>
      </c>
      <c r="J1692">
        <v>-0.01</v>
      </c>
    </row>
    <row r="1693" spans="1:10" x14ac:dyDescent="0.3">
      <c r="A1693" t="str">
        <f>HYPERLINK("https://us2.cloudbeds.com/connect/10074733072513#/reservations/30651674448088?display=YQ6WAQCX0&amp;reservation_id=30651674448088", "YQ6WAQCX0")</f>
        <v>YQ6WAQCX0</v>
      </c>
      <c r="B1693" t="s">
        <v>10</v>
      </c>
      <c r="C1693" t="s">
        <v>11</v>
      </c>
      <c r="D1693" t="str">
        <f>HYPERLINK("https://us2.cloudbeds.com/connect/10074733072513#/reservations/30651674448088?display=Kathryn%20A%20Anderson&amp;reservation_id=30651674448088&amp;guest_id=30651674444003", "Kathryn A Anderson")</f>
        <v>Kathryn A Anderson</v>
      </c>
      <c r="E1693" t="s">
        <v>649</v>
      </c>
      <c r="F1693" t="s">
        <v>585</v>
      </c>
      <c r="G1693">
        <v>64.150000000000006</v>
      </c>
      <c r="H1693">
        <v>69.72</v>
      </c>
      <c r="I1693">
        <v>69.73</v>
      </c>
      <c r="J1693">
        <v>-0.01</v>
      </c>
    </row>
    <row r="1694" spans="1:10" x14ac:dyDescent="0.3">
      <c r="A1694" t="str">
        <f>HYPERLINK("https://us2.cloudbeds.com/connect/10074733072513#/reservations/30654288343284?display=YQ903TSKB&amp;reservation_id=30654288343284", "YQ903TSKB")</f>
        <v>YQ903TSKB</v>
      </c>
      <c r="B1694" t="s">
        <v>10</v>
      </c>
      <c r="C1694" t="s">
        <v>20</v>
      </c>
      <c r="D1694" t="str">
        <f>HYPERLINK("https://us2.cloudbeds.com/connect/10074733072513#/reservations/30654288343284?display=Phillip%20Dunning&amp;reservation_id=30654288343284&amp;guest_id=30654288343280", "Phillip Dunning")</f>
        <v>Phillip Dunning</v>
      </c>
      <c r="E1694" t="s">
        <v>650</v>
      </c>
      <c r="F1694" t="s">
        <v>651</v>
      </c>
      <c r="G1694">
        <v>268.2</v>
      </c>
      <c r="H1694">
        <v>291.52</v>
      </c>
      <c r="I1694">
        <v>291.52999999999997</v>
      </c>
      <c r="J1694">
        <v>-0.01</v>
      </c>
    </row>
    <row r="1695" spans="1:10" x14ac:dyDescent="0.3">
      <c r="A1695" t="str">
        <f>HYPERLINK("https://us2.cloudbeds.com/connect/10074733072513#/reservations/30650240786574?display=YQ5SMTKVN&amp;reservation_id=30650240786574", "YQ5SMTKVN")</f>
        <v>YQ5SMTKVN</v>
      </c>
      <c r="B1695" t="s">
        <v>10</v>
      </c>
      <c r="C1695" t="s">
        <v>14</v>
      </c>
      <c r="D1695" t="str">
        <f>HYPERLINK("https://us2.cloudbeds.com/connect/10074733072513#/reservations/30650240786574?display=Duane%20Goulson&amp;reservation_id=30650240786574&amp;guest_id=30650233585810", "Duane Goulson")</f>
        <v>Duane Goulson</v>
      </c>
      <c r="E1695" t="s">
        <v>652</v>
      </c>
      <c r="F1695" t="s">
        <v>653</v>
      </c>
      <c r="G1695">
        <v>87.2</v>
      </c>
      <c r="H1695">
        <v>94.78</v>
      </c>
      <c r="I1695">
        <v>94.79</v>
      </c>
      <c r="J1695">
        <v>-0.01</v>
      </c>
    </row>
    <row r="1696" spans="1:10" x14ac:dyDescent="0.3">
      <c r="A1696" t="str">
        <f>HYPERLINK("https://us2.cloudbeds.com/connect/10074733072513#/reservations/30652801556622?display=YQ7S46RK1&amp;reservation_id=30652801556622", "YQ7S46RK1")</f>
        <v>YQ7S46RK1</v>
      </c>
      <c r="B1696" t="s">
        <v>10</v>
      </c>
      <c r="C1696" t="s">
        <v>14</v>
      </c>
      <c r="D1696" t="str">
        <f>HYPERLINK("https://us2.cloudbeds.com/connect/10074733072513#/reservations/30652801556622?display=Mikkel%20Gasbjerg&amp;reservation_id=30652801556622&amp;guest_id=30652789051585", "Mikkel Gasbjerg")</f>
        <v>Mikkel Gasbjerg</v>
      </c>
      <c r="E1696" t="s">
        <v>654</v>
      </c>
      <c r="F1696" t="s">
        <v>655</v>
      </c>
      <c r="G1696">
        <v>64.150000000000006</v>
      </c>
      <c r="H1696">
        <v>69.72</v>
      </c>
      <c r="I1696">
        <v>69.73</v>
      </c>
      <c r="J1696">
        <v>-0.01</v>
      </c>
    </row>
    <row r="1697" spans="1:10" x14ac:dyDescent="0.3">
      <c r="A1697" t="str">
        <f>HYPERLINK("https://us2.cloudbeds.com/connect/10074733072513#/reservations/30649482264728?display=YQ59A9YB7&amp;reservation_id=30649482264728", "YQ59A9YB7")</f>
        <v>YQ59A9YB7</v>
      </c>
      <c r="B1697" t="s">
        <v>10</v>
      </c>
      <c r="C1697" t="s">
        <v>14</v>
      </c>
      <c r="D1697" t="str">
        <f>HYPERLINK("https://us2.cloudbeds.com/connect/10074733072513#/reservations/30649482264728?display=Ed%20Reichling&amp;reservation_id=30649482264728&amp;guest_id=30649482264722", "Ed Reichling")</f>
        <v>Ed Reichling</v>
      </c>
      <c r="E1697" t="s">
        <v>654</v>
      </c>
      <c r="F1697" t="s">
        <v>655</v>
      </c>
      <c r="G1697">
        <v>64.150000000000006</v>
      </c>
      <c r="H1697">
        <v>69.72</v>
      </c>
      <c r="I1697">
        <v>69.73</v>
      </c>
      <c r="J1697">
        <v>-0.01</v>
      </c>
    </row>
    <row r="1698" spans="1:10" x14ac:dyDescent="0.3">
      <c r="A1698" t="str">
        <f>HYPERLINK("https://us2.cloudbeds.com/connect/10074733072513#/reservations/30649475076300?display=YQ5947KD2&amp;reservation_id=30649475076300", "YQ5947KD2")</f>
        <v>YQ5947KD2</v>
      </c>
      <c r="B1698" t="s">
        <v>10</v>
      </c>
      <c r="C1698" t="s">
        <v>11</v>
      </c>
      <c r="D1698" t="str">
        <f>HYPERLINK("https://us2.cloudbeds.com/connect/10074733072513#/reservations/30649475076300?display=Jerald%20Bartel&amp;reservation_id=30649475076300&amp;guest_id=30649475076298", "Jerald Bartel")</f>
        <v>Jerald Bartel</v>
      </c>
      <c r="E1698" t="s">
        <v>656</v>
      </c>
      <c r="F1698" t="s">
        <v>655</v>
      </c>
      <c r="G1698">
        <v>64.150000000000006</v>
      </c>
      <c r="H1698">
        <v>69.72</v>
      </c>
      <c r="I1698">
        <v>69.73</v>
      </c>
      <c r="J1698">
        <v>-0.01</v>
      </c>
    </row>
    <row r="1699" spans="1:10" x14ac:dyDescent="0.3">
      <c r="A1699" t="str">
        <f>HYPERLINK("https://us2.cloudbeds.com/connect/10074733072513#/reservations/30651680014519?display=YQ6WFG91Z&amp;reservation_id=30651680014519", "YQ6WFG91Z")</f>
        <v>YQ6WFG91Z</v>
      </c>
      <c r="B1699" t="s">
        <v>10</v>
      </c>
      <c r="C1699" t="s">
        <v>11</v>
      </c>
      <c r="D1699" t="str">
        <f>HYPERLINK("https://us2.cloudbeds.com/connect/10074733072513#/reservations/30651680014519?display=Alex%20Mcglothlen&amp;reservation_id=30651680014519&amp;guest_id=30648491585743", "Alex Mcglothlen")</f>
        <v>Alex Mcglothlen</v>
      </c>
      <c r="E1699" t="s">
        <v>583</v>
      </c>
      <c r="F1699" t="s">
        <v>585</v>
      </c>
      <c r="G1699">
        <v>64.150000000000006</v>
      </c>
      <c r="H1699">
        <v>69.72</v>
      </c>
      <c r="I1699">
        <v>69.73</v>
      </c>
      <c r="J1699">
        <v>-0.01</v>
      </c>
    </row>
    <row r="1700" spans="1:10" x14ac:dyDescent="0.3">
      <c r="A1700" t="str">
        <f>HYPERLINK("https://us2.cloudbeds.com/connect/10074733072513#/reservations/30651168497796?display=YQ6JD5XNW&amp;reservation_id=30651168497796", "YQ6JD5XNW")</f>
        <v>YQ6JD5XNW</v>
      </c>
      <c r="B1700" t="s">
        <v>10</v>
      </c>
      <c r="C1700" t="s">
        <v>42</v>
      </c>
      <c r="D1700" t="str">
        <f>HYPERLINK("https://us2.cloudbeds.com/connect/10074733072513#/reservations/30651168497796?display=Lacy%20Carson&amp;reservation_id=30651168497796&amp;guest_id=30649768292534", "Lacy Carson")</f>
        <v>Lacy Carson</v>
      </c>
      <c r="E1700" t="s">
        <v>661</v>
      </c>
      <c r="F1700" t="s">
        <v>662</v>
      </c>
      <c r="G1700">
        <v>174.4</v>
      </c>
      <c r="H1700">
        <v>189.56</v>
      </c>
      <c r="I1700">
        <v>189.57</v>
      </c>
      <c r="J1700">
        <v>-0.01</v>
      </c>
    </row>
    <row r="1701" spans="1:10" x14ac:dyDescent="0.3">
      <c r="A1701" t="str">
        <f>HYPERLINK("https://us2.cloudbeds.com/connect/10074733072513#/reservations/30652941123780?display=YQ7VMTGET&amp;reservation_id=30652941123780", "YQ7VMTGET")</f>
        <v>YQ7VMTGET</v>
      </c>
      <c r="B1701" t="s">
        <v>10</v>
      </c>
      <c r="C1701" t="s">
        <v>14</v>
      </c>
      <c r="D1701" t="str">
        <f>HYPERLINK("https://us2.cloudbeds.com/connect/10074733072513#/reservations/30652941123780?display=Richard%20Mitchell&amp;reservation_id=30652941123780&amp;guest_id=30652937629859", "Richard Mitchell")</f>
        <v>Richard Mitchell</v>
      </c>
      <c r="E1701" t="s">
        <v>663</v>
      </c>
      <c r="F1701" t="s">
        <v>615</v>
      </c>
      <c r="G1701">
        <v>64.150000000000006</v>
      </c>
      <c r="H1701">
        <v>69.72</v>
      </c>
      <c r="I1701">
        <v>69.73</v>
      </c>
      <c r="J1701">
        <v>-0.01</v>
      </c>
    </row>
    <row r="1702" spans="1:10" x14ac:dyDescent="0.3">
      <c r="A1702" t="str">
        <f>HYPERLINK("https://us2.cloudbeds.com/connect/10074733072513#/reservations/30651521851609?display=YQ6SE4579&amp;reservation_id=30651521851609", "YQ6SE4579")</f>
        <v>YQ6SE4579</v>
      </c>
      <c r="B1702" t="s">
        <v>10</v>
      </c>
      <c r="C1702" t="s">
        <v>11</v>
      </c>
      <c r="D1702" t="str">
        <f>HYPERLINK("https://us2.cloudbeds.com/connect/10074733072513#/reservations/30651521851609?display=Richard%20Best&amp;reservation_id=30651521851609&amp;guest_id=30651521851607", "Richard Best")</f>
        <v>Richard Best</v>
      </c>
      <c r="E1702" t="s">
        <v>665</v>
      </c>
      <c r="F1702" t="s">
        <v>543</v>
      </c>
      <c r="G1702">
        <v>489.82</v>
      </c>
      <c r="H1702">
        <v>532.41999999999996</v>
      </c>
      <c r="I1702">
        <v>532.42999999999995</v>
      </c>
      <c r="J1702">
        <v>-0.01</v>
      </c>
    </row>
    <row r="1703" spans="1:10" x14ac:dyDescent="0.3">
      <c r="A1703" t="str">
        <f>HYPERLINK("https://us2.cloudbeds.com/connect/10074733072513#/reservations/30656188186774?display=YQAFYTQR6&amp;reservation_id=30656188186774", "YQAFYTQR6")</f>
        <v>YQAFYTQR6</v>
      </c>
      <c r="B1703" t="s">
        <v>10</v>
      </c>
      <c r="C1703" t="s">
        <v>11</v>
      </c>
      <c r="D1703" t="str">
        <f>HYPERLINK("https://us2.cloudbeds.com/connect/10074733072513#/reservations/30656188186774?display=Angela%20Jensvold&amp;reservation_id=30656188186774&amp;guest_id=30656188182688", "Angela Jensvold")</f>
        <v>Angela Jensvold</v>
      </c>
      <c r="E1703" t="s">
        <v>666</v>
      </c>
      <c r="F1703" t="s">
        <v>667</v>
      </c>
      <c r="G1703">
        <v>174.4</v>
      </c>
      <c r="H1703">
        <v>189.56</v>
      </c>
      <c r="I1703">
        <v>189.57</v>
      </c>
      <c r="J1703">
        <v>-0.01</v>
      </c>
    </row>
    <row r="1704" spans="1:10" x14ac:dyDescent="0.3">
      <c r="A1704" t="str">
        <f>HYPERLINK("https://us2.cloudbeds.com/connect/10074733072513#/reservations/30651154423965?display=YQ6J19V38&amp;reservation_id=30651154423965", "YQ6J19V38")</f>
        <v>YQ6J19V38</v>
      </c>
      <c r="B1704" t="s">
        <v>10</v>
      </c>
      <c r="C1704" t="s">
        <v>11</v>
      </c>
      <c r="D1704" t="str">
        <f>HYPERLINK("https://us2.cloudbeds.com/connect/10074733072513#/reservations/30651154423965?display=Nicole%20Nazareno&amp;reservation_id=30651154423965&amp;guest_id=30651154423962", "Nicole Nazareno")</f>
        <v>Nicole Nazareno</v>
      </c>
      <c r="E1704" t="s">
        <v>119</v>
      </c>
      <c r="F1704" t="s">
        <v>662</v>
      </c>
      <c r="G1704">
        <v>64.150000000000006</v>
      </c>
      <c r="H1704">
        <v>69.72</v>
      </c>
      <c r="I1704">
        <v>69.73</v>
      </c>
      <c r="J1704">
        <v>-0.01</v>
      </c>
    </row>
    <row r="1705" spans="1:10" x14ac:dyDescent="0.3">
      <c r="A1705" t="str">
        <f>HYPERLINK("https://us2.cloudbeds.com/connect/10074733072513#/reservations/30652945387671?display=YQ7VQG4SN&amp;reservation_id=30652945387671", "YQ7VQG4SN")</f>
        <v>YQ7VQG4SN</v>
      </c>
      <c r="B1705" t="s">
        <v>10</v>
      </c>
      <c r="C1705" t="s">
        <v>121</v>
      </c>
      <c r="D1705" t="str">
        <f>HYPERLINK("https://us2.cloudbeds.com/connect/10074733072513#/reservations/30652945387671?display=Friedrich%20Widjajawiguna&amp;reservation_id=30652945387671&amp;guest_id=30652945387662", "Friedrich Widjajawiguna")</f>
        <v>Friedrich Widjajawiguna</v>
      </c>
      <c r="E1705" t="s">
        <v>668</v>
      </c>
      <c r="F1705" t="s">
        <v>662</v>
      </c>
      <c r="G1705">
        <v>64.150000000000006</v>
      </c>
      <c r="H1705">
        <v>69.72</v>
      </c>
      <c r="I1705">
        <v>69.73</v>
      </c>
      <c r="J1705">
        <v>-0.01</v>
      </c>
    </row>
    <row r="1706" spans="1:10" x14ac:dyDescent="0.3">
      <c r="A1706" t="str">
        <f>HYPERLINK("https://us2.cloudbeds.com/connect/10074733072513#/reservations/30650192539877?display=YQ5RF739J&amp;reservation_id=30650192539877", "YQ5RF739J")</f>
        <v>YQ5RF739J</v>
      </c>
      <c r="B1706" t="s">
        <v>10</v>
      </c>
      <c r="C1706" t="s">
        <v>14</v>
      </c>
      <c r="D1706" t="str">
        <f>HYPERLINK("https://us2.cloudbeds.com/connect/10074733072513#/reservations/30650192539877?display=Angeline%20Smith&amp;reservation_id=30650192539877&amp;guest_id=30650192539865", "Angeline Smith")</f>
        <v>Angeline Smith</v>
      </c>
      <c r="E1706" t="s">
        <v>671</v>
      </c>
      <c r="F1706" t="s">
        <v>590</v>
      </c>
      <c r="G1706">
        <v>87.2</v>
      </c>
      <c r="H1706">
        <v>94.78</v>
      </c>
      <c r="I1706">
        <v>94.79</v>
      </c>
      <c r="J1706">
        <v>-0.01</v>
      </c>
    </row>
    <row r="1707" spans="1:10" x14ac:dyDescent="0.3">
      <c r="A1707" t="str">
        <f>HYPERLINK("https://us2.cloudbeds.com/connect/10074733072513#/reservations/30651429703894?display=YQ6Q2E0D9&amp;reservation_id=30651429703894", "YQ6Q2E0D9")</f>
        <v>YQ6Q2E0D9</v>
      </c>
      <c r="B1707" t="s">
        <v>10</v>
      </c>
      <c r="C1707" t="s">
        <v>14</v>
      </c>
      <c r="D1707" t="str">
        <f>HYPERLINK("https://us2.cloudbeds.com/connect/10074733072513#/reservations/30651429703894?display=Austin%20Mueller&amp;reservation_id=30651429703894&amp;guest_id=30651429703892", "Austin Mueller")</f>
        <v>Austin Mueller</v>
      </c>
      <c r="E1707" t="s">
        <v>672</v>
      </c>
      <c r="F1707" t="s">
        <v>673</v>
      </c>
      <c r="G1707">
        <v>64.150000000000006</v>
      </c>
      <c r="H1707">
        <v>69.72</v>
      </c>
      <c r="I1707">
        <v>69.73</v>
      </c>
      <c r="J1707">
        <v>-0.01</v>
      </c>
    </row>
    <row r="1708" spans="1:10" x14ac:dyDescent="0.3">
      <c r="A1708" t="str">
        <f>HYPERLINK("https://us2.cloudbeds.com/connect/10074733072513#/reservations/30651442634983?display=YQ6QDARMF&amp;reservation_id=30651442634983", "YQ6QDARMF")</f>
        <v>YQ6QDARMF</v>
      </c>
      <c r="B1708" t="s">
        <v>10</v>
      </c>
      <c r="C1708" t="s">
        <v>14</v>
      </c>
      <c r="D1708" t="str">
        <f>HYPERLINK("https://us2.cloudbeds.com/connect/10074733072513#/reservations/30651442634983?display=Nick%20Peterson&amp;reservation_id=30651442634983&amp;guest_id=30651442634981", "Nick Peterson")</f>
        <v>Nick Peterson</v>
      </c>
      <c r="E1708" t="s">
        <v>672</v>
      </c>
      <c r="F1708" t="s">
        <v>673</v>
      </c>
      <c r="G1708">
        <v>64.150000000000006</v>
      </c>
      <c r="H1708">
        <v>69.72</v>
      </c>
      <c r="I1708">
        <v>69.73</v>
      </c>
      <c r="J1708">
        <v>-0.01</v>
      </c>
    </row>
    <row r="1709" spans="1:10" x14ac:dyDescent="0.3">
      <c r="A1709" t="str">
        <f>HYPERLINK("https://us2.cloudbeds.com/connect/10074733072513#/reservations/30651451703488?display=YQ6QDAVEG&amp;reservation_id=30651451703488", "YQ6QDAVEG")</f>
        <v>YQ6QDAVEG</v>
      </c>
      <c r="B1709" t="s">
        <v>10</v>
      </c>
      <c r="C1709" t="s">
        <v>14</v>
      </c>
      <c r="D1709" t="str">
        <f>HYPERLINK("https://us2.cloudbeds.com/connect/10074733072513#/reservations/30651451703488?display=Cody%20Kurowski&amp;reservation_id=30651451703488&amp;guest_id=30651442639074", "Cody Kurowski")</f>
        <v>Cody Kurowski</v>
      </c>
      <c r="E1709" t="s">
        <v>672</v>
      </c>
      <c r="F1709" t="s">
        <v>673</v>
      </c>
      <c r="G1709">
        <v>64.150000000000006</v>
      </c>
      <c r="H1709">
        <v>69.72</v>
      </c>
      <c r="I1709">
        <v>69.73</v>
      </c>
      <c r="J1709">
        <v>-0.01</v>
      </c>
    </row>
    <row r="1710" spans="1:10" x14ac:dyDescent="0.3">
      <c r="A1710" t="str">
        <f>HYPERLINK("https://us2.cloudbeds.com/connect/10074733072513#/reservations/30650029785334?display=YQ5N9W72Z&amp;reservation_id=30650029785334", "YQ5N9W72Z")</f>
        <v>YQ5N9W72Z</v>
      </c>
      <c r="B1710" t="s">
        <v>10</v>
      </c>
      <c r="C1710" t="s">
        <v>14</v>
      </c>
      <c r="D1710" t="str">
        <f>HYPERLINK("https://us2.cloudbeds.com/connect/10074733072513#/reservations/30650029785334?display=Michael%20Atwell&amp;reservation_id=30650029785334&amp;guest_id=30650029785332", "Michael Atwell")</f>
        <v>Michael Atwell</v>
      </c>
      <c r="E1710" t="s">
        <v>674</v>
      </c>
      <c r="F1710" t="s">
        <v>675</v>
      </c>
      <c r="G1710">
        <v>64.150000000000006</v>
      </c>
      <c r="H1710">
        <v>69.72</v>
      </c>
      <c r="I1710">
        <v>69.73</v>
      </c>
      <c r="J1710">
        <v>-0.01</v>
      </c>
    </row>
    <row r="1711" spans="1:10" x14ac:dyDescent="0.3">
      <c r="A1711" t="str">
        <f>HYPERLINK("https://us2.cloudbeds.com/connect/10074733072513#/reservations/30653297037442?display=YQ87Q0AJC&amp;reservation_id=30653297037442", "YQ87Q0AJC")</f>
        <v>YQ87Q0AJC</v>
      </c>
      <c r="B1711" t="s">
        <v>10</v>
      </c>
      <c r="C1711" t="s">
        <v>42</v>
      </c>
      <c r="D1711" t="str">
        <f>HYPERLINK("https://us2.cloudbeds.com/connect/10074733072513#/reservations/30653297037442?display=Nicholas%20Carter&amp;reservation_id=30653297037442&amp;guest_id=30653162414287", "Nicholas Carter")</f>
        <v>Nicholas Carter</v>
      </c>
      <c r="E1711" t="s">
        <v>676</v>
      </c>
      <c r="F1711" t="s">
        <v>617</v>
      </c>
      <c r="G1711">
        <v>356.4</v>
      </c>
      <c r="H1711">
        <v>387.4</v>
      </c>
      <c r="I1711">
        <v>387.41</v>
      </c>
      <c r="J1711">
        <v>-0.01</v>
      </c>
    </row>
    <row r="1712" spans="1:10" x14ac:dyDescent="0.3">
      <c r="A1712" t="str">
        <f>HYPERLINK("https://us2.cloudbeds.com/connect/10074733072513#/reservations/30651423703230?display=YQ6PUC14W&amp;reservation_id=30651423703230", "YQ6PUC14W")</f>
        <v>YQ6PUC14W</v>
      </c>
      <c r="B1712" t="s">
        <v>10</v>
      </c>
      <c r="C1712" t="s">
        <v>14</v>
      </c>
      <c r="D1712" t="str">
        <f>HYPERLINK("https://us2.cloudbeds.com/connect/10074733072513#/reservations/30651423703230?display=Landon%20Fries&amp;reservation_id=30651423703230&amp;guest_id=30651423703228", "Landon Fries")</f>
        <v>Landon Fries</v>
      </c>
      <c r="E1712" t="s">
        <v>672</v>
      </c>
      <c r="F1712" t="s">
        <v>673</v>
      </c>
      <c r="G1712">
        <v>64.150000000000006</v>
      </c>
      <c r="H1712">
        <v>69.72</v>
      </c>
      <c r="I1712">
        <v>69.73</v>
      </c>
      <c r="J1712">
        <v>-0.01</v>
      </c>
    </row>
    <row r="1713" spans="1:10" x14ac:dyDescent="0.3">
      <c r="A1713" t="str">
        <f>HYPERLINK("https://us2.cloudbeds.com/connect/10074733072513#/reservations/30651429699799?display=YQ6Q2DTY6&amp;reservation_id=30651429699799", "YQ6Q2DTY6")</f>
        <v>YQ6Q2DTY6</v>
      </c>
      <c r="B1713" t="s">
        <v>10</v>
      </c>
      <c r="C1713" t="s">
        <v>14</v>
      </c>
      <c r="D1713" t="str">
        <f>HYPERLINK("https://us2.cloudbeds.com/connect/10074733072513#/reservations/30651429699799?display=Ben%20Barnes&amp;reservation_id=30651429699799&amp;guest_id=30651429699797", "Ben Barnes")</f>
        <v>Ben Barnes</v>
      </c>
      <c r="E1713" t="s">
        <v>672</v>
      </c>
      <c r="F1713" t="s">
        <v>673</v>
      </c>
      <c r="G1713">
        <v>64.150000000000006</v>
      </c>
      <c r="H1713">
        <v>69.72</v>
      </c>
      <c r="I1713">
        <v>69.73</v>
      </c>
      <c r="J1713">
        <v>-0.01</v>
      </c>
    </row>
    <row r="1714" spans="1:10" x14ac:dyDescent="0.3">
      <c r="A1714" t="str">
        <f>HYPERLINK("https://us2.cloudbeds.com/connect/10074733072513#/reservations/30650035421321?display=YQ5NEZ1F7&amp;reservation_id=30650035421321", "YQ5NEZ1F7")</f>
        <v>YQ5NEZ1F7</v>
      </c>
      <c r="B1714" t="s">
        <v>10</v>
      </c>
      <c r="C1714" t="s">
        <v>11</v>
      </c>
      <c r="D1714" t="str">
        <f>HYPERLINK("https://us2.cloudbeds.com/connect/10074733072513#/reservations/30650035421321?display=Sheila%20Nelson&amp;reservation_id=30650035421321&amp;guest_id=30650035417277", "Sheila Nelson")</f>
        <v>Sheila Nelson</v>
      </c>
      <c r="E1714" t="s">
        <v>677</v>
      </c>
      <c r="F1714" t="s">
        <v>675</v>
      </c>
      <c r="G1714">
        <v>64.150000000000006</v>
      </c>
      <c r="H1714">
        <v>69.72</v>
      </c>
      <c r="I1714">
        <v>69.73</v>
      </c>
      <c r="J1714">
        <v>-0.01</v>
      </c>
    </row>
    <row r="1715" spans="1:10" x14ac:dyDescent="0.3">
      <c r="A1715" t="str">
        <f>HYPERLINK("https://us2.cloudbeds.com/connect/10074733072513#/reservations/30650024984729?display=YQ5N5UKQS&amp;reservation_id=30650024984729", "YQ5N5UKQS")</f>
        <v>YQ5N5UKQS</v>
      </c>
      <c r="B1715" t="s">
        <v>10</v>
      </c>
      <c r="C1715" t="s">
        <v>14</v>
      </c>
      <c r="D1715" t="str">
        <f>HYPERLINK("https://us2.cloudbeds.com/connect/10074733072513#/reservations/30650024984729?display=Michael%20Duffy&amp;reservation_id=30650024984729&amp;guest_id=30650024984721", "Michael Duffy")</f>
        <v>Michael Duffy</v>
      </c>
      <c r="E1715" t="s">
        <v>682</v>
      </c>
      <c r="F1715" t="s">
        <v>675</v>
      </c>
      <c r="G1715">
        <v>64.150000000000006</v>
      </c>
      <c r="H1715">
        <v>69.72</v>
      </c>
      <c r="I1715">
        <v>69.73</v>
      </c>
      <c r="J1715">
        <v>-0.01</v>
      </c>
    </row>
    <row r="1716" spans="1:10" x14ac:dyDescent="0.3">
      <c r="A1716" t="str">
        <f>HYPERLINK("https://us2.cloudbeds.com/connect/10074733072513#/reservations/30649493094543?display=YQ59JE02E&amp;reservation_id=30649493094543", "YQ59JE02E")</f>
        <v>YQ59JE02E</v>
      </c>
      <c r="B1716" t="s">
        <v>10</v>
      </c>
      <c r="C1716" t="s">
        <v>11</v>
      </c>
      <c r="D1716" t="str">
        <f>HYPERLINK("https://us2.cloudbeds.com/connect/10074733072513#/reservations/30649493094543?display=Laurie%20Gronlund&amp;reservation_id=30649493094543&amp;guest_id=30649493094539", "Laurie Gronlund")</f>
        <v>Laurie Gronlund</v>
      </c>
      <c r="E1716" t="s">
        <v>683</v>
      </c>
      <c r="F1716" t="s">
        <v>684</v>
      </c>
      <c r="G1716">
        <v>87.2</v>
      </c>
      <c r="H1716">
        <v>94.78</v>
      </c>
      <c r="I1716">
        <v>94.79</v>
      </c>
      <c r="J1716">
        <v>-0.01</v>
      </c>
    </row>
    <row r="1717" spans="1:10" x14ac:dyDescent="0.3">
      <c r="A1717" t="str">
        <f>HYPERLINK("https://us2.cloudbeds.com/connect/10074733072513#/reservations/30651315159171?display=YQ6N4RY02&amp;reservation_id=30651315159171", "YQ6N4RY02")</f>
        <v>YQ6N4RY02</v>
      </c>
      <c r="B1717" t="s">
        <v>10</v>
      </c>
      <c r="C1717" t="s">
        <v>14</v>
      </c>
      <c r="D1717" t="str">
        <f>HYPERLINK("https://us2.cloudbeds.com/connect/10074733072513#/reservations/30651315159171?display=Crystal%20Schwienebart&amp;reservation_id=30651315159171&amp;guest_id=30651308933363", "Crystal Schwienebart")</f>
        <v>Crystal Schwienebart</v>
      </c>
      <c r="E1717" t="s">
        <v>685</v>
      </c>
      <c r="F1717" t="s">
        <v>686</v>
      </c>
      <c r="G1717">
        <v>174.4</v>
      </c>
      <c r="H1717">
        <v>189.56</v>
      </c>
      <c r="I1717">
        <v>189.57</v>
      </c>
      <c r="J1717">
        <v>-0.01</v>
      </c>
    </row>
    <row r="1718" spans="1:10" x14ac:dyDescent="0.3">
      <c r="A1718" t="str">
        <f>HYPERLINK("https://us2.cloudbeds.com/connect/10074733072513#/reservations/30651542077582?display=YQ6SV5W6X&amp;reservation_id=30651542077582", "YQ6SV5W6X")</f>
        <v>YQ6SV5W6X</v>
      </c>
      <c r="B1718" t="s">
        <v>10</v>
      </c>
      <c r="C1718" t="s">
        <v>14</v>
      </c>
      <c r="D1718" t="str">
        <f>HYPERLINK("https://us2.cloudbeds.com/connect/10074733072513#/reservations/30651542077582?display=Trenton%20Vanderheiden&amp;reservation_id=30651542077582&amp;guest_id=30651542077580", "Trenton Vanderheiden")</f>
        <v>Trenton Vanderheiden</v>
      </c>
      <c r="E1718" t="s">
        <v>687</v>
      </c>
      <c r="F1718" t="s">
        <v>543</v>
      </c>
      <c r="G1718">
        <v>87.2</v>
      </c>
      <c r="H1718">
        <v>94.78</v>
      </c>
      <c r="I1718">
        <v>94.79</v>
      </c>
      <c r="J1718">
        <v>-0.01</v>
      </c>
    </row>
    <row r="1719" spans="1:10" x14ac:dyDescent="0.3">
      <c r="A1719" t="str">
        <f>HYPERLINK("https://us2.cloudbeds.com/connect/10074733072513#/reservations/30651338530944?display=YQ6NK21MA&amp;reservation_id=30651338530944", "YQ6NK21MA")</f>
        <v>YQ6NK21MA</v>
      </c>
      <c r="B1719" t="s">
        <v>10</v>
      </c>
      <c r="C1719" t="s">
        <v>42</v>
      </c>
      <c r="D1719" t="str">
        <f>HYPERLINK("https://us2.cloudbeds.com/connect/10074733072513#/reservations/30651338530944?display=Ann%20Beyer&amp;reservation_id=30651338530944&amp;guest_id=30647284613361", "Ann Beyer")</f>
        <v>Ann Beyer</v>
      </c>
      <c r="E1719" t="s">
        <v>252</v>
      </c>
      <c r="F1719" t="s">
        <v>686</v>
      </c>
      <c r="G1719">
        <v>196.2</v>
      </c>
      <c r="H1719">
        <v>213.26</v>
      </c>
      <c r="I1719">
        <v>213.27</v>
      </c>
      <c r="J1719">
        <v>-0.01</v>
      </c>
    </row>
    <row r="1720" spans="1:10" x14ac:dyDescent="0.3">
      <c r="A1720" t="str">
        <f>HYPERLINK("https://us2.cloudbeds.com/connect/10074733072513#/reservations/30653270462681?display=YQ873JRMG&amp;reservation_id=30653270462681", "YQ873JRMG")</f>
        <v>YQ873JRMG</v>
      </c>
      <c r="B1720" t="s">
        <v>10</v>
      </c>
      <c r="C1720" t="s">
        <v>11</v>
      </c>
      <c r="D1720" t="str">
        <f>HYPERLINK("https://us2.cloudbeds.com/connect/10074733072513#/reservations/30653270462681?display=Mandi%20Siebenaler&amp;reservation_id=30653270462681&amp;guest_id=30653270458599", "Mandi Siebenaler")</f>
        <v>Mandi Siebenaler</v>
      </c>
      <c r="E1720" t="s">
        <v>688</v>
      </c>
      <c r="F1720" t="s">
        <v>617</v>
      </c>
      <c r="G1720">
        <v>64.150000000000006</v>
      </c>
      <c r="H1720">
        <v>69.72</v>
      </c>
      <c r="I1720">
        <v>69.73</v>
      </c>
      <c r="J1720">
        <v>-0.01</v>
      </c>
    </row>
    <row r="1721" spans="1:10" x14ac:dyDescent="0.3">
      <c r="A1721" t="str">
        <f>HYPERLINK("https://us2.cloudbeds.com/connect/10074733072513#/reservations/30650255442122?display=YQ5T28EP7&amp;reservation_id=30650255442122", "YQ5T28EP7")</f>
        <v>YQ5T28EP7</v>
      </c>
      <c r="B1721" t="s">
        <v>10</v>
      </c>
      <c r="C1721" t="s">
        <v>11</v>
      </c>
      <c r="D1721" t="str">
        <f>HYPERLINK("https://us2.cloudbeds.com/connect/10074733072513#/reservations/30650255442122?display=Kristy%20Neselle%20Dumlao&amp;reservation_id=30650255442122&amp;guest_id=30650251120826", "Kristy Neselle Dumlao")</f>
        <v>Kristy Neselle Dumlao</v>
      </c>
      <c r="E1721" t="s">
        <v>689</v>
      </c>
      <c r="F1721" t="s">
        <v>653</v>
      </c>
      <c r="G1721">
        <v>64.150000000000006</v>
      </c>
      <c r="H1721">
        <v>69.72</v>
      </c>
      <c r="I1721">
        <v>69.73</v>
      </c>
      <c r="J1721">
        <v>-0.01</v>
      </c>
    </row>
    <row r="1722" spans="1:10" x14ac:dyDescent="0.3">
      <c r="A1722" t="str">
        <f>HYPERLINK("https://us2.cloudbeds.com/connect/10074733072513#/reservations/30649488191738?display=YQ59F9XVJ&amp;reservation_id=30649488191738", "YQ59F9XVJ")</f>
        <v>YQ59F9XVJ</v>
      </c>
      <c r="B1722" t="s">
        <v>10</v>
      </c>
      <c r="C1722" t="s">
        <v>11</v>
      </c>
      <c r="D1722" t="str">
        <f>HYPERLINK("https://us2.cloudbeds.com/connect/10074733072513#/reservations/30649488191738?display=Colleen%20Pompa&amp;reservation_id=30649488191738&amp;guest_id=30647372497036", "Colleen Pompa")</f>
        <v>Colleen Pompa</v>
      </c>
      <c r="E1722" t="s">
        <v>690</v>
      </c>
      <c r="F1722" t="s">
        <v>684</v>
      </c>
      <c r="G1722">
        <v>64.150000000000006</v>
      </c>
      <c r="H1722">
        <v>69.72</v>
      </c>
      <c r="I1722">
        <v>69.73</v>
      </c>
      <c r="J1722">
        <v>-0.01</v>
      </c>
    </row>
    <row r="1723" spans="1:10" x14ac:dyDescent="0.3">
      <c r="A1723" t="str">
        <f>HYPERLINK("https://us2.cloudbeds.com/connect/10074733072513#/reservations/30651795677436?display=YQ72E0P8K&amp;reservation_id=30651795677436", "YQ72E0P8K")</f>
        <v>YQ72E0P8K</v>
      </c>
      <c r="B1723" t="s">
        <v>10</v>
      </c>
      <c r="C1723" t="s">
        <v>42</v>
      </c>
      <c r="D1723" t="str">
        <f>HYPERLINK("https://us2.cloudbeds.com/connect/10074733072513#/reservations/30651795677436?display=David%20Rogers&amp;reservation_id=30651795677436&amp;guest_id=30647331066085", "David Rogers")</f>
        <v>David Rogers</v>
      </c>
      <c r="E1723" t="s">
        <v>697</v>
      </c>
      <c r="F1723" t="s">
        <v>686</v>
      </c>
      <c r="G1723">
        <v>196.2</v>
      </c>
      <c r="H1723">
        <v>213.26</v>
      </c>
      <c r="I1723">
        <v>213.27</v>
      </c>
      <c r="J1723">
        <v>-0.01</v>
      </c>
    </row>
    <row r="1724" spans="1:10" x14ac:dyDescent="0.3">
      <c r="A1724" t="str">
        <f>HYPERLINK("https://us2.cloudbeds.com/connect/10074733072513#/reservations/30651509895319?display=YQ6S41F2F&amp;reservation_id=30651509895319", "YQ6S41F2F")</f>
        <v>YQ6S41F2F</v>
      </c>
      <c r="B1724" t="s">
        <v>10</v>
      </c>
      <c r="C1724" t="s">
        <v>42</v>
      </c>
      <c r="D1724" t="str">
        <f>HYPERLINK("https://us2.cloudbeds.com/connect/10074733072513#/reservations/30651509895319?display=Deb%20Heise&amp;reservation_id=30651509895319&amp;guest_id=30651509891239", "Deb Heise")</f>
        <v>Deb Heise</v>
      </c>
      <c r="E1724" t="s">
        <v>698</v>
      </c>
      <c r="F1724" t="s">
        <v>543</v>
      </c>
      <c r="G1724">
        <v>84.15</v>
      </c>
      <c r="H1724">
        <v>91.46</v>
      </c>
      <c r="I1724">
        <v>91.47</v>
      </c>
      <c r="J1724">
        <v>-0.01</v>
      </c>
    </row>
    <row r="1725" spans="1:10" x14ac:dyDescent="0.3">
      <c r="A1725" t="str">
        <f>HYPERLINK("https://us2.cloudbeds.com/connect/10074733072513#/reservations/30651552456934?display=YQ6T6UQ9C&amp;reservation_id=30651552456934", "YQ6T6UQ9C")</f>
        <v>YQ6T6UQ9C</v>
      </c>
      <c r="B1725" t="s">
        <v>10</v>
      </c>
      <c r="C1725" t="s">
        <v>14</v>
      </c>
      <c r="D1725" t="str">
        <f>HYPERLINK("https://us2.cloudbeds.com/connect/10074733072513#/reservations/30651552456934?display=Layth%20Butrus&amp;reservation_id=30651552456934&amp;guest_id=30651552456932", "Layth Butrus")</f>
        <v>Layth Butrus</v>
      </c>
      <c r="E1725" t="s">
        <v>699</v>
      </c>
      <c r="F1725" t="s">
        <v>543</v>
      </c>
      <c r="G1725">
        <v>64.150000000000006</v>
      </c>
      <c r="H1725">
        <v>69.72</v>
      </c>
      <c r="I1725">
        <v>69.73</v>
      </c>
      <c r="J1725">
        <v>-0.01</v>
      </c>
    </row>
    <row r="1726" spans="1:10" x14ac:dyDescent="0.3">
      <c r="A1726" t="str">
        <f>HYPERLINK("https://us2.cloudbeds.com/connect/10074733072513#/reservations/30649504551129?display=YQ59T2QBN&amp;reservation_id=30649504551129", "YQ59T2QBN")</f>
        <v>YQ59T2QBN</v>
      </c>
      <c r="B1726" t="s">
        <v>10</v>
      </c>
      <c r="C1726" t="s">
        <v>11</v>
      </c>
      <c r="D1726" t="str">
        <f>HYPERLINK("https://us2.cloudbeds.com/connect/10074733072513#/reservations/30649504551129?display=Jenny%20Johnson&amp;reservation_id=30649504551129&amp;guest_id=30649504551127", "Jenny Johnson")</f>
        <v>Jenny Johnson</v>
      </c>
      <c r="E1726" t="s">
        <v>700</v>
      </c>
      <c r="F1726" t="s">
        <v>684</v>
      </c>
      <c r="G1726">
        <v>64.150000000000006</v>
      </c>
      <c r="H1726">
        <v>69.72</v>
      </c>
      <c r="I1726">
        <v>69.73</v>
      </c>
      <c r="J1726">
        <v>-0.01</v>
      </c>
    </row>
    <row r="1727" spans="1:10" x14ac:dyDescent="0.3">
      <c r="A1727" t="str">
        <f>HYPERLINK("https://us2.cloudbeds.com/connect/10074733072513#/reservations/30649510367411?display=YQ5A0WY9M&amp;reservation_id=30649510367411", "YQ5A0WY9M")</f>
        <v>YQ5A0WY9M</v>
      </c>
      <c r="B1727" t="s">
        <v>10</v>
      </c>
      <c r="C1727" t="s">
        <v>11</v>
      </c>
      <c r="D1727" t="str">
        <f>HYPERLINK("https://us2.cloudbeds.com/connect/10074733072513#/reservations/30649510367411?display=Lauriann%20Fuhrman&amp;reservation_id=30649510367411&amp;guest_id=30649510367409", "Lauriann Fuhrman")</f>
        <v>Lauriann Fuhrman</v>
      </c>
      <c r="E1727" t="s">
        <v>701</v>
      </c>
      <c r="F1727" t="s">
        <v>684</v>
      </c>
      <c r="G1727">
        <v>64.150000000000006</v>
      </c>
      <c r="H1727">
        <v>69.72</v>
      </c>
      <c r="I1727">
        <v>69.73</v>
      </c>
      <c r="J1727">
        <v>-0.01</v>
      </c>
    </row>
    <row r="1728" spans="1:10" x14ac:dyDescent="0.3">
      <c r="A1728" t="str">
        <f>HYPERLINK("https://us2.cloudbeds.com/connect/10074733072513#/reservations/30651691286753?display=YQ6WZWV1J&amp;reservation_id=30651691286753", "YQ6WZWV1J")</f>
        <v>YQ6WZWV1J</v>
      </c>
      <c r="B1728" t="s">
        <v>10</v>
      </c>
      <c r="C1728" t="s">
        <v>11</v>
      </c>
      <c r="D1728" t="str">
        <f>HYPERLINK("https://us2.cloudbeds.com/connect/10074733072513#/reservations/30651691286753?display=Leonard%20Scott%20Keene&amp;reservation_id=30651691286753&amp;guest_id=30651685159114", "Leonard Scott Keene")</f>
        <v>Leonard Scott Keene</v>
      </c>
      <c r="E1728" t="s">
        <v>702</v>
      </c>
      <c r="F1728" t="s">
        <v>585</v>
      </c>
      <c r="G1728">
        <v>64.150000000000006</v>
      </c>
      <c r="H1728">
        <v>69.72</v>
      </c>
      <c r="I1728">
        <v>69.73</v>
      </c>
      <c r="J1728">
        <v>-0.01</v>
      </c>
    </row>
    <row r="1729" spans="1:10" x14ac:dyDescent="0.3">
      <c r="A1729" t="str">
        <f>HYPERLINK("https://us2.cloudbeds.com/connect/10074733072513#/reservations/30651696468215?display=YQ6WTC41J&amp;reservation_id=30651696468215", "YQ6WTC41J")</f>
        <v>YQ6WTC41J</v>
      </c>
      <c r="B1729" t="s">
        <v>10</v>
      </c>
      <c r="C1729" t="s">
        <v>14</v>
      </c>
      <c r="D1729" t="str">
        <f>HYPERLINK("https://us2.cloudbeds.com/connect/10074733072513#/reservations/30651696468215?display=Cody%20Swim&amp;reservation_id=30651696468215&amp;guest_id=30651696468202", "Cody Swim")</f>
        <v>Cody Swim</v>
      </c>
      <c r="E1729" t="s">
        <v>703</v>
      </c>
      <c r="F1729" t="s">
        <v>585</v>
      </c>
      <c r="G1729">
        <v>64.150000000000006</v>
      </c>
      <c r="H1729">
        <v>69.72</v>
      </c>
      <c r="I1729">
        <v>69.73</v>
      </c>
      <c r="J1729">
        <v>-0.01</v>
      </c>
    </row>
    <row r="1730" spans="1:10" x14ac:dyDescent="0.3">
      <c r="A1730" t="str">
        <f>HYPERLINK("https://us2.cloudbeds.com/connect/10074733072513#/reservations/30651767046384?display=YQ71MT23W&amp;reservation_id=30651767046384", "YQ71MT23W")</f>
        <v>YQ71MT23W</v>
      </c>
      <c r="B1730" t="s">
        <v>10</v>
      </c>
      <c r="C1730" t="s">
        <v>17</v>
      </c>
      <c r="D1730" t="str">
        <f>HYPERLINK("https://us2.cloudbeds.com/connect/10074733072513#/reservations/30651767046384?display=William%20Graves&amp;reservation_id=30651767046384&amp;guest_id=30648454471826", "William Graves")</f>
        <v>William Graves</v>
      </c>
      <c r="E1730" t="s">
        <v>447</v>
      </c>
      <c r="F1730" t="s">
        <v>704</v>
      </c>
      <c r="G1730">
        <v>267.3</v>
      </c>
      <c r="H1730">
        <v>290.55</v>
      </c>
      <c r="I1730">
        <v>290.56</v>
      </c>
      <c r="J1730">
        <v>-0.01</v>
      </c>
    </row>
    <row r="1731" spans="1:10" x14ac:dyDescent="0.3">
      <c r="A1731" t="str">
        <f>HYPERLINK("https://us2.cloudbeds.com/connect/10074733072513#/reservations/30651563237555?display=YQ6TG0PRS&amp;reservation_id=30651563237555", "YQ6TG0PRS")</f>
        <v>YQ6TG0PRS</v>
      </c>
      <c r="B1731" t="s">
        <v>10</v>
      </c>
      <c r="C1731" t="s">
        <v>42</v>
      </c>
      <c r="D1731" t="str">
        <f>HYPERLINK("https://us2.cloudbeds.com/connect/10074733072513#/reservations/30651563237555?display=Linda%20Tye-Hauger&amp;reservation_id=30651563237555&amp;guest_id=30651563237553", "Linda Tye-Hauger")</f>
        <v>Linda Tye-Hauger</v>
      </c>
      <c r="E1731" t="s">
        <v>705</v>
      </c>
      <c r="F1731" t="s">
        <v>585</v>
      </c>
      <c r="G1731">
        <v>84.15</v>
      </c>
      <c r="H1731">
        <v>91.46</v>
      </c>
      <c r="I1731">
        <v>91.47</v>
      </c>
      <c r="J1731">
        <v>-0.01</v>
      </c>
    </row>
    <row r="1732" spans="1:10" x14ac:dyDescent="0.3">
      <c r="A1732" t="str">
        <f>HYPERLINK("https://us2.cloudbeds.com/connect/10074733072513#/reservations/30649503142018?display=YQ59RTJDC&amp;reservation_id=30649503142018", "YQ59RTJDC")</f>
        <v>YQ59RTJDC</v>
      </c>
      <c r="B1732" t="s">
        <v>10</v>
      </c>
      <c r="C1732" t="s">
        <v>11</v>
      </c>
      <c r="D1732" t="str">
        <f>HYPERLINK("https://us2.cloudbeds.com/connect/10074733072513#/reservations/30649503142018?display=Martha%20Johnson&amp;reservation_id=30649503142018&amp;guest_id=30649498386657", "Martha Johnson")</f>
        <v>Martha Johnson</v>
      </c>
      <c r="E1732" t="s">
        <v>706</v>
      </c>
      <c r="F1732" t="s">
        <v>684</v>
      </c>
      <c r="G1732">
        <v>64.150000000000006</v>
      </c>
      <c r="H1732">
        <v>69.72</v>
      </c>
      <c r="I1732">
        <v>69.73</v>
      </c>
      <c r="J1732">
        <v>-0.01</v>
      </c>
    </row>
    <row r="1733" spans="1:10" x14ac:dyDescent="0.3">
      <c r="A1733" t="str">
        <f>HYPERLINK("https://us2.cloudbeds.com/connect/10074733072513#/reservations/30653574807685?display=YQ8ET7MMF&amp;reservation_id=30653574807685", "YQ8ET7MMF")</f>
        <v>YQ8ET7MMF</v>
      </c>
      <c r="B1733" t="s">
        <v>10</v>
      </c>
      <c r="C1733" t="s">
        <v>42</v>
      </c>
      <c r="D1733" t="str">
        <f>HYPERLINK("https://us2.cloudbeds.com/connect/10074733072513#/reservations/30653574807685?display=June%20Schultek&amp;reservation_id=30653574807685&amp;guest_id=30648972370049", "June Schultek")</f>
        <v>June Schultek</v>
      </c>
      <c r="E1733" t="s">
        <v>707</v>
      </c>
      <c r="F1733" t="s">
        <v>328</v>
      </c>
      <c r="G1733">
        <v>384</v>
      </c>
      <c r="H1733">
        <v>417.4</v>
      </c>
      <c r="I1733">
        <v>417.41</v>
      </c>
      <c r="J1733">
        <v>-0.01</v>
      </c>
    </row>
    <row r="1734" spans="1:10" x14ac:dyDescent="0.3">
      <c r="A1734" t="str">
        <f>HYPERLINK("https://us2.cloudbeds.com/connect/10074733072513#/reservations/30651061027058?display=YQ6GYX15V&amp;reservation_id=30651061027058", "YQ6GYX15V")</f>
        <v>YQ6GYX15V</v>
      </c>
      <c r="B1734" t="s">
        <v>10</v>
      </c>
      <c r="C1734" t="s">
        <v>14</v>
      </c>
      <c r="D1734" t="str">
        <f>HYPERLINK("https://us2.cloudbeds.com/connect/10074733072513#/reservations/30651061027058?display=Kelly%20Larson&amp;reservation_id=30651061027058&amp;guest_id=30651061027031", "Kelly Larson")</f>
        <v>Kelly Larson</v>
      </c>
      <c r="E1734" t="s">
        <v>708</v>
      </c>
      <c r="F1734" t="s">
        <v>670</v>
      </c>
      <c r="G1734">
        <v>64.150000000000006</v>
      </c>
      <c r="H1734">
        <v>69.72</v>
      </c>
      <c r="I1734">
        <v>69.73</v>
      </c>
      <c r="J1734">
        <v>-0.01</v>
      </c>
    </row>
    <row r="1735" spans="1:10" x14ac:dyDescent="0.3">
      <c r="A1735" t="str">
        <f>HYPERLINK("https://us2.cloudbeds.com/connect/10074733072513#/reservations/30653706735792?display=YQ8X8FPPT&amp;reservation_id=30653706735792", "YQ8X8FPPT")</f>
        <v>YQ8X8FPPT</v>
      </c>
      <c r="B1735" t="s">
        <v>10</v>
      </c>
      <c r="C1735" t="s">
        <v>11</v>
      </c>
      <c r="D1735" t="str">
        <f>HYPERLINK("https://us2.cloudbeds.com/connect/10074733072513#/reservations/30653706735792?display=Gene%20Swartz&amp;reservation_id=30653706735792&amp;guest_id=30653696721123", "Gene Swartz")</f>
        <v>Gene Swartz</v>
      </c>
      <c r="E1735" t="s">
        <v>711</v>
      </c>
      <c r="F1735" t="s">
        <v>541</v>
      </c>
      <c r="G1735">
        <v>103.2</v>
      </c>
      <c r="H1735">
        <v>112.17</v>
      </c>
      <c r="I1735">
        <v>112.18</v>
      </c>
      <c r="J1735">
        <v>-0.01</v>
      </c>
    </row>
    <row r="1736" spans="1:10" x14ac:dyDescent="0.3">
      <c r="A1736" t="str">
        <f>HYPERLINK("https://us2.cloudbeds.com/connect/10074733072513#/reservations/30649619726546?display=YQ5CR6NTS&amp;reservation_id=30649619726546", "YQ5CR6NTS")</f>
        <v>YQ5CR6NTS</v>
      </c>
      <c r="B1736" t="s">
        <v>10</v>
      </c>
      <c r="C1736" t="s">
        <v>14</v>
      </c>
      <c r="D1736" t="str">
        <f>HYPERLINK("https://us2.cloudbeds.com/connect/10074733072513#/reservations/30649619726546?display=Gerald%20Pike&amp;reservation_id=30649619726546&amp;guest_id=30649619726541", "Gerald Pike")</f>
        <v>Gerald Pike</v>
      </c>
      <c r="E1736" t="s">
        <v>713</v>
      </c>
      <c r="F1736" t="s">
        <v>714</v>
      </c>
      <c r="G1736">
        <v>64.150000000000006</v>
      </c>
      <c r="H1736">
        <v>69.72</v>
      </c>
      <c r="I1736">
        <v>69.73</v>
      </c>
      <c r="J1736">
        <v>-0.01</v>
      </c>
    </row>
    <row r="1737" spans="1:10" x14ac:dyDescent="0.3">
      <c r="A1737" t="str">
        <f>HYPERLINK("https://us2.cloudbeds.com/connect/10074733072513#/reservations/30651237208204?display=YQ6Y53HMX&amp;reservation_id=30651237208204", "YQ6Y53HMX")</f>
        <v>YQ6Y53HMX</v>
      </c>
      <c r="B1737" t="s">
        <v>10</v>
      </c>
      <c r="C1737" t="s">
        <v>42</v>
      </c>
      <c r="D1737" t="str">
        <f>HYPERLINK("https://us2.cloudbeds.com/connect/10074733072513#/reservations/30651237208204?display=Jeremy%20Phillips&amp;reservation_id=30651237208204&amp;guest_id=30651237204118", "Jeremy Phillips")</f>
        <v>Jeremy Phillips</v>
      </c>
      <c r="E1737" t="s">
        <v>715</v>
      </c>
      <c r="F1737" t="s">
        <v>716</v>
      </c>
      <c r="G1737">
        <v>64.150000000000006</v>
      </c>
      <c r="H1737">
        <v>69.72</v>
      </c>
      <c r="I1737">
        <v>69.73</v>
      </c>
      <c r="J1737">
        <v>-0.01</v>
      </c>
    </row>
    <row r="1738" spans="1:10" x14ac:dyDescent="0.3">
      <c r="A1738" t="str">
        <f>HYPERLINK("https://us2.cloudbeds.com/connect/10074733072513#/reservations/30650748027033?display=YQ68YKBGN&amp;reservation_id=30650748027033", "YQ68YKBGN")</f>
        <v>YQ68YKBGN</v>
      </c>
      <c r="B1738" t="s">
        <v>10</v>
      </c>
      <c r="C1738" t="s">
        <v>42</v>
      </c>
      <c r="D1738" t="str">
        <f>HYPERLINK("https://us2.cloudbeds.com/connect/10074733072513#/reservations/30650748027033?display=James%20Plucker&amp;reservation_id=30650748027033&amp;guest_id=30648147951751", "James Plucker")</f>
        <v>James Plucker</v>
      </c>
      <c r="E1738" t="s">
        <v>717</v>
      </c>
      <c r="F1738" t="s">
        <v>409</v>
      </c>
      <c r="G1738">
        <v>277.3</v>
      </c>
      <c r="H1738">
        <v>301.42</v>
      </c>
      <c r="I1738">
        <v>301.43</v>
      </c>
      <c r="J1738">
        <v>-0.01</v>
      </c>
    </row>
    <row r="1739" spans="1:10" x14ac:dyDescent="0.3">
      <c r="A1739" t="str">
        <f>HYPERLINK("https://us2.cloudbeds.com/connect/10074733072513#/reservations/30651246108916?display=YQ6YCK6W3&amp;reservation_id=30651246108916", "YQ6YCK6W3")</f>
        <v>YQ6YCK6W3</v>
      </c>
      <c r="B1739" t="s">
        <v>10</v>
      </c>
      <c r="C1739" t="s">
        <v>11</v>
      </c>
      <c r="D1739" t="str">
        <f>HYPERLINK("https://us2.cloudbeds.com/connect/10074733072513#/reservations/30651246108916?display=Madeline%20Flanery&amp;reservation_id=30651246108916&amp;guest_id=30651239583906", "Madeline Flanery")</f>
        <v>Madeline Flanery</v>
      </c>
      <c r="E1739" t="s">
        <v>721</v>
      </c>
      <c r="F1739" t="s">
        <v>722</v>
      </c>
      <c r="G1739">
        <v>87.2</v>
      </c>
      <c r="H1739">
        <v>94.78</v>
      </c>
      <c r="I1739">
        <v>94.79</v>
      </c>
      <c r="J1739">
        <v>-0.01</v>
      </c>
    </row>
    <row r="1740" spans="1:10" x14ac:dyDescent="0.3">
      <c r="A1740" t="str">
        <f>HYPERLINK("https://us2.cloudbeds.com/connect/10074733072513#/reservations/30650498724046?display=YQ629D44Z&amp;reservation_id=30650498724046", "YQ629D44Z")</f>
        <v>YQ629D44Z</v>
      </c>
      <c r="B1740" t="s">
        <v>10</v>
      </c>
      <c r="C1740" t="s">
        <v>11</v>
      </c>
      <c r="D1740" t="str">
        <f>HYPERLINK("https://us2.cloudbeds.com/connect/10074733072513#/reservations/30650498724046?display=Andrea%20Posey&amp;reservation_id=30650498724046&amp;guest_id=30650498724044", "Andrea Posey")</f>
        <v>Andrea Posey</v>
      </c>
      <c r="E1740" t="s">
        <v>723</v>
      </c>
      <c r="F1740" t="s">
        <v>719</v>
      </c>
      <c r="G1740">
        <v>87.2</v>
      </c>
      <c r="H1740">
        <v>94.78</v>
      </c>
      <c r="I1740">
        <v>94.79</v>
      </c>
      <c r="J1740">
        <v>-0.01</v>
      </c>
    </row>
    <row r="1741" spans="1:10" x14ac:dyDescent="0.3">
      <c r="A1741" t="str">
        <f>HYPERLINK("https://us2.cloudbeds.com/connect/10074733072513#/reservations/30653726122232?display=YQ8XZR7RZ&amp;reservation_id=30653726122232", "YQ8XZR7RZ")</f>
        <v>YQ8XZR7RZ</v>
      </c>
      <c r="B1741" t="s">
        <v>10</v>
      </c>
      <c r="C1741" t="s">
        <v>11</v>
      </c>
      <c r="D1741" t="str">
        <f>HYPERLINK("https://us2.cloudbeds.com/connect/10074733072513#/reservations/30653726122232?display=Jenny%20Koch&amp;reservation_id=30653726122232&amp;guest_id=30653726122182", "Jenny Koch")</f>
        <v>Jenny Koch</v>
      </c>
      <c r="E1741" t="s">
        <v>724</v>
      </c>
      <c r="F1741" t="s">
        <v>541</v>
      </c>
      <c r="G1741">
        <v>103.2</v>
      </c>
      <c r="H1741">
        <v>112.17</v>
      </c>
      <c r="I1741">
        <v>112.18</v>
      </c>
      <c r="J1741">
        <v>-0.01</v>
      </c>
    </row>
    <row r="1742" spans="1:10" x14ac:dyDescent="0.3">
      <c r="A1742" t="str">
        <f>HYPERLINK("https://us2.cloudbeds.com/connect/10074733072513#/reservations/30655501983898?display=YQ9V496QK&amp;reservation_id=30655501983898", "YQ9V496QK")</f>
        <v>YQ9V496QK</v>
      </c>
      <c r="B1742" t="s">
        <v>10</v>
      </c>
      <c r="C1742" t="s">
        <v>42</v>
      </c>
      <c r="D1742" t="str">
        <f>HYPERLINK("https://us2.cloudbeds.com/connect/10074733072513#/reservations/30655501983898?display=Ashley%20Pick&amp;reservation_id=30655501983898&amp;guest_id=30655501983895", "Ashley Pick")</f>
        <v>Ashley Pick</v>
      </c>
      <c r="E1742" t="s">
        <v>725</v>
      </c>
      <c r="F1742" t="s">
        <v>726</v>
      </c>
      <c r="G1742">
        <v>248.2</v>
      </c>
      <c r="H1742">
        <v>269.77999999999997</v>
      </c>
      <c r="I1742">
        <v>269.79000000000002</v>
      </c>
      <c r="J1742">
        <v>-0.01</v>
      </c>
    </row>
    <row r="1743" spans="1:10" x14ac:dyDescent="0.3">
      <c r="A1743" t="str">
        <f>HYPERLINK("https://us2.cloudbeds.com/connect/10074733072513#/reservations/30650407989377?display=YQ5WVT9TA&amp;reservation_id=30650407989377", "YQ5WVT9TA")</f>
        <v>YQ5WVT9TA</v>
      </c>
      <c r="B1743" t="s">
        <v>10</v>
      </c>
      <c r="C1743" t="s">
        <v>121</v>
      </c>
      <c r="D1743" t="str">
        <f>HYPERLINK("https://us2.cloudbeds.com/connect/10074733072513#/reservations/30650407989377?display=Blair%20Stephenson&amp;reservation_id=30650407989377&amp;guest_id=30650407985281", "Blair Stephenson")</f>
        <v>Blair Stephenson</v>
      </c>
      <c r="E1743" t="s">
        <v>727</v>
      </c>
      <c r="F1743" t="s">
        <v>719</v>
      </c>
      <c r="G1743">
        <v>87.2</v>
      </c>
      <c r="H1743">
        <v>94.78</v>
      </c>
      <c r="I1743">
        <v>94.79</v>
      </c>
      <c r="J1743">
        <v>-0.01</v>
      </c>
    </row>
    <row r="1744" spans="1:10" x14ac:dyDescent="0.3">
      <c r="A1744" t="str">
        <f>HYPERLINK("https://us2.cloudbeds.com/connect/10074733072513#/reservations/30653567717526?display=YQ8EN8CW5&amp;reservation_id=30653567717526", "YQ8EN8CW5")</f>
        <v>YQ8EN8CW5</v>
      </c>
      <c r="B1744" t="s">
        <v>10</v>
      </c>
      <c r="C1744" t="s">
        <v>20</v>
      </c>
      <c r="D1744" t="str">
        <f>HYPERLINK("https://us2.cloudbeds.com/connect/10074733072513#/reservations/30653567717526?display=Sneha%20Matte&amp;reservation_id=30653567717526&amp;guest_id=30653567717517", "Sneha Matte")</f>
        <v>Sneha Matte</v>
      </c>
      <c r="E1744" t="s">
        <v>728</v>
      </c>
      <c r="F1744" t="s">
        <v>719</v>
      </c>
      <c r="G1744">
        <v>87.2</v>
      </c>
      <c r="H1744">
        <v>94.78</v>
      </c>
      <c r="I1744">
        <v>94.79</v>
      </c>
      <c r="J1744">
        <v>-0.01</v>
      </c>
    </row>
    <row r="1745" spans="1:10" x14ac:dyDescent="0.3">
      <c r="A1745" t="str">
        <f>HYPERLINK("https://us2.cloudbeds.com/connect/10074733072513#/reservations/30653619003566?display=YQ8G0GGJJ&amp;reservation_id=30653619003566", "YQ8G0GGJJ")</f>
        <v>YQ8G0GGJJ</v>
      </c>
      <c r="B1745" t="s">
        <v>10</v>
      </c>
      <c r="C1745" t="s">
        <v>42</v>
      </c>
      <c r="D1745" t="str">
        <f>HYPERLINK("https://us2.cloudbeds.com/connect/10074733072513#/reservations/30653619003566?display=Jason%20Shaw&amp;reservation_id=30653619003566&amp;guest_id=30653619003552", "Jason Shaw")</f>
        <v>Jason Shaw</v>
      </c>
      <c r="E1745" t="s">
        <v>729</v>
      </c>
      <c r="F1745" t="s">
        <v>541</v>
      </c>
      <c r="G1745">
        <v>196.2</v>
      </c>
      <c r="H1745">
        <v>213.26</v>
      </c>
      <c r="I1745">
        <v>213.27</v>
      </c>
      <c r="J1745">
        <v>-0.01</v>
      </c>
    </row>
    <row r="1746" spans="1:10" x14ac:dyDescent="0.3">
      <c r="A1746" t="str">
        <f>HYPERLINK("https://us2.cloudbeds.com/connect/10074733072513#/reservations/30650568736921?display=YQ642EB40&amp;reservation_id=30650568736921", "YQ642EB40")</f>
        <v>YQ642EB40</v>
      </c>
      <c r="B1746" t="s">
        <v>10</v>
      </c>
      <c r="C1746" t="s">
        <v>14</v>
      </c>
      <c r="D1746" t="str">
        <f>HYPERLINK("https://us2.cloudbeds.com/connect/10074733072513#/reservations/30650568736921?display=Ryan%20Adams&amp;reservation_id=30650568736921&amp;guest_id=30650568736917", "Ryan Adams")</f>
        <v>Ryan Adams</v>
      </c>
      <c r="E1746" t="s">
        <v>731</v>
      </c>
      <c r="F1746" t="s">
        <v>693</v>
      </c>
      <c r="G1746">
        <v>267.3</v>
      </c>
      <c r="H1746">
        <v>290.55</v>
      </c>
      <c r="I1746">
        <v>290.56</v>
      </c>
      <c r="J1746">
        <v>-0.01</v>
      </c>
    </row>
    <row r="1747" spans="1:10" x14ac:dyDescent="0.3">
      <c r="A1747" t="str">
        <f>HYPERLINK("https://us2.cloudbeds.com/connect/10074733072513#/reservations/30649634070672?display=YQ5D69SZB&amp;reservation_id=30649634070672", "YQ5D69SZB")</f>
        <v>YQ5D69SZB</v>
      </c>
      <c r="B1747" t="s">
        <v>10</v>
      </c>
      <c r="C1747" t="s">
        <v>121</v>
      </c>
      <c r="D1747" t="str">
        <f>HYPERLINK("https://us2.cloudbeds.com/connect/10074733072513#/reservations/30649634070672?display=John%20Labute&amp;reservation_id=30649634070672&amp;guest_id=30649634070670", "John Labute")</f>
        <v>John Labute</v>
      </c>
      <c r="E1747" t="s">
        <v>734</v>
      </c>
      <c r="F1747" t="s">
        <v>735</v>
      </c>
      <c r="G1747">
        <v>64.150000000000006</v>
      </c>
      <c r="H1747">
        <v>69.72</v>
      </c>
      <c r="I1747">
        <v>69.73</v>
      </c>
      <c r="J1747">
        <v>-0.01</v>
      </c>
    </row>
    <row r="1748" spans="1:10" x14ac:dyDescent="0.3">
      <c r="A1748" t="str">
        <f>HYPERLINK("https://us2.cloudbeds.com/connect/10074733072513#/reservations/30649721852060?display=YQ5FEAH2D&amp;reservation_id=30649721852060", "YQ5FEAH2D")</f>
        <v>YQ5FEAH2D</v>
      </c>
      <c r="B1748" t="s">
        <v>10</v>
      </c>
      <c r="C1748" t="s">
        <v>14</v>
      </c>
      <c r="D1748" t="str">
        <f>HYPERLINK("https://us2.cloudbeds.com/connect/10074733072513#/reservations/30649721852060?display=Julia%20Purrington&amp;reservation_id=30649721852060&amp;guest_id=30649721852058", "Julia Purrington")</f>
        <v>Julia Purrington</v>
      </c>
      <c r="E1748" t="s">
        <v>736</v>
      </c>
      <c r="F1748" t="s">
        <v>735</v>
      </c>
      <c r="G1748">
        <v>64.150000000000006</v>
      </c>
      <c r="H1748">
        <v>69.72</v>
      </c>
      <c r="I1748">
        <v>69.73</v>
      </c>
      <c r="J1748">
        <v>-0.01</v>
      </c>
    </row>
    <row r="1749" spans="1:10" x14ac:dyDescent="0.3">
      <c r="A1749" t="str">
        <f>HYPERLINK("https://us2.cloudbeds.com/connect/10074733072513#/reservations/30649854288072?display=YQ5XQWZXT&amp;reservation_id=30649854288072", "YQ5XQWZXT")</f>
        <v>YQ5XQWZXT</v>
      </c>
      <c r="B1749" t="s">
        <v>10</v>
      </c>
      <c r="C1749" t="s">
        <v>14</v>
      </c>
      <c r="D1749" t="str">
        <f>HYPERLINK("https://us2.cloudbeds.com/connect/10074733072513#/reservations/30649854288072?display=Aaron%20Betz&amp;reservation_id=30649854288072&amp;guest_id=30649854284027", "Aaron Betz")</f>
        <v>Aaron Betz</v>
      </c>
      <c r="E1749" t="s">
        <v>737</v>
      </c>
      <c r="F1749" t="s">
        <v>738</v>
      </c>
      <c r="G1749">
        <v>83.2</v>
      </c>
      <c r="H1749">
        <v>90.43</v>
      </c>
      <c r="I1749">
        <v>90.44</v>
      </c>
      <c r="J1749">
        <v>-0.01</v>
      </c>
    </row>
    <row r="1750" spans="1:10" x14ac:dyDescent="0.3">
      <c r="A1750" t="str">
        <f>HYPERLINK("https://us2.cloudbeds.com/connect/10074733072513#/reservations/30650663026925?display=YQ66FV34S&amp;reservation_id=30650663026925", "YQ66FV34S")</f>
        <v>YQ66FV34S</v>
      </c>
      <c r="B1750" t="s">
        <v>10</v>
      </c>
      <c r="C1750" t="s">
        <v>11</v>
      </c>
      <c r="D1750" t="str">
        <f>HYPERLINK("https://us2.cloudbeds.com/connect/10074733072513#/reservations/30650663026925?display=Vanessa%20Kl%20To&amp;reservation_id=30650663026925&amp;guest_id=30650663026923", "Vanessa Kl To")</f>
        <v>Vanessa Kl To</v>
      </c>
      <c r="E1750" t="s">
        <v>739</v>
      </c>
      <c r="F1750" t="s">
        <v>693</v>
      </c>
      <c r="G1750">
        <v>64.150000000000006</v>
      </c>
      <c r="H1750">
        <v>69.72</v>
      </c>
      <c r="I1750">
        <v>69.73</v>
      </c>
      <c r="J1750">
        <v>-0.01</v>
      </c>
    </row>
    <row r="1751" spans="1:10" x14ac:dyDescent="0.3">
      <c r="A1751" t="str">
        <f>HYPERLINK("https://us2.cloudbeds.com/connect/10074733072513#/reservations/30651824201874?display=YQ7352GGH&amp;reservation_id=30651824201874", "YQ7352GGH")</f>
        <v>YQ7352GGH</v>
      </c>
      <c r="B1751" t="s">
        <v>10</v>
      </c>
      <c r="C1751" t="s">
        <v>42</v>
      </c>
      <c r="D1751" t="str">
        <f>HYPERLINK("https://us2.cloudbeds.com/connect/10074733072513#/reservations/30651824201874?display=Harlow%20Anderson&amp;reservation_id=30651824201874&amp;guest_id=30651824201872", "Harlow Anderson")</f>
        <v>Harlow Anderson</v>
      </c>
      <c r="E1751" t="s">
        <v>742</v>
      </c>
      <c r="F1751" t="s">
        <v>686</v>
      </c>
      <c r="G1751">
        <v>196.2</v>
      </c>
      <c r="H1751">
        <v>213.26</v>
      </c>
      <c r="I1751">
        <v>213.27</v>
      </c>
      <c r="J1751">
        <v>-0.01</v>
      </c>
    </row>
    <row r="1752" spans="1:10" x14ac:dyDescent="0.3">
      <c r="A1752" t="str">
        <f>HYPERLINK("https://us2.cloudbeds.com/connect/10074733072513#/reservations/30652737818857?display=YQ7QGF7TY&amp;reservation_id=30652737818857", "YQ7QGF7TY")</f>
        <v>YQ7QGF7TY</v>
      </c>
      <c r="B1752" t="s">
        <v>10</v>
      </c>
      <c r="C1752" t="s">
        <v>14</v>
      </c>
      <c r="D1752" t="str">
        <f>HYPERLINK("https://us2.cloudbeds.com/connect/10074733072513#/reservations/30652737818857?display=Dwayne%20Gillie&amp;reservation_id=30652737818857&amp;guest_id=30652737818847", "Dwayne Gillie")</f>
        <v>Dwayne Gillie</v>
      </c>
      <c r="E1752" t="s">
        <v>743</v>
      </c>
      <c r="F1752" t="s">
        <v>744</v>
      </c>
      <c r="G1752">
        <v>87.2</v>
      </c>
      <c r="H1752">
        <v>94.78</v>
      </c>
      <c r="I1752">
        <v>94.79</v>
      </c>
      <c r="J1752">
        <v>-0.01</v>
      </c>
    </row>
    <row r="1753" spans="1:10" x14ac:dyDescent="0.3">
      <c r="A1753" t="str">
        <f>HYPERLINK("https://us2.cloudbeds.com/connect/10074733072513#/reservations/30649880449239?display=YQ5JG1NMH&amp;reservation_id=30649880449239", "YQ5JG1NMH")</f>
        <v>YQ5JG1NMH</v>
      </c>
      <c r="B1753" t="s">
        <v>10</v>
      </c>
      <c r="C1753" t="s">
        <v>20</v>
      </c>
      <c r="D1753" t="str">
        <f>HYPERLINK("https://us2.cloudbeds.com/connect/10074733072513#/reservations/30649880449239?display=Ember%20Currence&amp;reservation_id=30649880449239&amp;guest_id=30649880449221", "Ember Currence")</f>
        <v>Ember Currence</v>
      </c>
      <c r="E1753" t="s">
        <v>745</v>
      </c>
      <c r="F1753" t="s">
        <v>738</v>
      </c>
      <c r="G1753">
        <v>67.2</v>
      </c>
      <c r="H1753">
        <v>73.040000000000006</v>
      </c>
      <c r="I1753">
        <v>73.05</v>
      </c>
      <c r="J1753">
        <v>-0.01</v>
      </c>
    </row>
    <row r="1754" spans="1:10" x14ac:dyDescent="0.3">
      <c r="A1754" t="str">
        <f>HYPERLINK("https://us2.cloudbeds.com/connect/10074733072513#/reservations/30649865359492?display=YQ5J3AR5F&amp;reservation_id=30649865359492", "YQ5J3AR5F")</f>
        <v>YQ5J3AR5F</v>
      </c>
      <c r="B1754" t="s">
        <v>10</v>
      </c>
      <c r="C1754" t="s">
        <v>14</v>
      </c>
      <c r="D1754" t="str">
        <f>HYPERLINK("https://us2.cloudbeds.com/connect/10074733072513#/reservations/30649865359492?display=Tim%20Degraff&amp;reservation_id=30649865359492&amp;guest_id=30649865359489", "Tim Degraff")</f>
        <v>Tim Degraff</v>
      </c>
      <c r="E1754" t="s">
        <v>746</v>
      </c>
      <c r="F1754" t="s">
        <v>738</v>
      </c>
      <c r="G1754">
        <v>61.23</v>
      </c>
      <c r="H1754">
        <v>66.55</v>
      </c>
      <c r="I1754">
        <v>66.56</v>
      </c>
      <c r="J1754">
        <v>-0.01</v>
      </c>
    </row>
    <row r="1755" spans="1:10" x14ac:dyDescent="0.3">
      <c r="A1755" t="str">
        <f>HYPERLINK("https://us2.cloudbeds.com/connect/10074733072513#/reservations/30649878864010?display=YQ5JENK09&amp;reservation_id=30649878864010", "YQ5JENK09")</f>
        <v>YQ5JENK09</v>
      </c>
      <c r="B1755" t="s">
        <v>10</v>
      </c>
      <c r="C1755" t="s">
        <v>121</v>
      </c>
      <c r="D1755" t="str">
        <f>HYPERLINK("https://us2.cloudbeds.com/connect/10074733072513#/reservations/30649878864010?display=Randy%20Ramsey&amp;reservation_id=30649878864010&amp;guest_id=30649878864008", "Randy Ramsey")</f>
        <v>Randy Ramsey</v>
      </c>
      <c r="E1755" t="s">
        <v>747</v>
      </c>
      <c r="F1755" t="s">
        <v>738</v>
      </c>
      <c r="G1755">
        <v>67.2</v>
      </c>
      <c r="H1755">
        <v>73.040000000000006</v>
      </c>
      <c r="I1755">
        <v>73.05</v>
      </c>
      <c r="J1755">
        <v>-0.01</v>
      </c>
    </row>
    <row r="1756" spans="1:10" x14ac:dyDescent="0.3">
      <c r="A1756" t="str">
        <f>HYPERLINK("https://us2.cloudbeds.com/connect/10074733072513#/reservations/30651863486709?display=YQ7456YZ2&amp;reservation_id=30651863486709", "YQ7456YZ2")</f>
        <v>YQ7456YZ2</v>
      </c>
      <c r="B1756" t="s">
        <v>10</v>
      </c>
      <c r="C1756" t="s">
        <v>20</v>
      </c>
      <c r="D1756" t="str">
        <f>HYPERLINK("https://us2.cloudbeds.com/connect/10074733072513#/reservations/30651863486709?display=Christopher%20Wright&amp;reservation_id=30651863486709&amp;guest_id=30651863486657", "Christopher Wright")</f>
        <v>Christopher Wright</v>
      </c>
      <c r="E1756" t="s">
        <v>748</v>
      </c>
      <c r="F1756" t="s">
        <v>749</v>
      </c>
      <c r="G1756">
        <v>294.3</v>
      </c>
      <c r="H1756">
        <v>319.89</v>
      </c>
      <c r="I1756">
        <v>319.89999999999998</v>
      </c>
      <c r="J1756">
        <v>-0.01</v>
      </c>
    </row>
    <row r="1757" spans="1:10" x14ac:dyDescent="0.3">
      <c r="A1757" t="str">
        <f>HYPERLINK("https://us2.cloudbeds.com/connect/10074733072513#/reservations/30653768159428?display=YQ8JR8WG6&amp;reservation_id=30653768159428", "YQ8JR8WG6")</f>
        <v>YQ8JR8WG6</v>
      </c>
      <c r="B1757" t="s">
        <v>10</v>
      </c>
      <c r="C1757" t="s">
        <v>14</v>
      </c>
      <c r="D1757" t="str">
        <f>HYPERLINK("https://us2.cloudbeds.com/connect/10074733072513#/reservations/30653768159428?display=Dorothy%20Cooper&amp;reservation_id=30653768159428&amp;guest_id=30651357614222", "Dorothy Cooper")</f>
        <v>Dorothy Cooper</v>
      </c>
      <c r="E1757" t="s">
        <v>750</v>
      </c>
      <c r="F1757" t="s">
        <v>751</v>
      </c>
      <c r="G1757">
        <v>64.150000000000006</v>
      </c>
      <c r="H1757">
        <v>69.72</v>
      </c>
      <c r="I1757">
        <v>69.73</v>
      </c>
      <c r="J1757">
        <v>-0.01</v>
      </c>
    </row>
    <row r="1758" spans="1:10" x14ac:dyDescent="0.3">
      <c r="A1758" t="str">
        <f>HYPERLINK("https://us2.cloudbeds.com/connect/10074733072513#/reservations/30651456049305?display=YQ6QZY3N2&amp;reservation_id=30651456049305", "YQ6QZY3N2")</f>
        <v>YQ6QZY3N2</v>
      </c>
      <c r="B1758" t="s">
        <v>10</v>
      </c>
      <c r="C1758" t="s">
        <v>14</v>
      </c>
      <c r="D1758" t="str">
        <f>HYPERLINK("https://us2.cloudbeds.com/connect/10074733072513#/reservations/30651456049305?display=Steve%20Gutenberg&amp;reservation_id=30651456049305&amp;guest_id=30651456049302", "Steve Gutenberg")</f>
        <v>Steve Gutenberg</v>
      </c>
      <c r="E1758" t="s">
        <v>752</v>
      </c>
      <c r="F1758" t="s">
        <v>673</v>
      </c>
      <c r="G1758">
        <v>64.150000000000006</v>
      </c>
      <c r="H1758">
        <v>69.72</v>
      </c>
      <c r="I1758">
        <v>69.73</v>
      </c>
      <c r="J1758">
        <v>-0.01</v>
      </c>
    </row>
    <row r="1759" spans="1:10" x14ac:dyDescent="0.3">
      <c r="A1759" t="str">
        <f>HYPERLINK("https://us2.cloudbeds.com/connect/10074733072513#/reservations/30653815660686?display=YQ8Y1APY8&amp;reservation_id=30653815660686", "YQ8Y1APY8")</f>
        <v>YQ8Y1APY8</v>
      </c>
      <c r="B1759" t="s">
        <v>10</v>
      </c>
      <c r="C1759" t="s">
        <v>11</v>
      </c>
      <c r="D1759" t="str">
        <f>HYPERLINK("https://us2.cloudbeds.com/connect/10074733072513#/reservations/30653815660686?display=Joy%20Jalarue&amp;reservation_id=30653815660686&amp;guest_id=30653815660684", "Joy Jalarue")</f>
        <v>Joy Jalarue</v>
      </c>
      <c r="E1759" t="s">
        <v>753</v>
      </c>
      <c r="F1759" t="s">
        <v>754</v>
      </c>
      <c r="G1759">
        <v>72.17</v>
      </c>
      <c r="H1759">
        <v>78.44</v>
      </c>
      <c r="I1759">
        <v>78.45</v>
      </c>
      <c r="J1759">
        <v>-0.01</v>
      </c>
    </row>
    <row r="1760" spans="1:10" x14ac:dyDescent="0.3">
      <c r="A1760" t="str">
        <f>HYPERLINK("https://us2.cloudbeds.com/connect/10074733072513#/reservations/30652117909680?display=YQ7AYZBY2&amp;reservation_id=30652117909680", "YQ7AYZBY2")</f>
        <v>YQ7AYZBY2</v>
      </c>
      <c r="B1760" t="s">
        <v>10</v>
      </c>
      <c r="C1760" t="s">
        <v>11</v>
      </c>
      <c r="D1760" t="str">
        <f>HYPERLINK("https://us2.cloudbeds.com/connect/10074733072513#/reservations/30652117909680?display=Ed%20Mitchell&amp;reservation_id=30652117909680&amp;guest_id=30652117909676", "Ed Mitchell")</f>
        <v>Ed Mitchell</v>
      </c>
      <c r="E1760" t="s">
        <v>755</v>
      </c>
      <c r="F1760" t="s">
        <v>756</v>
      </c>
      <c r="G1760">
        <v>64.150000000000006</v>
      </c>
      <c r="H1760">
        <v>69.72</v>
      </c>
      <c r="I1760">
        <v>69.73</v>
      </c>
      <c r="J1760">
        <v>-0.01</v>
      </c>
    </row>
    <row r="1761" spans="1:10" x14ac:dyDescent="0.3">
      <c r="A1761" t="str">
        <f>HYPERLINK("https://us2.cloudbeds.com/connect/10074733072513#/reservations/30652393676928?display=YQ7HFY35G&amp;reservation_id=30652393676928", "YQ7HFY35G")</f>
        <v>YQ7HFY35G</v>
      </c>
      <c r="B1761" t="s">
        <v>10</v>
      </c>
      <c r="C1761" t="s">
        <v>14</v>
      </c>
      <c r="D1761" t="str">
        <f>HYPERLINK("https://us2.cloudbeds.com/connect/10074733072513#/reservations/30652393676928?display=Josh%20Liestman&amp;reservation_id=30652393676928&amp;guest_id=30649738215582", "Josh Liestman")</f>
        <v>Josh Liestman</v>
      </c>
      <c r="E1761" t="s">
        <v>672</v>
      </c>
      <c r="F1761" t="s">
        <v>757</v>
      </c>
      <c r="G1761">
        <v>134.78</v>
      </c>
      <c r="H1761">
        <v>146.5</v>
      </c>
      <c r="I1761">
        <v>146.51</v>
      </c>
      <c r="J1761">
        <v>-0.01</v>
      </c>
    </row>
    <row r="1762" spans="1:10" x14ac:dyDescent="0.3">
      <c r="A1762" t="str">
        <f>HYPERLINK("https://us2.cloudbeds.com/connect/10074733072513#/reservations/30652098789572?display=YQ7A5KA4S&amp;reservation_id=30652098789572", "YQ7A5KA4S")</f>
        <v>YQ7A5KA4S</v>
      </c>
      <c r="B1762" t="s">
        <v>10</v>
      </c>
      <c r="C1762" t="s">
        <v>42</v>
      </c>
      <c r="D1762" t="str">
        <f>HYPERLINK("https://us2.cloudbeds.com/connect/10074733072513#/reservations/30652098789572?display=Michelle%20Wentzel&amp;reservation_id=30652098789572&amp;guest_id=30651796353157", "Michelle Wentzel")</f>
        <v>Michelle Wentzel</v>
      </c>
      <c r="E1762" t="s">
        <v>760</v>
      </c>
      <c r="F1762" t="s">
        <v>756</v>
      </c>
      <c r="G1762">
        <v>84.15</v>
      </c>
      <c r="H1762">
        <v>91.46</v>
      </c>
      <c r="I1762">
        <v>91.47</v>
      </c>
      <c r="J1762">
        <v>-0.01</v>
      </c>
    </row>
    <row r="1763" spans="1:10" x14ac:dyDescent="0.3">
      <c r="A1763" t="str">
        <f>HYPERLINK("https://us2.cloudbeds.com/connect/10074733072513#/reservations/30652124418250?display=YQ7AR7F9F&amp;reservation_id=30652124418250", "YQ7AR7F9F")</f>
        <v>YQ7AR7F9F</v>
      </c>
      <c r="B1763" t="s">
        <v>10</v>
      </c>
      <c r="C1763" t="s">
        <v>14</v>
      </c>
      <c r="D1763" t="str">
        <f>HYPERLINK("https://us2.cloudbeds.com/connect/10074733072513#/reservations/30652124418250?display=Mona%20Shores&amp;reservation_id=30652124418250&amp;guest_id=30652124418247", "Mona Shores")</f>
        <v>Mona Shores</v>
      </c>
      <c r="E1763" t="s">
        <v>761</v>
      </c>
      <c r="F1763" t="s">
        <v>756</v>
      </c>
      <c r="G1763">
        <v>64.150000000000006</v>
      </c>
      <c r="H1763">
        <v>69.72</v>
      </c>
      <c r="I1763">
        <v>69.73</v>
      </c>
      <c r="J1763">
        <v>-0.01</v>
      </c>
    </row>
    <row r="1764" spans="1:10" x14ac:dyDescent="0.3">
      <c r="A1764" t="str">
        <f>HYPERLINK("https://us2.cloudbeds.com/connect/10074733072513#/reservations/30652465168589?display=YQ7JHXBBA&amp;reservation_id=30652465168589", "YQ7JHXBBA")</f>
        <v>YQ7JHXBBA</v>
      </c>
      <c r="B1764" t="s">
        <v>10</v>
      </c>
      <c r="C1764" t="s">
        <v>42</v>
      </c>
      <c r="D1764" t="str">
        <f>HYPERLINK("https://us2.cloudbeds.com/connect/10074733072513#/reservations/30652465168589?display=Louanne%20Ludwig&amp;reservation_id=30652465168589&amp;guest_id=30652465168584", "Louanne Ludwig")</f>
        <v>Louanne Ludwig</v>
      </c>
      <c r="E1764" t="s">
        <v>765</v>
      </c>
      <c r="F1764" t="s">
        <v>766</v>
      </c>
      <c r="G1764">
        <v>80.099999999999994</v>
      </c>
      <c r="H1764">
        <v>87.06</v>
      </c>
      <c r="I1764">
        <v>87.07</v>
      </c>
      <c r="J1764">
        <v>-0.01</v>
      </c>
    </row>
    <row r="1765" spans="1:10" x14ac:dyDescent="0.3">
      <c r="A1765" t="str">
        <f>HYPERLINK("https://us2.cloudbeds.com/connect/10074733072513#/reservations/30650194325649?display=YQ5RGNQ3T&amp;reservation_id=30650194325649", "YQ5RGNQ3T")</f>
        <v>YQ5RGNQ3T</v>
      </c>
      <c r="B1765" t="s">
        <v>10</v>
      </c>
      <c r="C1765" t="s">
        <v>20</v>
      </c>
      <c r="D1765" t="str">
        <f>HYPERLINK("https://us2.cloudbeds.com/connect/10074733072513#/reservations/30650194325649?display=Brianna%20Schwab&amp;reservation_id=30650194325649&amp;guest_id=30650194325645", "Brianna Schwab")</f>
        <v>Brianna Schwab</v>
      </c>
      <c r="E1765" t="s">
        <v>767</v>
      </c>
      <c r="F1765" t="s">
        <v>768</v>
      </c>
      <c r="G1765">
        <v>268.2</v>
      </c>
      <c r="H1765">
        <v>291.52</v>
      </c>
      <c r="I1765">
        <v>291.52999999999997</v>
      </c>
      <c r="J1765">
        <v>-0.01</v>
      </c>
    </row>
    <row r="1766" spans="1:10" x14ac:dyDescent="0.3">
      <c r="A1766" t="str">
        <f>HYPERLINK("https://us2.cloudbeds.com/connect/10074733072513#/reservations/30650895335620?display=YQ6CDRE39&amp;reservation_id=30650895335620", "YQ6CDRE39")</f>
        <v>YQ6CDRE39</v>
      </c>
      <c r="B1766" t="s">
        <v>10</v>
      </c>
      <c r="C1766" t="s">
        <v>14</v>
      </c>
      <c r="D1766" t="str">
        <f>HYPERLINK("https://us2.cloudbeds.com/connect/10074733072513#/reservations/30650895335620?display=Joanna%20Crocker&amp;reservation_id=30650895335620&amp;guest_id=30650895335618", "Joanna Crocker")</f>
        <v>Joanna Crocker</v>
      </c>
      <c r="E1766" t="s">
        <v>771</v>
      </c>
      <c r="F1766" t="s">
        <v>772</v>
      </c>
      <c r="G1766">
        <v>64.150000000000006</v>
      </c>
      <c r="H1766">
        <v>69.72</v>
      </c>
      <c r="I1766">
        <v>69.73</v>
      </c>
      <c r="J1766">
        <v>-0.01</v>
      </c>
    </row>
    <row r="1767" spans="1:10" x14ac:dyDescent="0.3">
      <c r="A1767" t="str">
        <f>HYPERLINK("https://us2.cloudbeds.com/connect/10074733072513#/reservations/30650210386079?display=YQ5RU8MWJ&amp;reservation_id=30650210386079", "YQ5RU8MWJ")</f>
        <v>YQ5RU8MWJ</v>
      </c>
      <c r="B1767" t="s">
        <v>10</v>
      </c>
      <c r="C1767" t="s">
        <v>20</v>
      </c>
      <c r="D1767" t="str">
        <f>HYPERLINK("https://us2.cloudbeds.com/connect/10074733072513#/reservations/30650210386079?display=Derek%20Schafle&amp;reservation_id=30650210386079&amp;guest_id=30650210386076", "Derek Schafle")</f>
        <v>Derek Schafle</v>
      </c>
      <c r="E1767" t="s">
        <v>775</v>
      </c>
      <c r="F1767" t="s">
        <v>768</v>
      </c>
      <c r="G1767">
        <v>80.099999999999994</v>
      </c>
      <c r="H1767">
        <v>87.06</v>
      </c>
      <c r="I1767">
        <v>87.07</v>
      </c>
      <c r="J1767">
        <v>-0.01</v>
      </c>
    </row>
    <row r="1768" spans="1:10" x14ac:dyDescent="0.3">
      <c r="A1768" t="str">
        <f>HYPERLINK("https://us2.cloudbeds.com/connect/10074733072513#/reservations/30655008084215?display=YQ9XGQNZJ&amp;reservation_id=30655008084215", "YQ9XGQNZJ")</f>
        <v>YQ9XGQNZJ</v>
      </c>
      <c r="B1768" t="s">
        <v>10</v>
      </c>
      <c r="C1768" t="s">
        <v>11</v>
      </c>
      <c r="D1768" t="str">
        <f>HYPERLINK("https://us2.cloudbeds.com/connect/10074733072513#/reservations/30655008084215?display=Rachel%20Hinton&amp;reservation_id=30655008084215&amp;guest_id=30655008084210", "Rachel Hinton")</f>
        <v>Rachel Hinton</v>
      </c>
      <c r="E1768" t="s">
        <v>776</v>
      </c>
      <c r="F1768" t="s">
        <v>759</v>
      </c>
      <c r="G1768">
        <v>214.4</v>
      </c>
      <c r="H1768">
        <v>233.04</v>
      </c>
      <c r="I1768">
        <v>233.05</v>
      </c>
      <c r="J1768">
        <v>-0.01</v>
      </c>
    </row>
    <row r="1769" spans="1:10" x14ac:dyDescent="0.3">
      <c r="A1769" t="str">
        <f>HYPERLINK("https://us2.cloudbeds.com/connect/10074733072513#/reservations/30650966265992?display=YQ6E7Y5JG&amp;reservation_id=30650966265992", "YQ6E7Y5JG")</f>
        <v>YQ6E7Y5JG</v>
      </c>
      <c r="B1769" t="s">
        <v>10</v>
      </c>
      <c r="C1769" t="s">
        <v>11</v>
      </c>
      <c r="D1769" t="str">
        <f>HYPERLINK("https://us2.cloudbeds.com/connect/10074733072513#/reservations/30650966265992?display=Maria%20Goodman&amp;reservation_id=30650966265992&amp;guest_id=30650960105658", "Maria Goodman")</f>
        <v>Maria Goodman</v>
      </c>
      <c r="E1769" t="s">
        <v>777</v>
      </c>
      <c r="F1769" t="s">
        <v>679</v>
      </c>
      <c r="G1769">
        <v>64.150000000000006</v>
      </c>
      <c r="H1769">
        <v>69.72</v>
      </c>
      <c r="I1769">
        <v>69.73</v>
      </c>
      <c r="J1769">
        <v>-0.01</v>
      </c>
    </row>
    <row r="1770" spans="1:10" x14ac:dyDescent="0.3">
      <c r="A1770" t="str">
        <f>HYPERLINK("https://us2.cloudbeds.com/connect/10074733072513#/reservations/30651556573430?display=YQ6TADBBM&amp;reservation_id=30651556573430", "YQ6TADBBM")</f>
        <v>YQ6TADBBM</v>
      </c>
      <c r="B1770" t="s">
        <v>10</v>
      </c>
      <c r="C1770" t="s">
        <v>14</v>
      </c>
      <c r="D1770" t="str">
        <f>HYPERLINK("https://us2.cloudbeds.com/connect/10074733072513#/reservations/30651556573430?display=Shere%20Wright&amp;reservation_id=30651556573430&amp;guest_id=30651556573428", "Shere Wright")</f>
        <v>Shere Wright</v>
      </c>
      <c r="E1770" t="s">
        <v>778</v>
      </c>
      <c r="F1770" t="s">
        <v>779</v>
      </c>
      <c r="G1770">
        <v>64.150000000000006</v>
      </c>
      <c r="H1770">
        <v>69.72</v>
      </c>
      <c r="I1770">
        <v>69.73</v>
      </c>
      <c r="J1770">
        <v>-0.01</v>
      </c>
    </row>
    <row r="1771" spans="1:10" x14ac:dyDescent="0.3">
      <c r="A1771" t="str">
        <f>HYPERLINK("https://us2.cloudbeds.com/connect/10074733072513#/reservations/30651546747134?display=YQ6T23U44&amp;reservation_id=30651546747134", "YQ6T23U44")</f>
        <v>YQ6T23U44</v>
      </c>
      <c r="B1771" t="s">
        <v>10</v>
      </c>
      <c r="C1771" t="s">
        <v>42</v>
      </c>
      <c r="D1771" t="str">
        <f>HYPERLINK("https://us2.cloudbeds.com/connect/10074733072513#/reservations/30651546747134?display=Lynne%20Sharkle&amp;reservation_id=30651546747134&amp;guest_id=30651546747129", "Lynne Sharkle")</f>
        <v>Lynne Sharkle</v>
      </c>
      <c r="E1771" t="s">
        <v>780</v>
      </c>
      <c r="F1771" t="s">
        <v>779</v>
      </c>
      <c r="G1771">
        <v>80.099999999999994</v>
      </c>
      <c r="H1771">
        <v>87.06</v>
      </c>
      <c r="I1771">
        <v>87.07</v>
      </c>
      <c r="J1771">
        <v>-0.01</v>
      </c>
    </row>
    <row r="1772" spans="1:10" x14ac:dyDescent="0.3">
      <c r="A1772" t="str">
        <f>HYPERLINK("https://us2.cloudbeds.com/connect/10074733072513#/reservations/30650925297811?display=YQ6D635JF&amp;reservation_id=30650925297811", "YQ6D635JF")</f>
        <v>YQ6D635JF</v>
      </c>
      <c r="B1772" t="s">
        <v>10</v>
      </c>
      <c r="C1772" t="s">
        <v>14</v>
      </c>
      <c r="D1772" t="str">
        <f>HYPERLINK("https://us2.cloudbeds.com/connect/10074733072513#/reservations/30650925297811?display=Kari%20Lohr&amp;reservation_id=30650925297811&amp;guest_id=30650925297808", "Kari Lohr")</f>
        <v>Kari Lohr</v>
      </c>
      <c r="E1772" t="s">
        <v>782</v>
      </c>
      <c r="F1772" t="s">
        <v>772</v>
      </c>
      <c r="G1772">
        <v>64.150000000000006</v>
      </c>
      <c r="H1772">
        <v>69.72</v>
      </c>
      <c r="I1772">
        <v>69.73</v>
      </c>
      <c r="J1772">
        <v>-0.01</v>
      </c>
    </row>
    <row r="1773" spans="1:10" x14ac:dyDescent="0.3">
      <c r="A1773" t="str">
        <f>HYPERLINK("https://us2.cloudbeds.com/connect/10074733072513#/reservations/30654532632736?display=YQ96BTJ60&amp;reservation_id=30654532632736", "YQ96BTJ60")</f>
        <v>YQ96BTJ60</v>
      </c>
      <c r="B1773" t="s">
        <v>10</v>
      </c>
      <c r="C1773" t="s">
        <v>14</v>
      </c>
      <c r="D1773" t="str">
        <f>HYPERLINK("https://us2.cloudbeds.com/connect/10074733072513#/reservations/30654532632736?display=Luke%20Holzwarth&amp;reservation_id=30654532632736&amp;guest_id=30654532628651", "Luke Holzwarth")</f>
        <v>Luke Holzwarth</v>
      </c>
      <c r="E1773" t="s">
        <v>783</v>
      </c>
      <c r="F1773" t="s">
        <v>696</v>
      </c>
      <c r="G1773">
        <v>64.150000000000006</v>
      </c>
      <c r="H1773">
        <v>69.72</v>
      </c>
      <c r="I1773">
        <v>69.73</v>
      </c>
      <c r="J1773">
        <v>-0.01</v>
      </c>
    </row>
    <row r="1774" spans="1:10" x14ac:dyDescent="0.3">
      <c r="A1774" t="str">
        <f>HYPERLINK("https://us2.cloudbeds.com/connect/10074733072513#/reservations/30650966270106?display=YQ6E7Y9C5&amp;reservation_id=30650966270106", "YQ6E7Y9C5")</f>
        <v>YQ6E7Y9C5</v>
      </c>
      <c r="B1774" t="s">
        <v>10</v>
      </c>
      <c r="C1774" t="s">
        <v>14</v>
      </c>
      <c r="D1774" t="str">
        <f>HYPERLINK("https://us2.cloudbeds.com/connect/10074733072513#/reservations/30650966270106?display=Dan%20Cottrell&amp;reservation_id=30650966270106&amp;guest_id=30650966270104", "Dan Cottrell")</f>
        <v>Dan Cottrell</v>
      </c>
      <c r="E1774" t="s">
        <v>784</v>
      </c>
      <c r="F1774" t="s">
        <v>679</v>
      </c>
      <c r="G1774">
        <v>64.150000000000006</v>
      </c>
      <c r="H1774">
        <v>69.72</v>
      </c>
      <c r="I1774">
        <v>69.73</v>
      </c>
      <c r="J1774">
        <v>-0.01</v>
      </c>
    </row>
    <row r="1775" spans="1:10" x14ac:dyDescent="0.3">
      <c r="A1775" t="str">
        <f>HYPERLINK("https://us2.cloudbeds.com/connect/10074733072513#/reservations/30650606248134?display=YQ65124ME&amp;reservation_id=30650606248134", "YQ65124ME")</f>
        <v>YQ65124ME</v>
      </c>
      <c r="B1775" t="s">
        <v>10</v>
      </c>
      <c r="C1775" t="s">
        <v>20</v>
      </c>
      <c r="D1775" t="str">
        <f>HYPERLINK("https://us2.cloudbeds.com/connect/10074733072513#/reservations/30650606248134?display=Alex%20Rausch&amp;reservation_id=30650606248134&amp;guest_id=30650602315937", "Alex Rausch")</f>
        <v>Alex Rausch</v>
      </c>
      <c r="E1775" t="s">
        <v>787</v>
      </c>
      <c r="F1775" t="s">
        <v>788</v>
      </c>
      <c r="G1775">
        <v>80.099999999999994</v>
      </c>
      <c r="H1775">
        <v>87.06</v>
      </c>
      <c r="I1775">
        <v>87.07</v>
      </c>
      <c r="J1775">
        <v>-0.01</v>
      </c>
    </row>
    <row r="1776" spans="1:10" x14ac:dyDescent="0.3">
      <c r="A1776" t="str">
        <f>HYPERLINK("https://us2.cloudbeds.com/connect/10074733072513#/reservations/30652577538228?display=YQ7MDA6DT&amp;reservation_id=30652577538228", "YQ7MDA6DT")</f>
        <v>YQ7MDA6DT</v>
      </c>
      <c r="B1776" t="s">
        <v>10</v>
      </c>
      <c r="C1776" t="s">
        <v>42</v>
      </c>
      <c r="D1776" t="str">
        <f>HYPERLINK("https://us2.cloudbeds.com/connect/10074733072513#/reservations/30652577538228?display=Daniel%20Massey&amp;reservation_id=30652577538228&amp;guest_id=30652577538217", "Daniel Massey")</f>
        <v>Daniel Massey</v>
      </c>
      <c r="E1776" t="s">
        <v>789</v>
      </c>
      <c r="F1776" t="s">
        <v>696</v>
      </c>
      <c r="G1776">
        <v>186.2</v>
      </c>
      <c r="H1776">
        <v>202.39</v>
      </c>
      <c r="I1776">
        <v>202.4</v>
      </c>
      <c r="J1776">
        <v>-0.01</v>
      </c>
    </row>
    <row r="1777" spans="1:10" x14ac:dyDescent="0.3">
      <c r="A1777" t="str">
        <f>HYPERLINK("https://us2.cloudbeds.com/connect/10074733072513#/reservations/30651582177503?display=YQ6TVWQTY&amp;reservation_id=30651582177503", "YQ6TVWQTY")</f>
        <v>YQ6TVWQTY</v>
      </c>
      <c r="B1777" t="s">
        <v>10</v>
      </c>
      <c r="C1777" t="s">
        <v>20</v>
      </c>
      <c r="D1777" t="str">
        <f>HYPERLINK("https://us2.cloudbeds.com/connect/10074733072513#/reservations/30651582177503?display=Layon%20Schimke&amp;reservation_id=30651582177503&amp;guest_id=30651582177494", "Layon Schimke")</f>
        <v>Layon Schimke</v>
      </c>
      <c r="E1777" t="s">
        <v>790</v>
      </c>
      <c r="F1777" t="s">
        <v>791</v>
      </c>
      <c r="G1777">
        <v>80.099999999999994</v>
      </c>
      <c r="H1777">
        <v>87.06</v>
      </c>
      <c r="I1777">
        <v>87.07</v>
      </c>
      <c r="J1777">
        <v>-0.01</v>
      </c>
    </row>
    <row r="1778" spans="1:10" x14ac:dyDescent="0.3">
      <c r="A1778" t="str">
        <f>HYPERLINK("https://us2.cloudbeds.com/connect/10074733072513#/reservations/30651644625066?display=YQ6VXYGS2&amp;reservation_id=30651644625066", "YQ6VXYGS2")</f>
        <v>YQ6VXYGS2</v>
      </c>
      <c r="B1778" t="s">
        <v>10</v>
      </c>
      <c r="C1778" t="s">
        <v>14</v>
      </c>
      <c r="D1778" t="str">
        <f>HYPERLINK("https://us2.cloudbeds.com/connect/10074733072513#/reservations/30651644625066?display=Jerry%20Payne&amp;reservation_id=30651644625066&amp;guest_id=30648701055131", "Jerry Payne")</f>
        <v>Jerry Payne</v>
      </c>
      <c r="E1778" t="s">
        <v>567</v>
      </c>
      <c r="F1778" t="s">
        <v>792</v>
      </c>
      <c r="G1778">
        <v>64.150000000000006</v>
      </c>
      <c r="H1778">
        <v>69.72</v>
      </c>
      <c r="I1778">
        <v>69.73</v>
      </c>
      <c r="J1778">
        <v>-0.01</v>
      </c>
    </row>
    <row r="1779" spans="1:10" x14ac:dyDescent="0.3">
      <c r="A1779" t="str">
        <f>HYPERLINK("https://us2.cloudbeds.com/connect/10074733072513#/reservations/30653194793098?display=YQ855Q79U&amp;reservation_id=30653194793098", "YQ855Q79U")</f>
        <v>YQ855Q79U</v>
      </c>
      <c r="B1779" t="s">
        <v>10</v>
      </c>
      <c r="C1779" t="s">
        <v>20</v>
      </c>
      <c r="D1779" t="str">
        <f>HYPERLINK("https://us2.cloudbeds.com/connect/10074733072513#/reservations/30653194793098?display=First%20Name%20Not%20Provided%20Blom&amp;reservation_id=30653194793098&amp;guest_id=30653194793094", "First Name Not Provided Blom")</f>
        <v>First Name Not Provided Blom</v>
      </c>
      <c r="E1779" t="s">
        <v>793</v>
      </c>
      <c r="F1779" t="s">
        <v>794</v>
      </c>
      <c r="G1779">
        <v>134.1</v>
      </c>
      <c r="H1779">
        <v>145.76</v>
      </c>
      <c r="I1779">
        <v>145.77000000000001</v>
      </c>
      <c r="J1779">
        <v>-0.01</v>
      </c>
    </row>
    <row r="1780" spans="1:10" x14ac:dyDescent="0.3">
      <c r="A1780" t="str">
        <f>HYPERLINK("https://us2.cloudbeds.com/connect/10074733072513#/reservations/30651627008138?display=YQ6V3Q9MP&amp;reservation_id=30651627008138", "YQ6V3Q9MP")</f>
        <v>YQ6V3Q9MP</v>
      </c>
      <c r="B1780" t="s">
        <v>10</v>
      </c>
      <c r="C1780" t="s">
        <v>42</v>
      </c>
      <c r="D1780" t="str">
        <f>HYPERLINK("https://us2.cloudbeds.com/connect/10074733072513#/reservations/30651627008138?display=Dorothy%20Nygaard&amp;reservation_id=30651627008138&amp;guest_id=30651627008135", "Dorothy Nygaard")</f>
        <v>Dorothy Nygaard</v>
      </c>
      <c r="E1780" t="s">
        <v>795</v>
      </c>
      <c r="F1780" t="s">
        <v>792</v>
      </c>
      <c r="G1780">
        <v>80.099999999999994</v>
      </c>
      <c r="H1780">
        <v>87.06</v>
      </c>
      <c r="I1780">
        <v>87.07</v>
      </c>
      <c r="J1780">
        <v>-0.01</v>
      </c>
    </row>
    <row r="1781" spans="1:10" x14ac:dyDescent="0.3">
      <c r="A1781" t="str">
        <f>HYPERLINK("https://us2.cloudbeds.com/connect/10074733072513#/reservations/30656012222690?display=YQAB5HBY7&amp;reservation_id=30656012222690", "YQAB5HBY7")</f>
        <v>YQAB5HBY7</v>
      </c>
      <c r="B1781" t="s">
        <v>10</v>
      </c>
      <c r="C1781" t="s">
        <v>14</v>
      </c>
      <c r="D1781" t="str">
        <f>HYPERLINK("https://us2.cloudbeds.com/connect/10074733072513#/reservations/30656012222690?display=Emily%20Voelker&amp;reservation_id=30656012222690&amp;guest_id=30656004440262", "Emily Voelker")</f>
        <v>Emily Voelker</v>
      </c>
      <c r="E1781" t="s">
        <v>796</v>
      </c>
      <c r="F1781" t="s">
        <v>797</v>
      </c>
      <c r="G1781">
        <v>205.24</v>
      </c>
      <c r="H1781">
        <v>223.09</v>
      </c>
      <c r="I1781">
        <v>223.1</v>
      </c>
      <c r="J1781">
        <v>-0.01</v>
      </c>
    </row>
    <row r="1782" spans="1:10" x14ac:dyDescent="0.3">
      <c r="A1782" t="str">
        <f>HYPERLINK("https://us2.cloudbeds.com/connect/10074733072513#/reservations/30652572373208?display=YQ7M8VFH4&amp;reservation_id=30652572373208", "YQ7M8VFH4")</f>
        <v>YQ7M8VFH4</v>
      </c>
      <c r="B1782" t="s">
        <v>10</v>
      </c>
      <c r="C1782" t="s">
        <v>14</v>
      </c>
      <c r="D1782" t="str">
        <f>HYPERLINK("https://us2.cloudbeds.com/connect/10074733072513#/reservations/30652572373208?display=Weston%20Timm&amp;reservation_id=30652572373208&amp;guest_id=30652572373199", "Weston Timm")</f>
        <v>Weston Timm</v>
      </c>
      <c r="E1782" t="s">
        <v>798</v>
      </c>
      <c r="F1782" t="s">
        <v>786</v>
      </c>
      <c r="G1782">
        <v>64.150000000000006</v>
      </c>
      <c r="H1782">
        <v>69.72</v>
      </c>
      <c r="I1782">
        <v>69.73</v>
      </c>
      <c r="J1782">
        <v>-0.01</v>
      </c>
    </row>
    <row r="1783" spans="1:10" x14ac:dyDescent="0.3">
      <c r="A1783" t="str">
        <f>HYPERLINK("https://us2.cloudbeds.com/connect/10074733072513#/reservations/30654550753424?display=YQ96R5QUP&amp;reservation_id=30654550753424", "YQ96R5QUP")</f>
        <v>YQ96R5QUP</v>
      </c>
      <c r="B1783" t="s">
        <v>10</v>
      </c>
      <c r="C1783" t="s">
        <v>11</v>
      </c>
      <c r="D1783" t="str">
        <f>HYPERLINK("https://us2.cloudbeds.com/connect/10074733072513#/reservations/30654550753424?display=Bobby%20A%20Clay&amp;reservation_id=30654550753424&amp;guest_id=30654550753422", "Bobby A Clay")</f>
        <v>Bobby A Clay</v>
      </c>
      <c r="E1783" t="s">
        <v>799</v>
      </c>
      <c r="F1783" t="s">
        <v>696</v>
      </c>
      <c r="G1783">
        <v>87.2</v>
      </c>
      <c r="H1783">
        <v>94.78</v>
      </c>
      <c r="I1783">
        <v>94.79</v>
      </c>
      <c r="J1783">
        <v>-0.01</v>
      </c>
    </row>
    <row r="1784" spans="1:10" x14ac:dyDescent="0.3">
      <c r="A1784" t="str">
        <f>HYPERLINK("https://us2.cloudbeds.com/connect/10074733072513#/reservations/30655068410111?display=YQ9K1MCE1&amp;reservation_id=30655068410111", "YQ9K1MCE1")</f>
        <v>YQ9K1MCE1</v>
      </c>
      <c r="B1784" t="s">
        <v>10</v>
      </c>
      <c r="C1784" t="s">
        <v>11</v>
      </c>
      <c r="D1784" t="str">
        <f>HYPERLINK("https://us2.cloudbeds.com/connect/10074733072513#/reservations/30655068410111?display=Lisa%20Louise%20Fisher&amp;reservation_id=30655068410111&amp;guest_id=30655068410109", "Lisa Louise Fisher")</f>
        <v>Lisa Louise Fisher</v>
      </c>
      <c r="E1784" t="s">
        <v>800</v>
      </c>
      <c r="F1784" t="s">
        <v>801</v>
      </c>
      <c r="G1784">
        <v>333.6</v>
      </c>
      <c r="H1784">
        <v>362.61</v>
      </c>
      <c r="I1784">
        <v>362.62</v>
      </c>
      <c r="J1784">
        <v>-0.01</v>
      </c>
    </row>
    <row r="1785" spans="1:10" x14ac:dyDescent="0.3">
      <c r="A1785" t="str">
        <f>HYPERLINK("https://us2.cloudbeds.com/connect/10074733072513#/reservations/30652582011016?display=YQ7MH2YYU&amp;reservation_id=30652582011016", "YQ7MH2YYU")</f>
        <v>YQ7MH2YYU</v>
      </c>
      <c r="B1785" t="s">
        <v>10</v>
      </c>
      <c r="C1785" t="s">
        <v>14</v>
      </c>
      <c r="D1785" t="str">
        <f>HYPERLINK("https://us2.cloudbeds.com/connect/10074733072513#/reservations/30652582011016?display=Kathryn%20Luzmoor&amp;reservation_id=30652582011016&amp;guest_id=30652577538226", "Kathryn Luzmoor")</f>
        <v>Kathryn Luzmoor</v>
      </c>
      <c r="E1785" t="s">
        <v>802</v>
      </c>
      <c r="F1785" t="s">
        <v>786</v>
      </c>
      <c r="G1785">
        <v>64.150000000000006</v>
      </c>
      <c r="H1785">
        <v>69.72</v>
      </c>
      <c r="I1785">
        <v>69.73</v>
      </c>
      <c r="J1785">
        <v>-0.01</v>
      </c>
    </row>
    <row r="1786" spans="1:10" x14ac:dyDescent="0.3">
      <c r="A1786" t="str">
        <f>HYPERLINK("https://us2.cloudbeds.com/connect/10074733072513#/reservations/30652582015123?display=YQ7MH2PEC&amp;reservation_id=30652582015123", "YQ7MH2PEC")</f>
        <v>YQ7MH2PEC</v>
      </c>
      <c r="B1786" t="s">
        <v>10</v>
      </c>
      <c r="C1786" t="s">
        <v>14</v>
      </c>
      <c r="D1786" t="str">
        <f>HYPERLINK("https://us2.cloudbeds.com/connect/10074733072513#/reservations/30652582015123?display=Alex%20Dillabough&amp;reservation_id=30652582015123&amp;guest_id=30652582015120", "Alex Dillabough")</f>
        <v>Alex Dillabough</v>
      </c>
      <c r="E1786" t="s">
        <v>803</v>
      </c>
      <c r="F1786" t="s">
        <v>786</v>
      </c>
      <c r="G1786">
        <v>72.17</v>
      </c>
      <c r="H1786">
        <v>78.44</v>
      </c>
      <c r="I1786">
        <v>78.45</v>
      </c>
      <c r="J1786">
        <v>-0.01</v>
      </c>
    </row>
    <row r="1787" spans="1:10" x14ac:dyDescent="0.3">
      <c r="A1787" t="str">
        <f>HYPERLINK("https://us2.cloudbeds.com/connect/10074733072513#/reservations/30654641168547?display=YQ994DZZW&amp;reservation_id=30654641168547", "YQ994DZZW")</f>
        <v>YQ994DZZW</v>
      </c>
      <c r="B1787" t="s">
        <v>10</v>
      </c>
      <c r="C1787" t="s">
        <v>14</v>
      </c>
      <c r="D1787" t="str">
        <f>HYPERLINK("https://us2.cloudbeds.com/connect/10074733072513#/reservations/30654641168547?display=Chris%20Edmonds&amp;reservation_id=30654641168547&amp;guest_id=30646291685594", "Chris Edmonds")</f>
        <v>Chris Edmonds</v>
      </c>
      <c r="E1787" t="s">
        <v>804</v>
      </c>
      <c r="F1787" t="s">
        <v>805</v>
      </c>
      <c r="G1787">
        <v>134.78</v>
      </c>
      <c r="H1787">
        <v>146.5</v>
      </c>
      <c r="I1787">
        <v>146.51</v>
      </c>
      <c r="J1787">
        <v>-0.01</v>
      </c>
    </row>
    <row r="1788" spans="1:10" x14ac:dyDescent="0.3">
      <c r="A1788" t="str">
        <f>HYPERLINK("https://us2.cloudbeds.com/connect/10074733072513#/reservations/30651234066627?display=YQ6Y2F3S8&amp;reservation_id=30651234066627", "YQ6Y2F3S8")</f>
        <v>YQ6Y2F3S8</v>
      </c>
      <c r="B1788" t="s">
        <v>10</v>
      </c>
      <c r="C1788" t="s">
        <v>20</v>
      </c>
      <c r="D1788" t="str">
        <f>HYPERLINK("https://us2.cloudbeds.com/connect/10074733072513#/reservations/30651234066627?display=Austin%20Grosz&amp;reservation_id=30651234066627&amp;guest_id=30651229966494", "Austin Grosz")</f>
        <v>Austin Grosz</v>
      </c>
      <c r="E1788" t="s">
        <v>806</v>
      </c>
      <c r="F1788" t="s">
        <v>807</v>
      </c>
      <c r="G1788">
        <v>90.1</v>
      </c>
      <c r="H1788">
        <v>97.93</v>
      </c>
      <c r="I1788">
        <v>97.94</v>
      </c>
      <c r="J1788">
        <v>-0.01</v>
      </c>
    </row>
    <row r="1789" spans="1:10" x14ac:dyDescent="0.3">
      <c r="A1789" t="str">
        <f>HYPERLINK("https://us2.cloudbeds.com/connect/10074733072513#/reservations/30651210764458?display=YQ6KFQN2U&amp;reservation_id=30651210764458", "YQ6KFQN2U")</f>
        <v>YQ6KFQN2U</v>
      </c>
      <c r="B1789" t="s">
        <v>10</v>
      </c>
      <c r="C1789" t="s">
        <v>11</v>
      </c>
      <c r="D1789" t="str">
        <f>HYPERLINK("https://us2.cloudbeds.com/connect/10074733072513#/reservations/30651210764458?display=Melissa%20Kees&amp;reservation_id=30651210764458&amp;guest_id=30651210764456", "Melissa Kees")</f>
        <v>Melissa Kees</v>
      </c>
      <c r="E1789" t="s">
        <v>808</v>
      </c>
      <c r="F1789" t="s">
        <v>807</v>
      </c>
      <c r="G1789">
        <v>64.150000000000006</v>
      </c>
      <c r="H1789">
        <v>69.72</v>
      </c>
      <c r="I1789">
        <v>69.73</v>
      </c>
      <c r="J1789">
        <v>-0.01</v>
      </c>
    </row>
    <row r="1790" spans="1:10" x14ac:dyDescent="0.3">
      <c r="A1790" t="str">
        <f>HYPERLINK("https://us2.cloudbeds.com/connect/10074733072513#/reservations/30653260419218?display=YQ86S4C17&amp;reservation_id=30653260419218", "YQ86S4C17")</f>
        <v>YQ86S4C17</v>
      </c>
      <c r="B1790" t="s">
        <v>10</v>
      </c>
      <c r="C1790" t="s">
        <v>42</v>
      </c>
      <c r="D1790" t="str">
        <f>HYPERLINK("https://us2.cloudbeds.com/connect/10074733072513#/reservations/30653260419218?display=Glenda%20Ricklefs&amp;reservation_id=30653260419218&amp;guest_id=30653260419214", "Glenda Ricklefs")</f>
        <v>Glenda Ricklefs</v>
      </c>
      <c r="E1790" t="s">
        <v>811</v>
      </c>
      <c r="F1790" t="s">
        <v>812</v>
      </c>
      <c r="G1790">
        <v>80.099999999999994</v>
      </c>
      <c r="H1790">
        <v>87.06</v>
      </c>
      <c r="I1790">
        <v>87.07</v>
      </c>
      <c r="J1790">
        <v>-0.01</v>
      </c>
    </row>
    <row r="1791" spans="1:10" x14ac:dyDescent="0.3">
      <c r="A1791" t="str">
        <f>HYPERLINK("https://us2.cloudbeds.com/connect/10074733072513#/reservations/30651848880375?display=YQ73PT73T&amp;reservation_id=30651848880375", "YQ73PT73T")</f>
        <v>YQ73PT73T</v>
      </c>
      <c r="B1791" t="s">
        <v>10</v>
      </c>
      <c r="C1791" t="s">
        <v>42</v>
      </c>
      <c r="D1791" t="str">
        <f>HYPERLINK("https://us2.cloudbeds.com/connect/10074733072513#/reservations/30651848880375?display=John%20Meligan&amp;reservation_id=30651848880375&amp;guest_id=30651848880366", "John Meligan")</f>
        <v>John Meligan</v>
      </c>
      <c r="E1791" t="s">
        <v>814</v>
      </c>
      <c r="F1791" t="s">
        <v>749</v>
      </c>
      <c r="G1791">
        <v>83.2</v>
      </c>
      <c r="H1791">
        <v>90.43</v>
      </c>
      <c r="I1791">
        <v>90.44</v>
      </c>
      <c r="J1791">
        <v>-0.01</v>
      </c>
    </row>
    <row r="1792" spans="1:10" x14ac:dyDescent="0.3">
      <c r="A1792" t="str">
        <f>HYPERLINK("https://us2.cloudbeds.com/connect/10074733072513#/reservations/30651319460064?display=YQ6N8FAD5&amp;reservation_id=30651319460064", "YQ6N8FAD5")</f>
        <v>YQ6N8FAD5</v>
      </c>
      <c r="B1792" t="s">
        <v>10</v>
      </c>
      <c r="C1792" t="s">
        <v>14</v>
      </c>
      <c r="D1792" t="str">
        <f>HYPERLINK("https://us2.cloudbeds.com/connect/10074733072513#/reservations/30651319460064?display=Nick%20Peterson&amp;reservation_id=30651319460064&amp;guest_id=30651319460055", "Nick Peterson")</f>
        <v>Nick Peterson</v>
      </c>
      <c r="E1792" t="s">
        <v>815</v>
      </c>
      <c r="F1792" t="s">
        <v>816</v>
      </c>
      <c r="G1792">
        <v>67.2</v>
      </c>
      <c r="H1792">
        <v>73.040000000000006</v>
      </c>
      <c r="I1792">
        <v>73.05</v>
      </c>
      <c r="J1792">
        <v>-0.01</v>
      </c>
    </row>
    <row r="1793" spans="1:10" x14ac:dyDescent="0.3">
      <c r="A1793" t="str">
        <f>HYPERLINK("https://us2.cloudbeds.com/connect/10074733072513#/reservations/30651760861346?display=YQ71HYVXJ&amp;reservation_id=30651760861346", "YQ71HYVXJ")</f>
        <v>YQ71HYVXJ</v>
      </c>
      <c r="B1793" t="s">
        <v>10</v>
      </c>
      <c r="C1793" t="s">
        <v>14</v>
      </c>
      <c r="D1793" t="str">
        <f>HYPERLINK("https://us2.cloudbeds.com/connect/10074733072513#/reservations/30651760861346?display=Shelley%20Vinck&amp;reservation_id=30651760861346&amp;guest_id=30651760861342", "Shelley Vinck")</f>
        <v>Shelley Vinck</v>
      </c>
      <c r="E1793" t="s">
        <v>817</v>
      </c>
      <c r="F1793" t="s">
        <v>818</v>
      </c>
      <c r="G1793">
        <v>64.150000000000006</v>
      </c>
      <c r="H1793">
        <v>69.72</v>
      </c>
      <c r="I1793">
        <v>69.73</v>
      </c>
      <c r="J1793">
        <v>-0.01</v>
      </c>
    </row>
    <row r="1794" spans="1:10" x14ac:dyDescent="0.3">
      <c r="A1794" t="str">
        <f>HYPERLINK("https://us2.cloudbeds.com/connect/10074733072513#/reservations/30651768357019?display=YQ71NWHY6&amp;reservation_id=30651768357019", "YQ71NWHY6")</f>
        <v>YQ71NWHY6</v>
      </c>
      <c r="B1794" t="s">
        <v>10</v>
      </c>
      <c r="C1794" t="s">
        <v>14</v>
      </c>
      <c r="D1794" t="str">
        <f>HYPERLINK("https://us2.cloudbeds.com/connect/10074733072513#/reservations/30651768357019?display=Sandra%20Williford&amp;reservation_id=30651768357019&amp;guest_id=30651768357017", "Sandra Williford")</f>
        <v>Sandra Williford</v>
      </c>
      <c r="E1794" t="s">
        <v>819</v>
      </c>
      <c r="F1794" t="s">
        <v>818</v>
      </c>
      <c r="G1794">
        <v>64.150000000000006</v>
      </c>
      <c r="H1794">
        <v>69.72</v>
      </c>
      <c r="I1794">
        <v>69.73</v>
      </c>
      <c r="J1794">
        <v>-0.01</v>
      </c>
    </row>
    <row r="1795" spans="1:10" x14ac:dyDescent="0.3">
      <c r="A1795" t="str">
        <f>HYPERLINK("https://us2.cloudbeds.com/connect/10074733072513#/reservations/30650748022932?display=YQ68YK7ZE&amp;reservation_id=30650748022932", "YQ68YK7ZE")</f>
        <v>YQ68YK7ZE</v>
      </c>
      <c r="B1795" t="s">
        <v>10</v>
      </c>
      <c r="C1795" t="s">
        <v>42</v>
      </c>
      <c r="D1795" t="str">
        <f>HYPERLINK("https://us2.cloudbeds.com/connect/10074733072513#/reservations/30650748022932?display=Linda%20Merkwan&amp;reservation_id=30650748022932&amp;guest_id=30650744324258", "Linda Merkwan")</f>
        <v>Linda Merkwan</v>
      </c>
      <c r="E1795" t="s">
        <v>820</v>
      </c>
      <c r="F1795" t="s">
        <v>821</v>
      </c>
      <c r="G1795">
        <v>375.3</v>
      </c>
      <c r="H1795">
        <v>407.94</v>
      </c>
      <c r="I1795">
        <v>407.95</v>
      </c>
      <c r="J1795">
        <v>-0.01</v>
      </c>
    </row>
    <row r="1796" spans="1:10" x14ac:dyDescent="0.3">
      <c r="A1796" t="str">
        <f>HYPERLINK("https://us2.cloudbeds.com/connect/10074733072513#/reservations/30650709917923?display=YQ67MFTU6&amp;reservation_id=30650709917923", "YQ67MFTU6")</f>
        <v>YQ67MFTU6</v>
      </c>
      <c r="B1796" t="s">
        <v>10</v>
      </c>
      <c r="C1796" t="s">
        <v>23</v>
      </c>
      <c r="D1796" t="str">
        <f>HYPERLINK("https://us2.cloudbeds.com/connect/10074733072513#/reservations/30650709917923?display=Susan%20Steele&amp;reservation_id=30650709917923&amp;guest_id=30650709913838", "Susan Steele")</f>
        <v>Susan Steele</v>
      </c>
      <c r="E1796" t="s">
        <v>822</v>
      </c>
      <c r="F1796" t="s">
        <v>821</v>
      </c>
      <c r="G1796">
        <v>187.2</v>
      </c>
      <c r="H1796">
        <v>203.48</v>
      </c>
      <c r="I1796">
        <v>203.49</v>
      </c>
      <c r="J1796">
        <v>-0.01</v>
      </c>
    </row>
    <row r="1797" spans="1:10" x14ac:dyDescent="0.3">
      <c r="A1797" t="str">
        <f>HYPERLINK("https://us2.cloudbeds.com/connect/10074733072513#/reservations/30653080096910?display=YQ8282KQS&amp;reservation_id=30653080096910", "YQ8282KQS")</f>
        <v>YQ8282KQS</v>
      </c>
      <c r="B1797" t="s">
        <v>10</v>
      </c>
      <c r="C1797" t="s">
        <v>20</v>
      </c>
      <c r="D1797" t="str">
        <f>HYPERLINK("https://us2.cloudbeds.com/connect/10074733072513#/reservations/30653080096910?display=Rebecca%20Buesgen&amp;reservation_id=30653080096910&amp;guest_id=30653073531053", "Rebecca Buesgen")</f>
        <v>Rebecca Buesgen</v>
      </c>
      <c r="E1797" t="s">
        <v>823</v>
      </c>
      <c r="F1797" t="s">
        <v>821</v>
      </c>
      <c r="G1797">
        <v>170.2</v>
      </c>
      <c r="H1797">
        <v>185</v>
      </c>
      <c r="I1797">
        <v>185.01</v>
      </c>
      <c r="J1797">
        <v>-0.01</v>
      </c>
    </row>
    <row r="1798" spans="1:10" x14ac:dyDescent="0.3">
      <c r="A1798" t="str">
        <f>HYPERLINK("https://us2.cloudbeds.com/connect/10074733072513#/reservations/30650736959708?display=YQ68C9CM7&amp;reservation_id=30650736959708", "YQ68C9CM7")</f>
        <v>YQ68C9CM7</v>
      </c>
      <c r="B1798" t="s">
        <v>10</v>
      </c>
      <c r="C1798" t="s">
        <v>14</v>
      </c>
      <c r="D1798" t="str">
        <f>HYPERLINK("https://us2.cloudbeds.com/connect/10074733072513#/reservations/30650736959708?display=Macie%20Harris&amp;reservation_id=30650736959708&amp;guest_id=30650732204249", "Macie Harris")</f>
        <v>Macie Harris</v>
      </c>
      <c r="E1798" t="s">
        <v>825</v>
      </c>
      <c r="F1798" t="s">
        <v>821</v>
      </c>
      <c r="G1798">
        <v>64.150000000000006</v>
      </c>
      <c r="H1798">
        <v>69.72</v>
      </c>
      <c r="I1798">
        <v>69.73</v>
      </c>
      <c r="J1798">
        <v>-0.01</v>
      </c>
    </row>
    <row r="1799" spans="1:10" x14ac:dyDescent="0.3">
      <c r="A1799" t="str">
        <f>HYPERLINK("https://us2.cloudbeds.com/connect/10074733072513#/reservations/30651345658079?display=YQ6NUXABD&amp;reservation_id=30651345658079", "YQ6NUXABD")</f>
        <v>YQ6NUXABD</v>
      </c>
      <c r="B1799" t="s">
        <v>10</v>
      </c>
      <c r="C1799" t="s">
        <v>14</v>
      </c>
      <c r="D1799" t="str">
        <f>HYPERLINK("https://us2.cloudbeds.com/connect/10074733072513#/reservations/30651345658079?display=Johnnie%20Lau&amp;reservation_id=30651345658079&amp;guest_id=30651345658077", "Johnnie Lau")</f>
        <v>Johnnie Lau</v>
      </c>
      <c r="E1799" t="s">
        <v>826</v>
      </c>
      <c r="F1799" t="s">
        <v>827</v>
      </c>
      <c r="G1799">
        <v>134.4</v>
      </c>
      <c r="H1799">
        <v>146.08000000000001</v>
      </c>
      <c r="I1799">
        <v>146.09</v>
      </c>
      <c r="J1799">
        <v>-0.01</v>
      </c>
    </row>
    <row r="1800" spans="1:10" x14ac:dyDescent="0.3">
      <c r="A1800" t="str">
        <f>HYPERLINK("https://us2.cloudbeds.com/connect/10074733072513#/reservations/30652173459597?display=YQ7C2J3YT&amp;reservation_id=30652173459597", "YQ7C2J3YT")</f>
        <v>YQ7C2J3YT</v>
      </c>
      <c r="B1800" t="s">
        <v>10</v>
      </c>
      <c r="C1800" t="s">
        <v>20</v>
      </c>
      <c r="D1800" t="str">
        <f>HYPERLINK("https://us2.cloudbeds.com/connect/10074733072513#/reservations/30652173459597?display=Danielle%20Vanbemmel&amp;reservation_id=30652173459597&amp;guest_id=30652173459595", "Danielle Vanbemmel")</f>
        <v>Danielle Vanbemmel</v>
      </c>
      <c r="E1800" t="s">
        <v>829</v>
      </c>
      <c r="F1800" t="s">
        <v>830</v>
      </c>
      <c r="G1800">
        <v>250.2</v>
      </c>
      <c r="H1800">
        <v>271.95999999999998</v>
      </c>
      <c r="I1800">
        <v>271.97000000000003</v>
      </c>
      <c r="J1800">
        <v>-0.01</v>
      </c>
    </row>
    <row r="1801" spans="1:10" x14ac:dyDescent="0.3">
      <c r="A1801" t="str">
        <f>HYPERLINK("https://us2.cloudbeds.com/connect/10074733072513#/reservations/30651429335186?display=YQ6Q23ZRA&amp;reservation_id=30651429335186", "YQ6Q23ZRA")</f>
        <v>YQ6Q23ZRA</v>
      </c>
      <c r="B1801" t="s">
        <v>10</v>
      </c>
      <c r="C1801" t="s">
        <v>11</v>
      </c>
      <c r="D1801" t="str">
        <f>HYPERLINK("https://us2.cloudbeds.com/connect/10074733072513#/reservations/30651429335186?display=Daniel%20A%20Doeden&amp;reservation_id=30651429335186&amp;guest_id=30651425771775", "Daniel A Doeden")</f>
        <v>Daniel A Doeden</v>
      </c>
      <c r="E1801" t="s">
        <v>831</v>
      </c>
      <c r="F1801" t="s">
        <v>832</v>
      </c>
      <c r="G1801">
        <v>64.150000000000006</v>
      </c>
      <c r="H1801">
        <v>69.72</v>
      </c>
      <c r="I1801">
        <v>69.73</v>
      </c>
      <c r="J1801">
        <v>-0.01</v>
      </c>
    </row>
    <row r="1802" spans="1:10" x14ac:dyDescent="0.3">
      <c r="A1802" t="str">
        <f>HYPERLINK("https://us2.cloudbeds.com/connect/10074733072513#/reservations/30651425771713?display=YQ6PW3JJ9&amp;reservation_id=30651425771713", "YQ6PW3JJ9")</f>
        <v>YQ6PW3JJ9</v>
      </c>
      <c r="B1802" t="s">
        <v>10</v>
      </c>
      <c r="C1802" t="s">
        <v>14</v>
      </c>
      <c r="D1802" t="str">
        <f>HYPERLINK("https://us2.cloudbeds.com/connect/10074733072513#/reservations/30651425771713?display=Jacqueline%20Groeneveld&amp;reservation_id=30651425771713&amp;guest_id=30651420860568", "Jacqueline Groeneveld")</f>
        <v>Jacqueline Groeneveld</v>
      </c>
      <c r="E1802" t="s">
        <v>833</v>
      </c>
      <c r="F1802" t="s">
        <v>832</v>
      </c>
      <c r="G1802">
        <v>64.150000000000006</v>
      </c>
      <c r="H1802">
        <v>69.72</v>
      </c>
      <c r="I1802">
        <v>69.73</v>
      </c>
      <c r="J1802">
        <v>-0.01</v>
      </c>
    </row>
    <row r="1803" spans="1:10" x14ac:dyDescent="0.3">
      <c r="A1803" t="str">
        <f>HYPERLINK("https://us2.cloudbeds.com/connect/10074733072513#/reservations/30651394773233?display=YQ6P5W0GD&amp;reservation_id=30651394773233", "YQ6P5W0GD")</f>
        <v>YQ6P5W0GD</v>
      </c>
      <c r="B1803" t="s">
        <v>10</v>
      </c>
      <c r="C1803" t="s">
        <v>14</v>
      </c>
      <c r="D1803" t="str">
        <f>HYPERLINK("https://us2.cloudbeds.com/connect/10074733072513#/reservations/30651394773233?display=Pam%20Moss&amp;reservation_id=30651394773233&amp;guest_id=30651394773231", "Pam Moss")</f>
        <v>Pam Moss</v>
      </c>
      <c r="E1803" t="s">
        <v>834</v>
      </c>
      <c r="F1803" t="s">
        <v>643</v>
      </c>
      <c r="G1803">
        <v>64.150000000000006</v>
      </c>
      <c r="H1803">
        <v>69.72</v>
      </c>
      <c r="I1803">
        <v>69.73</v>
      </c>
      <c r="J1803">
        <v>-0.01</v>
      </c>
    </row>
    <row r="1804" spans="1:10" x14ac:dyDescent="0.3">
      <c r="A1804" t="str">
        <f>HYPERLINK("https://us2.cloudbeds.com/connect/10074733072513#/reservations/30653502701787?display=YQ8D1E7Z8&amp;reservation_id=30653502701787", "YQ8D1E7Z8")</f>
        <v>YQ8D1E7Z8</v>
      </c>
      <c r="B1804" t="s">
        <v>10</v>
      </c>
      <c r="C1804" t="s">
        <v>42</v>
      </c>
      <c r="D1804" t="str">
        <f>HYPERLINK("https://us2.cloudbeds.com/connect/10074733072513#/reservations/30653502701787?display=Carrie%20Klock&amp;reservation_id=30653502701787&amp;guest_id=30653502697685", "Carrie Klock")</f>
        <v>Carrie Klock</v>
      </c>
      <c r="E1804" t="s">
        <v>835</v>
      </c>
      <c r="F1804" t="s">
        <v>836</v>
      </c>
      <c r="G1804">
        <v>250.2</v>
      </c>
      <c r="H1804">
        <v>271.95999999999998</v>
      </c>
      <c r="I1804">
        <v>271.97000000000003</v>
      </c>
      <c r="J1804">
        <v>-0.01</v>
      </c>
    </row>
    <row r="1805" spans="1:10" x14ac:dyDescent="0.3">
      <c r="A1805" t="str">
        <f>HYPERLINK("https://us2.cloudbeds.com/connect/10074733072513#/reservations/30651435430048?display=YQ6Q78BJ3&amp;reservation_id=30651435430048", "YQ6Q78BJ3")</f>
        <v>YQ6Q78BJ3</v>
      </c>
      <c r="B1805" t="s">
        <v>10</v>
      </c>
      <c r="C1805" t="s">
        <v>14</v>
      </c>
      <c r="D1805" t="str">
        <f>HYPERLINK("https://us2.cloudbeds.com/connect/10074733072513#/reservations/30651435430048?display=Emily%20Kabeiseman&amp;reservation_id=30651435430048&amp;guest_id=30651435425967", "Emily Kabeiseman")</f>
        <v>Emily Kabeiseman</v>
      </c>
      <c r="E1805" t="s">
        <v>837</v>
      </c>
      <c r="F1805" t="s">
        <v>832</v>
      </c>
      <c r="G1805">
        <v>72.17</v>
      </c>
      <c r="H1805">
        <v>78.44</v>
      </c>
      <c r="I1805">
        <v>78.45</v>
      </c>
      <c r="J1805">
        <v>-0.01</v>
      </c>
    </row>
    <row r="1806" spans="1:10" x14ac:dyDescent="0.3">
      <c r="A1806" t="str">
        <f>HYPERLINK("https://us2.cloudbeds.com/connect/10074733072513#/reservations/30652197163157?display=YQ7CMXN0J&amp;reservation_id=30652197163157", "YQ7CMXN0J")</f>
        <v>YQ7CMXN0J</v>
      </c>
      <c r="B1806" t="s">
        <v>10</v>
      </c>
      <c r="C1806" t="s">
        <v>11</v>
      </c>
      <c r="D1806" t="str">
        <f>HYPERLINK("https://us2.cloudbeds.com/connect/10074733072513#/reservations/30652197163157?display=Bracy%20Byers&amp;reservation_id=30652197163157&amp;guest_id=30652197163155", "Bracy Byers")</f>
        <v>Bracy Byers</v>
      </c>
      <c r="E1806" t="s">
        <v>838</v>
      </c>
      <c r="F1806" t="s">
        <v>830</v>
      </c>
      <c r="G1806">
        <v>180.14</v>
      </c>
      <c r="H1806">
        <v>195.8</v>
      </c>
      <c r="I1806">
        <v>195.81</v>
      </c>
      <c r="J1806">
        <v>-0.01</v>
      </c>
    </row>
    <row r="1807" spans="1:10" x14ac:dyDescent="0.3">
      <c r="A1807" t="str">
        <f>HYPERLINK("https://us2.cloudbeds.com/connect/10074733072513#/reservations/30651016831169?display=YQ6FH978J&amp;reservation_id=30651016831169", "YQ6FH978J")</f>
        <v>YQ6FH978J</v>
      </c>
      <c r="B1807" t="s">
        <v>10</v>
      </c>
      <c r="C1807" t="s">
        <v>11</v>
      </c>
      <c r="D1807" t="str">
        <f>HYPERLINK("https://us2.cloudbeds.com/connect/10074733072513#/reservations/30651016831169?display=Miranda%20Graves&amp;reservation_id=30651016831169&amp;guest_id=30651016827085", "Miranda Graves")</f>
        <v>Miranda Graves</v>
      </c>
      <c r="E1807" t="s">
        <v>839</v>
      </c>
      <c r="F1807" t="s">
        <v>840</v>
      </c>
      <c r="G1807">
        <v>64.150000000000006</v>
      </c>
      <c r="H1807">
        <v>69.72</v>
      </c>
      <c r="I1807">
        <v>69.73</v>
      </c>
      <c r="J1807">
        <v>-0.01</v>
      </c>
    </row>
    <row r="1808" spans="1:10" x14ac:dyDescent="0.3">
      <c r="A1808" t="str">
        <f>HYPERLINK("https://us2.cloudbeds.com/connect/10074733072513#/reservations/30655168458902?display=YQ9MK1CJJ&amp;reservation_id=30655168458902", "YQ9MK1CJJ")</f>
        <v>YQ9MK1CJJ</v>
      </c>
      <c r="B1808" t="s">
        <v>10</v>
      </c>
      <c r="C1808" t="s">
        <v>14</v>
      </c>
      <c r="D1808" t="str">
        <f>HYPERLINK("https://us2.cloudbeds.com/connect/10074733072513#/reservations/30655168458902?display=Chris%20Krueger&amp;reservation_id=30655168458902&amp;guest_id=30655168458890", "Chris Krueger")</f>
        <v>Chris Krueger</v>
      </c>
      <c r="E1808" t="s">
        <v>815</v>
      </c>
      <c r="F1808" t="s">
        <v>841</v>
      </c>
      <c r="G1808">
        <v>64.150000000000006</v>
      </c>
      <c r="H1808">
        <v>69.72</v>
      </c>
      <c r="I1808">
        <v>69.73</v>
      </c>
      <c r="J1808">
        <v>-0.01</v>
      </c>
    </row>
    <row r="1809" spans="1:10" x14ac:dyDescent="0.3">
      <c r="A1809" t="str">
        <f>HYPERLINK("https://us2.cloudbeds.com/connect/10074733072513#/reservations/30655163900100?display=YQ9MG6HC2&amp;reservation_id=30655163900100", "YQ9MG6HC2")</f>
        <v>YQ9MG6HC2</v>
      </c>
      <c r="B1809" t="s">
        <v>10</v>
      </c>
      <c r="C1809" t="s">
        <v>14</v>
      </c>
      <c r="D1809" t="str">
        <f>HYPERLINK("https://us2.cloudbeds.com/connect/10074733072513#/reservations/30655163900100?display=Jonathan%20Honken&amp;reservation_id=30655163900100&amp;guest_id=30655163900098", "Jonathan Honken")</f>
        <v>Jonathan Honken</v>
      </c>
      <c r="E1809" t="s">
        <v>815</v>
      </c>
      <c r="F1809" t="s">
        <v>841</v>
      </c>
      <c r="G1809">
        <v>64.150000000000006</v>
      </c>
      <c r="H1809">
        <v>69.72</v>
      </c>
      <c r="I1809">
        <v>69.73</v>
      </c>
      <c r="J1809">
        <v>-0.01</v>
      </c>
    </row>
    <row r="1810" spans="1:10" x14ac:dyDescent="0.3">
      <c r="A1810" t="str">
        <f>HYPERLINK("https://us2.cloudbeds.com/connect/10074733072513#/reservations/30653393358995?display=YQ8A87K4A&amp;reservation_id=30653393358995", "YQ8A87K4A")</f>
        <v>YQ8A87K4A</v>
      </c>
      <c r="B1810" t="s">
        <v>10</v>
      </c>
      <c r="C1810" t="s">
        <v>23</v>
      </c>
      <c r="D1810" t="str">
        <f>HYPERLINK("https://us2.cloudbeds.com/connect/10074733072513#/reservations/30653393358995?display=Marilyn%20Froh&amp;reservation_id=30653393358995&amp;guest_id=30653393358993", "Marilyn Froh")</f>
        <v>Marilyn Froh</v>
      </c>
      <c r="E1810" t="s">
        <v>842</v>
      </c>
      <c r="F1810" t="s">
        <v>843</v>
      </c>
      <c r="G1810">
        <v>196.2</v>
      </c>
      <c r="H1810">
        <v>213.26</v>
      </c>
      <c r="I1810">
        <v>213.27</v>
      </c>
      <c r="J1810">
        <v>-0.01</v>
      </c>
    </row>
    <row r="1811" spans="1:10" x14ac:dyDescent="0.3">
      <c r="A1811" t="str">
        <f>HYPERLINK("https://us2.cloudbeds.com/connect/10074733072513#/reservations/30653367984371?display=YQ89JRH9A&amp;reservation_id=30653367984371", "YQ89JRH9A")</f>
        <v>YQ89JRH9A</v>
      </c>
      <c r="B1811" t="s">
        <v>10</v>
      </c>
      <c r="C1811" t="s">
        <v>23</v>
      </c>
      <c r="D1811" t="str">
        <f>HYPERLINK("https://us2.cloudbeds.com/connect/10074733072513#/reservations/30653367984371?display=Mark%20Young&amp;reservation_id=30653367984371&amp;guest_id=30653367984366", "Mark Young")</f>
        <v>Mark Young</v>
      </c>
      <c r="E1811" t="s">
        <v>844</v>
      </c>
      <c r="F1811" t="s">
        <v>843</v>
      </c>
      <c r="G1811">
        <v>196.2</v>
      </c>
      <c r="H1811">
        <v>213.26</v>
      </c>
      <c r="I1811">
        <v>213.27</v>
      </c>
      <c r="J1811">
        <v>-0.01</v>
      </c>
    </row>
    <row r="1812" spans="1:10" x14ac:dyDescent="0.3">
      <c r="A1812" t="str">
        <f>HYPERLINK("https://us2.cloudbeds.com/connect/10074733072513#/reservations/30653385007238?display=YQ8A166UP&amp;reservation_id=30653385007238", "YQ8A166UP")</f>
        <v>YQ8A166UP</v>
      </c>
      <c r="B1812" t="s">
        <v>10</v>
      </c>
      <c r="C1812" t="s">
        <v>17</v>
      </c>
      <c r="D1812" t="str">
        <f>HYPERLINK("https://us2.cloudbeds.com/connect/10074733072513#/reservations/30653385007238?display=Stephanie%20Weymouth&amp;reservation_id=30653385007238&amp;guest_id=30653379531001", "Stephanie Weymouth")</f>
        <v>Stephanie Weymouth</v>
      </c>
      <c r="E1812" t="s">
        <v>845</v>
      </c>
      <c r="F1812" t="s">
        <v>843</v>
      </c>
      <c r="G1812">
        <v>216.2</v>
      </c>
      <c r="H1812">
        <v>235</v>
      </c>
      <c r="I1812">
        <v>235.01</v>
      </c>
      <c r="J1812">
        <v>-0.01</v>
      </c>
    </row>
    <row r="1813" spans="1:10" x14ac:dyDescent="0.3">
      <c r="A1813" t="str">
        <f>HYPERLINK("https://us2.cloudbeds.com/connect/10074733072513#/reservations/30653385011358?display=YQ8A16ANJ&amp;reservation_id=30653385011358", "YQ8A16ANJ")</f>
        <v>YQ8A16ANJ</v>
      </c>
      <c r="B1813" t="s">
        <v>10</v>
      </c>
      <c r="C1813" t="s">
        <v>23</v>
      </c>
      <c r="D1813" t="str">
        <f>HYPERLINK("https://us2.cloudbeds.com/connect/10074733072513#/reservations/30653385011358?display=John%20Taylor&amp;reservation_id=30653385011358&amp;guest_id=30653385011353", "John Taylor")</f>
        <v>John Taylor</v>
      </c>
      <c r="E1813" t="s">
        <v>842</v>
      </c>
      <c r="F1813" t="s">
        <v>843</v>
      </c>
      <c r="G1813">
        <v>196.2</v>
      </c>
      <c r="H1813">
        <v>213.26</v>
      </c>
      <c r="I1813">
        <v>213.27</v>
      </c>
      <c r="J1813">
        <v>-0.01</v>
      </c>
    </row>
    <row r="1814" spans="1:10" x14ac:dyDescent="0.3">
      <c r="A1814" t="str">
        <f>HYPERLINK("https://us2.cloudbeds.com/connect/10074733072513#/reservations/30651941703933?display=YQ76555HW&amp;reservation_id=30651941703933", "YQ76555HW")</f>
        <v>YQ76555HW</v>
      </c>
      <c r="B1814" t="s">
        <v>10</v>
      </c>
      <c r="C1814" t="s">
        <v>11</v>
      </c>
      <c r="D1814" t="str">
        <f>HYPERLINK("https://us2.cloudbeds.com/connect/10074733072513#/reservations/30651941703933?display=William%20Thomas%20Boyd&amp;reservation_id=30651941703933&amp;guest_id=30646101500085", "William Thomas Boyd")</f>
        <v>William Thomas Boyd</v>
      </c>
      <c r="E1814" t="s">
        <v>846</v>
      </c>
      <c r="F1814" t="s">
        <v>733</v>
      </c>
      <c r="G1814">
        <v>67.2</v>
      </c>
      <c r="H1814">
        <v>73.040000000000006</v>
      </c>
      <c r="I1814">
        <v>73.05</v>
      </c>
      <c r="J1814">
        <v>-0.01</v>
      </c>
    </row>
    <row r="1815" spans="1:10" x14ac:dyDescent="0.3">
      <c r="A1815" t="str">
        <f>HYPERLINK("https://us2.cloudbeds.com/connect/10074733072513#/reservations/30653417812124?display=YQ8ASS1Q7&amp;reservation_id=30653417812124", "YQ8ASS1Q7")</f>
        <v>YQ8ASS1Q7</v>
      </c>
      <c r="B1815" t="s">
        <v>10</v>
      </c>
      <c r="C1815" t="s">
        <v>20</v>
      </c>
      <c r="D1815" t="str">
        <f>HYPERLINK("https://us2.cloudbeds.com/connect/10074733072513#/reservations/30653417812124?display=Brady%20Blankespoor&amp;reservation_id=30653417812124&amp;guest_id=30653412159626", "Brady Blankespoor")</f>
        <v>Brady Blankespoor</v>
      </c>
      <c r="E1815" t="s">
        <v>847</v>
      </c>
      <c r="F1815" t="s">
        <v>848</v>
      </c>
      <c r="G1815">
        <v>268.2</v>
      </c>
      <c r="H1815">
        <v>291.52</v>
      </c>
      <c r="I1815">
        <v>291.52999999999997</v>
      </c>
      <c r="J1815">
        <v>-0.01</v>
      </c>
    </row>
    <row r="1816" spans="1:10" x14ac:dyDescent="0.3">
      <c r="A1816" t="str">
        <f>HYPERLINK("https://us2.cloudbeds.com/connect/10074733072513#/reservations/30652149538999?display=YQ7BFDG09&amp;reservation_id=30652149538999", "YQ7BFDG09")</f>
        <v>YQ7BFDG09</v>
      </c>
      <c r="B1816" t="s">
        <v>10</v>
      </c>
      <c r="C1816" t="s">
        <v>20</v>
      </c>
      <c r="D1816" t="str">
        <f>HYPERLINK("https://us2.cloudbeds.com/connect/10074733072513#/reservations/30652149538999?display=Lorna%20Beyers&amp;reservation_id=30652149538999&amp;guest_id=30652149538995", "Lorna Beyers")</f>
        <v>Lorna Beyers</v>
      </c>
      <c r="E1816" t="s">
        <v>849</v>
      </c>
      <c r="F1816" t="s">
        <v>830</v>
      </c>
      <c r="G1816">
        <v>250.2</v>
      </c>
      <c r="H1816">
        <v>271.95999999999998</v>
      </c>
      <c r="I1816">
        <v>271.97000000000003</v>
      </c>
      <c r="J1816">
        <v>-0.01</v>
      </c>
    </row>
    <row r="1817" spans="1:10" x14ac:dyDescent="0.3">
      <c r="A1817" t="str">
        <f>HYPERLINK("https://us2.cloudbeds.com/connect/10074733072513#/reservations/30655458488480?display=YQ9U0JT3M&amp;reservation_id=30655458488480", "YQ9U0JT3M")</f>
        <v>YQ9U0JT3M</v>
      </c>
      <c r="B1817" t="s">
        <v>10</v>
      </c>
      <c r="C1817" t="s">
        <v>14</v>
      </c>
      <c r="D1817" t="str">
        <f>HYPERLINK("https://us2.cloudbeds.com/connect/10074733072513#/reservations/30655458488480?display=Austin%20Mueller&amp;reservation_id=30655458488480&amp;guest_id=30655458484395", "Austin Mueller")</f>
        <v>Austin Mueller</v>
      </c>
      <c r="E1817" t="s">
        <v>850</v>
      </c>
      <c r="F1817" t="s">
        <v>851</v>
      </c>
      <c r="G1817">
        <v>134.4</v>
      </c>
      <c r="H1817">
        <v>146.08000000000001</v>
      </c>
      <c r="I1817">
        <v>146.09</v>
      </c>
      <c r="J1817">
        <v>-0.01</v>
      </c>
    </row>
    <row r="1818" spans="1:10" x14ac:dyDescent="0.3">
      <c r="A1818" t="str">
        <f>HYPERLINK("https://us2.cloudbeds.com/connect/10074733072513#/reservations/30655444410578?display=YQ9TYZ4ZJ&amp;reservation_id=30655444410578", "YQ9TYZ4ZJ")</f>
        <v>YQ9TYZ4ZJ</v>
      </c>
      <c r="B1818" t="s">
        <v>10</v>
      </c>
      <c r="C1818" t="s">
        <v>14</v>
      </c>
      <c r="D1818" t="str">
        <f>HYPERLINK("https://us2.cloudbeds.com/connect/10074733072513#/reservations/30655444410578?display=Ben%20Barnes&amp;reservation_id=30655444410578&amp;guest_id=30655444406492", "Ben Barnes")</f>
        <v>Ben Barnes</v>
      </c>
      <c r="E1818" t="s">
        <v>850</v>
      </c>
      <c r="F1818" t="s">
        <v>851</v>
      </c>
      <c r="G1818">
        <v>134.4</v>
      </c>
      <c r="H1818">
        <v>146.08000000000001</v>
      </c>
      <c r="I1818">
        <v>146.09</v>
      </c>
      <c r="J1818">
        <v>-0.01</v>
      </c>
    </row>
    <row r="1819" spans="1:10" x14ac:dyDescent="0.3">
      <c r="A1819" t="str">
        <f>HYPERLINK("https://us2.cloudbeds.com/connect/10074733072513#/reservations/30655453593810?display=YQ9TTFMFB&amp;reservation_id=30655453593810", "YQ9TTFMFB")</f>
        <v>YQ9TTFMFB</v>
      </c>
      <c r="B1819" t="s">
        <v>10</v>
      </c>
      <c r="C1819" t="s">
        <v>14</v>
      </c>
      <c r="D1819" t="str">
        <f>HYPERLINK("https://us2.cloudbeds.com/connect/10074733072513#/reservations/30655453593810?display=Nick%20Peterson&amp;reservation_id=30655453593810&amp;guest_id=30655453593798", "Nick Peterson")</f>
        <v>Nick Peterson</v>
      </c>
      <c r="E1819" t="s">
        <v>850</v>
      </c>
      <c r="F1819" t="s">
        <v>851</v>
      </c>
      <c r="G1819">
        <v>134.4</v>
      </c>
      <c r="H1819">
        <v>146.08000000000001</v>
      </c>
      <c r="I1819">
        <v>146.09</v>
      </c>
      <c r="J1819">
        <v>-0.01</v>
      </c>
    </row>
    <row r="1820" spans="1:10" x14ac:dyDescent="0.3">
      <c r="A1820" t="str">
        <f>HYPERLINK("https://us2.cloudbeds.com/connect/10074733072513#/reservations/30655469441255?display=YQ9U9RYZV&amp;reservation_id=30655469441255", "YQ9U9RYZV")</f>
        <v>YQ9U9RYZV</v>
      </c>
      <c r="B1820" t="s">
        <v>10</v>
      </c>
      <c r="C1820" t="s">
        <v>14</v>
      </c>
      <c r="D1820" t="str">
        <f>HYPERLINK("https://us2.cloudbeds.com/connect/10074733072513#/reservations/30655469441255?display=Andrew%20Hokom&amp;reservation_id=30655469441255&amp;guest_id=30652867367138", "Andrew Hokom")</f>
        <v>Andrew Hokom</v>
      </c>
      <c r="E1820" t="s">
        <v>850</v>
      </c>
      <c r="F1820" t="s">
        <v>851</v>
      </c>
      <c r="G1820">
        <v>134.4</v>
      </c>
      <c r="H1820">
        <v>146.08000000000001</v>
      </c>
      <c r="I1820">
        <v>146.09</v>
      </c>
      <c r="J1820">
        <v>-0.01</v>
      </c>
    </row>
    <row r="1821" spans="1:10" x14ac:dyDescent="0.3">
      <c r="A1821" t="str">
        <f>HYPERLINK("https://us2.cloudbeds.com/connect/10074733072513#/reservations/30653215236322?display=YQ85N12PX&amp;reservation_id=30653215236322", "YQ85N12PX")</f>
        <v>YQ85N12PX</v>
      </c>
      <c r="B1821" t="s">
        <v>10</v>
      </c>
      <c r="C1821" t="s">
        <v>20</v>
      </c>
      <c r="D1821" t="str">
        <f>HYPERLINK("https://us2.cloudbeds.com/connect/10074733072513#/reservations/30653215236322?display=Joey%20Kampfe&amp;reservation_id=30653215236322&amp;guest_id=30653215236317", "Joey Kampfe")</f>
        <v>Joey Kampfe</v>
      </c>
      <c r="E1821" t="s">
        <v>852</v>
      </c>
      <c r="F1821" t="s">
        <v>853</v>
      </c>
      <c r="G1821">
        <v>194.4</v>
      </c>
      <c r="H1821">
        <v>211.3</v>
      </c>
      <c r="I1821">
        <v>211.31</v>
      </c>
      <c r="J1821">
        <v>-0.01</v>
      </c>
    </row>
    <row r="1822" spans="1:10" x14ac:dyDescent="0.3">
      <c r="A1822" t="str">
        <f>HYPERLINK("https://us2.cloudbeds.com/connect/10074733072513#/reservations/30651148546252?display=YQ6XTBCZZ&amp;reservation_id=30651148546252", "YQ6XTBCZZ")</f>
        <v>YQ6XTBCZZ</v>
      </c>
      <c r="B1822" t="s">
        <v>10</v>
      </c>
      <c r="C1822" t="s">
        <v>14</v>
      </c>
      <c r="D1822" t="str">
        <f>HYPERLINK("https://us2.cloudbeds.com/connect/10074733072513#/reservations/30651148546252?display=Derek%20Worcester&amp;reservation_id=30651148546252&amp;guest_id=30651148546250", "Derek Worcester")</f>
        <v>Derek Worcester</v>
      </c>
      <c r="E1822" t="s">
        <v>850</v>
      </c>
      <c r="F1822" t="s">
        <v>851</v>
      </c>
      <c r="G1822">
        <v>134.4</v>
      </c>
      <c r="H1822">
        <v>146.08000000000001</v>
      </c>
      <c r="I1822">
        <v>146.09</v>
      </c>
      <c r="J1822">
        <v>-0.01</v>
      </c>
    </row>
    <row r="1823" spans="1:10" x14ac:dyDescent="0.3">
      <c r="A1823" t="str">
        <f>HYPERLINK("https://us2.cloudbeds.com/connect/10074733072513#/reservations/30651981414593?display=YQ775Y5QA&amp;reservation_id=30651981414593", "YQ775Y5QA")</f>
        <v>YQ775Y5QA</v>
      </c>
      <c r="B1823" t="s">
        <v>10</v>
      </c>
      <c r="C1823" t="s">
        <v>11</v>
      </c>
      <c r="D1823" t="str">
        <f>HYPERLINK("https://us2.cloudbeds.com/connect/10074733072513#/reservations/30651981414593?display=Melissa%20Kees&amp;reservation_id=30651981414593&amp;guest_id=30651210764456", "Melissa Kees")</f>
        <v>Melissa Kees</v>
      </c>
      <c r="E1823" t="s">
        <v>808</v>
      </c>
      <c r="F1823" t="s">
        <v>854</v>
      </c>
      <c r="G1823">
        <v>134.4</v>
      </c>
      <c r="H1823">
        <v>146.08000000000001</v>
      </c>
      <c r="I1823">
        <v>146.09</v>
      </c>
      <c r="J1823">
        <v>-0.01</v>
      </c>
    </row>
    <row r="1824" spans="1:10" x14ac:dyDescent="0.3">
      <c r="A1824" t="str">
        <f>HYPERLINK("https://us2.cloudbeds.com/connect/10074733072513#/reservations/30654870520060?display=YQ9EWQQ6R&amp;reservation_id=30654870520060", "YQ9EWQQ6R")</f>
        <v>YQ9EWQQ6R</v>
      </c>
      <c r="B1824" t="s">
        <v>10</v>
      </c>
      <c r="C1824" t="s">
        <v>14</v>
      </c>
      <c r="D1824" t="str">
        <f>HYPERLINK("https://us2.cloudbeds.com/connect/10074733072513#/reservations/30654870520060?display=Linda%20Blackburn&amp;reservation_id=30654870520060&amp;guest_id=30654870520058", "Linda Blackburn")</f>
        <v>Linda Blackburn</v>
      </c>
      <c r="E1824" t="s">
        <v>855</v>
      </c>
      <c r="F1824" t="s">
        <v>856</v>
      </c>
      <c r="G1824">
        <v>250.2</v>
      </c>
      <c r="H1824">
        <v>271.95999999999998</v>
      </c>
      <c r="I1824">
        <v>271.97000000000003</v>
      </c>
      <c r="J1824">
        <v>-0.01</v>
      </c>
    </row>
    <row r="1825" spans="1:10" x14ac:dyDescent="0.3">
      <c r="A1825" t="str">
        <f>HYPERLINK("https://us2.cloudbeds.com/connect/10074733072513#/reservations/30651170382041?display=YQ6JEZWWA&amp;reservation_id=30651170382041", "YQ6JEZWWA")</f>
        <v>YQ6JEZWWA</v>
      </c>
      <c r="B1825" t="s">
        <v>10</v>
      </c>
      <c r="C1825" t="s">
        <v>14</v>
      </c>
      <c r="D1825" t="str">
        <f>HYPERLINK("https://us2.cloudbeds.com/connect/10074733072513#/reservations/30651170382041?display=Ron%20Clark&amp;reservation_id=30651170382041&amp;guest_id=30651170382028", "Ron Clark")</f>
        <v>Ron Clark</v>
      </c>
      <c r="E1825" t="s">
        <v>857</v>
      </c>
      <c r="F1825" t="s">
        <v>851</v>
      </c>
      <c r="G1825">
        <v>64.150000000000006</v>
      </c>
      <c r="H1825">
        <v>69.72</v>
      </c>
      <c r="I1825">
        <v>69.73</v>
      </c>
      <c r="J1825">
        <v>-0.01</v>
      </c>
    </row>
    <row r="1826" spans="1:10" x14ac:dyDescent="0.3">
      <c r="A1826" t="str">
        <f>HYPERLINK("https://us2.cloudbeds.com/connect/10074733072513#/reservations/30659802964180?display=YQD90WAYF&amp;reservation_id=30659802964180", "YQD90WAYF")</f>
        <v>YQD90WAYF</v>
      </c>
      <c r="B1826" t="s">
        <v>10</v>
      </c>
      <c r="C1826" t="s">
        <v>23</v>
      </c>
      <c r="D1826" t="str">
        <f>HYPERLINK("https://us2.cloudbeds.com/connect/10074733072513#/reservations/30659802964180?display=Amy%20Hofeman&amp;reservation_id=30659802964180&amp;guest_id=30659802964175", "Amy Hofeman")</f>
        <v>Amy Hofeman</v>
      </c>
      <c r="E1826" t="s">
        <v>858</v>
      </c>
      <c r="F1826" t="s">
        <v>859</v>
      </c>
      <c r="G1826">
        <v>250.2</v>
      </c>
      <c r="H1826">
        <v>271.95999999999998</v>
      </c>
      <c r="I1826">
        <v>271.97000000000003</v>
      </c>
      <c r="J1826">
        <v>-0.01</v>
      </c>
    </row>
    <row r="1827" spans="1:10" x14ac:dyDescent="0.3">
      <c r="A1827" t="str">
        <f>HYPERLINK("https://us2.cloudbeds.com/connect/10074733072513#/reservations/30651357610123?display=YQ6Z7KTJX&amp;reservation_id=30651357610123", "YQ6Z7KTJX")</f>
        <v>YQ6Z7KTJX</v>
      </c>
      <c r="B1827" t="s">
        <v>10</v>
      </c>
      <c r="C1827" t="s">
        <v>14</v>
      </c>
      <c r="D1827" t="str">
        <f>HYPERLINK("https://us2.cloudbeds.com/connect/10074733072513#/reservations/30651357610123?display=Chris%20Edmonds&amp;reservation_id=30651357610123&amp;guest_id=30646291685594", "Chris Edmonds")</f>
        <v>Chris Edmonds</v>
      </c>
      <c r="E1827" t="s">
        <v>804</v>
      </c>
      <c r="F1827" t="s">
        <v>827</v>
      </c>
      <c r="G1827">
        <v>64.150000000000006</v>
      </c>
      <c r="H1827">
        <v>69.72</v>
      </c>
      <c r="I1827">
        <v>69.73</v>
      </c>
      <c r="J1827">
        <v>-0.01</v>
      </c>
    </row>
    <row r="1828" spans="1:10" x14ac:dyDescent="0.3">
      <c r="A1828" t="str">
        <f>HYPERLINK("https://us2.cloudbeds.com/connect/10074733072513#/reservations/30652729069777?display=YQ7Q92PS0&amp;reservation_id=30652729069777", "YQ7Q92PS0")</f>
        <v>YQ7Q92PS0</v>
      </c>
      <c r="B1828" t="s">
        <v>10</v>
      </c>
      <c r="C1828" t="s">
        <v>14</v>
      </c>
      <c r="D1828" t="str">
        <f>HYPERLINK("https://us2.cloudbeds.com/connect/10074733072513#/reservations/30652729069777?display=Gary%20King&amp;reservation_id=30652729069777&amp;guest_id=30652729069775", "Gary King")</f>
        <v>Gary King</v>
      </c>
      <c r="E1828" t="s">
        <v>861</v>
      </c>
      <c r="F1828" t="s">
        <v>744</v>
      </c>
      <c r="G1828">
        <v>164.31</v>
      </c>
      <c r="H1828">
        <v>178.59</v>
      </c>
      <c r="I1828">
        <v>178.6</v>
      </c>
      <c r="J1828">
        <v>-0.01</v>
      </c>
    </row>
    <row r="1829" spans="1:10" x14ac:dyDescent="0.3">
      <c r="A1829" t="str">
        <f>HYPERLINK("https://us2.cloudbeds.com/connect/10074733072513#/reservations/30651381870730?display=YQ6ZS2WFE&amp;reservation_id=30651381870730", "YQ6ZS2WFE")</f>
        <v>YQ6ZS2WFE</v>
      </c>
      <c r="B1829" t="s">
        <v>10</v>
      </c>
      <c r="C1829" t="s">
        <v>42</v>
      </c>
      <c r="D1829" t="str">
        <f>HYPERLINK("https://us2.cloudbeds.com/connect/10074733072513#/reservations/30651381870730?display=Barbara%20Shiell&amp;reservation_id=30651381870730&amp;guest_id=30651381870726", "Barbara Shiell")</f>
        <v>Barbara Shiell</v>
      </c>
      <c r="E1829" t="s">
        <v>862</v>
      </c>
      <c r="F1829" t="s">
        <v>744</v>
      </c>
      <c r="G1829">
        <v>87.2</v>
      </c>
      <c r="H1829">
        <v>94.78</v>
      </c>
      <c r="I1829">
        <v>94.79</v>
      </c>
      <c r="J1829">
        <v>-0.01</v>
      </c>
    </row>
    <row r="1830" spans="1:10" x14ac:dyDescent="0.3">
      <c r="A1830" t="str">
        <f>HYPERLINK("https://us2.cloudbeds.com/connect/10074733072513#/reservations/30652886954218?display=YQ7UA74W0&amp;reservation_id=30652886954218", "YQ7UA74W0")</f>
        <v>YQ7UA74W0</v>
      </c>
      <c r="B1830" t="s">
        <v>10</v>
      </c>
      <c r="C1830" t="s">
        <v>11</v>
      </c>
      <c r="D1830" t="str">
        <f>HYPERLINK("https://us2.cloudbeds.com/connect/10074733072513#/reservations/30652886954218?display=Graham%20Mcgaffin&amp;reservation_id=30652886954218&amp;guest_id=30652886954213", "Graham Mcgaffin")</f>
        <v>Graham Mcgaffin</v>
      </c>
      <c r="E1830" t="s">
        <v>863</v>
      </c>
      <c r="F1830" t="s">
        <v>860</v>
      </c>
      <c r="G1830">
        <v>64.150000000000006</v>
      </c>
      <c r="H1830">
        <v>69.72</v>
      </c>
      <c r="I1830">
        <v>69.73</v>
      </c>
      <c r="J1830">
        <v>-0.01</v>
      </c>
    </row>
    <row r="1831" spans="1:10" x14ac:dyDescent="0.3">
      <c r="A1831" t="str">
        <f>HYPERLINK("https://us2.cloudbeds.com/connect/10074733072513#/reservations/30654847635656?display=YQ9EDH021&amp;reservation_id=30654847635656", "YQ9EDH021")</f>
        <v>YQ9EDH021</v>
      </c>
      <c r="B1831" t="s">
        <v>10</v>
      </c>
      <c r="C1831" t="s">
        <v>14</v>
      </c>
      <c r="D1831" t="str">
        <f>HYPERLINK("https://us2.cloudbeds.com/connect/10074733072513#/reservations/30654847635656?display=Vicki%20Oligmueller&amp;reservation_id=30654847635656&amp;guest_id=30654847635654", "Vicki Oligmueller")</f>
        <v>Vicki Oligmueller</v>
      </c>
      <c r="E1831" t="s">
        <v>864</v>
      </c>
      <c r="F1831" t="s">
        <v>856</v>
      </c>
      <c r="G1831">
        <v>308.2</v>
      </c>
      <c r="H1831">
        <v>335</v>
      </c>
      <c r="I1831">
        <v>335.01</v>
      </c>
      <c r="J1831">
        <v>-0.01</v>
      </c>
    </row>
    <row r="1832" spans="1:10" x14ac:dyDescent="0.3">
      <c r="A1832" t="str">
        <f>HYPERLINK("https://us2.cloudbeds.com/connect/10074733072513#/reservations/30652895469702?display=YQ7UHD3GW&amp;reservation_id=30652895469702", "YQ7UHD3GW")</f>
        <v>YQ7UHD3GW</v>
      </c>
      <c r="B1832" t="s">
        <v>10</v>
      </c>
      <c r="C1832" t="s">
        <v>11</v>
      </c>
      <c r="D1832" t="str">
        <f>HYPERLINK("https://us2.cloudbeds.com/connect/10074733072513#/reservations/30652895469702?display=Michelle%20Lawrenz&amp;reservation_id=30652895469702&amp;guest_id=30652895465645", "Michelle Lawrenz")</f>
        <v>Michelle Lawrenz</v>
      </c>
      <c r="E1832" t="s">
        <v>119</v>
      </c>
      <c r="F1832" t="s">
        <v>860</v>
      </c>
      <c r="G1832">
        <v>64.150000000000006</v>
      </c>
      <c r="H1832">
        <v>69.72</v>
      </c>
      <c r="I1832">
        <v>69.73</v>
      </c>
      <c r="J1832">
        <v>-0.01</v>
      </c>
    </row>
    <row r="1833" spans="1:10" x14ac:dyDescent="0.3">
      <c r="A1833" t="str">
        <f>HYPERLINK("https://us2.cloudbeds.com/connect/10074733072513#/reservations/30652897870050?display=YQ7UJDTMQ&amp;reservation_id=30652897870050", "YQ7UJDTMQ")</f>
        <v>YQ7UJDTMQ</v>
      </c>
      <c r="B1833" t="s">
        <v>10</v>
      </c>
      <c r="C1833" t="s">
        <v>14</v>
      </c>
      <c r="D1833" t="str">
        <f>HYPERLINK("https://us2.cloudbeds.com/connect/10074733072513#/reservations/30652897870050?display=Tracy%20Mailloux&amp;reservation_id=30652897870050&amp;guest_id=30652897870045", "Tracy Mailloux")</f>
        <v>Tracy Mailloux</v>
      </c>
      <c r="E1833" t="s">
        <v>865</v>
      </c>
      <c r="F1833" t="s">
        <v>860</v>
      </c>
      <c r="G1833">
        <v>64.150000000000006</v>
      </c>
      <c r="H1833">
        <v>69.72</v>
      </c>
      <c r="I1833">
        <v>69.73</v>
      </c>
      <c r="J1833">
        <v>-0.01</v>
      </c>
    </row>
    <row r="1834" spans="1:10" x14ac:dyDescent="0.3">
      <c r="A1834" t="str">
        <f>HYPERLINK("https://us2.cloudbeds.com/connect/10074733072513#/reservations/30655571738754?display=YQ9WU37S5&amp;reservation_id=30655571738754", "YQ9WU37S5")</f>
        <v>YQ9WU37S5</v>
      </c>
      <c r="B1834" t="s">
        <v>10</v>
      </c>
      <c r="C1834" t="s">
        <v>20</v>
      </c>
      <c r="D1834" t="str">
        <f>HYPERLINK("https://us2.cloudbeds.com/connect/10074733072513#/reservations/30655571738754?display=Michael%20Erickson&amp;reservation_id=30655571738754&amp;guest_id=30655571734717", "Michael Erickson")</f>
        <v>Michael Erickson</v>
      </c>
      <c r="E1834" t="s">
        <v>866</v>
      </c>
      <c r="F1834" t="s">
        <v>867</v>
      </c>
      <c r="G1834">
        <v>196.2</v>
      </c>
      <c r="H1834">
        <v>213.26</v>
      </c>
      <c r="I1834">
        <v>213.27</v>
      </c>
      <c r="J1834">
        <v>-0.01</v>
      </c>
    </row>
    <row r="1835" spans="1:10" x14ac:dyDescent="0.3">
      <c r="A1835" t="str">
        <f>HYPERLINK("https://us2.cloudbeds.com/connect/10074733072513#/reservations/30653516226700?display=YQ8DCRJA3&amp;reservation_id=30653516226700", "YQ8DCRJA3")</f>
        <v>YQ8DCRJA3</v>
      </c>
      <c r="B1835" t="s">
        <v>10</v>
      </c>
      <c r="C1835" t="s">
        <v>20</v>
      </c>
      <c r="D1835" t="str">
        <f>HYPERLINK("https://us2.cloudbeds.com/connect/10074733072513#/reservations/30653516226700?display=Tim%20Larson&amp;reservation_id=30653516226700&amp;guest_id=30653510603002", "Tim Larson")</f>
        <v>Tim Larson</v>
      </c>
      <c r="E1835" t="s">
        <v>868</v>
      </c>
      <c r="F1835" t="s">
        <v>836</v>
      </c>
      <c r="G1835">
        <v>268.2</v>
      </c>
      <c r="H1835">
        <v>291.52</v>
      </c>
      <c r="I1835">
        <v>291.52999999999997</v>
      </c>
      <c r="J1835">
        <v>-0.01</v>
      </c>
    </row>
    <row r="1836" spans="1:10" x14ac:dyDescent="0.3">
      <c r="A1836" t="str">
        <f>HYPERLINK("https://us2.cloudbeds.com/connect/10074733072513#/reservations/30655561334932?display=YQ9WYAZ9R&amp;reservation_id=30655561334932", "YQ9WYAZ9R")</f>
        <v>YQ9WYAZ9R</v>
      </c>
      <c r="B1836" t="s">
        <v>10</v>
      </c>
      <c r="C1836" t="s">
        <v>121</v>
      </c>
      <c r="D1836" t="str">
        <f>HYPERLINK("https://us2.cloudbeds.com/connect/10074733072513#/reservations/30655561334932?display=Anthony%20Fischer&amp;reservation_id=30655561334932&amp;guest_id=30655561334928", "Anthony Fischer")</f>
        <v>Anthony Fischer</v>
      </c>
      <c r="E1836" t="s">
        <v>869</v>
      </c>
      <c r="F1836" t="s">
        <v>867</v>
      </c>
      <c r="G1836">
        <v>87.2</v>
      </c>
      <c r="H1836">
        <v>94.78</v>
      </c>
      <c r="I1836">
        <v>94.79</v>
      </c>
      <c r="J1836">
        <v>-0.01</v>
      </c>
    </row>
    <row r="1837" spans="1:10" x14ac:dyDescent="0.3">
      <c r="A1837" t="str">
        <f>HYPERLINK("https://us2.cloudbeds.com/connect/10074733072513#/reservations/30651957829848?display=YQ76XZTX2&amp;reservation_id=30651957829848", "YQ76XZTX2")</f>
        <v>YQ76XZTX2</v>
      </c>
      <c r="B1837" t="s">
        <v>10</v>
      </c>
      <c r="C1837" t="s">
        <v>14</v>
      </c>
      <c r="D1837" t="str">
        <f>HYPERLINK("https://us2.cloudbeds.com/connect/10074733072513#/reservations/30651957829848?display=Zhanna%20Ohanesyan&amp;reservation_id=30651957829848&amp;guest_id=30651612475535", "Zhanna Ohanesyan")</f>
        <v>Zhanna Ohanesyan</v>
      </c>
      <c r="E1837" t="s">
        <v>870</v>
      </c>
      <c r="F1837" t="s">
        <v>733</v>
      </c>
      <c r="G1837">
        <v>64.150000000000006</v>
      </c>
      <c r="H1837">
        <v>69.72</v>
      </c>
      <c r="I1837">
        <v>69.73</v>
      </c>
      <c r="J1837">
        <v>-0.01</v>
      </c>
    </row>
    <row r="1838" spans="1:10" x14ac:dyDescent="0.3">
      <c r="A1838" t="str">
        <f>HYPERLINK("https://us2.cloudbeds.com/connect/10074733072513#/reservations/30655712534698?display=YQA3GR31U&amp;reservation_id=30655712534698", "YQA3GR31U")</f>
        <v>YQA3GR31U</v>
      </c>
      <c r="B1838" t="s">
        <v>10</v>
      </c>
      <c r="C1838" t="s">
        <v>20</v>
      </c>
      <c r="D1838" t="str">
        <f>HYPERLINK("https://us2.cloudbeds.com/connect/10074733072513#/reservations/30655712534698?display=Victoria%20Durband&amp;reservation_id=30655712534698&amp;guest_id=30655712534685", "Victoria Durband")</f>
        <v>Victoria Durband</v>
      </c>
      <c r="E1838" t="s">
        <v>871</v>
      </c>
      <c r="F1838" t="s">
        <v>797</v>
      </c>
      <c r="G1838">
        <v>250.2</v>
      </c>
      <c r="H1838">
        <v>271.95999999999998</v>
      </c>
      <c r="I1838">
        <v>271.97000000000003</v>
      </c>
      <c r="J1838">
        <v>-0.01</v>
      </c>
    </row>
    <row r="1839" spans="1:10" x14ac:dyDescent="0.3">
      <c r="A1839" t="str">
        <f>HYPERLINK("https://us2.cloudbeds.com/connect/10074733072513#/reservations/30654970609883?display=YQ9HX6V1P&amp;reservation_id=30654970609883", "YQ9HX6V1P")</f>
        <v>YQ9HX6V1P</v>
      </c>
      <c r="B1839" t="s">
        <v>10</v>
      </c>
      <c r="C1839" t="s">
        <v>14</v>
      </c>
      <c r="D1839" t="str">
        <f>HYPERLINK("https://us2.cloudbeds.com/connect/10074733072513#/reservations/30654970609883?display=Anthony%20Girodo&amp;reservation_id=30654970609883&amp;guest_id=30654966780037", "Anthony Girodo")</f>
        <v>Anthony Girodo</v>
      </c>
      <c r="E1839" t="s">
        <v>876</v>
      </c>
      <c r="F1839" t="s">
        <v>873</v>
      </c>
      <c r="G1839">
        <v>64.150000000000006</v>
      </c>
      <c r="H1839">
        <v>69.72</v>
      </c>
      <c r="I1839">
        <v>69.73</v>
      </c>
      <c r="J1839">
        <v>-0.01</v>
      </c>
    </row>
    <row r="1840" spans="1:10" x14ac:dyDescent="0.3">
      <c r="A1840" t="str">
        <f>HYPERLINK("https://us2.cloudbeds.com/connect/10074733072513#/reservations/30655955300574?display=YQA9NHDXK&amp;reservation_id=30655955300574", "YQA9NHDXK")</f>
        <v>YQA9NHDXK</v>
      </c>
      <c r="B1840" t="s">
        <v>10</v>
      </c>
      <c r="C1840" t="s">
        <v>11</v>
      </c>
      <c r="D1840" t="str">
        <f>HYPERLINK("https://us2.cloudbeds.com/connect/10074733072513#/reservations/30655955300574?display=Harlan%20J%20Veurink&amp;reservation_id=30655955300574&amp;guest_id=30655949672579", "Harlan J Veurink")</f>
        <v>Harlan J Veurink</v>
      </c>
      <c r="E1840" t="s">
        <v>877</v>
      </c>
      <c r="F1840" t="s">
        <v>878</v>
      </c>
      <c r="G1840">
        <v>54.15</v>
      </c>
      <c r="H1840">
        <v>58.85</v>
      </c>
      <c r="I1840">
        <v>58.86</v>
      </c>
      <c r="J1840">
        <v>-0.01</v>
      </c>
    </row>
    <row r="1841" spans="1:10" x14ac:dyDescent="0.3">
      <c r="A1841" t="str">
        <f>HYPERLINK("https://us2.cloudbeds.com/connect/10074733072513#/reservations/30652052111565?display=YQ78W8DVQ&amp;reservation_id=30652052111565", "YQ78W8DVQ")</f>
        <v>YQ78W8DVQ</v>
      </c>
      <c r="B1841" t="s">
        <v>10</v>
      </c>
      <c r="C1841" t="s">
        <v>14</v>
      </c>
      <c r="D1841" t="str">
        <f>HYPERLINK("https://us2.cloudbeds.com/connect/10074733072513#/reservations/30652052111565?display=Jack%20Merwin&amp;reservation_id=30652052111565&amp;guest_id=30652052111563", "Jack Merwin")</f>
        <v>Jack Merwin</v>
      </c>
      <c r="E1841" t="s">
        <v>879</v>
      </c>
      <c r="F1841" t="s">
        <v>880</v>
      </c>
      <c r="G1841">
        <v>64.150000000000006</v>
      </c>
      <c r="H1841">
        <v>69.72</v>
      </c>
      <c r="I1841">
        <v>69.73</v>
      </c>
      <c r="J1841">
        <v>-0.01</v>
      </c>
    </row>
    <row r="1842" spans="1:10" x14ac:dyDescent="0.3">
      <c r="A1842" t="str">
        <f>HYPERLINK("https://us2.cloudbeds.com/connect/10074733072513#/reservations/30651929157830?display=YQ75RJ1Q1&amp;reservation_id=30651929157830", "YQ75RJ1Q1")</f>
        <v>YQ75RJ1Q1</v>
      </c>
      <c r="B1842" t="s">
        <v>10</v>
      </c>
      <c r="C1842" t="s">
        <v>42</v>
      </c>
      <c r="D1842" t="str">
        <f>HYPERLINK("https://us2.cloudbeds.com/connect/10074733072513#/reservations/30651929157830?display=Tyler%20Gamber&amp;reservation_id=30651929157830&amp;guest_id=30651929157826", "Tyler Gamber")</f>
        <v>Tyler Gamber</v>
      </c>
      <c r="E1842" t="s">
        <v>886</v>
      </c>
      <c r="F1842" t="s">
        <v>887</v>
      </c>
      <c r="G1842">
        <v>134.1</v>
      </c>
      <c r="H1842">
        <v>145.76</v>
      </c>
      <c r="I1842">
        <v>145.77000000000001</v>
      </c>
      <c r="J1842">
        <v>-0.01</v>
      </c>
    </row>
    <row r="1843" spans="1:10" x14ac:dyDescent="0.3">
      <c r="A1843" t="str">
        <f>HYPERLINK("https://us2.cloudbeds.com/connect/10074733072513#/reservations/30653496230050?display=YQ8CSW4TW&amp;reservation_id=30653496230050", "YQ8CSW4TW")</f>
        <v>YQ8CSW4TW</v>
      </c>
      <c r="B1843" t="s">
        <v>10</v>
      </c>
      <c r="C1843" t="s">
        <v>14</v>
      </c>
      <c r="D1843" t="str">
        <f>HYPERLINK("https://us2.cloudbeds.com/connect/10074733072513#/reservations/30653496230050?display=Boyd%20Bischke&amp;reservation_id=30653496230050&amp;guest_id=30653496230046", "Boyd Bischke")</f>
        <v>Boyd Bischke</v>
      </c>
      <c r="E1843" t="s">
        <v>888</v>
      </c>
      <c r="F1843" t="s">
        <v>882</v>
      </c>
      <c r="G1843">
        <v>64.150000000000006</v>
      </c>
      <c r="H1843">
        <v>69.72</v>
      </c>
      <c r="I1843">
        <v>69.73</v>
      </c>
      <c r="J1843">
        <v>-0.01</v>
      </c>
    </row>
    <row r="1844" spans="1:10" x14ac:dyDescent="0.3">
      <c r="A1844" t="str">
        <f>HYPERLINK("https://us2.cloudbeds.com/connect/10074733072513#/reservations/30655228625108?display=YQ9Z4PJKV&amp;reservation_id=30655228625108", "YQ9Z4PJKV")</f>
        <v>YQ9Z4PJKV</v>
      </c>
      <c r="B1844" t="s">
        <v>10</v>
      </c>
      <c r="C1844" t="s">
        <v>14</v>
      </c>
      <c r="D1844" t="str">
        <f>HYPERLINK("https://us2.cloudbeds.com/connect/10074733072513#/reservations/30655228625108?display=Lance%20Lawson&amp;reservation_id=30655228625108&amp;guest_id=30652268720277", "Lance Lawson")</f>
        <v>Lance Lawson</v>
      </c>
      <c r="E1844" t="s">
        <v>889</v>
      </c>
      <c r="F1844" t="s">
        <v>890</v>
      </c>
      <c r="G1844">
        <v>87.2</v>
      </c>
      <c r="H1844">
        <v>94.78</v>
      </c>
      <c r="I1844">
        <v>94.79</v>
      </c>
      <c r="J1844">
        <v>-0.01</v>
      </c>
    </row>
    <row r="1845" spans="1:10" x14ac:dyDescent="0.3">
      <c r="A1845" t="str">
        <f>HYPERLINK("https://us2.cloudbeds.com/connect/10074733072513#/reservations/30652005163177?display=YQ77PM0GC&amp;reservation_id=30652005163177", "YQ77PM0GC")</f>
        <v>YQ77PM0GC</v>
      </c>
      <c r="B1845" t="s">
        <v>10</v>
      </c>
      <c r="C1845" t="s">
        <v>14</v>
      </c>
      <c r="D1845" t="str">
        <f>HYPERLINK("https://us2.cloudbeds.com/connect/10074733072513#/reservations/30652005163177?display=Josh%20Liestman&amp;reservation_id=30652005163177&amp;guest_id=30649738215582", "Josh Liestman")</f>
        <v>Josh Liestman</v>
      </c>
      <c r="E1845" t="s">
        <v>672</v>
      </c>
      <c r="F1845" t="s">
        <v>891</v>
      </c>
      <c r="G1845">
        <v>174.4</v>
      </c>
      <c r="H1845">
        <v>189.56</v>
      </c>
      <c r="I1845">
        <v>189.57</v>
      </c>
      <c r="J1845">
        <v>-0.01</v>
      </c>
    </row>
    <row r="1846" spans="1:10" x14ac:dyDescent="0.3">
      <c r="A1846" t="str">
        <f>HYPERLINK("https://us2.cloudbeds.com/connect/10074733072513#/reservations/30652774187161?display=YQ7RE47VF&amp;reservation_id=30652774187161", "YQ7RE47VF")</f>
        <v>YQ7RE47VF</v>
      </c>
      <c r="B1846" t="s">
        <v>10</v>
      </c>
      <c r="C1846" t="s">
        <v>11</v>
      </c>
      <c r="D1846" t="str">
        <f>HYPERLINK("https://us2.cloudbeds.com/connect/10074733072513#/reservations/30652774187161?display=Laurie%20Curtis&amp;reservation_id=30652774187161&amp;guest_id=30652766728336", "Laurie Curtis")</f>
        <v>Laurie Curtis</v>
      </c>
      <c r="E1846" t="s">
        <v>892</v>
      </c>
      <c r="F1846" t="s">
        <v>887</v>
      </c>
      <c r="G1846">
        <v>90.07</v>
      </c>
      <c r="H1846">
        <v>97.9</v>
      </c>
      <c r="I1846">
        <v>97.91</v>
      </c>
      <c r="J1846">
        <v>-0.01</v>
      </c>
    </row>
    <row r="1847" spans="1:10" x14ac:dyDescent="0.3">
      <c r="A1847" t="str">
        <f>HYPERLINK("https://us2.cloudbeds.com/connect/10074733072513#/reservations/30652752646369?display=YQ7QSVRK6&amp;reservation_id=30652752646369", "YQ7QSVRK6")</f>
        <v>YQ7QSVRK6</v>
      </c>
      <c r="B1847" t="s">
        <v>10</v>
      </c>
      <c r="C1847" t="s">
        <v>20</v>
      </c>
      <c r="D1847" t="str">
        <f>HYPERLINK("https://us2.cloudbeds.com/connect/10074733072513#/reservations/30652752646369?display=Jason%20Zacher&amp;reservation_id=30652752646369&amp;guest_id=30652752646367", "Jason Zacher")</f>
        <v>Jason Zacher</v>
      </c>
      <c r="E1847" t="s">
        <v>893</v>
      </c>
      <c r="F1847" t="s">
        <v>887</v>
      </c>
      <c r="G1847">
        <v>134.1</v>
      </c>
      <c r="H1847">
        <v>145.76</v>
      </c>
      <c r="I1847">
        <v>145.77000000000001</v>
      </c>
      <c r="J1847">
        <v>-0.01</v>
      </c>
    </row>
    <row r="1848" spans="1:10" x14ac:dyDescent="0.3">
      <c r="A1848" t="str">
        <f>HYPERLINK("https://us2.cloudbeds.com/connect/10074733072513#/reservations/30652752650462?display=YQ7QSVVC7&amp;reservation_id=30652752650462", "YQ7QSVVC7")</f>
        <v>YQ7QSVVC7</v>
      </c>
      <c r="B1848" t="s">
        <v>10</v>
      </c>
      <c r="C1848" t="s">
        <v>14</v>
      </c>
      <c r="D1848" t="str">
        <f>HYPERLINK("https://us2.cloudbeds.com/connect/10074733072513#/reservations/30652752650462?display=Thomas%20Woldt&amp;reservation_id=30652752650462&amp;guest_id=30652752650460", "Thomas Woldt")</f>
        <v>Thomas Woldt</v>
      </c>
      <c r="E1848" t="s">
        <v>894</v>
      </c>
      <c r="F1848" t="s">
        <v>887</v>
      </c>
      <c r="G1848">
        <v>90.07</v>
      </c>
      <c r="H1848">
        <v>97.9</v>
      </c>
      <c r="I1848">
        <v>97.91</v>
      </c>
      <c r="J1848">
        <v>-0.01</v>
      </c>
    </row>
    <row r="1849" spans="1:10" x14ac:dyDescent="0.3">
      <c r="A1849" t="str">
        <f>HYPERLINK("https://us2.cloudbeds.com/connect/10074733072513#/reservations/30651571056845?display=YQ6TMKC31&amp;reservation_id=30651571056845", "YQ6TMKC31")</f>
        <v>YQ6TMKC31</v>
      </c>
      <c r="B1849" t="s">
        <v>10</v>
      </c>
      <c r="C1849" t="s">
        <v>11</v>
      </c>
      <c r="D1849" t="str">
        <f>HYPERLINK("https://us2.cloudbeds.com/connect/10074733072513#/reservations/30651571056845?display=Edward%20Barrett&amp;reservation_id=30651571056845&amp;guest_id=30651571056843", "Edward Barrett")</f>
        <v>Edward Barrett</v>
      </c>
      <c r="E1849" t="s">
        <v>119</v>
      </c>
      <c r="F1849" t="s">
        <v>887</v>
      </c>
      <c r="G1849">
        <v>90.07</v>
      </c>
      <c r="H1849">
        <v>97.9</v>
      </c>
      <c r="I1849">
        <v>97.91</v>
      </c>
      <c r="J1849">
        <v>-0.01</v>
      </c>
    </row>
    <row r="1850" spans="1:10" x14ac:dyDescent="0.3">
      <c r="A1850" t="str">
        <f>HYPERLINK("https://us2.cloudbeds.com/connect/10074733072513#/reservations/30651945967755?display=YQ768ZQTN&amp;reservation_id=30651945967755", "YQ768ZQTN")</f>
        <v>YQ768ZQTN</v>
      </c>
      <c r="B1850" t="s">
        <v>10</v>
      </c>
      <c r="C1850" t="s">
        <v>42</v>
      </c>
      <c r="D1850" t="str">
        <f>HYPERLINK("https://us2.cloudbeds.com/connect/10074733072513#/reservations/30651945967755?display=Sheryl%20Hurley&amp;reservation_id=30651945967755&amp;guest_id=30651941703931", "Sheryl Hurley")</f>
        <v>Sheryl Hurley</v>
      </c>
      <c r="E1850" t="s">
        <v>895</v>
      </c>
      <c r="F1850" t="s">
        <v>887</v>
      </c>
      <c r="G1850">
        <v>144.1</v>
      </c>
      <c r="H1850">
        <v>156.63</v>
      </c>
      <c r="I1850">
        <v>156.63999999999999</v>
      </c>
      <c r="J1850">
        <v>-0.01</v>
      </c>
    </row>
    <row r="1851" spans="1:10" x14ac:dyDescent="0.3">
      <c r="A1851" t="str">
        <f>HYPERLINK("https://us2.cloudbeds.com/connect/10074733072513#/reservations/30651964383404?display=YQ76Z98GM&amp;reservation_id=30651964383404", "YQ76Z98GM")</f>
        <v>YQ76Z98GM</v>
      </c>
      <c r="B1851" t="s">
        <v>10</v>
      </c>
      <c r="C1851" t="s">
        <v>14</v>
      </c>
      <c r="D1851" t="str">
        <f>HYPERLINK("https://us2.cloudbeds.com/connect/10074733072513#/reservations/30651964383404?display=Janelle%20Sees&amp;reservation_id=30651964383404&amp;guest_id=30651964383401", "Janelle Sees")</f>
        <v>Janelle Sees</v>
      </c>
      <c r="E1851" t="s">
        <v>896</v>
      </c>
      <c r="F1851" t="s">
        <v>887</v>
      </c>
      <c r="G1851">
        <v>103.2</v>
      </c>
      <c r="H1851">
        <v>112.17</v>
      </c>
      <c r="I1851">
        <v>112.18</v>
      </c>
      <c r="J1851">
        <v>-0.01</v>
      </c>
    </row>
    <row r="1852" spans="1:10" x14ac:dyDescent="0.3">
      <c r="A1852" t="str">
        <f>HYPERLINK("https://us2.cloudbeds.com/connect/10074733072513#/reservations/30653539025145?display=YQ8DW1WH2&amp;reservation_id=30653539025145", "YQ8DW1WH2")</f>
        <v>YQ8DW1WH2</v>
      </c>
      <c r="B1852" t="s">
        <v>10</v>
      </c>
      <c r="C1852" t="s">
        <v>11</v>
      </c>
      <c r="D1852" t="str">
        <f>HYPERLINK("https://us2.cloudbeds.com/connect/10074733072513#/reservations/30653539025145?display=Kelsey%20Hunhoff&amp;reservation_id=30653539025145&amp;guest_id=30653539025143", "Kelsey Hunhoff")</f>
        <v>Kelsey Hunhoff</v>
      </c>
      <c r="E1852" t="s">
        <v>897</v>
      </c>
      <c r="F1852" t="s">
        <v>836</v>
      </c>
      <c r="G1852">
        <v>90.07</v>
      </c>
      <c r="H1852">
        <v>97.9</v>
      </c>
      <c r="I1852">
        <v>97.91</v>
      </c>
      <c r="J1852">
        <v>-0.01</v>
      </c>
    </row>
    <row r="1853" spans="1:10" x14ac:dyDescent="0.3">
      <c r="A1853" t="str">
        <f>HYPERLINK("https://us2.cloudbeds.com/connect/10074733072513#/reservations/30652851658888?display=YQ7TDF06X&amp;reservation_id=30652851658888", "YQ7TDF06X")</f>
        <v>YQ7TDF06X</v>
      </c>
      <c r="B1853" t="s">
        <v>10</v>
      </c>
      <c r="C1853" t="s">
        <v>20</v>
      </c>
      <c r="D1853" t="str">
        <f>HYPERLINK("https://us2.cloudbeds.com/connect/10074733072513#/reservations/30652851658888?display=First%20Name%20Not%20Provided%20Hoppe&amp;reservation_id=30652851658888&amp;guest_id=30652844421368", "First Name Not Provided Hoppe")</f>
        <v>First Name Not Provided Hoppe</v>
      </c>
      <c r="E1853" t="s">
        <v>898</v>
      </c>
      <c r="F1853" t="s">
        <v>887</v>
      </c>
      <c r="G1853">
        <v>170.1</v>
      </c>
      <c r="H1853">
        <v>184.89</v>
      </c>
      <c r="I1853">
        <v>184.9</v>
      </c>
      <c r="J1853">
        <v>-0.01</v>
      </c>
    </row>
    <row r="1854" spans="1:10" x14ac:dyDescent="0.3">
      <c r="A1854" t="str">
        <f>HYPERLINK("https://us2.cloudbeds.com/connect/10074733072513#/reservations/30654893973747?display=YQ9FJJE3K&amp;reservation_id=30654893973747", "YQ9FJJE3K")</f>
        <v>YQ9FJJE3K</v>
      </c>
      <c r="B1854" t="s">
        <v>10</v>
      </c>
      <c r="C1854" t="s">
        <v>42</v>
      </c>
      <c r="D1854" t="str">
        <f>HYPERLINK("https://us2.cloudbeds.com/connect/10074733072513#/reservations/30654893973747?display=Darwin%20&amp;%20Nancy%20Miiller&amp;reservation_id=30654893973747&amp;guest_id=30654893973698", "Darwin &amp; Nancy Miiller")</f>
        <v>Darwin &amp; Nancy Miiller</v>
      </c>
      <c r="E1854" t="s">
        <v>900</v>
      </c>
      <c r="F1854" t="s">
        <v>856</v>
      </c>
      <c r="G1854">
        <v>264</v>
      </c>
      <c r="H1854">
        <v>286.95999999999998</v>
      </c>
      <c r="I1854">
        <v>286.97000000000003</v>
      </c>
      <c r="J1854">
        <v>-0.01</v>
      </c>
    </row>
    <row r="1855" spans="1:10" x14ac:dyDescent="0.3">
      <c r="A1855" t="str">
        <f>HYPERLINK("https://us2.cloudbeds.com/connect/10074733072513#/reservations/30652266193137?display=YQ7EEPXE5&amp;reservation_id=30652266193137", "YQ7EEPXE5")</f>
        <v>YQ7EEPXE5</v>
      </c>
      <c r="B1855" t="s">
        <v>10</v>
      </c>
      <c r="C1855" t="s">
        <v>20</v>
      </c>
      <c r="D1855" t="str">
        <f>HYPERLINK("https://us2.cloudbeds.com/connect/10074733072513#/reservations/30652266193137?display=Garrett%20Hubbell&amp;reservation_id=30652266193137&amp;guest_id=30652258005153", "Garrett Hubbell")</f>
        <v>Garrett Hubbell</v>
      </c>
      <c r="E1855" t="s">
        <v>901</v>
      </c>
      <c r="F1855" t="s">
        <v>902</v>
      </c>
      <c r="G1855">
        <v>134.1</v>
      </c>
      <c r="H1855">
        <v>145.76</v>
      </c>
      <c r="I1855">
        <v>145.77000000000001</v>
      </c>
      <c r="J1855">
        <v>-0.01</v>
      </c>
    </row>
    <row r="1856" spans="1:10" x14ac:dyDescent="0.3">
      <c r="A1856" t="str">
        <f>HYPERLINK("https://us2.cloudbeds.com/connect/10074733072513#/reservations/30652009177222?display=YQ77T1NG3&amp;reservation_id=30652009177222", "YQ77T1NG3")</f>
        <v>YQ77T1NG3</v>
      </c>
      <c r="B1856" t="s">
        <v>10</v>
      </c>
      <c r="C1856" t="s">
        <v>14</v>
      </c>
      <c r="D1856" t="str">
        <f>HYPERLINK("https://us2.cloudbeds.com/connect/10074733072513#/reservations/30652009177222?display=Will%20Hulse&amp;reservation_id=30652009177222&amp;guest_id=30652009177219", "Will Hulse")</f>
        <v>Will Hulse</v>
      </c>
      <c r="E1856" t="s">
        <v>903</v>
      </c>
      <c r="F1856" t="s">
        <v>891</v>
      </c>
      <c r="G1856">
        <v>64.150000000000006</v>
      </c>
      <c r="H1856">
        <v>69.72</v>
      </c>
      <c r="I1856">
        <v>69.73</v>
      </c>
      <c r="J1856">
        <v>-0.01</v>
      </c>
    </row>
    <row r="1857" spans="1:10" x14ac:dyDescent="0.3">
      <c r="A1857" t="str">
        <f>HYPERLINK("https://us2.cloudbeds.com/connect/10074733072513#/reservations/30652929593527?display=YQ7VD5YH9&amp;reservation_id=30652929593527", "YQ7VD5YH9")</f>
        <v>YQ7VD5YH9</v>
      </c>
      <c r="B1857" t="s">
        <v>10</v>
      </c>
      <c r="C1857" t="s">
        <v>14</v>
      </c>
      <c r="D1857" t="str">
        <f>HYPERLINK("https://us2.cloudbeds.com/connect/10074733072513#/reservations/30652929593527?display=Mariah%20Burgett&amp;reservation_id=30652929593527&amp;guest_id=30652929593525", "Mariah Burgett")</f>
        <v>Mariah Burgett</v>
      </c>
      <c r="E1857" t="s">
        <v>904</v>
      </c>
      <c r="F1857" t="s">
        <v>905</v>
      </c>
      <c r="G1857">
        <v>72.17</v>
      </c>
      <c r="H1857">
        <v>78.44</v>
      </c>
      <c r="I1857">
        <v>78.45</v>
      </c>
      <c r="J1857">
        <v>-0.01</v>
      </c>
    </row>
    <row r="1858" spans="1:10" x14ac:dyDescent="0.3">
      <c r="A1858" t="str">
        <f>HYPERLINK("https://us2.cloudbeds.com/connect/10074733072513#/reservations/30655900844260?display=YQA8AK2P9&amp;reservation_id=30655900844260", "YQA8AK2P9")</f>
        <v>YQA8AK2P9</v>
      </c>
      <c r="B1858" t="s">
        <v>10</v>
      </c>
      <c r="C1858" t="s">
        <v>14</v>
      </c>
      <c r="D1858" t="str">
        <f>HYPERLINK("https://us2.cloudbeds.com/connect/10074733072513#/reservations/30655900844260?display=Peter%20Strong&amp;reservation_id=30655900844260&amp;guest_id=30655900844256", "Peter Strong")</f>
        <v>Peter Strong</v>
      </c>
      <c r="E1858" t="s">
        <v>906</v>
      </c>
      <c r="F1858" t="s">
        <v>907</v>
      </c>
      <c r="G1858">
        <v>64.150000000000006</v>
      </c>
      <c r="H1858">
        <v>69.72</v>
      </c>
      <c r="I1858">
        <v>69.73</v>
      </c>
      <c r="J1858">
        <v>-0.01</v>
      </c>
    </row>
    <row r="1859" spans="1:10" x14ac:dyDescent="0.3">
      <c r="A1859" t="str">
        <f>HYPERLINK("https://us2.cloudbeds.com/connect/10074733072513#/reservations/30653642825927?display=YQ8GKJD1A&amp;reservation_id=30653642825927", "YQ8GKJD1A")</f>
        <v>YQ8GKJD1A</v>
      </c>
      <c r="B1859" t="s">
        <v>10</v>
      </c>
      <c r="C1859" t="s">
        <v>11</v>
      </c>
      <c r="D1859" t="str">
        <f>HYPERLINK("https://us2.cloudbeds.com/connect/10074733072513#/reservations/30653642825927?display=Emily%20Voelker&amp;reservation_id=30653642825927&amp;guest_id=30653631377587", "Emily Voelker")</f>
        <v>Emily Voelker</v>
      </c>
      <c r="E1859" t="s">
        <v>796</v>
      </c>
      <c r="F1859" t="s">
        <v>908</v>
      </c>
      <c r="G1859">
        <v>345.18</v>
      </c>
      <c r="H1859">
        <v>375.2</v>
      </c>
      <c r="I1859">
        <v>375.21</v>
      </c>
      <c r="J1859">
        <v>-0.01</v>
      </c>
    </row>
    <row r="1860" spans="1:10" x14ac:dyDescent="0.3">
      <c r="A1860" t="str">
        <f>HYPERLINK("https://us2.cloudbeds.com/connect/10074733072513#/reservations/30652962128069?display=YQ7W7JW4G&amp;reservation_id=30652962128069", "YQ7W7JW4G")</f>
        <v>YQ7W7JW4G</v>
      </c>
      <c r="B1860" t="s">
        <v>10</v>
      </c>
      <c r="C1860" t="s">
        <v>11</v>
      </c>
      <c r="D1860" t="str">
        <f>HYPERLINK("https://us2.cloudbeds.com/connect/10074733072513#/reservations/30652962128069?display=Mary%20Leaver&amp;reservation_id=30652962128069&amp;guest_id=30652956991736", "Mary Leaver")</f>
        <v>Mary Leaver</v>
      </c>
      <c r="E1860" t="s">
        <v>909</v>
      </c>
      <c r="F1860" t="s">
        <v>910</v>
      </c>
      <c r="G1860">
        <v>103.2</v>
      </c>
      <c r="H1860">
        <v>112.17</v>
      </c>
      <c r="I1860">
        <v>112.18</v>
      </c>
      <c r="J1860">
        <v>-0.01</v>
      </c>
    </row>
    <row r="1861" spans="1:10" x14ac:dyDescent="0.3">
      <c r="A1861" t="str">
        <f>HYPERLINK("https://us2.cloudbeds.com/connect/10074733072513#/reservations/30652981862569?display=YQ7WZ83QK&amp;reservation_id=30652981862569", "YQ7WZ83QK")</f>
        <v>YQ7WZ83QK</v>
      </c>
      <c r="B1861" t="s">
        <v>10</v>
      </c>
      <c r="C1861" t="s">
        <v>20</v>
      </c>
      <c r="D1861" t="str">
        <f>HYPERLINK("https://us2.cloudbeds.com/connect/10074733072513#/reservations/30652981862569?display=Lidsay%20Dorneman&amp;reservation_id=30652981862569&amp;guest_id=30652967489694", "Lidsay Dorneman")</f>
        <v>Lidsay Dorneman</v>
      </c>
      <c r="E1861" t="s">
        <v>911</v>
      </c>
      <c r="F1861" t="s">
        <v>910</v>
      </c>
      <c r="G1861">
        <v>134.1</v>
      </c>
      <c r="H1861">
        <v>145.76</v>
      </c>
      <c r="I1861">
        <v>145.77000000000001</v>
      </c>
      <c r="J1861">
        <v>-0.01</v>
      </c>
    </row>
    <row r="1862" spans="1:10" x14ac:dyDescent="0.3">
      <c r="A1862" t="str">
        <f>HYPERLINK("https://us2.cloudbeds.com/connect/10074733072513#/reservations/30652424929422?display=YQ7XGKKPK&amp;reservation_id=30652424929422", "YQ7XGKKPK")</f>
        <v>YQ7XGKKPK</v>
      </c>
      <c r="B1862" t="s">
        <v>10</v>
      </c>
      <c r="C1862" t="s">
        <v>11</v>
      </c>
      <c r="D1862" t="str">
        <f>HYPERLINK("https://us2.cloudbeds.com/connect/10074733072513#/reservations/30652424929422?display=Dan%20Dobson&amp;reservation_id=30652424929422&amp;guest_id=30652424929417", "Dan Dobson")</f>
        <v>Dan Dobson</v>
      </c>
      <c r="E1862" t="s">
        <v>912</v>
      </c>
      <c r="F1862" t="s">
        <v>913</v>
      </c>
      <c r="G1862">
        <v>103.2</v>
      </c>
      <c r="H1862">
        <v>112.17</v>
      </c>
      <c r="I1862">
        <v>112.18</v>
      </c>
      <c r="J1862">
        <v>-0.01</v>
      </c>
    </row>
    <row r="1863" spans="1:10" x14ac:dyDescent="0.3">
      <c r="A1863" t="str">
        <f>HYPERLINK("https://us2.cloudbeds.com/connect/10074733072513#/reservations/30652250812634?display=YQ7E1QXUA&amp;reservation_id=30652250812634", "YQ7E1QXUA")</f>
        <v>YQ7E1QXUA</v>
      </c>
      <c r="B1863" t="s">
        <v>10</v>
      </c>
      <c r="C1863" t="s">
        <v>14</v>
      </c>
      <c r="D1863" t="str">
        <f>HYPERLINK("https://us2.cloudbeds.com/connect/10074733072513#/reservations/30652250812634?display=John%20Stockham&amp;reservation_id=30652250812634&amp;guest_id=30652250812631", "John Stockham")</f>
        <v>John Stockham</v>
      </c>
      <c r="E1863" t="s">
        <v>917</v>
      </c>
      <c r="F1863" t="s">
        <v>918</v>
      </c>
      <c r="G1863">
        <v>64.150000000000006</v>
      </c>
      <c r="H1863">
        <v>69.72</v>
      </c>
      <c r="I1863">
        <v>69.73</v>
      </c>
      <c r="J1863">
        <v>-0.01</v>
      </c>
    </row>
    <row r="1864" spans="1:10" x14ac:dyDescent="0.3">
      <c r="A1864" t="str">
        <f>HYPERLINK("https://us2.cloudbeds.com/connect/10074733072513#/reservations/30652349538509?display=YQ7GJ1P9G&amp;reservation_id=30652349538509", "YQ7GJ1P9G")</f>
        <v>YQ7GJ1P9G</v>
      </c>
      <c r="B1864" t="s">
        <v>10</v>
      </c>
      <c r="C1864" t="s">
        <v>11</v>
      </c>
      <c r="D1864" t="str">
        <f>HYPERLINK("https://us2.cloudbeds.com/connect/10074733072513#/reservations/30652349538509?display=Billie%20Hodgeman&amp;reservation_id=30652349538509&amp;guest_id=30652349534428", "Billie Hodgeman")</f>
        <v>Billie Hodgeman</v>
      </c>
      <c r="E1864" t="s">
        <v>920</v>
      </c>
      <c r="F1864" t="s">
        <v>921</v>
      </c>
      <c r="G1864">
        <v>64.150000000000006</v>
      </c>
      <c r="H1864">
        <v>69.72</v>
      </c>
      <c r="I1864">
        <v>69.73</v>
      </c>
      <c r="J1864">
        <v>-0.01</v>
      </c>
    </row>
    <row r="1865" spans="1:10" x14ac:dyDescent="0.3">
      <c r="A1865" t="str">
        <f>HYPERLINK("https://us2.cloudbeds.com/connect/10074733072513#/reservations/30653120921758?display=YQ839GY6F&amp;reservation_id=30653120921758", "YQ839GY6F")</f>
        <v>YQ839GY6F</v>
      </c>
      <c r="B1865" t="s">
        <v>10</v>
      </c>
      <c r="C1865" t="s">
        <v>11</v>
      </c>
      <c r="D1865" t="str">
        <f>HYPERLINK("https://us2.cloudbeds.com/connect/10074733072513#/reservations/30653120921758?display=Alex%20Mcglothlen&amp;reservation_id=30653120921758&amp;guest_id=30648491585743", "Alex Mcglothlen")</f>
        <v>Alex Mcglothlen</v>
      </c>
      <c r="E1865" t="s">
        <v>583</v>
      </c>
      <c r="F1865" t="s">
        <v>924</v>
      </c>
      <c r="G1865">
        <v>64.150000000000006</v>
      </c>
      <c r="H1865">
        <v>69.72</v>
      </c>
      <c r="I1865">
        <v>69.73</v>
      </c>
      <c r="J1865">
        <v>-0.01</v>
      </c>
    </row>
    <row r="1866" spans="1:10" x14ac:dyDescent="0.3">
      <c r="A1866" t="str">
        <f>HYPERLINK("https://us2.cloudbeds.com/connect/10074733072513#/reservations/30655241179351?display=YQ9ZFBUSX&amp;reservation_id=30655241179351", "YQ9ZFBUSX")</f>
        <v>YQ9ZFBUSX</v>
      </c>
      <c r="B1866" t="s">
        <v>10</v>
      </c>
      <c r="C1866" t="s">
        <v>14</v>
      </c>
      <c r="D1866" t="str">
        <f>HYPERLINK("https://us2.cloudbeds.com/connect/10074733072513#/reservations/30655241179351?display=Gordon%20Wichman&amp;reservation_id=30655241179351&amp;guest_id=30655241179334", "Gordon Wichman")</f>
        <v>Gordon Wichman</v>
      </c>
      <c r="E1866" t="s">
        <v>925</v>
      </c>
      <c r="F1866" t="s">
        <v>890</v>
      </c>
      <c r="G1866">
        <v>64.150000000000006</v>
      </c>
      <c r="H1866">
        <v>69.72</v>
      </c>
      <c r="I1866">
        <v>69.73</v>
      </c>
      <c r="J1866">
        <v>-0.01</v>
      </c>
    </row>
    <row r="1867" spans="1:10" x14ac:dyDescent="0.3">
      <c r="A1867" t="str">
        <f>HYPERLINK("https://us2.cloudbeds.com/connect/10074733072513#/reservations/30653475573969?display=YQ8CBXBW5&amp;reservation_id=30653475573969", "YQ8CBXBW5")</f>
        <v>YQ8CBXBW5</v>
      </c>
      <c r="B1867" t="s">
        <v>10</v>
      </c>
      <c r="C1867" t="s">
        <v>20</v>
      </c>
      <c r="D1867" t="str">
        <f>HYPERLINK("https://us2.cloudbeds.com/connect/10074733072513#/reservations/30653475573969?display=Melissa%20Schwingler&amp;reservation_id=30653475573969&amp;guest_id=30653475573966", "Melissa Schwingler")</f>
        <v>Melissa Schwingler</v>
      </c>
      <c r="E1867" t="s">
        <v>926</v>
      </c>
      <c r="F1867" t="s">
        <v>836</v>
      </c>
      <c r="G1867">
        <v>127.2</v>
      </c>
      <c r="H1867">
        <v>138.26</v>
      </c>
      <c r="I1867">
        <v>138.27000000000001</v>
      </c>
      <c r="J1867">
        <v>-0.01</v>
      </c>
    </row>
    <row r="1868" spans="1:10" x14ac:dyDescent="0.3">
      <c r="A1868" t="str">
        <f>HYPERLINK("https://us2.cloudbeds.com/connect/10074733072513#/reservations/30653882093706?display=YQ8MZBCB2&amp;reservation_id=30653882093706", "YQ8MZBCB2")</f>
        <v>YQ8MZBCB2</v>
      </c>
      <c r="B1868" t="s">
        <v>10</v>
      </c>
      <c r="C1868" t="s">
        <v>17</v>
      </c>
      <c r="D1868" t="str">
        <f>HYPERLINK("https://us2.cloudbeds.com/connect/10074733072513#/reservations/30653882093706?display=Lexi%20Henson&amp;reservation_id=30653882093706&amp;guest_id=30653882093701", "Lexi Henson")</f>
        <v>Lexi Henson</v>
      </c>
      <c r="E1868" t="s">
        <v>927</v>
      </c>
      <c r="F1868" t="s">
        <v>928</v>
      </c>
      <c r="G1868">
        <v>134.1</v>
      </c>
      <c r="H1868">
        <v>145.76</v>
      </c>
      <c r="I1868">
        <v>145.77000000000001</v>
      </c>
      <c r="J1868">
        <v>-0.01</v>
      </c>
    </row>
    <row r="1869" spans="1:10" x14ac:dyDescent="0.3">
      <c r="A1869" t="str">
        <f>HYPERLINK("https://us2.cloudbeds.com/connect/10074733072513#/reservations/30655963386067?display=YQA9UBD8X&amp;reservation_id=30655963386067", "YQA9UBD8X")</f>
        <v>YQA9UBD8X</v>
      </c>
      <c r="B1869" t="s">
        <v>10</v>
      </c>
      <c r="C1869" t="s">
        <v>11</v>
      </c>
      <c r="D1869" t="str">
        <f>HYPERLINK("https://us2.cloudbeds.com/connect/10074733072513#/reservations/30655963386067?display=Phaedra%20Victory&amp;reservation_id=30655963386067&amp;guest_id=30655963386061", "Phaedra Victory")</f>
        <v>Phaedra Victory</v>
      </c>
      <c r="E1869" t="s">
        <v>929</v>
      </c>
      <c r="F1869" t="s">
        <v>930</v>
      </c>
      <c r="G1869">
        <v>64.150000000000006</v>
      </c>
      <c r="H1869">
        <v>69.72</v>
      </c>
      <c r="I1869">
        <v>69.73</v>
      </c>
      <c r="J1869">
        <v>-0.01</v>
      </c>
    </row>
    <row r="1870" spans="1:10" x14ac:dyDescent="0.3">
      <c r="A1870" t="str">
        <f>HYPERLINK("https://us2.cloudbeds.com/connect/10074733072513#/reservations/30664565977274?display=YQGVZ961J&amp;reservation_id=30664565977274", "YQGVZ961J")</f>
        <v>YQGVZ961J</v>
      </c>
      <c r="B1870" t="s">
        <v>10</v>
      </c>
      <c r="C1870" t="s">
        <v>17</v>
      </c>
      <c r="D1870" t="str">
        <f>HYPERLINK("https://us2.cloudbeds.com/connect/10074733072513#/reservations/30664565977274?display=Terri%20Walker&amp;reservation_id=30664565977274&amp;guest_id=30664560529635", "Terri Walker")</f>
        <v>Terri Walker</v>
      </c>
      <c r="E1870" t="s">
        <v>933</v>
      </c>
      <c r="F1870" t="s">
        <v>934</v>
      </c>
      <c r="G1870">
        <v>356.4</v>
      </c>
      <c r="H1870">
        <v>387.4</v>
      </c>
      <c r="I1870">
        <v>387.41</v>
      </c>
      <c r="J1870">
        <v>-0.01</v>
      </c>
    </row>
    <row r="1871" spans="1:10" x14ac:dyDescent="0.3">
      <c r="A1871" t="str">
        <f>HYPERLINK("https://us2.cloudbeds.com/connect/10074733072513#/reservations/30656239677580?display=YQAGWAKFY&amp;reservation_id=30656239677580", "YQAGWAKFY")</f>
        <v>YQAGWAKFY</v>
      </c>
      <c r="B1871" t="s">
        <v>10</v>
      </c>
      <c r="C1871" t="s">
        <v>11</v>
      </c>
      <c r="D1871" t="str">
        <f>HYPERLINK("https://us2.cloudbeds.com/connect/10074733072513#/reservations/30656239677580?display=Jenn%20Seidell&amp;reservation_id=30656239677580&amp;guest_id=30656239677578", "Jenn Seidell")</f>
        <v>Jenn Seidell</v>
      </c>
      <c r="E1871" t="s">
        <v>935</v>
      </c>
      <c r="F1871" t="s">
        <v>936</v>
      </c>
      <c r="G1871">
        <v>103.2</v>
      </c>
      <c r="H1871">
        <v>112.17</v>
      </c>
      <c r="I1871">
        <v>112.18</v>
      </c>
      <c r="J1871">
        <v>-0.01</v>
      </c>
    </row>
    <row r="1872" spans="1:10" x14ac:dyDescent="0.3">
      <c r="A1872" t="str">
        <f>HYPERLINK("https://us2.cloudbeds.com/connect/10074733072513#/reservations/30656042672328?display=YQABV6YZH&amp;reservation_id=30656042672328", "YQABV6YZH")</f>
        <v>YQABV6YZH</v>
      </c>
      <c r="B1872" t="s">
        <v>10</v>
      </c>
      <c r="C1872" t="s">
        <v>20</v>
      </c>
      <c r="D1872" t="str">
        <f>HYPERLINK("https://us2.cloudbeds.com/connect/10074733072513#/reservations/30656042672328?display=Baylee%20Lukonen&amp;reservation_id=30656042672328&amp;guest_id=30656042672326", "Baylee Lukonen")</f>
        <v>Baylee Lukonen</v>
      </c>
      <c r="E1872" t="s">
        <v>937</v>
      </c>
      <c r="F1872" t="s">
        <v>797</v>
      </c>
      <c r="G1872">
        <v>134.1</v>
      </c>
      <c r="H1872">
        <v>145.76</v>
      </c>
      <c r="I1872">
        <v>145.77000000000001</v>
      </c>
      <c r="J1872">
        <v>-0.01</v>
      </c>
    </row>
    <row r="1873" spans="1:10" x14ac:dyDescent="0.3">
      <c r="A1873" t="str">
        <f>HYPERLINK("https://us2.cloudbeds.com/connect/10074733072513#/reservations/30656048119973?display=YQAC2Q85M&amp;reservation_id=30656048119973", "YQAC2Q85M")</f>
        <v>YQAC2Q85M</v>
      </c>
      <c r="B1873" t="s">
        <v>10</v>
      </c>
      <c r="C1873" t="s">
        <v>20</v>
      </c>
      <c r="D1873" t="str">
        <f>HYPERLINK("https://us2.cloudbeds.com/connect/10074733072513#/reservations/30656048119973?display=Olivia%20Wulff&amp;reservation_id=30656048119973&amp;guest_id=30656048119971", "Olivia Wulff")</f>
        <v>Olivia Wulff</v>
      </c>
      <c r="E1873" t="s">
        <v>937</v>
      </c>
      <c r="F1873" t="s">
        <v>797</v>
      </c>
      <c r="G1873">
        <v>134.1</v>
      </c>
      <c r="H1873">
        <v>145.76</v>
      </c>
      <c r="I1873">
        <v>145.77000000000001</v>
      </c>
      <c r="J1873">
        <v>-0.01</v>
      </c>
    </row>
    <row r="1874" spans="1:10" x14ac:dyDescent="0.3">
      <c r="A1874" t="str">
        <f>HYPERLINK("https://us2.cloudbeds.com/connect/10074733072513#/reservations/30651784171668?display=YQ724AJQW&amp;reservation_id=30651784171668", "YQ724AJQW")</f>
        <v>YQ724AJQW</v>
      </c>
      <c r="B1874" t="s">
        <v>10</v>
      </c>
      <c r="C1874" t="s">
        <v>11</v>
      </c>
      <c r="D1874" t="str">
        <f>HYPERLINK("https://us2.cloudbeds.com/connect/10074733072513#/reservations/30651784171668?display=Kurt%20Jackson&amp;reservation_id=30651784171668&amp;guest_id=30651784167603", "Kurt Jackson")</f>
        <v>Kurt Jackson</v>
      </c>
      <c r="E1874" t="s">
        <v>938</v>
      </c>
      <c r="F1874" t="s">
        <v>921</v>
      </c>
      <c r="G1874">
        <v>64.150000000000006</v>
      </c>
      <c r="H1874">
        <v>69.72</v>
      </c>
      <c r="I1874">
        <v>69.73</v>
      </c>
      <c r="J1874">
        <v>-0.01</v>
      </c>
    </row>
    <row r="1875" spans="1:10" x14ac:dyDescent="0.3">
      <c r="A1875" t="str">
        <f>HYPERLINK("https://us2.cloudbeds.com/connect/10074733072513#/reservations/30655707156691?display=YQA3C9EJ0&amp;reservation_id=30655707156691", "YQA3C9EJ0")</f>
        <v>YQA3C9EJ0</v>
      </c>
      <c r="B1875" t="s">
        <v>10</v>
      </c>
      <c r="C1875" t="s">
        <v>11</v>
      </c>
      <c r="D1875" t="str">
        <f>HYPERLINK("https://us2.cloudbeds.com/connect/10074733072513#/reservations/30655707156691?display=Kurt%20Jackson&amp;reservation_id=30655707156691&amp;guest_id=30651784167603", "Kurt Jackson")</f>
        <v>Kurt Jackson</v>
      </c>
      <c r="E1875" t="s">
        <v>938</v>
      </c>
      <c r="F1875" t="s">
        <v>939</v>
      </c>
      <c r="G1875">
        <v>64.150000000000006</v>
      </c>
      <c r="H1875">
        <v>69.72</v>
      </c>
      <c r="I1875">
        <v>69.73</v>
      </c>
      <c r="J1875">
        <v>-0.01</v>
      </c>
    </row>
    <row r="1876" spans="1:10" x14ac:dyDescent="0.3">
      <c r="A1876" t="str">
        <f>HYPERLINK("https://us2.cloudbeds.com/connect/10074733072513#/reservations/30652439957731?display=YQ7XT9QSU&amp;reservation_id=30652439957731", "YQ7XT9QSU")</f>
        <v>YQ7XT9QSU</v>
      </c>
      <c r="B1876" t="s">
        <v>10</v>
      </c>
      <c r="C1876" t="s">
        <v>14</v>
      </c>
      <c r="D1876" t="str">
        <f>HYPERLINK("https://us2.cloudbeds.com/connect/10074733072513#/reservations/30652439957731?display=Rudy%20Rudebusch&amp;reservation_id=30652439957731&amp;guest_id=30646853587092", "Rudy Rudebusch")</f>
        <v>Rudy Rudebusch</v>
      </c>
      <c r="E1876" t="s">
        <v>940</v>
      </c>
      <c r="F1876" t="s">
        <v>913</v>
      </c>
      <c r="G1876">
        <v>90.07</v>
      </c>
      <c r="H1876">
        <v>97.9</v>
      </c>
      <c r="I1876">
        <v>97.91</v>
      </c>
      <c r="J1876">
        <v>-0.01</v>
      </c>
    </row>
    <row r="1877" spans="1:10" x14ac:dyDescent="0.3">
      <c r="A1877" t="str">
        <f>HYPERLINK("https://us2.cloudbeds.com/connect/10074733072513#/reservations/30651863715979?display=YQ745D18Y&amp;reservation_id=30651863715979", "YQ745D18Y")</f>
        <v>YQ745D18Y</v>
      </c>
      <c r="B1877" t="s">
        <v>10</v>
      </c>
      <c r="C1877" t="s">
        <v>20</v>
      </c>
      <c r="D1877" t="str">
        <f>HYPERLINK("https://us2.cloudbeds.com/connect/10074733072513#/reservations/30651863715979?display=Ashley%20Jinson&amp;reservation_id=30651863715979&amp;guest_id=30651863711894", "Ashley Jinson")</f>
        <v>Ashley Jinson</v>
      </c>
      <c r="E1877" t="s">
        <v>941</v>
      </c>
      <c r="F1877" t="s">
        <v>942</v>
      </c>
      <c r="G1877">
        <v>403.3</v>
      </c>
      <c r="H1877">
        <v>438.38</v>
      </c>
      <c r="I1877">
        <v>438.39</v>
      </c>
      <c r="J1877">
        <v>-0.01</v>
      </c>
    </row>
    <row r="1878" spans="1:10" x14ac:dyDescent="0.3">
      <c r="A1878" t="str">
        <f>HYPERLINK("https://us2.cloudbeds.com/connect/10074733072513#/reservations/30653671776438?display=YQ8HBWWHH&amp;reservation_id=30653671776438", "YQ8HBWWHH")</f>
        <v>YQ8HBWWHH</v>
      </c>
      <c r="B1878" t="s">
        <v>10</v>
      </c>
      <c r="C1878" t="s">
        <v>14</v>
      </c>
      <c r="D1878" t="str">
        <f>HYPERLINK("https://us2.cloudbeds.com/connect/10074733072513#/reservations/30653671776438?display=Kory%20Bartels&amp;reservation_id=30653671776438&amp;guest_id=30653671776426", "Kory Bartels")</f>
        <v>Kory Bartels</v>
      </c>
      <c r="E1878" t="s">
        <v>943</v>
      </c>
      <c r="F1878" t="s">
        <v>908</v>
      </c>
      <c r="G1878">
        <v>64.150000000000006</v>
      </c>
      <c r="H1878">
        <v>69.72</v>
      </c>
      <c r="I1878">
        <v>69.73</v>
      </c>
      <c r="J1878">
        <v>-0.01</v>
      </c>
    </row>
    <row r="1879" spans="1:10" x14ac:dyDescent="0.3">
      <c r="A1879" t="str">
        <f>HYPERLINK("https://us2.cloudbeds.com/connect/10074733072513#/reservations/30655335481550?display=YQ9QST12V&amp;reservation_id=30655335481550", "YQ9QST12V")</f>
        <v>YQ9QST12V</v>
      </c>
      <c r="B1879" t="s">
        <v>10</v>
      </c>
      <c r="C1879" t="s">
        <v>17</v>
      </c>
      <c r="D1879" t="str">
        <f>HYPERLINK("https://us2.cloudbeds.com/connect/10074733072513#/reservations/30655335481550?display=Austin%20Krejdl&amp;reservation_id=30655335481550&amp;guest_id=30655335481548", "Austin Krejdl")</f>
        <v>Austin Krejdl</v>
      </c>
      <c r="E1879" t="s">
        <v>944</v>
      </c>
      <c r="F1879" t="s">
        <v>945</v>
      </c>
      <c r="G1879">
        <v>250.2</v>
      </c>
      <c r="H1879">
        <v>271.95999999999998</v>
      </c>
      <c r="I1879">
        <v>271.97000000000003</v>
      </c>
      <c r="J1879">
        <v>-0.01</v>
      </c>
    </row>
    <row r="1880" spans="1:10" x14ac:dyDescent="0.3">
      <c r="A1880" t="str">
        <f>HYPERLINK("https://us2.cloudbeds.com/connect/10074733072513#/reservations/30653685907653?display=YQ8HNU6S5&amp;reservation_id=30653685907653", "YQ8HNU6S5")</f>
        <v>YQ8HNU6S5</v>
      </c>
      <c r="B1880" t="s">
        <v>10</v>
      </c>
      <c r="C1880" t="s">
        <v>14</v>
      </c>
      <c r="D1880" t="str">
        <f>HYPERLINK("https://us2.cloudbeds.com/connect/10074733072513#/reservations/30653685907653?display=Andrea%20Peterson&amp;reservation_id=30653685907653&amp;guest_id=30653685903572", "Andrea Peterson")</f>
        <v>Andrea Peterson</v>
      </c>
      <c r="E1880" t="s">
        <v>946</v>
      </c>
      <c r="F1880" t="s">
        <v>908</v>
      </c>
      <c r="G1880">
        <v>64.150000000000006</v>
      </c>
      <c r="H1880">
        <v>69.72</v>
      </c>
      <c r="I1880">
        <v>69.73</v>
      </c>
      <c r="J1880">
        <v>-0.01</v>
      </c>
    </row>
    <row r="1881" spans="1:10" x14ac:dyDescent="0.3">
      <c r="A1881" t="str">
        <f>HYPERLINK("https://us2.cloudbeds.com/connect/10074733072513#/reservations/30653132062973?display=YQ83XTYT0&amp;reservation_id=30653132062973", "YQ83XTYT0")</f>
        <v>YQ83XTYT0</v>
      </c>
      <c r="B1881" t="s">
        <v>10</v>
      </c>
      <c r="C1881" t="s">
        <v>14</v>
      </c>
      <c r="D1881" t="str">
        <f>HYPERLINK("https://us2.cloudbeds.com/connect/10074733072513#/reservations/30653132062973?display=Josh%20Liestman&amp;reservation_id=30653132062973&amp;guest_id=30649738215582", "Josh Liestman")</f>
        <v>Josh Liestman</v>
      </c>
      <c r="E1881" t="s">
        <v>672</v>
      </c>
      <c r="F1881" t="s">
        <v>924</v>
      </c>
      <c r="G1881">
        <v>87.2</v>
      </c>
      <c r="H1881">
        <v>94.78</v>
      </c>
      <c r="I1881">
        <v>94.79</v>
      </c>
      <c r="J1881">
        <v>-0.01</v>
      </c>
    </row>
    <row r="1882" spans="1:10" x14ac:dyDescent="0.3">
      <c r="A1882" t="str">
        <f>HYPERLINK("https://us2.cloudbeds.com/connect/10074733072513#/reservations/30653136740480?display=YQ83MRNDG&amp;reservation_id=30653136740480", "YQ83MRNDG")</f>
        <v>YQ83MRNDG</v>
      </c>
      <c r="B1882" t="s">
        <v>10</v>
      </c>
      <c r="C1882" t="s">
        <v>14</v>
      </c>
      <c r="D1882" t="str">
        <f>HYPERLINK("https://us2.cloudbeds.com/connect/10074733072513#/reservations/30653136740480?display=Austin%20Mueller&amp;reservation_id=30653136740480&amp;guest_id=30651429703892", "Austin Mueller")</f>
        <v>Austin Mueller</v>
      </c>
      <c r="E1882" t="s">
        <v>672</v>
      </c>
      <c r="F1882" t="s">
        <v>924</v>
      </c>
      <c r="G1882">
        <v>87.2</v>
      </c>
      <c r="H1882">
        <v>94.78</v>
      </c>
      <c r="I1882">
        <v>94.79</v>
      </c>
      <c r="J1882">
        <v>-0.01</v>
      </c>
    </row>
    <row r="1883" spans="1:10" x14ac:dyDescent="0.3">
      <c r="A1883" t="str">
        <f>HYPERLINK("https://us2.cloudbeds.com/connect/10074733072513#/reservations/30653141672152?display=YQ83R01Z9&amp;reservation_id=30653141672152", "YQ83R01Z9")</f>
        <v>YQ83R01Z9</v>
      </c>
      <c r="B1883" t="s">
        <v>10</v>
      </c>
      <c r="C1883" t="s">
        <v>14</v>
      </c>
      <c r="D1883" t="str">
        <f>HYPERLINK("https://us2.cloudbeds.com/connect/10074733072513#/reservations/30653141672152?display=Ben%20Barnes&amp;reservation_id=30653141672152&amp;guest_id=30651429699797", "Ben Barnes")</f>
        <v>Ben Barnes</v>
      </c>
      <c r="E1883" t="s">
        <v>672</v>
      </c>
      <c r="F1883" t="s">
        <v>924</v>
      </c>
      <c r="G1883">
        <v>87.2</v>
      </c>
      <c r="H1883">
        <v>94.78</v>
      </c>
      <c r="I1883">
        <v>94.79</v>
      </c>
      <c r="J1883">
        <v>-0.01</v>
      </c>
    </row>
    <row r="1884" spans="1:10" x14ac:dyDescent="0.3">
      <c r="A1884" t="str">
        <f>HYPERLINK("https://us2.cloudbeds.com/connect/10074733072513#/reservations/30652193997048?display=YQ7CJTJYT&amp;reservation_id=30652193997048", "YQ7CJTJYT")</f>
        <v>YQ7CJTJYT</v>
      </c>
      <c r="B1884" t="s">
        <v>10</v>
      </c>
      <c r="C1884" t="s">
        <v>42</v>
      </c>
      <c r="D1884" t="str">
        <f>HYPERLINK("https://us2.cloudbeds.com/connect/10074733072513#/reservations/30652193997048?display=Laura%20Williams&amp;reservation_id=30652193997048&amp;guest_id=30652193997036", "Laura Williams")</f>
        <v>Laura Williams</v>
      </c>
      <c r="E1884" t="s">
        <v>947</v>
      </c>
      <c r="F1884" t="s">
        <v>913</v>
      </c>
      <c r="G1884">
        <v>174.4</v>
      </c>
      <c r="H1884">
        <v>189.56</v>
      </c>
      <c r="I1884">
        <v>189.57</v>
      </c>
      <c r="J1884">
        <v>-0.01</v>
      </c>
    </row>
    <row r="1885" spans="1:10" x14ac:dyDescent="0.3">
      <c r="A1885" t="str">
        <f>HYPERLINK("https://us2.cloudbeds.com/connect/10074733072513#/reservations/30654186238087?display=YQ8UGQY3F&amp;reservation_id=30654186238087", "YQ8UGQY3F")</f>
        <v>YQ8UGQY3F</v>
      </c>
      <c r="B1885" t="s">
        <v>10</v>
      </c>
      <c r="C1885" t="s">
        <v>14</v>
      </c>
      <c r="D1885" t="str">
        <f>HYPERLINK("https://us2.cloudbeds.com/connect/10074733072513#/reservations/30654186238087?display=Chad%20Humphrey&amp;reservation_id=30654186238087&amp;guest_id=30654186238083", "Chad Humphrey")</f>
        <v>Chad Humphrey</v>
      </c>
      <c r="E1885" t="s">
        <v>948</v>
      </c>
      <c r="F1885" t="s">
        <v>949</v>
      </c>
      <c r="G1885">
        <v>268.2</v>
      </c>
      <c r="H1885">
        <v>291.52</v>
      </c>
      <c r="I1885">
        <v>291.52999999999997</v>
      </c>
      <c r="J1885">
        <v>-0.01</v>
      </c>
    </row>
    <row r="1886" spans="1:10" x14ac:dyDescent="0.3">
      <c r="A1886" t="str">
        <f>HYPERLINK("https://us2.cloudbeds.com/connect/10074733072513#/reservations/30656322609310?display=YQAJ38AGC&amp;reservation_id=30656322609310", "YQAJ38AGC")</f>
        <v>YQAJ38AGC</v>
      </c>
      <c r="B1886" t="s">
        <v>10</v>
      </c>
      <c r="C1886" t="s">
        <v>14</v>
      </c>
      <c r="D1886" t="str">
        <f>HYPERLINK("https://us2.cloudbeds.com/connect/10074733072513#/reservations/30656322609310?display=Laura%20Toppenberg&amp;reservation_id=30656322609310&amp;guest_id=30646154567892", "Laura Toppenberg")</f>
        <v>Laura Toppenberg</v>
      </c>
      <c r="E1886" t="s">
        <v>15</v>
      </c>
      <c r="F1886" t="s">
        <v>950</v>
      </c>
      <c r="G1886">
        <v>285.60000000000002</v>
      </c>
      <c r="H1886">
        <v>310.44</v>
      </c>
      <c r="I1886">
        <v>310.45</v>
      </c>
      <c r="J1886">
        <v>-0.01</v>
      </c>
    </row>
    <row r="1887" spans="1:10" x14ac:dyDescent="0.3">
      <c r="A1887" t="str">
        <f>HYPERLINK("https://us2.cloudbeds.com/connect/10074733072513#/reservations/30659313111244?display=YQCTGUEK3&amp;reservation_id=30659313111244", "YQCTGUEK3")</f>
        <v>YQCTGUEK3</v>
      </c>
      <c r="B1887" t="s">
        <v>10</v>
      </c>
      <c r="C1887" t="s">
        <v>42</v>
      </c>
      <c r="D1887" t="str">
        <f>HYPERLINK("https://us2.cloudbeds.com/connect/10074733072513#/reservations/30659313111244?display=Katie%20Kubaki&amp;reservation_id=30659313111244&amp;guest_id=30659313111236", "Katie Kubaki")</f>
        <v>Katie Kubaki</v>
      </c>
      <c r="E1887" t="s">
        <v>951</v>
      </c>
      <c r="F1887" t="s">
        <v>952</v>
      </c>
      <c r="G1887">
        <v>258</v>
      </c>
      <c r="H1887">
        <v>280.44</v>
      </c>
      <c r="I1887">
        <v>280.45</v>
      </c>
      <c r="J1887">
        <v>-0.01</v>
      </c>
    </row>
    <row r="1888" spans="1:10" x14ac:dyDescent="0.3">
      <c r="A1888" t="str">
        <f>HYPERLINK("https://us2.cloudbeds.com/connect/10074733072513#/reservations/30652596629685?display=YQ7MTDEJT&amp;reservation_id=30652596629685", "YQ7MTDEJT")</f>
        <v>YQ7MTDEJT</v>
      </c>
      <c r="B1888" t="s">
        <v>10</v>
      </c>
      <c r="C1888" t="s">
        <v>14</v>
      </c>
      <c r="D1888" t="str">
        <f>HYPERLINK("https://us2.cloudbeds.com/connect/10074733072513#/reservations/30652596629685?display=Dan%20Hawrylyshen&amp;reservation_id=30652596629685&amp;guest_id=30652596629680", "Dan Hawrylyshen")</f>
        <v>Dan Hawrylyshen</v>
      </c>
      <c r="E1888" t="s">
        <v>953</v>
      </c>
      <c r="F1888" t="s">
        <v>954</v>
      </c>
      <c r="G1888">
        <v>64.150000000000006</v>
      </c>
      <c r="H1888">
        <v>69.72</v>
      </c>
      <c r="I1888">
        <v>69.73</v>
      </c>
      <c r="J1888">
        <v>-0.01</v>
      </c>
    </row>
    <row r="1889" spans="1:10" x14ac:dyDescent="0.3">
      <c r="A1889" t="str">
        <f>HYPERLINK("https://us2.cloudbeds.com/connect/10074733072513#/reservations/30653592424697?display=YQ8FB2TUA&amp;reservation_id=30653592424697", "YQ8FB2TUA")</f>
        <v>YQ8FB2TUA</v>
      </c>
      <c r="B1889" t="s">
        <v>10</v>
      </c>
      <c r="C1889" t="s">
        <v>20</v>
      </c>
      <c r="D1889" t="str">
        <f>HYPERLINK("https://us2.cloudbeds.com/connect/10074733072513#/reservations/30653592424697?display=Jeff%20Harris&amp;reservation_id=30653592424697&amp;guest_id=30653592424663", "Jeff Harris")</f>
        <v>Jeff Harris</v>
      </c>
      <c r="E1889" t="s">
        <v>957</v>
      </c>
      <c r="F1889" t="s">
        <v>923</v>
      </c>
      <c r="G1889">
        <v>134.1</v>
      </c>
      <c r="H1889">
        <v>145.76</v>
      </c>
      <c r="I1889">
        <v>145.77000000000001</v>
      </c>
      <c r="J1889">
        <v>-0.01</v>
      </c>
    </row>
    <row r="1890" spans="1:10" x14ac:dyDescent="0.3">
      <c r="A1890" t="str">
        <f>HYPERLINK("https://us2.cloudbeds.com/connect/10074733072513#/reservations/30652589703319?display=YQ7MNXNA0&amp;reservation_id=30652589703319", "YQ7MNXNA0")</f>
        <v>YQ7MNXNA0</v>
      </c>
      <c r="B1890" t="s">
        <v>10</v>
      </c>
      <c r="C1890" t="s">
        <v>14</v>
      </c>
      <c r="D1890" t="str">
        <f>HYPERLINK("https://us2.cloudbeds.com/connect/10074733072513#/reservations/30652589703319?display=Jose%20Dasilva&amp;reservation_id=30652589703319&amp;guest_id=30652589703317", "Jose Dasilva")</f>
        <v>Jose Dasilva</v>
      </c>
      <c r="E1890" t="s">
        <v>958</v>
      </c>
      <c r="F1890" t="s">
        <v>954</v>
      </c>
      <c r="G1890">
        <v>64.150000000000006</v>
      </c>
      <c r="H1890">
        <v>69.72</v>
      </c>
      <c r="I1890">
        <v>69.73</v>
      </c>
      <c r="J1890">
        <v>-0.01</v>
      </c>
    </row>
    <row r="1891" spans="1:10" x14ac:dyDescent="0.3">
      <c r="A1891" t="str">
        <f>HYPERLINK("https://us2.cloudbeds.com/connect/10074733072513#/reservations/30652184105181?display=YQ7CBXB7B&amp;reservation_id=30652184105181", "YQ7CBXB7B")</f>
        <v>YQ7CBXB7B</v>
      </c>
      <c r="B1891" t="s">
        <v>10</v>
      </c>
      <c r="C1891" t="s">
        <v>11</v>
      </c>
      <c r="D1891" t="str">
        <f>HYPERLINK("https://us2.cloudbeds.com/connect/10074733072513#/reservations/30652184105181?display=Tove%20Borgendale&amp;reservation_id=30652184105181&amp;guest_id=30652184105179", "Tove Borgendale")</f>
        <v>Tove Borgendale</v>
      </c>
      <c r="E1891" t="s">
        <v>959</v>
      </c>
      <c r="F1891" t="s">
        <v>913</v>
      </c>
      <c r="G1891">
        <v>90.07</v>
      </c>
      <c r="H1891">
        <v>97.9</v>
      </c>
      <c r="I1891">
        <v>97.91</v>
      </c>
      <c r="J1891">
        <v>-0.01</v>
      </c>
    </row>
    <row r="1892" spans="1:10" x14ac:dyDescent="0.3">
      <c r="A1892" t="str">
        <f>HYPERLINK("https://us2.cloudbeds.com/connect/10074733072513#/reservations/30652279021763?display=YQ7EPJHKD&amp;reservation_id=30652279021763", "YQ7EPJHKD")</f>
        <v>YQ7EPJHKD</v>
      </c>
      <c r="B1892" t="s">
        <v>10</v>
      </c>
      <c r="C1892" t="s">
        <v>20</v>
      </c>
      <c r="D1892" t="str">
        <f>HYPERLINK("https://us2.cloudbeds.com/connect/10074733072513#/reservations/30652279021763?display=Neisha%20Bjorklund&amp;reservation_id=30652279021763&amp;guest_id=30652274295019", "Neisha Bjorklund")</f>
        <v>Neisha Bjorklund</v>
      </c>
      <c r="E1892" t="s">
        <v>960</v>
      </c>
      <c r="F1892" t="s">
        <v>902</v>
      </c>
      <c r="G1892">
        <v>134.1</v>
      </c>
      <c r="H1892">
        <v>145.76</v>
      </c>
      <c r="I1892">
        <v>145.77000000000001</v>
      </c>
      <c r="J1892">
        <v>-0.01</v>
      </c>
    </row>
    <row r="1893" spans="1:10" x14ac:dyDescent="0.3">
      <c r="A1893" t="str">
        <f>HYPERLINK("https://us2.cloudbeds.com/connect/10074733072513#/reservations/30653761126549?display=YQ8JYB9CY&amp;reservation_id=30653761126549", "YQ8JYB9CY")</f>
        <v>YQ8JYB9CY</v>
      </c>
      <c r="B1893" t="s">
        <v>10</v>
      </c>
      <c r="C1893" t="s">
        <v>14</v>
      </c>
      <c r="D1893" t="str">
        <f>HYPERLINK("https://us2.cloudbeds.com/connect/10074733072513#/reservations/30653761126549?display=Lynnelle%20Anderson&amp;reservation_id=30653761126549&amp;guest_id=30649122865292", "Lynnelle Anderson")</f>
        <v>Lynnelle Anderson</v>
      </c>
      <c r="E1893" t="s">
        <v>961</v>
      </c>
      <c r="F1893" t="s">
        <v>962</v>
      </c>
      <c r="G1893">
        <v>103.2</v>
      </c>
      <c r="H1893">
        <v>112.17</v>
      </c>
      <c r="I1893">
        <v>112.18</v>
      </c>
      <c r="J1893">
        <v>-0.01</v>
      </c>
    </row>
    <row r="1894" spans="1:10" x14ac:dyDescent="0.3">
      <c r="A1894" t="str">
        <f>HYPERLINK("https://us2.cloudbeds.com/connect/10074733072513#/reservations/30652310167731?display=YQ7FXS74K&amp;reservation_id=30652310167731", "YQ7FXS74K")</f>
        <v>YQ7FXS74K</v>
      </c>
      <c r="B1894" t="s">
        <v>10</v>
      </c>
      <c r="C1894" t="s">
        <v>11</v>
      </c>
      <c r="D1894" t="str">
        <f>HYPERLINK("https://us2.cloudbeds.com/connect/10074733072513#/reservations/30652310167731?display=Brenda%20Decker&amp;reservation_id=30652310167731&amp;guest_id=30652310167682", "Brenda Decker")</f>
        <v>Brenda Decker</v>
      </c>
      <c r="E1894" t="s">
        <v>963</v>
      </c>
      <c r="F1894" t="s">
        <v>964</v>
      </c>
      <c r="G1894">
        <v>64.150000000000006</v>
      </c>
      <c r="H1894">
        <v>69.72</v>
      </c>
      <c r="I1894">
        <v>69.73</v>
      </c>
      <c r="J1894">
        <v>-0.01</v>
      </c>
    </row>
    <row r="1895" spans="1:10" x14ac:dyDescent="0.3">
      <c r="A1895" t="str">
        <f>HYPERLINK("https://us2.cloudbeds.com/connect/10074733072513#/reservations/30652267094240?display=YQ7EFHKTA&amp;reservation_id=30652267094240", "YQ7EFHKTA")</f>
        <v>YQ7EFHKTA</v>
      </c>
      <c r="B1895" t="s">
        <v>10</v>
      </c>
      <c r="C1895" t="s">
        <v>14</v>
      </c>
      <c r="D1895" t="str">
        <f>HYPERLINK("https://us2.cloudbeds.com/connect/10074733072513#/reservations/30652267094240?display=Tyler%20Tobin&amp;reservation_id=30652267094240&amp;guest_id=30652267094238", "Tyler Tobin")</f>
        <v>Tyler Tobin</v>
      </c>
      <c r="E1895" t="s">
        <v>967</v>
      </c>
      <c r="F1895" t="s">
        <v>667</v>
      </c>
      <c r="G1895">
        <v>72.17</v>
      </c>
      <c r="H1895">
        <v>78.44</v>
      </c>
      <c r="I1895">
        <v>78.45</v>
      </c>
      <c r="J1895">
        <v>-0.01</v>
      </c>
    </row>
    <row r="1896" spans="1:10" x14ac:dyDescent="0.3">
      <c r="A1896" t="str">
        <f>HYPERLINK("https://us2.cloudbeds.com/connect/10074733072513#/reservations/30653605609703?display=YQ8FM6QBV&amp;reservation_id=30653605609703", "YQ8FM6QBV")</f>
        <v>YQ8FM6QBV</v>
      </c>
      <c r="B1896" t="s">
        <v>10</v>
      </c>
      <c r="C1896" t="s">
        <v>20</v>
      </c>
      <c r="D1896" t="str">
        <f>HYPERLINK("https://us2.cloudbeds.com/connect/10074733072513#/reservations/30653605609703?display=Molli%20Hubbell&amp;reservation_id=30653605609703&amp;guest_id=30653605609665", "Molli Hubbell")</f>
        <v>Molli Hubbell</v>
      </c>
      <c r="E1896" t="s">
        <v>968</v>
      </c>
      <c r="F1896" t="s">
        <v>923</v>
      </c>
      <c r="G1896">
        <v>134.1</v>
      </c>
      <c r="H1896">
        <v>145.76</v>
      </c>
      <c r="I1896">
        <v>145.77000000000001</v>
      </c>
      <c r="J1896">
        <v>-0.01</v>
      </c>
    </row>
    <row r="1897" spans="1:10" x14ac:dyDescent="0.3">
      <c r="A1897" t="str">
        <f>HYPERLINK("https://us2.cloudbeds.com/connect/10074733072513#/reservations/30655932457134?display=YQA948P15&amp;reservation_id=30655932457134", "YQA948P15")</f>
        <v>YQA948P15</v>
      </c>
      <c r="B1897" t="s">
        <v>10</v>
      </c>
      <c r="C1897" t="s">
        <v>14</v>
      </c>
      <c r="D1897" t="str">
        <f>HYPERLINK("https://us2.cloudbeds.com/connect/10074733072513#/reservations/30655932457134?display=Katherine%20Schleif&amp;reservation_id=30655932457134&amp;guest_id=30655932457132", "Katherine Schleif")</f>
        <v>Katherine Schleif</v>
      </c>
      <c r="E1897" t="s">
        <v>971</v>
      </c>
      <c r="F1897" t="s">
        <v>962</v>
      </c>
      <c r="G1897">
        <v>103.2</v>
      </c>
      <c r="H1897">
        <v>112.17</v>
      </c>
      <c r="I1897">
        <v>112.18</v>
      </c>
      <c r="J1897">
        <v>-0.01</v>
      </c>
    </row>
    <row r="1898" spans="1:10" x14ac:dyDescent="0.3">
      <c r="A1898" t="str">
        <f>HYPERLINK("https://us2.cloudbeds.com/connect/10074733072513#/reservations/30654939443379?display=YQ9GZUMM8&amp;reservation_id=30654939443379", "YQ9GZUMM8")</f>
        <v>YQ9GZUMM8</v>
      </c>
      <c r="B1898" t="s">
        <v>10</v>
      </c>
      <c r="C1898" t="s">
        <v>42</v>
      </c>
      <c r="D1898" t="str">
        <f>HYPERLINK("https://us2.cloudbeds.com/connect/10074733072513#/reservations/30654939443379?display=Brenda%20Johnson&amp;reservation_id=30654939443379&amp;guest_id=30654939443361", "Brenda Johnson")</f>
        <v>Brenda Johnson</v>
      </c>
      <c r="E1898" t="s">
        <v>972</v>
      </c>
      <c r="F1898" t="s">
        <v>923</v>
      </c>
      <c r="G1898">
        <v>250.2</v>
      </c>
      <c r="H1898">
        <v>271.95999999999998</v>
      </c>
      <c r="I1898">
        <v>271.97000000000003</v>
      </c>
      <c r="J1898">
        <v>-0.01</v>
      </c>
    </row>
    <row r="1899" spans="1:10" x14ac:dyDescent="0.3">
      <c r="A1899" t="str">
        <f>HYPERLINK("https://us2.cloudbeds.com/connect/10074733072513#/reservations/30652608045209?display=YQ7N6135S&amp;reservation_id=30652608045209", "YQ7N6135S")</f>
        <v>YQ7N6135S</v>
      </c>
      <c r="B1899" t="s">
        <v>10</v>
      </c>
      <c r="C1899" t="s">
        <v>11</v>
      </c>
      <c r="D1899" t="str">
        <f>HYPERLINK("https://us2.cloudbeds.com/connect/10074733072513#/reservations/30652608045209?display=Tiffany%20Davis&amp;reservation_id=30652608045209&amp;guest_id=30652603130057", "Tiffany Davis")</f>
        <v>Tiffany Davis</v>
      </c>
      <c r="E1899" t="s">
        <v>929</v>
      </c>
      <c r="F1899" t="s">
        <v>774</v>
      </c>
      <c r="G1899">
        <v>64.150000000000006</v>
      </c>
      <c r="H1899">
        <v>69.72</v>
      </c>
      <c r="I1899">
        <v>69.73</v>
      </c>
      <c r="J1899">
        <v>-0.01</v>
      </c>
    </row>
    <row r="1900" spans="1:10" x14ac:dyDescent="0.3">
      <c r="A1900" t="str">
        <f>HYPERLINK("https://us2.cloudbeds.com/connect/10074733072513#/reservations/30652937625760?display=YQ7VJV5A9&amp;reservation_id=30652937625760", "YQ7VJV5A9")</f>
        <v>YQ7VJV5A9</v>
      </c>
      <c r="B1900" t="s">
        <v>10</v>
      </c>
      <c r="C1900" t="s">
        <v>17</v>
      </c>
      <c r="D1900" t="str">
        <f>HYPERLINK("https://us2.cloudbeds.com/connect/10074733072513#/reservations/30652937625760?display=Heidi%20Weber&amp;reservation_id=30652937625760&amp;guest_id=30652932128976", "Heidi Weber")</f>
        <v>Heidi Weber</v>
      </c>
      <c r="E1900" t="s">
        <v>973</v>
      </c>
      <c r="F1900" t="s">
        <v>974</v>
      </c>
      <c r="G1900">
        <v>134.1</v>
      </c>
      <c r="H1900">
        <v>145.76</v>
      </c>
      <c r="I1900">
        <v>145.77000000000001</v>
      </c>
      <c r="J1900">
        <v>-0.01</v>
      </c>
    </row>
    <row r="1901" spans="1:10" x14ac:dyDescent="0.3">
      <c r="A1901" t="str">
        <f>HYPERLINK("https://us2.cloudbeds.com/connect/10074733072513#/reservations/30652939509917?display=YQ7VYHJFV&amp;reservation_id=30652939509917", "YQ7VYHJFV")</f>
        <v>YQ7VYHJFV</v>
      </c>
      <c r="B1901" t="s">
        <v>10</v>
      </c>
      <c r="C1901" t="s">
        <v>14</v>
      </c>
      <c r="D1901" t="str">
        <f>HYPERLINK("https://us2.cloudbeds.com/connect/10074733072513#/reservations/30652939509917?display=April%20Burch&amp;reservation_id=30652939509917&amp;guest_id=30652939505836", "April Burch")</f>
        <v>April Burch</v>
      </c>
      <c r="E1901" t="s">
        <v>975</v>
      </c>
      <c r="F1901" t="s">
        <v>905</v>
      </c>
      <c r="G1901">
        <v>64.150000000000006</v>
      </c>
      <c r="H1901">
        <v>69.72</v>
      </c>
      <c r="I1901">
        <v>69.73</v>
      </c>
      <c r="J1901">
        <v>-0.01</v>
      </c>
    </row>
    <row r="1902" spans="1:10" x14ac:dyDescent="0.3">
      <c r="A1902" t="str">
        <f>HYPERLINK("https://us2.cloudbeds.com/connect/10074733072513#/reservations/30653706735745?display=YQ8X8FPZF&amp;reservation_id=30653706735745", "YQ8X8FPZF")</f>
        <v>YQ8X8FPZF</v>
      </c>
      <c r="B1902" t="s">
        <v>10</v>
      </c>
      <c r="C1902" t="s">
        <v>14</v>
      </c>
      <c r="D1902" t="str">
        <f>HYPERLINK("https://us2.cloudbeds.com/connect/10074733072513#/reservations/30653706735745?display=Kathleen%20White&amp;reservation_id=30653706735745&amp;guest_id=30653696721120", "Kathleen White")</f>
        <v>Kathleen White</v>
      </c>
      <c r="E1902" t="s">
        <v>977</v>
      </c>
      <c r="F1902" t="s">
        <v>905</v>
      </c>
      <c r="G1902">
        <v>64.150000000000006</v>
      </c>
      <c r="H1902">
        <v>69.72</v>
      </c>
      <c r="I1902">
        <v>69.73</v>
      </c>
      <c r="J1902">
        <v>-0.01</v>
      </c>
    </row>
    <row r="1903" spans="1:10" x14ac:dyDescent="0.3">
      <c r="A1903" t="str">
        <f>HYPERLINK("https://us2.cloudbeds.com/connect/10074733072513#/reservations/30653708222662?display=YQ8X9Z54X&amp;reservation_id=30653708222662", "YQ8X9Z54X")</f>
        <v>YQ8X9Z54X</v>
      </c>
      <c r="B1903" t="s">
        <v>10</v>
      </c>
      <c r="C1903" t="s">
        <v>14</v>
      </c>
      <c r="D1903" t="str">
        <f>HYPERLINK("https://us2.cloudbeds.com/connect/10074733072513#/reservations/30653708222662?display=Ed%20Reichling&amp;reservation_id=30653708222662&amp;guest_id=30653708218581", "Ed Reichling")</f>
        <v>Ed Reichling</v>
      </c>
      <c r="E1903" t="s">
        <v>978</v>
      </c>
      <c r="F1903" t="s">
        <v>905</v>
      </c>
      <c r="G1903">
        <v>64.150000000000006</v>
      </c>
      <c r="H1903">
        <v>69.72</v>
      </c>
      <c r="I1903">
        <v>69.73</v>
      </c>
      <c r="J1903">
        <v>-0.01</v>
      </c>
    </row>
    <row r="1904" spans="1:10" x14ac:dyDescent="0.3">
      <c r="A1904" t="str">
        <f>HYPERLINK("https://us2.cloudbeds.com/connect/10074733072513#/reservations/30653752905864?display=YQ8JEDHHW&amp;reservation_id=30653752905864", "YQ8JEDHHW")</f>
        <v>YQ8JEDHHW</v>
      </c>
      <c r="B1904" t="s">
        <v>10</v>
      </c>
      <c r="C1904" t="s">
        <v>14</v>
      </c>
      <c r="D1904" t="str">
        <f>HYPERLINK("https://us2.cloudbeds.com/connect/10074733072513#/reservations/30653752905864?display=Derrel%20Templeman&amp;reservation_id=30653752905864&amp;guest_id=30653752905858", "Derrel Templeman")</f>
        <v>Derrel Templeman</v>
      </c>
      <c r="E1904" t="s">
        <v>979</v>
      </c>
      <c r="F1904" t="s">
        <v>962</v>
      </c>
      <c r="G1904">
        <v>214.4</v>
      </c>
      <c r="H1904">
        <v>233.04</v>
      </c>
      <c r="I1904">
        <v>233.05</v>
      </c>
      <c r="J1904">
        <v>-0.01</v>
      </c>
    </row>
    <row r="1905" spans="1:10" x14ac:dyDescent="0.3">
      <c r="A1905" t="str">
        <f>HYPERLINK("https://us2.cloudbeds.com/connect/10074733072513#/reservations/30656155680924?display=YQAERG9XE&amp;reservation_id=30656155680924", "YQAERG9XE")</f>
        <v>YQAERG9XE</v>
      </c>
      <c r="B1905" t="s">
        <v>10</v>
      </c>
      <c r="C1905" t="s">
        <v>20</v>
      </c>
      <c r="D1905" t="str">
        <f>HYPERLINK("https://us2.cloudbeds.com/connect/10074733072513#/reservations/30656155680924?display=Toby%20Kangas&amp;reservation_id=30656155680924&amp;guest_id=30656155680912", "Toby Kangas")</f>
        <v>Toby Kangas</v>
      </c>
      <c r="E1905" t="s">
        <v>980</v>
      </c>
      <c r="F1905" t="s">
        <v>974</v>
      </c>
      <c r="G1905">
        <v>127.2</v>
      </c>
      <c r="H1905">
        <v>138.26</v>
      </c>
      <c r="I1905">
        <v>138.27000000000001</v>
      </c>
      <c r="J1905">
        <v>-0.01</v>
      </c>
    </row>
    <row r="1906" spans="1:10" x14ac:dyDescent="0.3">
      <c r="A1906" t="str">
        <f>HYPERLINK("https://us2.cloudbeds.com/connect/10074733072513#/reservations/30653712806047?display=YQ8XDJMV0&amp;reservation_id=30653712806047", "YQ8XDJMV0")</f>
        <v>YQ8XDJMV0</v>
      </c>
      <c r="B1906" t="s">
        <v>10</v>
      </c>
      <c r="C1906" t="s">
        <v>11</v>
      </c>
      <c r="D1906" t="str">
        <f>HYPERLINK("https://us2.cloudbeds.com/connect/10074733072513#/reservations/30653712806047?display=Ari%20Alvarez%20Solis&amp;reservation_id=30653712806047&amp;guest_id=30653712801963", "Ari Alvarez Solis")</f>
        <v>Ari Alvarez Solis</v>
      </c>
      <c r="E1906" t="s">
        <v>981</v>
      </c>
      <c r="F1906" t="s">
        <v>905</v>
      </c>
      <c r="G1906">
        <v>64.150000000000006</v>
      </c>
      <c r="H1906">
        <v>69.72</v>
      </c>
      <c r="I1906">
        <v>69.73</v>
      </c>
      <c r="J1906">
        <v>-0.01</v>
      </c>
    </row>
    <row r="1907" spans="1:10" x14ac:dyDescent="0.3">
      <c r="A1907" t="str">
        <f>HYPERLINK("https://us2.cloudbeds.com/connect/10074733072513#/reservations/30656246522105?display=YQAH532KG&amp;reservation_id=30656246522105", "YQAH532KG")</f>
        <v>YQAH532KG</v>
      </c>
      <c r="B1907" t="s">
        <v>10</v>
      </c>
      <c r="C1907" t="s">
        <v>20</v>
      </c>
      <c r="D1907" t="str">
        <f>HYPERLINK("https://us2.cloudbeds.com/connect/10074733072513#/reservations/30656246522105?display=Eric%20Jansson&amp;reservation_id=30656246522105&amp;guest_id=30656239681673", "Eric Jansson")</f>
        <v>Eric Jansson</v>
      </c>
      <c r="E1907" t="s">
        <v>982</v>
      </c>
      <c r="F1907" t="s">
        <v>936</v>
      </c>
      <c r="G1907">
        <v>103.2</v>
      </c>
      <c r="H1907">
        <v>112.17</v>
      </c>
      <c r="I1907">
        <v>112.18</v>
      </c>
      <c r="J1907">
        <v>-0.01</v>
      </c>
    </row>
    <row r="1908" spans="1:10" x14ac:dyDescent="0.3">
      <c r="A1908" t="str">
        <f>HYPERLINK("https://us2.cloudbeds.com/connect/10074733072513#/reservations/30655613751520?display=YQA0WHA29&amp;reservation_id=30655613751520", "YQA0WHA29")</f>
        <v>YQA0WHA29</v>
      </c>
      <c r="B1908" t="s">
        <v>10</v>
      </c>
      <c r="C1908" t="s">
        <v>14</v>
      </c>
      <c r="D1908" t="str">
        <f>HYPERLINK("https://us2.cloudbeds.com/connect/10074733072513#/reservations/30655613751520?display=Michael%20Roggow&amp;reservation_id=30655613751520&amp;guest_id=30655613747429", "Michael Roggow")</f>
        <v>Michael Roggow</v>
      </c>
      <c r="E1908" t="s">
        <v>985</v>
      </c>
      <c r="F1908" t="s">
        <v>986</v>
      </c>
      <c r="G1908">
        <v>134.1</v>
      </c>
      <c r="H1908">
        <v>145.76</v>
      </c>
      <c r="I1908">
        <v>145.77000000000001</v>
      </c>
      <c r="J1908">
        <v>-0.01</v>
      </c>
    </row>
    <row r="1909" spans="1:10" x14ac:dyDescent="0.3">
      <c r="A1909" t="str">
        <f>HYPERLINK("https://us2.cloudbeds.com/connect/10074733072513#/reservations/30656240767139?display=YQAH07UWJ&amp;reservation_id=30656240767139", "YQAH07UWJ")</f>
        <v>YQAH07UWJ</v>
      </c>
      <c r="B1909" t="s">
        <v>10</v>
      </c>
      <c r="C1909" t="s">
        <v>14</v>
      </c>
      <c r="D1909" t="str">
        <f>HYPERLINK("https://us2.cloudbeds.com/connect/10074733072513#/reservations/30656240767139?display=Joshua%20Pickinpaugh&amp;reservation_id=30656240767139&amp;guest_id=30656240767134", "Joshua Pickinpaugh")</f>
        <v>Joshua Pickinpaugh</v>
      </c>
      <c r="E1909" t="s">
        <v>987</v>
      </c>
      <c r="F1909" t="s">
        <v>988</v>
      </c>
      <c r="G1909">
        <v>87.2</v>
      </c>
      <c r="H1909">
        <v>94.78</v>
      </c>
      <c r="I1909">
        <v>94.79</v>
      </c>
      <c r="J1909">
        <v>-0.01</v>
      </c>
    </row>
    <row r="1910" spans="1:10" x14ac:dyDescent="0.3">
      <c r="A1910" t="str">
        <f>HYPERLINK("https://us2.cloudbeds.com/connect/10074733072513#/reservations/30653613453521?display=YQ8FSR24D&amp;reservation_id=30653613453521", "YQ8FSR24D")</f>
        <v>YQ8FSR24D</v>
      </c>
      <c r="B1910" t="s">
        <v>10</v>
      </c>
      <c r="C1910" t="s">
        <v>20</v>
      </c>
      <c r="D1910" t="str">
        <f>HYPERLINK("https://us2.cloudbeds.com/connect/10074733072513#/reservations/30653613453521?display=Jaime%20Lopez&amp;reservation_id=30653613453521&amp;guest_id=30653613453513", "Jaime Lopez")</f>
        <v>Jaime Lopez</v>
      </c>
      <c r="E1910" t="s">
        <v>990</v>
      </c>
      <c r="F1910" t="s">
        <v>923</v>
      </c>
      <c r="G1910">
        <v>134.1</v>
      </c>
      <c r="H1910">
        <v>145.76</v>
      </c>
      <c r="I1910">
        <v>145.77000000000001</v>
      </c>
      <c r="J1910">
        <v>-0.01</v>
      </c>
    </row>
    <row r="1911" spans="1:10" x14ac:dyDescent="0.3">
      <c r="A1911" t="str">
        <f>HYPERLINK("https://us2.cloudbeds.com/connect/10074733072513#/reservations/30653855379632?display=YQ8M1R0GM&amp;reservation_id=30653855379632", "YQ8M1R0GM")</f>
        <v>YQ8M1R0GM</v>
      </c>
      <c r="B1911" t="s">
        <v>10</v>
      </c>
      <c r="C1911" t="s">
        <v>11</v>
      </c>
      <c r="D1911" t="str">
        <f>HYPERLINK("https://us2.cloudbeds.com/connect/10074733072513#/reservations/30653855379632?display=Paula%20Kroger&amp;reservation_id=30653855379632&amp;guest_id=30653855379627", "Paula Kroger")</f>
        <v>Paula Kroger</v>
      </c>
      <c r="E1911" t="s">
        <v>991</v>
      </c>
      <c r="F1911" t="s">
        <v>984</v>
      </c>
      <c r="G1911">
        <v>72.17</v>
      </c>
      <c r="H1911">
        <v>78.44</v>
      </c>
      <c r="I1911">
        <v>78.45</v>
      </c>
      <c r="J1911">
        <v>-0.01</v>
      </c>
    </row>
    <row r="1912" spans="1:10" x14ac:dyDescent="0.3">
      <c r="A1912" t="str">
        <f>HYPERLINK("https://us2.cloudbeds.com/connect/10074733072513#/reservations/30653703864544?display=YQ8X61T6C&amp;reservation_id=30653703864544", "YQ8X61T6C")</f>
        <v>YQ8X61T6C</v>
      </c>
      <c r="B1912" t="s">
        <v>10</v>
      </c>
      <c r="C1912" t="s">
        <v>14</v>
      </c>
      <c r="D1912" t="str">
        <f>HYPERLINK("https://us2.cloudbeds.com/connect/10074733072513#/reservations/30653703864544?display=Amanda%20Treloar&amp;reservation_id=30653703864544&amp;guest_id=30653703864542", "Amanda Treloar")</f>
        <v>Amanda Treloar</v>
      </c>
      <c r="E1912" t="s">
        <v>992</v>
      </c>
      <c r="F1912" t="s">
        <v>993</v>
      </c>
      <c r="G1912">
        <v>103.2</v>
      </c>
      <c r="H1912">
        <v>112.17</v>
      </c>
      <c r="I1912">
        <v>112.18</v>
      </c>
      <c r="J1912">
        <v>-0.01</v>
      </c>
    </row>
    <row r="1913" spans="1:10" x14ac:dyDescent="0.3">
      <c r="A1913" t="str">
        <f>HYPERLINK("https://us2.cloudbeds.com/connect/10074733072513#/reservations/30652649930882?display=YQ7Z8BKMM&amp;reservation_id=30652649930882", "YQ7Z8BKMM")</f>
        <v>YQ7Z8BKMM</v>
      </c>
      <c r="B1913" t="s">
        <v>10</v>
      </c>
      <c r="C1913" t="s">
        <v>42</v>
      </c>
      <c r="D1913" t="str">
        <f>HYPERLINK("https://us2.cloudbeds.com/connect/10074733072513#/reservations/30652649930882?display=Tristan%20Rhodes&amp;reservation_id=30652649930882&amp;guest_id=30652646588575", "Tristan Rhodes")</f>
        <v>Tristan Rhodes</v>
      </c>
      <c r="E1913" t="s">
        <v>994</v>
      </c>
      <c r="F1913" t="s">
        <v>984</v>
      </c>
      <c r="G1913">
        <v>103.2</v>
      </c>
      <c r="H1913">
        <v>112.17</v>
      </c>
      <c r="I1913">
        <v>112.18</v>
      </c>
      <c r="J1913">
        <v>-0.01</v>
      </c>
    </row>
    <row r="1914" spans="1:10" x14ac:dyDescent="0.3">
      <c r="A1914" t="str">
        <f>HYPERLINK("https://us2.cloudbeds.com/connect/10074733072513#/reservations/30656104046776?display=YQADGVG99&amp;reservation_id=30656104046776", "YQADGVG99")</f>
        <v>YQADGVG99</v>
      </c>
      <c r="B1914" t="s">
        <v>10</v>
      </c>
      <c r="C1914" t="s">
        <v>14</v>
      </c>
      <c r="D1914" t="str">
        <f>HYPERLINK("https://us2.cloudbeds.com/connect/10074733072513#/reservations/30656104046776?display=Robert%20Badal&amp;reservation_id=30656104046776&amp;guest_id=30656104046774", "Robert Badal")</f>
        <v>Robert Badal</v>
      </c>
      <c r="E1914" t="s">
        <v>995</v>
      </c>
      <c r="F1914" t="s">
        <v>996</v>
      </c>
      <c r="G1914">
        <v>87.2</v>
      </c>
      <c r="H1914">
        <v>94.78</v>
      </c>
      <c r="I1914">
        <v>94.79</v>
      </c>
      <c r="J1914">
        <v>-0.01</v>
      </c>
    </row>
    <row r="1915" spans="1:10" x14ac:dyDescent="0.3">
      <c r="A1915" t="str">
        <f>HYPERLINK("https://us2.cloudbeds.com/connect/10074733072513#/reservations/30653847515329?display=YQ8YS65UF&amp;reservation_id=30653847515329", "YQ8YS65UF")</f>
        <v>YQ8YS65UF</v>
      </c>
      <c r="B1915" t="s">
        <v>10</v>
      </c>
      <c r="C1915" t="s">
        <v>20</v>
      </c>
      <c r="D1915" t="str">
        <f>HYPERLINK("https://us2.cloudbeds.com/connect/10074733072513#/reservations/30653847515329?display=Douglas%20Stark&amp;reservation_id=30653847515329&amp;guest_id=30653840248992", "Douglas Stark")</f>
        <v>Douglas Stark</v>
      </c>
      <c r="E1915" t="s">
        <v>997</v>
      </c>
      <c r="F1915" t="s">
        <v>984</v>
      </c>
      <c r="G1915">
        <v>87.2</v>
      </c>
      <c r="H1915">
        <v>94.78</v>
      </c>
      <c r="I1915">
        <v>94.79</v>
      </c>
      <c r="J1915">
        <v>-0.01</v>
      </c>
    </row>
    <row r="1916" spans="1:10" x14ac:dyDescent="0.3">
      <c r="A1916" t="str">
        <f>HYPERLINK("https://us2.cloudbeds.com/connect/10074733072513#/reservations/30656139165916?display=YQAEDXZ8Y&amp;reservation_id=30656139165916", "YQAEDXZ8Y")</f>
        <v>YQAEDXZ8Y</v>
      </c>
      <c r="B1916" t="s">
        <v>10</v>
      </c>
      <c r="C1916" t="s">
        <v>20</v>
      </c>
      <c r="D1916" t="str">
        <f>HYPERLINK("https://us2.cloudbeds.com/connect/10074733072513#/reservations/30656139165916?display=Lanae%20Kriz&amp;reservation_id=30656139165916&amp;guest_id=30656139161810", "Lanae Kriz")</f>
        <v>Lanae Kriz</v>
      </c>
      <c r="E1916" t="s">
        <v>998</v>
      </c>
      <c r="F1916" t="s">
        <v>999</v>
      </c>
      <c r="G1916">
        <v>87.2</v>
      </c>
      <c r="H1916">
        <v>94.78</v>
      </c>
      <c r="I1916">
        <v>94.79</v>
      </c>
      <c r="J1916">
        <v>-0.01</v>
      </c>
    </row>
    <row r="1917" spans="1:10" x14ac:dyDescent="0.3">
      <c r="A1917" t="str">
        <f>HYPERLINK("https://us2.cloudbeds.com/connect/10074733072513#/reservations/30656065433812?display=YQACHD10F&amp;reservation_id=30656065433812", "YQACHD10F")</f>
        <v>YQACHD10F</v>
      </c>
      <c r="B1917" t="s">
        <v>10</v>
      </c>
      <c r="C1917" t="s">
        <v>42</v>
      </c>
      <c r="D1917" t="str">
        <f>HYPERLINK("https://us2.cloudbeds.com/connect/10074733072513#/reservations/30656065433812?display=Nathan%20Bogel&amp;reservation_id=30656065433812&amp;guest_id=30656065429722", "Nathan Bogel")</f>
        <v>Nathan Bogel</v>
      </c>
      <c r="E1917" t="s">
        <v>1000</v>
      </c>
      <c r="F1917" t="s">
        <v>996</v>
      </c>
      <c r="G1917">
        <v>534.6</v>
      </c>
      <c r="H1917">
        <v>581.1</v>
      </c>
      <c r="I1917">
        <v>581.11</v>
      </c>
      <c r="J1917">
        <v>-0.01</v>
      </c>
    </row>
    <row r="1918" spans="1:10" x14ac:dyDescent="0.3">
      <c r="A1918" t="str">
        <f>HYPERLINK("https://us2.cloudbeds.com/connect/10074733072513#/reservations/30653887221939?display=YQ8MSM2F2&amp;reservation_id=30653887221939", "YQ8MSM2F2")</f>
        <v>YQ8MSM2F2</v>
      </c>
      <c r="B1918" t="s">
        <v>10</v>
      </c>
      <c r="C1918" t="s">
        <v>11</v>
      </c>
      <c r="D1918" t="str">
        <f>HYPERLINK("https://us2.cloudbeds.com/connect/10074733072513#/reservations/30653887221939?display=Bryce%20E%20Twiss&amp;reservation_id=30653887221939&amp;guest_id=30653887221927", "Bryce E Twiss")</f>
        <v>Bryce E Twiss</v>
      </c>
      <c r="E1918" t="s">
        <v>1001</v>
      </c>
      <c r="F1918" t="s">
        <v>1002</v>
      </c>
      <c r="G1918">
        <v>250.2</v>
      </c>
      <c r="H1918">
        <v>271.95999999999998</v>
      </c>
      <c r="I1918">
        <v>271.97000000000003</v>
      </c>
      <c r="J1918">
        <v>-0.01</v>
      </c>
    </row>
    <row r="1919" spans="1:10" x14ac:dyDescent="0.3">
      <c r="A1919" t="str">
        <f>HYPERLINK("https://us2.cloudbeds.com/connect/10074733072513#/reservations/30652276310226?display=YQ7ENA2MK&amp;reservation_id=30652276310226", "YQ7ENA2MK")</f>
        <v>YQ7ENA2MK</v>
      </c>
      <c r="B1919" t="s">
        <v>10</v>
      </c>
      <c r="C1919" t="s">
        <v>14</v>
      </c>
      <c r="D1919" t="str">
        <f>HYPERLINK("https://us2.cloudbeds.com/connect/10074733072513#/reservations/30652276310226?display=Jared%20Wauters&amp;reservation_id=30652276310226&amp;guest_id=30652276310224", "Jared Wauters")</f>
        <v>Jared Wauters</v>
      </c>
      <c r="E1919" t="s">
        <v>1003</v>
      </c>
      <c r="F1919" t="s">
        <v>667</v>
      </c>
      <c r="G1919">
        <v>64.150000000000006</v>
      </c>
      <c r="H1919">
        <v>69.72</v>
      </c>
      <c r="I1919">
        <v>69.73</v>
      </c>
      <c r="J1919">
        <v>-0.01</v>
      </c>
    </row>
    <row r="1920" spans="1:10" x14ac:dyDescent="0.3">
      <c r="A1920" t="str">
        <f>HYPERLINK("https://us2.cloudbeds.com/connect/10074733072513#/reservations/30652288893127?display=YQ7F0U77Y&amp;reservation_id=30652288893127", "YQ7F0U77Y")</f>
        <v>YQ7F0U77Y</v>
      </c>
      <c r="B1920" t="s">
        <v>10</v>
      </c>
      <c r="C1920" t="s">
        <v>14</v>
      </c>
      <c r="D1920" t="str">
        <f>HYPERLINK("https://us2.cloudbeds.com/connect/10074733072513#/reservations/30652288893127?display=Kathy%20Beach&amp;reservation_id=30652288893127&amp;guest_id=30652288893125", "Kathy Beach")</f>
        <v>Kathy Beach</v>
      </c>
      <c r="E1920" t="s">
        <v>1005</v>
      </c>
      <c r="F1920" t="s">
        <v>667</v>
      </c>
      <c r="G1920">
        <v>64.150000000000006</v>
      </c>
      <c r="H1920">
        <v>69.72</v>
      </c>
      <c r="I1920">
        <v>69.73</v>
      </c>
      <c r="J1920">
        <v>-0.01</v>
      </c>
    </row>
    <row r="1921" spans="1:10" x14ac:dyDescent="0.3">
      <c r="A1921" t="str">
        <f>HYPERLINK("https://us2.cloudbeds.com/connect/10074733072513#/reservations/30652285784221?display=YQ7EV9NDC&amp;reservation_id=30652285784221", "YQ7EV9NDC")</f>
        <v>YQ7EV9NDC</v>
      </c>
      <c r="B1921" t="s">
        <v>10</v>
      </c>
      <c r="C1921" t="s">
        <v>11</v>
      </c>
      <c r="D1921" t="str">
        <f>HYPERLINK("https://us2.cloudbeds.com/connect/10074733072513#/reservations/30652285784221?display=Peter%20Frederick%20Graham&amp;reservation_id=30652285784221&amp;guest_id=30652276314317", "Peter Frederick Graham")</f>
        <v>Peter Frederick Graham</v>
      </c>
      <c r="E1921" t="s">
        <v>1006</v>
      </c>
      <c r="F1921" t="s">
        <v>667</v>
      </c>
      <c r="G1921">
        <v>72.17</v>
      </c>
      <c r="H1921">
        <v>78.44</v>
      </c>
      <c r="I1921">
        <v>78.45</v>
      </c>
      <c r="J1921">
        <v>-0.01</v>
      </c>
    </row>
    <row r="1922" spans="1:10" x14ac:dyDescent="0.3">
      <c r="A1922" t="str">
        <f>HYPERLINK("https://us2.cloudbeds.com/connect/10074733072513#/reservations/30653990707399?display=YQ8PGUNE3&amp;reservation_id=30653990707399", "YQ8PGUNE3")</f>
        <v>YQ8PGUNE3</v>
      </c>
      <c r="B1922" t="s">
        <v>10</v>
      </c>
      <c r="C1922" t="s">
        <v>11</v>
      </c>
      <c r="D1922" t="str">
        <f>HYPERLINK("https://us2.cloudbeds.com/connect/10074733072513#/reservations/30653990707399?display=Michael%20Oberlitner&amp;reservation_id=30653990707399&amp;guest_id=30653990707396", "Michael Oberlitner")</f>
        <v>Michael Oberlitner</v>
      </c>
      <c r="E1922" t="s">
        <v>1009</v>
      </c>
      <c r="F1922" t="s">
        <v>1010</v>
      </c>
      <c r="G1922">
        <v>304.44</v>
      </c>
      <c r="H1922">
        <v>330.92</v>
      </c>
      <c r="I1922">
        <v>330.93</v>
      </c>
      <c r="J1922">
        <v>-0.01</v>
      </c>
    </row>
    <row r="1923" spans="1:10" x14ac:dyDescent="0.3">
      <c r="A1923" t="str">
        <f>HYPERLINK("https://us2.cloudbeds.com/connect/10074733072513#/reservations/30657142816987?display=YQB71SQJF&amp;reservation_id=30657142816987", "YQB71SQJF")</f>
        <v>YQB71SQJF</v>
      </c>
      <c r="B1923" t="s">
        <v>10</v>
      </c>
      <c r="C1923" t="s">
        <v>42</v>
      </c>
      <c r="D1923" t="str">
        <f>HYPERLINK("https://us2.cloudbeds.com/connect/10074733072513#/reservations/30657142816987?display=Devin%20Haynes&amp;reservation_id=30657142816987&amp;guest_id=30657125224584", "Devin Haynes")</f>
        <v>Devin Haynes</v>
      </c>
      <c r="E1923" t="s">
        <v>1011</v>
      </c>
      <c r="F1923" t="s">
        <v>1012</v>
      </c>
      <c r="G1923">
        <v>196.2</v>
      </c>
      <c r="H1923">
        <v>213.26</v>
      </c>
      <c r="I1923">
        <v>213.27</v>
      </c>
      <c r="J1923">
        <v>-0.01</v>
      </c>
    </row>
    <row r="1924" spans="1:10" x14ac:dyDescent="0.3">
      <c r="A1924" t="str">
        <f>HYPERLINK("https://us2.cloudbeds.com/connect/10074733072513#/reservations/30656228176071?display=YQAGMKXV2&amp;reservation_id=30656228176071", "YQAGMKXV2")</f>
        <v>YQAGMKXV2</v>
      </c>
      <c r="B1924" t="s">
        <v>10</v>
      </c>
      <c r="C1924" t="s">
        <v>14</v>
      </c>
      <c r="D1924" t="str">
        <f>HYPERLINK("https://us2.cloudbeds.com/connect/10074733072513#/reservations/30656228176071?display=Jason%20Eastman&amp;reservation_id=30656228176071&amp;guest_id=30656228172021", "Jason Eastman")</f>
        <v>Jason Eastman</v>
      </c>
      <c r="E1924" t="s">
        <v>1014</v>
      </c>
      <c r="F1924" t="s">
        <v>936</v>
      </c>
      <c r="G1924">
        <v>267.3</v>
      </c>
      <c r="H1924">
        <v>290.55</v>
      </c>
      <c r="I1924">
        <v>290.56</v>
      </c>
      <c r="J1924">
        <v>-0.01</v>
      </c>
    </row>
    <row r="1925" spans="1:10" x14ac:dyDescent="0.3">
      <c r="A1925" t="str">
        <f>HYPERLINK("https://us2.cloudbeds.com/connect/10074733072513#/reservations/30653005848769?display=YQ80BFXN6&amp;reservation_id=30653005848769", "YQ80BFXN6")</f>
        <v>YQ80BFXN6</v>
      </c>
      <c r="B1925" t="s">
        <v>10</v>
      </c>
      <c r="C1925" t="s">
        <v>11</v>
      </c>
      <c r="D1925" t="str">
        <f>HYPERLINK("https://us2.cloudbeds.com/connect/10074733072513#/reservations/30653005848769?display=Jorge%20Cayetano%20De%20Jesus&amp;reservation_id=30653005848769&amp;guest_id=30653005844723", "Jorge Cayetano De Jesus")</f>
        <v>Jorge Cayetano De Jesus</v>
      </c>
      <c r="E1925" t="s">
        <v>1015</v>
      </c>
      <c r="F1925" t="s">
        <v>956</v>
      </c>
      <c r="G1925">
        <v>500.86</v>
      </c>
      <c r="H1925">
        <v>544.41999999999996</v>
      </c>
      <c r="I1925">
        <v>544.42999999999995</v>
      </c>
      <c r="J1925">
        <v>-0.01</v>
      </c>
    </row>
    <row r="1926" spans="1:10" x14ac:dyDescent="0.3">
      <c r="A1926" t="str">
        <f>HYPERLINK("https://us2.cloudbeds.com/connect/10074733072513#/reservations/30653972787389?display=YQ8P1R1VG&amp;reservation_id=30653972787389", "YQ8P1R1VG")</f>
        <v>YQ8P1R1VG</v>
      </c>
      <c r="B1926" t="s">
        <v>10</v>
      </c>
      <c r="C1926" t="s">
        <v>11</v>
      </c>
      <c r="D1926" t="str">
        <f>HYPERLINK("https://us2.cloudbeds.com/connect/10074733072513#/reservations/30653972787389?display=Alex%20Mcglothlen&amp;reservation_id=30653972787389&amp;guest_id=30648491585743", "Alex Mcglothlen")</f>
        <v>Alex Mcglothlen</v>
      </c>
      <c r="E1926" t="s">
        <v>583</v>
      </c>
      <c r="F1926" t="s">
        <v>473</v>
      </c>
      <c r="G1926">
        <v>64.150000000000006</v>
      </c>
      <c r="H1926">
        <v>69.72</v>
      </c>
      <c r="I1926">
        <v>69.73</v>
      </c>
      <c r="J1926">
        <v>-0.01</v>
      </c>
    </row>
    <row r="1927" spans="1:10" x14ac:dyDescent="0.3">
      <c r="A1927" t="str">
        <f>HYPERLINK("https://us2.cloudbeds.com/connect/10074733072513#/reservations/30660236116213?display=YQDK37DZY&amp;reservation_id=30660236116213", "YQDK37DZY")</f>
        <v>YQDK37DZY</v>
      </c>
      <c r="B1927" t="s">
        <v>10</v>
      </c>
      <c r="C1927" t="s">
        <v>23</v>
      </c>
      <c r="D1927" t="str">
        <f>HYPERLINK("https://us2.cloudbeds.com/connect/10074733072513#/reservations/30660236116213?display=Marla%20Sunberg&amp;reservation_id=30660236116213&amp;guest_id=30660236116200", "Marla Sunberg")</f>
        <v>Marla Sunberg</v>
      </c>
      <c r="E1927" t="s">
        <v>1016</v>
      </c>
      <c r="F1927" t="s">
        <v>1017</v>
      </c>
      <c r="G1927">
        <v>288.2</v>
      </c>
      <c r="H1927">
        <v>313.26</v>
      </c>
      <c r="I1927">
        <v>313.27</v>
      </c>
      <c r="J1927">
        <v>-0.01</v>
      </c>
    </row>
    <row r="1928" spans="1:10" x14ac:dyDescent="0.3">
      <c r="A1928" t="str">
        <f>HYPERLINK("https://us2.cloudbeds.com/connect/10074733072513#/reservations/30656230363364?display=YQAGZFEFM&amp;reservation_id=30656230363364", "YQAGZFEFM")</f>
        <v>YQAGZFEFM</v>
      </c>
      <c r="B1928" t="s">
        <v>10</v>
      </c>
      <c r="C1928" t="s">
        <v>42</v>
      </c>
      <c r="D1928" t="str">
        <f>HYPERLINK("https://us2.cloudbeds.com/connect/10074733072513#/reservations/30656230363364?display=Martin%20Cahoy&amp;reservation_id=30656230363364&amp;guest_id=30656230363358", "Martin Cahoy")</f>
        <v>Martin Cahoy</v>
      </c>
      <c r="E1928" t="s">
        <v>1018</v>
      </c>
      <c r="F1928" t="s">
        <v>988</v>
      </c>
      <c r="G1928">
        <v>84.15</v>
      </c>
      <c r="H1928">
        <v>91.46</v>
      </c>
      <c r="I1928">
        <v>91.47</v>
      </c>
      <c r="J1928">
        <v>-0.01</v>
      </c>
    </row>
    <row r="1929" spans="1:10" x14ac:dyDescent="0.3">
      <c r="A1929" t="str">
        <f>HYPERLINK("https://us2.cloudbeds.com/connect/10074733072513#/reservations/30652812914817?display=YQ7SDPTHQ&amp;reservation_id=30652812914817", "YQ7SDPTHQ")</f>
        <v>YQ7SDPTHQ</v>
      </c>
      <c r="B1929" t="s">
        <v>10</v>
      </c>
      <c r="C1929" t="s">
        <v>23</v>
      </c>
      <c r="D1929" t="str">
        <f>HYPERLINK("https://us2.cloudbeds.com/connect/10074733072513#/reservations/30652812914817?display=Beth%20Foss&amp;reservation_id=30652812914817&amp;guest_id=30652812910783", "Beth Foss")</f>
        <v>Beth Foss</v>
      </c>
      <c r="E1929" t="s">
        <v>1019</v>
      </c>
      <c r="F1929" t="s">
        <v>1002</v>
      </c>
      <c r="G1929">
        <v>250.2</v>
      </c>
      <c r="H1929">
        <v>271.95999999999998</v>
      </c>
      <c r="I1929">
        <v>271.97000000000003</v>
      </c>
      <c r="J1929">
        <v>-0.01</v>
      </c>
    </row>
    <row r="1930" spans="1:10" x14ac:dyDescent="0.3">
      <c r="A1930" t="str">
        <f>HYPERLINK("https://us2.cloudbeds.com/connect/10074733072513#/reservations/30656454529168?display=YQAMFG60R&amp;reservation_id=30656454529168", "YQAMFG60R")</f>
        <v>YQAMFG60R</v>
      </c>
      <c r="B1930" t="s">
        <v>10</v>
      </c>
      <c r="C1930" t="s">
        <v>42</v>
      </c>
      <c r="D1930" t="str">
        <f>HYPERLINK("https://us2.cloudbeds.com/connect/10074733072513#/reservations/30656454529168?display=Brett%20Anderson&amp;reservation_id=30656454529168&amp;guest_id=30656454525073", "Brett Anderson")</f>
        <v>Brett Anderson</v>
      </c>
      <c r="E1930" t="s">
        <v>1020</v>
      </c>
      <c r="F1930" t="s">
        <v>1021</v>
      </c>
      <c r="G1930">
        <v>277.2</v>
      </c>
      <c r="H1930">
        <v>301.31</v>
      </c>
      <c r="I1930">
        <v>301.32</v>
      </c>
      <c r="J1930">
        <v>-0.01</v>
      </c>
    </row>
    <row r="1931" spans="1:10" x14ac:dyDescent="0.3">
      <c r="A1931" t="str">
        <f>HYPERLINK("https://us2.cloudbeds.com/connect/10074733072513#/reservations/30654283931874?display=YQ90063Z8&amp;reservation_id=30654283931874", "YQ90063Z8")</f>
        <v>YQ90063Z8</v>
      </c>
      <c r="B1931" t="s">
        <v>10</v>
      </c>
      <c r="C1931" t="s">
        <v>42</v>
      </c>
      <c r="D1931" t="str">
        <f>HYPERLINK("https://us2.cloudbeds.com/connect/10074733072513#/reservations/30654283931874?display=Andy%20Dziadek&amp;reservation_id=30654283931874&amp;guest_id=30654283927789", "Andy Dziadek")</f>
        <v>Andy Dziadek</v>
      </c>
      <c r="E1931" t="s">
        <v>1022</v>
      </c>
      <c r="F1931" t="s">
        <v>1023</v>
      </c>
      <c r="G1931">
        <v>250.2</v>
      </c>
      <c r="H1931">
        <v>271.95999999999998</v>
      </c>
      <c r="I1931">
        <v>271.97000000000003</v>
      </c>
      <c r="J1931">
        <v>-0.01</v>
      </c>
    </row>
    <row r="1932" spans="1:10" x14ac:dyDescent="0.3">
      <c r="A1932" t="str">
        <f>HYPERLINK("https://us2.cloudbeds.com/connect/10074733072513#/reservations/30651561881745?display=YQ6TET1RN&amp;reservation_id=30651561881745", "YQ6TET1RN")</f>
        <v>YQ6TET1RN</v>
      </c>
      <c r="B1932" t="s">
        <v>10</v>
      </c>
      <c r="C1932" t="s">
        <v>20</v>
      </c>
      <c r="D1932" t="str">
        <f>HYPERLINK("https://us2.cloudbeds.com/connect/10074733072513#/reservations/30651561881745?display=Justine%20Conlan&amp;reservation_id=30651561881745&amp;guest_id=30651561881739", "Justine Conlan")</f>
        <v>Justine Conlan</v>
      </c>
      <c r="E1932" t="s">
        <v>1024</v>
      </c>
      <c r="F1932" t="s">
        <v>1025</v>
      </c>
      <c r="G1932">
        <v>366.6</v>
      </c>
      <c r="H1932">
        <v>398.48</v>
      </c>
      <c r="I1932">
        <v>398.49</v>
      </c>
      <c r="J1932">
        <v>-0.01</v>
      </c>
    </row>
    <row r="1933" spans="1:10" x14ac:dyDescent="0.3">
      <c r="A1933" t="str">
        <f>HYPERLINK("https://us2.cloudbeds.com/connect/10074733072513#/reservations/30652664234147?display=YQ7ZKDKWV&amp;reservation_id=30652664234147", "YQ7ZKDKWV")</f>
        <v>YQ7ZKDKWV</v>
      </c>
      <c r="B1933" t="s">
        <v>10</v>
      </c>
      <c r="C1933" t="s">
        <v>42</v>
      </c>
      <c r="D1933" t="str">
        <f>HYPERLINK("https://us2.cloudbeds.com/connect/10074733072513#/reservations/30652664234147?display=Christine%20Newton&amp;reservation_id=30652664234147&amp;guest_id=30652654436495", "Christine Newton")</f>
        <v>Christine Newton</v>
      </c>
      <c r="E1933" t="s">
        <v>1028</v>
      </c>
      <c r="F1933" t="s">
        <v>974</v>
      </c>
      <c r="G1933">
        <v>250.2</v>
      </c>
      <c r="H1933">
        <v>271.95999999999998</v>
      </c>
      <c r="I1933">
        <v>271.97000000000003</v>
      </c>
      <c r="J1933">
        <v>-0.01</v>
      </c>
    </row>
    <row r="1934" spans="1:10" x14ac:dyDescent="0.3">
      <c r="A1934" t="str">
        <f>HYPERLINK("https://us2.cloudbeds.com/connect/10074733072513#/reservations/30652994453699?display=YQ801SFU1&amp;reservation_id=30652994453699", "YQ801SFU1")</f>
        <v>YQ801SFU1</v>
      </c>
      <c r="B1934" t="s">
        <v>10</v>
      </c>
      <c r="C1934" t="s">
        <v>14</v>
      </c>
      <c r="D1934" t="str">
        <f>HYPERLINK("https://us2.cloudbeds.com/connect/10074733072513#/reservations/30652994453699?display=Don%20Jankowski&amp;reservation_id=30652994453699&amp;guest_id=30652990054614", "Don Jankowski")</f>
        <v>Don Jankowski</v>
      </c>
      <c r="E1934" t="s">
        <v>1029</v>
      </c>
      <c r="F1934" t="s">
        <v>1030</v>
      </c>
      <c r="G1934">
        <v>64.150000000000006</v>
      </c>
      <c r="H1934">
        <v>69.72</v>
      </c>
      <c r="I1934">
        <v>69.73</v>
      </c>
      <c r="J1934">
        <v>-0.01</v>
      </c>
    </row>
    <row r="1935" spans="1:10" x14ac:dyDescent="0.3">
      <c r="A1935" t="str">
        <f>HYPERLINK("https://us2.cloudbeds.com/connect/10074733072513#/reservations/30656116535456?display=YQADRG0A4&amp;reservation_id=30656116535456", "YQADRG0A4")</f>
        <v>YQADRG0A4</v>
      </c>
      <c r="B1935" t="s">
        <v>10</v>
      </c>
      <c r="C1935" t="s">
        <v>42</v>
      </c>
      <c r="D1935" t="str">
        <f>HYPERLINK("https://us2.cloudbeds.com/connect/10074733072513#/reservations/30656116535456?display=Judy%20Coyle&amp;reservation_id=30656116535456&amp;guest_id=30656116535447", "Judy Coyle")</f>
        <v>Judy Coyle</v>
      </c>
      <c r="E1935" t="s">
        <v>1031</v>
      </c>
      <c r="F1935" t="s">
        <v>848</v>
      </c>
      <c r="G1935">
        <v>250.2</v>
      </c>
      <c r="H1935">
        <v>271.95999999999998</v>
      </c>
      <c r="I1935">
        <v>271.97000000000003</v>
      </c>
      <c r="J1935">
        <v>-0.01</v>
      </c>
    </row>
    <row r="1936" spans="1:10" x14ac:dyDescent="0.3">
      <c r="A1936" t="str">
        <f>HYPERLINK("https://us2.cloudbeds.com/connect/10074733072513#/reservations/30653013098634?display=YQ80HJA22&amp;reservation_id=30653013098634", "YQ80HJA22")</f>
        <v>YQ80HJA22</v>
      </c>
      <c r="B1936" t="s">
        <v>10</v>
      </c>
      <c r="C1936" t="s">
        <v>14</v>
      </c>
      <c r="D1936" t="str">
        <f>HYPERLINK("https://us2.cloudbeds.com/connect/10074733072513#/reservations/30653013098634?display=Scott%20Anderson&amp;reservation_id=30653013098634&amp;guest_id=30653013098629", "Scott Anderson")</f>
        <v>Scott Anderson</v>
      </c>
      <c r="E1936" t="s">
        <v>1032</v>
      </c>
      <c r="F1936" t="s">
        <v>956</v>
      </c>
      <c r="G1936">
        <v>64.150000000000006</v>
      </c>
      <c r="H1936">
        <v>69.72</v>
      </c>
      <c r="I1936">
        <v>69.73</v>
      </c>
      <c r="J1936">
        <v>-0.01</v>
      </c>
    </row>
    <row r="1937" spans="1:10" x14ac:dyDescent="0.3">
      <c r="A1937" t="str">
        <f>HYPERLINK("https://us2.cloudbeds.com/connect/10074733072513#/reservations/30652965228672?display=YQ7WA74KW&amp;reservation_id=30652965228672", "YQ7WA74KW")</f>
        <v>YQ7WA74KW</v>
      </c>
      <c r="B1937" t="s">
        <v>10</v>
      </c>
      <c r="C1937" t="s">
        <v>20</v>
      </c>
      <c r="D1937" t="str">
        <f>HYPERLINK("https://us2.cloudbeds.com/connect/10074733072513#/reservations/30652965228672?display=Amber%20Fields&amp;reservation_id=30652965228672&amp;guest_id=30652965224626", "Amber Fields")</f>
        <v>Amber Fields</v>
      </c>
      <c r="E1937" t="s">
        <v>1033</v>
      </c>
      <c r="F1937" t="s">
        <v>974</v>
      </c>
      <c r="G1937">
        <v>250.2</v>
      </c>
      <c r="H1937">
        <v>271.95999999999998</v>
      </c>
      <c r="I1937">
        <v>271.97000000000003</v>
      </c>
      <c r="J1937">
        <v>-0.01</v>
      </c>
    </row>
    <row r="1938" spans="1:10" x14ac:dyDescent="0.3">
      <c r="A1938" t="str">
        <f>HYPERLINK("https://us2.cloudbeds.com/connect/10074733072513#/reservations/30654082203847?display=YQ8RS2Z6Z&amp;reservation_id=30654082203847", "YQ8RS2Z6Z")</f>
        <v>YQ8RS2Z6Z</v>
      </c>
      <c r="B1938" t="s">
        <v>10</v>
      </c>
      <c r="C1938" t="s">
        <v>42</v>
      </c>
      <c r="D1938" t="str">
        <f>HYPERLINK("https://us2.cloudbeds.com/connect/10074733072513#/reservations/30654082203847?display=Deb%20Kinghorn&amp;reservation_id=30654082203847&amp;guest_id=30654082203843", "Deb Kinghorn")</f>
        <v>Deb Kinghorn</v>
      </c>
      <c r="E1938" t="s">
        <v>1035</v>
      </c>
      <c r="F1938" t="s">
        <v>1036</v>
      </c>
      <c r="G1938">
        <v>250.2</v>
      </c>
      <c r="H1938">
        <v>271.95999999999998</v>
      </c>
      <c r="I1938">
        <v>271.97000000000003</v>
      </c>
      <c r="J1938">
        <v>-0.01</v>
      </c>
    </row>
    <row r="1939" spans="1:10" x14ac:dyDescent="0.3">
      <c r="A1939" t="str">
        <f>HYPERLINK("https://us2.cloudbeds.com/connect/10074733072513#/reservations/30653020381407?display=YQ80NNVY5&amp;reservation_id=30653020381407", "YQ80NNVY5")</f>
        <v>YQ80NNVY5</v>
      </c>
      <c r="B1939" t="s">
        <v>10</v>
      </c>
      <c r="C1939" t="s">
        <v>14</v>
      </c>
      <c r="D1939" t="str">
        <f>HYPERLINK("https://us2.cloudbeds.com/connect/10074733072513#/reservations/30653020381407?display=Travis%20Beran&amp;reservation_id=30653020381407&amp;guest_id=30653020381402", "Travis Beran")</f>
        <v>Travis Beran</v>
      </c>
      <c r="E1939" t="s">
        <v>1032</v>
      </c>
      <c r="F1939" t="s">
        <v>956</v>
      </c>
      <c r="G1939">
        <v>64.150000000000006</v>
      </c>
      <c r="H1939">
        <v>69.72</v>
      </c>
      <c r="I1939">
        <v>69.73</v>
      </c>
      <c r="J1939">
        <v>-0.01</v>
      </c>
    </row>
    <row r="1940" spans="1:10" x14ac:dyDescent="0.3">
      <c r="A1940" t="str">
        <f>HYPERLINK("https://us2.cloudbeds.com/connect/10074733072513#/reservations/30658141995161?display=YQBWJDDXV&amp;reservation_id=30658141995161", "YQBWJDDXV")</f>
        <v>YQBWJDDXV</v>
      </c>
      <c r="B1940" t="s">
        <v>10</v>
      </c>
      <c r="C1940" t="s">
        <v>42</v>
      </c>
      <c r="D1940" t="str">
        <f>HYPERLINK("https://us2.cloudbeds.com/connect/10074733072513#/reservations/30658141995161?display=Karen%20Mossefin&amp;reservation_id=30658141995161&amp;guest_id=30658141995158", "Karen Mossefin")</f>
        <v>Karen Mossefin</v>
      </c>
      <c r="E1940" t="s">
        <v>1037</v>
      </c>
      <c r="F1940" t="s">
        <v>1038</v>
      </c>
      <c r="G1940">
        <v>304.2</v>
      </c>
      <c r="H1940">
        <v>330.66</v>
      </c>
      <c r="I1940">
        <v>330.67</v>
      </c>
      <c r="J1940">
        <v>-0.01</v>
      </c>
    </row>
    <row r="1941" spans="1:10" x14ac:dyDescent="0.3">
      <c r="A1941" t="str">
        <f>HYPERLINK("https://us2.cloudbeds.com/connect/10074733072513#/reservations/30653928501393?display=YQ8NUFZ9J&amp;reservation_id=30653928501393", "YQ8NUFZ9J")</f>
        <v>YQ8NUFZ9J</v>
      </c>
      <c r="B1941" t="s">
        <v>10</v>
      </c>
      <c r="C1941" t="s">
        <v>14</v>
      </c>
      <c r="D1941" t="str">
        <f>HYPERLINK("https://us2.cloudbeds.com/connect/10074733072513#/reservations/30653928501393?display=Lynn%20Pohlman&amp;reservation_id=30653928501393&amp;guest_id=30653928501385", "Lynn Pohlman")</f>
        <v>Lynn Pohlman</v>
      </c>
      <c r="E1941" t="s">
        <v>1039</v>
      </c>
      <c r="F1941" t="s">
        <v>1023</v>
      </c>
      <c r="G1941">
        <v>90.07</v>
      </c>
      <c r="H1941">
        <v>97.9</v>
      </c>
      <c r="I1941">
        <v>97.91</v>
      </c>
      <c r="J1941">
        <v>-0.01</v>
      </c>
    </row>
    <row r="1942" spans="1:10" x14ac:dyDescent="0.3">
      <c r="A1942" t="str">
        <f>HYPERLINK("https://us2.cloudbeds.com/connect/10074733072513#/reservations/30656209027324?display=YQAG6FZ50&amp;reservation_id=30656209027324", "YQAG6FZ50")</f>
        <v>YQAG6FZ50</v>
      </c>
      <c r="B1942" t="s">
        <v>10</v>
      </c>
      <c r="C1942" t="s">
        <v>42</v>
      </c>
      <c r="D1942" t="str">
        <f>HYPERLINK("https://us2.cloudbeds.com/connect/10074733072513#/reservations/30656209027324?display=Keith%20Keller&amp;reservation_id=30656209027324&amp;guest_id=30654471139503", "Keith Keller")</f>
        <v>Keith Keller</v>
      </c>
      <c r="E1942" t="s">
        <v>1041</v>
      </c>
      <c r="F1942" t="s">
        <v>974</v>
      </c>
      <c r="G1942">
        <v>267.3</v>
      </c>
      <c r="H1942">
        <v>290.55</v>
      </c>
      <c r="I1942">
        <v>290.56</v>
      </c>
      <c r="J1942">
        <v>-0.01</v>
      </c>
    </row>
    <row r="1943" spans="1:10" x14ac:dyDescent="0.3">
      <c r="A1943" t="str">
        <f>HYPERLINK("https://us2.cloudbeds.com/connect/10074733072513#/reservations/30654262116548?display=YQ8WEQ29P&amp;reservation_id=30654262116548", "YQ8WEQ29P")</f>
        <v>YQ8WEQ29P</v>
      </c>
      <c r="B1943" t="s">
        <v>10</v>
      </c>
      <c r="C1943" t="s">
        <v>11</v>
      </c>
      <c r="D1943" t="str">
        <f>HYPERLINK("https://us2.cloudbeds.com/connect/10074733072513#/reservations/30654262116548?display=Anthony%20Randy%20Cam&amp;reservation_id=30654262116548&amp;guest_id=30654262116544", "Anthony Randy Cam")</f>
        <v>Anthony Randy Cam</v>
      </c>
      <c r="E1943" t="s">
        <v>1042</v>
      </c>
      <c r="F1943" t="s">
        <v>1043</v>
      </c>
      <c r="G1943">
        <v>64.150000000000006</v>
      </c>
      <c r="H1943">
        <v>69.72</v>
      </c>
      <c r="I1943">
        <v>69.73</v>
      </c>
      <c r="J1943">
        <v>-0.01</v>
      </c>
    </row>
    <row r="1944" spans="1:10" x14ac:dyDescent="0.3">
      <c r="A1944" t="str">
        <f>HYPERLINK("https://us2.cloudbeds.com/connect/10074733072513#/reservations/30652697338002?display=YQ7PFAQD2&amp;reservation_id=30652697338002", "YQ7PFAQD2")</f>
        <v>YQ7PFAQD2</v>
      </c>
      <c r="B1944" t="s">
        <v>10</v>
      </c>
      <c r="C1944" t="s">
        <v>14</v>
      </c>
      <c r="D1944" t="str">
        <f>HYPERLINK("https://us2.cloudbeds.com/connect/10074733072513#/reservations/30652697338002?display=Sherri%20Orzech&amp;reservation_id=30652697338002&amp;guest_id=30652690645125", "Sherri Orzech")</f>
        <v>Sherri Orzech</v>
      </c>
      <c r="E1944" t="s">
        <v>1044</v>
      </c>
      <c r="F1944" t="s">
        <v>1045</v>
      </c>
      <c r="G1944">
        <v>87.2</v>
      </c>
      <c r="H1944">
        <v>94.78</v>
      </c>
      <c r="I1944">
        <v>94.79</v>
      </c>
      <c r="J1944">
        <v>-0.01</v>
      </c>
    </row>
    <row r="1945" spans="1:10" x14ac:dyDescent="0.3">
      <c r="A1945" t="str">
        <f>HYPERLINK("https://us2.cloudbeds.com/connect/10074733072513#/reservations/30656263545026?display=YQAHJEPAJ&amp;reservation_id=30656263545026", "YQAHJEPAJ")</f>
        <v>YQAHJEPAJ</v>
      </c>
      <c r="B1945" t="s">
        <v>10</v>
      </c>
      <c r="C1945" t="s">
        <v>14</v>
      </c>
      <c r="D1945" t="str">
        <f>HYPERLINK("https://us2.cloudbeds.com/connect/10074733072513#/reservations/30656263545026?display=Brigit%20Stevens&amp;reservation_id=30656263545026&amp;guest_id=30653933887730", "Brigit Stevens")</f>
        <v>Brigit Stevens</v>
      </c>
      <c r="E1945" t="s">
        <v>1046</v>
      </c>
      <c r="F1945" t="s">
        <v>1047</v>
      </c>
      <c r="G1945">
        <v>64.150000000000006</v>
      </c>
      <c r="H1945">
        <v>69.72</v>
      </c>
      <c r="I1945">
        <v>69.73</v>
      </c>
      <c r="J1945">
        <v>-0.01</v>
      </c>
    </row>
    <row r="1946" spans="1:10" x14ac:dyDescent="0.3">
      <c r="A1946" t="str">
        <f>HYPERLINK("https://us2.cloudbeds.com/connect/10074733072513#/reservations/30656269013145?display=YQAHZ1UX4&amp;reservation_id=30656269013145", "YQAHZ1UX4")</f>
        <v>YQAHZ1UX4</v>
      </c>
      <c r="B1946" t="s">
        <v>10</v>
      </c>
      <c r="C1946" t="s">
        <v>14</v>
      </c>
      <c r="D1946" t="str">
        <f>HYPERLINK("https://us2.cloudbeds.com/connect/10074733072513#/reservations/30656269013145?display=David%20Holloman&amp;reservation_id=30656269013145&amp;guest_id=30656269013140", "David Holloman")</f>
        <v>David Holloman</v>
      </c>
      <c r="E1946" t="s">
        <v>1048</v>
      </c>
      <c r="F1946" t="s">
        <v>1047</v>
      </c>
      <c r="G1946">
        <v>64.150000000000006</v>
      </c>
      <c r="H1946">
        <v>69.72</v>
      </c>
      <c r="I1946">
        <v>69.73</v>
      </c>
      <c r="J1946">
        <v>-0.01</v>
      </c>
    </row>
    <row r="1947" spans="1:10" x14ac:dyDescent="0.3">
      <c r="A1947" t="str">
        <f>HYPERLINK("https://us2.cloudbeds.com/connect/10074733072513#/reservations/30653943906521?display=YQ8ZAFDDY&amp;reservation_id=30653943906521", "YQ8ZAFDDY")</f>
        <v>YQ8ZAFDDY</v>
      </c>
      <c r="B1947" t="s">
        <v>10</v>
      </c>
      <c r="C1947" t="s">
        <v>14</v>
      </c>
      <c r="D1947" t="str">
        <f>HYPERLINK("https://us2.cloudbeds.com/connect/10074733072513#/reservations/30653943906521?display=Cathy%20Olseth&amp;reservation_id=30653943906521&amp;guest_id=30653939220615", "Cathy Olseth")</f>
        <v>Cathy Olseth</v>
      </c>
      <c r="E1947" t="s">
        <v>1050</v>
      </c>
      <c r="F1947" t="s">
        <v>1023</v>
      </c>
      <c r="G1947">
        <v>103.2</v>
      </c>
      <c r="H1947">
        <v>112.17</v>
      </c>
      <c r="I1947">
        <v>112.18</v>
      </c>
      <c r="J1947">
        <v>-0.01</v>
      </c>
    </row>
    <row r="1948" spans="1:10" x14ac:dyDescent="0.3">
      <c r="A1948" t="str">
        <f>HYPERLINK("https://us2.cloudbeds.com/connect/10074733072513#/reservations/30652923486429?display=YQ7V80NHN&amp;reservation_id=30652923486429", "YQ7V80NHN")</f>
        <v>YQ7V80NHN</v>
      </c>
      <c r="B1948" t="s">
        <v>10</v>
      </c>
      <c r="C1948" t="s">
        <v>42</v>
      </c>
      <c r="D1948" t="str">
        <f>HYPERLINK("https://us2.cloudbeds.com/connect/10074733072513#/reservations/30652923486429?display=Gary%20Getman&amp;reservation_id=30652923486429&amp;guest_id=30652923482343", "Gary Getman")</f>
        <v>Gary Getman</v>
      </c>
      <c r="E1948" t="s">
        <v>1052</v>
      </c>
      <c r="F1948" t="s">
        <v>974</v>
      </c>
      <c r="G1948">
        <v>134.1</v>
      </c>
      <c r="H1948">
        <v>145.76</v>
      </c>
      <c r="I1948">
        <v>145.77000000000001</v>
      </c>
      <c r="J1948">
        <v>-0.01</v>
      </c>
    </row>
    <row r="1949" spans="1:10" x14ac:dyDescent="0.3">
      <c r="A1949" t="str">
        <f>HYPERLINK("https://us2.cloudbeds.com/connect/10074733072513#/reservations/30654503444697?display=YQ95K9CXW&amp;reservation_id=30654503444697", "YQ95K9CXW")</f>
        <v>YQ95K9CXW</v>
      </c>
      <c r="B1949" t="s">
        <v>10</v>
      </c>
      <c r="C1949" t="s">
        <v>14</v>
      </c>
      <c r="D1949" t="str">
        <f>HYPERLINK("https://us2.cloudbeds.com/connect/10074733072513#/reservations/30654503444697?display=Julia%20M%20Bauder&amp;reservation_id=30654503444697&amp;guest_id=30654495776972", "Julia M Bauder")</f>
        <v>Julia M Bauder</v>
      </c>
      <c r="E1949" t="s">
        <v>1053</v>
      </c>
      <c r="F1949" t="s">
        <v>1054</v>
      </c>
      <c r="G1949">
        <v>87.2</v>
      </c>
      <c r="H1949">
        <v>94.78</v>
      </c>
      <c r="I1949">
        <v>94.79</v>
      </c>
      <c r="J1949">
        <v>-0.01</v>
      </c>
    </row>
    <row r="1950" spans="1:10" x14ac:dyDescent="0.3">
      <c r="A1950" t="str">
        <f>HYPERLINK("https://us2.cloudbeds.com/connect/10074733072513#/reservations/30653949341939?display=YQ8ZF1YKA&amp;reservation_id=30653949341939", "YQ8ZF1YKA")</f>
        <v>YQ8ZF1YKA</v>
      </c>
      <c r="B1950" t="s">
        <v>10</v>
      </c>
      <c r="C1950" t="s">
        <v>14</v>
      </c>
      <c r="D1950" t="str">
        <f>HYPERLINK("https://us2.cloudbeds.com/connect/10074733072513#/reservations/30653949341939?display=Justin%20Wegenke&amp;reservation_id=30653949341939&amp;guest_id=30653943910620", "Justin Wegenke")</f>
        <v>Justin Wegenke</v>
      </c>
      <c r="E1950" t="s">
        <v>1055</v>
      </c>
      <c r="F1950" t="s">
        <v>1023</v>
      </c>
      <c r="G1950">
        <v>90.07</v>
      </c>
      <c r="H1950">
        <v>97.9</v>
      </c>
      <c r="I1950">
        <v>97.91</v>
      </c>
      <c r="J1950">
        <v>-0.01</v>
      </c>
    </row>
    <row r="1951" spans="1:10" x14ac:dyDescent="0.3">
      <c r="A1951" t="str">
        <f>HYPERLINK("https://us2.cloudbeds.com/connect/10074733072513#/reservations/30654421291208?display=YQ93H0B6A&amp;reservation_id=30654421291208", "YQ93H0B6A")</f>
        <v>YQ93H0B6A</v>
      </c>
      <c r="B1951" t="s">
        <v>10</v>
      </c>
      <c r="C1951" t="s">
        <v>14</v>
      </c>
      <c r="D1951" t="str">
        <f>HYPERLINK("https://us2.cloudbeds.com/connect/10074733072513#/reservations/30654421291208?display=Kurt%20Wallace&amp;reservation_id=30654421291208&amp;guest_id=30654421287117", "Kurt Wallace")</f>
        <v>Kurt Wallace</v>
      </c>
      <c r="E1951" t="s">
        <v>1056</v>
      </c>
      <c r="F1951" t="s">
        <v>1036</v>
      </c>
      <c r="G1951">
        <v>103.2</v>
      </c>
      <c r="H1951">
        <v>112.17</v>
      </c>
      <c r="I1951">
        <v>112.18</v>
      </c>
      <c r="J1951">
        <v>-0.01</v>
      </c>
    </row>
    <row r="1952" spans="1:10" x14ac:dyDescent="0.3">
      <c r="A1952" t="str">
        <f>HYPERLINK("https://us2.cloudbeds.com/connect/10074733072513#/reservations/30653234438297?display=YQ8667DEJ&amp;reservation_id=30653234438297", "YQ8667DEJ")</f>
        <v>YQ8667DEJ</v>
      </c>
      <c r="B1952" t="s">
        <v>10</v>
      </c>
      <c r="C1952" t="s">
        <v>14</v>
      </c>
      <c r="D1952" t="str">
        <f>HYPERLINK("https://us2.cloudbeds.com/connect/10074733072513#/reservations/30653234438297?display=Theodore%20Iverson&amp;reservation_id=30653234438297&amp;guest_id=30653234438292", "Theodore Iverson")</f>
        <v>Theodore Iverson</v>
      </c>
      <c r="E1952" t="s">
        <v>1058</v>
      </c>
      <c r="F1952" t="s">
        <v>1059</v>
      </c>
      <c r="G1952">
        <v>182.4</v>
      </c>
      <c r="H1952">
        <v>198.26</v>
      </c>
      <c r="I1952">
        <v>198.27</v>
      </c>
      <c r="J1952">
        <v>-0.01</v>
      </c>
    </row>
    <row r="1953" spans="1:10" x14ac:dyDescent="0.3">
      <c r="A1953" t="str">
        <f>HYPERLINK("https://us2.cloudbeds.com/connect/10074733072513#/reservations/30656316612817?display=YQAXV6F2F&amp;reservation_id=30656316612817", "YQAXV6F2F")</f>
        <v>YQAXV6F2F</v>
      </c>
      <c r="B1953" t="s">
        <v>10</v>
      </c>
      <c r="C1953" t="s">
        <v>20</v>
      </c>
      <c r="D1953" t="str">
        <f>HYPERLINK("https://us2.cloudbeds.com/connect/10074733072513#/reservations/30656316612817?display=Rebecca%20Allen&amp;reservation_id=30656316612817&amp;guest_id=30656316608766", "Rebecca Allen")</f>
        <v>Rebecca Allen</v>
      </c>
      <c r="E1953" t="s">
        <v>1060</v>
      </c>
      <c r="F1953" t="s">
        <v>950</v>
      </c>
      <c r="G1953">
        <v>103.2</v>
      </c>
      <c r="H1953">
        <v>112.17</v>
      </c>
      <c r="I1953">
        <v>112.18</v>
      </c>
      <c r="J1953">
        <v>-0.01</v>
      </c>
    </row>
    <row r="1954" spans="1:10" x14ac:dyDescent="0.3">
      <c r="A1954" t="str">
        <f>HYPERLINK("https://us2.cloudbeds.com/connect/10074733072513#/reservations/30654381080706?display=YQ92G3DV8&amp;reservation_id=30654381080706", "YQ92G3DV8")</f>
        <v>YQ92G3DV8</v>
      </c>
      <c r="B1954" t="s">
        <v>10</v>
      </c>
      <c r="C1954" t="s">
        <v>20</v>
      </c>
      <c r="D1954" t="str">
        <f>HYPERLINK("https://us2.cloudbeds.com/connect/10074733072513#/reservations/30654381080706?display=April%20Bowman&amp;reservation_id=30654381080706&amp;guest_id=30654381076609", "April Bowman")</f>
        <v>April Bowman</v>
      </c>
      <c r="E1954" t="s">
        <v>1061</v>
      </c>
      <c r="F1954" t="s">
        <v>1036</v>
      </c>
      <c r="G1954">
        <v>285.60000000000002</v>
      </c>
      <c r="H1954">
        <v>310.44</v>
      </c>
      <c r="I1954">
        <v>310.45</v>
      </c>
      <c r="J1954">
        <v>-0.01</v>
      </c>
    </row>
    <row r="1955" spans="1:10" x14ac:dyDescent="0.3">
      <c r="A1955" t="str">
        <f>HYPERLINK("https://us2.cloudbeds.com/connect/10074733072513#/reservations/30656279584915?display=YQAHWW3AR&amp;reservation_id=30656279584915", "YQAHWW3AR")</f>
        <v>YQAHWW3AR</v>
      </c>
      <c r="B1955" t="s">
        <v>10</v>
      </c>
      <c r="C1955" t="s">
        <v>42</v>
      </c>
      <c r="D1955" t="str">
        <f>HYPERLINK("https://us2.cloudbeds.com/connect/10074733072513#/reservations/30656279584915?display=Dell%20Priest&amp;reservation_id=30656279584915&amp;guest_id=30656275411131", "Dell Priest")</f>
        <v>Dell Priest</v>
      </c>
      <c r="E1955" t="s">
        <v>1062</v>
      </c>
      <c r="F1955" t="s">
        <v>936</v>
      </c>
      <c r="G1955">
        <v>196.2</v>
      </c>
      <c r="H1955">
        <v>213.26</v>
      </c>
      <c r="I1955">
        <v>213.27</v>
      </c>
      <c r="J1955">
        <v>-0.01</v>
      </c>
    </row>
    <row r="1956" spans="1:10" x14ac:dyDescent="0.3">
      <c r="A1956" t="str">
        <f>HYPERLINK("https://us2.cloudbeds.com/connect/10074733072513#/reservations/30656347988133?display=YQAJZYH6K&amp;reservation_id=30656347988133", "YQAJZYH6K")</f>
        <v>YQAJZYH6K</v>
      </c>
      <c r="B1956" t="s">
        <v>10</v>
      </c>
      <c r="C1956" t="s">
        <v>14</v>
      </c>
      <c r="D1956" t="str">
        <f>HYPERLINK("https://us2.cloudbeds.com/connect/10074733072513#/reservations/30656347988133?display=Scott%20Pierce&amp;reservation_id=30656347988133&amp;guest_id=30656342429844", "Scott Pierce")</f>
        <v>Scott Pierce</v>
      </c>
      <c r="E1956" t="s">
        <v>1063</v>
      </c>
      <c r="F1956" t="s">
        <v>950</v>
      </c>
      <c r="G1956">
        <v>64.150000000000006</v>
      </c>
      <c r="H1956">
        <v>69.72</v>
      </c>
      <c r="I1956">
        <v>69.73</v>
      </c>
      <c r="J1956">
        <v>-0.01</v>
      </c>
    </row>
    <row r="1957" spans="1:10" x14ac:dyDescent="0.3">
      <c r="A1957" t="str">
        <f>HYPERLINK("https://us2.cloudbeds.com/connect/10074733072513#/reservations/30653243334902?display=YQ86DNVVM&amp;reservation_id=30653243334902", "YQ86DNVVM")</f>
        <v>YQ86DNVVM</v>
      </c>
      <c r="B1957" t="s">
        <v>10</v>
      </c>
      <c r="C1957" t="s">
        <v>11</v>
      </c>
      <c r="D1957" t="str">
        <f>HYPERLINK("https://us2.cloudbeds.com/connect/10074733072513#/reservations/30653243334902?display=David%20Jorgensen&amp;reservation_id=30653243334902&amp;guest_id=30653234442393", "David Jorgensen")</f>
        <v>David Jorgensen</v>
      </c>
      <c r="E1957" t="s">
        <v>1065</v>
      </c>
      <c r="F1957" t="s">
        <v>1059</v>
      </c>
      <c r="G1957">
        <v>196.2</v>
      </c>
      <c r="H1957">
        <v>213.26</v>
      </c>
      <c r="I1957">
        <v>213.27</v>
      </c>
      <c r="J1957">
        <v>-0.01</v>
      </c>
    </row>
    <row r="1958" spans="1:10" x14ac:dyDescent="0.3">
      <c r="A1958" t="str">
        <f>HYPERLINK("https://us2.cloudbeds.com/connect/10074733072513#/reservations/30652548903066?display=YQ7YM5CGN&amp;reservation_id=30652548903066", "YQ7YM5CGN")</f>
        <v>YQ7YM5CGN</v>
      </c>
      <c r="B1958" t="s">
        <v>10</v>
      </c>
      <c r="C1958" t="s">
        <v>17</v>
      </c>
      <c r="D1958" t="str">
        <f>HYPERLINK("https://us2.cloudbeds.com/connect/10074733072513#/reservations/30652548903066?display=Rita%20During&amp;reservation_id=30652548903066&amp;guest_id=30652548903062", "Rita During")</f>
        <v>Rita During</v>
      </c>
      <c r="E1958" t="s">
        <v>1066</v>
      </c>
      <c r="F1958" t="s">
        <v>1067</v>
      </c>
      <c r="G1958">
        <v>134.1</v>
      </c>
      <c r="H1958">
        <v>145.76</v>
      </c>
      <c r="I1958">
        <v>145.77000000000001</v>
      </c>
      <c r="J1958">
        <v>-0.01</v>
      </c>
    </row>
    <row r="1959" spans="1:10" x14ac:dyDescent="0.3">
      <c r="A1959" t="str">
        <f>HYPERLINK("https://us2.cloudbeds.com/connect/10074733072513#/reservations/30654607823050?display=YQ9899SFC&amp;reservation_id=30654607823050", "YQ9899SFC")</f>
        <v>YQ9899SFC</v>
      </c>
      <c r="B1959" t="s">
        <v>10</v>
      </c>
      <c r="C1959" t="s">
        <v>23</v>
      </c>
      <c r="D1959" t="str">
        <f>HYPERLINK("https://us2.cloudbeds.com/connect/10074733072513#/reservations/30654607823050?display=Erica%20Pearson&amp;reservation_id=30654607823050&amp;guest_id=30654607823045", "Erica Pearson")</f>
        <v>Erica Pearson</v>
      </c>
      <c r="E1959" t="s">
        <v>1068</v>
      </c>
      <c r="F1959" t="s">
        <v>1069</v>
      </c>
      <c r="G1959">
        <v>375.3</v>
      </c>
      <c r="H1959">
        <v>407.94</v>
      </c>
      <c r="I1959">
        <v>407.95</v>
      </c>
      <c r="J1959">
        <v>-0.01</v>
      </c>
    </row>
    <row r="1960" spans="1:10" x14ac:dyDescent="0.3">
      <c r="A1960" t="str">
        <f>HYPERLINK("https://us2.cloudbeds.com/connect/10074733072513#/reservations/30656269455578?display=YQAHZE7R7&amp;reservation_id=30656269455578", "YQAHZE7R7")</f>
        <v>YQAHZE7R7</v>
      </c>
      <c r="B1960" t="s">
        <v>10</v>
      </c>
      <c r="C1960" t="s">
        <v>14</v>
      </c>
      <c r="D1960" t="str">
        <f>HYPERLINK("https://us2.cloudbeds.com/connect/10074733072513#/reservations/30656269455578?display=Tom%20Peterson&amp;reservation_id=30656269455578&amp;guest_id=30656269451493", "Tom Peterson")</f>
        <v>Tom Peterson</v>
      </c>
      <c r="E1960" t="s">
        <v>1072</v>
      </c>
      <c r="F1960" t="s">
        <v>936</v>
      </c>
      <c r="G1960">
        <v>64.150000000000006</v>
      </c>
      <c r="H1960">
        <v>69.72</v>
      </c>
      <c r="I1960">
        <v>69.73</v>
      </c>
      <c r="J1960">
        <v>-0.01</v>
      </c>
    </row>
    <row r="1961" spans="1:10" x14ac:dyDescent="0.3">
      <c r="A1961" t="str">
        <f>HYPERLINK("https://us2.cloudbeds.com/connect/10074733072513#/reservations/30656265158785?display=YQAHKQM6C&amp;reservation_id=30656265158785", "YQAHKQM6C")</f>
        <v>YQAHKQM6C</v>
      </c>
      <c r="B1961" t="s">
        <v>10</v>
      </c>
      <c r="C1961" t="s">
        <v>11</v>
      </c>
      <c r="D1961" t="str">
        <f>HYPERLINK("https://us2.cloudbeds.com/connect/10074733072513#/reservations/30656265158785?display=Micah%20Stevicks&amp;reservation_id=30656265158785&amp;guest_id=30656144646323", "Micah Stevicks")</f>
        <v>Micah Stevicks</v>
      </c>
      <c r="E1961" t="s">
        <v>1073</v>
      </c>
      <c r="F1961" t="s">
        <v>936</v>
      </c>
      <c r="G1961">
        <v>64.150000000000006</v>
      </c>
      <c r="H1961">
        <v>69.72</v>
      </c>
      <c r="I1961">
        <v>69.73</v>
      </c>
      <c r="J1961">
        <v>-0.01</v>
      </c>
    </row>
    <row r="1962" spans="1:10" x14ac:dyDescent="0.3">
      <c r="A1962" t="str">
        <f>HYPERLINK("https://us2.cloudbeds.com/connect/10074733072513#/reservations/30651874578634?display=YQ74EXA50&amp;reservation_id=30651874578634", "YQ74EXA50")</f>
        <v>YQ74EXA50</v>
      </c>
      <c r="B1962" t="s">
        <v>10</v>
      </c>
      <c r="C1962" t="s">
        <v>11</v>
      </c>
      <c r="D1962" t="str">
        <f>HYPERLINK("https://us2.cloudbeds.com/connect/10074733072513#/reservations/30651874578634?display=Mabel%20Andrews&amp;reservation_id=30651874578634&amp;guest_id=30651874574548", "Mabel Andrews")</f>
        <v>Mabel Andrews</v>
      </c>
      <c r="E1962" t="s">
        <v>1074</v>
      </c>
      <c r="F1962" t="s">
        <v>942</v>
      </c>
      <c r="G1962">
        <v>103.2</v>
      </c>
      <c r="H1962">
        <v>112.17</v>
      </c>
      <c r="I1962">
        <v>112.18</v>
      </c>
      <c r="J1962">
        <v>-0.01</v>
      </c>
    </row>
    <row r="1963" spans="1:10" x14ac:dyDescent="0.3">
      <c r="A1963" t="str">
        <f>HYPERLINK("https://us2.cloudbeds.com/connect/10074733072513#/reservations/30656308949126?display=YQAXZZ6NC&amp;reservation_id=30656308949126", "YQAXZZ6NC")</f>
        <v>YQAXZZ6NC</v>
      </c>
      <c r="B1963" t="s">
        <v>10</v>
      </c>
      <c r="C1963" t="s">
        <v>14</v>
      </c>
      <c r="D1963" t="str">
        <f>HYPERLINK("https://us2.cloudbeds.com/connect/10074733072513#/reservations/30656308949126?display=Gloria%20Hines&amp;reservation_id=30656308949126&amp;guest_id=30656304058620", "Gloria Hines")</f>
        <v>Gloria Hines</v>
      </c>
      <c r="E1963" t="s">
        <v>1075</v>
      </c>
      <c r="F1963" t="s">
        <v>1059</v>
      </c>
      <c r="G1963">
        <v>64.150000000000006</v>
      </c>
      <c r="H1963">
        <v>69.72</v>
      </c>
      <c r="I1963">
        <v>69.73</v>
      </c>
      <c r="J1963">
        <v>-0.01</v>
      </c>
    </row>
    <row r="1964" spans="1:10" x14ac:dyDescent="0.3">
      <c r="A1964" t="str">
        <f>HYPERLINK("https://us2.cloudbeds.com/connect/10074733072513#/reservations/30654267396254?display=YQ8WJ7WGS&amp;reservation_id=30654267396254", "YQ8WJ7WGS")</f>
        <v>YQ8WJ7WGS</v>
      </c>
      <c r="B1964" t="s">
        <v>10</v>
      </c>
      <c r="C1964" t="s">
        <v>14</v>
      </c>
      <c r="D1964" t="str">
        <f>HYPERLINK("https://us2.cloudbeds.com/connect/10074733072513#/reservations/30654267396254?display=Heidi%20Weiand&amp;reservation_id=30654267396254&amp;guest_id=30654267396251", "Heidi Weiand")</f>
        <v>Heidi Weiand</v>
      </c>
      <c r="E1964" t="s">
        <v>1076</v>
      </c>
      <c r="F1964" t="s">
        <v>1043</v>
      </c>
      <c r="G1964">
        <v>64.150000000000006</v>
      </c>
      <c r="H1964">
        <v>69.72</v>
      </c>
      <c r="I1964">
        <v>69.73</v>
      </c>
      <c r="J1964">
        <v>-0.01</v>
      </c>
    </row>
    <row r="1965" spans="1:10" x14ac:dyDescent="0.3">
      <c r="A1965" t="str">
        <f>HYPERLINK("https://us2.cloudbeds.com/connect/10074733072513#/reservations/30660511531261?display=YQDR4F846&amp;reservation_id=30660511531261", "YQDR4F846")</f>
        <v>YQDR4F846</v>
      </c>
      <c r="B1965" t="s">
        <v>10</v>
      </c>
      <c r="C1965" t="s">
        <v>42</v>
      </c>
      <c r="D1965" t="str">
        <f>HYPERLINK("https://us2.cloudbeds.com/connect/10074733072513#/reservations/30660511531261?display=Matt%20Lawler&amp;reservation_id=30660511531261&amp;guest_id=30660505018522", "Matt Lawler")</f>
        <v>Matt Lawler</v>
      </c>
      <c r="E1965" t="s">
        <v>1077</v>
      </c>
      <c r="F1965" t="s">
        <v>1078</v>
      </c>
      <c r="G1965">
        <v>250.2</v>
      </c>
      <c r="H1965">
        <v>271.95999999999998</v>
      </c>
      <c r="I1965">
        <v>271.97000000000003</v>
      </c>
      <c r="J1965">
        <v>-0.01</v>
      </c>
    </row>
    <row r="1966" spans="1:10" x14ac:dyDescent="0.3">
      <c r="A1966" t="str">
        <f>HYPERLINK("https://us2.cloudbeds.com/connect/10074733072513#/reservations/30654365614269?display=YQ92321HB&amp;reservation_id=30654365614269", "YQ92321HB")</f>
        <v>YQ92321HB</v>
      </c>
      <c r="B1966" t="s">
        <v>10</v>
      </c>
      <c r="C1966" t="s">
        <v>42</v>
      </c>
      <c r="D1966" t="str">
        <f>HYPERLINK("https://us2.cloudbeds.com/connect/10074733072513#/reservations/30654365614269?display=Bart%20Wiley&amp;reservation_id=30654365614269&amp;guest_id=30650429186260", "Bart Wiley")</f>
        <v>Bart Wiley</v>
      </c>
      <c r="E1966" t="s">
        <v>1079</v>
      </c>
      <c r="F1966" t="s">
        <v>1036</v>
      </c>
      <c r="G1966">
        <v>103.2</v>
      </c>
      <c r="H1966">
        <v>112.17</v>
      </c>
      <c r="I1966">
        <v>112.18</v>
      </c>
      <c r="J1966">
        <v>-0.01</v>
      </c>
    </row>
    <row r="1967" spans="1:10" x14ac:dyDescent="0.3">
      <c r="A1967" t="str">
        <f>HYPERLINK("https://us2.cloudbeds.com/connect/10074733072513#/reservations/30654394028181?display=YQ92R0N8W&amp;reservation_id=30654394028181", "YQ92R0N8W")</f>
        <v>YQ92R0N8W</v>
      </c>
      <c r="B1967" t="s">
        <v>10</v>
      </c>
      <c r="C1967" t="s">
        <v>20</v>
      </c>
      <c r="D1967" t="str">
        <f>HYPERLINK("https://us2.cloudbeds.com/connect/10074733072513#/reservations/30654394028181?display=David%20Crown&amp;reservation_id=30654394028181&amp;guest_id=30654394028177", "David Crown")</f>
        <v>David Crown</v>
      </c>
      <c r="E1967" t="s">
        <v>1080</v>
      </c>
      <c r="F1967" t="s">
        <v>1036</v>
      </c>
      <c r="G1967">
        <v>103.2</v>
      </c>
      <c r="H1967">
        <v>112.17</v>
      </c>
      <c r="I1967">
        <v>112.18</v>
      </c>
      <c r="J1967">
        <v>-0.01</v>
      </c>
    </row>
    <row r="1968" spans="1:10" x14ac:dyDescent="0.3">
      <c r="A1968" t="str">
        <f>HYPERLINK("https://us2.cloudbeds.com/connect/10074733072513#/reservations/30654618386589?display=YQ98X6QMK&amp;reservation_id=30654618386589", "YQ98X6QMK")</f>
        <v>YQ98X6QMK</v>
      </c>
      <c r="B1968" t="s">
        <v>10</v>
      </c>
      <c r="C1968" t="s">
        <v>11</v>
      </c>
      <c r="D1968" t="str">
        <f>HYPERLINK("https://us2.cloudbeds.com/connect/10074733072513#/reservations/30654618386589?display=Daniel%20Larson&amp;reservation_id=30654618386589&amp;guest_id=30654612230341", "Daniel Larson")</f>
        <v>Daniel Larson</v>
      </c>
      <c r="E1968" t="s">
        <v>1081</v>
      </c>
      <c r="F1968" t="s">
        <v>1082</v>
      </c>
      <c r="G1968">
        <v>134.1</v>
      </c>
      <c r="H1968">
        <v>145.76</v>
      </c>
      <c r="I1968">
        <v>145.77000000000001</v>
      </c>
      <c r="J1968">
        <v>-0.01</v>
      </c>
    </row>
    <row r="1969" spans="1:10" x14ac:dyDescent="0.3">
      <c r="A1969" t="str">
        <f>HYPERLINK("https://us2.cloudbeds.com/connect/10074733072513#/reservations/30652664299692?display=YQ7ZKFF65&amp;reservation_id=30652664299692", "YQ7ZKFF65")</f>
        <v>YQ7ZKFF65</v>
      </c>
      <c r="B1969" t="s">
        <v>10</v>
      </c>
      <c r="C1969" t="s">
        <v>121</v>
      </c>
      <c r="D1969" t="str">
        <f>HYPERLINK("https://us2.cloudbeds.com/connect/10074733072513#/reservations/30652664299692?display=Galen%20Stolp&amp;reservation_id=30652664299692&amp;guest_id=30652654211295", "Galen Stolp")</f>
        <v>Galen Stolp</v>
      </c>
      <c r="E1969" t="s">
        <v>1083</v>
      </c>
      <c r="F1969" t="s">
        <v>1084</v>
      </c>
      <c r="G1969">
        <v>79.2</v>
      </c>
      <c r="H1969">
        <v>86.08</v>
      </c>
      <c r="I1969">
        <v>86.09</v>
      </c>
      <c r="J1969">
        <v>-0.01</v>
      </c>
    </row>
    <row r="1970" spans="1:10" x14ac:dyDescent="0.3">
      <c r="A1970" t="str">
        <f>HYPERLINK("https://us2.cloudbeds.com/connect/10074733072513#/reservations/30652697342109?display=YQ7PFAU5H&amp;reservation_id=30652697342109", "YQ7PFAU5H")</f>
        <v>YQ7PFAU5H</v>
      </c>
      <c r="B1970" t="s">
        <v>10</v>
      </c>
      <c r="C1970" t="s">
        <v>14</v>
      </c>
      <c r="D1970" t="str">
        <f>HYPERLINK("https://us2.cloudbeds.com/connect/10074733072513#/reservations/30652697342109?display=Patricia%20Bromley&amp;reservation_id=30652697342109&amp;guest_id=30652697342107", "Patricia Bromley")</f>
        <v>Patricia Bromley</v>
      </c>
      <c r="E1970" t="s">
        <v>1087</v>
      </c>
      <c r="F1970" t="s">
        <v>1045</v>
      </c>
      <c r="G1970">
        <v>64.150000000000006</v>
      </c>
      <c r="H1970">
        <v>69.72</v>
      </c>
      <c r="I1970">
        <v>69.73</v>
      </c>
      <c r="J1970">
        <v>-0.01</v>
      </c>
    </row>
    <row r="1971" spans="1:10" x14ac:dyDescent="0.3">
      <c r="A1971" t="str">
        <f>HYPERLINK("https://us2.cloudbeds.com/connect/10074733072513#/reservations/30654338429174?display=YQ91D4J5J&amp;reservation_id=30654338429174", "YQ91D4J5J")</f>
        <v>YQ91D4J5J</v>
      </c>
      <c r="B1971" t="s">
        <v>10</v>
      </c>
      <c r="C1971" t="s">
        <v>42</v>
      </c>
      <c r="D1971" t="str">
        <f>HYPERLINK("https://us2.cloudbeds.com/connect/10074733072513#/reservations/30654338429174?display=Don%20Pilkington&amp;reservation_id=30654338429174&amp;guest_id=30654026793146", "Don Pilkington")</f>
        <v>Don Pilkington</v>
      </c>
      <c r="E1971" t="s">
        <v>1088</v>
      </c>
      <c r="F1971" t="s">
        <v>1086</v>
      </c>
      <c r="G1971">
        <v>237.3</v>
      </c>
      <c r="H1971">
        <v>257.94</v>
      </c>
      <c r="I1971">
        <v>257.95</v>
      </c>
      <c r="J1971">
        <v>-0.01</v>
      </c>
    </row>
    <row r="1972" spans="1:10" x14ac:dyDescent="0.3">
      <c r="A1972" t="str">
        <f>HYPERLINK("https://us2.cloudbeds.com/connect/10074733072513#/reservations/30654345851094?display=YQ91JD3H8&amp;reservation_id=30654345851094", "YQ91JD3H8")</f>
        <v>YQ91JD3H8</v>
      </c>
      <c r="B1972" t="s">
        <v>10</v>
      </c>
      <c r="C1972" t="s">
        <v>14</v>
      </c>
      <c r="D1972" t="str">
        <f>HYPERLINK("https://us2.cloudbeds.com/connect/10074733072513#/reservations/30654345851094?display=Nick%20Tillman&amp;reservation_id=30654345851094&amp;guest_id=30654345851091", "Nick Tillman")</f>
        <v>Nick Tillman</v>
      </c>
      <c r="E1972" t="s">
        <v>672</v>
      </c>
      <c r="F1972" t="s">
        <v>1086</v>
      </c>
      <c r="G1972">
        <v>87.2</v>
      </c>
      <c r="H1972">
        <v>94.78</v>
      </c>
      <c r="I1972">
        <v>94.79</v>
      </c>
      <c r="J1972">
        <v>-0.01</v>
      </c>
    </row>
    <row r="1973" spans="1:10" x14ac:dyDescent="0.3">
      <c r="A1973" t="str">
        <f>HYPERLINK("https://us2.cloudbeds.com/connect/10074733072513#/reservations/30654420562107?display=YQ93GD1MB&amp;reservation_id=30654420562107", "YQ93GD1MB")</f>
        <v>YQ93GD1MB</v>
      </c>
      <c r="B1973" t="s">
        <v>10</v>
      </c>
      <c r="C1973" t="s">
        <v>42</v>
      </c>
      <c r="D1973" t="str">
        <f>HYPERLINK("https://us2.cloudbeds.com/connect/10074733072513#/reservations/30654420562107?display=Kelly%20Tentinger&amp;reservation_id=30654420562107&amp;guest_id=30654420562099", "Kelly Tentinger")</f>
        <v>Kelly Tentinger</v>
      </c>
      <c r="E1973" t="s">
        <v>1089</v>
      </c>
      <c r="F1973" t="s">
        <v>1090</v>
      </c>
      <c r="G1973">
        <v>118.15</v>
      </c>
      <c r="H1973">
        <v>128.41999999999999</v>
      </c>
      <c r="I1973">
        <v>128.43</v>
      </c>
      <c r="J1973">
        <v>-0.01</v>
      </c>
    </row>
    <row r="1974" spans="1:10" x14ac:dyDescent="0.3">
      <c r="A1974" t="str">
        <f>HYPERLINK("https://us2.cloudbeds.com/connect/10074733072513#/reservations/30653448278216?display=YQ8BYHR04&amp;reservation_id=30653448278216", "YQ8BYHR04")</f>
        <v>YQ8BYHR04</v>
      </c>
      <c r="B1974" t="s">
        <v>10</v>
      </c>
      <c r="C1974" t="s">
        <v>14</v>
      </c>
      <c r="D1974" t="str">
        <f>HYPERLINK("https://us2.cloudbeds.com/connect/10074733072513#/reservations/30653448278216?display=Krissy%20Hansen&amp;reservation_id=30653448278216&amp;guest_id=30653448278211", "Krissy Hansen")</f>
        <v>Krissy Hansen</v>
      </c>
      <c r="E1974" t="s">
        <v>1091</v>
      </c>
      <c r="F1974" t="s">
        <v>848</v>
      </c>
      <c r="G1974">
        <v>90.07</v>
      </c>
      <c r="H1974">
        <v>97.9</v>
      </c>
      <c r="I1974">
        <v>97.91</v>
      </c>
      <c r="J1974">
        <v>-0.01</v>
      </c>
    </row>
    <row r="1975" spans="1:10" x14ac:dyDescent="0.3">
      <c r="A1975" t="str">
        <f>HYPERLINK("https://us2.cloudbeds.com/connect/10074733072513#/reservations/30657075118211?display=YQB5APWJD&amp;reservation_id=30657075118211", "YQB5APWJD")</f>
        <v>YQB5APWJD</v>
      </c>
      <c r="B1975" t="s">
        <v>10</v>
      </c>
      <c r="C1975" t="s">
        <v>42</v>
      </c>
      <c r="D1975" t="str">
        <f>HYPERLINK("https://us2.cloudbeds.com/connect/10074733072513#/reservations/30657075118211?display=Dennis%20Gibbs&amp;reservation_id=30657075118211&amp;guest_id=30657069842611", "Dennis Gibbs")</f>
        <v>Dennis Gibbs</v>
      </c>
      <c r="E1975" t="s">
        <v>1092</v>
      </c>
      <c r="F1975" t="s">
        <v>1093</v>
      </c>
      <c r="G1975">
        <v>268.2</v>
      </c>
      <c r="H1975">
        <v>291.52</v>
      </c>
      <c r="I1975">
        <v>291.52999999999997</v>
      </c>
      <c r="J1975">
        <v>-0.01</v>
      </c>
    </row>
    <row r="1976" spans="1:10" x14ac:dyDescent="0.3">
      <c r="A1976" t="str">
        <f>HYPERLINK("https://us2.cloudbeds.com/connect/10074733072513#/reservations/30656329609377?display=YQAJ953FK&amp;reservation_id=30656329609377", "YQAJ953FK")</f>
        <v>YQAJ953FK</v>
      </c>
      <c r="B1976" t="s">
        <v>10</v>
      </c>
      <c r="C1976" t="s">
        <v>14</v>
      </c>
      <c r="D1976" t="str">
        <f>HYPERLINK("https://us2.cloudbeds.com/connect/10074733072513#/reservations/30656329609377?display=Randi%20Dubray&amp;reservation_id=30656329609377&amp;guest_id=30656320753871", "Randi Dubray")</f>
        <v>Randi Dubray</v>
      </c>
      <c r="E1976" t="s">
        <v>1094</v>
      </c>
      <c r="F1976" t="s">
        <v>1090</v>
      </c>
      <c r="G1976">
        <v>90.07</v>
      </c>
      <c r="H1976">
        <v>97.9</v>
      </c>
      <c r="I1976">
        <v>97.91</v>
      </c>
      <c r="J1976">
        <v>-0.01</v>
      </c>
    </row>
    <row r="1977" spans="1:10" x14ac:dyDescent="0.3">
      <c r="A1977" t="str">
        <f>HYPERLINK("https://us2.cloudbeds.com/connect/10074733072513#/reservations/30654356603123?display=YQ91SF9R9&amp;reservation_id=30654356603123", "YQ91SF9R9")</f>
        <v>YQ91SF9R9</v>
      </c>
      <c r="B1977" t="s">
        <v>10</v>
      </c>
      <c r="C1977" t="s">
        <v>14</v>
      </c>
      <c r="D1977" t="str">
        <f>HYPERLINK("https://us2.cloudbeds.com/connect/10074733072513#/reservations/30654356603123?display=Kevin%20Harper&amp;reservation_id=30654356603123&amp;guest_id=30654356603077", "Kevin Harper")</f>
        <v>Kevin Harper</v>
      </c>
      <c r="E1977" t="s">
        <v>1095</v>
      </c>
      <c r="F1977" t="s">
        <v>1086</v>
      </c>
      <c r="G1977">
        <v>64.150000000000006</v>
      </c>
      <c r="H1977">
        <v>69.72</v>
      </c>
      <c r="I1977">
        <v>69.73</v>
      </c>
      <c r="J1977">
        <v>-0.01</v>
      </c>
    </row>
    <row r="1978" spans="1:10" x14ac:dyDescent="0.3">
      <c r="A1978" t="str">
        <f>HYPERLINK("https://us2.cloudbeds.com/connect/10074733072513#/reservations/30654448201938?display=YQ946N5JW&amp;reservation_id=30654448201938", "YQ946N5JW")</f>
        <v>YQ946N5JW</v>
      </c>
      <c r="B1978" t="s">
        <v>10</v>
      </c>
      <c r="C1978" t="s">
        <v>42</v>
      </c>
      <c r="D1978" t="str">
        <f>HYPERLINK("https://us2.cloudbeds.com/connect/10074733072513#/reservations/30654448201938?display=Carey%20Box&amp;reservation_id=30654448201938&amp;guest_id=30654448201928", "Carey Box")</f>
        <v>Carey Box</v>
      </c>
      <c r="E1978" t="s">
        <v>1096</v>
      </c>
      <c r="F1978" t="s">
        <v>1090</v>
      </c>
      <c r="G1978">
        <v>250.2</v>
      </c>
      <c r="H1978">
        <v>271.95999999999998</v>
      </c>
      <c r="I1978">
        <v>271.97000000000003</v>
      </c>
      <c r="J1978">
        <v>-0.01</v>
      </c>
    </row>
    <row r="1979" spans="1:10" x14ac:dyDescent="0.3">
      <c r="A1979" t="str">
        <f>HYPERLINK("https://us2.cloudbeds.com/connect/10074733072513#/reservations/30653426311366?display=YQ8B30XE0&amp;reservation_id=30653426311366", "YQ8B30XE0")</f>
        <v>YQ8B30XE0</v>
      </c>
      <c r="B1979" t="s">
        <v>10</v>
      </c>
      <c r="C1979" t="s">
        <v>42</v>
      </c>
      <c r="D1979" t="str">
        <f>HYPERLINK("https://us2.cloudbeds.com/connect/10074733072513#/reservations/30653426311366?display=Sallie%20Graves&amp;reservation_id=30653426311366&amp;guest_id=30653421379829", "Sallie Graves")</f>
        <v>Sallie Graves</v>
      </c>
      <c r="E1979" t="s">
        <v>1097</v>
      </c>
      <c r="F1979" t="s">
        <v>1090</v>
      </c>
      <c r="G1979">
        <v>134.1</v>
      </c>
      <c r="H1979">
        <v>145.76</v>
      </c>
      <c r="I1979">
        <v>145.77000000000001</v>
      </c>
      <c r="J1979">
        <v>-0.01</v>
      </c>
    </row>
    <row r="1980" spans="1:10" x14ac:dyDescent="0.3">
      <c r="A1980" t="str">
        <f>HYPERLINK("https://us2.cloudbeds.com/connect/10074733072513#/reservations/30653403349216?display=YQ8AGYJT9&amp;reservation_id=30653403349216", "YQ8AGYJT9")</f>
        <v>YQ8AGYJT9</v>
      </c>
      <c r="B1980" t="s">
        <v>10</v>
      </c>
      <c r="C1980" t="s">
        <v>14</v>
      </c>
      <c r="D1980" t="str">
        <f>HYPERLINK("https://us2.cloudbeds.com/connect/10074733072513#/reservations/30653403349216?display=Hunter%20Maike&amp;reservation_id=30653403349216&amp;guest_id=30653403345134", "Hunter Maike")</f>
        <v>Hunter Maike</v>
      </c>
      <c r="E1980" t="s">
        <v>1098</v>
      </c>
      <c r="F1980" t="s">
        <v>848</v>
      </c>
      <c r="G1980">
        <v>268.2</v>
      </c>
      <c r="H1980">
        <v>291.52</v>
      </c>
      <c r="I1980">
        <v>291.52999999999997</v>
      </c>
      <c r="J1980">
        <v>-0.01</v>
      </c>
    </row>
    <row r="1981" spans="1:10" x14ac:dyDescent="0.3">
      <c r="A1981" t="str">
        <f>HYPERLINK("https://us2.cloudbeds.com/connect/10074733072513#/reservations/30654282981530?display=YQ8WWCM1V&amp;reservation_id=30654282981530", "YQ8WWCM1V")</f>
        <v>YQ8WWCM1V</v>
      </c>
      <c r="B1981" t="s">
        <v>10</v>
      </c>
      <c r="C1981" t="s">
        <v>11</v>
      </c>
      <c r="D1981" t="str">
        <f>HYPERLINK("https://us2.cloudbeds.com/connect/10074733072513#/reservations/30654282981530?display=Emily%20J%20Salentine&amp;reservation_id=30654282981530&amp;guest_id=30654282977438", "Emily J Salentine")</f>
        <v>Emily J Salentine</v>
      </c>
      <c r="E1981" t="s">
        <v>1099</v>
      </c>
      <c r="F1981" t="s">
        <v>1043</v>
      </c>
      <c r="G1981">
        <v>64.150000000000006</v>
      </c>
      <c r="H1981">
        <v>69.72</v>
      </c>
      <c r="I1981">
        <v>69.73</v>
      </c>
      <c r="J1981">
        <v>-0.01</v>
      </c>
    </row>
    <row r="1982" spans="1:10" x14ac:dyDescent="0.3">
      <c r="A1982" t="str">
        <f>HYPERLINK("https://us2.cloudbeds.com/connect/10074733072513#/reservations/30656269451495?display=YQAHZE42G&amp;reservation_id=30656269451495", "YQAHZE42G")</f>
        <v>YQAHZE42G</v>
      </c>
      <c r="B1982" t="s">
        <v>10</v>
      </c>
      <c r="C1982" t="s">
        <v>14</v>
      </c>
      <c r="D1982" t="str">
        <f>HYPERLINK("https://us2.cloudbeds.com/connect/10074733072513#/reservations/30656269451495?display=Yilun%20Zhu&amp;reservation_id=30656269451495&amp;guest_id=30656269451490", "Yilun Zhu")</f>
        <v>Yilun Zhu</v>
      </c>
      <c r="E1982" t="s">
        <v>1100</v>
      </c>
      <c r="F1982" t="s">
        <v>1101</v>
      </c>
      <c r="G1982">
        <v>64.150000000000006</v>
      </c>
      <c r="H1982">
        <v>69.72</v>
      </c>
      <c r="I1982">
        <v>69.73</v>
      </c>
      <c r="J1982">
        <v>-0.01</v>
      </c>
    </row>
    <row r="1983" spans="1:10" x14ac:dyDescent="0.3">
      <c r="A1983" t="str">
        <f>HYPERLINK("https://us2.cloudbeds.com/connect/10074733072513#/reservations/30656434307275?display=YQAYVEFQ6&amp;reservation_id=30656434307275", "YQAYVEFQ6")</f>
        <v>YQAYVEFQ6</v>
      </c>
      <c r="B1983" t="s">
        <v>10</v>
      </c>
      <c r="C1983" t="s">
        <v>11</v>
      </c>
      <c r="D1983" t="str">
        <f>HYPERLINK("https://us2.cloudbeds.com/connect/10074733072513#/reservations/30656434307275?display=Aaron%20G%20Myers&amp;reservation_id=30656434307275&amp;guest_id=30656434307273", "Aaron G Myers")</f>
        <v>Aaron G Myers</v>
      </c>
      <c r="E1983" t="s">
        <v>1102</v>
      </c>
      <c r="F1983" t="s">
        <v>1103</v>
      </c>
      <c r="G1983">
        <v>90.07</v>
      </c>
      <c r="H1983">
        <v>97.9</v>
      </c>
      <c r="I1983">
        <v>97.91</v>
      </c>
      <c r="J1983">
        <v>-0.01</v>
      </c>
    </row>
    <row r="1984" spans="1:10" x14ac:dyDescent="0.3">
      <c r="A1984" t="str">
        <f>HYPERLINK("https://us2.cloudbeds.com/connect/10074733072513#/reservations/30653412159628?display=YQ8AZ2P8F&amp;reservation_id=30653412159628", "YQ8AZ2P8F")</f>
        <v>YQ8AZ2P8F</v>
      </c>
      <c r="B1984" t="s">
        <v>10</v>
      </c>
      <c r="C1984" t="s">
        <v>14</v>
      </c>
      <c r="D1984" t="str">
        <f>HYPERLINK("https://us2.cloudbeds.com/connect/10074733072513#/reservations/30653412159628?display=Whitney%20Woodard&amp;reservation_id=30653412159628&amp;guest_id=30653412159623", "Whitney Woodard")</f>
        <v>Whitney Woodard</v>
      </c>
      <c r="E1984" t="s">
        <v>1104</v>
      </c>
      <c r="F1984" t="s">
        <v>1101</v>
      </c>
      <c r="G1984">
        <v>64.150000000000006</v>
      </c>
      <c r="H1984">
        <v>69.72</v>
      </c>
      <c r="I1984">
        <v>69.73</v>
      </c>
      <c r="J1984">
        <v>-0.01</v>
      </c>
    </row>
    <row r="1985" spans="1:10" x14ac:dyDescent="0.3">
      <c r="A1985" t="str">
        <f>HYPERLINK("https://us2.cloudbeds.com/connect/10074733072513#/reservations/30653403345137?display=YQ8AGYG4M&amp;reservation_id=30653403345137", "YQ8AGYG4M")</f>
        <v>YQ8AGYG4M</v>
      </c>
      <c r="B1985" t="s">
        <v>10</v>
      </c>
      <c r="C1985" t="s">
        <v>11</v>
      </c>
      <c r="D1985" t="str">
        <f>HYPERLINK("https://us2.cloudbeds.com/connect/10074733072513#/reservations/30653403345137?display=Yvonne%20Ruth&amp;reservation_id=30653403345137&amp;guest_id=30653403345135", "Yvonne Ruth")</f>
        <v>Yvonne Ruth</v>
      </c>
      <c r="E1985" t="s">
        <v>1105</v>
      </c>
      <c r="F1985" t="s">
        <v>1101</v>
      </c>
      <c r="G1985">
        <v>64.150000000000006</v>
      </c>
      <c r="H1985">
        <v>69.72</v>
      </c>
      <c r="I1985">
        <v>69.73</v>
      </c>
      <c r="J1985">
        <v>-0.01</v>
      </c>
    </row>
    <row r="1986" spans="1:10" x14ac:dyDescent="0.3">
      <c r="A1986" t="str">
        <f>HYPERLINK("https://us2.cloudbeds.com/connect/10074733072513#/reservations/30656489095321?display=YQANBY170&amp;reservation_id=30656489095321", "YQANBY170")</f>
        <v>YQANBY170</v>
      </c>
      <c r="B1986" t="s">
        <v>10</v>
      </c>
      <c r="C1986" t="s">
        <v>11</v>
      </c>
      <c r="D1986" t="str">
        <f>HYPERLINK("https://us2.cloudbeds.com/connect/10074733072513#/reservations/30656489095321?display=James%20Barker&amp;reservation_id=30656489095321&amp;guest_id=30656485347522", "James Barker")</f>
        <v>James Barker</v>
      </c>
      <c r="E1986" t="s">
        <v>1106</v>
      </c>
      <c r="F1986" t="s">
        <v>1071</v>
      </c>
      <c r="G1986">
        <v>267.3</v>
      </c>
      <c r="H1986">
        <v>290.55</v>
      </c>
      <c r="I1986">
        <v>290.56</v>
      </c>
      <c r="J1986">
        <v>-0.01</v>
      </c>
    </row>
    <row r="1987" spans="1:10" x14ac:dyDescent="0.3">
      <c r="A1987" t="str">
        <f>HYPERLINK("https://us2.cloudbeds.com/connect/10074733072513#/reservations/30653469802741?display=YQ8C6MPDF&amp;reservation_id=30653469802741", "YQ8C6MPDF")</f>
        <v>YQ8C6MPDF</v>
      </c>
      <c r="B1987" t="s">
        <v>10</v>
      </c>
      <c r="C1987" t="s">
        <v>11</v>
      </c>
      <c r="D1987" t="str">
        <f>HYPERLINK("https://us2.cloudbeds.com/connect/10074733072513#/reservations/30653469802741?display=William%20Thomas%20Boyd&amp;reservation_id=30653469802741&amp;guest_id=30646101500085", "William Thomas Boyd")</f>
        <v>William Thomas Boyd</v>
      </c>
      <c r="E1987" t="s">
        <v>846</v>
      </c>
      <c r="F1987" t="s">
        <v>1107</v>
      </c>
      <c r="G1987">
        <v>64.150000000000006</v>
      </c>
      <c r="H1987">
        <v>69.72</v>
      </c>
      <c r="I1987">
        <v>69.73</v>
      </c>
      <c r="J1987">
        <v>-0.01</v>
      </c>
    </row>
    <row r="1988" spans="1:10" x14ac:dyDescent="0.3">
      <c r="A1988" t="str">
        <f>HYPERLINK("https://us2.cloudbeds.com/connect/10074733072513#/reservations/30654130057379?display=YQ8T2EARP&amp;reservation_id=30654130057379", "YQ8T2EARP")</f>
        <v>YQ8T2EARP</v>
      </c>
      <c r="B1988" t="s">
        <v>10</v>
      </c>
      <c r="C1988" t="s">
        <v>11</v>
      </c>
      <c r="D1988" t="str">
        <f>HYPERLINK("https://us2.cloudbeds.com/connect/10074733072513#/reservations/30654130057379?display=Alex%20Mcglothlen&amp;reservation_id=30654130057379&amp;guest_id=30648491585743", "Alex Mcglothlen")</f>
        <v>Alex Mcglothlen</v>
      </c>
      <c r="E1988" t="s">
        <v>583</v>
      </c>
      <c r="F1988" t="s">
        <v>1071</v>
      </c>
      <c r="G1988">
        <v>64.150000000000006</v>
      </c>
      <c r="H1988">
        <v>69.72</v>
      </c>
      <c r="I1988">
        <v>69.73</v>
      </c>
      <c r="J1988">
        <v>-0.01</v>
      </c>
    </row>
    <row r="1989" spans="1:10" x14ac:dyDescent="0.3">
      <c r="A1989" t="str">
        <f>HYPERLINK("https://us2.cloudbeds.com/connect/10074733072513#/reservations/30656383611077?display=YQAKYMPQP&amp;reservation_id=30656383611077", "YQAKYMPQP")</f>
        <v>YQAKYMPQP</v>
      </c>
      <c r="B1989" t="s">
        <v>10</v>
      </c>
      <c r="C1989" t="s">
        <v>14</v>
      </c>
      <c r="D1989" t="str">
        <f>HYPERLINK("https://us2.cloudbeds.com/connect/10074733072513#/reservations/30656383611077?display=Tamara%20Bohaty&amp;reservation_id=30656383611077&amp;guest_id=30656383606997", "Tamara Bohaty")</f>
        <v>Tamara Bohaty</v>
      </c>
      <c r="E1989" t="s">
        <v>1108</v>
      </c>
      <c r="F1989" t="s">
        <v>1109</v>
      </c>
      <c r="G1989">
        <v>64.150000000000006</v>
      </c>
      <c r="H1989">
        <v>69.72</v>
      </c>
      <c r="I1989">
        <v>69.73</v>
      </c>
      <c r="J1989">
        <v>-0.01</v>
      </c>
    </row>
    <row r="1990" spans="1:10" x14ac:dyDescent="0.3">
      <c r="A1990" t="str">
        <f>HYPERLINK("https://us2.cloudbeds.com/connect/10074733072513#/reservations/30653516230818?display=YQ8DCRN2S&amp;reservation_id=30653516230818", "YQ8DCRN2S")</f>
        <v>YQ8DCRN2S</v>
      </c>
      <c r="B1990" t="s">
        <v>10</v>
      </c>
      <c r="C1990" t="s">
        <v>14</v>
      </c>
      <c r="D1990" t="str">
        <f>HYPERLINK("https://us2.cloudbeds.com/connect/10074733072513#/reservations/30653516230818?display=Kaitlyn%20Telkamp&amp;reservation_id=30653516230818&amp;guest_id=30653516230815", "Kaitlyn Telkamp")</f>
        <v>Kaitlyn Telkamp</v>
      </c>
      <c r="E1990" t="s">
        <v>1110</v>
      </c>
      <c r="F1990" t="s">
        <v>1111</v>
      </c>
      <c r="G1990">
        <v>64.150000000000006</v>
      </c>
      <c r="H1990">
        <v>69.72</v>
      </c>
      <c r="I1990">
        <v>69.73</v>
      </c>
      <c r="J1990">
        <v>-0.01</v>
      </c>
    </row>
    <row r="1991" spans="1:10" x14ac:dyDescent="0.3">
      <c r="A1991" t="str">
        <f>HYPERLINK("https://us2.cloudbeds.com/connect/10074733072513#/reservations/30656397070512?display=YQAY01A8E&amp;reservation_id=30656397070512", "YQAY01A8E")</f>
        <v>YQAY01A8E</v>
      </c>
      <c r="B1991" t="s">
        <v>10</v>
      </c>
      <c r="C1991" t="s">
        <v>42</v>
      </c>
      <c r="D1991" t="str">
        <f>HYPERLINK("https://us2.cloudbeds.com/connect/10074733072513#/reservations/30656397070512?display=Shawna%20Garner&amp;reservation_id=30656397070512&amp;guest_id=30656397070507", "Shawna Garner")</f>
        <v>Shawna Garner</v>
      </c>
      <c r="E1991" t="s">
        <v>1112</v>
      </c>
      <c r="F1991" t="s">
        <v>1103</v>
      </c>
      <c r="G1991">
        <v>134.1</v>
      </c>
      <c r="H1991">
        <v>145.76</v>
      </c>
      <c r="I1991">
        <v>145.77000000000001</v>
      </c>
      <c r="J1991">
        <v>-0.01</v>
      </c>
    </row>
    <row r="1992" spans="1:10" x14ac:dyDescent="0.3">
      <c r="A1992" t="str">
        <f>HYPERLINK("https://us2.cloudbeds.com/connect/10074733072513#/reservations/30656381345922?display=YQAKJPZPN&amp;reservation_id=30656381345922", "YQAKJPZPN")</f>
        <v>YQAKJPZPN</v>
      </c>
      <c r="B1992" t="s">
        <v>10</v>
      </c>
      <c r="C1992" t="s">
        <v>14</v>
      </c>
      <c r="D1992" t="str">
        <f>HYPERLINK("https://us2.cloudbeds.com/connect/10074733072513#/reservations/30656381345922?display=Carol%20Ann%20Loree&amp;reservation_id=30656381345922&amp;guest_id=30656376574179", "Carol Ann Loree")</f>
        <v>Carol Ann Loree</v>
      </c>
      <c r="E1992" t="s">
        <v>1113</v>
      </c>
      <c r="F1992" t="s">
        <v>1109</v>
      </c>
      <c r="G1992">
        <v>64.150000000000006</v>
      </c>
      <c r="H1992">
        <v>69.72</v>
      </c>
      <c r="I1992">
        <v>69.73</v>
      </c>
      <c r="J1992">
        <v>-0.01</v>
      </c>
    </row>
    <row r="1993" spans="1:10" x14ac:dyDescent="0.3">
      <c r="A1993" t="str">
        <f>HYPERLINK("https://us2.cloudbeds.com/connect/10074733072513#/reservations/30653807333605?display=YQ8KRA23E&amp;reservation_id=30653807333605", "YQ8KRA23E")</f>
        <v>YQ8KRA23E</v>
      </c>
      <c r="B1993" t="s">
        <v>10</v>
      </c>
      <c r="C1993" t="s">
        <v>20</v>
      </c>
      <c r="D1993" t="str">
        <f>HYPERLINK("https://us2.cloudbeds.com/connect/10074733072513#/reservations/30653807333605?display=Amanda%20Boneschans&amp;reservation_id=30653807333605&amp;guest_id=30653800337555", "Amanda Boneschans")</f>
        <v>Amanda Boneschans</v>
      </c>
      <c r="E1993" t="s">
        <v>1114</v>
      </c>
      <c r="F1993" t="s">
        <v>1069</v>
      </c>
      <c r="G1993">
        <v>127.2</v>
      </c>
      <c r="H1993">
        <v>138.26</v>
      </c>
      <c r="I1993">
        <v>138.27000000000001</v>
      </c>
      <c r="J1993">
        <v>-0.01</v>
      </c>
    </row>
    <row r="1994" spans="1:10" x14ac:dyDescent="0.3">
      <c r="A1994" t="str">
        <f>HYPERLINK("https://us2.cloudbeds.com/connect/10074733072513#/reservations/30653637755010?display=YQ8GGA9X5&amp;reservation_id=30653637755010", "YQ8GGA9X5")</f>
        <v>YQ8GGA9X5</v>
      </c>
      <c r="B1994" t="s">
        <v>10</v>
      </c>
      <c r="C1994" t="s">
        <v>14</v>
      </c>
      <c r="D1994" t="str">
        <f>HYPERLINK("https://us2.cloudbeds.com/connect/10074733072513#/reservations/30653637755010?display=Anoria%20Zuehlke&amp;reservation_id=30653637755010&amp;guest_id=30653633831069", "Anoria Zuehlke")</f>
        <v>Anoria Zuehlke</v>
      </c>
      <c r="E1994" t="s">
        <v>1115</v>
      </c>
      <c r="F1994" t="s">
        <v>1021</v>
      </c>
      <c r="G1994">
        <v>103.2</v>
      </c>
      <c r="H1994">
        <v>112.17</v>
      </c>
      <c r="I1994">
        <v>112.18</v>
      </c>
      <c r="J1994">
        <v>-0.01</v>
      </c>
    </row>
    <row r="1995" spans="1:10" x14ac:dyDescent="0.3">
      <c r="A1995" t="str">
        <f>HYPERLINK("https://us2.cloudbeds.com/connect/10074733072513#/reservations/30656404918471?display=YQAY6YMRB&amp;reservation_id=30656404918471", "YQAY6YMRB")</f>
        <v>YQAY6YMRB</v>
      </c>
      <c r="B1995" t="s">
        <v>10</v>
      </c>
      <c r="C1995" t="s">
        <v>121</v>
      </c>
      <c r="D1995" t="str">
        <f>HYPERLINK("https://us2.cloudbeds.com/connect/10074733072513#/reservations/30656404918471?display=Casey%20Fanta&amp;reservation_id=30656404918471&amp;guest_id=30656404918468", "Casey Fanta")</f>
        <v>Casey Fanta</v>
      </c>
      <c r="E1995" t="s">
        <v>1116</v>
      </c>
      <c r="F1995" t="s">
        <v>1103</v>
      </c>
      <c r="G1995">
        <v>113.2</v>
      </c>
      <c r="H1995">
        <v>123.04</v>
      </c>
      <c r="I1995">
        <v>123.05</v>
      </c>
      <c r="J1995">
        <v>-0.01</v>
      </c>
    </row>
    <row r="1996" spans="1:10" x14ac:dyDescent="0.3">
      <c r="A1996" t="str">
        <f>HYPERLINK("https://us2.cloudbeds.com/connect/10074733072513#/reservations/30654391947450?display=YQ92P8QJH&amp;reservation_id=30654391947450", "YQ92P8QJH")</f>
        <v>YQ92P8QJH</v>
      </c>
      <c r="B1996" t="s">
        <v>10</v>
      </c>
      <c r="C1996" t="s">
        <v>11</v>
      </c>
      <c r="D1996" t="str">
        <f>HYPERLINK("https://us2.cloudbeds.com/connect/10074733072513#/reservations/30654391947450?display=Maria%20Goodman&amp;reservation_id=30654391947450&amp;guest_id=30648514326720", "Maria Goodman")</f>
        <v>Maria Goodman</v>
      </c>
      <c r="E1996" t="s">
        <v>777</v>
      </c>
      <c r="F1996" t="s">
        <v>1117</v>
      </c>
      <c r="G1996">
        <v>64.150000000000006</v>
      </c>
      <c r="H1996">
        <v>69.72</v>
      </c>
      <c r="I1996">
        <v>69.73</v>
      </c>
      <c r="J1996">
        <v>-0.01</v>
      </c>
    </row>
    <row r="1997" spans="1:10" x14ac:dyDescent="0.3">
      <c r="A1997" t="str">
        <f>HYPERLINK("https://us2.cloudbeds.com/connect/10074733072513#/reservations/30654394032272?display=YQ92R0R0V&amp;reservation_id=30654394032272", "YQ92R0R0V")</f>
        <v>YQ92R0R0V</v>
      </c>
      <c r="B1997" t="s">
        <v>10</v>
      </c>
      <c r="C1997" t="s">
        <v>14</v>
      </c>
      <c r="D1997" t="str">
        <f>HYPERLINK("https://us2.cloudbeds.com/connect/10074733072513#/reservations/30654394032272?display=James%20Wolf&amp;reservation_id=30654394032272&amp;guest_id=30654394032258", "James Wolf")</f>
        <v>James Wolf</v>
      </c>
      <c r="E1997" t="s">
        <v>970</v>
      </c>
      <c r="F1997" t="s">
        <v>1117</v>
      </c>
      <c r="G1997">
        <v>64.150000000000006</v>
      </c>
      <c r="H1997">
        <v>69.72</v>
      </c>
      <c r="I1997">
        <v>69.73</v>
      </c>
      <c r="J1997">
        <v>-0.01</v>
      </c>
    </row>
    <row r="1998" spans="1:10" x14ac:dyDescent="0.3">
      <c r="A1998" t="str">
        <f>HYPERLINK("https://us2.cloudbeds.com/connect/10074733072513#/reservations/30654845333632?display=YQ9EBXRFX&amp;reservation_id=30654845333632", "YQ9EBXRFX")</f>
        <v>YQ9EBXRFX</v>
      </c>
      <c r="B1998" t="s">
        <v>10</v>
      </c>
      <c r="C1998" t="s">
        <v>42</v>
      </c>
      <c r="D1998" t="str">
        <f>HYPERLINK("https://us2.cloudbeds.com/connect/10074733072513#/reservations/30654845333632?display=Clint%20Hall&amp;reservation_id=30654845333632&amp;guest_id=30654845329596", "Clint Hall")</f>
        <v>Clint Hall</v>
      </c>
      <c r="E1998" t="s">
        <v>1118</v>
      </c>
      <c r="F1998" t="s">
        <v>1067</v>
      </c>
      <c r="G1998">
        <v>294.3</v>
      </c>
      <c r="H1998">
        <v>319.89</v>
      </c>
      <c r="I1998">
        <v>319.89999999999998</v>
      </c>
      <c r="J1998">
        <v>-0.01</v>
      </c>
    </row>
    <row r="1999" spans="1:10" x14ac:dyDescent="0.3">
      <c r="A1999" t="str">
        <f>HYPERLINK("https://us2.cloudbeds.com/connect/10074733072513#/reservations/30655069626587?display=YQ9K2N7FV&amp;reservation_id=30655069626587", "YQ9K2N7FV")</f>
        <v>YQ9K2N7FV</v>
      </c>
      <c r="B1999" t="s">
        <v>10</v>
      </c>
      <c r="C1999" t="s">
        <v>42</v>
      </c>
      <c r="D1999" t="str">
        <f>HYPERLINK("https://us2.cloudbeds.com/connect/10074733072513#/reservations/30655069626587?display=Myron%20Jallo&amp;reservation_id=30655069626587&amp;guest_id=30655069626585", "Myron Jallo")</f>
        <v>Myron Jallo</v>
      </c>
      <c r="E1999" t="s">
        <v>1120</v>
      </c>
      <c r="F1999" t="s">
        <v>1067</v>
      </c>
      <c r="G1999">
        <v>250.2</v>
      </c>
      <c r="H1999">
        <v>271.95999999999998</v>
      </c>
      <c r="I1999">
        <v>271.97000000000003</v>
      </c>
      <c r="J1999">
        <v>-0.01</v>
      </c>
    </row>
    <row r="2000" spans="1:10" x14ac:dyDescent="0.3">
      <c r="A2000" t="str">
        <f>HYPERLINK("https://us2.cloudbeds.com/connect/10074733072513#/reservations/30654538686607?display=YQ96H019Y&amp;reservation_id=30654538686607", "YQ96H019Y")</f>
        <v>YQ96H019Y</v>
      </c>
      <c r="B2000" t="s">
        <v>10</v>
      </c>
      <c r="C2000" t="s">
        <v>11</v>
      </c>
      <c r="D2000" t="str">
        <f>HYPERLINK("https://us2.cloudbeds.com/connect/10074733072513#/reservations/30654538686607?display=Tracey%20Hysong&amp;reservation_id=30654538686607&amp;guest_id=30654538686594", "Tracey Hysong")</f>
        <v>Tracey Hysong</v>
      </c>
      <c r="E2000" t="s">
        <v>1121</v>
      </c>
      <c r="F2000" t="s">
        <v>949</v>
      </c>
      <c r="G2000">
        <v>64.150000000000006</v>
      </c>
      <c r="H2000">
        <v>69.72</v>
      </c>
      <c r="I2000">
        <v>69.73</v>
      </c>
      <c r="J2000">
        <v>-0.01</v>
      </c>
    </row>
    <row r="2001" spans="1:10" x14ac:dyDescent="0.3">
      <c r="A2001" t="str">
        <f>HYPERLINK("https://us2.cloudbeds.com/connect/10074733072513#/reservations/30654148260076?display=YQ8THPRTY&amp;reservation_id=30654148260076", "YQ8THPRTY")</f>
        <v>YQ8THPRTY</v>
      </c>
      <c r="B2001" t="s">
        <v>10</v>
      </c>
      <c r="C2001" t="s">
        <v>14</v>
      </c>
      <c r="D2001" t="str">
        <f>HYPERLINK("https://us2.cloudbeds.com/connect/10074733072513#/reservations/30654148260076?display=Barbra%20Pechous&amp;reservation_id=30654148260076&amp;guest_id=30654148260072", "Barbra Pechous")</f>
        <v>Barbra Pechous</v>
      </c>
      <c r="E2001" t="s">
        <v>1122</v>
      </c>
      <c r="F2001" t="s">
        <v>1071</v>
      </c>
      <c r="G2001">
        <v>64.150000000000006</v>
      </c>
      <c r="H2001">
        <v>69.72</v>
      </c>
      <c r="I2001">
        <v>69.73</v>
      </c>
      <c r="J2001">
        <v>-0.01</v>
      </c>
    </row>
    <row r="2002" spans="1:10" x14ac:dyDescent="0.3">
      <c r="A2002" t="str">
        <f>HYPERLINK("https://us2.cloudbeds.com/connect/10074733072513#/reservations/30654143414421?display=YQ8TDN08K&amp;reservation_id=30654143414421", "YQ8TDN08K")</f>
        <v>YQ8TDN08K</v>
      </c>
      <c r="B2002" t="s">
        <v>10</v>
      </c>
      <c r="C2002" t="s">
        <v>14</v>
      </c>
      <c r="D2002" t="str">
        <f>HYPERLINK("https://us2.cloudbeds.com/connect/10074733072513#/reservations/30654143414421?display=Gregory%20Love%20Stone&amp;reservation_id=30654143414421&amp;guest_id=30654143414418", "Gregory Love Stone")</f>
        <v>Gregory Love Stone</v>
      </c>
      <c r="E2002" t="s">
        <v>1123</v>
      </c>
      <c r="F2002" t="s">
        <v>1071</v>
      </c>
      <c r="G2002">
        <v>64.150000000000006</v>
      </c>
      <c r="H2002">
        <v>69.72</v>
      </c>
      <c r="I2002">
        <v>69.73</v>
      </c>
      <c r="J2002">
        <v>-0.01</v>
      </c>
    </row>
    <row r="2003" spans="1:10" x14ac:dyDescent="0.3">
      <c r="A2003" t="str">
        <f>HYPERLINK("https://us2.cloudbeds.com/connect/10074733072513#/reservations/30656441549022?display=YQAM4HWN2&amp;reservation_id=30656441549022", "YQAM4HWN2")</f>
        <v>YQAM4HWN2</v>
      </c>
      <c r="B2003" t="s">
        <v>10</v>
      </c>
      <c r="C2003" t="s">
        <v>14</v>
      </c>
      <c r="D2003" t="str">
        <f>HYPERLINK("https://us2.cloudbeds.com/connect/10074733072513#/reservations/30656441549022?display=Gregory%20Love%20Stone&amp;reservation_id=30656441549022&amp;guest_id=30654143414418", "Gregory Love Stone")</f>
        <v>Gregory Love Stone</v>
      </c>
      <c r="E2003" t="s">
        <v>1123</v>
      </c>
      <c r="F2003" t="s">
        <v>1124</v>
      </c>
      <c r="G2003">
        <v>64.150000000000006</v>
      </c>
      <c r="H2003">
        <v>69.72</v>
      </c>
      <c r="I2003">
        <v>69.73</v>
      </c>
      <c r="J2003">
        <v>-0.01</v>
      </c>
    </row>
    <row r="2004" spans="1:10" x14ac:dyDescent="0.3">
      <c r="A2004" t="str">
        <f>HYPERLINK("https://us2.cloudbeds.com/connect/10074733072513#/reservations/30653666177247?display=YQ8H795V2&amp;reservation_id=30653666177247", "YQ8H795V2")</f>
        <v>YQ8H795V2</v>
      </c>
      <c r="B2004" t="s">
        <v>10</v>
      </c>
      <c r="C2004" t="s">
        <v>11</v>
      </c>
      <c r="D2004" t="str">
        <f>HYPERLINK("https://us2.cloudbeds.com/connect/10074733072513#/reservations/30653666177247?display=Christopher%20A%20Huggins&amp;reservation_id=30653666177247&amp;guest_id=30653666177245", "Christopher A Huggins")</f>
        <v>Christopher A Huggins</v>
      </c>
      <c r="E2004" t="s">
        <v>1125</v>
      </c>
      <c r="F2004" t="s">
        <v>993</v>
      </c>
      <c r="G2004">
        <v>158.91999999999999</v>
      </c>
      <c r="H2004">
        <v>172.74</v>
      </c>
      <c r="I2004">
        <v>172.75</v>
      </c>
      <c r="J2004">
        <v>-0.01</v>
      </c>
    </row>
    <row r="2005" spans="1:10" x14ac:dyDescent="0.3">
      <c r="A2005" t="str">
        <f>HYPERLINK("https://us2.cloudbeds.com/connect/10074733072513#/reservations/30653676470400?display=YQ8HFVG5K&amp;reservation_id=30653676470400", "YQ8HFVG5K")</f>
        <v>YQ8HFVG5K</v>
      </c>
      <c r="B2005" t="s">
        <v>10</v>
      </c>
      <c r="C2005" t="s">
        <v>11</v>
      </c>
      <c r="D2005" t="str">
        <f>HYPERLINK("https://us2.cloudbeds.com/connect/10074733072513#/reservations/30653676470400?display=Christopher%20P%20Huggins&amp;reservation_id=30653676470400&amp;guest_id=30653676466365", "Christopher P Huggins")</f>
        <v>Christopher P Huggins</v>
      </c>
      <c r="E2005" t="s">
        <v>1125</v>
      </c>
      <c r="F2005" t="s">
        <v>993</v>
      </c>
      <c r="G2005">
        <v>158.91999999999999</v>
      </c>
      <c r="H2005">
        <v>172.74</v>
      </c>
      <c r="I2005">
        <v>172.75</v>
      </c>
      <c r="J2005">
        <v>-0.01</v>
      </c>
    </row>
    <row r="2006" spans="1:10" x14ac:dyDescent="0.3">
      <c r="A2006" t="str">
        <f>HYPERLINK("https://us2.cloudbeds.com/connect/10074733072513#/reservations/30656307339401?display=YQAXNCDHS&amp;reservation_id=30656307339401", "YQAXNCDHS")</f>
        <v>YQAXNCDHS</v>
      </c>
      <c r="B2006" t="s">
        <v>10</v>
      </c>
      <c r="C2006" t="s">
        <v>14</v>
      </c>
      <c r="D2006" t="str">
        <f>HYPERLINK("https://us2.cloudbeds.com/connect/10074733072513#/reservations/30656307339401?display=John%20Loveland&amp;reservation_id=30656307339401&amp;guest_id=30656307335314", "John Loveland")</f>
        <v>John Loveland</v>
      </c>
      <c r="E2006" t="s">
        <v>1126</v>
      </c>
      <c r="F2006" t="s">
        <v>1124</v>
      </c>
      <c r="G2006">
        <v>64.150000000000006</v>
      </c>
      <c r="H2006">
        <v>69.72</v>
      </c>
      <c r="I2006">
        <v>69.73</v>
      </c>
      <c r="J2006">
        <v>-0.01</v>
      </c>
    </row>
    <row r="2007" spans="1:10" x14ac:dyDescent="0.3">
      <c r="A2007" t="str">
        <f>HYPERLINK("https://us2.cloudbeds.com/connect/10074733072513#/reservations/30656436383883?display=YQAM068MN&amp;reservation_id=30656436383883", "YQAM068MN")</f>
        <v>YQAM068MN</v>
      </c>
      <c r="B2007" t="s">
        <v>10</v>
      </c>
      <c r="C2007" t="s">
        <v>14</v>
      </c>
      <c r="D2007" t="str">
        <f>HYPERLINK("https://us2.cloudbeds.com/connect/10074733072513#/reservations/30656436383883?display=Fiona%20Mccolley&amp;reservation_id=30656436383883&amp;guest_id=30656436383878", "Fiona Mccolley")</f>
        <v>Fiona Mccolley</v>
      </c>
      <c r="E2007" t="s">
        <v>1127</v>
      </c>
      <c r="F2007" t="s">
        <v>1124</v>
      </c>
      <c r="G2007">
        <v>64.150000000000006</v>
      </c>
      <c r="H2007">
        <v>69.72</v>
      </c>
      <c r="I2007">
        <v>69.73</v>
      </c>
      <c r="J2007">
        <v>-0.01</v>
      </c>
    </row>
    <row r="2008" spans="1:10" x14ac:dyDescent="0.3">
      <c r="A2008" t="str">
        <f>HYPERLINK("https://us2.cloudbeds.com/connect/10074733072513#/reservations/30654548770947?display=YQ96PGYFN&amp;reservation_id=30654548770947", "YQ96PGYFN")</f>
        <v>YQ96PGYFN</v>
      </c>
      <c r="B2008" t="s">
        <v>10</v>
      </c>
      <c r="C2008" t="s">
        <v>14</v>
      </c>
      <c r="D2008" t="str">
        <f>HYPERLINK("https://us2.cloudbeds.com/connect/10074733072513#/reservations/30654548770947?display=Gregory%20Love%20Stone&amp;reservation_id=30654548770947&amp;guest_id=30654143414418", "Gregory Love Stone")</f>
        <v>Gregory Love Stone</v>
      </c>
      <c r="E2008" t="s">
        <v>1123</v>
      </c>
      <c r="F2008" t="s">
        <v>949</v>
      </c>
      <c r="G2008">
        <v>64.150000000000006</v>
      </c>
      <c r="H2008">
        <v>69.72</v>
      </c>
      <c r="I2008">
        <v>69.73</v>
      </c>
      <c r="J2008">
        <v>-0.01</v>
      </c>
    </row>
    <row r="2009" spans="1:10" x14ac:dyDescent="0.3">
      <c r="A2009" t="str">
        <f>HYPERLINK("https://us2.cloudbeds.com/connect/10074733072513#/reservations/30654154002562?display=YQ8TMKY2B&amp;reservation_id=30654154002562", "YQ8TMKY2B")</f>
        <v>YQ8TMKY2B</v>
      </c>
      <c r="B2009" t="s">
        <v>10</v>
      </c>
      <c r="C2009" t="s">
        <v>11</v>
      </c>
      <c r="D2009" t="str">
        <f>HYPERLINK("https://us2.cloudbeds.com/connect/10074733072513#/reservations/30654154002562?display=Trey%20Wasserburger&amp;reservation_id=30654154002562&amp;guest_id=30654153998527", "Trey Wasserburger")</f>
        <v>Trey Wasserburger</v>
      </c>
      <c r="E2009" t="s">
        <v>1128</v>
      </c>
      <c r="F2009" t="s">
        <v>1071</v>
      </c>
      <c r="G2009">
        <v>64.150000000000006</v>
      </c>
      <c r="H2009">
        <v>69.72</v>
      </c>
      <c r="I2009">
        <v>69.73</v>
      </c>
      <c r="J2009">
        <v>-0.01</v>
      </c>
    </row>
    <row r="2010" spans="1:10" x14ac:dyDescent="0.3">
      <c r="A2010" t="str">
        <f>HYPERLINK("https://us2.cloudbeds.com/connect/10074733072513#/reservations/30656453267696?display=YQAMEE2YD&amp;reservation_id=30656453267696", "YQAMEE2YD")</f>
        <v>YQAMEE2YD</v>
      </c>
      <c r="B2010" t="s">
        <v>10</v>
      </c>
      <c r="C2010" t="s">
        <v>11</v>
      </c>
      <c r="D2010" t="str">
        <f>HYPERLINK("https://us2.cloudbeds.com/connect/10074733072513#/reservations/30656453267696?display=Tracy%20Jo%20Peterson&amp;reservation_id=30656453267696&amp;guest_id=30649996619970", "Tracy Jo Peterson")</f>
        <v>Tracy Jo Peterson</v>
      </c>
      <c r="E2010" t="s">
        <v>633</v>
      </c>
      <c r="F2010" t="s">
        <v>1129</v>
      </c>
      <c r="G2010">
        <v>64.150000000000006</v>
      </c>
      <c r="H2010">
        <v>69.72</v>
      </c>
      <c r="I2010">
        <v>69.73</v>
      </c>
      <c r="J2010">
        <v>-0.01</v>
      </c>
    </row>
    <row r="2011" spans="1:10" x14ac:dyDescent="0.3">
      <c r="A2011" t="str">
        <f>HYPERLINK("https://us2.cloudbeds.com/connect/10074733072513#/reservations/30654554657003?display=YQ96UFEG1&amp;reservation_id=30654554657003", "YQ96UFEG1")</f>
        <v>YQ96UFEG1</v>
      </c>
      <c r="B2011" t="s">
        <v>10</v>
      </c>
      <c r="C2011" t="s">
        <v>14</v>
      </c>
      <c r="D2011" t="str">
        <f>HYPERLINK("https://us2.cloudbeds.com/connect/10074733072513#/reservations/30654554657003?display=Jerry%20Payne&amp;reservation_id=30654554657003&amp;guest_id=30648701055131", "Jerry Payne")</f>
        <v>Jerry Payne</v>
      </c>
      <c r="E2011" t="s">
        <v>567</v>
      </c>
      <c r="F2011" t="s">
        <v>949</v>
      </c>
      <c r="G2011">
        <v>64.150000000000006</v>
      </c>
      <c r="H2011">
        <v>69.72</v>
      </c>
      <c r="I2011">
        <v>69.73</v>
      </c>
      <c r="J2011">
        <v>-0.01</v>
      </c>
    </row>
    <row r="2012" spans="1:10" x14ac:dyDescent="0.3">
      <c r="A2012" t="str">
        <f>HYPERLINK("https://us2.cloudbeds.com/connect/10074733072513#/reservations/30656048124067?display=YQAC2QBUZ&amp;reservation_id=30656048124067", "YQAC2QBUZ")</f>
        <v>YQAC2QBUZ</v>
      </c>
      <c r="B2012" t="s">
        <v>10</v>
      </c>
      <c r="C2012" t="s">
        <v>23</v>
      </c>
      <c r="D2012" t="str">
        <f>HYPERLINK("https://us2.cloudbeds.com/connect/10074733072513#/reservations/30656048124067?display=Daniel%20Hodnefield&amp;reservation_id=30656048124067&amp;guest_id=30656048124062", "Daniel Hodnefield")</f>
        <v>Daniel Hodnefield</v>
      </c>
      <c r="E2012" t="s">
        <v>1132</v>
      </c>
      <c r="F2012" t="s">
        <v>1133</v>
      </c>
      <c r="G2012">
        <v>196.2</v>
      </c>
      <c r="H2012">
        <v>213.26</v>
      </c>
      <c r="I2012">
        <v>213.27</v>
      </c>
      <c r="J2012">
        <v>-0.01</v>
      </c>
    </row>
    <row r="2013" spans="1:10" x14ac:dyDescent="0.3">
      <c r="A2013" t="str">
        <f>HYPERLINK("https://us2.cloudbeds.com/connect/10074733072513#/reservations/30655016005842?display=YQ9XNG4VT&amp;reservation_id=30655016005842", "YQ9XNG4VT")</f>
        <v>YQ9XNG4VT</v>
      </c>
      <c r="B2013" t="s">
        <v>10</v>
      </c>
      <c r="C2013" t="s">
        <v>11</v>
      </c>
      <c r="D2013" t="str">
        <f>HYPERLINK("https://us2.cloudbeds.com/connect/10074733072513#/reservations/30655016005842?display=Jeffery%20Thomas%20Manbeck&amp;reservation_id=30655016005842&amp;guest_id=30655016005840", "Jeffery Thomas Manbeck")</f>
        <v>Jeffery Thomas Manbeck</v>
      </c>
      <c r="E2013" t="s">
        <v>1134</v>
      </c>
      <c r="F2013" t="s">
        <v>1135</v>
      </c>
      <c r="G2013">
        <v>192.05</v>
      </c>
      <c r="H2013">
        <v>208.75</v>
      </c>
      <c r="I2013">
        <v>208.76</v>
      </c>
      <c r="J2013">
        <v>-0.01</v>
      </c>
    </row>
    <row r="2014" spans="1:10" x14ac:dyDescent="0.3">
      <c r="A2014" t="str">
        <f>HYPERLINK("https://us2.cloudbeds.com/connect/10074733072513#/reservations/30654490165443?display=YQ9592SJB&amp;reservation_id=30654490165443", "YQ9592SJB")</f>
        <v>YQ9592SJB</v>
      </c>
      <c r="B2014" t="s">
        <v>10</v>
      </c>
      <c r="C2014" t="s">
        <v>11</v>
      </c>
      <c r="D2014" t="str">
        <f>HYPERLINK("https://us2.cloudbeds.com/connect/10074733072513#/reservations/30654490165443?display=Ashley%20Easterling&amp;reservation_id=30654490165443&amp;guest_id=30654485115042", "Ashley Easterling")</f>
        <v>Ashley Easterling</v>
      </c>
      <c r="E2014" t="s">
        <v>1138</v>
      </c>
      <c r="F2014" t="s">
        <v>1139</v>
      </c>
      <c r="G2014">
        <v>80.19</v>
      </c>
      <c r="H2014">
        <v>87.16</v>
      </c>
      <c r="I2014">
        <v>87.17</v>
      </c>
      <c r="J2014">
        <v>-0.01</v>
      </c>
    </row>
    <row r="2015" spans="1:10" x14ac:dyDescent="0.3">
      <c r="A2015" t="str">
        <f>HYPERLINK("https://us2.cloudbeds.com/connect/10074733072513#/reservations/30656029032675?display=YQABJN3QN&amp;reservation_id=30656029032675", "YQABJN3QN")</f>
        <v>YQABJN3QN</v>
      </c>
      <c r="B2015" t="s">
        <v>10</v>
      </c>
      <c r="C2015" t="s">
        <v>42</v>
      </c>
      <c r="D2015" t="str">
        <f>HYPERLINK("https://us2.cloudbeds.com/connect/10074733072513#/reservations/30656029032675?display=Jim%20Moore&amp;reservation_id=30656029032675&amp;guest_id=30656029032671", "Jim Moore")</f>
        <v>Jim Moore</v>
      </c>
      <c r="E2015" t="s">
        <v>1140</v>
      </c>
      <c r="F2015" t="s">
        <v>1141</v>
      </c>
      <c r="G2015">
        <v>87.2</v>
      </c>
      <c r="H2015">
        <v>94.78</v>
      </c>
      <c r="I2015">
        <v>94.79</v>
      </c>
      <c r="J2015">
        <v>-0.01</v>
      </c>
    </row>
    <row r="2016" spans="1:10" x14ac:dyDescent="0.3">
      <c r="A2016" t="str">
        <f>HYPERLINK("https://us2.cloudbeds.com/connect/10074733072513#/reservations/30656090300564?display=YQAD5BWGD&amp;reservation_id=30656090300564", "YQAD5BWGD")</f>
        <v>YQAD5BWGD</v>
      </c>
      <c r="B2016" t="s">
        <v>10</v>
      </c>
      <c r="C2016" t="s">
        <v>14</v>
      </c>
      <c r="D2016" t="str">
        <f>HYPERLINK("https://us2.cloudbeds.com/connect/10074733072513#/reservations/30656090300564?display=Kellie%20Sawn&amp;reservation_id=30656090300564&amp;guest_id=30656085659779", "Kellie Sawn")</f>
        <v>Kellie Sawn</v>
      </c>
      <c r="E2016" t="s">
        <v>1142</v>
      </c>
      <c r="F2016" t="s">
        <v>1133</v>
      </c>
      <c r="G2016">
        <v>83.2</v>
      </c>
      <c r="H2016">
        <v>90.43</v>
      </c>
      <c r="I2016">
        <v>90.44</v>
      </c>
      <c r="J2016">
        <v>-0.01</v>
      </c>
    </row>
    <row r="2017" spans="1:10" x14ac:dyDescent="0.3">
      <c r="A2017" t="str">
        <f>HYPERLINK("https://us2.cloudbeds.com/connect/10074733072513#/reservations/30653714628783?display=YQ8XF4DNE&amp;reservation_id=30653714628783", "YQ8XF4DNE")</f>
        <v>YQ8XF4DNE</v>
      </c>
      <c r="B2017" t="s">
        <v>10</v>
      </c>
      <c r="C2017" t="s">
        <v>11</v>
      </c>
      <c r="D2017" t="str">
        <f>HYPERLINK("https://us2.cloudbeds.com/connect/10074733072513#/reservations/30653714628783?display=William%20Thomas%20Boyd&amp;reservation_id=30653714628783&amp;guest_id=30646101500085", "William Thomas Boyd")</f>
        <v>William Thomas Boyd</v>
      </c>
      <c r="E2017" t="s">
        <v>846</v>
      </c>
      <c r="F2017" t="s">
        <v>1143</v>
      </c>
      <c r="G2017">
        <v>64.150000000000006</v>
      </c>
      <c r="H2017">
        <v>69.72</v>
      </c>
      <c r="I2017">
        <v>69.73</v>
      </c>
      <c r="J2017">
        <v>-0.01</v>
      </c>
    </row>
    <row r="2018" spans="1:10" x14ac:dyDescent="0.3">
      <c r="A2018" t="str">
        <f>HYPERLINK("https://us2.cloudbeds.com/connect/10074733072513#/reservations/30656497152199?display=YQANXE7KR&amp;reservation_id=30656497152199", "YQANXE7KR")</f>
        <v>YQANXE7KR</v>
      </c>
      <c r="B2018" t="s">
        <v>10</v>
      </c>
      <c r="C2018" t="s">
        <v>11</v>
      </c>
      <c r="D2018" t="str">
        <f>HYPERLINK("https://us2.cloudbeds.com/connect/10074733072513#/reservations/30656497152199?display=Cassie%20Bendix&amp;reservation_id=30656497152199&amp;guest_id=30648575217846", "Cassie Bendix")</f>
        <v>Cassie Bendix</v>
      </c>
      <c r="E2018" t="s">
        <v>1144</v>
      </c>
      <c r="F2018" t="s">
        <v>1145</v>
      </c>
      <c r="G2018">
        <v>64.150000000000006</v>
      </c>
      <c r="H2018">
        <v>69.72</v>
      </c>
      <c r="I2018">
        <v>69.73</v>
      </c>
      <c r="J2018">
        <v>-0.01</v>
      </c>
    </row>
    <row r="2019" spans="1:10" x14ac:dyDescent="0.3">
      <c r="A2019" t="str">
        <f>HYPERLINK("https://us2.cloudbeds.com/connect/10074733072513#/reservations/30656156197026?display=YQAERUYFT&amp;reservation_id=30656156197026", "YQAERUYFT")</f>
        <v>YQAERUYFT</v>
      </c>
      <c r="B2019" t="s">
        <v>10</v>
      </c>
      <c r="C2019" t="s">
        <v>14</v>
      </c>
      <c r="D2019" t="str">
        <f>HYPERLINK("https://us2.cloudbeds.com/connect/10074733072513#/reservations/30656156197026?display=Cynthia%20Pecic&amp;reservation_id=30656156197026&amp;guest_id=30656156192934", "Cynthia Pecic")</f>
        <v>Cynthia Pecic</v>
      </c>
      <c r="E2019" t="s">
        <v>1146</v>
      </c>
      <c r="F2019" t="s">
        <v>1147</v>
      </c>
      <c r="G2019">
        <v>90.07</v>
      </c>
      <c r="H2019">
        <v>97.9</v>
      </c>
      <c r="I2019">
        <v>97.91</v>
      </c>
      <c r="J2019">
        <v>-0.01</v>
      </c>
    </row>
    <row r="2020" spans="1:10" x14ac:dyDescent="0.3">
      <c r="A2020" t="str">
        <f>HYPERLINK("https://us2.cloudbeds.com/connect/10074733072513#/reservations/30654765555891?display=YQ9CAA0CD&amp;reservation_id=30654765555891", "YQ9CAA0CD")</f>
        <v>YQ9CAA0CD</v>
      </c>
      <c r="B2020" t="s">
        <v>10</v>
      </c>
      <c r="C2020" t="s">
        <v>42</v>
      </c>
      <c r="D2020" t="str">
        <f>HYPERLINK("https://us2.cloudbeds.com/connect/10074733072513#/reservations/30654765555891?display=Scott%20Williams&amp;reservation_id=30654765555891&amp;guest_id=30654760337634", "Scott Williams")</f>
        <v>Scott Williams</v>
      </c>
      <c r="E2020" t="s">
        <v>1148</v>
      </c>
      <c r="F2020" t="s">
        <v>1133</v>
      </c>
      <c r="G2020">
        <v>83.2</v>
      </c>
      <c r="H2020">
        <v>90.43</v>
      </c>
      <c r="I2020">
        <v>90.44</v>
      </c>
      <c r="J2020">
        <v>-0.01</v>
      </c>
    </row>
    <row r="2021" spans="1:10" x14ac:dyDescent="0.3">
      <c r="A2021" t="str">
        <f>HYPERLINK("https://us2.cloudbeds.com/connect/10074733072513#/reservations/30656454525078?display=YQAMFG28T&amp;reservation_id=30656454525078", "YQAMFG28T")</f>
        <v>YQAMFG28T</v>
      </c>
      <c r="B2021" t="s">
        <v>10</v>
      </c>
      <c r="C2021" t="s">
        <v>11</v>
      </c>
      <c r="D2021" t="str">
        <f>HYPERLINK("https://us2.cloudbeds.com/connect/10074733072513#/reservations/30656454525078?display=Laura%20Catherine%20Patko&amp;reservation_id=30656454525078&amp;guest_id=30656454525076", "Laura Catherine Patko")</f>
        <v>Laura Catherine Patko</v>
      </c>
      <c r="E2021" t="s">
        <v>1149</v>
      </c>
      <c r="F2021" t="s">
        <v>1129</v>
      </c>
      <c r="G2021">
        <v>64.150000000000006</v>
      </c>
      <c r="H2021">
        <v>69.72</v>
      </c>
      <c r="I2021">
        <v>69.73</v>
      </c>
      <c r="J2021">
        <v>-0.01</v>
      </c>
    </row>
    <row r="2022" spans="1:10" x14ac:dyDescent="0.3">
      <c r="A2022" t="str">
        <f>HYPERLINK("https://us2.cloudbeds.com/connect/10074733072513#/reservations/30654568952027?display=YQ979H77J&amp;reservation_id=30654568952027", "YQ979H77J")</f>
        <v>YQ979H77J</v>
      </c>
      <c r="B2022" t="s">
        <v>10</v>
      </c>
      <c r="C2022" t="s">
        <v>42</v>
      </c>
      <c r="D2022" t="str">
        <f>HYPERLINK("https://us2.cloudbeds.com/connect/10074733072513#/reservations/30654568952027?display=Dale%20Hannh&amp;reservation_id=30654568952027&amp;guest_id=30654568952025", "Dale Hannh")</f>
        <v>Dale Hannh</v>
      </c>
      <c r="E2022" t="s">
        <v>1151</v>
      </c>
      <c r="F2022" t="s">
        <v>1069</v>
      </c>
      <c r="G2022">
        <v>134.1</v>
      </c>
      <c r="H2022">
        <v>145.76</v>
      </c>
      <c r="I2022">
        <v>145.77000000000001</v>
      </c>
      <c r="J2022">
        <v>-0.01</v>
      </c>
    </row>
    <row r="2023" spans="1:10" x14ac:dyDescent="0.3">
      <c r="A2023" t="str">
        <f>HYPERLINK("https://us2.cloudbeds.com/connect/10074733072513#/reservations/30656462725362?display=YQAMMD8CB&amp;reservation_id=30656462725362", "YQAMMD8CB")</f>
        <v>YQAMMD8CB</v>
      </c>
      <c r="B2023" t="s">
        <v>10</v>
      </c>
      <c r="C2023" t="s">
        <v>14</v>
      </c>
      <c r="D2023" t="str">
        <f>HYPERLINK("https://us2.cloudbeds.com/connect/10074733072513#/reservations/30656462725362?display=Karen%20Swisher&amp;reservation_id=30656462725362&amp;guest_id=30656462725349", "Karen Swisher")</f>
        <v>Karen Swisher</v>
      </c>
      <c r="E2023" t="s">
        <v>1152</v>
      </c>
      <c r="F2023" t="s">
        <v>1129</v>
      </c>
      <c r="G2023">
        <v>64.150000000000006</v>
      </c>
      <c r="H2023">
        <v>69.72</v>
      </c>
      <c r="I2023">
        <v>69.73</v>
      </c>
      <c r="J2023">
        <v>-0.01</v>
      </c>
    </row>
    <row r="2024" spans="1:10" x14ac:dyDescent="0.3">
      <c r="A2024" t="str">
        <f>HYPERLINK("https://us2.cloudbeds.com/connect/10074733072513#/reservations/30653819703479?display=YQ8Y4Z914&amp;reservation_id=30653819703479", "YQ8Y4Z914")</f>
        <v>YQ8Y4Z914</v>
      </c>
      <c r="B2024" t="s">
        <v>10</v>
      </c>
      <c r="C2024" t="s">
        <v>11</v>
      </c>
      <c r="D2024" t="str">
        <f>HYPERLINK("https://us2.cloudbeds.com/connect/10074733072513#/reservations/30653819703479?display=John%20Nelson&amp;reservation_id=30653819703479&amp;guest_id=30653819703474", "John Nelson")</f>
        <v>John Nelson</v>
      </c>
      <c r="E2024" t="s">
        <v>1153</v>
      </c>
      <c r="F2024" t="s">
        <v>1069</v>
      </c>
      <c r="G2024">
        <v>90.07</v>
      </c>
      <c r="H2024">
        <v>97.9</v>
      </c>
      <c r="I2024">
        <v>97.91</v>
      </c>
      <c r="J2024">
        <v>-0.01</v>
      </c>
    </row>
    <row r="2025" spans="1:10" x14ac:dyDescent="0.3">
      <c r="A2025" t="str">
        <f>HYPERLINK("https://us2.cloudbeds.com/connect/10074733072513#/reservations/30656511582433?display=YQANUJPHY&amp;reservation_id=30656511582433", "YQANUJPHY")</f>
        <v>YQANUJPHY</v>
      </c>
      <c r="B2025" t="s">
        <v>10</v>
      </c>
      <c r="C2025" t="s">
        <v>11</v>
      </c>
      <c r="D2025" t="str">
        <f>HYPERLINK("https://us2.cloudbeds.com/connect/10074733072513#/reservations/30656511582433?display=Steven%20Rencher&amp;reservation_id=30656511582433&amp;guest_id=30656505000084", "Steven Rencher")</f>
        <v>Steven Rencher</v>
      </c>
      <c r="E2025" t="s">
        <v>1154</v>
      </c>
      <c r="F2025" t="s">
        <v>1155</v>
      </c>
      <c r="G2025">
        <v>64.150000000000006</v>
      </c>
      <c r="H2025">
        <v>69.72</v>
      </c>
      <c r="I2025">
        <v>69.73</v>
      </c>
      <c r="J2025">
        <v>-0.01</v>
      </c>
    </row>
    <row r="2026" spans="1:10" x14ac:dyDescent="0.3">
      <c r="A2026" t="str">
        <f>HYPERLINK("https://us2.cloudbeds.com/connect/10074733072513#/reservations/30656513298679?display=YQANW1HH3&amp;reservation_id=30656513298679", "YQANW1HH3")</f>
        <v>YQANW1HH3</v>
      </c>
      <c r="B2026" t="s">
        <v>10</v>
      </c>
      <c r="C2026" t="s">
        <v>14</v>
      </c>
      <c r="D2026" t="str">
        <f>HYPERLINK("https://us2.cloudbeds.com/connect/10074733072513#/reservations/30656513298679?display=Gerard%20Kleinsmith&amp;reservation_id=30656513298679&amp;guest_id=30656513298630", "Gerard Kleinsmith")</f>
        <v>Gerard Kleinsmith</v>
      </c>
      <c r="E2026" t="s">
        <v>1156</v>
      </c>
      <c r="F2026" t="s">
        <v>1155</v>
      </c>
      <c r="G2026">
        <v>64.150000000000006</v>
      </c>
      <c r="H2026">
        <v>69.72</v>
      </c>
      <c r="I2026">
        <v>69.73</v>
      </c>
      <c r="J2026">
        <v>-0.01</v>
      </c>
    </row>
    <row r="2027" spans="1:10" x14ac:dyDescent="0.3">
      <c r="A2027" t="str">
        <f>HYPERLINK("https://us2.cloudbeds.com/connect/10074733072513#/reservations/30656517456013?display=YQAZ2X72U&amp;reservation_id=30656517456013", "YQAZ2X72U")</f>
        <v>YQAZ2X72U</v>
      </c>
      <c r="B2027" t="s">
        <v>10</v>
      </c>
      <c r="C2027" t="s">
        <v>14</v>
      </c>
      <c r="D2027" t="str">
        <f>HYPERLINK("https://us2.cloudbeds.com/connect/10074733072513#/reservations/30656517456013?display=Kelly%20Mclellan&amp;reservation_id=30656517456013&amp;guest_id=30656517451932", "Kelly Mclellan")</f>
        <v>Kelly Mclellan</v>
      </c>
      <c r="E2027" t="s">
        <v>1157</v>
      </c>
      <c r="F2027" t="s">
        <v>1155</v>
      </c>
      <c r="G2027">
        <v>64.150000000000006</v>
      </c>
      <c r="H2027">
        <v>69.72</v>
      </c>
      <c r="I2027">
        <v>69.73</v>
      </c>
      <c r="J2027">
        <v>-0.01</v>
      </c>
    </row>
    <row r="2028" spans="1:10" x14ac:dyDescent="0.3">
      <c r="A2028" t="str">
        <f>HYPERLINK("https://us2.cloudbeds.com/connect/10074733072513#/reservations/30656522563809?display=YQAZ6SBEJ&amp;reservation_id=30656522563809", "YQAZ6SBEJ")</f>
        <v>YQAZ6SBEJ</v>
      </c>
      <c r="B2028" t="s">
        <v>10</v>
      </c>
      <c r="C2028" t="s">
        <v>14</v>
      </c>
      <c r="D2028" t="str">
        <f>HYPERLINK("https://us2.cloudbeds.com/connect/10074733072513#/reservations/30656522563809?display=Trevor%20Peacock&amp;reservation_id=30656522563809&amp;guest_id=30656522559730", "Trevor Peacock")</f>
        <v>Trevor Peacock</v>
      </c>
      <c r="E2028" t="s">
        <v>1157</v>
      </c>
      <c r="F2028" t="s">
        <v>1155</v>
      </c>
      <c r="G2028">
        <v>64.150000000000006</v>
      </c>
      <c r="H2028">
        <v>69.72</v>
      </c>
      <c r="I2028">
        <v>69.73</v>
      </c>
      <c r="J2028">
        <v>-0.01</v>
      </c>
    </row>
    <row r="2029" spans="1:10" x14ac:dyDescent="0.3">
      <c r="A2029" t="str">
        <f>HYPERLINK("https://us2.cloudbeds.com/connect/10074733072513#/reservations/30656533266656?display=YQAZFT5JA&amp;reservation_id=30656533266656", "YQAZFT5JA")</f>
        <v>YQAZFT5JA</v>
      </c>
      <c r="B2029" t="s">
        <v>10</v>
      </c>
      <c r="C2029" t="s">
        <v>14</v>
      </c>
      <c r="D2029" t="str">
        <f>HYPERLINK("https://us2.cloudbeds.com/connect/10074733072513#/reservations/30656533266656?display=Rick%20Peacock&amp;reservation_id=30656533266656&amp;guest_id=30656528048264", "Rick Peacock")</f>
        <v>Rick Peacock</v>
      </c>
      <c r="E2029" t="s">
        <v>1157</v>
      </c>
      <c r="F2029" t="s">
        <v>1155</v>
      </c>
      <c r="G2029">
        <v>64.150000000000006</v>
      </c>
      <c r="H2029">
        <v>69.72</v>
      </c>
      <c r="I2029">
        <v>69.73</v>
      </c>
      <c r="J2029">
        <v>-0.01</v>
      </c>
    </row>
    <row r="2030" spans="1:10" x14ac:dyDescent="0.3">
      <c r="A2030" t="str">
        <f>HYPERLINK("https://us2.cloudbeds.com/connect/10074733072513#/reservations/30656504995982?display=YQANP1GC7&amp;reservation_id=30656504995982", "YQANP1GC7")</f>
        <v>YQANP1GC7</v>
      </c>
      <c r="B2030" t="s">
        <v>10</v>
      </c>
      <c r="C2030" t="s">
        <v>42</v>
      </c>
      <c r="D2030" t="str">
        <f>HYPERLINK("https://us2.cloudbeds.com/connect/10074733072513#/reservations/30656504995982?display=Donna%20Whiley&amp;reservation_id=30656504995982&amp;guest_id=30656498012415", "Donna Whiley")</f>
        <v>Donna Whiley</v>
      </c>
      <c r="E2030" t="s">
        <v>1158</v>
      </c>
      <c r="F2030" t="s">
        <v>1155</v>
      </c>
      <c r="G2030">
        <v>87.2</v>
      </c>
      <c r="H2030">
        <v>94.78</v>
      </c>
      <c r="I2030">
        <v>94.79</v>
      </c>
      <c r="J2030">
        <v>-0.01</v>
      </c>
    </row>
    <row r="2031" spans="1:10" x14ac:dyDescent="0.3">
      <c r="A2031" t="str">
        <f>HYPERLINK("https://us2.cloudbeds.com/connect/10074733072513#/reservations/30653718257806?display=YQ8XX6D4R&amp;reservation_id=30653718257806", "YQ8XX6D4R")</f>
        <v>YQ8XX6D4R</v>
      </c>
      <c r="B2031" t="s">
        <v>10</v>
      </c>
      <c r="C2031" t="s">
        <v>11</v>
      </c>
      <c r="D2031" t="str">
        <f>HYPERLINK("https://us2.cloudbeds.com/connect/10074733072513#/reservations/30653718257806?display=Alex%20Mcglothlen&amp;reservation_id=30653718257806&amp;guest_id=30648491585743", "Alex Mcglothlen")</f>
        <v>Alex Mcglothlen</v>
      </c>
      <c r="E2031" t="s">
        <v>583</v>
      </c>
      <c r="F2031" t="s">
        <v>1143</v>
      </c>
      <c r="G2031">
        <v>64.150000000000006</v>
      </c>
      <c r="H2031">
        <v>69.72</v>
      </c>
      <c r="I2031">
        <v>69.73</v>
      </c>
      <c r="J2031">
        <v>-0.01</v>
      </c>
    </row>
    <row r="2032" spans="1:10" x14ac:dyDescent="0.3">
      <c r="A2032" t="str">
        <f>HYPERLINK("https://us2.cloudbeds.com/connect/10074733072513#/reservations/30656538804406?display=YQAZKX8ZU&amp;reservation_id=30656538804406", "YQAZKX8ZU")</f>
        <v>YQAZKX8ZU</v>
      </c>
      <c r="B2032" t="s">
        <v>10</v>
      </c>
      <c r="C2032" t="s">
        <v>11</v>
      </c>
      <c r="D2032" t="str">
        <f>HYPERLINK("https://us2.cloudbeds.com/connect/10074733072513#/reservations/30656538804406?display=Charles%20T%20Chatham&amp;reservation_id=30656538804406&amp;guest_id=30656533270750", "Charles T Chatham")</f>
        <v>Charles T Chatham</v>
      </c>
      <c r="E2032" t="s">
        <v>1159</v>
      </c>
      <c r="F2032" t="s">
        <v>1155</v>
      </c>
      <c r="G2032">
        <v>64.150000000000006</v>
      </c>
      <c r="H2032">
        <v>69.72</v>
      </c>
      <c r="I2032">
        <v>69.73</v>
      </c>
      <c r="J2032">
        <v>-0.01</v>
      </c>
    </row>
    <row r="2033" spans="1:10" x14ac:dyDescent="0.3">
      <c r="A2033" t="str">
        <f>HYPERLINK("https://us2.cloudbeds.com/connect/10074733072513#/reservations/30653395353770?display=YQ8A9U3T1&amp;reservation_id=30653395353770", "YQ8A9U3T1")</f>
        <v>YQ8A9U3T1</v>
      </c>
      <c r="B2033" t="s">
        <v>10</v>
      </c>
      <c r="C2033" t="s">
        <v>14</v>
      </c>
      <c r="D2033" t="str">
        <f>HYPERLINK("https://us2.cloudbeds.com/connect/10074733072513#/reservations/30653395353770?display=Zack%20Cook&amp;reservation_id=30653395353770&amp;guest_id=30653395353753", "Zack Cook")</f>
        <v>Zack Cook</v>
      </c>
      <c r="E2033" t="s">
        <v>1160</v>
      </c>
      <c r="F2033" t="s">
        <v>1143</v>
      </c>
      <c r="G2033">
        <v>64.150000000000006</v>
      </c>
      <c r="H2033">
        <v>69.72</v>
      </c>
      <c r="I2033">
        <v>69.73</v>
      </c>
      <c r="J2033">
        <v>-0.01</v>
      </c>
    </row>
    <row r="2034" spans="1:10" x14ac:dyDescent="0.3">
      <c r="A2034" t="str">
        <f>HYPERLINK("https://us2.cloudbeds.com/connect/10074733072513#/reservations/30653838065817?display=YQ8YK77MJ&amp;reservation_id=30653838065817", "YQ8YK77MJ")</f>
        <v>YQ8YK77MJ</v>
      </c>
      <c r="B2034" t="s">
        <v>10</v>
      </c>
      <c r="C2034" t="s">
        <v>11</v>
      </c>
      <c r="D2034" t="str">
        <f>HYPERLINK("https://us2.cloudbeds.com/connect/10074733072513#/reservations/30653838065817?display=Delisa%20Oakley&amp;reservation_id=30653838065817&amp;guest_id=30653838065813", "Delisa Oakley")</f>
        <v>Delisa Oakley</v>
      </c>
      <c r="E2034" t="s">
        <v>1161</v>
      </c>
      <c r="F2034" t="s">
        <v>1069</v>
      </c>
      <c r="G2034">
        <v>90.07</v>
      </c>
      <c r="H2034">
        <v>97.9</v>
      </c>
      <c r="I2034">
        <v>97.91</v>
      </c>
      <c r="J2034">
        <v>-0.01</v>
      </c>
    </row>
    <row r="2035" spans="1:10" x14ac:dyDescent="0.3">
      <c r="A2035" t="str">
        <f>HYPERLINK("https://us2.cloudbeds.com/connect/10074733072513#/reservations/30654701162639?display=YQ9AM05ZP&amp;reservation_id=30654701162639", "YQ9AM05ZP")</f>
        <v>YQ9AM05ZP</v>
      </c>
      <c r="B2035" t="s">
        <v>10</v>
      </c>
      <c r="C2035" t="s">
        <v>42</v>
      </c>
      <c r="D2035" t="str">
        <f>HYPERLINK("https://us2.cloudbeds.com/connect/10074733072513#/reservations/30654701162639?display=Dana%20Locken&amp;reservation_id=30654701162639&amp;guest_id=30654701162635", "Dana Locken")</f>
        <v>Dana Locken</v>
      </c>
      <c r="E2035" t="s">
        <v>1162</v>
      </c>
      <c r="F2035" t="s">
        <v>1163</v>
      </c>
      <c r="G2035">
        <v>250.2</v>
      </c>
      <c r="H2035">
        <v>271.95999999999998</v>
      </c>
      <c r="I2035">
        <v>271.97000000000003</v>
      </c>
      <c r="J2035">
        <v>-0.01</v>
      </c>
    </row>
    <row r="2036" spans="1:10" x14ac:dyDescent="0.3">
      <c r="A2036" t="str">
        <f>HYPERLINK("https://us2.cloudbeds.com/connect/10074733072513#/reservations/30654034878704?display=YQ8QY5RPG&amp;reservation_id=30654034878704", "YQ8QY5RPG")</f>
        <v>YQ8QY5RPG</v>
      </c>
      <c r="B2036" t="s">
        <v>10</v>
      </c>
      <c r="C2036" t="s">
        <v>20</v>
      </c>
      <c r="D2036" t="str">
        <f>HYPERLINK("https://us2.cloudbeds.com/connect/10074733072513#/reservations/30654034878704?display=Jennifer%20Petersen&amp;reservation_id=30654034878704&amp;guest_id=30654034878700", "Jennifer Petersen")</f>
        <v>Jennifer Petersen</v>
      </c>
      <c r="E2036" t="s">
        <v>1164</v>
      </c>
      <c r="F2036" t="s">
        <v>1163</v>
      </c>
      <c r="G2036">
        <v>127.2</v>
      </c>
      <c r="H2036">
        <v>138.26</v>
      </c>
      <c r="I2036">
        <v>138.27000000000001</v>
      </c>
      <c r="J2036">
        <v>-0.01</v>
      </c>
    </row>
    <row r="2037" spans="1:10" x14ac:dyDescent="0.3">
      <c r="A2037" t="str">
        <f>HYPERLINK("https://us2.cloudbeds.com/connect/10074733072513#/reservations/30652518375561?display=YQ7KTDTTQ&amp;reservation_id=30652518375561", "YQ7KTDTTQ")</f>
        <v>YQ7KTDTTQ</v>
      </c>
      <c r="B2037" t="s">
        <v>10</v>
      </c>
      <c r="C2037" t="s">
        <v>14</v>
      </c>
      <c r="D2037" t="str">
        <f>HYPERLINK("https://us2.cloudbeds.com/connect/10074733072513#/reservations/30652518375561?display=Nicole%20Nelson&amp;reservation_id=30652518375561&amp;guest_id=30652518375559", "Nicole Nelson")</f>
        <v>Nicole Nelson</v>
      </c>
      <c r="E2037" t="s">
        <v>1165</v>
      </c>
      <c r="F2037" t="s">
        <v>1067</v>
      </c>
      <c r="G2037">
        <v>324.2</v>
      </c>
      <c r="H2037">
        <v>352.4</v>
      </c>
      <c r="I2037">
        <v>352.41</v>
      </c>
      <c r="J2037">
        <v>-0.01</v>
      </c>
    </row>
    <row r="2038" spans="1:10" x14ac:dyDescent="0.3">
      <c r="A2038" t="str">
        <f>HYPERLINK("https://us2.cloudbeds.com/connect/10074733072513#/reservations/30653323022525?display=YQ88EUD04&amp;reservation_id=30653323022525", "YQ88EUD04")</f>
        <v>YQ88EUD04</v>
      </c>
      <c r="B2038" t="s">
        <v>10</v>
      </c>
      <c r="C2038" t="s">
        <v>14</v>
      </c>
      <c r="D2038" t="str">
        <f>HYPERLINK("https://us2.cloudbeds.com/connect/10074733072513#/reservations/30653323022525?display=Leslie%20Tisdale&amp;reservation_id=30653323022525&amp;guest_id=30653323022466", "Leslie Tisdale")</f>
        <v>Leslie Tisdale</v>
      </c>
      <c r="E2038" t="s">
        <v>1166</v>
      </c>
      <c r="F2038" t="s">
        <v>1167</v>
      </c>
      <c r="G2038">
        <v>64.150000000000006</v>
      </c>
      <c r="H2038">
        <v>69.72</v>
      </c>
      <c r="I2038">
        <v>69.73</v>
      </c>
      <c r="J2038">
        <v>-0.01</v>
      </c>
    </row>
    <row r="2039" spans="1:10" x14ac:dyDescent="0.3">
      <c r="A2039" t="str">
        <f>HYPERLINK("https://us2.cloudbeds.com/connect/10074733072513#/reservations/30653731061888?display=YQ8XZCSTT&amp;reservation_id=30653731061888", "YQ8XZCSTT")</f>
        <v>YQ8XZCSTT</v>
      </c>
      <c r="B2039" t="s">
        <v>10</v>
      </c>
      <c r="C2039" t="s">
        <v>11</v>
      </c>
      <c r="D2039" t="str">
        <f>HYPERLINK("https://us2.cloudbeds.com/connect/10074733072513#/reservations/30653731061888?display=Kevin%20Mattox&amp;reservation_id=30653731061888&amp;guest_id=30652998471866", "Kevin Mattox")</f>
        <v>Kevin Mattox</v>
      </c>
      <c r="E2039" t="s">
        <v>1119</v>
      </c>
      <c r="F2039" t="s">
        <v>1143</v>
      </c>
      <c r="G2039">
        <v>64.150000000000006</v>
      </c>
      <c r="H2039">
        <v>69.72</v>
      </c>
      <c r="I2039">
        <v>69.73</v>
      </c>
      <c r="J2039">
        <v>-0.01</v>
      </c>
    </row>
    <row r="2040" spans="1:10" x14ac:dyDescent="0.3">
      <c r="A2040" t="str">
        <f>HYPERLINK("https://us2.cloudbeds.com/connect/10074733072513#/reservations/30656020615393?display=YQABCJTEX&amp;reservation_id=30656020615393", "YQABCJTEX")</f>
        <v>YQABCJTEX</v>
      </c>
      <c r="B2040" t="s">
        <v>10</v>
      </c>
      <c r="C2040" t="s">
        <v>11</v>
      </c>
      <c r="D2040" t="str">
        <f>HYPERLINK("https://us2.cloudbeds.com/connect/10074733072513#/reservations/30656020615393?display=Isaac%20Holmes&amp;reservation_id=30656020615393&amp;guest_id=30656020615391", "Isaac Holmes")</f>
        <v>Isaac Holmes</v>
      </c>
      <c r="E2040" t="s">
        <v>1168</v>
      </c>
      <c r="F2040" t="s">
        <v>1169</v>
      </c>
      <c r="G2040">
        <v>64.150000000000006</v>
      </c>
      <c r="H2040">
        <v>69.72</v>
      </c>
      <c r="I2040">
        <v>69.73</v>
      </c>
      <c r="J2040">
        <v>-0.01</v>
      </c>
    </row>
    <row r="2041" spans="1:10" x14ac:dyDescent="0.3">
      <c r="A2041" t="str">
        <f>HYPERLINK("https://us2.cloudbeds.com/connect/10074733072513#/reservations/30653733581020?display=YQ8XV3Q1Y&amp;reservation_id=30653733581020", "YQ8XV3Q1Y")</f>
        <v>YQ8XV3Q1Y</v>
      </c>
      <c r="B2041" t="s">
        <v>10</v>
      </c>
      <c r="C2041" t="s">
        <v>14</v>
      </c>
      <c r="D2041" t="str">
        <f>HYPERLINK("https://us2.cloudbeds.com/connect/10074733072513#/reservations/30653733581020?display=Lucas%20Biespiel&amp;reservation_id=30653733581020&amp;guest_id=30653733581016", "Lucas Biespiel")</f>
        <v>Lucas Biespiel</v>
      </c>
      <c r="E2041" t="s">
        <v>1170</v>
      </c>
      <c r="F2041" t="s">
        <v>1143</v>
      </c>
      <c r="G2041">
        <v>64.150000000000006</v>
      </c>
      <c r="H2041">
        <v>69.72</v>
      </c>
      <c r="I2041">
        <v>69.73</v>
      </c>
      <c r="J2041">
        <v>-0.01</v>
      </c>
    </row>
    <row r="2042" spans="1:10" x14ac:dyDescent="0.3">
      <c r="A2042" t="str">
        <f>HYPERLINK("https://us2.cloudbeds.com/connect/10074733072513#/reservations/30656060899520?display=YQACDXZJG&amp;reservation_id=30656060899520", "YQACDXZJG")</f>
        <v>YQACDXZJG</v>
      </c>
      <c r="B2042" t="s">
        <v>10</v>
      </c>
      <c r="C2042" t="s">
        <v>11</v>
      </c>
      <c r="D2042" t="str">
        <f>HYPERLINK("https://us2.cloudbeds.com/connect/10074733072513#/reservations/30656060899520?display=Jesse%20Kreisel&amp;reservation_id=30656060899520&amp;guest_id=30656060895482", "Jesse Kreisel")</f>
        <v>Jesse Kreisel</v>
      </c>
      <c r="E2042" t="s">
        <v>1171</v>
      </c>
      <c r="F2042" t="s">
        <v>1141</v>
      </c>
      <c r="G2042">
        <v>174.4</v>
      </c>
      <c r="H2042">
        <v>189.56</v>
      </c>
      <c r="I2042">
        <v>189.57</v>
      </c>
      <c r="J2042">
        <v>-0.01</v>
      </c>
    </row>
    <row r="2043" spans="1:10" x14ac:dyDescent="0.3">
      <c r="A2043" t="str">
        <f>HYPERLINK("https://us2.cloudbeds.com/connect/10074733072513#/reservations/30656015732874?display=YQAB8G0VE&amp;reservation_id=30656015732874", "YQAB8G0VE")</f>
        <v>YQAB8G0VE</v>
      </c>
      <c r="B2043" t="s">
        <v>10</v>
      </c>
      <c r="C2043" t="s">
        <v>11</v>
      </c>
      <c r="D2043" t="str">
        <f>HYPERLINK("https://us2.cloudbeds.com/connect/10074733072513#/reservations/30656015732874?display=Thomas%20Tyson&amp;reservation_id=30656015732874&amp;guest_id=30656015732869", "Thomas Tyson")</f>
        <v>Thomas Tyson</v>
      </c>
      <c r="E2043" t="s">
        <v>1172</v>
      </c>
      <c r="F2043" t="s">
        <v>1169</v>
      </c>
      <c r="G2043">
        <v>64.150000000000006</v>
      </c>
      <c r="H2043">
        <v>69.72</v>
      </c>
      <c r="I2043">
        <v>69.73</v>
      </c>
      <c r="J2043">
        <v>-0.01</v>
      </c>
    </row>
    <row r="2044" spans="1:10" x14ac:dyDescent="0.3">
      <c r="A2044" t="str">
        <f>HYPERLINK("https://us2.cloudbeds.com/connect/10074733072513#/reservations/30656628064510?display=YQAQTR1VX&amp;reservation_id=30656628064510", "YQAQTR1VX")</f>
        <v>YQAQTR1VX</v>
      </c>
      <c r="B2044" t="s">
        <v>10</v>
      </c>
      <c r="C2044" t="s">
        <v>11</v>
      </c>
      <c r="D2044" t="str">
        <f>HYPERLINK("https://us2.cloudbeds.com/connect/10074733072513#/reservations/30656628064510?display=Shannon%20Spiczka&amp;reservation_id=30656628064510&amp;guest_id=30656628064448", "Shannon Spiczka")</f>
        <v>Shannon Spiczka</v>
      </c>
      <c r="E2044" t="s">
        <v>1173</v>
      </c>
      <c r="F2044" t="s">
        <v>1174</v>
      </c>
      <c r="G2044">
        <v>250.2</v>
      </c>
      <c r="H2044">
        <v>271.95999999999998</v>
      </c>
      <c r="I2044">
        <v>271.97000000000003</v>
      </c>
      <c r="J2044">
        <v>-0.01</v>
      </c>
    </row>
    <row r="2045" spans="1:10" x14ac:dyDescent="0.3">
      <c r="A2045" t="str">
        <f>HYPERLINK("https://us2.cloudbeds.com/connect/10074733072513#/reservations/30655076446399?display=YQ9K8EWUU&amp;reservation_id=30655076446399", "YQ9K8EWUU")</f>
        <v>YQ9K8EWUU</v>
      </c>
      <c r="B2045" t="s">
        <v>10</v>
      </c>
      <c r="C2045" t="s">
        <v>42</v>
      </c>
      <c r="D2045" t="str">
        <f>HYPERLINK("https://us2.cloudbeds.com/connect/10074733072513#/reservations/30655076446399?display=Amy%20Karrels&amp;reservation_id=30655076446399&amp;guest_id=30655076446397", "Amy Karrels")</f>
        <v>Amy Karrels</v>
      </c>
      <c r="E2045" t="s">
        <v>1175</v>
      </c>
      <c r="F2045" t="s">
        <v>1067</v>
      </c>
      <c r="G2045">
        <v>287.2</v>
      </c>
      <c r="H2045">
        <v>312.18</v>
      </c>
      <c r="I2045">
        <v>312.19</v>
      </c>
      <c r="J2045">
        <v>-0.01</v>
      </c>
    </row>
    <row r="2046" spans="1:10" x14ac:dyDescent="0.3">
      <c r="A2046" t="str">
        <f>HYPERLINK("https://us2.cloudbeds.com/connect/10074733072513#/reservations/30656428560616?display=YQAYQJXQ0&amp;reservation_id=30656428560616", "YQAYQJXQ0")</f>
        <v>YQAYQJXQ0</v>
      </c>
      <c r="B2046" t="s">
        <v>10</v>
      </c>
      <c r="C2046" t="s">
        <v>42</v>
      </c>
      <c r="D2046" t="str">
        <f>HYPERLINK("https://us2.cloudbeds.com/connect/10074733072513#/reservations/30656428560616?display=Tyesha%20Kelly&amp;reservation_id=30656428560616&amp;guest_id=30656428560610", "Tyesha Kelly")</f>
        <v>Tyesha Kelly</v>
      </c>
      <c r="E2046" t="s">
        <v>1176</v>
      </c>
      <c r="F2046" t="s">
        <v>1177</v>
      </c>
      <c r="G2046">
        <v>250.2</v>
      </c>
      <c r="H2046">
        <v>271.95999999999998</v>
      </c>
      <c r="I2046">
        <v>271.97000000000003</v>
      </c>
      <c r="J2046">
        <v>-0.01</v>
      </c>
    </row>
    <row r="2047" spans="1:10" x14ac:dyDescent="0.3">
      <c r="A2047" t="str">
        <f>HYPERLINK("https://us2.cloudbeds.com/connect/10074733072513#/reservations/30657088958684?display=YQB5MF3UM&amp;reservation_id=30657088958684", "YQB5MF3UM")</f>
        <v>YQB5MF3UM</v>
      </c>
      <c r="B2047" t="s">
        <v>10</v>
      </c>
      <c r="C2047" t="s">
        <v>42</v>
      </c>
      <c r="D2047" t="str">
        <f>HYPERLINK("https://us2.cloudbeds.com/connect/10074733072513#/reservations/30657088958684?display=Dennis%20Sorheim&amp;reservation_id=30657088958684&amp;guest_id=30657088958679", "Dennis Sorheim")</f>
        <v>Dennis Sorheim</v>
      </c>
      <c r="E2047" t="s">
        <v>1178</v>
      </c>
      <c r="F2047" t="s">
        <v>1093</v>
      </c>
      <c r="G2047">
        <v>268.2</v>
      </c>
      <c r="H2047">
        <v>291.52</v>
      </c>
      <c r="I2047">
        <v>291.52999999999997</v>
      </c>
      <c r="J2047">
        <v>-0.01</v>
      </c>
    </row>
    <row r="2048" spans="1:10" x14ac:dyDescent="0.3">
      <c r="A2048" t="str">
        <f>HYPERLINK("https://us2.cloudbeds.com/connect/10074733072513#/reservations/30659089924232?display=YQCNQNUSA&amp;reservation_id=30659089924232", "YQCNQNUSA")</f>
        <v>YQCNQNUSA</v>
      </c>
      <c r="B2048" t="s">
        <v>10</v>
      </c>
      <c r="C2048" t="s">
        <v>17</v>
      </c>
      <c r="D2048" t="str">
        <f>HYPERLINK("https://us2.cloudbeds.com/connect/10074733072513#/reservations/30659089924232?display=Susan%20Wood&amp;reservation_id=30659089924232&amp;guest_id=30659089924230", "Susan Wood")</f>
        <v>Susan Wood</v>
      </c>
      <c r="E2048" t="s">
        <v>1180</v>
      </c>
      <c r="F2048" t="s">
        <v>1181</v>
      </c>
      <c r="G2048">
        <v>250.2</v>
      </c>
      <c r="H2048">
        <v>271.95999999999998</v>
      </c>
      <c r="I2048">
        <v>271.97000000000003</v>
      </c>
      <c r="J2048">
        <v>-0.01</v>
      </c>
    </row>
    <row r="2049" spans="1:10" x14ac:dyDescent="0.3">
      <c r="A2049" t="str">
        <f>HYPERLINK("https://us2.cloudbeds.com/connect/10074733072513#/reservations/30654898684043?display=YQ9FNXGES&amp;reservation_id=30654898684043", "YQ9FNXGES")</f>
        <v>YQ9FNXGES</v>
      </c>
      <c r="B2049" t="s">
        <v>10</v>
      </c>
      <c r="C2049" t="s">
        <v>11</v>
      </c>
      <c r="D2049" t="str">
        <f>HYPERLINK("https://us2.cloudbeds.com/connect/10074733072513#/reservations/30654898684043?display=Jade%20Everett%20Nelson&amp;reservation_id=30654898684043&amp;guest_id=30654898684038", "Jade Everett Nelson")</f>
        <v>Jade Everett Nelson</v>
      </c>
      <c r="E2049" t="s">
        <v>1183</v>
      </c>
      <c r="F2049" t="s">
        <v>1184</v>
      </c>
      <c r="G2049">
        <v>64.150000000000006</v>
      </c>
      <c r="H2049">
        <v>69.72</v>
      </c>
      <c r="I2049">
        <v>69.73</v>
      </c>
      <c r="J2049">
        <v>-0.01</v>
      </c>
    </row>
    <row r="2050" spans="1:10" x14ac:dyDescent="0.3">
      <c r="A2050" t="str">
        <f>HYPERLINK("https://us2.cloudbeds.com/connect/10074733072513#/reservations/30656640438520?display=YQAR78CMH&amp;reservation_id=30656640438520", "YQAR78CMH")</f>
        <v>YQAR78CMH</v>
      </c>
      <c r="B2050" t="s">
        <v>10</v>
      </c>
      <c r="C2050" t="s">
        <v>42</v>
      </c>
      <c r="D2050" t="str">
        <f>HYPERLINK("https://us2.cloudbeds.com/connect/10074733072513#/reservations/30656640438520?display=Cathline%20Denholm&amp;reservation_id=30656640438520&amp;guest_id=30652680581319", "Cathline Denholm")</f>
        <v>Cathline Denholm</v>
      </c>
      <c r="E2050" t="s">
        <v>630</v>
      </c>
      <c r="F2050" t="s">
        <v>1174</v>
      </c>
      <c r="G2050">
        <v>380.8</v>
      </c>
      <c r="H2050">
        <v>413.92</v>
      </c>
      <c r="I2050">
        <v>413.93</v>
      </c>
      <c r="J2050">
        <v>-0.01</v>
      </c>
    </row>
    <row r="2051" spans="1:10" x14ac:dyDescent="0.3">
      <c r="A2051" t="str">
        <f>HYPERLINK("https://us2.cloudbeds.com/connect/10074733072513#/reservations/30652518371465?display=YQ7KTDQ4M&amp;reservation_id=30652518371465", "YQ7KTDQ4M")</f>
        <v>YQ7KTDQ4M</v>
      </c>
      <c r="B2051" t="s">
        <v>10</v>
      </c>
      <c r="C2051" t="s">
        <v>42</v>
      </c>
      <c r="D2051" t="str">
        <f>HYPERLINK("https://us2.cloudbeds.com/connect/10074733072513#/reservations/30652518371465?display=Michelle%20Sandwick&amp;reservation_id=30652518371465&amp;guest_id=30652518371463", "Michelle Sandwick")</f>
        <v>Michelle Sandwick</v>
      </c>
      <c r="E2051" t="s">
        <v>1185</v>
      </c>
      <c r="F2051" t="s">
        <v>1067</v>
      </c>
      <c r="G2051">
        <v>143.19999999999999</v>
      </c>
      <c r="H2051">
        <v>155.65</v>
      </c>
      <c r="I2051">
        <v>155.66</v>
      </c>
      <c r="J2051">
        <v>-0.01</v>
      </c>
    </row>
    <row r="2052" spans="1:10" x14ac:dyDescent="0.3">
      <c r="A2052" t="str">
        <f>HYPERLINK("https://us2.cloudbeds.com/connect/10074733072513#/reservations/30653564293331?display=YQ8EKC3KM&amp;reservation_id=30653564293331", "YQ8EKC3KM")</f>
        <v>YQ8EKC3KM</v>
      </c>
      <c r="B2052" t="s">
        <v>10</v>
      </c>
      <c r="C2052" t="s">
        <v>11</v>
      </c>
      <c r="D2052" t="str">
        <f>HYPERLINK("https://us2.cloudbeds.com/connect/10074733072513#/reservations/30653564293331?display=Brent%20Dorsey&amp;reservation_id=30653564293331&amp;guest_id=30653564289261", "Brent Dorsey")</f>
        <v>Brent Dorsey</v>
      </c>
      <c r="E2052" t="s">
        <v>1186</v>
      </c>
      <c r="F2052" t="s">
        <v>1184</v>
      </c>
      <c r="G2052">
        <v>64.150000000000006</v>
      </c>
      <c r="H2052">
        <v>69.72</v>
      </c>
      <c r="I2052">
        <v>69.73</v>
      </c>
      <c r="J2052">
        <v>-0.01</v>
      </c>
    </row>
    <row r="2053" spans="1:10" x14ac:dyDescent="0.3">
      <c r="A2053" t="str">
        <f>HYPERLINK("https://us2.cloudbeds.com/connect/10074733072513#/reservations/30654917365926?display=YQ9G6ABHH&amp;reservation_id=30654917365926", "YQ9G6ABHH")</f>
        <v>YQ9G6ABHH</v>
      </c>
      <c r="B2053" t="s">
        <v>10</v>
      </c>
      <c r="C2053" t="s">
        <v>14</v>
      </c>
      <c r="D2053" t="str">
        <f>HYPERLINK("https://us2.cloudbeds.com/connect/10074733072513#/reservations/30654917365926?display=Raymond%20Rivard&amp;reservation_id=30654917365926&amp;guest_id=30654917365922", "Raymond Rivard")</f>
        <v>Raymond Rivard</v>
      </c>
      <c r="E2053" t="s">
        <v>1187</v>
      </c>
      <c r="F2053" t="s">
        <v>1184</v>
      </c>
      <c r="G2053">
        <v>64.150000000000006</v>
      </c>
      <c r="H2053">
        <v>69.72</v>
      </c>
      <c r="I2053">
        <v>69.73</v>
      </c>
      <c r="J2053">
        <v>-0.01</v>
      </c>
    </row>
    <row r="2054" spans="1:10" x14ac:dyDescent="0.3">
      <c r="A2054" t="str">
        <f>HYPERLINK("https://us2.cloudbeds.com/connect/10074733072513#/reservations/30655382081718?display=YQ9S25ZQ8&amp;reservation_id=30655382081718", "YQ9S25ZQ8")</f>
        <v>YQ9S25ZQ8</v>
      </c>
      <c r="B2054" t="s">
        <v>10</v>
      </c>
      <c r="C2054" t="s">
        <v>20</v>
      </c>
      <c r="D2054" t="str">
        <f>HYPERLINK("https://us2.cloudbeds.com/connect/10074733072513#/reservations/30655382081718?display=Olga%20Rivera&amp;reservation_id=30655382081718&amp;guest_id=30655382081708", "Olga Rivera")</f>
        <v>Olga Rivera</v>
      </c>
      <c r="E2054" t="s">
        <v>1188</v>
      </c>
      <c r="F2054" t="s">
        <v>1189</v>
      </c>
      <c r="G2054">
        <v>134.1</v>
      </c>
      <c r="H2054">
        <v>145.76</v>
      </c>
      <c r="I2054">
        <v>145.77000000000001</v>
      </c>
      <c r="J2054">
        <v>-0.01</v>
      </c>
    </row>
    <row r="2055" spans="1:10" x14ac:dyDescent="0.3">
      <c r="A2055" t="str">
        <f>HYPERLINK("https://us2.cloudbeds.com/connect/10074733072513#/reservations/30654018977962?display=YQ8Q7PCHR&amp;reservation_id=30654018977962", "YQ8Q7PCHR")</f>
        <v>YQ8Q7PCHR</v>
      </c>
      <c r="B2055" t="s">
        <v>10</v>
      </c>
      <c r="C2055" t="s">
        <v>11</v>
      </c>
      <c r="D2055" t="str">
        <f>HYPERLINK("https://us2.cloudbeds.com/connect/10074733072513#/reservations/30654018977962?display=Sherill%20Glassmaker&amp;reservation_id=30654018977962&amp;guest_id=30654018977955", "Sherill Glassmaker")</f>
        <v>Sherill Glassmaker</v>
      </c>
      <c r="E2055" t="s">
        <v>1190</v>
      </c>
      <c r="F2055" t="s">
        <v>1179</v>
      </c>
      <c r="G2055">
        <v>64.150000000000006</v>
      </c>
      <c r="H2055">
        <v>69.72</v>
      </c>
      <c r="I2055">
        <v>69.73</v>
      </c>
      <c r="J2055">
        <v>-0.01</v>
      </c>
    </row>
    <row r="2056" spans="1:10" x14ac:dyDescent="0.3">
      <c r="A2056" t="str">
        <f>HYPERLINK("https://us2.cloudbeds.com/connect/10074733072513#/reservations/30653567242476?display=YQ8EMS5ZN&amp;reservation_id=30653567242476", "YQ8EMS5ZN")</f>
        <v>YQ8EMS5ZN</v>
      </c>
      <c r="B2056" t="s">
        <v>10</v>
      </c>
      <c r="C2056" t="s">
        <v>14</v>
      </c>
      <c r="D2056" t="str">
        <f>HYPERLINK("https://us2.cloudbeds.com/connect/10074733072513#/reservations/30653567242476?display=Jessica%20Stahn&amp;reservation_id=30653567242476&amp;guest_id=30653567242474", "Jessica Stahn")</f>
        <v>Jessica Stahn</v>
      </c>
      <c r="E2056" t="s">
        <v>1192</v>
      </c>
      <c r="F2056" t="s">
        <v>1184</v>
      </c>
      <c r="G2056">
        <v>64.150000000000006</v>
      </c>
      <c r="H2056">
        <v>69.72</v>
      </c>
      <c r="I2056">
        <v>69.73</v>
      </c>
      <c r="J2056">
        <v>-0.01</v>
      </c>
    </row>
    <row r="2057" spans="1:10" x14ac:dyDescent="0.3">
      <c r="A2057" t="str">
        <f>HYPERLINK("https://us2.cloudbeds.com/connect/10074733072513#/reservations/30653578121388?display=YQ8EW0TXN&amp;reservation_id=30653578121388", "YQ8EW0TXN")</f>
        <v>YQ8EW0TXN</v>
      </c>
      <c r="B2057" t="s">
        <v>10</v>
      </c>
      <c r="C2057" t="s">
        <v>42</v>
      </c>
      <c r="D2057" t="str">
        <f>HYPERLINK("https://us2.cloudbeds.com/connect/10074733072513#/reservations/30653578121388?display=Joesph%20Gartner&amp;reservation_id=30653578121388&amp;guest_id=30653578121384", "Joesph Gartner")</f>
        <v>Joesph Gartner</v>
      </c>
      <c r="E2057" t="s">
        <v>1193</v>
      </c>
      <c r="F2057" t="s">
        <v>1194</v>
      </c>
      <c r="G2057">
        <v>84.15</v>
      </c>
      <c r="H2057">
        <v>91.46</v>
      </c>
      <c r="I2057">
        <v>91.47</v>
      </c>
      <c r="J2057">
        <v>-0.01</v>
      </c>
    </row>
    <row r="2058" spans="1:10" x14ac:dyDescent="0.3">
      <c r="A2058" t="str">
        <f>HYPERLINK("https://us2.cloudbeds.com/connect/10074733072513#/reservations/30656582766742?display=YQAPZKJ6U&amp;reservation_id=30656582766742", "YQAPZKJ6U")</f>
        <v>YQAPZKJ6U</v>
      </c>
      <c r="B2058" t="s">
        <v>10</v>
      </c>
      <c r="C2058" t="s">
        <v>14</v>
      </c>
      <c r="D2058" t="str">
        <f>HYPERLINK("https://us2.cloudbeds.com/connect/10074733072513#/reservations/30656582766742?display=Corey%20Goodro&amp;reservation_id=30656582766742&amp;guest_id=30656582766738", "Corey Goodro")</f>
        <v>Corey Goodro</v>
      </c>
      <c r="E2058" t="s">
        <v>1195</v>
      </c>
      <c r="F2058" t="s">
        <v>1194</v>
      </c>
      <c r="G2058">
        <v>64.150000000000006</v>
      </c>
      <c r="H2058">
        <v>69.72</v>
      </c>
      <c r="I2058">
        <v>69.73</v>
      </c>
      <c r="J2058">
        <v>-0.01</v>
      </c>
    </row>
    <row r="2059" spans="1:10" x14ac:dyDescent="0.3">
      <c r="A2059" t="str">
        <f>HYPERLINK("https://us2.cloudbeds.com/connect/10074733072513#/reservations/30656577409217?display=YQAPK3GHM&amp;reservation_id=30656577409217", "YQAPK3GHM")</f>
        <v>YQAPK3GHM</v>
      </c>
      <c r="B2059" t="s">
        <v>10</v>
      </c>
      <c r="C2059" t="s">
        <v>14</v>
      </c>
      <c r="D2059" t="str">
        <f>HYPERLINK("https://us2.cloudbeds.com/connect/10074733072513#/reservations/30656577409217?display=Daniel%20Timmerman&amp;reservation_id=30656577409217&amp;guest_id=30656577405180", "Daniel Timmerman")</f>
        <v>Daniel Timmerman</v>
      </c>
      <c r="E2059" t="s">
        <v>1196</v>
      </c>
      <c r="F2059" t="s">
        <v>1194</v>
      </c>
      <c r="G2059">
        <v>64.150000000000006</v>
      </c>
      <c r="H2059">
        <v>69.72</v>
      </c>
      <c r="I2059">
        <v>69.73</v>
      </c>
      <c r="J2059">
        <v>-0.01</v>
      </c>
    </row>
    <row r="2060" spans="1:10" x14ac:dyDescent="0.3">
      <c r="A2060" t="str">
        <f>HYPERLINK("https://us2.cloudbeds.com/connect/10074733072513#/reservations/30654117572783?display=YQ8SZTUXM&amp;reservation_id=30654117572783", "YQ8SZTUXM")</f>
        <v>YQ8SZTUXM</v>
      </c>
      <c r="B2060" t="s">
        <v>10</v>
      </c>
      <c r="C2060" t="s">
        <v>14</v>
      </c>
      <c r="D2060" t="str">
        <f>HYPERLINK("https://us2.cloudbeds.com/connect/10074733072513#/reservations/30654117572783?display=Doug%20Benkert&amp;reservation_id=30654117572783&amp;guest_id=30654117572778", "Doug Benkert")</f>
        <v>Doug Benkert</v>
      </c>
      <c r="E2060" t="s">
        <v>1197</v>
      </c>
      <c r="F2060" t="s">
        <v>1198</v>
      </c>
      <c r="G2060">
        <v>64.150000000000006</v>
      </c>
      <c r="H2060">
        <v>69.72</v>
      </c>
      <c r="I2060">
        <v>69.73</v>
      </c>
      <c r="J2060">
        <v>-0.01</v>
      </c>
    </row>
    <row r="2061" spans="1:10" x14ac:dyDescent="0.3">
      <c r="A2061" t="str">
        <f>HYPERLINK("https://us2.cloudbeds.com/connect/10074733072513#/reservations/30653969924283?display=YQ8ZWDCRN&amp;reservation_id=30653969924283", "YQ8ZWDCRN")</f>
        <v>YQ8ZWDCRN</v>
      </c>
      <c r="B2061" t="s">
        <v>10</v>
      </c>
      <c r="C2061" t="s">
        <v>11</v>
      </c>
      <c r="D2061" t="str">
        <f>HYPERLINK("https://us2.cloudbeds.com/connect/10074733072513#/reservations/30653969924283?display=Shane%20Thomas&amp;reservation_id=30653969924283&amp;guest_id=30653969924231", "Shane Thomas")</f>
        <v>Shane Thomas</v>
      </c>
      <c r="E2061" t="s">
        <v>119</v>
      </c>
      <c r="F2061" t="s">
        <v>1198</v>
      </c>
      <c r="G2061">
        <v>64.150000000000006</v>
      </c>
      <c r="H2061">
        <v>69.72</v>
      </c>
      <c r="I2061">
        <v>69.73</v>
      </c>
      <c r="J2061">
        <v>-0.01</v>
      </c>
    </row>
    <row r="2062" spans="1:10" x14ac:dyDescent="0.3">
      <c r="A2062" t="str">
        <f>HYPERLINK("https://us2.cloudbeds.com/connect/10074733072513#/reservations/30653974900887?display=YQ8P3JSNT&amp;reservation_id=30653974900887", "YQ8P3JSNT")</f>
        <v>YQ8P3JSNT</v>
      </c>
      <c r="B2062" t="s">
        <v>10</v>
      </c>
      <c r="C2062" t="s">
        <v>14</v>
      </c>
      <c r="D2062" t="str">
        <f>HYPERLINK("https://us2.cloudbeds.com/connect/10074733072513#/reservations/30653974900887?display=David%20Clark&amp;reservation_id=30653974900887&amp;guest_id=30653974900875", "David Clark")</f>
        <v>David Clark</v>
      </c>
      <c r="E2062" t="s">
        <v>1199</v>
      </c>
      <c r="F2062" t="s">
        <v>1198</v>
      </c>
      <c r="G2062">
        <v>64.150000000000006</v>
      </c>
      <c r="H2062">
        <v>69.72</v>
      </c>
      <c r="I2062">
        <v>69.73</v>
      </c>
      <c r="J2062">
        <v>-0.01</v>
      </c>
    </row>
    <row r="2063" spans="1:10" x14ac:dyDescent="0.3">
      <c r="A2063" t="str">
        <f>HYPERLINK("https://us2.cloudbeds.com/connect/10074733072513#/reservations/30654093967551?display=YQ8S502GK&amp;reservation_id=30654093967551", "YQ8S502GK")</f>
        <v>YQ8S502GK</v>
      </c>
      <c r="B2063" t="s">
        <v>10</v>
      </c>
      <c r="C2063" t="s">
        <v>11</v>
      </c>
      <c r="D2063" t="str">
        <f>HYPERLINK("https://us2.cloudbeds.com/connect/10074733072513#/reservations/30654093967551?display=Steve%20Walker&amp;reservation_id=30654093967551&amp;guest_id=30654093967547", "Steve Walker")</f>
        <v>Steve Walker</v>
      </c>
      <c r="E2063" t="s">
        <v>1201</v>
      </c>
      <c r="F2063" t="s">
        <v>1198</v>
      </c>
      <c r="G2063">
        <v>64.150000000000006</v>
      </c>
      <c r="H2063">
        <v>69.72</v>
      </c>
      <c r="I2063">
        <v>69.73</v>
      </c>
      <c r="J2063">
        <v>-0.01</v>
      </c>
    </row>
    <row r="2064" spans="1:10" x14ac:dyDescent="0.3">
      <c r="A2064" t="str">
        <f>HYPERLINK("https://us2.cloudbeds.com/connect/10074733072513#/reservations/30654099611794?display=YQ8S9P4F9&amp;reservation_id=30654099611794", "YQ8S9P4F9")</f>
        <v>YQ8S9P4F9</v>
      </c>
      <c r="B2064" t="s">
        <v>10</v>
      </c>
      <c r="C2064" t="s">
        <v>14</v>
      </c>
      <c r="D2064" t="str">
        <f>HYPERLINK("https://us2.cloudbeds.com/connect/10074733072513#/reservations/30654099611794?display=Tara%20Schumacher&amp;reservation_id=30654099611794&amp;guest_id=30654099611791", "Tara Schumacher")</f>
        <v>Tara Schumacher</v>
      </c>
      <c r="E2064" t="s">
        <v>1202</v>
      </c>
      <c r="F2064" t="s">
        <v>1198</v>
      </c>
      <c r="G2064">
        <v>72.17</v>
      </c>
      <c r="H2064">
        <v>78.44</v>
      </c>
      <c r="I2064">
        <v>78.45</v>
      </c>
      <c r="J2064">
        <v>-0.01</v>
      </c>
    </row>
    <row r="2065" spans="1:10" x14ac:dyDescent="0.3">
      <c r="A2065" t="str">
        <f>HYPERLINK("https://us2.cloudbeds.com/connect/10074733072513#/reservations/30654111932633?display=YQ8SK4WC1&amp;reservation_id=30654111932633", "YQ8SK4WC1")</f>
        <v>YQ8SK4WC1</v>
      </c>
      <c r="B2065" t="s">
        <v>10</v>
      </c>
      <c r="C2065" t="s">
        <v>14</v>
      </c>
      <c r="D2065" t="str">
        <f>HYPERLINK("https://us2.cloudbeds.com/connect/10074733072513#/reservations/30654111932633?display=Eloise%20Worden&amp;reservation_id=30654111932633&amp;guest_id=30654111932628", "Eloise Worden")</f>
        <v>Eloise Worden</v>
      </c>
      <c r="E2065" t="s">
        <v>1203</v>
      </c>
      <c r="F2065" t="s">
        <v>1198</v>
      </c>
      <c r="G2065">
        <v>64.150000000000006</v>
      </c>
      <c r="H2065">
        <v>69.72</v>
      </c>
      <c r="I2065">
        <v>69.73</v>
      </c>
      <c r="J2065">
        <v>-0.01</v>
      </c>
    </row>
    <row r="2066" spans="1:10" x14ac:dyDescent="0.3">
      <c r="A2066" t="str">
        <f>HYPERLINK("https://us2.cloudbeds.com/connect/10074733072513#/reservations/30656591364296?display=YQAPVSR3S&amp;reservation_id=30656591364296", "YQAPVSR3S")</f>
        <v>YQAPVSR3S</v>
      </c>
      <c r="B2066" t="s">
        <v>10</v>
      </c>
      <c r="C2066" t="s">
        <v>14</v>
      </c>
      <c r="D2066" t="str">
        <f>HYPERLINK("https://us2.cloudbeds.com/connect/10074733072513#/reservations/30656591364296?display=John%20Hedrick&amp;reservation_id=30656591364296&amp;guest_id=30656591364292", "John Hedrick")</f>
        <v>John Hedrick</v>
      </c>
      <c r="E2066" t="s">
        <v>1204</v>
      </c>
      <c r="F2066" t="s">
        <v>1194</v>
      </c>
      <c r="G2066">
        <v>64.150000000000006</v>
      </c>
      <c r="H2066">
        <v>69.72</v>
      </c>
      <c r="I2066">
        <v>69.73</v>
      </c>
      <c r="J2066">
        <v>-0.01</v>
      </c>
    </row>
    <row r="2067" spans="1:10" x14ac:dyDescent="0.3">
      <c r="A2067" t="str">
        <f>HYPERLINK("https://us2.cloudbeds.com/connect/10074733072513#/reservations/30654014329046?display=YQ8Q3S0XJ&amp;reservation_id=30654014329046", "YQ8Q3S0XJ")</f>
        <v>YQ8Q3S0XJ</v>
      </c>
      <c r="B2067" t="s">
        <v>10</v>
      </c>
      <c r="C2067" t="s">
        <v>14</v>
      </c>
      <c r="D2067" t="str">
        <f>HYPERLINK("https://us2.cloudbeds.com/connect/10074733072513#/reservations/30654014329046?display=Tristian%20Johnson&amp;reservation_id=30654014329046&amp;guest_id=30654009889023", "Tristian Johnson")</f>
        <v>Tristian Johnson</v>
      </c>
      <c r="E2067" t="s">
        <v>1205</v>
      </c>
      <c r="F2067" t="s">
        <v>1179</v>
      </c>
      <c r="G2067">
        <v>64.150000000000006</v>
      </c>
      <c r="H2067">
        <v>69.72</v>
      </c>
      <c r="I2067">
        <v>69.73</v>
      </c>
      <c r="J2067">
        <v>-0.01</v>
      </c>
    </row>
    <row r="2068" spans="1:10" x14ac:dyDescent="0.3">
      <c r="A2068" t="str">
        <f>HYPERLINK("https://us2.cloudbeds.com/connect/10074733072513#/reservations/30653984723143?display=YQ8PBT680&amp;reservation_id=30653984723143", "YQ8PBT680")</f>
        <v>YQ8PBT680</v>
      </c>
      <c r="B2068" t="s">
        <v>10</v>
      </c>
      <c r="C2068" t="s">
        <v>14</v>
      </c>
      <c r="D2068" t="str">
        <f>HYPERLINK("https://us2.cloudbeds.com/connect/10074733072513#/reservations/30653984723143?display=Stacey%20Ryan&amp;reservation_id=30653984723143&amp;guest_id=30653980782816", "Stacey Ryan")</f>
        <v>Stacey Ryan</v>
      </c>
      <c r="E2068" t="s">
        <v>1206</v>
      </c>
      <c r="F2068" t="s">
        <v>1198</v>
      </c>
      <c r="G2068">
        <v>72.17</v>
      </c>
      <c r="H2068">
        <v>78.44</v>
      </c>
      <c r="I2068">
        <v>78.45</v>
      </c>
      <c r="J2068">
        <v>-0.01</v>
      </c>
    </row>
    <row r="2069" spans="1:10" x14ac:dyDescent="0.3">
      <c r="A2069" t="str">
        <f>HYPERLINK("https://us2.cloudbeds.com/connect/10074733072513#/reservations/30654514180253?display=YQ95TB3ZR&amp;reservation_id=30654514180253", "YQ95TB3ZR")</f>
        <v>YQ95TB3ZR</v>
      </c>
      <c r="B2069" t="s">
        <v>10</v>
      </c>
      <c r="C2069" t="s">
        <v>14</v>
      </c>
      <c r="D2069" t="str">
        <f>HYPERLINK("https://us2.cloudbeds.com/connect/10074733072513#/reservations/30654514180253?display=Caitlin%20Shyshlov&amp;reservation_id=30654514180253&amp;guest_id=30654514176168", "Caitlin Shyshlov")</f>
        <v>Caitlin Shyshlov</v>
      </c>
      <c r="E2069" t="s">
        <v>1207</v>
      </c>
      <c r="F2069" t="s">
        <v>1054</v>
      </c>
      <c r="G2069">
        <v>64.150000000000006</v>
      </c>
      <c r="H2069">
        <v>69.72</v>
      </c>
      <c r="I2069">
        <v>69.73</v>
      </c>
      <c r="J2069">
        <v>-0.01</v>
      </c>
    </row>
    <row r="2070" spans="1:10" x14ac:dyDescent="0.3">
      <c r="A2070" t="str">
        <f>HYPERLINK("https://us2.cloudbeds.com/connect/10074733072513#/reservations/30654508593326?display=YQ95ZKYE1&amp;reservation_id=30654508593326", "YQ95ZKYE1")</f>
        <v>YQ95ZKYE1</v>
      </c>
      <c r="B2070" t="s">
        <v>10</v>
      </c>
      <c r="C2070" t="s">
        <v>11</v>
      </c>
      <c r="D2070" t="str">
        <f>HYPERLINK("https://us2.cloudbeds.com/connect/10074733072513#/reservations/30654508593326?display=Cameron%20Hupp&amp;reservation_id=30654508593326&amp;guest_id=30654503448801", "Cameron Hupp")</f>
        <v>Cameron Hupp</v>
      </c>
      <c r="E2070" t="s">
        <v>1208</v>
      </c>
      <c r="F2070" t="s">
        <v>1054</v>
      </c>
      <c r="G2070">
        <v>64.150000000000006</v>
      </c>
      <c r="H2070">
        <v>69.72</v>
      </c>
      <c r="I2070">
        <v>69.73</v>
      </c>
      <c r="J2070">
        <v>-0.01</v>
      </c>
    </row>
    <row r="2071" spans="1:10" x14ac:dyDescent="0.3">
      <c r="A2071" t="str">
        <f>HYPERLINK("https://us2.cloudbeds.com/connect/10074733072513#/reservations/30654509781188?display=YQ95PKN6S&amp;reservation_id=30654509781188", "YQ95PKN6S")</f>
        <v>YQ95PKN6S</v>
      </c>
      <c r="B2071" t="s">
        <v>10</v>
      </c>
      <c r="C2071" t="s">
        <v>14</v>
      </c>
      <c r="D2071" t="str">
        <f>HYPERLINK("https://us2.cloudbeds.com/connect/10074733072513#/reservations/30654509781188?display=Dan%20Timmerman&amp;reservation_id=30654509781188&amp;guest_id=30654509777107", "Dan Timmerman")</f>
        <v>Dan Timmerman</v>
      </c>
      <c r="E2071" t="s">
        <v>1196</v>
      </c>
      <c r="F2071" t="s">
        <v>1054</v>
      </c>
      <c r="G2071">
        <v>64.150000000000006</v>
      </c>
      <c r="H2071">
        <v>69.72</v>
      </c>
      <c r="I2071">
        <v>69.73</v>
      </c>
      <c r="J2071">
        <v>-0.01</v>
      </c>
    </row>
    <row r="2072" spans="1:10" x14ac:dyDescent="0.3">
      <c r="A2072" t="str">
        <f>HYPERLINK("https://us2.cloudbeds.com/connect/10074733072513#/reservations/30656866082959?display=YQAWWH90R&amp;reservation_id=30656866082959", "YQAWWH90R")</f>
        <v>YQAWWH90R</v>
      </c>
      <c r="B2072" t="s">
        <v>10</v>
      </c>
      <c r="C2072" t="s">
        <v>14</v>
      </c>
      <c r="D2072" t="str">
        <f>HYPERLINK("https://us2.cloudbeds.com/connect/10074733072513#/reservations/30656866082959?display=Jean%20Richer&amp;reservation_id=30656866082959&amp;guest_id=30656866082948", "Jean Richer")</f>
        <v>Jean Richer</v>
      </c>
      <c r="E2072" t="s">
        <v>1209</v>
      </c>
      <c r="F2072" t="s">
        <v>1210</v>
      </c>
      <c r="G2072">
        <v>456.2</v>
      </c>
      <c r="H2072">
        <v>495.88</v>
      </c>
      <c r="I2072">
        <v>495.89</v>
      </c>
      <c r="J2072">
        <v>-0.01</v>
      </c>
    </row>
    <row r="2073" spans="1:10" x14ac:dyDescent="0.3">
      <c r="A2073" t="str">
        <f>HYPERLINK("https://us2.cloudbeds.com/connect/10074733072513#/reservations/30654051438843?display=YQ8R24YGT&amp;reservation_id=30654051438843", "YQ8R24YGT")</f>
        <v>YQ8R24YGT</v>
      </c>
      <c r="B2073" t="s">
        <v>10</v>
      </c>
      <c r="C2073" t="s">
        <v>14</v>
      </c>
      <c r="D2073" t="str">
        <f>HYPERLINK("https://us2.cloudbeds.com/connect/10074733072513#/reservations/30654051438843?display=Ron%20Kopren&amp;reservation_id=30654051438843&amp;guest_id=30654051438841", "Ron Kopren")</f>
        <v>Ron Kopren</v>
      </c>
      <c r="E2073" t="s">
        <v>1213</v>
      </c>
      <c r="F2073" t="s">
        <v>1214</v>
      </c>
      <c r="G2073">
        <v>72.17</v>
      </c>
      <c r="H2073">
        <v>78.44</v>
      </c>
      <c r="I2073">
        <v>78.45</v>
      </c>
      <c r="J2073">
        <v>-0.01</v>
      </c>
    </row>
    <row r="2074" spans="1:10" x14ac:dyDescent="0.3">
      <c r="A2074" t="str">
        <f>HYPERLINK("https://us2.cloudbeds.com/connect/10074733072513#/reservations/30653794050182?display=YQ8KG3E9F&amp;reservation_id=30653794050182", "YQ8KG3E9F")</f>
        <v>YQ8KG3E9F</v>
      </c>
      <c r="B2074" t="s">
        <v>10</v>
      </c>
      <c r="C2074" t="s">
        <v>14</v>
      </c>
      <c r="D2074" t="str">
        <f>HYPERLINK("https://us2.cloudbeds.com/connect/10074733072513#/reservations/30653794050182?display=Faye%20Johnson&amp;reservation_id=30653794050182&amp;guest_id=30653794046099", "Faye Johnson")</f>
        <v>Faye Johnson</v>
      </c>
      <c r="E2074" t="s">
        <v>1215</v>
      </c>
      <c r="F2074" t="s">
        <v>1216</v>
      </c>
      <c r="G2074">
        <v>64.150000000000006</v>
      </c>
      <c r="H2074">
        <v>69.72</v>
      </c>
      <c r="I2074">
        <v>69.73</v>
      </c>
      <c r="J2074">
        <v>-0.01</v>
      </c>
    </row>
    <row r="2075" spans="1:10" x14ac:dyDescent="0.3">
      <c r="A2075" t="str">
        <f>HYPERLINK("https://us2.cloudbeds.com/connect/10074733072513#/reservations/30654057250953?display=YQ8R71CKE&amp;reservation_id=30654057250953", "YQ8R71CKE")</f>
        <v>YQ8R71CKE</v>
      </c>
      <c r="B2075" t="s">
        <v>10</v>
      </c>
      <c r="C2075" t="s">
        <v>14</v>
      </c>
      <c r="D2075" t="str">
        <f>HYPERLINK("https://us2.cloudbeds.com/connect/10074733072513#/reservations/30654057250953?display=Ann%20Kopren%20Erpelding&amp;reservation_id=30654057250953&amp;guest_id=30654057250946", "Ann Kopren Erpelding")</f>
        <v>Ann Kopren Erpelding</v>
      </c>
      <c r="E2075" t="s">
        <v>1213</v>
      </c>
      <c r="F2075" t="s">
        <v>1214</v>
      </c>
      <c r="G2075">
        <v>72.17</v>
      </c>
      <c r="H2075">
        <v>78.44</v>
      </c>
      <c r="I2075">
        <v>78.45</v>
      </c>
      <c r="J2075">
        <v>-0.01</v>
      </c>
    </row>
    <row r="2076" spans="1:10" x14ac:dyDescent="0.3">
      <c r="A2076" t="str">
        <f>HYPERLINK("https://us2.cloudbeds.com/connect/10074733072513#/reservations/30653798383775?display=YQ8KJP0NF&amp;reservation_id=30653798383775", "YQ8KJP0NF")</f>
        <v>YQ8KJP0NF</v>
      </c>
      <c r="B2076" t="s">
        <v>10</v>
      </c>
      <c r="C2076" t="s">
        <v>14</v>
      </c>
      <c r="D2076" t="str">
        <f>HYPERLINK("https://us2.cloudbeds.com/connect/10074733072513#/reservations/30653798383775?display=Tom%20Regan&amp;reservation_id=30653798383775&amp;guest_id=30653798379689", "Tom Regan")</f>
        <v>Tom Regan</v>
      </c>
      <c r="E2076" t="s">
        <v>1217</v>
      </c>
      <c r="F2076" t="s">
        <v>1216</v>
      </c>
      <c r="G2076">
        <v>64.150000000000006</v>
      </c>
      <c r="H2076">
        <v>69.72</v>
      </c>
      <c r="I2076">
        <v>69.73</v>
      </c>
      <c r="J2076">
        <v>-0.01</v>
      </c>
    </row>
    <row r="2077" spans="1:10" x14ac:dyDescent="0.3">
      <c r="A2077" t="str">
        <f>HYPERLINK("https://us2.cloudbeds.com/connect/10074733072513#/reservations/30654197817590?display=YQ8UQXS8G&amp;reservation_id=30654197817590", "YQ8UQXS8G")</f>
        <v>YQ8UQXS8G</v>
      </c>
      <c r="B2077" t="s">
        <v>10</v>
      </c>
      <c r="C2077" t="s">
        <v>14</v>
      </c>
      <c r="D2077" t="str">
        <f>HYPERLINK("https://us2.cloudbeds.com/connect/10074733072513#/reservations/30654197817590?display=Kendolynn%20Kirby&amp;reservation_id=30654197817590&amp;guest_id=30654192857247", "Kendolynn Kirby")</f>
        <v>Kendolynn Kirby</v>
      </c>
      <c r="E2077" t="s">
        <v>1218</v>
      </c>
      <c r="F2077" t="s">
        <v>1219</v>
      </c>
      <c r="G2077">
        <v>222.83</v>
      </c>
      <c r="H2077">
        <v>242.21</v>
      </c>
      <c r="I2077">
        <v>242.22</v>
      </c>
      <c r="J2077">
        <v>-0.01</v>
      </c>
    </row>
    <row r="2078" spans="1:10" x14ac:dyDescent="0.3">
      <c r="A2078" t="str">
        <f>HYPERLINK("https://us2.cloudbeds.com/connect/10074733072513#/reservations/30657041309898?display=YQB4F97A2&amp;reservation_id=30657041309898", "YQB4F97A2")</f>
        <v>YQB4F97A2</v>
      </c>
      <c r="B2078" t="s">
        <v>10</v>
      </c>
      <c r="C2078" t="s">
        <v>42</v>
      </c>
      <c r="D2078" t="str">
        <f>HYPERLINK("https://us2.cloudbeds.com/connect/10074733072513#/reservations/30657041309898?display=James%20Lusk&amp;reservation_id=30657041309898&amp;guest_id=30657041309890", "James Lusk")</f>
        <v>James Lusk</v>
      </c>
      <c r="E2078" t="s">
        <v>1220</v>
      </c>
      <c r="F2078" t="s">
        <v>1221</v>
      </c>
      <c r="G2078">
        <v>134.1</v>
      </c>
      <c r="H2078">
        <v>145.76</v>
      </c>
      <c r="I2078">
        <v>145.77000000000001</v>
      </c>
      <c r="J2078">
        <v>-0.01</v>
      </c>
    </row>
    <row r="2079" spans="1:10" x14ac:dyDescent="0.3">
      <c r="A2079" t="str">
        <f>HYPERLINK("https://us2.cloudbeds.com/connect/10074733072513#/reservations/30653808423119?display=YQ8KS7CJ1&amp;reservation_id=30653808423119", "YQ8KS7CJ1")</f>
        <v>YQ8KS7CJ1</v>
      </c>
      <c r="B2079" t="s">
        <v>10</v>
      </c>
      <c r="C2079" t="s">
        <v>11</v>
      </c>
      <c r="D2079" t="str">
        <f>HYPERLINK("https://us2.cloudbeds.com/connect/10074733072513#/reservations/30653808423119?display=Serena%20Pluto&amp;reservation_id=30653808423119&amp;guest_id=30653803966719", "Serena Pluto")</f>
        <v>Serena Pluto</v>
      </c>
      <c r="E2079" t="s">
        <v>1222</v>
      </c>
      <c r="F2079" t="s">
        <v>1216</v>
      </c>
      <c r="G2079">
        <v>72.17</v>
      </c>
      <c r="H2079">
        <v>78.44</v>
      </c>
      <c r="I2079">
        <v>78.45</v>
      </c>
      <c r="J2079">
        <v>-0.01</v>
      </c>
    </row>
    <row r="2080" spans="1:10" x14ac:dyDescent="0.3">
      <c r="A2080" t="str">
        <f>HYPERLINK("https://us2.cloudbeds.com/connect/10074733072513#/reservations/30655287939285?display=YQ9PYQ398&amp;reservation_id=30655287939285", "YQ9PYQ398")</f>
        <v>YQ9PYQ398</v>
      </c>
      <c r="B2080" t="s">
        <v>10</v>
      </c>
      <c r="C2080" t="s">
        <v>14</v>
      </c>
      <c r="D2080" t="str">
        <f>HYPERLINK("https://us2.cloudbeds.com/connect/10074733072513#/reservations/30655287939285?display=Tobias%20Gerber&amp;reservation_id=30655287939285&amp;guest_id=30655287939283", "Tobias Gerber")</f>
        <v>Tobias Gerber</v>
      </c>
      <c r="E2080" t="s">
        <v>1224</v>
      </c>
      <c r="F2080" t="s">
        <v>1225</v>
      </c>
      <c r="G2080">
        <v>64.150000000000006</v>
      </c>
      <c r="H2080">
        <v>69.72</v>
      </c>
      <c r="I2080">
        <v>69.73</v>
      </c>
      <c r="J2080">
        <v>-0.01</v>
      </c>
    </row>
    <row r="2081" spans="1:10" x14ac:dyDescent="0.3">
      <c r="A2081" t="str">
        <f>HYPERLINK("https://us2.cloudbeds.com/connect/10074733072513#/reservations/30656852611223?display=YQAWY5D9D&amp;reservation_id=30656852611223", "YQAWY5D9D")</f>
        <v>YQAWY5D9D</v>
      </c>
      <c r="B2081" t="s">
        <v>10</v>
      </c>
      <c r="C2081" t="s">
        <v>23</v>
      </c>
      <c r="D2081" t="str">
        <f>HYPERLINK("https://us2.cloudbeds.com/connect/10074733072513#/reservations/30656852611223?display=Susan%20Steele&amp;reservation_id=30656852611223&amp;guest_id=30650709913838", "Susan Steele")</f>
        <v>Susan Steele</v>
      </c>
      <c r="E2081" t="s">
        <v>822</v>
      </c>
      <c r="F2081" t="s">
        <v>1210</v>
      </c>
      <c r="G2081">
        <v>259.2</v>
      </c>
      <c r="H2081">
        <v>281.74</v>
      </c>
      <c r="I2081">
        <v>281.75</v>
      </c>
      <c r="J2081">
        <v>-0.01</v>
      </c>
    </row>
    <row r="2082" spans="1:10" x14ac:dyDescent="0.3">
      <c r="A2082" t="str">
        <f>HYPERLINK("https://us2.cloudbeds.com/connect/10074733072513#/reservations/30656804593903?display=YQAVDM883&amp;reservation_id=30656804593903", "YQAVDM883")</f>
        <v>YQAVDM883</v>
      </c>
      <c r="B2082" t="s">
        <v>10</v>
      </c>
      <c r="C2082" t="s">
        <v>42</v>
      </c>
      <c r="D2082" t="str">
        <f>HYPERLINK("https://us2.cloudbeds.com/connect/10074733072513#/reservations/30656804593903?display=David%20Stebbins&amp;reservation_id=30656804593903&amp;guest_id=30656804593900", "David Stebbins")</f>
        <v>David Stebbins</v>
      </c>
      <c r="E2082" t="s">
        <v>1226</v>
      </c>
      <c r="F2082" t="s">
        <v>1214</v>
      </c>
      <c r="G2082">
        <v>267.3</v>
      </c>
      <c r="H2082">
        <v>290.55</v>
      </c>
      <c r="I2082">
        <v>290.56</v>
      </c>
      <c r="J2082">
        <v>-0.01</v>
      </c>
    </row>
    <row r="2083" spans="1:10" x14ac:dyDescent="0.3">
      <c r="A2083" t="str">
        <f>HYPERLINK("https://us2.cloudbeds.com/connect/10074733072513#/reservations/30656797208720?display=YQAV7EZKM&amp;reservation_id=30656797208720", "YQAV7EZKM")</f>
        <v>YQAV7EZKM</v>
      </c>
      <c r="B2083" t="s">
        <v>10</v>
      </c>
      <c r="C2083" t="s">
        <v>42</v>
      </c>
      <c r="D2083" t="str">
        <f>HYPERLINK("https://us2.cloudbeds.com/connect/10074733072513#/reservations/30656797208720?display=Dale%20Collins&amp;reservation_id=30656797208720&amp;guest_id=30656797208715", "Dale Collins")</f>
        <v>Dale Collins</v>
      </c>
      <c r="E2083" t="s">
        <v>1227</v>
      </c>
      <c r="F2083" t="s">
        <v>1214</v>
      </c>
      <c r="G2083">
        <v>267.3</v>
      </c>
      <c r="H2083">
        <v>290.55</v>
      </c>
      <c r="I2083">
        <v>290.56</v>
      </c>
      <c r="J2083">
        <v>-0.01</v>
      </c>
    </row>
    <row r="2084" spans="1:10" x14ac:dyDescent="0.3">
      <c r="A2084" t="str">
        <f>HYPERLINK("https://us2.cloudbeds.com/connect/10074733072513#/reservations/30655295197421?display=YQ9PRU27P&amp;reservation_id=30655295197421", "YQ9PRU27P")</f>
        <v>YQ9PRU27P</v>
      </c>
      <c r="B2084" t="s">
        <v>10</v>
      </c>
      <c r="C2084" t="s">
        <v>14</v>
      </c>
      <c r="D2084" t="str">
        <f>HYPERLINK("https://us2.cloudbeds.com/connect/10074733072513#/reservations/30655295197421?display=Tristian%20Johnson&amp;reservation_id=30655295197421&amp;guest_id=30654009889023", "Tristian Johnson")</f>
        <v>Tristian Johnson</v>
      </c>
      <c r="E2084" t="s">
        <v>1205</v>
      </c>
      <c r="F2084" t="s">
        <v>1225</v>
      </c>
      <c r="G2084">
        <v>64.150000000000006</v>
      </c>
      <c r="H2084">
        <v>69.72</v>
      </c>
      <c r="I2084">
        <v>69.73</v>
      </c>
      <c r="J2084">
        <v>-0.01</v>
      </c>
    </row>
    <row r="2085" spans="1:10" x14ac:dyDescent="0.3">
      <c r="A2085" t="str">
        <f>HYPERLINK("https://us2.cloudbeds.com/connect/10074733072513#/reservations/30656703647968?display=YQASRX98C&amp;reservation_id=30656703647968", "YQASRX98C")</f>
        <v>YQASRX98C</v>
      </c>
      <c r="B2085" t="s">
        <v>10</v>
      </c>
      <c r="C2085" t="s">
        <v>14</v>
      </c>
      <c r="D2085" t="str">
        <f>HYPERLINK("https://us2.cloudbeds.com/connect/10074733072513#/reservations/30656703647968?display=Chase%20Glodowski&amp;reservation_id=30656703647968&amp;guest_id=30656703647955", "Chase Glodowski")</f>
        <v>Chase Glodowski</v>
      </c>
      <c r="E2085" t="s">
        <v>1228</v>
      </c>
      <c r="F2085" t="s">
        <v>1223</v>
      </c>
      <c r="G2085">
        <v>64.150000000000006</v>
      </c>
      <c r="H2085">
        <v>69.72</v>
      </c>
      <c r="I2085">
        <v>69.73</v>
      </c>
      <c r="J2085">
        <v>-0.01</v>
      </c>
    </row>
    <row r="2086" spans="1:10" x14ac:dyDescent="0.3">
      <c r="A2086" t="str">
        <f>HYPERLINK("https://us2.cloudbeds.com/connect/10074733072513#/reservations/30656719474849?display=YQAT7TMYR&amp;reservation_id=30656719474849", "YQAT7TMYR")</f>
        <v>YQAT7TMYR</v>
      </c>
      <c r="B2086" t="s">
        <v>10</v>
      </c>
      <c r="C2086" t="s">
        <v>11</v>
      </c>
      <c r="D2086" t="str">
        <f>HYPERLINK("https://us2.cloudbeds.com/connect/10074733072513#/reservations/30656719474849?display=Leon%20Weaver&amp;reservation_id=30656719474849&amp;guest_id=30656719474840", "Leon Weaver")</f>
        <v>Leon Weaver</v>
      </c>
      <c r="E2086" t="s">
        <v>1230</v>
      </c>
      <c r="F2086" t="s">
        <v>1223</v>
      </c>
      <c r="G2086">
        <v>72.17</v>
      </c>
      <c r="H2086">
        <v>78.44</v>
      </c>
      <c r="I2086">
        <v>78.45</v>
      </c>
      <c r="J2086">
        <v>-0.01</v>
      </c>
    </row>
    <row r="2087" spans="1:10" x14ac:dyDescent="0.3">
      <c r="A2087" t="str">
        <f>HYPERLINK("https://us2.cloudbeds.com/connect/10074733072513#/reservations/30656733454568?display=YQATJMMSM&amp;reservation_id=30656733454568", "YQATJMMSM")</f>
        <v>YQATJMMSM</v>
      </c>
      <c r="B2087" t="s">
        <v>10</v>
      </c>
      <c r="C2087" t="s">
        <v>14</v>
      </c>
      <c r="D2087" t="str">
        <f>HYPERLINK("https://us2.cloudbeds.com/connect/10074733072513#/reservations/30656733454568?display=Amanda%20Casey&amp;reservation_id=30656733454568&amp;guest_id=30656733454563", "Amanda Casey")</f>
        <v>Amanda Casey</v>
      </c>
      <c r="E2087" t="s">
        <v>1231</v>
      </c>
      <c r="F2087" t="s">
        <v>1223</v>
      </c>
      <c r="G2087">
        <v>64.150000000000006</v>
      </c>
      <c r="H2087">
        <v>69.72</v>
      </c>
      <c r="I2087">
        <v>69.73</v>
      </c>
      <c r="J2087">
        <v>-0.01</v>
      </c>
    </row>
    <row r="2088" spans="1:10" x14ac:dyDescent="0.3">
      <c r="A2088" t="str">
        <f>HYPERLINK("https://us2.cloudbeds.com/connect/10074733072513#/reservations/30656727916754?display=YQATF0JY4&amp;reservation_id=30656727916754", "YQATF0JY4")</f>
        <v>YQATF0JY4</v>
      </c>
      <c r="B2088" t="s">
        <v>10</v>
      </c>
      <c r="C2088" t="s">
        <v>11</v>
      </c>
      <c r="D2088" t="str">
        <f>HYPERLINK("https://us2.cloudbeds.com/connect/10074733072513#/reservations/30656727916754?display=Eric%20Yoder&amp;reservation_id=30656727916754&amp;guest_id=30656727916750", "Eric Yoder")</f>
        <v>Eric Yoder</v>
      </c>
      <c r="E2088" t="s">
        <v>1230</v>
      </c>
      <c r="F2088" t="s">
        <v>1223</v>
      </c>
      <c r="G2088">
        <v>72.17</v>
      </c>
      <c r="H2088">
        <v>78.44</v>
      </c>
      <c r="I2088">
        <v>78.45</v>
      </c>
      <c r="J2088">
        <v>-0.01</v>
      </c>
    </row>
    <row r="2089" spans="1:10" x14ac:dyDescent="0.3">
      <c r="A2089" t="str">
        <f>HYPERLINK("https://us2.cloudbeds.com/connect/10074733072513#/reservations/30656644034765?display=YQARA9F0Y&amp;reservation_id=30656644034765", "YQARA9F0Y")</f>
        <v>YQARA9F0Y</v>
      </c>
      <c r="B2089" t="s">
        <v>10</v>
      </c>
      <c r="C2089" t="s">
        <v>11</v>
      </c>
      <c r="D2089" t="str">
        <f>HYPERLINK("https://us2.cloudbeds.com/connect/10074733072513#/reservations/30656644034765?display=Lonnie%20Sangrait&amp;reservation_id=30656644034765&amp;guest_id=30656640438519", "Lonnie Sangrait")</f>
        <v>Lonnie Sangrait</v>
      </c>
      <c r="E2089" t="s">
        <v>1233</v>
      </c>
      <c r="F2089" t="s">
        <v>1214</v>
      </c>
      <c r="G2089">
        <v>103.2</v>
      </c>
      <c r="H2089">
        <v>112.17</v>
      </c>
      <c r="I2089">
        <v>112.18</v>
      </c>
      <c r="J2089">
        <v>-0.01</v>
      </c>
    </row>
    <row r="2090" spans="1:10" x14ac:dyDescent="0.3">
      <c r="A2090" t="str">
        <f>HYPERLINK("https://us2.cloudbeds.com/connect/10074733072513#/reservations/30656739025084?display=YQATZCN46&amp;reservation_id=30656739025084", "YQATZCN46")</f>
        <v>YQATZCN46</v>
      </c>
      <c r="B2090" t="s">
        <v>10</v>
      </c>
      <c r="C2090" t="s">
        <v>14</v>
      </c>
      <c r="D2090" t="str">
        <f>HYPERLINK("https://us2.cloudbeds.com/connect/10074733072513#/reservations/30656739025084?display=Sheila%20Hewitt&amp;reservation_id=30656739025084&amp;guest_id=30656739025080", "Sheila Hewitt")</f>
        <v>Sheila Hewitt</v>
      </c>
      <c r="E2090" t="s">
        <v>1234</v>
      </c>
      <c r="F2090" t="s">
        <v>1223</v>
      </c>
      <c r="G2090">
        <v>64.150000000000006</v>
      </c>
      <c r="H2090">
        <v>69.72</v>
      </c>
      <c r="I2090">
        <v>69.73</v>
      </c>
      <c r="J2090">
        <v>-0.01</v>
      </c>
    </row>
    <row r="2091" spans="1:10" x14ac:dyDescent="0.3">
      <c r="A2091" t="str">
        <f>HYPERLINK("https://us2.cloudbeds.com/connect/10074733072513#/reservations/30656360378592?display=YQAK23A12&amp;reservation_id=30656360378592", "YQAK23A12")</f>
        <v>YQAK23A12</v>
      </c>
      <c r="B2091" t="s">
        <v>10</v>
      </c>
      <c r="C2091" t="s">
        <v>11</v>
      </c>
      <c r="D2091" t="str">
        <f>HYPERLINK("https://us2.cloudbeds.com/connect/10074733072513#/reservations/30656360378592?display=The%20Coffee%20House%20At%20Second%20And%20Hayes&amp;reservation_id=30656360378592&amp;guest_id=30656360378589", "The Coffee House At Second And Hayes")</f>
        <v>The Coffee House At Second And Hayes</v>
      </c>
      <c r="E2091" t="s">
        <v>1235</v>
      </c>
      <c r="F2091" t="s">
        <v>1225</v>
      </c>
      <c r="G2091">
        <v>72.17</v>
      </c>
      <c r="H2091">
        <v>78.44</v>
      </c>
      <c r="I2091">
        <v>78.45</v>
      </c>
      <c r="J2091">
        <v>-0.01</v>
      </c>
    </row>
    <row r="2092" spans="1:10" x14ac:dyDescent="0.3">
      <c r="A2092" t="str">
        <f>HYPERLINK("https://us2.cloudbeds.com/connect/10074733072513#/reservations/30656771301609?display=YQAUXJRQN&amp;reservation_id=30656771301609", "YQAUXJRQN")</f>
        <v>YQAUXJRQN</v>
      </c>
      <c r="B2092" t="s">
        <v>10</v>
      </c>
      <c r="C2092" t="s">
        <v>121</v>
      </c>
      <c r="D2092" t="str">
        <f>HYPERLINK("https://us2.cloudbeds.com/connect/10074733072513#/reservations/30656771301609?display=Bertley%20Griggs&amp;reservation_id=30656771301609&amp;guest_id=30656760180892", "Bertley Griggs")</f>
        <v>Bertley Griggs</v>
      </c>
      <c r="E2092" t="s">
        <v>1236</v>
      </c>
      <c r="F2092" t="s">
        <v>1214</v>
      </c>
      <c r="G2092">
        <v>174.4</v>
      </c>
      <c r="H2092">
        <v>189.56</v>
      </c>
      <c r="I2092">
        <v>189.57</v>
      </c>
      <c r="J2092">
        <v>-0.01</v>
      </c>
    </row>
    <row r="2093" spans="1:10" x14ac:dyDescent="0.3">
      <c r="A2093" t="str">
        <f>HYPERLINK("https://us2.cloudbeds.com/connect/10074733072513#/reservations/30656708968632?display=YQASW1B2K&amp;reservation_id=30656708968632", "YQASW1B2K")</f>
        <v>YQASW1B2K</v>
      </c>
      <c r="B2093" t="s">
        <v>10</v>
      </c>
      <c r="C2093" t="s">
        <v>11</v>
      </c>
      <c r="D2093" t="str">
        <f>HYPERLINK("https://us2.cloudbeds.com/connect/10074733072513#/reservations/30656708968632?display=Chris%20Weaver&amp;reservation_id=30656708968632&amp;guest_id=30656708968627", "Chris Weaver")</f>
        <v>Chris Weaver</v>
      </c>
      <c r="E2093" t="s">
        <v>1230</v>
      </c>
      <c r="F2093" t="s">
        <v>1223</v>
      </c>
      <c r="G2093">
        <v>72.17</v>
      </c>
      <c r="H2093">
        <v>78.44</v>
      </c>
      <c r="I2093">
        <v>78.45</v>
      </c>
      <c r="J2093">
        <v>-0.01</v>
      </c>
    </row>
    <row r="2094" spans="1:10" x14ac:dyDescent="0.3">
      <c r="A2094" t="str">
        <f>HYPERLINK("https://us2.cloudbeds.com/connect/10074733072513#/reservations/30656713580749?display=YQAT2UM8Z&amp;reservation_id=30656713580749", "YQAT2UM8Z")</f>
        <v>YQAT2UM8Z</v>
      </c>
      <c r="B2094" t="s">
        <v>10</v>
      </c>
      <c r="C2094" t="s">
        <v>11</v>
      </c>
      <c r="D2094" t="str">
        <f>HYPERLINK("https://us2.cloudbeds.com/connect/10074733072513#/reservations/30656713580749?display=Brendan%20Mcmullen&amp;reservation_id=30656713580749&amp;guest_id=30656713580744", "Brendan Mcmullen")</f>
        <v>Brendan Mcmullen</v>
      </c>
      <c r="E2094" t="s">
        <v>1230</v>
      </c>
      <c r="F2094" t="s">
        <v>1223</v>
      </c>
      <c r="G2094">
        <v>72.17</v>
      </c>
      <c r="H2094">
        <v>78.44</v>
      </c>
      <c r="I2094">
        <v>78.45</v>
      </c>
      <c r="J2094">
        <v>-0.01</v>
      </c>
    </row>
    <row r="2095" spans="1:10" x14ac:dyDescent="0.3">
      <c r="A2095" t="str">
        <f>HYPERLINK("https://us2.cloudbeds.com/connect/10074733072513#/reservations/30655206052048?display=YQ9NXZFCR&amp;reservation_id=30655206052048", "YQ9NXZFCR")</f>
        <v>YQ9NXZFCR</v>
      </c>
      <c r="B2095" t="s">
        <v>10</v>
      </c>
      <c r="C2095" t="s">
        <v>42</v>
      </c>
      <c r="D2095" t="str">
        <f>HYPERLINK("https://us2.cloudbeds.com/connect/10074733072513#/reservations/30655206052048?display=James%20Plucker&amp;reservation_id=30655206052048&amp;guest_id=30648147951751", "James Plucker")</f>
        <v>James Plucker</v>
      </c>
      <c r="E2095" t="s">
        <v>717</v>
      </c>
      <c r="F2095" t="s">
        <v>1237</v>
      </c>
      <c r="G2095">
        <v>325</v>
      </c>
      <c r="H2095">
        <v>353.27</v>
      </c>
      <c r="I2095">
        <v>353.28</v>
      </c>
      <c r="J2095">
        <v>-0.01</v>
      </c>
    </row>
    <row r="2096" spans="1:10" x14ac:dyDescent="0.3">
      <c r="A2096" t="str">
        <f>HYPERLINK("https://us2.cloudbeds.com/connect/10074733072513#/reservations/30656749920499?display=YQAU0XT39&amp;reservation_id=30656749920499", "YQAU0XT39")</f>
        <v>YQAU0XT39</v>
      </c>
      <c r="B2096" t="s">
        <v>10</v>
      </c>
      <c r="C2096" t="s">
        <v>14</v>
      </c>
      <c r="D2096" t="str">
        <f>HYPERLINK("https://us2.cloudbeds.com/connect/10074733072513#/reservations/30656749920499?display=Stacy%20Mata&amp;reservation_id=30656749920499&amp;guest_id=30656749920481", "Stacy Mata")</f>
        <v>Stacy Mata</v>
      </c>
      <c r="E2096" t="s">
        <v>1238</v>
      </c>
      <c r="F2096" t="s">
        <v>1223</v>
      </c>
      <c r="G2096">
        <v>64.150000000000006</v>
      </c>
      <c r="H2096">
        <v>69.72</v>
      </c>
      <c r="I2096">
        <v>69.73</v>
      </c>
      <c r="J2096">
        <v>-0.01</v>
      </c>
    </row>
    <row r="2097" spans="1:10" x14ac:dyDescent="0.3">
      <c r="A2097" t="str">
        <f>HYPERLINK("https://us2.cloudbeds.com/connect/10074733072513#/reservations/30656657486038?display=YQARYKZW0&amp;reservation_id=30656657486038", "YQARYKZW0")</f>
        <v>YQARYKZW0</v>
      </c>
      <c r="B2097" t="s">
        <v>10</v>
      </c>
      <c r="C2097" t="s">
        <v>11</v>
      </c>
      <c r="D2097" t="str">
        <f>HYPERLINK("https://us2.cloudbeds.com/connect/10074733072513#/reservations/30656657486038?display=Andrew%20Leonard&amp;reservation_id=30656657486038&amp;guest_id=30656657486036", "Andrew Leonard")</f>
        <v>Andrew Leonard</v>
      </c>
      <c r="E2097" t="s">
        <v>1241</v>
      </c>
      <c r="F2097" t="s">
        <v>1214</v>
      </c>
      <c r="G2097">
        <v>72.17</v>
      </c>
      <c r="H2097">
        <v>78.44</v>
      </c>
      <c r="I2097">
        <v>78.45</v>
      </c>
      <c r="J2097">
        <v>-0.01</v>
      </c>
    </row>
    <row r="2098" spans="1:10" x14ac:dyDescent="0.3">
      <c r="A2098" t="str">
        <f>HYPERLINK("https://us2.cloudbeds.com/connect/10074733072513#/reservations/30656742654103?display=YQATREMXF&amp;reservation_id=30656742654103", "YQATREMXF")</f>
        <v>YQATREMXF</v>
      </c>
      <c r="B2098" t="s">
        <v>10</v>
      </c>
      <c r="C2098" t="s">
        <v>14</v>
      </c>
      <c r="D2098" t="str">
        <f>HYPERLINK("https://us2.cloudbeds.com/connect/10074733072513#/reservations/30656742654103?display=Ann%20Lollis&amp;reservation_id=30656742654103&amp;guest_id=30656742654101", "Ann Lollis")</f>
        <v>Ann Lollis</v>
      </c>
      <c r="E2098" t="s">
        <v>1238</v>
      </c>
      <c r="F2098" t="s">
        <v>1223</v>
      </c>
      <c r="G2098">
        <v>64.150000000000006</v>
      </c>
      <c r="H2098">
        <v>69.72</v>
      </c>
      <c r="I2098">
        <v>69.73</v>
      </c>
      <c r="J2098">
        <v>-0.01</v>
      </c>
    </row>
    <row r="2099" spans="1:10" x14ac:dyDescent="0.3">
      <c r="A2099" t="str">
        <f>HYPERLINK("https://us2.cloudbeds.com/connect/10074733072513#/reservations/30654219235496?display=YQ8VBKRZV&amp;reservation_id=30654219235496", "YQ8VBKRZV")</f>
        <v>YQ8VBKRZV</v>
      </c>
      <c r="B2099" t="s">
        <v>10</v>
      </c>
      <c r="C2099" t="s">
        <v>42</v>
      </c>
      <c r="D2099" t="str">
        <f>HYPERLINK("https://us2.cloudbeds.com/connect/10074733072513#/reservations/30654219235496?display=Melody/Dennis%20Sand&amp;reservation_id=30654219235496&amp;guest_id=30654213480656", "Melody/Dennis Sand")</f>
        <v>Melody/Dennis Sand</v>
      </c>
      <c r="E2099" t="s">
        <v>1242</v>
      </c>
      <c r="F2099" t="s">
        <v>1219</v>
      </c>
      <c r="G2099">
        <v>375.3</v>
      </c>
      <c r="H2099">
        <v>407.94</v>
      </c>
      <c r="I2099">
        <v>407.95</v>
      </c>
      <c r="J2099">
        <v>-0.01</v>
      </c>
    </row>
    <row r="2100" spans="1:10" x14ac:dyDescent="0.3">
      <c r="A2100" t="str">
        <f>HYPERLINK("https://us2.cloudbeds.com/connect/10074733072513#/reservations/30656818151589?display=YQAVP3GU2&amp;reservation_id=30656818151589", "YQAVP3GU2")</f>
        <v>YQAVP3GU2</v>
      </c>
      <c r="B2100" t="s">
        <v>10</v>
      </c>
      <c r="C2100" t="s">
        <v>17</v>
      </c>
      <c r="D2100" t="str">
        <f>HYPERLINK("https://us2.cloudbeds.com/connect/10074733072513#/reservations/30656818151589?display=James%20Swanson&amp;reservation_id=30656818151589&amp;guest_id=30656818151577", "James Swanson")</f>
        <v>James Swanson</v>
      </c>
      <c r="E2100" t="s">
        <v>1243</v>
      </c>
      <c r="F2100" t="s">
        <v>1210</v>
      </c>
      <c r="G2100">
        <v>250.2</v>
      </c>
      <c r="H2100">
        <v>271.95999999999998</v>
      </c>
      <c r="I2100">
        <v>271.97000000000003</v>
      </c>
      <c r="J2100">
        <v>-0.01</v>
      </c>
    </row>
    <row r="2101" spans="1:10" x14ac:dyDescent="0.3">
      <c r="A2101" t="str">
        <f>HYPERLINK("https://us2.cloudbeds.com/connect/10074733072513#/reservations/30656778285282?display=YQAUZG5Z5&amp;reservation_id=30656778285282", "YQAUZG5Z5")</f>
        <v>YQAUZG5Z5</v>
      </c>
      <c r="B2101" t="s">
        <v>10</v>
      </c>
      <c r="C2101" t="s">
        <v>42</v>
      </c>
      <c r="D2101" t="str">
        <f>HYPERLINK("https://us2.cloudbeds.com/connect/10074733072513#/reservations/30656778285282?display=Stan%20Schlotthauer&amp;reservation_id=30656778285282&amp;guest_id=30656778285280", "Stan Schlotthauer")</f>
        <v>Stan Schlotthauer</v>
      </c>
      <c r="E2101" t="s">
        <v>1244</v>
      </c>
      <c r="F2101" t="s">
        <v>1210</v>
      </c>
      <c r="G2101">
        <v>134.1</v>
      </c>
      <c r="H2101">
        <v>145.76</v>
      </c>
      <c r="I2101">
        <v>145.77000000000001</v>
      </c>
      <c r="J2101">
        <v>-0.01</v>
      </c>
    </row>
    <row r="2102" spans="1:10" x14ac:dyDescent="0.3">
      <c r="A2102" t="str">
        <f>HYPERLINK("https://us2.cloudbeds.com/connect/10074733072513#/reservations/30654130053279?display=YQ8T2E72H&amp;reservation_id=30654130053279", "YQ8T2E72H")</f>
        <v>YQ8T2E72H</v>
      </c>
      <c r="B2102" t="s">
        <v>10</v>
      </c>
      <c r="C2102" t="s">
        <v>20</v>
      </c>
      <c r="D2102" t="str">
        <f>HYPERLINK("https://us2.cloudbeds.com/connect/10074733072513#/reservations/30654130053279?display=Todd%20Hornstra&amp;reservation_id=30654130053279&amp;guest_id=30654130053275", "Todd Hornstra")</f>
        <v>Todd Hornstra</v>
      </c>
      <c r="E2102" t="s">
        <v>1245</v>
      </c>
      <c r="F2102" t="s">
        <v>1210</v>
      </c>
      <c r="G2102">
        <v>250.2</v>
      </c>
      <c r="H2102">
        <v>271.95999999999998</v>
      </c>
      <c r="I2102">
        <v>271.97000000000003</v>
      </c>
      <c r="J2102">
        <v>-0.01</v>
      </c>
    </row>
    <row r="2103" spans="1:10" x14ac:dyDescent="0.3">
      <c r="A2103" t="str">
        <f>HYPERLINK("https://us2.cloudbeds.com/connect/10074733072513#/reservations/30655182049412?display=YQ9MVGXD7&amp;reservation_id=30655182049412", "YQ9MVGXD7")</f>
        <v>YQ9MVGXD7</v>
      </c>
      <c r="B2103" t="s">
        <v>10</v>
      </c>
      <c r="C2103" t="s">
        <v>14</v>
      </c>
      <c r="D2103" t="str">
        <f>HYPERLINK("https://us2.cloudbeds.com/connect/10074733072513#/reservations/30655182049412?display=Christine%20Waldrop&amp;reservation_id=30655182049412&amp;guest_id=30655182049410", "Christine Waldrop")</f>
        <v>Christine Waldrop</v>
      </c>
      <c r="E2103" t="s">
        <v>1246</v>
      </c>
      <c r="F2103" t="s">
        <v>1247</v>
      </c>
      <c r="G2103">
        <v>87.2</v>
      </c>
      <c r="H2103">
        <v>94.78</v>
      </c>
      <c r="I2103">
        <v>94.79</v>
      </c>
      <c r="J2103">
        <v>-0.01</v>
      </c>
    </row>
    <row r="2104" spans="1:10" x14ac:dyDescent="0.3">
      <c r="A2104" t="str">
        <f>HYPERLINK("https://us2.cloudbeds.com/connect/10074733072513#/reservations/30655176802543?display=YQ9MR2XB6&amp;reservation_id=30655176802543", "YQ9MR2XB6")</f>
        <v>YQ9MR2XB6</v>
      </c>
      <c r="B2104" t="s">
        <v>10</v>
      </c>
      <c r="C2104" t="s">
        <v>14</v>
      </c>
      <c r="D2104" t="str">
        <f>HYPERLINK("https://us2.cloudbeds.com/connect/10074733072513#/reservations/30655176802543?display=Jim%20Jenkins&amp;reservation_id=30655176802543&amp;guest_id=30655176802540", "Jim Jenkins")</f>
        <v>Jim Jenkins</v>
      </c>
      <c r="E2104" t="s">
        <v>1246</v>
      </c>
      <c r="F2104" t="s">
        <v>1247</v>
      </c>
      <c r="G2104">
        <v>87.2</v>
      </c>
      <c r="H2104">
        <v>94.78</v>
      </c>
      <c r="I2104">
        <v>94.79</v>
      </c>
      <c r="J2104">
        <v>-0.01</v>
      </c>
    </row>
    <row r="2105" spans="1:10" x14ac:dyDescent="0.3">
      <c r="A2105" t="str">
        <f>HYPERLINK("https://us2.cloudbeds.com/connect/10074733072513#/reservations/30655128375520?display=YQ9YJ802Y&amp;reservation_id=30655128375520", "YQ9YJ802Y")</f>
        <v>YQ9YJ802Y</v>
      </c>
      <c r="B2105" t="s">
        <v>10</v>
      </c>
      <c r="C2105" t="s">
        <v>14</v>
      </c>
      <c r="D2105" t="str">
        <f>HYPERLINK("https://us2.cloudbeds.com/connect/10074733072513#/reservations/30655128375520?display=Tiffany%20Cable&amp;reservation_id=30655128375520&amp;guest_id=30655128375516", "Tiffany Cable")</f>
        <v>Tiffany Cable</v>
      </c>
      <c r="E2105" t="s">
        <v>1248</v>
      </c>
      <c r="F2105" t="s">
        <v>875</v>
      </c>
      <c r="G2105">
        <v>64.150000000000006</v>
      </c>
      <c r="H2105">
        <v>69.72</v>
      </c>
      <c r="I2105">
        <v>69.73</v>
      </c>
      <c r="J2105">
        <v>-0.01</v>
      </c>
    </row>
    <row r="2106" spans="1:10" x14ac:dyDescent="0.3">
      <c r="A2106" t="str">
        <f>HYPERLINK("https://us2.cloudbeds.com/connect/10074733072513#/reservations/30654607290541?display=YQ988S1FN&amp;reservation_id=30654607290541", "YQ988S1FN")</f>
        <v>YQ988S1FN</v>
      </c>
      <c r="B2106" t="s">
        <v>10</v>
      </c>
      <c r="C2106" t="s">
        <v>14</v>
      </c>
      <c r="D2106" t="str">
        <f>HYPERLINK("https://us2.cloudbeds.com/connect/10074733072513#/reservations/30654607290541?display=Lisa%20Frederick&amp;reservation_id=30654607290541&amp;guest_id=30650826465473", "Lisa Frederick")</f>
        <v>Lisa Frederick</v>
      </c>
      <c r="E2106" t="s">
        <v>1249</v>
      </c>
      <c r="F2106" t="s">
        <v>1082</v>
      </c>
      <c r="G2106">
        <v>196.2</v>
      </c>
      <c r="H2106">
        <v>213.26</v>
      </c>
      <c r="I2106">
        <v>213.27</v>
      </c>
      <c r="J2106">
        <v>-0.01</v>
      </c>
    </row>
    <row r="2107" spans="1:10" x14ac:dyDescent="0.3">
      <c r="A2107" t="str">
        <f>HYPERLINK("https://us2.cloudbeds.com/connect/10074733072513#/reservations/30655247929566?display=YQ9ZY1PDH&amp;reservation_id=30655247929566", "YQ9ZY1PDH")</f>
        <v>YQ9ZY1PDH</v>
      </c>
      <c r="B2107" t="s">
        <v>10</v>
      </c>
      <c r="C2107" t="s">
        <v>17</v>
      </c>
      <c r="D2107" t="str">
        <f>HYPERLINK("https://us2.cloudbeds.com/connect/10074733072513#/reservations/30655247929566?display=Leslie%20Shaull&amp;reservation_id=30655247929566&amp;guest_id=30655247925475", "Leslie Shaull")</f>
        <v>Leslie Shaull</v>
      </c>
      <c r="E2107" t="s">
        <v>1250</v>
      </c>
      <c r="F2107" t="s">
        <v>945</v>
      </c>
      <c r="G2107">
        <v>366.3</v>
      </c>
      <c r="H2107">
        <v>398.16</v>
      </c>
      <c r="I2107">
        <v>398.17</v>
      </c>
      <c r="J2107">
        <v>-0.01</v>
      </c>
    </row>
    <row r="2108" spans="1:10" x14ac:dyDescent="0.3">
      <c r="A2108" t="str">
        <f>HYPERLINK("https://us2.cloudbeds.com/connect/10074733072513#/reservations/30655149162692?display=YQ9M3PECV&amp;reservation_id=30655149162692", "YQ9M3PECV")</f>
        <v>YQ9M3PECV</v>
      </c>
      <c r="B2108" t="s">
        <v>10</v>
      </c>
      <c r="C2108" t="s">
        <v>11</v>
      </c>
      <c r="D2108" t="str">
        <f>HYPERLINK("https://us2.cloudbeds.com/connect/10074733072513#/reservations/30655149162692?display=Kevin%20Schatz&amp;reservation_id=30655149162692&amp;guest_id=30655149162689", "Kevin Schatz")</f>
        <v>Kevin Schatz</v>
      </c>
      <c r="E2108" t="s">
        <v>1251</v>
      </c>
      <c r="F2108" t="s">
        <v>875</v>
      </c>
      <c r="G2108">
        <v>64.150000000000006</v>
      </c>
      <c r="H2108">
        <v>69.72</v>
      </c>
      <c r="I2108">
        <v>69.73</v>
      </c>
      <c r="J2108">
        <v>-0.01</v>
      </c>
    </row>
    <row r="2109" spans="1:10" x14ac:dyDescent="0.3">
      <c r="A2109" t="str">
        <f>HYPERLINK("https://us2.cloudbeds.com/connect/10074733072513#/reservations/30655141884072?display=YQ9YUKTKN&amp;reservation_id=30655141884072", "YQ9YUKTKN")</f>
        <v>YQ9YUKTKN</v>
      </c>
      <c r="B2109" t="s">
        <v>10</v>
      </c>
      <c r="C2109" t="s">
        <v>11</v>
      </c>
      <c r="D2109" t="str">
        <f>HYPERLINK("https://us2.cloudbeds.com/connect/10074733072513#/reservations/30655141884072?display=Dt%20Wilkinson&amp;reservation_id=30655141884072&amp;guest_id=30655141884068", "Dt Wilkinson")</f>
        <v>Dt Wilkinson</v>
      </c>
      <c r="E2109" t="s">
        <v>1252</v>
      </c>
      <c r="F2109" t="s">
        <v>875</v>
      </c>
      <c r="G2109">
        <v>64.150000000000006</v>
      </c>
      <c r="H2109">
        <v>69.72</v>
      </c>
      <c r="I2109">
        <v>69.73</v>
      </c>
      <c r="J2109">
        <v>-0.01</v>
      </c>
    </row>
    <row r="2110" spans="1:10" x14ac:dyDescent="0.3">
      <c r="A2110" t="str">
        <f>HYPERLINK("https://us2.cloudbeds.com/connect/10074733072513#/reservations/30656167842007?display=YQAF4ZMP3&amp;reservation_id=30656167842007", "YQAF4ZMP3")</f>
        <v>YQAF4ZMP3</v>
      </c>
      <c r="B2110" t="s">
        <v>10</v>
      </c>
      <c r="C2110" t="s">
        <v>14</v>
      </c>
      <c r="D2110" t="str">
        <f>HYPERLINK("https://us2.cloudbeds.com/connect/10074733072513#/reservations/30656167842007?display=Mark%20Souba&amp;reservation_id=30656167842007&amp;guest_id=30656167842005", "Mark Souba")</f>
        <v>Mark Souba</v>
      </c>
      <c r="E2110" t="s">
        <v>1253</v>
      </c>
      <c r="F2110" t="s">
        <v>1147</v>
      </c>
      <c r="G2110">
        <v>87.2</v>
      </c>
      <c r="H2110">
        <v>94.78</v>
      </c>
      <c r="I2110">
        <v>94.79</v>
      </c>
      <c r="J2110">
        <v>-0.01</v>
      </c>
    </row>
    <row r="2111" spans="1:10" x14ac:dyDescent="0.3">
      <c r="A2111" t="str">
        <f>HYPERLINK("https://us2.cloudbeds.com/connect/10074733072513#/reservations/30654623707379?display=YQ98MMSKM&amp;reservation_id=30654623707379", "YQ98MMSKM")</f>
        <v>YQ98MMSKM</v>
      </c>
      <c r="B2111" t="s">
        <v>10</v>
      </c>
      <c r="C2111" t="s">
        <v>11</v>
      </c>
      <c r="D2111" t="str">
        <f>HYPERLINK("https://us2.cloudbeds.com/connect/10074733072513#/reservations/30654623707379?display=Lynette%20Schlomer&amp;reservation_id=30654623707379&amp;guest_id=30654623707369", "Lynette Schlomer")</f>
        <v>Lynette Schlomer</v>
      </c>
      <c r="E2111" t="s">
        <v>1254</v>
      </c>
      <c r="F2111" t="s">
        <v>1082</v>
      </c>
      <c r="G2111">
        <v>87.2</v>
      </c>
      <c r="H2111">
        <v>94.78</v>
      </c>
      <c r="I2111">
        <v>94.79</v>
      </c>
      <c r="J2111">
        <v>-0.01</v>
      </c>
    </row>
    <row r="2112" spans="1:10" x14ac:dyDescent="0.3">
      <c r="A2112" t="str">
        <f>HYPERLINK("https://us2.cloudbeds.com/connect/10074733072513#/reservations/30654601044179?display=YQ983J7K1&amp;reservation_id=30654601044179", "YQ983J7K1")</f>
        <v>YQ983J7K1</v>
      </c>
      <c r="B2112" t="s">
        <v>10</v>
      </c>
      <c r="C2112" t="s">
        <v>20</v>
      </c>
      <c r="D2112" t="str">
        <f>HYPERLINK("https://us2.cloudbeds.com/connect/10074733072513#/reservations/30654601044179?display=Dorothy%20Abbott&amp;reservation_id=30654601044179&amp;guest_id=30654601044177", "Dorothy Abbott")</f>
        <v>Dorothy Abbott</v>
      </c>
      <c r="E2112" t="s">
        <v>1255</v>
      </c>
      <c r="F2112" t="s">
        <v>1082</v>
      </c>
      <c r="G2112">
        <v>87.2</v>
      </c>
      <c r="H2112">
        <v>94.78</v>
      </c>
      <c r="I2112">
        <v>94.79</v>
      </c>
      <c r="J2112">
        <v>-0.01</v>
      </c>
    </row>
    <row r="2113" spans="1:10" x14ac:dyDescent="0.3">
      <c r="A2113" t="str">
        <f>HYPERLINK("https://us2.cloudbeds.com/connect/10074733072513#/reservations/30655307305194?display=YQ9Q53WFW&amp;reservation_id=30655307305194", "YQ9Q53WFW")</f>
        <v>YQ9Q53WFW</v>
      </c>
      <c r="B2113" t="s">
        <v>10</v>
      </c>
      <c r="C2113" t="s">
        <v>42</v>
      </c>
      <c r="D2113" t="str">
        <f>HYPERLINK("https://us2.cloudbeds.com/connect/10074733072513#/reservations/30655307305194?display=Robert%20Barnhardt&amp;reservation_id=30655307305194&amp;guest_id=30654386213090", "Robert Barnhardt")</f>
        <v>Robert Barnhardt</v>
      </c>
      <c r="E2113" t="s">
        <v>1256</v>
      </c>
      <c r="F2113" t="s">
        <v>1082</v>
      </c>
      <c r="G2113">
        <v>196.2</v>
      </c>
      <c r="H2113">
        <v>213.26</v>
      </c>
      <c r="I2113">
        <v>213.27</v>
      </c>
      <c r="J2113">
        <v>-0.01</v>
      </c>
    </row>
    <row r="2114" spans="1:10" x14ac:dyDescent="0.3">
      <c r="A2114" t="str">
        <f>HYPERLINK("https://us2.cloudbeds.com/connect/10074733072513#/reservations/30656566329484?display=YQAPAP6A6&amp;reservation_id=30656566329484", "YQAPAP6A6")</f>
        <v>YQAPAP6A6</v>
      </c>
      <c r="B2114" t="s">
        <v>10</v>
      </c>
      <c r="C2114" t="s">
        <v>20</v>
      </c>
      <c r="D2114" t="str">
        <f>HYPERLINK("https://us2.cloudbeds.com/connect/10074733072513#/reservations/30656566329484?display=Michael%20Dekraai&amp;reservation_id=30656566329484&amp;guest_id=30656566329482", "Michael Dekraai")</f>
        <v>Michael Dekraai</v>
      </c>
      <c r="E2114" t="s">
        <v>1257</v>
      </c>
      <c r="F2114" t="s">
        <v>1258</v>
      </c>
      <c r="G2114">
        <v>103.2</v>
      </c>
      <c r="H2114">
        <v>112.17</v>
      </c>
      <c r="I2114">
        <v>112.18</v>
      </c>
      <c r="J2114">
        <v>-0.01</v>
      </c>
    </row>
    <row r="2115" spans="1:10" x14ac:dyDescent="0.3">
      <c r="A2115" t="str">
        <f>HYPERLINK("https://us2.cloudbeds.com/connect/10074733072513#/reservations/30655489618171?display=YQ9UQS3MY&amp;reservation_id=30655489618171", "YQ9UQS3MY")</f>
        <v>YQ9UQS3MY</v>
      </c>
      <c r="B2115" t="s">
        <v>10</v>
      </c>
      <c r="C2115" t="s">
        <v>14</v>
      </c>
      <c r="D2115" t="str">
        <f>HYPERLINK("https://us2.cloudbeds.com/connect/10074733072513#/reservations/30655489618171?display=Rebecca%20Staszak&amp;reservation_id=30655489618171&amp;guest_id=30655489618113", "Rebecca Staszak")</f>
        <v>Rebecca Staszak</v>
      </c>
      <c r="E2115" t="s">
        <v>1259</v>
      </c>
      <c r="F2115" t="s">
        <v>1260</v>
      </c>
      <c r="G2115">
        <v>87.2</v>
      </c>
      <c r="H2115">
        <v>94.78</v>
      </c>
      <c r="I2115">
        <v>94.79</v>
      </c>
      <c r="J2115">
        <v>-0.01</v>
      </c>
    </row>
    <row r="2116" spans="1:10" x14ac:dyDescent="0.3">
      <c r="A2116" t="str">
        <f>HYPERLINK("https://us2.cloudbeds.com/connect/10074733072513#/reservations/30655089610969?display=YQ9KJXAK9&amp;reservation_id=30655089610969", "YQ9KJXAK9")</f>
        <v>YQ9KJXAK9</v>
      </c>
      <c r="B2116" t="s">
        <v>10</v>
      </c>
      <c r="C2116" t="s">
        <v>14</v>
      </c>
      <c r="D2116" t="str">
        <f>HYPERLINK("https://us2.cloudbeds.com/connect/10074733072513#/reservations/30655089610969?display=Amey%20Kawale&amp;reservation_id=30655089610969&amp;guest_id=30655089610966", "Amey Kawale")</f>
        <v>Amey Kawale</v>
      </c>
      <c r="E2116" t="s">
        <v>1261</v>
      </c>
      <c r="F2116" t="s">
        <v>1237</v>
      </c>
      <c r="G2116">
        <v>180.14</v>
      </c>
      <c r="H2116">
        <v>195.8</v>
      </c>
      <c r="I2116">
        <v>195.81</v>
      </c>
      <c r="J2116">
        <v>-0.01</v>
      </c>
    </row>
    <row r="2117" spans="1:10" x14ac:dyDescent="0.3">
      <c r="A2117" t="str">
        <f>HYPERLINK("https://us2.cloudbeds.com/connect/10074733072513#/reservations/30655056269518?display=YQ9JZEX19&amp;reservation_id=30655056269518", "YQ9JZEX19")</f>
        <v>YQ9JZEX19</v>
      </c>
      <c r="B2117" t="s">
        <v>10</v>
      </c>
      <c r="C2117" t="s">
        <v>42</v>
      </c>
      <c r="D2117" t="str">
        <f>HYPERLINK("https://us2.cloudbeds.com/connect/10074733072513#/reservations/30655056269518?display=Mary%20Konvalin&amp;reservation_id=30655056269518&amp;guest_id=30655056269514", "Mary Konvalin")</f>
        <v>Mary Konvalin</v>
      </c>
      <c r="E2117" t="s">
        <v>1262</v>
      </c>
      <c r="F2117" t="s">
        <v>1237</v>
      </c>
      <c r="G2117">
        <v>103.2</v>
      </c>
      <c r="H2117">
        <v>112.17</v>
      </c>
      <c r="I2117">
        <v>112.18</v>
      </c>
      <c r="J2117">
        <v>-0.01</v>
      </c>
    </row>
    <row r="2118" spans="1:10" x14ac:dyDescent="0.3">
      <c r="A2118" t="str">
        <f>HYPERLINK("https://us2.cloudbeds.com/connect/10074733072513#/reservations/30655522021517?display=YQ9VY5PR7&amp;reservation_id=30655522021517", "YQ9VY5PR7")</f>
        <v>YQ9VY5PR7</v>
      </c>
      <c r="B2118" t="s">
        <v>10</v>
      </c>
      <c r="C2118" t="s">
        <v>20</v>
      </c>
      <c r="D2118" t="str">
        <f>HYPERLINK("https://us2.cloudbeds.com/connect/10074733072513#/reservations/30655522021517?display=Jana%20Clinton&amp;reservation_id=30655522021517&amp;guest_id=30655522017466", "Jana Clinton")</f>
        <v>Jana Clinton</v>
      </c>
      <c r="E2118" t="s">
        <v>1263</v>
      </c>
      <c r="F2118" t="s">
        <v>1264</v>
      </c>
      <c r="G2118">
        <v>87.2</v>
      </c>
      <c r="H2118">
        <v>94.78</v>
      </c>
      <c r="I2118">
        <v>94.79</v>
      </c>
      <c r="J2118">
        <v>-0.01</v>
      </c>
    </row>
    <row r="2119" spans="1:10" x14ac:dyDescent="0.3">
      <c r="A2119" t="str">
        <f>HYPERLINK("https://us2.cloudbeds.com/connect/10074733072513#/reservations/30655080104094?display=YQ9KBHPN5&amp;reservation_id=30655080104094", "YQ9KBHPN5")</f>
        <v>YQ9KBHPN5</v>
      </c>
      <c r="B2119" t="s">
        <v>10</v>
      </c>
      <c r="C2119" t="s">
        <v>20</v>
      </c>
      <c r="D2119" t="str">
        <f>HYPERLINK("https://us2.cloudbeds.com/connect/10074733072513#/reservations/30655080104094?display=Roberto%20Guidotti&amp;reservation_id=30655080104094&amp;guest_id=30655080104090", "Roberto Guidotti")</f>
        <v>Roberto Guidotti</v>
      </c>
      <c r="E2119" t="s">
        <v>1267</v>
      </c>
      <c r="F2119" t="s">
        <v>1237</v>
      </c>
      <c r="G2119">
        <v>87.2</v>
      </c>
      <c r="H2119">
        <v>94.78</v>
      </c>
      <c r="I2119">
        <v>94.79</v>
      </c>
      <c r="J2119">
        <v>-0.01</v>
      </c>
    </row>
    <row r="2120" spans="1:10" x14ac:dyDescent="0.3">
      <c r="A2120" t="str">
        <f>HYPERLINK("https://us2.cloudbeds.com/connect/10074733072513#/reservations/30656852615305?display=YQAWY5H13&amp;reservation_id=30656852615305", "YQAWY5H13")</f>
        <v>YQAWY5H13</v>
      </c>
      <c r="B2120" t="s">
        <v>10</v>
      </c>
      <c r="C2120" t="s">
        <v>42</v>
      </c>
      <c r="D2120" t="str">
        <f>HYPERLINK("https://us2.cloudbeds.com/connect/10074733072513#/reservations/30656852615305?display=Mark%20Richmond&amp;reservation_id=30656852615305&amp;guest_id=30656852611221", "Mark Richmond")</f>
        <v>Mark Richmond</v>
      </c>
      <c r="E2120" t="s">
        <v>1268</v>
      </c>
      <c r="F2120" t="s">
        <v>1269</v>
      </c>
      <c r="G2120">
        <v>134.1</v>
      </c>
      <c r="H2120">
        <v>145.76</v>
      </c>
      <c r="I2120">
        <v>145.77000000000001</v>
      </c>
      <c r="J2120">
        <v>-0.01</v>
      </c>
    </row>
    <row r="2121" spans="1:10" x14ac:dyDescent="0.3">
      <c r="A2121" t="str">
        <f>HYPERLINK("https://us2.cloudbeds.com/connect/10074733072513#/reservations/30654213476562?display=YQ8V6PJFQ&amp;reservation_id=30654213476562", "YQ8V6PJFQ")</f>
        <v>YQ8V6PJFQ</v>
      </c>
      <c r="B2121" t="s">
        <v>10</v>
      </c>
      <c r="C2121" t="s">
        <v>20</v>
      </c>
      <c r="D2121" t="str">
        <f>HYPERLINK("https://us2.cloudbeds.com/connect/10074733072513#/reservations/30654213476562?display=Mary%20Chitwood&amp;reservation_id=30654213476562&amp;guest_id=30654208229617", "Mary Chitwood")</f>
        <v>Mary Chitwood</v>
      </c>
      <c r="E2121" t="s">
        <v>1270</v>
      </c>
      <c r="F2121" t="s">
        <v>1271</v>
      </c>
      <c r="G2121">
        <v>103.2</v>
      </c>
      <c r="H2121">
        <v>112.17</v>
      </c>
      <c r="I2121">
        <v>112.18</v>
      </c>
      <c r="J2121">
        <v>-0.01</v>
      </c>
    </row>
    <row r="2122" spans="1:10" x14ac:dyDescent="0.3">
      <c r="A2122" t="str">
        <f>HYPERLINK("https://us2.cloudbeds.com/connect/10074733072513#/reservations/30654229000440?display=YQ8VJSXYB&amp;reservation_id=30654229000440", "YQ8VJSXYB")</f>
        <v>YQ8VJSXYB</v>
      </c>
      <c r="B2122" t="s">
        <v>10</v>
      </c>
      <c r="C2122" t="s">
        <v>20</v>
      </c>
      <c r="D2122" t="str">
        <f>HYPERLINK("https://us2.cloudbeds.com/connect/10074733072513#/reservations/30654229000440?display=Sandra%20Jayne%20Belen&amp;reservation_id=30654229000440&amp;guest_id=30654229000438", "Sandra Jayne Belen")</f>
        <v>Sandra Jayne Belen</v>
      </c>
      <c r="E2122" t="s">
        <v>1272</v>
      </c>
      <c r="F2122" t="s">
        <v>1271</v>
      </c>
      <c r="G2122">
        <v>87.2</v>
      </c>
      <c r="H2122">
        <v>94.78</v>
      </c>
      <c r="I2122">
        <v>94.79</v>
      </c>
      <c r="J2122">
        <v>-0.01</v>
      </c>
    </row>
    <row r="2123" spans="1:10" x14ac:dyDescent="0.3">
      <c r="A2123" t="str">
        <f>HYPERLINK("https://us2.cloudbeds.com/connect/10074733072513#/reservations/30654213480658?display=YQ8V6PN7U&amp;reservation_id=30654213480658", "YQ8V6PN7U")</f>
        <v>YQ8V6PN7U</v>
      </c>
      <c r="B2123" t="s">
        <v>10</v>
      </c>
      <c r="C2123" t="s">
        <v>20</v>
      </c>
      <c r="D2123" t="str">
        <f>HYPERLINK("https://us2.cloudbeds.com/connect/10074733072513#/reservations/30654213480658?display=Angela%20Wolf&amp;reservation_id=30654213480658&amp;guest_id=30654213480653", "Angela Wolf")</f>
        <v>Angela Wolf</v>
      </c>
      <c r="E2123" t="s">
        <v>1270</v>
      </c>
      <c r="F2123" t="s">
        <v>1271</v>
      </c>
      <c r="G2123">
        <v>87.2</v>
      </c>
      <c r="H2123">
        <v>94.78</v>
      </c>
      <c r="I2123">
        <v>94.79</v>
      </c>
      <c r="J2123">
        <v>-0.01</v>
      </c>
    </row>
    <row r="2124" spans="1:10" x14ac:dyDescent="0.3">
      <c r="A2124" t="str">
        <f>HYPERLINK("https://us2.cloudbeds.com/connect/10074733072513#/reservations/30654263603355?display=YQ8WG1EJH&amp;reservation_id=30654263603355", "YQ8WG1EJH")</f>
        <v>YQ8WG1EJH</v>
      </c>
      <c r="B2124" t="s">
        <v>10</v>
      </c>
      <c r="C2124" t="s">
        <v>11</v>
      </c>
      <c r="D2124" t="str">
        <f>HYPERLINK("https://us2.cloudbeds.com/connect/10074733072513#/reservations/30654263603355?display=Samantha%20Chapman&amp;reservation_id=30654263603355&amp;guest_id=30654263603351", "Samantha Chapman")</f>
        <v>Samantha Chapman</v>
      </c>
      <c r="E2124" t="s">
        <v>1274</v>
      </c>
      <c r="F2124" t="s">
        <v>726</v>
      </c>
      <c r="G2124">
        <v>214.4</v>
      </c>
      <c r="H2124">
        <v>233.04</v>
      </c>
      <c r="I2124">
        <v>233.05</v>
      </c>
      <c r="J2124">
        <v>-0.01</v>
      </c>
    </row>
    <row r="2125" spans="1:10" x14ac:dyDescent="0.3">
      <c r="A2125" t="str">
        <f>HYPERLINK("https://us2.cloudbeds.com/connect/10074733072513#/reservations/30654245429501?display=YQ8W0NZ0M&amp;reservation_id=30654245429501", "YQ8W0NZ0M")</f>
        <v>YQ8W0NZ0M</v>
      </c>
      <c r="B2125" t="s">
        <v>10</v>
      </c>
      <c r="C2125" t="s">
        <v>20</v>
      </c>
      <c r="D2125" t="str">
        <f>HYPERLINK("https://us2.cloudbeds.com/connect/10074733072513#/reservations/30654245429501?display=Nerijus%20Maksimavicius&amp;reservation_id=30654245429501&amp;guest_id=30654245429497", "Nerijus Maksimavicius")</f>
        <v>Nerijus Maksimavicius</v>
      </c>
      <c r="E2125" t="s">
        <v>1275</v>
      </c>
      <c r="F2125" t="s">
        <v>1271</v>
      </c>
      <c r="G2125">
        <v>103.2</v>
      </c>
      <c r="H2125">
        <v>112.17</v>
      </c>
      <c r="I2125">
        <v>112.18</v>
      </c>
      <c r="J2125">
        <v>-0.01</v>
      </c>
    </row>
    <row r="2126" spans="1:10" x14ac:dyDescent="0.3">
      <c r="A2126" t="str">
        <f>HYPERLINK("https://us2.cloudbeds.com/connect/10074733072513#/reservations/30656923308241?display=YQB1EPYG9&amp;reservation_id=30656923308241", "YQB1EPYG9")</f>
        <v>YQB1EPYG9</v>
      </c>
      <c r="B2126" t="s">
        <v>10</v>
      </c>
      <c r="C2126" t="s">
        <v>11</v>
      </c>
      <c r="D2126" t="str">
        <f>HYPERLINK("https://us2.cloudbeds.com/connect/10074733072513#/reservations/30656923308241?display=Matthew%20Sedares&amp;reservation_id=30656923308241&amp;guest_id=30656923304149", "Matthew Sedares")</f>
        <v>Matthew Sedares</v>
      </c>
      <c r="E2126" t="s">
        <v>1276</v>
      </c>
      <c r="F2126" t="s">
        <v>1277</v>
      </c>
      <c r="G2126">
        <v>196.2</v>
      </c>
      <c r="H2126">
        <v>213.26</v>
      </c>
      <c r="I2126">
        <v>213.27</v>
      </c>
      <c r="J2126">
        <v>-0.01</v>
      </c>
    </row>
    <row r="2127" spans="1:10" x14ac:dyDescent="0.3">
      <c r="A2127" t="str">
        <f>HYPERLINK("https://us2.cloudbeds.com/connect/10074733072513#/reservations/30656992489600?display=YQB30BXDS&amp;reservation_id=30656992489600", "YQB30BXDS")</f>
        <v>YQB30BXDS</v>
      </c>
      <c r="B2127" t="s">
        <v>10</v>
      </c>
      <c r="C2127" t="s">
        <v>42</v>
      </c>
      <c r="D2127" t="str">
        <f>HYPERLINK("https://us2.cloudbeds.com/connect/10074733072513#/reservations/30656992489600?display=Gwen%20Parks&amp;reservation_id=30656992489600&amp;guest_id=30656984465576", "Gwen Parks")</f>
        <v>Gwen Parks</v>
      </c>
      <c r="E2127" t="s">
        <v>1278</v>
      </c>
      <c r="F2127" t="s">
        <v>1093</v>
      </c>
      <c r="G2127">
        <v>268.2</v>
      </c>
      <c r="H2127">
        <v>291.52</v>
      </c>
      <c r="I2127">
        <v>291.52999999999997</v>
      </c>
      <c r="J2127">
        <v>-0.01</v>
      </c>
    </row>
    <row r="2128" spans="1:10" x14ac:dyDescent="0.3">
      <c r="A2128" t="str">
        <f>HYPERLINK("https://us2.cloudbeds.com/connect/10074733072513#/reservations/30654072451287?display=YQ8RJSBMK&amp;reservation_id=30654072451287", "YQ8RJSBMK")</f>
        <v>YQ8RJSBMK</v>
      </c>
      <c r="B2128" t="s">
        <v>10</v>
      </c>
      <c r="C2128" t="s">
        <v>42</v>
      </c>
      <c r="D2128" t="str">
        <f>HYPERLINK("https://us2.cloudbeds.com/connect/10074733072513#/reservations/30654072451287?display=Ricky%20Castillo&amp;reservation_id=30654072451287&amp;guest_id=30654066499722", "Ricky Castillo")</f>
        <v>Ricky Castillo</v>
      </c>
      <c r="E2128" t="s">
        <v>1279</v>
      </c>
      <c r="F2128" t="s">
        <v>1280</v>
      </c>
      <c r="G2128">
        <v>103.2</v>
      </c>
      <c r="H2128">
        <v>112.17</v>
      </c>
      <c r="I2128">
        <v>112.18</v>
      </c>
      <c r="J2128">
        <v>-0.01</v>
      </c>
    </row>
    <row r="2129" spans="1:10" x14ac:dyDescent="0.3">
      <c r="A2129" t="str">
        <f>HYPERLINK("https://us2.cloudbeds.com/connect/10074733072513#/reservations/30656361742481?display=YQAK388F1&amp;reservation_id=30656361742481", "YQAK388F1")</f>
        <v>YQAK388F1</v>
      </c>
      <c r="B2129" t="s">
        <v>10</v>
      </c>
      <c r="C2129" t="s">
        <v>20</v>
      </c>
      <c r="D2129" t="str">
        <f>HYPERLINK("https://us2.cloudbeds.com/connect/10074733072513#/reservations/30656361742481?display=Shae%20Quinn&amp;reservation_id=30656361742481&amp;guest_id=30656361742479", "Shae Quinn")</f>
        <v>Shae Quinn</v>
      </c>
      <c r="E2129" t="s">
        <v>1281</v>
      </c>
      <c r="F2129" t="s">
        <v>1258</v>
      </c>
      <c r="G2129">
        <v>87.2</v>
      </c>
      <c r="H2129">
        <v>94.78</v>
      </c>
      <c r="I2129">
        <v>94.79</v>
      </c>
      <c r="J2129">
        <v>-0.01</v>
      </c>
    </row>
    <row r="2130" spans="1:10" x14ac:dyDescent="0.3">
      <c r="A2130" t="str">
        <f>HYPERLINK("https://us2.cloudbeds.com/connect/10074733072513#/reservations/30657769214170?display=YQBN227K9&amp;reservation_id=30657769214170", "YQBN227K9")</f>
        <v>YQBN227K9</v>
      </c>
      <c r="B2130" t="s">
        <v>10</v>
      </c>
      <c r="C2130" t="s">
        <v>17</v>
      </c>
      <c r="D2130" t="str">
        <f>HYPERLINK("https://us2.cloudbeds.com/connect/10074733072513#/reservations/30657769214170?display=Robert%20Kofski&amp;reservation_id=30657769214170&amp;guest_id=30657769214168", "Robert Kofski")</f>
        <v>Robert Kofski</v>
      </c>
      <c r="E2130" t="s">
        <v>1282</v>
      </c>
      <c r="F2130" t="s">
        <v>1283</v>
      </c>
      <c r="G2130">
        <v>375.3</v>
      </c>
      <c r="H2130">
        <v>407.94</v>
      </c>
      <c r="I2130">
        <v>407.95</v>
      </c>
      <c r="J2130">
        <v>-0.01</v>
      </c>
    </row>
    <row r="2131" spans="1:10" x14ac:dyDescent="0.3">
      <c r="A2131" t="str">
        <f>HYPERLINK("https://us2.cloudbeds.com/connect/10074733072513#/reservations/30656981516485?display=YQB2USCJF&amp;reservation_id=30656981516485", "YQB2USCJF")</f>
        <v>YQB2USCJF</v>
      </c>
      <c r="B2131" t="s">
        <v>10</v>
      </c>
      <c r="C2131" t="s">
        <v>42</v>
      </c>
      <c r="D2131" t="str">
        <f>HYPERLINK("https://us2.cloudbeds.com/connect/10074733072513#/reservations/30656981516485?display=William%20Quinn&amp;reservation_id=30656981516485&amp;guest_id=30656981512424", "William Quinn")</f>
        <v>William Quinn</v>
      </c>
      <c r="E2131" t="s">
        <v>1284</v>
      </c>
      <c r="F2131" t="s">
        <v>1240</v>
      </c>
      <c r="G2131">
        <v>222.83</v>
      </c>
      <c r="H2131">
        <v>242.21</v>
      </c>
      <c r="I2131">
        <v>242.22</v>
      </c>
      <c r="J2131">
        <v>-0.01</v>
      </c>
    </row>
    <row r="2132" spans="1:10" x14ac:dyDescent="0.3">
      <c r="A2132" t="str">
        <f>HYPERLINK("https://us2.cloudbeds.com/connect/10074733072513#/reservations/30656760176802?display=YQAU9796B&amp;reservation_id=30656760176802", "YQAU9796B")</f>
        <v>YQAU9796B</v>
      </c>
      <c r="B2132" t="s">
        <v>10</v>
      </c>
      <c r="C2132" t="s">
        <v>42</v>
      </c>
      <c r="D2132" t="str">
        <f>HYPERLINK("https://us2.cloudbeds.com/connect/10074733072513#/reservations/30656760176802?display=Betty%20Hanson&amp;reservation_id=30656760176802&amp;guest_id=30651025330343", "Betty Hanson")</f>
        <v>Betty Hanson</v>
      </c>
      <c r="E2132" t="s">
        <v>1287</v>
      </c>
      <c r="F2132" t="s">
        <v>1240</v>
      </c>
      <c r="G2132">
        <v>87.2</v>
      </c>
      <c r="H2132">
        <v>94.78</v>
      </c>
      <c r="I2132">
        <v>94.79</v>
      </c>
      <c r="J2132">
        <v>-0.01</v>
      </c>
    </row>
    <row r="2133" spans="1:10" x14ac:dyDescent="0.3">
      <c r="A2133" t="str">
        <f>HYPERLINK("https://us2.cloudbeds.com/connect/10074733072513#/reservations/30657863798941?display=YQBPFR6AF&amp;reservation_id=30657863798941", "YQBPFR6AF")</f>
        <v>YQBPFR6AF</v>
      </c>
      <c r="B2133" t="s">
        <v>10</v>
      </c>
      <c r="C2133" t="s">
        <v>23</v>
      </c>
      <c r="D2133" t="str">
        <f>HYPERLINK("https://us2.cloudbeds.com/connect/10074733072513#/reservations/30657863798941?display=Doug%20Espenson&amp;reservation_id=30657863798941&amp;guest_id=30657863798939", "Doug Espenson")</f>
        <v>Doug Espenson</v>
      </c>
      <c r="E2133" t="s">
        <v>1291</v>
      </c>
      <c r="F2133" t="s">
        <v>1283</v>
      </c>
      <c r="G2133">
        <v>375.3</v>
      </c>
      <c r="H2133">
        <v>407.94</v>
      </c>
      <c r="I2133">
        <v>407.95</v>
      </c>
      <c r="J2133">
        <v>-0.01</v>
      </c>
    </row>
    <row r="2134" spans="1:10" x14ac:dyDescent="0.3">
      <c r="A2134" t="str">
        <f>HYPERLINK("https://us2.cloudbeds.com/connect/10074733072513#/reservations/30655514824895?display=YQ9VF3HBP&amp;reservation_id=30655514824895", "YQ9VF3HBP")</f>
        <v>YQ9VF3HBP</v>
      </c>
      <c r="B2134" t="s">
        <v>10</v>
      </c>
      <c r="C2134" t="s">
        <v>14</v>
      </c>
      <c r="D2134" t="str">
        <f>HYPERLINK("https://us2.cloudbeds.com/connect/10074733072513#/reservations/30655514824895?display=Lee%20Fortier&amp;reservation_id=30655514824895&amp;guest_id=30655514824843", "Lee Fortier")</f>
        <v>Lee Fortier</v>
      </c>
      <c r="E2134" t="s">
        <v>1292</v>
      </c>
      <c r="F2134" t="s">
        <v>1290</v>
      </c>
      <c r="G2134">
        <v>64.150000000000006</v>
      </c>
      <c r="H2134">
        <v>69.72</v>
      </c>
      <c r="I2134">
        <v>69.73</v>
      </c>
      <c r="J2134">
        <v>-0.01</v>
      </c>
    </row>
    <row r="2135" spans="1:10" x14ac:dyDescent="0.3">
      <c r="A2135" t="str">
        <f>HYPERLINK("https://us2.cloudbeds.com/connect/10074733072513#/reservations/30656710136052?display=YQAT00R2W&amp;reservation_id=30656710136052", "YQAT00R2W")</f>
        <v>YQAT00R2W</v>
      </c>
      <c r="B2135" t="s">
        <v>10</v>
      </c>
      <c r="C2135" t="s">
        <v>17</v>
      </c>
      <c r="D2135" t="str">
        <f>HYPERLINK("https://us2.cloudbeds.com/connect/10074733072513#/reservations/30656710136052?display=William%20Graves&amp;reservation_id=30656710136052&amp;guest_id=30648454471826", "William Graves")</f>
        <v>William Graves</v>
      </c>
      <c r="E2135" t="s">
        <v>447</v>
      </c>
      <c r="F2135" t="s">
        <v>1293</v>
      </c>
      <c r="G2135">
        <v>294.3</v>
      </c>
      <c r="H2135">
        <v>319.89</v>
      </c>
      <c r="I2135">
        <v>319.89999999999998</v>
      </c>
      <c r="J2135">
        <v>-0.01</v>
      </c>
    </row>
    <row r="2136" spans="1:10" x14ac:dyDescent="0.3">
      <c r="A2136" t="str">
        <f>HYPERLINK("https://us2.cloudbeds.com/connect/10074733072513#/reservations/30654978363595?display=YQ9HZZN2N&amp;reservation_id=30654978363595", "YQ9HZZN2N")</f>
        <v>YQ9HZZN2N</v>
      </c>
      <c r="B2136" t="s">
        <v>10</v>
      </c>
      <c r="C2136" t="s">
        <v>11</v>
      </c>
      <c r="D2136" t="str">
        <f>HYPERLINK("https://us2.cloudbeds.com/connect/10074733072513#/reservations/30654978363595?display=Wildes%20Ho&amp;reservation_id=30654978363595&amp;guest_id=30654978363592", "Wildes Ho")</f>
        <v>Wildes Ho</v>
      </c>
      <c r="E2136" t="s">
        <v>1296</v>
      </c>
      <c r="F2136" t="s">
        <v>1297</v>
      </c>
      <c r="G2136">
        <v>64.150000000000006</v>
      </c>
      <c r="H2136">
        <v>69.72</v>
      </c>
      <c r="I2136">
        <v>69.73</v>
      </c>
      <c r="J2136">
        <v>-0.01</v>
      </c>
    </row>
    <row r="2137" spans="1:10" x14ac:dyDescent="0.3">
      <c r="A2137" t="str">
        <f>HYPERLINK("https://us2.cloudbeds.com/connect/10074733072513#/reservations/30654480949417?display=YQ951ADZR&amp;reservation_id=30654480949417", "YQ951ADZR")</f>
        <v>YQ951ADZR</v>
      </c>
      <c r="B2137" t="s">
        <v>10</v>
      </c>
      <c r="C2137" t="s">
        <v>14</v>
      </c>
      <c r="D2137" t="str">
        <f>HYPERLINK("https://us2.cloudbeds.com/connect/10074733072513#/reservations/30654480949417?display=Nicholas%20Pradel&amp;reservation_id=30654480949417&amp;guest_id=30654480949415", "Nicholas Pradel")</f>
        <v>Nicholas Pradel</v>
      </c>
      <c r="E2137" t="s">
        <v>1298</v>
      </c>
      <c r="F2137" t="s">
        <v>1299</v>
      </c>
      <c r="G2137">
        <v>174.4</v>
      </c>
      <c r="H2137">
        <v>189.56</v>
      </c>
      <c r="I2137">
        <v>189.57</v>
      </c>
      <c r="J2137">
        <v>-0.01</v>
      </c>
    </row>
    <row r="2138" spans="1:10" x14ac:dyDescent="0.3">
      <c r="A2138" t="str">
        <f>HYPERLINK("https://us2.cloudbeds.com/connect/10074733072513#/reservations/30654985531549?display=YQ9HUQ57F&amp;reservation_id=30654985531549", "YQ9HUQ57F")</f>
        <v>YQ9HUQ57F</v>
      </c>
      <c r="B2138" t="s">
        <v>10</v>
      </c>
      <c r="C2138" t="s">
        <v>14</v>
      </c>
      <c r="D2138" t="str">
        <f>HYPERLINK("https://us2.cloudbeds.com/connect/10074733072513#/reservations/30654985531549?display=Lisa%20Riggin&amp;reservation_id=30654985531549&amp;guest_id=30654985531537", "Lisa Riggin")</f>
        <v>Lisa Riggin</v>
      </c>
      <c r="E2138" t="s">
        <v>1300</v>
      </c>
      <c r="F2138" t="s">
        <v>1297</v>
      </c>
      <c r="G2138">
        <v>64.150000000000006</v>
      </c>
      <c r="H2138">
        <v>69.72</v>
      </c>
      <c r="I2138">
        <v>69.73</v>
      </c>
      <c r="J2138">
        <v>-0.01</v>
      </c>
    </row>
    <row r="2139" spans="1:10" x14ac:dyDescent="0.3">
      <c r="A2139" t="str">
        <f>HYPERLINK("https://us2.cloudbeds.com/connect/10074733072513#/reservations/30655529332936?display=YQ9VRB7NC&amp;reservation_id=30655529332936", "YQ9VRB7NC")</f>
        <v>YQ9VRB7NC</v>
      </c>
      <c r="B2139" t="s">
        <v>10</v>
      </c>
      <c r="C2139" t="s">
        <v>11</v>
      </c>
      <c r="D2139" t="str">
        <f>HYPERLINK("https://us2.cloudbeds.com/connect/10074733072513#/reservations/30655529332936?display=Martin%20Kenneth%20Bush&amp;reservation_id=30655529332936&amp;guest_id=30655524675767", "Martin Kenneth Bush")</f>
        <v>Martin Kenneth Bush</v>
      </c>
      <c r="E2139" t="s">
        <v>1301</v>
      </c>
      <c r="F2139" t="s">
        <v>1290</v>
      </c>
      <c r="G2139">
        <v>64.150000000000006</v>
      </c>
      <c r="H2139">
        <v>69.72</v>
      </c>
      <c r="I2139">
        <v>69.73</v>
      </c>
      <c r="J2139">
        <v>-0.01</v>
      </c>
    </row>
    <row r="2140" spans="1:10" x14ac:dyDescent="0.3">
      <c r="A2140" t="str">
        <f>HYPERLINK("https://us2.cloudbeds.com/connect/10074733072513#/reservations/30654993879182?display=YQ9X4REY1&amp;reservation_id=30654993879182", "YQ9X4REY1")</f>
        <v>YQ9X4REY1</v>
      </c>
      <c r="B2140" t="s">
        <v>10</v>
      </c>
      <c r="C2140" t="s">
        <v>14</v>
      </c>
      <c r="D2140" t="str">
        <f>HYPERLINK("https://us2.cloudbeds.com/connect/10074733072513#/reservations/30654993879182?display=James%20Crook&amp;reservation_id=30654993879182&amp;guest_id=30654993879172", "James Crook")</f>
        <v>James Crook</v>
      </c>
      <c r="E2140" t="s">
        <v>1302</v>
      </c>
      <c r="F2140" t="s">
        <v>1297</v>
      </c>
      <c r="G2140">
        <v>72.17</v>
      </c>
      <c r="H2140">
        <v>78.44</v>
      </c>
      <c r="I2140">
        <v>78.45</v>
      </c>
      <c r="J2140">
        <v>-0.01</v>
      </c>
    </row>
    <row r="2141" spans="1:10" x14ac:dyDescent="0.3">
      <c r="A2141" t="str">
        <f>HYPERLINK("https://us2.cloudbeds.com/connect/10074733072513#/reservations/30655302455433?display=YQ9Q1112H&amp;reservation_id=30655302455433", "YQ9Q1112H")</f>
        <v>YQ9Q1112H</v>
      </c>
      <c r="B2141" t="s">
        <v>10</v>
      </c>
      <c r="C2141" t="s">
        <v>14</v>
      </c>
      <c r="D2141" t="str">
        <f>HYPERLINK("https://us2.cloudbeds.com/connect/10074733072513#/reservations/30655302455433?display=Donald%20Barber&amp;reservation_id=30655302455433&amp;guest_id=30655302455431", "Donald Barber")</f>
        <v>Donald Barber</v>
      </c>
      <c r="E2141" t="s">
        <v>1303</v>
      </c>
      <c r="F2141" t="s">
        <v>1295</v>
      </c>
      <c r="G2141">
        <v>72.17</v>
      </c>
      <c r="H2141">
        <v>78.44</v>
      </c>
      <c r="I2141">
        <v>78.45</v>
      </c>
      <c r="J2141">
        <v>-0.01</v>
      </c>
    </row>
    <row r="2142" spans="1:10" x14ac:dyDescent="0.3">
      <c r="A2142" t="str">
        <f>HYPERLINK("https://us2.cloudbeds.com/connect/10074733072513#/reservations/30656962924730?display=YQB2F618U&amp;reservation_id=30656962924730", "YQB2F618U")</f>
        <v>YQB2F618U</v>
      </c>
      <c r="B2142" t="s">
        <v>10</v>
      </c>
      <c r="C2142" t="s">
        <v>14</v>
      </c>
      <c r="D2142" t="str">
        <f>HYPERLINK("https://us2.cloudbeds.com/connect/10074733072513#/reservations/30656962924730?display=Teresa%20Hickey&amp;reservation_id=30656962924730&amp;guest_id=30656962924678", "Teresa Hickey")</f>
        <v>Teresa Hickey</v>
      </c>
      <c r="E2142" t="s">
        <v>1304</v>
      </c>
      <c r="F2142" t="s">
        <v>1277</v>
      </c>
      <c r="G2142">
        <v>87.2</v>
      </c>
      <c r="H2142">
        <v>94.78</v>
      </c>
      <c r="I2142">
        <v>94.79</v>
      </c>
      <c r="J2142">
        <v>-0.01</v>
      </c>
    </row>
    <row r="2143" spans="1:10" x14ac:dyDescent="0.3">
      <c r="A2143" t="str">
        <f>HYPERLINK("https://us2.cloudbeds.com/connect/10074733072513#/reservations/30655337713914?display=YQ9QUP50B&amp;reservation_id=30655337713914", "YQ9QUP50B")</f>
        <v>YQ9QUP50B</v>
      </c>
      <c r="B2143" t="s">
        <v>10</v>
      </c>
      <c r="C2143" t="s">
        <v>14</v>
      </c>
      <c r="D2143" t="str">
        <f>HYPERLINK("https://us2.cloudbeds.com/connect/10074733072513#/reservations/30655337713914?display=Marie%20Weller&amp;reservation_id=30655337713914&amp;guest_id=30655337713909", "Marie Weller")</f>
        <v>Marie Weller</v>
      </c>
      <c r="E2143" t="s">
        <v>1305</v>
      </c>
      <c r="F2143" t="s">
        <v>1295</v>
      </c>
      <c r="G2143">
        <v>64.150000000000006</v>
      </c>
      <c r="H2143">
        <v>69.72</v>
      </c>
      <c r="I2143">
        <v>69.73</v>
      </c>
      <c r="J2143">
        <v>-0.01</v>
      </c>
    </row>
    <row r="2144" spans="1:10" x14ac:dyDescent="0.3">
      <c r="A2144" t="str">
        <f>HYPERLINK("https://us2.cloudbeds.com/connect/10074733072513#/reservations/30655319142563?display=YQ9QF3CE4&amp;reservation_id=30655319142563", "YQ9QF3CE4")</f>
        <v>YQ9QF3CE4</v>
      </c>
      <c r="B2144" t="s">
        <v>10</v>
      </c>
      <c r="C2144" t="s">
        <v>11</v>
      </c>
      <c r="D2144" t="str">
        <f>HYPERLINK("https://us2.cloudbeds.com/connect/10074733072513#/reservations/30655319142563?display=Paul%20August%20Vasholzjr&amp;reservation_id=30655319142563&amp;guest_id=30655319142561", "Paul August Vasholzjr")</f>
        <v>Paul August Vasholzjr</v>
      </c>
      <c r="E2144" t="s">
        <v>1306</v>
      </c>
      <c r="F2144" t="s">
        <v>1295</v>
      </c>
      <c r="G2144">
        <v>64.150000000000006</v>
      </c>
      <c r="H2144">
        <v>69.72</v>
      </c>
      <c r="I2144">
        <v>69.73</v>
      </c>
      <c r="J2144">
        <v>-0.01</v>
      </c>
    </row>
    <row r="2145" spans="1:10" x14ac:dyDescent="0.3">
      <c r="A2145" t="str">
        <f>HYPERLINK("https://us2.cloudbeds.com/connect/10074733072513#/reservations/30655326896265?display=YQ9QYY4EQ&amp;reservation_id=30655326896265", "YQ9QYY4EQ")</f>
        <v>YQ9QYY4EQ</v>
      </c>
      <c r="B2145" t="s">
        <v>10</v>
      </c>
      <c r="C2145" t="s">
        <v>14</v>
      </c>
      <c r="D2145" t="str">
        <f>HYPERLINK("https://us2.cloudbeds.com/connect/10074733072513#/reservations/30655326896265?display=Raylene%20Bates&amp;reservation_id=30655326896265&amp;guest_id=30655326892207", "Raylene Bates")</f>
        <v>Raylene Bates</v>
      </c>
      <c r="E2145" t="s">
        <v>1307</v>
      </c>
      <c r="F2145" t="s">
        <v>1295</v>
      </c>
      <c r="G2145">
        <v>64.150000000000006</v>
      </c>
      <c r="H2145">
        <v>69.72</v>
      </c>
      <c r="I2145">
        <v>69.73</v>
      </c>
      <c r="J2145">
        <v>-0.01</v>
      </c>
    </row>
    <row r="2146" spans="1:10" x14ac:dyDescent="0.3">
      <c r="A2146" t="str">
        <f>HYPERLINK("https://us2.cloudbeds.com/connect/10074733072513#/reservations/30655342166159?display=YQ9R1H1CS&amp;reservation_id=30655342166159", "YQ9R1H1CS")</f>
        <v>YQ9R1H1CS</v>
      </c>
      <c r="B2146" t="s">
        <v>10</v>
      </c>
      <c r="C2146" t="s">
        <v>14</v>
      </c>
      <c r="D2146" t="str">
        <f>HYPERLINK("https://us2.cloudbeds.com/connect/10074733072513#/reservations/30655342166159?display=Murl%20Spence&amp;reservation_id=30655342166159&amp;guest_id=30655342166156", "Murl Spence")</f>
        <v>Murl Spence</v>
      </c>
      <c r="E2146" t="s">
        <v>1308</v>
      </c>
      <c r="F2146" t="s">
        <v>1295</v>
      </c>
      <c r="G2146">
        <v>72.17</v>
      </c>
      <c r="H2146">
        <v>78.44</v>
      </c>
      <c r="I2146">
        <v>78.45</v>
      </c>
      <c r="J2146">
        <v>-0.01</v>
      </c>
    </row>
    <row r="2147" spans="1:10" x14ac:dyDescent="0.3">
      <c r="A2147" t="str">
        <f>HYPERLINK("https://us2.cloudbeds.com/connect/10074733072513#/reservations/30655366119639?display=YQ9RYNJ7T&amp;reservation_id=30655366119639", "YQ9RYNJ7T")</f>
        <v>YQ9RYNJ7T</v>
      </c>
      <c r="B2147" t="s">
        <v>10</v>
      </c>
      <c r="C2147" t="s">
        <v>14</v>
      </c>
      <c r="D2147" t="str">
        <f>HYPERLINK("https://us2.cloudbeds.com/connect/10074733072513#/reservations/30655366119639?display=Rebecca%20Pasay&amp;reservation_id=30655366119639&amp;guest_id=30655053414650", "Rebecca Pasay")</f>
        <v>Rebecca Pasay</v>
      </c>
      <c r="E2147" t="s">
        <v>1309</v>
      </c>
      <c r="F2147" t="s">
        <v>1264</v>
      </c>
      <c r="G2147">
        <v>87.2</v>
      </c>
      <c r="H2147">
        <v>94.78</v>
      </c>
      <c r="I2147">
        <v>94.79</v>
      </c>
      <c r="J2147">
        <v>-0.01</v>
      </c>
    </row>
    <row r="2148" spans="1:10" x14ac:dyDescent="0.3">
      <c r="A2148" t="str">
        <f>HYPERLINK("https://us2.cloudbeds.com/connect/10074733072513#/reservations/30655357194402?display=YQ9RE67E5&amp;reservation_id=30655357194402", "YQ9RE67E5")</f>
        <v>YQ9RE67E5</v>
      </c>
      <c r="B2148" t="s">
        <v>10</v>
      </c>
      <c r="C2148" t="s">
        <v>14</v>
      </c>
      <c r="D2148" t="str">
        <f>HYPERLINK("https://us2.cloudbeds.com/connect/10074733072513#/reservations/30655357194402?display=Roxi%20Beck&amp;reservation_id=30655357194402&amp;guest_id=30655357194375", "Roxi Beck")</f>
        <v>Roxi Beck</v>
      </c>
      <c r="E2148" t="s">
        <v>1310</v>
      </c>
      <c r="F2148" t="s">
        <v>1295</v>
      </c>
      <c r="G2148">
        <v>64.150000000000006</v>
      </c>
      <c r="H2148">
        <v>69.72</v>
      </c>
      <c r="I2148">
        <v>69.73</v>
      </c>
      <c r="J2148">
        <v>-0.01</v>
      </c>
    </row>
    <row r="2149" spans="1:10" x14ac:dyDescent="0.3">
      <c r="A2149" t="str">
        <f>HYPERLINK("https://us2.cloudbeds.com/connect/10074733072513#/reservations/30654525218976?display=YQ965Y9AK&amp;reservation_id=30654525218976", "YQ965Y9AK")</f>
        <v>YQ965Y9AK</v>
      </c>
      <c r="B2149" t="s">
        <v>10</v>
      </c>
      <c r="C2149" t="s">
        <v>14</v>
      </c>
      <c r="D2149" t="str">
        <f>HYPERLINK("https://us2.cloudbeds.com/connect/10074733072513#/reservations/30654525218976?display=Shane%20Pennington&amp;reservation_id=30654525218976&amp;guest_id=30654525218974", "Shane Pennington")</f>
        <v>Shane Pennington</v>
      </c>
      <c r="E2149" t="s">
        <v>1311</v>
      </c>
      <c r="F2149" t="s">
        <v>1312</v>
      </c>
      <c r="G2149">
        <v>64.150000000000006</v>
      </c>
      <c r="H2149">
        <v>69.72</v>
      </c>
      <c r="I2149">
        <v>69.73</v>
      </c>
      <c r="J2149">
        <v>-0.01</v>
      </c>
    </row>
    <row r="2150" spans="1:10" x14ac:dyDescent="0.3">
      <c r="A2150" t="str">
        <f>HYPERLINK("https://us2.cloudbeds.com/connect/10074733072513#/reservations/30655031963870?display=YQ9J3V6QG&amp;reservation_id=30655031963870", "YQ9J3V6QG")</f>
        <v>YQ9J3V6QG</v>
      </c>
      <c r="B2150" t="s">
        <v>10</v>
      </c>
      <c r="C2150" t="s">
        <v>11</v>
      </c>
      <c r="D2150" t="str">
        <f>HYPERLINK("https://us2.cloudbeds.com/connect/10074733072513#/reservations/30655031963870?display=Will%20Deibert&amp;reservation_id=30655031963870&amp;guest_id=30655031963860", "Will Deibert")</f>
        <v>Will Deibert</v>
      </c>
      <c r="E2150" t="s">
        <v>1313</v>
      </c>
      <c r="F2150" t="s">
        <v>1312</v>
      </c>
      <c r="G2150">
        <v>64.150000000000006</v>
      </c>
      <c r="H2150">
        <v>69.72</v>
      </c>
      <c r="I2150">
        <v>69.73</v>
      </c>
      <c r="J2150">
        <v>-0.01</v>
      </c>
    </row>
    <row r="2151" spans="1:10" x14ac:dyDescent="0.3">
      <c r="A2151" t="str">
        <f>HYPERLINK("https://us2.cloudbeds.com/connect/10074733072513#/reservations/30655047340192?display=YQ9JGU2FY&amp;reservation_id=30655047340192", "YQ9JGU2FY")</f>
        <v>YQ9JGU2FY</v>
      </c>
      <c r="B2151" t="s">
        <v>10</v>
      </c>
      <c r="C2151" t="s">
        <v>11</v>
      </c>
      <c r="D2151" t="str">
        <f>HYPERLINK("https://us2.cloudbeds.com/connect/10074733072513#/reservations/30655047340192?display=Marque%20Melita&amp;reservation_id=30655047340192&amp;guest_id=30655047336101", "Marque Melita")</f>
        <v>Marque Melita</v>
      </c>
      <c r="E2151" t="s">
        <v>1314</v>
      </c>
      <c r="F2151" t="s">
        <v>1312</v>
      </c>
      <c r="G2151">
        <v>64.150000000000006</v>
      </c>
      <c r="H2151">
        <v>69.72</v>
      </c>
      <c r="I2151">
        <v>69.73</v>
      </c>
      <c r="J2151">
        <v>-0.01</v>
      </c>
    </row>
    <row r="2152" spans="1:10" x14ac:dyDescent="0.3">
      <c r="A2152" t="str">
        <f>HYPERLINK("https://us2.cloudbeds.com/connect/10074733072513#/reservations/30655057297617?display=YQ9JPA53Q&amp;reservation_id=30655057297617", "YQ9JPA53Q")</f>
        <v>YQ9JPA53Q</v>
      </c>
      <c r="B2152" t="s">
        <v>10</v>
      </c>
      <c r="C2152" t="s">
        <v>14</v>
      </c>
      <c r="D2152" t="str">
        <f>HYPERLINK("https://us2.cloudbeds.com/connect/10074733072513#/reservations/30655057297617?display=Rebecca%20Pasay&amp;reservation_id=30655057297617&amp;guest_id=30655053414650", "Rebecca Pasay")</f>
        <v>Rebecca Pasay</v>
      </c>
      <c r="E2152" t="s">
        <v>1309</v>
      </c>
      <c r="F2152" t="s">
        <v>1312</v>
      </c>
      <c r="G2152">
        <v>64.150000000000006</v>
      </c>
      <c r="H2152">
        <v>69.72</v>
      </c>
      <c r="I2152">
        <v>69.73</v>
      </c>
      <c r="J2152">
        <v>-0.01</v>
      </c>
    </row>
    <row r="2153" spans="1:10" x14ac:dyDescent="0.3">
      <c r="A2153" t="str">
        <f>HYPERLINK("https://us2.cloudbeds.com/connect/10074733072513#/reservations/30655062651046?display=YQ9JTR40U&amp;reservation_id=30655062651046", "YQ9JTR40U")</f>
        <v>YQ9JTR40U</v>
      </c>
      <c r="B2153" t="s">
        <v>10</v>
      </c>
      <c r="C2153" t="s">
        <v>11</v>
      </c>
      <c r="D2153" t="str">
        <f>HYPERLINK("https://us2.cloudbeds.com/connect/10074733072513#/reservations/30655062651046?display=Jason%20Wick&amp;reservation_id=30655062651046&amp;guest_id=30655062651034", "Jason Wick")</f>
        <v>Jason Wick</v>
      </c>
      <c r="E2153" t="s">
        <v>1119</v>
      </c>
      <c r="F2153" t="s">
        <v>1312</v>
      </c>
      <c r="G2153">
        <v>64.150000000000006</v>
      </c>
      <c r="H2153">
        <v>69.72</v>
      </c>
      <c r="I2153">
        <v>69.73</v>
      </c>
      <c r="J2153">
        <v>-0.01</v>
      </c>
    </row>
    <row r="2154" spans="1:10" x14ac:dyDescent="0.3">
      <c r="A2154" t="str">
        <f>HYPERLINK("https://us2.cloudbeds.com/connect/10074733072513#/reservations/30655568027859?display=YQ9WQVW7Q&amp;reservation_id=30655568027859", "YQ9WQVW7Q")</f>
        <v>YQ9WQVW7Q</v>
      </c>
      <c r="B2154" t="s">
        <v>10</v>
      </c>
      <c r="C2154" t="s">
        <v>42</v>
      </c>
      <c r="D2154" t="str">
        <f>HYPERLINK("https://us2.cloudbeds.com/connect/10074733072513#/reservations/30655568027859?display=Nathan%20Hammersley&amp;reservation_id=30655568027859&amp;guest_id=30654159728852", "Nathan Hammersley")</f>
        <v>Nathan Hammersley</v>
      </c>
      <c r="E2154" t="s">
        <v>1315</v>
      </c>
      <c r="F2154" t="s">
        <v>1264</v>
      </c>
      <c r="G2154">
        <v>84</v>
      </c>
      <c r="H2154">
        <v>91.3</v>
      </c>
      <c r="I2154">
        <v>91.31</v>
      </c>
      <c r="J2154">
        <v>-0.01</v>
      </c>
    </row>
    <row r="2155" spans="1:10" x14ac:dyDescent="0.3">
      <c r="A2155" t="str">
        <f>HYPERLINK("https://us2.cloudbeds.com/connect/10074733072513#/reservations/30657759498453?display=YQBMQSSUJ&amp;reservation_id=30657759498453", "YQBMQSSUJ")</f>
        <v>YQBMQSSUJ</v>
      </c>
      <c r="B2155" t="s">
        <v>10</v>
      </c>
      <c r="C2155" t="s">
        <v>11</v>
      </c>
      <c r="D2155" t="str">
        <f>HYPERLINK("https://us2.cloudbeds.com/connect/10074733072513#/reservations/30657759498453?display=Todd%20Wayne%20Mouw&amp;reservation_id=30657759498453&amp;guest_id=30646510395570", "Todd Wayne Mouw")</f>
        <v>Todd Wayne Mouw</v>
      </c>
      <c r="E2155" t="s">
        <v>1316</v>
      </c>
      <c r="F2155" t="s">
        <v>1317</v>
      </c>
      <c r="G2155">
        <v>180.14</v>
      </c>
      <c r="H2155">
        <v>195.8</v>
      </c>
      <c r="I2155">
        <v>195.81</v>
      </c>
      <c r="J2155">
        <v>-0.01</v>
      </c>
    </row>
    <row r="2156" spans="1:10" x14ac:dyDescent="0.3">
      <c r="A2156" t="str">
        <f>HYPERLINK("https://us2.cloudbeds.com/connect/10074733072513#/reservations/30655553257610?display=YQ9WEGW3G&amp;reservation_id=30655553257610", "YQ9WEGW3G")</f>
        <v>YQ9WEGW3G</v>
      </c>
      <c r="B2156" t="s">
        <v>10</v>
      </c>
      <c r="C2156" t="s">
        <v>11</v>
      </c>
      <c r="D2156" t="str">
        <f>HYPERLINK("https://us2.cloudbeds.com/connect/10074733072513#/reservations/30655553257610?display=Cheryl%20Gupta%201%20Of%202&amp;reservation_id=30655553257610&amp;guest_id=30655553257601", "Cheryl Gupta 1 Of 2")</f>
        <v>Cheryl Gupta 1 Of 2</v>
      </c>
      <c r="E2156" t="s">
        <v>1318</v>
      </c>
      <c r="F2156" t="s">
        <v>1264</v>
      </c>
      <c r="G2156">
        <v>64.150000000000006</v>
      </c>
      <c r="H2156">
        <v>69.72</v>
      </c>
      <c r="I2156">
        <v>69.73</v>
      </c>
      <c r="J2156">
        <v>-0.01</v>
      </c>
    </row>
    <row r="2157" spans="1:10" x14ac:dyDescent="0.3">
      <c r="A2157" t="str">
        <f>HYPERLINK("https://us2.cloudbeds.com/connect/10074733072513#/reservations/30654538682516?display=YQ96GWUHM&amp;reservation_id=30654538682516", "YQ96GWUHM")</f>
        <v>YQ96GWUHM</v>
      </c>
      <c r="B2157" t="s">
        <v>10</v>
      </c>
      <c r="C2157" t="s">
        <v>14</v>
      </c>
      <c r="D2157" t="str">
        <f>HYPERLINK("https://us2.cloudbeds.com/connect/10074733072513#/reservations/30654538682516?display=Elizabeth%20Colclasure&amp;reservation_id=30654538682516&amp;guest_id=30654538682512", "Elizabeth Colclasure")</f>
        <v>Elizabeth Colclasure</v>
      </c>
      <c r="E2157" t="s">
        <v>1319</v>
      </c>
      <c r="F2157" t="s">
        <v>1312</v>
      </c>
      <c r="G2157">
        <v>64.150000000000006</v>
      </c>
      <c r="H2157">
        <v>69.72</v>
      </c>
      <c r="I2157">
        <v>69.73</v>
      </c>
      <c r="J2157">
        <v>-0.01</v>
      </c>
    </row>
    <row r="2158" spans="1:10" x14ac:dyDescent="0.3">
      <c r="A2158" t="str">
        <f>HYPERLINK("https://us2.cloudbeds.com/connect/10074733072513#/reservations/30656967463133?display=YQB2J0APA&amp;reservation_id=30656967463133", "YQB2J0APA")</f>
        <v>YQB2J0APA</v>
      </c>
      <c r="B2158" t="s">
        <v>10</v>
      </c>
      <c r="C2158" t="s">
        <v>14</v>
      </c>
      <c r="D2158" t="str">
        <f>HYPERLINK("https://us2.cloudbeds.com/connect/10074733072513#/reservations/30656967463133?display=Danielle%20Preston&amp;reservation_id=30656967463133&amp;guest_id=30656967463131", "Danielle Preston")</f>
        <v>Danielle Preston</v>
      </c>
      <c r="E2158" t="s">
        <v>1320</v>
      </c>
      <c r="F2158" t="s">
        <v>1277</v>
      </c>
      <c r="G2158">
        <v>87.2</v>
      </c>
      <c r="H2158">
        <v>94.78</v>
      </c>
      <c r="I2158">
        <v>94.79</v>
      </c>
      <c r="J2158">
        <v>-0.01</v>
      </c>
    </row>
    <row r="2159" spans="1:10" x14ac:dyDescent="0.3">
      <c r="A2159" t="str">
        <f>HYPERLINK("https://us2.cloudbeds.com/connect/10074733072513#/reservations/30655560515800?display=YQ9WKKV3Y&amp;reservation_id=30655560515800", "YQ9WKKV3Y")</f>
        <v>YQ9WKKV3Y</v>
      </c>
      <c r="B2159" t="s">
        <v>10</v>
      </c>
      <c r="C2159" t="s">
        <v>14</v>
      </c>
      <c r="D2159" t="str">
        <f>HYPERLINK("https://us2.cloudbeds.com/connect/10074733072513#/reservations/30655560515800?display=Ramona%20Jarvis&amp;reservation_id=30655560515800&amp;guest_id=30655553261703", "Ramona Jarvis")</f>
        <v>Ramona Jarvis</v>
      </c>
      <c r="E2159" t="s">
        <v>1321</v>
      </c>
      <c r="F2159" t="s">
        <v>1264</v>
      </c>
      <c r="G2159">
        <v>64.150000000000006</v>
      </c>
      <c r="H2159">
        <v>69.72</v>
      </c>
      <c r="I2159">
        <v>69.73</v>
      </c>
      <c r="J2159">
        <v>-0.01</v>
      </c>
    </row>
    <row r="2160" spans="1:10" x14ac:dyDescent="0.3">
      <c r="A2160" t="str">
        <f>HYPERLINK("https://us2.cloudbeds.com/connect/10074733072513#/reservations/30656835899621?display=YQAW72CF7&amp;reservation_id=30656835899621", "YQAW72CF7")</f>
        <v>YQAW72CF7</v>
      </c>
      <c r="B2160" t="s">
        <v>10</v>
      </c>
      <c r="C2160" t="s">
        <v>42</v>
      </c>
      <c r="D2160" t="str">
        <f>HYPERLINK("https://us2.cloudbeds.com/connect/10074733072513#/reservations/30656835899621?display=Diane%20Doering&amp;reservation_id=30656835899621&amp;guest_id=30654587162837", "Diane Doering")</f>
        <v>Diane Doering</v>
      </c>
      <c r="E2160" t="s">
        <v>1322</v>
      </c>
      <c r="F2160" t="s">
        <v>928</v>
      </c>
      <c r="G2160">
        <v>460.8</v>
      </c>
      <c r="H2160">
        <v>500.88</v>
      </c>
      <c r="I2160">
        <v>500.89</v>
      </c>
      <c r="J2160">
        <v>-0.01</v>
      </c>
    </row>
    <row r="2161" spans="1:10" x14ac:dyDescent="0.3">
      <c r="A2161" t="str">
        <f>HYPERLINK("https://us2.cloudbeds.com/connect/10074733072513#/reservations/30654467150043?display=YQ94MME4W&amp;reservation_id=30654467150043", "YQ94MME4W")</f>
        <v>YQ94MME4W</v>
      </c>
      <c r="B2161" t="s">
        <v>10</v>
      </c>
      <c r="C2161" t="s">
        <v>11</v>
      </c>
      <c r="D2161" t="str">
        <f>HYPERLINK("https://us2.cloudbeds.com/connect/10074733072513#/reservations/30654467150043?display=Jason%20Killian&amp;reservation_id=30654467150043&amp;guest_id=30654467150029", "Jason Killian")</f>
        <v>Jason Killian</v>
      </c>
      <c r="E2161" t="s">
        <v>1323</v>
      </c>
      <c r="F2161" t="s">
        <v>1324</v>
      </c>
      <c r="G2161">
        <v>90.07</v>
      </c>
      <c r="H2161">
        <v>97.9</v>
      </c>
      <c r="I2161">
        <v>97.91</v>
      </c>
      <c r="J2161">
        <v>-0.01</v>
      </c>
    </row>
    <row r="2162" spans="1:10" x14ac:dyDescent="0.3">
      <c r="A2162" t="str">
        <f>HYPERLINK("https://us2.cloudbeds.com/connect/10074733072513#/reservations/30655704944797?display=YQA3ADTEU&amp;reservation_id=30655704944797", "YQA3ADTEU")</f>
        <v>YQA3ADTEU</v>
      </c>
      <c r="B2162" t="s">
        <v>10</v>
      </c>
      <c r="C2162" t="s">
        <v>14</v>
      </c>
      <c r="D2162" t="str">
        <f>HYPERLINK("https://us2.cloudbeds.com/connect/10074733072513#/reservations/30655704944797?display=Christal%20Bratcher&amp;reservation_id=30655704944797&amp;guest_id=30655704944792", "Christal Bratcher")</f>
        <v>Christal Bratcher</v>
      </c>
      <c r="E2162" t="s">
        <v>1325</v>
      </c>
      <c r="F2162" t="s">
        <v>1324</v>
      </c>
      <c r="G2162">
        <v>90.07</v>
      </c>
      <c r="H2162">
        <v>97.9</v>
      </c>
      <c r="I2162">
        <v>97.91</v>
      </c>
      <c r="J2162">
        <v>-0.01</v>
      </c>
    </row>
    <row r="2163" spans="1:10" x14ac:dyDescent="0.3">
      <c r="A2163" t="str">
        <f>HYPERLINK("https://us2.cloudbeds.com/connect/10074733072513#/reservations/30655715233947?display=YQA3J36NB&amp;reservation_id=30655715233947", "YQA3J36NB")</f>
        <v>YQA3J36NB</v>
      </c>
      <c r="B2163" t="s">
        <v>10</v>
      </c>
      <c r="C2163" t="s">
        <v>14</v>
      </c>
      <c r="D2163" t="str">
        <f>HYPERLINK("https://us2.cloudbeds.com/connect/10074733072513#/reservations/30655715233947?display=David%20Easter&amp;reservation_id=30655715233947&amp;guest_id=30655715233945", "David Easter")</f>
        <v>David Easter</v>
      </c>
      <c r="E2163" t="s">
        <v>1326</v>
      </c>
      <c r="F2163" t="s">
        <v>1324</v>
      </c>
      <c r="G2163">
        <v>90.07</v>
      </c>
      <c r="H2163">
        <v>97.9</v>
      </c>
      <c r="I2163">
        <v>97.91</v>
      </c>
      <c r="J2163">
        <v>-0.01</v>
      </c>
    </row>
    <row r="2164" spans="1:10" x14ac:dyDescent="0.3">
      <c r="A2164" t="str">
        <f>HYPERLINK("https://us2.cloudbeds.com/connect/10074733072513#/reservations/30655724179702?display=YQA3QY4BR&amp;reservation_id=30655724179702", "YQA3QY4BR")</f>
        <v>YQA3QY4BR</v>
      </c>
      <c r="B2164" t="s">
        <v>10</v>
      </c>
      <c r="C2164" t="s">
        <v>14</v>
      </c>
      <c r="D2164" t="str">
        <f>HYPERLINK("https://us2.cloudbeds.com/connect/10074733072513#/reservations/30655724179702?display=Dennis%20Bailey&amp;reservation_id=30655724179702&amp;guest_id=30655715238041", "Dennis Bailey")</f>
        <v>Dennis Bailey</v>
      </c>
      <c r="E2164" t="s">
        <v>1327</v>
      </c>
      <c r="F2164" t="s">
        <v>1324</v>
      </c>
      <c r="G2164">
        <v>90.07</v>
      </c>
      <c r="H2164">
        <v>97.9</v>
      </c>
      <c r="I2164">
        <v>97.91</v>
      </c>
      <c r="J2164">
        <v>-0.01</v>
      </c>
    </row>
    <row r="2165" spans="1:10" x14ac:dyDescent="0.3">
      <c r="A2165" t="str">
        <f>HYPERLINK("https://us2.cloudbeds.com/connect/10074733072513#/reservations/30654607290543?display=YQ988S1FZ&amp;reservation_id=30654607290543", "YQ988S1FZ")</f>
        <v>YQ988S1FZ</v>
      </c>
      <c r="B2165" t="s">
        <v>10</v>
      </c>
      <c r="C2165" t="s">
        <v>14</v>
      </c>
      <c r="D2165" t="str">
        <f>HYPERLINK("https://us2.cloudbeds.com/connect/10074733072513#/reservations/30654607290543?display=Kevin%20Murdock&amp;reservation_id=30654607290543&amp;guest_id=30654607290536", "Kevin Murdock")</f>
        <v>Kevin Murdock</v>
      </c>
      <c r="E2165" t="s">
        <v>1328</v>
      </c>
      <c r="F2165" t="s">
        <v>1329</v>
      </c>
      <c r="G2165">
        <v>87.2</v>
      </c>
      <c r="H2165">
        <v>94.78</v>
      </c>
      <c r="I2165">
        <v>94.79</v>
      </c>
      <c r="J2165">
        <v>-0.01</v>
      </c>
    </row>
    <row r="2166" spans="1:10" x14ac:dyDescent="0.3">
      <c r="A2166" t="str">
        <f>HYPERLINK("https://us2.cloudbeds.com/connect/10074733072513#/reservations/30654426149091?display=YQ93Y3H1T&amp;reservation_id=30654426149091", "YQ93Y3H1T")</f>
        <v>YQ93Y3H1T</v>
      </c>
      <c r="B2166" t="s">
        <v>10</v>
      </c>
      <c r="C2166" t="s">
        <v>42</v>
      </c>
      <c r="D2166" t="str">
        <f>HYPERLINK("https://us2.cloudbeds.com/connect/10074733072513#/reservations/30654426149091?display=Diane%20Dosdall&amp;reservation_id=30654426149091&amp;guest_id=30654426149087", "Diane Dosdall")</f>
        <v>Diane Dosdall</v>
      </c>
      <c r="E2166" t="s">
        <v>1330</v>
      </c>
      <c r="F2166" t="s">
        <v>1324</v>
      </c>
      <c r="G2166">
        <v>134.1</v>
      </c>
      <c r="H2166">
        <v>145.76</v>
      </c>
      <c r="I2166">
        <v>145.77000000000001</v>
      </c>
      <c r="J2166">
        <v>-0.01</v>
      </c>
    </row>
    <row r="2167" spans="1:10" x14ac:dyDescent="0.3">
      <c r="A2167" t="str">
        <f>HYPERLINK("https://us2.cloudbeds.com/connect/10074733072513#/reservations/30654877094118?display=YQ9F5BNWN&amp;reservation_id=30654877094118", "YQ9F5BNWN")</f>
        <v>YQ9F5BNWN</v>
      </c>
      <c r="B2167" t="s">
        <v>10</v>
      </c>
      <c r="C2167" t="s">
        <v>14</v>
      </c>
      <c r="D2167" t="str">
        <f>HYPERLINK("https://us2.cloudbeds.com/connect/10074733072513#/reservations/30654877094118?display=Martin%20Knezovich&amp;reservation_id=30654877094118&amp;guest_id=30654877094114", "Martin Knezovich")</f>
        <v>Martin Knezovich</v>
      </c>
      <c r="E2167" t="s">
        <v>1331</v>
      </c>
      <c r="F2167" t="s">
        <v>1332</v>
      </c>
      <c r="G2167">
        <v>64.150000000000006</v>
      </c>
      <c r="H2167">
        <v>69.72</v>
      </c>
      <c r="I2167">
        <v>69.73</v>
      </c>
      <c r="J2167">
        <v>-0.01</v>
      </c>
    </row>
    <row r="2168" spans="1:10" x14ac:dyDescent="0.3">
      <c r="A2168" t="str">
        <f>HYPERLINK("https://us2.cloudbeds.com/connect/10074733072513#/reservations/30654476611785?display=YQ94UYNKE&amp;reservation_id=30654476611785", "YQ94UYNKE")</f>
        <v>YQ94UYNKE</v>
      </c>
      <c r="B2168" t="s">
        <v>10</v>
      </c>
      <c r="C2168" t="s">
        <v>20</v>
      </c>
      <c r="D2168" t="str">
        <f>HYPERLINK("https://us2.cloudbeds.com/connect/10074733072513#/reservations/30654476611785?display=Phil%20Dimick&amp;reservation_id=30654476611785&amp;guest_id=30654471139506", "Phil Dimick")</f>
        <v>Phil Dimick</v>
      </c>
      <c r="E2168" t="s">
        <v>1335</v>
      </c>
      <c r="F2168" t="s">
        <v>1299</v>
      </c>
      <c r="G2168">
        <v>174.4</v>
      </c>
      <c r="H2168">
        <v>189.56</v>
      </c>
      <c r="I2168">
        <v>189.57</v>
      </c>
      <c r="J2168">
        <v>-0.01</v>
      </c>
    </row>
    <row r="2169" spans="1:10" x14ac:dyDescent="0.3">
      <c r="A2169" t="str">
        <f>HYPERLINK("https://us2.cloudbeds.com/connect/10074733072513#/reservations/30658120331509?display=YQBW14JDY&amp;reservation_id=30658120331509", "YQBW14JDY")</f>
        <v>YQBW14JDY</v>
      </c>
      <c r="B2169" t="s">
        <v>10</v>
      </c>
      <c r="C2169" t="s">
        <v>42</v>
      </c>
      <c r="D2169" t="str">
        <f>HYPERLINK("https://us2.cloudbeds.com/connect/10074733072513#/reservations/30658120331509?display=Carol%20Broomes&amp;reservation_id=30658120331509&amp;guest_id=30658120331505", "Carol Broomes")</f>
        <v>Carol Broomes</v>
      </c>
      <c r="E2169" t="s">
        <v>1336</v>
      </c>
      <c r="F2169" t="s">
        <v>1337</v>
      </c>
      <c r="G2169">
        <v>382.2</v>
      </c>
      <c r="H2169">
        <v>415.44</v>
      </c>
      <c r="I2169">
        <v>415.45</v>
      </c>
      <c r="J2169">
        <v>-0.01</v>
      </c>
    </row>
    <row r="2170" spans="1:10" x14ac:dyDescent="0.3">
      <c r="A2170" t="str">
        <f>HYPERLINK("https://us2.cloudbeds.com/connect/10074733072513#/reservations/30654889013387?display=YQ9FFDD4M&amp;reservation_id=30654889013387", "YQ9FFDD4M")</f>
        <v>YQ9FFDD4M</v>
      </c>
      <c r="B2170" t="s">
        <v>10</v>
      </c>
      <c r="C2170" t="s">
        <v>14</v>
      </c>
      <c r="D2170" t="str">
        <f>HYPERLINK("https://us2.cloudbeds.com/connect/10074733072513#/reservations/30654889013387?display=Jack%20Nokes&amp;reservation_id=30654889013387&amp;guest_id=30654883532982", "Jack Nokes")</f>
        <v>Jack Nokes</v>
      </c>
      <c r="E2170" t="s">
        <v>1338</v>
      </c>
      <c r="F2170" t="s">
        <v>1332</v>
      </c>
      <c r="G2170">
        <v>64.150000000000006</v>
      </c>
      <c r="H2170">
        <v>69.72</v>
      </c>
      <c r="I2170">
        <v>69.73</v>
      </c>
      <c r="J2170">
        <v>-0.01</v>
      </c>
    </row>
    <row r="2171" spans="1:10" x14ac:dyDescent="0.3">
      <c r="A2171" t="str">
        <f>HYPERLINK("https://us2.cloudbeds.com/connect/10074733072513#/reservations/30653113200849?display=YQ832WQ9H&amp;reservation_id=30653113200849", "YQ832WQ9H")</f>
        <v>YQ832WQ9H</v>
      </c>
      <c r="B2171" t="s">
        <v>10</v>
      </c>
      <c r="C2171" t="s">
        <v>20</v>
      </c>
      <c r="D2171" t="str">
        <f>HYPERLINK("https://us2.cloudbeds.com/connect/10074733072513#/reservations/30653113200849?display=Qiang%20Wang&amp;reservation_id=30653113200849&amp;guest_id=30653113200847", "Qiang Wang")</f>
        <v>Qiang Wang</v>
      </c>
      <c r="E2171" t="s">
        <v>1339</v>
      </c>
      <c r="F2171" t="s">
        <v>1340</v>
      </c>
      <c r="G2171">
        <v>87.2</v>
      </c>
      <c r="H2171">
        <v>94.78</v>
      </c>
      <c r="I2171">
        <v>94.79</v>
      </c>
      <c r="J2171">
        <v>-0.01</v>
      </c>
    </row>
    <row r="2172" spans="1:10" x14ac:dyDescent="0.3">
      <c r="A2172" t="str">
        <f>HYPERLINK("https://us2.cloudbeds.com/connect/10074733072513#/reservations/30654638903445?display=YQ992GNPH&amp;reservation_id=30654638903445", "YQ992GNPH")</f>
        <v>YQ992GNPH</v>
      </c>
      <c r="B2172" t="s">
        <v>10</v>
      </c>
      <c r="C2172" t="s">
        <v>121</v>
      </c>
      <c r="D2172" t="str">
        <f>HYPERLINK("https://us2.cloudbeds.com/connect/10074733072513#/reservations/30654638903445?display=James%20Nelson&amp;reservation_id=30654638903445&amp;guest_id=30654638903440", "James Nelson")</f>
        <v>James Nelson</v>
      </c>
      <c r="E2172" t="s">
        <v>1341</v>
      </c>
      <c r="F2172" t="s">
        <v>1329</v>
      </c>
      <c r="G2172">
        <v>187.2</v>
      </c>
      <c r="H2172">
        <v>203.48</v>
      </c>
      <c r="I2172">
        <v>203.49</v>
      </c>
      <c r="J2172">
        <v>-0.01</v>
      </c>
    </row>
    <row r="2173" spans="1:10" x14ac:dyDescent="0.3">
      <c r="A2173" t="str">
        <f>HYPERLINK("https://us2.cloudbeds.com/connect/10074733072513#/reservations/30655504294108?display=YQ9V67G70&amp;reservation_id=30655504294108", "YQ9V67G70")</f>
        <v>YQ9V67G70</v>
      </c>
      <c r="B2173" t="s">
        <v>10</v>
      </c>
      <c r="C2173" t="s">
        <v>11</v>
      </c>
      <c r="D2173" t="str">
        <f>HYPERLINK("https://us2.cloudbeds.com/connect/10074733072513#/reservations/30655504294108?display=Jackie%20Schoonover&amp;reservation_id=30655504294108&amp;guest_id=30655504294086", "Jackie Schoonover")</f>
        <v>Jackie Schoonover</v>
      </c>
      <c r="E2173" t="s">
        <v>1344</v>
      </c>
      <c r="F2173" t="s">
        <v>1260</v>
      </c>
      <c r="G2173">
        <v>87.2</v>
      </c>
      <c r="H2173">
        <v>94.78</v>
      </c>
      <c r="I2173">
        <v>94.79</v>
      </c>
      <c r="J2173">
        <v>-0.01</v>
      </c>
    </row>
    <row r="2174" spans="1:10" x14ac:dyDescent="0.3">
      <c r="A2174" t="str">
        <f>HYPERLINK("https://us2.cloudbeds.com/connect/10074733072513#/reservations/30655419023552?display=YQ9SR2WG2&amp;reservation_id=30655419023552", "YQ9SR2WG2")</f>
        <v>YQ9SR2WG2</v>
      </c>
      <c r="B2174" t="s">
        <v>10</v>
      </c>
      <c r="C2174" t="s">
        <v>11</v>
      </c>
      <c r="D2174" t="str">
        <f>HYPERLINK("https://us2.cloudbeds.com/connect/10074733072513#/reservations/30655419023552?display=Barbara%20Johnson&amp;reservation_id=30655419023552&amp;guest_id=30655411630305", "Barbara Johnson")</f>
        <v>Barbara Johnson</v>
      </c>
      <c r="E2174" t="s">
        <v>1345</v>
      </c>
      <c r="F2174" t="s">
        <v>1334</v>
      </c>
      <c r="G2174">
        <v>87.2</v>
      </c>
      <c r="H2174">
        <v>94.78</v>
      </c>
      <c r="I2174">
        <v>94.79</v>
      </c>
      <c r="J2174">
        <v>-0.01</v>
      </c>
    </row>
    <row r="2175" spans="1:10" x14ac:dyDescent="0.3">
      <c r="A2175" t="str">
        <f>HYPERLINK("https://us2.cloudbeds.com/connect/10074733072513#/reservations/30655198453981?display=YQ9NCB19C&amp;reservation_id=30655198453981", "YQ9NCB19C")</f>
        <v>YQ9NCB19C</v>
      </c>
      <c r="B2175" t="s">
        <v>10</v>
      </c>
      <c r="C2175" t="s">
        <v>20</v>
      </c>
      <c r="D2175" t="str">
        <f>HYPERLINK("https://us2.cloudbeds.com/connect/10074733072513#/reservations/30655198453981?display=Marco%20Rojas&amp;reservation_id=30655198453981&amp;guest_id=30655194239173", "Marco Rojas")</f>
        <v>Marco Rojas</v>
      </c>
      <c r="E2175" t="s">
        <v>1346</v>
      </c>
      <c r="F2175" t="s">
        <v>1329</v>
      </c>
      <c r="G2175">
        <v>103.2</v>
      </c>
      <c r="H2175">
        <v>112.17</v>
      </c>
      <c r="I2175">
        <v>112.18</v>
      </c>
      <c r="J2175">
        <v>-0.01</v>
      </c>
    </row>
    <row r="2176" spans="1:10" x14ac:dyDescent="0.3">
      <c r="A2176" t="str">
        <f>HYPERLINK("https://us2.cloudbeds.com/connect/10074733072513#/reservations/30656929587408?display=YQB1K2CG2&amp;reservation_id=30656929587408", "YQB1K2CG2")</f>
        <v>YQB1K2CG2</v>
      </c>
      <c r="B2176" t="s">
        <v>10</v>
      </c>
      <c r="C2176" t="s">
        <v>121</v>
      </c>
      <c r="D2176" t="str">
        <f>HYPERLINK("https://us2.cloudbeds.com/connect/10074733072513#/reservations/30656929587408?display=Ramon%20Bautista&amp;reservation_id=30656929587408&amp;guest_id=30656929587403", "Ramon Bautista")</f>
        <v>Ramon Bautista</v>
      </c>
      <c r="E2176" t="s">
        <v>1347</v>
      </c>
      <c r="F2176" t="s">
        <v>1299</v>
      </c>
      <c r="G2176">
        <v>196.2</v>
      </c>
      <c r="H2176">
        <v>213.26</v>
      </c>
      <c r="I2176">
        <v>213.27</v>
      </c>
      <c r="J2176">
        <v>-0.01</v>
      </c>
    </row>
    <row r="2177" spans="1:10" x14ac:dyDescent="0.3">
      <c r="A2177" t="str">
        <f>HYPERLINK("https://us2.cloudbeds.com/connect/10074733072513#/reservations/30654910247095?display=YQ9G0A8GC&amp;reservation_id=30654910247095", "YQ9G0A8GC")</f>
        <v>YQ9G0A8GC</v>
      </c>
      <c r="B2177" t="s">
        <v>10</v>
      </c>
      <c r="C2177" t="s">
        <v>11</v>
      </c>
      <c r="D2177" t="str">
        <f>HYPERLINK("https://us2.cloudbeds.com/connect/10074733072513#/reservations/30654910247095?display=Seth%20Streebin&amp;reservation_id=30654910247095&amp;guest_id=30654904725727", "Seth Streebin")</f>
        <v>Seth Streebin</v>
      </c>
      <c r="E2177" t="s">
        <v>1348</v>
      </c>
      <c r="F2177" t="s">
        <v>1332</v>
      </c>
      <c r="G2177">
        <v>64.150000000000006</v>
      </c>
      <c r="H2177">
        <v>69.72</v>
      </c>
      <c r="I2177">
        <v>69.73</v>
      </c>
      <c r="J2177">
        <v>-0.01</v>
      </c>
    </row>
    <row r="2178" spans="1:10" x14ac:dyDescent="0.3">
      <c r="A2178" t="str">
        <f>HYPERLINK("https://us2.cloudbeds.com/connect/10074733072513#/reservations/30654904721633?display=YQ9FSYGK4&amp;reservation_id=30654904721633", "YQ9FSYGK4")</f>
        <v>YQ9FSYGK4</v>
      </c>
      <c r="B2178" t="s">
        <v>10</v>
      </c>
      <c r="C2178" t="s">
        <v>14</v>
      </c>
      <c r="D2178" t="str">
        <f>HYPERLINK("https://us2.cloudbeds.com/connect/10074733072513#/reservations/30654904721633?display=Emma%20Berg&amp;reservation_id=30654904721633&amp;guest_id=30654898684041", "Emma Berg")</f>
        <v>Emma Berg</v>
      </c>
      <c r="E2178" t="s">
        <v>1349</v>
      </c>
      <c r="F2178" t="s">
        <v>1332</v>
      </c>
      <c r="G2178">
        <v>64.150000000000006</v>
      </c>
      <c r="H2178">
        <v>69.72</v>
      </c>
      <c r="I2178">
        <v>69.73</v>
      </c>
      <c r="J2178">
        <v>-0.01</v>
      </c>
    </row>
    <row r="2179" spans="1:10" x14ac:dyDescent="0.3">
      <c r="A2179" t="str">
        <f>HYPERLINK("https://us2.cloudbeds.com/connect/10074733072513#/reservations/30654898679947?display=YQ9FNXCMZ&amp;reservation_id=30654898679947", "YQ9FNXCMZ")</f>
        <v>YQ9FNXCMZ</v>
      </c>
      <c r="B2179" t="s">
        <v>10</v>
      </c>
      <c r="C2179" t="s">
        <v>14</v>
      </c>
      <c r="D2179" t="str">
        <f>HYPERLINK("https://us2.cloudbeds.com/connect/10074733072513#/reservations/30654898679947?display=Rafael%20Medinabujalance&amp;reservation_id=30654898679947&amp;guest_id=30654898679945", "Rafael Medinabujalance")</f>
        <v>Rafael Medinabujalance</v>
      </c>
      <c r="E2179" t="s">
        <v>1350</v>
      </c>
      <c r="F2179" t="s">
        <v>1332</v>
      </c>
      <c r="G2179">
        <v>64.150000000000006</v>
      </c>
      <c r="H2179">
        <v>69.72</v>
      </c>
      <c r="I2179">
        <v>69.73</v>
      </c>
      <c r="J2179">
        <v>-0.01</v>
      </c>
    </row>
    <row r="2180" spans="1:10" x14ac:dyDescent="0.3">
      <c r="A2180" t="str">
        <f>HYPERLINK("https://us2.cloudbeds.com/connect/10074733072513#/reservations/30657775452364?display=YQBN7AQWF&amp;reservation_id=30657775452364", "YQBN7AQWF")</f>
        <v>YQBN7AQWF</v>
      </c>
      <c r="B2180" t="s">
        <v>10</v>
      </c>
      <c r="C2180" t="s">
        <v>42</v>
      </c>
      <c r="D2180" t="str">
        <f>HYPERLINK("https://us2.cloudbeds.com/connect/10074733072513#/reservations/30657775452364?display=Katie%20Christensen&amp;reservation_id=30657775452364&amp;guest_id=30657766195387", "Katie Christensen")</f>
        <v>Katie Christensen</v>
      </c>
      <c r="E2180" t="s">
        <v>1351</v>
      </c>
      <c r="F2180" t="s">
        <v>1352</v>
      </c>
      <c r="G2180">
        <v>250.2</v>
      </c>
      <c r="H2180">
        <v>271.95999999999998</v>
      </c>
      <c r="I2180">
        <v>271.97000000000003</v>
      </c>
      <c r="J2180">
        <v>-0.01</v>
      </c>
    </row>
    <row r="2181" spans="1:10" x14ac:dyDescent="0.3">
      <c r="A2181" t="str">
        <f>HYPERLINK("https://us2.cloudbeds.com/connect/10074733072513#/reservations/30657000472800?display=YQB3DRSM8&amp;reservation_id=30657000472800", "YQB3DRSM8")</f>
        <v>YQB3DRSM8</v>
      </c>
      <c r="B2181" t="s">
        <v>10</v>
      </c>
      <c r="C2181" t="s">
        <v>20</v>
      </c>
      <c r="D2181" t="str">
        <f>HYPERLINK("https://us2.cloudbeds.com/connect/10074733072513#/reservations/30657000472800?display=Doug%20Olson&amp;reservation_id=30657000472800&amp;guest_id=30656992493700", "Doug Olson")</f>
        <v>Doug Olson</v>
      </c>
      <c r="E2181" t="s">
        <v>1356</v>
      </c>
      <c r="F2181" t="s">
        <v>1293</v>
      </c>
      <c r="G2181">
        <v>87.2</v>
      </c>
      <c r="H2181">
        <v>94.78</v>
      </c>
      <c r="I2181">
        <v>94.79</v>
      </c>
      <c r="J2181">
        <v>-0.01</v>
      </c>
    </row>
    <row r="2182" spans="1:10" x14ac:dyDescent="0.3">
      <c r="A2182" t="str">
        <f>HYPERLINK("https://us2.cloudbeds.com/connect/10074733072513#/reservations/30656697479305?display=YQASMBKZ6&amp;reservation_id=30656697479305", "YQASMBKZ6")</f>
        <v>YQASMBKZ6</v>
      </c>
      <c r="B2182" t="s">
        <v>10</v>
      </c>
      <c r="C2182" t="s">
        <v>42</v>
      </c>
      <c r="D2182" t="str">
        <f>HYPERLINK("https://us2.cloudbeds.com/connect/10074733072513#/reservations/30656697479305?display=Kelly%20Koester&amp;reservation_id=30656697479305&amp;guest_id=30656697479303", "Kelly Koester")</f>
        <v>Kelly Koester</v>
      </c>
      <c r="E2182" t="s">
        <v>1357</v>
      </c>
      <c r="F2182" t="s">
        <v>1293</v>
      </c>
      <c r="G2182">
        <v>294.3</v>
      </c>
      <c r="H2182">
        <v>319.89</v>
      </c>
      <c r="I2182">
        <v>319.89999999999998</v>
      </c>
      <c r="J2182">
        <v>-0.01</v>
      </c>
    </row>
    <row r="2183" spans="1:10" x14ac:dyDescent="0.3">
      <c r="A2183" t="str">
        <f>HYPERLINK("https://us2.cloudbeds.com/connect/10074733072513#/reservations/30653099315412?display=YQ82Z9DYN&amp;reservation_id=30653099315412", "YQ82Z9DYN")</f>
        <v>YQ82Z9DYN</v>
      </c>
      <c r="B2183" t="s">
        <v>10</v>
      </c>
      <c r="C2183" t="s">
        <v>42</v>
      </c>
      <c r="D2183" t="str">
        <f>HYPERLINK("https://us2.cloudbeds.com/connect/10074733072513#/reservations/30653099315412?display=Lilly%20Mckenly&amp;reservation_id=30653099315412&amp;guest_id=30653099315401", "Lilly Mckenly")</f>
        <v>Lilly Mckenly</v>
      </c>
      <c r="E2183" t="s">
        <v>1358</v>
      </c>
      <c r="F2183" t="s">
        <v>1340</v>
      </c>
      <c r="G2183">
        <v>196.2</v>
      </c>
      <c r="H2183">
        <v>213.26</v>
      </c>
      <c r="I2183">
        <v>213.27</v>
      </c>
      <c r="J2183">
        <v>-0.01</v>
      </c>
    </row>
    <row r="2184" spans="1:10" x14ac:dyDescent="0.3">
      <c r="A2184" t="str">
        <f>HYPERLINK("https://us2.cloudbeds.com/connect/10074733072513#/reservations/30656926482676?display=YQB1HEWG9&amp;reservation_id=30656926482676", "YQB1HEWG9")</f>
        <v>YQB1HEWG9</v>
      </c>
      <c r="B2184" t="s">
        <v>10</v>
      </c>
      <c r="C2184" t="s">
        <v>20</v>
      </c>
      <c r="D2184" t="str">
        <f>HYPERLINK("https://us2.cloudbeds.com/connect/10074733072513#/reservations/30656926482676?display=Casey%20Wunsch&amp;reservation_id=30656926482676&amp;guest_id=30656921419928", "Casey Wunsch")</f>
        <v>Casey Wunsch</v>
      </c>
      <c r="E2184" t="s">
        <v>1363</v>
      </c>
      <c r="F2184" t="s">
        <v>1364</v>
      </c>
      <c r="G2184">
        <v>103.2</v>
      </c>
      <c r="H2184">
        <v>112.17</v>
      </c>
      <c r="I2184">
        <v>112.18</v>
      </c>
      <c r="J2184">
        <v>-0.01</v>
      </c>
    </row>
    <row r="2185" spans="1:10" x14ac:dyDescent="0.3">
      <c r="A2185" t="str">
        <f>HYPERLINK("https://us2.cloudbeds.com/connect/10074733072513#/reservations/30657112440996?display=YQB698X3T&amp;reservation_id=30657112440996", "YQB698X3T")</f>
        <v>YQB698X3T</v>
      </c>
      <c r="B2185" t="s">
        <v>10</v>
      </c>
      <c r="C2185" t="s">
        <v>14</v>
      </c>
      <c r="D2185" t="str">
        <f>HYPERLINK("https://us2.cloudbeds.com/connect/10074733072513#/reservations/30657112440996?display=Audrey%20Mast&amp;reservation_id=30657112440996&amp;guest_id=30657112440992", "Audrey Mast")</f>
        <v>Audrey Mast</v>
      </c>
      <c r="E2185" t="s">
        <v>1365</v>
      </c>
      <c r="F2185" t="s">
        <v>1012</v>
      </c>
      <c r="G2185">
        <v>87.2</v>
      </c>
      <c r="H2185">
        <v>94.78</v>
      </c>
      <c r="I2185">
        <v>94.79</v>
      </c>
      <c r="J2185">
        <v>-0.01</v>
      </c>
    </row>
    <row r="2186" spans="1:10" x14ac:dyDescent="0.3">
      <c r="A2186" t="str">
        <f>HYPERLINK("https://us2.cloudbeds.com/connect/10074733072513#/reservations/30656921415824?display=YQB1D5WZA&amp;reservation_id=30656921415824", "YQB1D5WZA")</f>
        <v>YQB1D5WZA</v>
      </c>
      <c r="B2186" t="s">
        <v>10</v>
      </c>
      <c r="C2186" t="s">
        <v>20</v>
      </c>
      <c r="D2186" t="str">
        <f>HYPERLINK("https://us2.cloudbeds.com/connect/10074733072513#/reservations/30656921415824?display=Brandi%20Ritter&amp;reservation_id=30656921415824&amp;guest_id=30656915271875", "Brandi Ritter")</f>
        <v>Brandi Ritter</v>
      </c>
      <c r="E2186" t="s">
        <v>1366</v>
      </c>
      <c r="F2186" t="s">
        <v>1364</v>
      </c>
      <c r="G2186">
        <v>103.2</v>
      </c>
      <c r="H2186">
        <v>112.17</v>
      </c>
      <c r="I2186">
        <v>112.18</v>
      </c>
      <c r="J2186">
        <v>-0.01</v>
      </c>
    </row>
    <row r="2187" spans="1:10" x14ac:dyDescent="0.3">
      <c r="A2187" t="str">
        <f>HYPERLINK("https://us2.cloudbeds.com/connect/10074733072513#/reservations/30656937455818?display=YQB1QNARN&amp;reservation_id=30656937455818", "YQB1QNARN")</f>
        <v>YQB1QNARN</v>
      </c>
      <c r="B2187" t="s">
        <v>10</v>
      </c>
      <c r="C2187" t="s">
        <v>20</v>
      </c>
      <c r="D2187" t="str">
        <f>HYPERLINK("https://us2.cloudbeds.com/connect/10074733072513#/reservations/30656937455818?display=Matt%20Tomczak%20Agroecopower%20Llc&amp;reservation_id=30656937455818&amp;guest_id=30656937455815", "Matt Tomczak Agroecopower Llc")</f>
        <v>Matt Tomczak Agroecopower Llc</v>
      </c>
      <c r="E2187" t="s">
        <v>1367</v>
      </c>
      <c r="F2187" t="s">
        <v>1364</v>
      </c>
      <c r="G2187">
        <v>87.2</v>
      </c>
      <c r="H2187">
        <v>94.78</v>
      </c>
      <c r="I2187">
        <v>94.79</v>
      </c>
      <c r="J2187">
        <v>-0.01</v>
      </c>
    </row>
    <row r="2188" spans="1:10" x14ac:dyDescent="0.3">
      <c r="A2188" t="str">
        <f>HYPERLINK("https://us2.cloudbeds.com/connect/10074733072513#/reservations/30656941801636?display=YQB1UC8G6&amp;reservation_id=30656941801636", "YQB1UC8G6")</f>
        <v>YQB1UC8G6</v>
      </c>
      <c r="B2188" t="s">
        <v>10</v>
      </c>
      <c r="C2188" t="s">
        <v>42</v>
      </c>
      <c r="D2188" t="str">
        <f>HYPERLINK("https://us2.cloudbeds.com/connect/10074733072513#/reservations/30656941801636?display=Josh%20Stommer&amp;reservation_id=30656941801636&amp;guest_id=30656941801631", "Josh Stommer")</f>
        <v>Josh Stommer</v>
      </c>
      <c r="E2188" t="s">
        <v>1368</v>
      </c>
      <c r="F2188" t="s">
        <v>1364</v>
      </c>
      <c r="G2188">
        <v>87.2</v>
      </c>
      <c r="H2188">
        <v>94.78</v>
      </c>
      <c r="I2188">
        <v>94.79</v>
      </c>
      <c r="J2188">
        <v>-0.01</v>
      </c>
    </row>
    <row r="2189" spans="1:10" x14ac:dyDescent="0.3">
      <c r="A2189" t="str">
        <f>HYPERLINK("https://us2.cloudbeds.com/connect/10074733072513#/reservations/30656904323212?display=YQB0VPC1C&amp;reservation_id=30656904323212", "YQB0VPC1C")</f>
        <v>YQB0VPC1C</v>
      </c>
      <c r="B2189" t="s">
        <v>10</v>
      </c>
      <c r="C2189" t="s">
        <v>42</v>
      </c>
      <c r="D2189" t="str">
        <f>HYPERLINK("https://us2.cloudbeds.com/connect/10074733072513#/reservations/30656904323212?display=Steven%20Cox&amp;reservation_id=30656904323212&amp;guest_id=30656904319120", "Steven Cox")</f>
        <v>Steven Cox</v>
      </c>
      <c r="E2189" t="s">
        <v>1369</v>
      </c>
      <c r="F2189" t="s">
        <v>1364</v>
      </c>
      <c r="G2189">
        <v>196.2</v>
      </c>
      <c r="H2189">
        <v>213.26</v>
      </c>
      <c r="I2189">
        <v>213.27</v>
      </c>
      <c r="J2189">
        <v>-0.01</v>
      </c>
    </row>
    <row r="2190" spans="1:10" x14ac:dyDescent="0.3">
      <c r="A2190" t="str">
        <f>HYPERLINK("https://us2.cloudbeds.com/connect/10074733072513#/reservations/30656967467217?display=YQB2J0EH2&amp;reservation_id=30656967467217", "YQB2J0EH2")</f>
        <v>YQB2J0EH2</v>
      </c>
      <c r="B2190" t="s">
        <v>10</v>
      </c>
      <c r="C2190" t="s">
        <v>42</v>
      </c>
      <c r="D2190" t="str">
        <f>HYPERLINK("https://us2.cloudbeds.com/connect/10074733072513#/reservations/30656967467217?display=Denning%20Transportation%20.&amp;reservation_id=30656967467217&amp;guest_id=30656967463128", "Denning Transportation .")</f>
        <v>Denning Transportation .</v>
      </c>
      <c r="E2190" t="s">
        <v>1370</v>
      </c>
      <c r="F2190" t="s">
        <v>1334</v>
      </c>
      <c r="G2190">
        <v>196.2</v>
      </c>
      <c r="H2190">
        <v>213.26</v>
      </c>
      <c r="I2190">
        <v>213.27</v>
      </c>
      <c r="J2190">
        <v>-0.01</v>
      </c>
    </row>
    <row r="2191" spans="1:10" x14ac:dyDescent="0.3">
      <c r="A2191" t="str">
        <f>HYPERLINK("https://us2.cloudbeds.com/connect/10074733072513#/reservations/30656941805720?display=YQB1UCC7V&amp;reservation_id=30656941805720", "YQB1UCC7V")</f>
        <v>YQB1UCC7V</v>
      </c>
      <c r="B2191" t="s">
        <v>10</v>
      </c>
      <c r="C2191" t="s">
        <v>42</v>
      </c>
      <c r="D2191" t="str">
        <f>HYPERLINK("https://us2.cloudbeds.com/connect/10074733072513#/reservations/30656941805720?display=Trent%20Kruckenberg&amp;reservation_id=30656941805720&amp;guest_id=30656941801634", "Trent Kruckenberg")</f>
        <v>Trent Kruckenberg</v>
      </c>
      <c r="E2191" t="s">
        <v>1371</v>
      </c>
      <c r="F2191" t="s">
        <v>1277</v>
      </c>
      <c r="G2191">
        <v>196.2</v>
      </c>
      <c r="H2191">
        <v>213.26</v>
      </c>
      <c r="I2191">
        <v>213.27</v>
      </c>
      <c r="J2191">
        <v>-0.01</v>
      </c>
    </row>
    <row r="2192" spans="1:10" x14ac:dyDescent="0.3">
      <c r="A2192" t="str">
        <f>HYPERLINK("https://us2.cloudbeds.com/connect/10074733072513#/reservations/30654665261262?display=YQ99ZZ5F8&amp;reservation_id=30654665261262", "YQ99ZZ5F8")</f>
        <v>YQ99ZZ5F8</v>
      </c>
      <c r="B2192" t="s">
        <v>10</v>
      </c>
      <c r="C2192" t="s">
        <v>42</v>
      </c>
      <c r="D2192" t="str">
        <f>HYPERLINK("https://us2.cloudbeds.com/connect/10074733072513#/reservations/30654665261262?display=Deb&amp;%20Craig%20Anderson&amp;reservation_id=30654665261262&amp;guest_id=30654665261255", "Deb&amp; Craig Anderson")</f>
        <v>Deb&amp; Craig Anderson</v>
      </c>
      <c r="E2192" t="s">
        <v>1372</v>
      </c>
      <c r="F2192" t="s">
        <v>1373</v>
      </c>
      <c r="G2192">
        <v>127.2</v>
      </c>
      <c r="H2192">
        <v>138.26</v>
      </c>
      <c r="I2192">
        <v>138.27000000000001</v>
      </c>
      <c r="J2192">
        <v>-0.01</v>
      </c>
    </row>
    <row r="2193" spans="1:10" x14ac:dyDescent="0.3">
      <c r="A2193" t="str">
        <f>HYPERLINK("https://us2.cloudbeds.com/connect/10074733072513#/reservations/30657072853188?display=YQB58SVMA&amp;reservation_id=30657072853188", "YQB58SVMA")</f>
        <v>YQB58SVMA</v>
      </c>
      <c r="B2193" t="s">
        <v>10</v>
      </c>
      <c r="C2193" t="s">
        <v>42</v>
      </c>
      <c r="D2193" t="str">
        <f>HYPERLINK("https://us2.cloudbeds.com/connect/10074733072513#/reservations/30657072853188?display=Sandy%20Sill&amp;reservation_id=30657072853188&amp;guest_id=30657072849097", "Sandy Sill")</f>
        <v>Sandy Sill</v>
      </c>
      <c r="E2193" t="s">
        <v>1374</v>
      </c>
      <c r="F2193" t="s">
        <v>1012</v>
      </c>
      <c r="G2193">
        <v>87.2</v>
      </c>
      <c r="H2193">
        <v>94.78</v>
      </c>
      <c r="I2193">
        <v>94.79</v>
      </c>
      <c r="J2193">
        <v>-0.01</v>
      </c>
    </row>
    <row r="2194" spans="1:10" x14ac:dyDescent="0.3">
      <c r="A2194" t="str">
        <f>HYPERLINK("https://us2.cloudbeds.com/connect/10074733072513#/reservations/30654687355108?display=YQ9AABVYN&amp;reservation_id=30654687355108", "YQ9AABVYN")</f>
        <v>YQ9AABVYN</v>
      </c>
      <c r="B2194" t="s">
        <v>10</v>
      </c>
      <c r="C2194" t="s">
        <v>11</v>
      </c>
      <c r="D2194" t="str">
        <f>HYPERLINK("https://us2.cloudbeds.com/connect/10074733072513#/reservations/30654687355108?display=Austin%20Zahn&amp;reservation_id=30654687355108&amp;guest_id=30654682337431", "Austin Zahn")</f>
        <v>Austin Zahn</v>
      </c>
      <c r="E2194" t="s">
        <v>1375</v>
      </c>
      <c r="F2194" t="s">
        <v>1373</v>
      </c>
      <c r="G2194">
        <v>280.47000000000003</v>
      </c>
      <c r="H2194">
        <v>304.86</v>
      </c>
      <c r="I2194">
        <v>304.87</v>
      </c>
      <c r="J2194">
        <v>-0.01</v>
      </c>
    </row>
    <row r="2195" spans="1:10" x14ac:dyDescent="0.3">
      <c r="A2195" t="str">
        <f>HYPERLINK("https://us2.cloudbeds.com/connect/10074733072513#/reservations/30655784947947?display=YQA5BT37Q&amp;reservation_id=30655784947947", "YQA5BT37Q")</f>
        <v>YQA5BT37Q</v>
      </c>
      <c r="B2195" t="s">
        <v>10</v>
      </c>
      <c r="C2195" t="s">
        <v>42</v>
      </c>
      <c r="D2195" t="str">
        <f>HYPERLINK("https://us2.cloudbeds.com/connect/10074733072513#/reservations/30655784947947?display=Hutton%20Tom&amp;reservation_id=30655784947947&amp;guest_id=30655784947945", "Hutton Tom")</f>
        <v>Hutton Tom</v>
      </c>
      <c r="E2195" t="s">
        <v>1376</v>
      </c>
      <c r="F2195" t="s">
        <v>986</v>
      </c>
      <c r="G2195">
        <v>268.2</v>
      </c>
      <c r="H2195">
        <v>291.52</v>
      </c>
      <c r="I2195">
        <v>291.52999999999997</v>
      </c>
      <c r="J2195">
        <v>-0.01</v>
      </c>
    </row>
    <row r="2196" spans="1:10" x14ac:dyDescent="0.3">
      <c r="A2196" t="str">
        <f>HYPERLINK("https://us2.cloudbeds.com/connect/10074733072513#/reservations/30654673043617?display=YQ99V9NQ6&amp;reservation_id=30654673043617", "YQ99V9NQ6")</f>
        <v>YQ99V9NQ6</v>
      </c>
      <c r="B2196" t="s">
        <v>10</v>
      </c>
      <c r="C2196" t="s">
        <v>42</v>
      </c>
      <c r="D2196" t="str">
        <f>HYPERLINK("https://us2.cloudbeds.com/connect/10074733072513#/reservations/30654673043617?display=Rona%20Volmer&amp;reservation_id=30654673043617&amp;guest_id=30654673039533", "Rona Volmer")</f>
        <v>Rona Volmer</v>
      </c>
      <c r="E2196" t="s">
        <v>1377</v>
      </c>
      <c r="F2196" t="s">
        <v>1373</v>
      </c>
      <c r="G2196">
        <v>134.1</v>
      </c>
      <c r="H2196">
        <v>145.76</v>
      </c>
      <c r="I2196">
        <v>145.77000000000001</v>
      </c>
      <c r="J2196">
        <v>-0.01</v>
      </c>
    </row>
    <row r="2197" spans="1:10" x14ac:dyDescent="0.3">
      <c r="A2197" t="str">
        <f>HYPERLINK("https://us2.cloudbeds.com/connect/10074733072513#/reservations/30654712697000?display=YQ9AVZ4ES&amp;reservation_id=30654712697000", "YQ9AVZ4ES")</f>
        <v>YQ9AVZ4ES</v>
      </c>
      <c r="B2197" t="s">
        <v>10</v>
      </c>
      <c r="C2197" t="s">
        <v>14</v>
      </c>
      <c r="D2197" t="str">
        <f>HYPERLINK("https://us2.cloudbeds.com/connect/10074733072513#/reservations/30654712697000?display=Jessica%20Johnston&amp;reservation_id=30654712697000&amp;guest_id=30654704857304", "Jessica Johnston")</f>
        <v>Jessica Johnston</v>
      </c>
      <c r="E2197" t="s">
        <v>1378</v>
      </c>
      <c r="F2197" t="s">
        <v>1373</v>
      </c>
      <c r="G2197">
        <v>90.07</v>
      </c>
      <c r="H2197">
        <v>97.9</v>
      </c>
      <c r="I2197">
        <v>97.91</v>
      </c>
      <c r="J2197">
        <v>-0.01</v>
      </c>
    </row>
    <row r="2198" spans="1:10" x14ac:dyDescent="0.3">
      <c r="A2198" t="str">
        <f>HYPERLINK("https://us2.cloudbeds.com/connect/10074733072513#/reservations/30654704853210?display=YQ9AP3SN8&amp;reservation_id=30654704853210", "YQ9AP3SN8")</f>
        <v>YQ9AP3SN8</v>
      </c>
      <c r="B2198" t="s">
        <v>10</v>
      </c>
      <c r="C2198" t="s">
        <v>14</v>
      </c>
      <c r="D2198" t="str">
        <f>HYPERLINK("https://us2.cloudbeds.com/connect/10074733072513#/reservations/30654704853210?display=Brittany%20Kinser&amp;reservation_id=30654704853210&amp;guest_id=30654704853208", "Brittany Kinser")</f>
        <v>Brittany Kinser</v>
      </c>
      <c r="E2198" t="s">
        <v>1379</v>
      </c>
      <c r="F2198" t="s">
        <v>1373</v>
      </c>
      <c r="G2198">
        <v>90.07</v>
      </c>
      <c r="H2198">
        <v>97.9</v>
      </c>
      <c r="I2198">
        <v>97.91</v>
      </c>
      <c r="J2198">
        <v>-0.01</v>
      </c>
    </row>
    <row r="2199" spans="1:10" x14ac:dyDescent="0.3">
      <c r="A2199" t="str">
        <f>HYPERLINK("https://us2.cloudbeds.com/connect/10074733072513#/reservations/30655596851427?display=YQA0X9158&amp;reservation_id=30655596851427", "YQA0X9158")</f>
        <v>YQA0X9158</v>
      </c>
      <c r="B2199" t="s">
        <v>10</v>
      </c>
      <c r="C2199" t="s">
        <v>121</v>
      </c>
      <c r="D2199" t="str">
        <f>HYPERLINK("https://us2.cloudbeds.com/connect/10074733072513#/reservations/30655596851427?display=Jamie%20Hoffman&amp;reservation_id=30655596851427&amp;guest_id=30655596851422", "Jamie Hoffman")</f>
        <v>Jamie Hoffman</v>
      </c>
      <c r="E2199" t="s">
        <v>1382</v>
      </c>
      <c r="F2199" t="s">
        <v>1189</v>
      </c>
      <c r="G2199">
        <v>90.07</v>
      </c>
      <c r="H2199">
        <v>97.9</v>
      </c>
      <c r="I2199">
        <v>97.91</v>
      </c>
      <c r="J2199">
        <v>-0.01</v>
      </c>
    </row>
    <row r="2200" spans="1:10" x14ac:dyDescent="0.3">
      <c r="A2200" t="str">
        <f>HYPERLINK("https://us2.cloudbeds.com/connect/10074733072513#/reservations/30655859196056?display=YQA78G5AG&amp;reservation_id=30655859196056", "YQA78G5AG")</f>
        <v>YQA78G5AG</v>
      </c>
      <c r="B2200" t="s">
        <v>10</v>
      </c>
      <c r="C2200" t="s">
        <v>14</v>
      </c>
      <c r="D2200" t="str">
        <f>HYPERLINK("https://us2.cloudbeds.com/connect/10074733072513#/reservations/30655859196056?display=Pamela%20Breaux&amp;reservation_id=30655859196056&amp;guest_id=30655859196054", "Pamela Breaux")</f>
        <v>Pamela Breaux</v>
      </c>
      <c r="E2200" t="s">
        <v>1383</v>
      </c>
      <c r="F2200" t="s">
        <v>1384</v>
      </c>
      <c r="G2200">
        <v>90.07</v>
      </c>
      <c r="H2200">
        <v>97.9</v>
      </c>
      <c r="I2200">
        <v>97.91</v>
      </c>
      <c r="J2200">
        <v>-0.01</v>
      </c>
    </row>
    <row r="2201" spans="1:10" x14ac:dyDescent="0.3">
      <c r="A2201" t="str">
        <f>HYPERLINK("https://us2.cloudbeds.com/connect/10074733072513#/reservations/30660871348456?display=YQE3ASMPH&amp;reservation_id=30660871348456", "YQE3ASMPH")</f>
        <v>YQE3ASMPH</v>
      </c>
      <c r="B2201" t="s">
        <v>10</v>
      </c>
      <c r="C2201" t="s">
        <v>20</v>
      </c>
      <c r="D2201" t="str">
        <f>HYPERLINK("https://us2.cloudbeds.com/connect/10074733072513#/reservations/30660871348456?display=Jamie%20Davies&amp;reservation_id=30660871348456&amp;guest_id=30660865446107", "Jamie Davies")</f>
        <v>Jamie Davies</v>
      </c>
      <c r="E2201" t="s">
        <v>1385</v>
      </c>
      <c r="F2201" t="s">
        <v>1386</v>
      </c>
      <c r="G2201">
        <v>87.2</v>
      </c>
      <c r="H2201">
        <v>94.78</v>
      </c>
      <c r="I2201">
        <v>94.79</v>
      </c>
      <c r="J2201">
        <v>-0.01</v>
      </c>
    </row>
    <row r="2202" spans="1:10" x14ac:dyDescent="0.3">
      <c r="A2202" t="str">
        <f>HYPERLINK("https://us2.cloudbeds.com/connect/10074733072513#/reservations/30655802605794?display=YQA5QPEW2&amp;reservation_id=30655802605794", "YQA5QPEW2")</f>
        <v>YQA5QPEW2</v>
      </c>
      <c r="B2202" t="s">
        <v>10</v>
      </c>
      <c r="C2202" t="s">
        <v>20</v>
      </c>
      <c r="D2202" t="str">
        <f>HYPERLINK("https://us2.cloudbeds.com/connect/10074733072513#/reservations/30655802605794?display=Kathy%20Tilton&amp;reservation_id=30655802605794&amp;guest_id=30655802605792", "Kathy Tilton")</f>
        <v>Kathy Tilton</v>
      </c>
      <c r="E2202" t="s">
        <v>1387</v>
      </c>
      <c r="F2202" t="s">
        <v>1388</v>
      </c>
      <c r="G2202">
        <v>127.2</v>
      </c>
      <c r="H2202">
        <v>138.26</v>
      </c>
      <c r="I2202">
        <v>138.27000000000001</v>
      </c>
      <c r="J2202">
        <v>-0.01</v>
      </c>
    </row>
    <row r="2203" spans="1:10" x14ac:dyDescent="0.3">
      <c r="A2203" t="str">
        <f>HYPERLINK("https://us2.cloudbeds.com/connect/10074733072513#/reservations/30655827767541?display=YQA6EWKB8&amp;reservation_id=30655827767541", "YQA6EWKB8")</f>
        <v>YQA6EWKB8</v>
      </c>
      <c r="B2203" t="s">
        <v>10</v>
      </c>
      <c r="C2203" t="s">
        <v>11</v>
      </c>
      <c r="D2203" t="str">
        <f>HYPERLINK("https://us2.cloudbeds.com/connect/10074733072513#/reservations/30655827767541?display=Richard%20Iverson&amp;reservation_id=30655827767541&amp;guest_id=30655827767494", "Richard Iverson")</f>
        <v>Richard Iverson</v>
      </c>
      <c r="E2203" t="s">
        <v>1389</v>
      </c>
      <c r="F2203" t="s">
        <v>1388</v>
      </c>
      <c r="G2203">
        <v>90.07</v>
      </c>
      <c r="H2203">
        <v>97.9</v>
      </c>
      <c r="I2203">
        <v>97.91</v>
      </c>
      <c r="J2203">
        <v>-0.01</v>
      </c>
    </row>
    <row r="2204" spans="1:10" x14ac:dyDescent="0.3">
      <c r="A2204" t="str">
        <f>HYPERLINK("https://us2.cloudbeds.com/connect/10074733072513#/reservations/30655444406494?display=YQ9TYZ0WR&amp;reservation_id=30655444406494", "YQ9TYZ0WR")</f>
        <v>YQ9TYZ0WR</v>
      </c>
      <c r="B2204" t="s">
        <v>10</v>
      </c>
      <c r="C2204" t="s">
        <v>20</v>
      </c>
      <c r="D2204" t="str">
        <f>HYPERLINK("https://us2.cloudbeds.com/connect/10074733072513#/reservations/30655444406494?display=Laura%20Stahl&amp;reservation_id=30655444406494&amp;guest_id=30655444406489", "Laura Stahl")</f>
        <v>Laura Stahl</v>
      </c>
      <c r="E2204" t="s">
        <v>1390</v>
      </c>
      <c r="F2204" t="s">
        <v>1384</v>
      </c>
      <c r="G2204">
        <v>140.1</v>
      </c>
      <c r="H2204">
        <v>152.28</v>
      </c>
      <c r="I2204">
        <v>152.29</v>
      </c>
      <c r="J2204">
        <v>-0.01</v>
      </c>
    </row>
    <row r="2205" spans="1:10" x14ac:dyDescent="0.3">
      <c r="A2205" t="str">
        <f>HYPERLINK("https://us2.cloudbeds.com/connect/10074733072513#/reservations/30657157783757?display=YQB7EG95V&amp;reservation_id=30657157783757", "YQB7EG95V")</f>
        <v>YQB7EG95V</v>
      </c>
      <c r="B2205" t="s">
        <v>10</v>
      </c>
      <c r="C2205" t="s">
        <v>14</v>
      </c>
      <c r="D2205" t="str">
        <f>HYPERLINK("https://us2.cloudbeds.com/connect/10074733072513#/reservations/30657157783757?display=Wilson%20Chan&amp;reservation_id=30657157783757&amp;guest_id=30657157783755", "Wilson Chan")</f>
        <v>Wilson Chan</v>
      </c>
      <c r="E2205" t="s">
        <v>1392</v>
      </c>
      <c r="F2205" t="s">
        <v>1362</v>
      </c>
      <c r="G2205">
        <v>90.07</v>
      </c>
      <c r="H2205">
        <v>97.9</v>
      </c>
      <c r="I2205">
        <v>97.91</v>
      </c>
      <c r="J2205">
        <v>-0.01</v>
      </c>
    </row>
    <row r="2206" spans="1:10" x14ac:dyDescent="0.3">
      <c r="A2206" t="str">
        <f>HYPERLINK("https://us2.cloudbeds.com/connect/10074733072513#/reservations/30657059901569?display=YQB4UVXX1&amp;reservation_id=30657059901569", "YQB4UVXX1")</f>
        <v>YQB4UVXX1</v>
      </c>
      <c r="B2206" t="s">
        <v>10</v>
      </c>
      <c r="C2206" t="s">
        <v>17</v>
      </c>
      <c r="D2206" t="str">
        <f>HYPERLINK("https://us2.cloudbeds.com/connect/10074733072513#/reservations/30657059901569?display=Shirley%20Stanley&amp;reservation_id=30657059901569&amp;guest_id=30657059897488", "Shirley Stanley")</f>
        <v>Shirley Stanley</v>
      </c>
      <c r="E2206" t="s">
        <v>1393</v>
      </c>
      <c r="F2206" t="s">
        <v>1362</v>
      </c>
      <c r="G2206">
        <v>268.2</v>
      </c>
      <c r="H2206">
        <v>291.52</v>
      </c>
      <c r="I2206">
        <v>291.52999999999997</v>
      </c>
      <c r="J2206">
        <v>-0.01</v>
      </c>
    </row>
    <row r="2207" spans="1:10" x14ac:dyDescent="0.3">
      <c r="A2207" t="str">
        <f>HYPERLINK("https://us2.cloudbeds.com/connect/10074733072513#/reservations/30657072849099?display=YQB58SRUE&amp;reservation_id=30657072849099", "YQB58SRUE")</f>
        <v>YQB58SRUE</v>
      </c>
      <c r="B2207" t="s">
        <v>10</v>
      </c>
      <c r="C2207" t="s">
        <v>17</v>
      </c>
      <c r="D2207" t="str">
        <f>HYPERLINK("https://us2.cloudbeds.com/connect/10074733072513#/reservations/30657072849099?display=Shirley%20Stanley&amp;reservation_id=30657072849099&amp;guest_id=30657066438881", "Shirley Stanley")</f>
        <v>Shirley Stanley</v>
      </c>
      <c r="E2207" t="s">
        <v>1393</v>
      </c>
      <c r="F2207" t="s">
        <v>1362</v>
      </c>
      <c r="G2207">
        <v>268.2</v>
      </c>
      <c r="H2207">
        <v>291.52</v>
      </c>
      <c r="I2207">
        <v>291.52999999999997</v>
      </c>
      <c r="J2207">
        <v>-0.01</v>
      </c>
    </row>
    <row r="2208" spans="1:10" x14ac:dyDescent="0.3">
      <c r="A2208" t="str">
        <f>HYPERLINK("https://us2.cloudbeds.com/connect/10074733072513#/reservations/30655105269933?display=YQ9KWP1RB&amp;reservation_id=30655105269933", "YQ9KWP1RB")</f>
        <v>YQ9KWP1RB</v>
      </c>
      <c r="B2208" t="s">
        <v>10</v>
      </c>
      <c r="C2208" t="s">
        <v>14</v>
      </c>
      <c r="D2208" t="str">
        <f>HYPERLINK("https://us2.cloudbeds.com/connect/10074733072513#/reservations/30655105269933?display=Marcia%20Lawrenz&amp;reservation_id=30655105269933&amp;guest_id=30655105269928", "Marcia Lawrenz")</f>
        <v>Marcia Lawrenz</v>
      </c>
      <c r="E2208" t="s">
        <v>1394</v>
      </c>
      <c r="F2208" t="s">
        <v>1093</v>
      </c>
      <c r="G2208">
        <v>254.4</v>
      </c>
      <c r="H2208">
        <v>276.52</v>
      </c>
      <c r="I2208">
        <v>276.52999999999997</v>
      </c>
      <c r="J2208">
        <v>-0.01</v>
      </c>
    </row>
    <row r="2209" spans="1:10" x14ac:dyDescent="0.3">
      <c r="A2209" t="str">
        <f>HYPERLINK("https://us2.cloudbeds.com/connect/10074733072513#/reservations/30657056051450?display=YQB4RNE2P&amp;reservation_id=30657056051450", "YQB4RNE2P")</f>
        <v>YQB4RNE2P</v>
      </c>
      <c r="B2209" t="s">
        <v>10</v>
      </c>
      <c r="C2209" t="s">
        <v>42</v>
      </c>
      <c r="D2209" t="str">
        <f>HYPERLINK("https://us2.cloudbeds.com/connect/10074733072513#/reservations/30657056051450?display=Beverly%20Carpenter&amp;reservation_id=30657056051450&amp;guest_id=30657056051444", "Beverly Carpenter")</f>
        <v>Beverly Carpenter</v>
      </c>
      <c r="E2209" t="s">
        <v>1395</v>
      </c>
      <c r="F2209" t="s">
        <v>1362</v>
      </c>
      <c r="G2209">
        <v>134.1</v>
      </c>
      <c r="H2209">
        <v>145.76</v>
      </c>
      <c r="I2209">
        <v>145.77000000000001</v>
      </c>
      <c r="J2209">
        <v>-0.01</v>
      </c>
    </row>
    <row r="2210" spans="1:10" x14ac:dyDescent="0.3">
      <c r="A2210" t="str">
        <f>HYPERLINK("https://us2.cloudbeds.com/connect/10074733072513#/reservations/30653891715279?display=YQ8MWF3XT&amp;reservation_id=30653891715279", "YQ8MWF3XT")</f>
        <v>YQ8MWF3XT</v>
      </c>
      <c r="B2210" t="s">
        <v>10</v>
      </c>
      <c r="C2210" t="s">
        <v>42</v>
      </c>
      <c r="D2210" t="str">
        <f>HYPERLINK("https://us2.cloudbeds.com/connect/10074733072513#/reservations/30653891715279?display=Kathryn%20Fosness&amp;reservation_id=30653891715279&amp;guest_id=30648961863819", "Kathryn Fosness")</f>
        <v>Kathryn Fosness</v>
      </c>
      <c r="E2210" t="s">
        <v>295</v>
      </c>
      <c r="F2210" t="s">
        <v>1221</v>
      </c>
      <c r="G2210">
        <v>134.1</v>
      </c>
      <c r="H2210">
        <v>145.76</v>
      </c>
      <c r="I2210">
        <v>145.77000000000001</v>
      </c>
      <c r="J2210">
        <v>-0.01</v>
      </c>
    </row>
    <row r="2211" spans="1:10" x14ac:dyDescent="0.3">
      <c r="A2211" t="str">
        <f>HYPERLINK("https://us2.cloudbeds.com/connect/10074733072513#/reservations/30659322503316?display=YQCTZRQ3B&amp;reservation_id=30659322503316", "YQCTZRQ3B")</f>
        <v>YQCTZRQ3B</v>
      </c>
      <c r="B2211" t="s">
        <v>10</v>
      </c>
      <c r="C2211" t="s">
        <v>42</v>
      </c>
      <c r="D2211" t="str">
        <f>HYPERLINK("https://us2.cloudbeds.com/connect/10074733072513#/reservations/30659322503316?display=Linda%20Harty&amp;reservation_id=30659322503316&amp;guest_id=30659322503311", "Linda Harty")</f>
        <v>Linda Harty</v>
      </c>
      <c r="E2211" t="s">
        <v>1396</v>
      </c>
      <c r="F2211" t="s">
        <v>1397</v>
      </c>
      <c r="G2211">
        <v>250.2</v>
      </c>
      <c r="H2211">
        <v>271.95999999999998</v>
      </c>
      <c r="I2211">
        <v>271.97000000000003</v>
      </c>
      <c r="J2211">
        <v>-0.01</v>
      </c>
    </row>
    <row r="2212" spans="1:10" x14ac:dyDescent="0.3">
      <c r="A2212" t="str">
        <f>HYPERLINK("https://us2.cloudbeds.com/connect/10074733072513#/reservations/30659694883024?display=YQD68RQXU&amp;reservation_id=30659694883024", "YQD68RQXU")</f>
        <v>YQD68RQXU</v>
      </c>
      <c r="B2212" t="s">
        <v>10</v>
      </c>
      <c r="C2212" t="s">
        <v>14</v>
      </c>
      <c r="D2212" t="str">
        <f>HYPERLINK("https://us2.cloudbeds.com/connect/10074733072513#/reservations/30659694883024?display=Steve%20Yuan&amp;reservation_id=30659694883024&amp;guest_id=30659694883010", "Steve Yuan")</f>
        <v>Steve Yuan</v>
      </c>
      <c r="E2212" t="s">
        <v>1398</v>
      </c>
      <c r="F2212" t="s">
        <v>1399</v>
      </c>
      <c r="G2212">
        <v>87.2</v>
      </c>
      <c r="H2212">
        <v>94.78</v>
      </c>
      <c r="I2212">
        <v>94.79</v>
      </c>
      <c r="J2212">
        <v>-0.01</v>
      </c>
    </row>
    <row r="2213" spans="1:10" x14ac:dyDescent="0.3">
      <c r="A2213" t="str">
        <f>HYPERLINK("https://us2.cloudbeds.com/connect/10074733072513#/reservations/30653915099285?display=YQ8NJ5QG4&amp;reservation_id=30653915099285", "YQ8NJ5QG4")</f>
        <v>YQ8NJ5QG4</v>
      </c>
      <c r="B2213" t="s">
        <v>10</v>
      </c>
      <c r="C2213" t="s">
        <v>17</v>
      </c>
      <c r="D2213" t="str">
        <f>HYPERLINK("https://us2.cloudbeds.com/connect/10074733072513#/reservations/30653915099285?display=Tara%20Deckard&amp;reservation_id=30653915099285&amp;guest_id=30653915095199", "Tara Deckard")</f>
        <v>Tara Deckard</v>
      </c>
      <c r="E2213" t="s">
        <v>1400</v>
      </c>
      <c r="F2213" t="s">
        <v>1221</v>
      </c>
      <c r="G2213">
        <v>134.1</v>
      </c>
      <c r="H2213">
        <v>145.76</v>
      </c>
      <c r="I2213">
        <v>145.77000000000001</v>
      </c>
      <c r="J2213">
        <v>-0.01</v>
      </c>
    </row>
    <row r="2214" spans="1:10" x14ac:dyDescent="0.3">
      <c r="A2214" t="str">
        <f>HYPERLINK("https://us2.cloudbeds.com/connect/10074733072513#/reservations/30657847967907?display=YQBP2FM35&amp;reservation_id=30657847967907", "YQBP2FM35")</f>
        <v>YQBP2FM35</v>
      </c>
      <c r="B2214" t="s">
        <v>10</v>
      </c>
      <c r="C2214" t="s">
        <v>42</v>
      </c>
      <c r="D2214" t="str">
        <f>HYPERLINK("https://us2.cloudbeds.com/connect/10074733072513#/reservations/30657847967907?display=Anita%20Koenig&amp;reservation_id=30657847967907&amp;guest_id=30646491398361", "Anita Koenig")</f>
        <v>Anita Koenig</v>
      </c>
      <c r="E2214" t="s">
        <v>1401</v>
      </c>
      <c r="F2214" t="s">
        <v>1283</v>
      </c>
      <c r="G2214">
        <v>184.2</v>
      </c>
      <c r="H2214">
        <v>200.22</v>
      </c>
      <c r="I2214">
        <v>200.23</v>
      </c>
      <c r="J2214">
        <v>-0.01</v>
      </c>
    </row>
    <row r="2215" spans="1:10" x14ac:dyDescent="0.3">
      <c r="A2215" t="str">
        <f>HYPERLINK("https://us2.cloudbeds.com/connect/10074733072513#/reservations/30659735736520?display=YQD7A9K8Y&amp;reservation_id=30659735736520", "YQD7A9K8Y")</f>
        <v>YQD7A9K8Y</v>
      </c>
      <c r="B2215" t="s">
        <v>10</v>
      </c>
      <c r="C2215" t="s">
        <v>11</v>
      </c>
      <c r="D2215" t="str">
        <f>HYPERLINK("https://us2.cloudbeds.com/connect/10074733072513#/reservations/30659735736520?display=Sara%20May%20Thorson&amp;reservation_id=30659735736520&amp;guest_id=30659735736517", "Sara May Thorson")</f>
        <v>Sara May Thorson</v>
      </c>
      <c r="E2215" t="s">
        <v>1402</v>
      </c>
      <c r="F2215" t="s">
        <v>1403</v>
      </c>
      <c r="G2215">
        <v>216.44</v>
      </c>
      <c r="H2215">
        <v>235.26</v>
      </c>
      <c r="I2215">
        <v>235.27</v>
      </c>
      <c r="J2215">
        <v>-0.01</v>
      </c>
    </row>
    <row r="2216" spans="1:10" x14ac:dyDescent="0.3">
      <c r="A2216" t="str">
        <f>HYPERLINK("https://us2.cloudbeds.com/connect/10074733072513#/reservations/30658291470588?display=YQC3DEPUB&amp;reservation_id=30658291470588", "YQC3DEPUB")</f>
        <v>YQC3DEPUB</v>
      </c>
      <c r="B2216" t="s">
        <v>10</v>
      </c>
      <c r="C2216" t="s">
        <v>14</v>
      </c>
      <c r="D2216" t="str">
        <f>HYPERLINK("https://us2.cloudbeds.com/connect/10074733072513#/reservations/30658291470588?display=J%20Lynn%20Elliott&amp;reservation_id=30658291470588&amp;guest_id=30658291470579", "J Lynn Elliott")</f>
        <v>J Lynn Elliott</v>
      </c>
      <c r="E2216" t="s">
        <v>1406</v>
      </c>
      <c r="F2216" t="s">
        <v>1354</v>
      </c>
      <c r="G2216">
        <v>103.2</v>
      </c>
      <c r="H2216">
        <v>112.17</v>
      </c>
      <c r="I2216">
        <v>112.18</v>
      </c>
      <c r="J2216">
        <v>-0.01</v>
      </c>
    </row>
    <row r="2217" spans="1:10" x14ac:dyDescent="0.3">
      <c r="A2217" t="str">
        <f>HYPERLINK("https://us2.cloudbeds.com/connect/10074733072513#/reservations/30657915949311?display=YQBQQQBKN&amp;reservation_id=30657915949311", "YQBQQQBKN")</f>
        <v>YQBQQQBKN</v>
      </c>
      <c r="B2217" t="s">
        <v>10</v>
      </c>
      <c r="C2217" t="s">
        <v>14</v>
      </c>
      <c r="D2217" t="str">
        <f>HYPERLINK("https://us2.cloudbeds.com/connect/10074733072513#/reservations/30657915949311?display=Melissa%20Claussen&amp;reservation_id=30657915949311&amp;guest_id=30657915949309", "Melissa Claussen")</f>
        <v>Melissa Claussen</v>
      </c>
      <c r="E2217" t="s">
        <v>1407</v>
      </c>
      <c r="F2217" t="s">
        <v>1283</v>
      </c>
      <c r="G2217">
        <v>115.49</v>
      </c>
      <c r="H2217">
        <v>125.53</v>
      </c>
      <c r="I2217">
        <v>125.54</v>
      </c>
      <c r="J2217">
        <v>-0.01</v>
      </c>
    </row>
    <row r="2218" spans="1:10" x14ac:dyDescent="0.3">
      <c r="A2218" t="str">
        <f>HYPERLINK("https://us2.cloudbeds.com/connect/10074733072513#/reservations/30657920974984?display=YQBQV16XR&amp;reservation_id=30657920974984", "YQBQV16XR")</f>
        <v>YQBQV16XR</v>
      </c>
      <c r="B2218" t="s">
        <v>10</v>
      </c>
      <c r="C2218" t="s">
        <v>14</v>
      </c>
      <c r="D2218" t="str">
        <f>HYPERLINK("https://us2.cloudbeds.com/connect/10074733072513#/reservations/30657920974984?display=Glen%20Becker&amp;reservation_id=30657920974984&amp;guest_id=30657920970903", "Glen Becker")</f>
        <v>Glen Becker</v>
      </c>
      <c r="E2218" t="s">
        <v>1407</v>
      </c>
      <c r="F2218" t="s">
        <v>1283</v>
      </c>
      <c r="G2218">
        <v>115.49</v>
      </c>
      <c r="H2218">
        <v>125.53</v>
      </c>
      <c r="I2218">
        <v>125.54</v>
      </c>
      <c r="J2218">
        <v>-0.01</v>
      </c>
    </row>
    <row r="2219" spans="1:10" x14ac:dyDescent="0.3">
      <c r="A2219" t="str">
        <f>HYPERLINK("https://us2.cloudbeds.com/connect/10074733072513#/reservations/30658678374528?display=YQCD9MRTW&amp;reservation_id=30658678374528", "YQCD9MRTW")</f>
        <v>YQCD9MRTW</v>
      </c>
      <c r="B2219" t="s">
        <v>10</v>
      </c>
      <c r="C2219" t="s">
        <v>11</v>
      </c>
      <c r="D2219" t="str">
        <f>HYPERLINK("https://us2.cloudbeds.com/connect/10074733072513#/reservations/30658678374528?display=Penny%20R%20Brandon&amp;reservation_id=30658678374528&amp;guest_id=30658678370433", "Penny R Brandon")</f>
        <v>Penny R Brandon</v>
      </c>
      <c r="E2219" t="s">
        <v>1408</v>
      </c>
      <c r="F2219" t="s">
        <v>1409</v>
      </c>
      <c r="G2219">
        <v>539.20000000000005</v>
      </c>
      <c r="H2219">
        <v>586.1</v>
      </c>
      <c r="I2219">
        <v>586.11</v>
      </c>
      <c r="J2219">
        <v>-0.01</v>
      </c>
    </row>
    <row r="2220" spans="1:10" x14ac:dyDescent="0.3">
      <c r="A2220" t="str">
        <f>HYPERLINK("https://us2.cloudbeds.com/connect/10074733072513#/reservations/30658532540598?display=YQC9XNU55&amp;reservation_id=30658532540598", "YQC9XNU55")</f>
        <v>YQC9XNU55</v>
      </c>
      <c r="B2220" t="s">
        <v>10</v>
      </c>
      <c r="C2220" t="s">
        <v>42</v>
      </c>
      <c r="D2220" t="str">
        <f>HYPERLINK("https://us2.cloudbeds.com/connect/10074733072513#/reservations/30658532540598?display=Theresa%20Schneider&amp;reservation_id=30658532540598&amp;guest_id=30658532540544", "Theresa Schneider")</f>
        <v>Theresa Schneider</v>
      </c>
      <c r="E2220" t="s">
        <v>1410</v>
      </c>
      <c r="F2220" t="s">
        <v>1137</v>
      </c>
      <c r="G2220">
        <v>284</v>
      </c>
      <c r="H2220">
        <v>308.7</v>
      </c>
      <c r="I2220">
        <v>308.70999999999998</v>
      </c>
      <c r="J2220">
        <v>-0.01</v>
      </c>
    </row>
    <row r="2221" spans="1:10" x14ac:dyDescent="0.3">
      <c r="A2221" t="str">
        <f>HYPERLINK("https://us2.cloudbeds.com/connect/10074733072513#/reservations/30658957627570?display=YQCKE5JAX&amp;reservation_id=30658957627570", "YQCKE5JAX")</f>
        <v>YQCKE5JAX</v>
      </c>
      <c r="B2221" t="s">
        <v>10</v>
      </c>
      <c r="C2221" t="s">
        <v>17</v>
      </c>
      <c r="D2221" t="str">
        <f>HYPERLINK("https://us2.cloudbeds.com/connect/10074733072513#/reservations/30658957627570?display=Wade%20Hanson&amp;reservation_id=30658957627570&amp;guest_id=30658957627560", "Wade Hanson")</f>
        <v>Wade Hanson</v>
      </c>
      <c r="E2221" t="s">
        <v>1411</v>
      </c>
      <c r="F2221" t="s">
        <v>1137</v>
      </c>
      <c r="G2221">
        <v>190.1</v>
      </c>
      <c r="H2221">
        <v>206.63</v>
      </c>
      <c r="I2221">
        <v>206.64</v>
      </c>
      <c r="J2221">
        <v>-0.01</v>
      </c>
    </row>
    <row r="2222" spans="1:10" x14ac:dyDescent="0.3">
      <c r="A2222" t="str">
        <f>HYPERLINK("https://us2.cloudbeds.com/connect/10074733072513#/reservations/30657983668380?display=YQBSHTZ8N&amp;reservation_id=30657983668380", "YQBSHTZ8N")</f>
        <v>YQBSHTZ8N</v>
      </c>
      <c r="B2222" t="s">
        <v>10</v>
      </c>
      <c r="C2222" t="s">
        <v>42</v>
      </c>
      <c r="D2222" t="str">
        <f>HYPERLINK("https://us2.cloudbeds.com/connect/10074733072513#/reservations/30657983668380?display=Jennifer%20Barrows&amp;reservation_id=30657983668380&amp;guest_id=30657983668378", "Jennifer Barrows")</f>
        <v>Jennifer Barrows</v>
      </c>
      <c r="E2222" t="s">
        <v>1412</v>
      </c>
      <c r="F2222" t="s">
        <v>1413</v>
      </c>
      <c r="G2222">
        <v>143.19999999999999</v>
      </c>
      <c r="H2222">
        <v>155.65</v>
      </c>
      <c r="I2222">
        <v>155.66</v>
      </c>
      <c r="J2222">
        <v>-0.01</v>
      </c>
    </row>
    <row r="2223" spans="1:10" x14ac:dyDescent="0.3">
      <c r="A2223" t="str">
        <f>HYPERLINK("https://us2.cloudbeds.com/connect/10074733072513#/reservations/30658009473169?display=YQBT6YQ40&amp;reservation_id=30658009473169", "YQBT6YQ40")</f>
        <v>YQBT6YQ40</v>
      </c>
      <c r="B2223" t="s">
        <v>10</v>
      </c>
      <c r="C2223" t="s">
        <v>14</v>
      </c>
      <c r="D2223" t="str">
        <f>HYPERLINK("https://us2.cloudbeds.com/connect/10074733072513#/reservations/30658009473169?display=Clay%20Anderson&amp;reservation_id=30658009473169&amp;guest_id=30658009473167", "Clay Anderson")</f>
        <v>Clay Anderson</v>
      </c>
      <c r="E2223" t="s">
        <v>1414</v>
      </c>
      <c r="F2223" t="s">
        <v>1415</v>
      </c>
      <c r="G2223">
        <v>90.07</v>
      </c>
      <c r="H2223">
        <v>97.9</v>
      </c>
      <c r="I2223">
        <v>97.91</v>
      </c>
      <c r="J2223">
        <v>-0.01</v>
      </c>
    </row>
    <row r="2224" spans="1:10" x14ac:dyDescent="0.3">
      <c r="A2224" t="str">
        <f>HYPERLINK("https://us2.cloudbeds.com/connect/10074733072513#/reservations/30658533646537?display=YQC9JYMNF&amp;reservation_id=30658533646537", "YQC9JYMNF")</f>
        <v>YQC9JYMNF</v>
      </c>
      <c r="B2224" t="s">
        <v>10</v>
      </c>
      <c r="C2224" t="s">
        <v>14</v>
      </c>
      <c r="D2224" t="str">
        <f>HYPERLINK("https://us2.cloudbeds.com/connect/10074733072513#/reservations/30658533646537?display=Shane%20Oltman&amp;reservation_id=30658533646537&amp;guest_id=30658533642492", "Shane Oltman")</f>
        <v>Shane Oltman</v>
      </c>
      <c r="E2224" t="s">
        <v>1418</v>
      </c>
      <c r="F2224" t="s">
        <v>1419</v>
      </c>
      <c r="G2224">
        <v>103.2</v>
      </c>
      <c r="H2224">
        <v>112.17</v>
      </c>
      <c r="I2224">
        <v>112.18</v>
      </c>
      <c r="J2224">
        <v>-0.01</v>
      </c>
    </row>
    <row r="2225" spans="1:10" x14ac:dyDescent="0.3">
      <c r="A2225" t="str">
        <f>HYPERLINK("https://us2.cloudbeds.com/connect/10074733072513#/reservations/30658190819520?display=YQC0KMH76&amp;reservation_id=30658190819520", "YQC0KMH76")</f>
        <v>YQC0KMH76</v>
      </c>
      <c r="B2225" t="s">
        <v>10</v>
      </c>
      <c r="C2225" t="s">
        <v>17</v>
      </c>
      <c r="D2225" t="str">
        <f>HYPERLINK("https://us2.cloudbeds.com/connect/10074733072513#/reservations/30658190819520?display=Abi%20Van%20Regenmorter&amp;reservation_id=30658190819520&amp;guest_id=30658182643874", "Abi Van Regenmorter")</f>
        <v>Abi Van Regenmorter</v>
      </c>
      <c r="E2225" t="s">
        <v>1420</v>
      </c>
      <c r="F2225" t="s">
        <v>1421</v>
      </c>
      <c r="G2225">
        <v>152.1</v>
      </c>
      <c r="H2225">
        <v>165.32</v>
      </c>
      <c r="I2225">
        <v>165.33</v>
      </c>
      <c r="J2225">
        <v>-0.01</v>
      </c>
    </row>
    <row r="2226" spans="1:10" x14ac:dyDescent="0.3">
      <c r="A2226" t="str">
        <f>HYPERLINK("https://us2.cloudbeds.com/connect/10074733072513#/reservations/30657801703635?display=YQBNTF9RH&amp;reservation_id=30657801703635", "YQBNTF9RH")</f>
        <v>YQBNTF9RH</v>
      </c>
      <c r="B2226" t="s">
        <v>10</v>
      </c>
      <c r="C2226" t="s">
        <v>14</v>
      </c>
      <c r="D2226" t="str">
        <f>HYPERLINK("https://us2.cloudbeds.com/connect/10074733072513#/reservations/30657801703635?display=Dwight%20Olson&amp;reservation_id=30657801703635&amp;guest_id=30657801703632", "Dwight Olson")</f>
        <v>Dwight Olson</v>
      </c>
      <c r="E2226" t="s">
        <v>1422</v>
      </c>
      <c r="F2226" t="s">
        <v>1423</v>
      </c>
      <c r="G2226">
        <v>103.2</v>
      </c>
      <c r="H2226">
        <v>112.17</v>
      </c>
      <c r="I2226">
        <v>112.18</v>
      </c>
      <c r="J2226">
        <v>-0.01</v>
      </c>
    </row>
    <row r="2227" spans="1:10" x14ac:dyDescent="0.3">
      <c r="A2227" t="str">
        <f>HYPERLINK("https://us2.cloudbeds.com/connect/10074733072513#/reservations/30658174746825?display=YQC0E0PXK&amp;reservation_id=30658174746825", "YQC0E0PXK")</f>
        <v>YQC0E0PXK</v>
      </c>
      <c r="B2227" t="s">
        <v>10</v>
      </c>
      <c r="C2227" t="s">
        <v>17</v>
      </c>
      <c r="D2227" t="str">
        <f>HYPERLINK("https://us2.cloudbeds.com/connect/10074733072513#/reservations/30658174746825?display=Renae%20Aughenbaugh&amp;reservation_id=30658174746825&amp;guest_id=30658174746821", "Renae Aughenbaugh")</f>
        <v>Renae Aughenbaugh</v>
      </c>
      <c r="E2227" t="s">
        <v>1428</v>
      </c>
      <c r="F2227" t="s">
        <v>1421</v>
      </c>
      <c r="G2227">
        <v>152.1</v>
      </c>
      <c r="H2227">
        <v>165.32</v>
      </c>
      <c r="I2227">
        <v>165.33</v>
      </c>
      <c r="J2227">
        <v>-0.01</v>
      </c>
    </row>
    <row r="2228" spans="1:10" x14ac:dyDescent="0.3">
      <c r="A2228" t="str">
        <f>HYPERLINK("https://us2.cloudbeds.com/connect/10074733072513#/reservations/30657825386701?display=YQBZGEAC6&amp;reservation_id=30657825386701", "YQBZGEAC6")</f>
        <v>YQBZGEAC6</v>
      </c>
      <c r="B2228" t="s">
        <v>10</v>
      </c>
      <c r="C2228" t="s">
        <v>14</v>
      </c>
      <c r="D2228" t="str">
        <f>HYPERLINK("https://us2.cloudbeds.com/connect/10074733072513#/reservations/30657825386701?display=Nick%20Chichila&amp;reservation_id=30657825386701&amp;guest_id=30657825382615", "Nick Chichila")</f>
        <v>Nick Chichila</v>
      </c>
      <c r="E2228" t="s">
        <v>1429</v>
      </c>
      <c r="F2228" t="s">
        <v>1423</v>
      </c>
      <c r="G2228">
        <v>90.07</v>
      </c>
      <c r="H2228">
        <v>97.9</v>
      </c>
      <c r="I2228">
        <v>97.91</v>
      </c>
      <c r="J2228">
        <v>-0.01</v>
      </c>
    </row>
    <row r="2229" spans="1:10" x14ac:dyDescent="0.3">
      <c r="A2229" t="str">
        <f>HYPERLINK("https://us2.cloudbeds.com/connect/10074733072513#/reservations/30658227450060?display=YQC1PFAXB&amp;reservation_id=30658227450060", "YQC1PFAXB")</f>
        <v>YQC1PFAXB</v>
      </c>
      <c r="B2229" t="s">
        <v>10</v>
      </c>
      <c r="C2229" t="s">
        <v>42</v>
      </c>
      <c r="D2229" t="str">
        <f>HYPERLINK("https://us2.cloudbeds.com/connect/10074733072513#/reservations/30658227450060?display=Paula%20Thorstenson&amp;reservation_id=30658227450060&amp;guest_id=30658227450058", "Paula Thorstenson")</f>
        <v>Paula Thorstenson</v>
      </c>
      <c r="E2229" t="s">
        <v>1430</v>
      </c>
      <c r="F2229" t="s">
        <v>1421</v>
      </c>
      <c r="G2229">
        <v>313.2</v>
      </c>
      <c r="H2229">
        <v>340.44</v>
      </c>
      <c r="I2229">
        <v>340.45</v>
      </c>
      <c r="J2229">
        <v>-0.01</v>
      </c>
    </row>
    <row r="2230" spans="1:10" x14ac:dyDescent="0.3">
      <c r="A2230" t="str">
        <f>HYPERLINK("https://us2.cloudbeds.com/connect/10074733072513#/reservations/30657822572727?display=YQBZE20C8&amp;reservation_id=30657822572727", "YQBZE20C8")</f>
        <v>YQBZE20C8</v>
      </c>
      <c r="B2230" t="s">
        <v>10</v>
      </c>
      <c r="C2230" t="s">
        <v>14</v>
      </c>
      <c r="D2230" t="str">
        <f>HYPERLINK("https://us2.cloudbeds.com/connect/10074733072513#/reservations/30657822572727?display=Mike%20Turgeson&amp;reservation_id=30657822572727&amp;guest_id=30657822572673", "Mike Turgeson")</f>
        <v>Mike Turgeson</v>
      </c>
      <c r="E2230" t="s">
        <v>1429</v>
      </c>
      <c r="F2230" t="s">
        <v>1423</v>
      </c>
      <c r="G2230">
        <v>90.07</v>
      </c>
      <c r="H2230">
        <v>97.9</v>
      </c>
      <c r="I2230">
        <v>97.91</v>
      </c>
      <c r="J2230">
        <v>-0.01</v>
      </c>
    </row>
    <row r="2231" spans="1:10" x14ac:dyDescent="0.3">
      <c r="A2231" t="str">
        <f>HYPERLINK("https://us2.cloudbeds.com/connect/10074733072513#/reservations/30657930649755?display=YQBR66DYN&amp;reservation_id=30657930649755", "YQBR66DYN")</f>
        <v>YQBR66DYN</v>
      </c>
      <c r="B2231" t="s">
        <v>10</v>
      </c>
      <c r="C2231" t="s">
        <v>14</v>
      </c>
      <c r="D2231" t="str">
        <f>HYPERLINK("https://us2.cloudbeds.com/connect/10074733072513#/reservations/30657930649755?display=Veronica%20Kepner&amp;reservation_id=30657930649755&amp;guest_id=30657919463566", "Veronica Kepner")</f>
        <v>Veronica Kepner</v>
      </c>
      <c r="E2231" t="s">
        <v>1431</v>
      </c>
      <c r="F2231" t="s">
        <v>1423</v>
      </c>
      <c r="G2231">
        <v>90.07</v>
      </c>
      <c r="H2231">
        <v>97.9</v>
      </c>
      <c r="I2231">
        <v>97.91</v>
      </c>
      <c r="J2231">
        <v>-0.01</v>
      </c>
    </row>
    <row r="2232" spans="1:10" x14ac:dyDescent="0.3">
      <c r="A2232" t="str">
        <f>HYPERLINK("https://us2.cloudbeds.com/connect/10074733072513#/reservations/30657934041286?display=YQBR91Q0C&amp;reservation_id=30657934041286", "YQBR91Q0C")</f>
        <v>YQBR91Q0C</v>
      </c>
      <c r="B2232" t="s">
        <v>10</v>
      </c>
      <c r="C2232" t="s">
        <v>14</v>
      </c>
      <c r="D2232" t="str">
        <f>HYPERLINK("https://us2.cloudbeds.com/connect/10074733072513#/reservations/30657934041286?display=Melissa%20Watson&amp;reservation_id=30657934041286&amp;guest_id=30657934041281", "Melissa Watson")</f>
        <v>Melissa Watson</v>
      </c>
      <c r="E2232" t="s">
        <v>1432</v>
      </c>
      <c r="F2232" t="s">
        <v>1423</v>
      </c>
      <c r="G2232">
        <v>90.07</v>
      </c>
      <c r="H2232">
        <v>97.9</v>
      </c>
      <c r="I2232">
        <v>97.91</v>
      </c>
      <c r="J2232">
        <v>-0.01</v>
      </c>
    </row>
    <row r="2233" spans="1:10" x14ac:dyDescent="0.3">
      <c r="A2233" t="str">
        <f>HYPERLINK("https://us2.cloudbeds.com/connect/10074733072513#/reservations/30661774553325?display=YQEQDFN02&amp;reservation_id=30661774553325", "YQEQDFN02")</f>
        <v>YQEQDFN02</v>
      </c>
      <c r="B2233" t="s">
        <v>10</v>
      </c>
      <c r="C2233" t="s">
        <v>20</v>
      </c>
      <c r="D2233" t="str">
        <f>HYPERLINK("https://us2.cloudbeds.com/connect/10074733072513#/reservations/30661774553325?display=Dustan%20Van%20Vleet&amp;reservation_id=30661774553325&amp;guest_id=30661774553320", "Dustan Van Vleet")</f>
        <v>Dustan Van Vleet</v>
      </c>
      <c r="E2233" t="s">
        <v>1433</v>
      </c>
      <c r="F2233" t="s">
        <v>1434</v>
      </c>
      <c r="G2233">
        <v>87.2</v>
      </c>
      <c r="H2233">
        <v>94.78</v>
      </c>
      <c r="I2233">
        <v>94.79</v>
      </c>
      <c r="J2233">
        <v>-0.01</v>
      </c>
    </row>
    <row r="2234" spans="1:10" x14ac:dyDescent="0.3">
      <c r="A2234" t="str">
        <f>HYPERLINK("https://us2.cloudbeds.com/connect/10074733072513#/reservations/30660778045670?display=YQE0V6D9D&amp;reservation_id=30660778045670", "YQE0V6D9D")</f>
        <v>YQE0V6D9D</v>
      </c>
      <c r="B2234" t="s">
        <v>10</v>
      </c>
      <c r="C2234" t="s">
        <v>20</v>
      </c>
      <c r="D2234" t="str">
        <f>HYPERLINK("https://us2.cloudbeds.com/connect/10074733072513#/reservations/30660778045670?display=William%20Anderson&amp;reservation_id=30660778045670&amp;guest_id=30660769583246", "William Anderson")</f>
        <v>William Anderson</v>
      </c>
      <c r="E2234" t="s">
        <v>1435</v>
      </c>
      <c r="F2234" t="s">
        <v>1434</v>
      </c>
      <c r="G2234">
        <v>87.2</v>
      </c>
      <c r="H2234">
        <v>94.78</v>
      </c>
      <c r="I2234">
        <v>94.79</v>
      </c>
      <c r="J2234">
        <v>-0.01</v>
      </c>
    </row>
    <row r="2235" spans="1:10" x14ac:dyDescent="0.3">
      <c r="A2235" t="str">
        <f>HYPERLINK("https://us2.cloudbeds.com/connect/10074733072513#/reservations/30658224038139?display=YQC1MJCFQ&amp;reservation_id=30658224038139", "YQC1MJCFQ")</f>
        <v>YQC1MJCFQ</v>
      </c>
      <c r="B2235" t="s">
        <v>10</v>
      </c>
      <c r="C2235" t="s">
        <v>11</v>
      </c>
      <c r="D2235" t="str">
        <f>HYPERLINK("https://us2.cloudbeds.com/connect/10074733072513#/reservations/30658224038139?display=Larry%20Jordan&amp;reservation_id=30658224038139&amp;guest_id=30655390748890", "Larry Jordan")</f>
        <v>Larry Jordan</v>
      </c>
      <c r="E2235" t="s">
        <v>1437</v>
      </c>
      <c r="F2235" t="s">
        <v>1354</v>
      </c>
      <c r="G2235">
        <v>90.07</v>
      </c>
      <c r="H2235">
        <v>97.9</v>
      </c>
      <c r="I2235">
        <v>97.91</v>
      </c>
      <c r="J2235">
        <v>-0.01</v>
      </c>
    </row>
    <row r="2236" spans="1:10" x14ac:dyDescent="0.3">
      <c r="A2236" t="str">
        <f>HYPERLINK("https://us2.cloudbeds.com/connect/10074733072513#/reservations/30658944897277?display=YQCK3EBE3&amp;reservation_id=30658944897277", "YQCK3EBE3")</f>
        <v>YQCK3EBE3</v>
      </c>
      <c r="B2236" t="s">
        <v>10</v>
      </c>
      <c r="C2236" t="s">
        <v>42</v>
      </c>
      <c r="D2236" t="str">
        <f>HYPERLINK("https://us2.cloudbeds.com/connect/10074733072513#/reservations/30658944897277?display=Steve%20Yackley&amp;reservation_id=30658944897277&amp;guest_id=30658944897269", "Steve Yackley")</f>
        <v>Steve Yackley</v>
      </c>
      <c r="E2236" t="s">
        <v>1438</v>
      </c>
      <c r="F2236" t="s">
        <v>1137</v>
      </c>
      <c r="G2236">
        <v>152.15</v>
      </c>
      <c r="H2236">
        <v>165.38</v>
      </c>
      <c r="I2236">
        <v>165.39</v>
      </c>
      <c r="J2236">
        <v>-0.01</v>
      </c>
    </row>
    <row r="2237" spans="1:10" x14ac:dyDescent="0.3">
      <c r="A2237" t="str">
        <f>HYPERLINK("https://us2.cloudbeds.com/connect/10074733072513#/reservations/30659223421074?display=YQCR79MG5&amp;reservation_id=30659223421074", "YQCR79MG5")</f>
        <v>YQCR79MG5</v>
      </c>
      <c r="B2237" t="s">
        <v>10</v>
      </c>
      <c r="C2237" t="s">
        <v>42</v>
      </c>
      <c r="D2237" t="str">
        <f>HYPERLINK("https://us2.cloudbeds.com/connect/10074733072513#/reservations/30659223421074?display=Ed%20Bartling&amp;reservation_id=30659223421074&amp;guest_id=30655228621026", "Ed Bartling")</f>
        <v>Ed Bartling</v>
      </c>
      <c r="E2237" t="s">
        <v>1353</v>
      </c>
      <c r="F2237" t="s">
        <v>1439</v>
      </c>
      <c r="G2237">
        <v>103.2</v>
      </c>
      <c r="H2237">
        <v>112.17</v>
      </c>
      <c r="I2237">
        <v>112.18</v>
      </c>
      <c r="J2237">
        <v>-0.01</v>
      </c>
    </row>
    <row r="2238" spans="1:10" x14ac:dyDescent="0.3">
      <c r="A2238" t="str">
        <f>HYPERLINK("https://us2.cloudbeds.com/connect/10074733072513#/reservations/30658273271982?display=YQC2V3CKE&amp;reservation_id=30658273271982", "YQC2V3CKE")</f>
        <v>YQC2V3CKE</v>
      </c>
      <c r="B2238" t="s">
        <v>10</v>
      </c>
      <c r="C2238" t="s">
        <v>11</v>
      </c>
      <c r="D2238" t="str">
        <f>HYPERLINK("https://us2.cloudbeds.com/connect/10074733072513#/reservations/30658273271982?display=Jeffrey%20Ray%20Musgrave&amp;reservation_id=30658273271982&amp;guest_id=30658273271978", "Jeffrey Ray Musgrave")</f>
        <v>Jeffrey Ray Musgrave</v>
      </c>
      <c r="E2238" t="s">
        <v>1440</v>
      </c>
      <c r="F2238" t="s">
        <v>1354</v>
      </c>
      <c r="G2238">
        <v>90.07</v>
      </c>
      <c r="H2238">
        <v>97.9</v>
      </c>
      <c r="I2238">
        <v>97.91</v>
      </c>
      <c r="J2238">
        <v>-0.01</v>
      </c>
    </row>
    <row r="2239" spans="1:10" x14ac:dyDescent="0.3">
      <c r="A2239" t="str">
        <f>HYPERLINK("https://us2.cloudbeds.com/connect/10074733072513#/reservations/30658793558232?display=YQCG7R3PE&amp;reservation_id=30658793558232", "YQCG7R3PE")</f>
        <v>YQCG7R3PE</v>
      </c>
      <c r="B2239" t="s">
        <v>10</v>
      </c>
      <c r="C2239" t="s">
        <v>42</v>
      </c>
      <c r="D2239" t="str">
        <f>HYPERLINK("https://us2.cloudbeds.com/connect/10074733072513#/reservations/30658793558232?display=Thomas%20Baldwin&amp;reservation_id=30658793558232&amp;guest_id=30658793558219", "Thomas Baldwin")</f>
        <v>Thomas Baldwin</v>
      </c>
      <c r="E2239" t="s">
        <v>1441</v>
      </c>
      <c r="F2239" t="s">
        <v>1419</v>
      </c>
      <c r="G2239">
        <v>90.07</v>
      </c>
      <c r="H2239">
        <v>97.9</v>
      </c>
      <c r="I2239">
        <v>97.91</v>
      </c>
      <c r="J2239">
        <v>-0.01</v>
      </c>
    </row>
    <row r="2240" spans="1:10" x14ac:dyDescent="0.3">
      <c r="A2240" t="str">
        <f>HYPERLINK("https://us2.cloudbeds.com/connect/10074733072513#/reservations/30658228756628?display=YQC1QXMBA&amp;reservation_id=30658228756628", "YQC1QXMBA")</f>
        <v>YQC1QXMBA</v>
      </c>
      <c r="B2240" t="s">
        <v>10</v>
      </c>
      <c r="C2240" t="s">
        <v>14</v>
      </c>
      <c r="D2240" t="str">
        <f>HYPERLINK("https://us2.cloudbeds.com/connect/10074733072513#/reservations/30658228756628?display=Thomas%20Baldwin&amp;reservation_id=30658228756628&amp;guest_id=30658228756626", "Thomas Baldwin")</f>
        <v>Thomas Baldwin</v>
      </c>
      <c r="E2240" t="s">
        <v>1441</v>
      </c>
      <c r="F2240" t="s">
        <v>1354</v>
      </c>
      <c r="G2240">
        <v>90.07</v>
      </c>
      <c r="H2240">
        <v>97.9</v>
      </c>
      <c r="I2240">
        <v>97.91</v>
      </c>
      <c r="J2240">
        <v>-0.01</v>
      </c>
    </row>
    <row r="2241" spans="1:10" x14ac:dyDescent="0.3">
      <c r="A2241" t="str">
        <f>HYPERLINK("https://us2.cloudbeds.com/connect/10074733072513#/reservations/30658255478976?display=YQC2BYMRY&amp;reservation_id=30658255478976", "YQC2BYMRY")</f>
        <v>YQC2BYMRY</v>
      </c>
      <c r="B2241" t="s">
        <v>10</v>
      </c>
      <c r="C2241" t="s">
        <v>14</v>
      </c>
      <c r="D2241" t="str">
        <f>HYPERLINK("https://us2.cloudbeds.com/connect/10074733072513#/reservations/30658255478976?display=Nancy%20Jeter&amp;reservation_id=30658255478976&amp;guest_id=30658250211552", "Nancy Jeter")</f>
        <v>Nancy Jeter</v>
      </c>
      <c r="E2241" t="s">
        <v>1442</v>
      </c>
      <c r="F2241" t="s">
        <v>1360</v>
      </c>
      <c r="G2241">
        <v>103.2</v>
      </c>
      <c r="H2241">
        <v>112.17</v>
      </c>
      <c r="I2241">
        <v>112.18</v>
      </c>
      <c r="J2241">
        <v>-0.01</v>
      </c>
    </row>
    <row r="2242" spans="1:10" x14ac:dyDescent="0.3">
      <c r="A2242" t="str">
        <f>HYPERLINK("https://us2.cloudbeds.com/connect/10074733072513#/reservations/30658334351514?display=YQC4GK0BB&amp;reservation_id=30658334351514", "YQC4GK0BB")</f>
        <v>YQC4GK0BB</v>
      </c>
      <c r="B2242" t="s">
        <v>10</v>
      </c>
      <c r="C2242" t="s">
        <v>14</v>
      </c>
      <c r="D2242" t="str">
        <f>HYPERLINK("https://us2.cloudbeds.com/connect/10074733072513#/reservations/30658334351514?display=Nathan%20Samson&amp;reservation_id=30658334351514&amp;guest_id=30658334351497", "Nathan Samson")</f>
        <v>Nathan Samson</v>
      </c>
      <c r="E2242" t="s">
        <v>1436</v>
      </c>
      <c r="F2242" t="s">
        <v>1360</v>
      </c>
      <c r="G2242">
        <v>103.2</v>
      </c>
      <c r="H2242">
        <v>112.17</v>
      </c>
      <c r="I2242">
        <v>112.18</v>
      </c>
      <c r="J2242">
        <v>-0.01</v>
      </c>
    </row>
    <row r="2243" spans="1:10" x14ac:dyDescent="0.3">
      <c r="A2243" t="str">
        <f>HYPERLINK("https://us2.cloudbeds.com/connect/10074733072513#/reservations/30658600374469?display=YQCB9UG6W&amp;reservation_id=30658600374469", "YQCB9UG6W")</f>
        <v>YQCB9UG6W</v>
      </c>
      <c r="B2243" t="s">
        <v>10</v>
      </c>
      <c r="C2243" t="s">
        <v>14</v>
      </c>
      <c r="D2243" t="str">
        <f>HYPERLINK("https://us2.cloudbeds.com/connect/10074733072513#/reservations/30658600374469?display=Chung%20Chieh%20Wang&amp;reservation_id=30658600374469&amp;guest_id=30658591133871", "Chung Chieh Wang")</f>
        <v>Chung Chieh Wang</v>
      </c>
      <c r="E2243" t="s">
        <v>1443</v>
      </c>
      <c r="F2243" t="s">
        <v>1419</v>
      </c>
      <c r="G2243">
        <v>90.07</v>
      </c>
      <c r="H2243">
        <v>97.9</v>
      </c>
      <c r="I2243">
        <v>97.91</v>
      </c>
      <c r="J2243">
        <v>-0.01</v>
      </c>
    </row>
    <row r="2244" spans="1:10" x14ac:dyDescent="0.3">
      <c r="A2244" t="str">
        <f>HYPERLINK("https://us2.cloudbeds.com/connect/10074733072513#/reservations/30658820931779?display=YQCGUTR5R&amp;reservation_id=30658820931779", "YQCGUTR5R")</f>
        <v>YQCGUTR5R</v>
      </c>
      <c r="B2244" t="s">
        <v>10</v>
      </c>
      <c r="C2244" t="s">
        <v>14</v>
      </c>
      <c r="D2244" t="str">
        <f>HYPERLINK("https://us2.cloudbeds.com/connect/10074733072513#/reservations/30658820931779?display=Cathy%20Myers&amp;reservation_id=30658820931779&amp;guest_id=30658815271092", "Cathy Myers")</f>
        <v>Cathy Myers</v>
      </c>
      <c r="E2244" t="s">
        <v>1444</v>
      </c>
      <c r="F2244" t="s">
        <v>1419</v>
      </c>
      <c r="G2244">
        <v>90.07</v>
      </c>
      <c r="H2244">
        <v>97.9</v>
      </c>
      <c r="I2244">
        <v>97.91</v>
      </c>
      <c r="J2244">
        <v>-0.01</v>
      </c>
    </row>
    <row r="2245" spans="1:10" x14ac:dyDescent="0.3">
      <c r="A2245" t="str">
        <f>HYPERLINK("https://us2.cloudbeds.com/connect/10074733072513#/reservations/30658947940547?display=YQCK600WD&amp;reservation_id=30658947940547", "YQCK600WD")</f>
        <v>YQCK600WD</v>
      </c>
      <c r="B2245" t="s">
        <v>10</v>
      </c>
      <c r="C2245" t="s">
        <v>11</v>
      </c>
      <c r="D2245" t="str">
        <f>HYPERLINK("https://us2.cloudbeds.com/connect/10074733072513#/reservations/30658947940547?display=Pamela%20Dobson&amp;reservation_id=30658947940547&amp;guest_id=30658937884826", "Pamela Dobson")</f>
        <v>Pamela Dobson</v>
      </c>
      <c r="E2245" t="s">
        <v>912</v>
      </c>
      <c r="F2245" t="s">
        <v>1445</v>
      </c>
      <c r="G2245">
        <v>103.2</v>
      </c>
      <c r="H2245">
        <v>112.17</v>
      </c>
      <c r="I2245">
        <v>112.18</v>
      </c>
      <c r="J2245">
        <v>-0.01</v>
      </c>
    </row>
    <row r="2246" spans="1:10" x14ac:dyDescent="0.3">
      <c r="A2246" t="str">
        <f>HYPERLINK("https://us2.cloudbeds.com/connect/10074733072513#/reservations/30661329023191?display=YQEF0Q5DU&amp;reservation_id=30661329023191", "YQEF0Q5DU")</f>
        <v>YQEF0Q5DU</v>
      </c>
      <c r="B2246" t="s">
        <v>10</v>
      </c>
      <c r="C2246" t="s">
        <v>20</v>
      </c>
      <c r="D2246" t="str">
        <f>HYPERLINK("https://us2.cloudbeds.com/connect/10074733072513#/reservations/30661329023191?display=Douglas%20Sipma&amp;reservation_id=30661329023191&amp;guest_id=30661329023186", "Douglas Sipma")</f>
        <v>Douglas Sipma</v>
      </c>
      <c r="E2246" t="s">
        <v>1446</v>
      </c>
      <c r="F2246" t="s">
        <v>1386</v>
      </c>
      <c r="G2246">
        <v>87.2</v>
      </c>
      <c r="H2246">
        <v>94.78</v>
      </c>
      <c r="I2246">
        <v>94.79</v>
      </c>
      <c r="J2246">
        <v>-0.01</v>
      </c>
    </row>
    <row r="2247" spans="1:10" x14ac:dyDescent="0.3">
      <c r="A2247" t="str">
        <f>HYPERLINK("https://us2.cloudbeds.com/connect/10074733072513#/reservations/30664577085680?display=YQGW0Y9JV&amp;reservation_id=30664577085680", "YQGW0Y9JV")</f>
        <v>YQGW0Y9JV</v>
      </c>
      <c r="B2247" t="s">
        <v>10</v>
      </c>
      <c r="C2247" t="s">
        <v>17</v>
      </c>
      <c r="D2247" t="str">
        <f>HYPERLINK("https://us2.cloudbeds.com/connect/10074733072513#/reservations/30664577085680?display=John%20Mcinerney&amp;reservation_id=30664577085680&amp;guest_id=30664567935135", "John Mcinerney")</f>
        <v>John Mcinerney</v>
      </c>
      <c r="E2247" t="s">
        <v>933</v>
      </c>
      <c r="F2247" t="s">
        <v>934</v>
      </c>
      <c r="G2247">
        <v>356.4</v>
      </c>
      <c r="H2247">
        <v>387.4</v>
      </c>
      <c r="I2247">
        <v>387.41</v>
      </c>
      <c r="J2247">
        <v>-0.01</v>
      </c>
    </row>
    <row r="2248" spans="1:10" x14ac:dyDescent="0.3">
      <c r="A2248" t="str">
        <f>HYPERLINK("https://us2.cloudbeds.com/connect/10074733072513#/reservations/30658343223527?display=YQC4Z2T97&amp;reservation_id=30658343223527", "YQC4Z2T97")</f>
        <v>YQC4Z2T97</v>
      </c>
      <c r="B2248" t="s">
        <v>10</v>
      </c>
      <c r="C2248" t="s">
        <v>121</v>
      </c>
      <c r="D2248" t="str">
        <f>HYPERLINK("https://us2.cloudbeds.com/connect/10074733072513#/reservations/30658343223527?display=Tobias%20Kippes&amp;reservation_id=30658343223527&amp;guest_id=30658337669270", "Tobias Kippes")</f>
        <v>Tobias Kippes</v>
      </c>
      <c r="E2248" t="s">
        <v>1447</v>
      </c>
      <c r="F2248" t="s">
        <v>1448</v>
      </c>
      <c r="G2248">
        <v>268.2</v>
      </c>
      <c r="H2248">
        <v>291.52</v>
      </c>
      <c r="I2248">
        <v>291.52999999999997</v>
      </c>
      <c r="J2248">
        <v>-0.01</v>
      </c>
    </row>
    <row r="2249" spans="1:10" x14ac:dyDescent="0.3">
      <c r="A2249" t="str">
        <f>HYPERLINK("https://us2.cloudbeds.com/connect/10074733072513#/reservations/30658822373599?display=YQCGW3V5C&amp;reservation_id=30658822373599", "YQCGW3V5C")</f>
        <v>YQCGW3V5C</v>
      </c>
      <c r="B2249" t="s">
        <v>10</v>
      </c>
      <c r="C2249" t="s">
        <v>14</v>
      </c>
      <c r="D2249" t="str">
        <f>HYPERLINK("https://us2.cloudbeds.com/connect/10074733072513#/reservations/30658822373599?display=Michael%20Sobota&amp;reservation_id=30658822373599&amp;guest_id=30658822373597", "Michael Sobota")</f>
        <v>Michael Sobota</v>
      </c>
      <c r="E2249" t="s">
        <v>1449</v>
      </c>
      <c r="F2249" t="s">
        <v>1450</v>
      </c>
      <c r="G2249">
        <v>90.07</v>
      </c>
      <c r="H2249">
        <v>97.9</v>
      </c>
      <c r="I2249">
        <v>97.91</v>
      </c>
      <c r="J2249">
        <v>-0.01</v>
      </c>
    </row>
    <row r="2250" spans="1:10" x14ac:dyDescent="0.3">
      <c r="A2250" t="str">
        <f>HYPERLINK("https://us2.cloudbeds.com/connect/10074733072513#/reservations/30660081918158?display=YQDG56KZA&amp;reservation_id=30660081918158", "YQDG56KZA")</f>
        <v>YQDG56KZA</v>
      </c>
      <c r="B2250" t="s">
        <v>10</v>
      </c>
      <c r="C2250" t="s">
        <v>20</v>
      </c>
      <c r="D2250" t="str">
        <f>HYPERLINK("https://us2.cloudbeds.com/connect/10074733072513#/reservations/30660081918158?display=Connor%20Freeman&amp;reservation_id=30660081918158&amp;guest_id=30660081914077", "Connor Freeman")</f>
        <v>Connor Freeman</v>
      </c>
      <c r="E2250" t="s">
        <v>1452</v>
      </c>
      <c r="F2250" t="s">
        <v>1453</v>
      </c>
      <c r="G2250">
        <v>87.2</v>
      </c>
      <c r="H2250">
        <v>94.78</v>
      </c>
      <c r="I2250">
        <v>94.79</v>
      </c>
      <c r="J2250">
        <v>-0.01</v>
      </c>
    </row>
    <row r="2251" spans="1:10" x14ac:dyDescent="0.3">
      <c r="A2251" t="str">
        <f>HYPERLINK("https://us2.cloudbeds.com/connect/10074733072513#/reservations/30659028111503?display=YQCM7JTSA&amp;reservation_id=30659028111503", "YQCM7JTSA")</f>
        <v>YQCM7JTSA</v>
      </c>
      <c r="B2251" t="s">
        <v>10</v>
      </c>
      <c r="C2251" t="s">
        <v>20</v>
      </c>
      <c r="D2251" t="str">
        <f>HYPERLINK("https://us2.cloudbeds.com/connect/10074733072513#/reservations/30659028111503?display=Marco%20Di%20Prima&amp;reservation_id=30659028111503&amp;guest_id=30659023237303", "Marco Di Prima")</f>
        <v>Marco Di Prima</v>
      </c>
      <c r="E2251" t="s">
        <v>1454</v>
      </c>
      <c r="F2251" t="s">
        <v>1455</v>
      </c>
      <c r="G2251">
        <v>222.4</v>
      </c>
      <c r="H2251">
        <v>241.74</v>
      </c>
      <c r="I2251">
        <v>241.75</v>
      </c>
      <c r="J2251">
        <v>-0.01</v>
      </c>
    </row>
    <row r="2252" spans="1:10" x14ac:dyDescent="0.3">
      <c r="A2252" t="str">
        <f>HYPERLINK("https://us2.cloudbeds.com/connect/10074733072513#/reservations/30660046233768?display=YQDF83YN5&amp;reservation_id=30660046233768", "YQDF83YN5")</f>
        <v>YQDF83YN5</v>
      </c>
      <c r="B2252" t="s">
        <v>10</v>
      </c>
      <c r="C2252" t="s">
        <v>14</v>
      </c>
      <c r="D2252" t="str">
        <f>HYPERLINK("https://us2.cloudbeds.com/connect/10074733072513#/reservations/30660046233768?display=Allen%20Weihe&amp;reservation_id=30660046233768&amp;guest_id=30650976784579", "Allen Weihe")</f>
        <v>Allen Weihe</v>
      </c>
      <c r="E2252" t="s">
        <v>678</v>
      </c>
      <c r="F2252" t="s">
        <v>1456</v>
      </c>
      <c r="G2252">
        <v>285.60000000000002</v>
      </c>
      <c r="H2252">
        <v>310.44</v>
      </c>
      <c r="I2252">
        <v>310.45</v>
      </c>
      <c r="J2252">
        <v>-0.01</v>
      </c>
    </row>
    <row r="2253" spans="1:10" x14ac:dyDescent="0.3">
      <c r="A2253" t="str">
        <f>HYPERLINK("https://us2.cloudbeds.com/connect/10074733072513#/reservations/30658512568459?display=YQC91T58R&amp;reservation_id=30658512568459", "YQC91T58R")</f>
        <v>YQC91T58R</v>
      </c>
      <c r="B2253" t="s">
        <v>10</v>
      </c>
      <c r="C2253" t="s">
        <v>14</v>
      </c>
      <c r="D2253" t="str">
        <f>HYPERLINK("https://us2.cloudbeds.com/connect/10074733072513#/reservations/30658512568459?display=Dorie%20Weber&amp;reservation_id=30658512568459&amp;guest_id=30658512568453", "Dorie Weber")</f>
        <v>Dorie Weber</v>
      </c>
      <c r="E2253" t="s">
        <v>1457</v>
      </c>
      <c r="F2253" t="s">
        <v>1212</v>
      </c>
      <c r="G2253">
        <v>134.1</v>
      </c>
      <c r="H2253">
        <v>145.76</v>
      </c>
      <c r="I2253">
        <v>145.77000000000001</v>
      </c>
      <c r="J2253">
        <v>-0.01</v>
      </c>
    </row>
    <row r="2254" spans="1:10" x14ac:dyDescent="0.3">
      <c r="A2254" t="str">
        <f>HYPERLINK("https://us2.cloudbeds.com/connect/10074733072513#/reservations/30658370121931?display=YQC5DPCCC&amp;reservation_id=30658370121931", "YQC5DPCCC")</f>
        <v>YQC5DPCCC</v>
      </c>
      <c r="B2254" t="s">
        <v>10</v>
      </c>
      <c r="C2254" t="s">
        <v>42</v>
      </c>
      <c r="D2254" t="str">
        <f>HYPERLINK("https://us2.cloudbeds.com/connect/10074733072513#/reservations/30658370121931?display=Doug%20Roggow&amp;reservation_id=30658370121931&amp;guest_id=30658370121929", "Doug Roggow")</f>
        <v>Doug Roggow</v>
      </c>
      <c r="E2254" t="s">
        <v>1458</v>
      </c>
      <c r="F2254" t="s">
        <v>1450</v>
      </c>
      <c r="G2254">
        <v>210.2</v>
      </c>
      <c r="H2254">
        <v>228.48</v>
      </c>
      <c r="I2254">
        <v>228.49</v>
      </c>
      <c r="J2254">
        <v>-0.01</v>
      </c>
    </row>
    <row r="2255" spans="1:10" x14ac:dyDescent="0.3">
      <c r="A2255" t="str">
        <f>HYPERLINK("https://us2.cloudbeds.com/connect/10074733072513#/reservations/30658999853255?display=YQCYGPJ1P&amp;reservation_id=30658999853255", "YQCYGPJ1P")</f>
        <v>YQCYGPJ1P</v>
      </c>
      <c r="B2255" t="s">
        <v>10</v>
      </c>
      <c r="C2255" t="s">
        <v>42</v>
      </c>
      <c r="D2255" t="str">
        <f>HYPERLINK("https://us2.cloudbeds.com/connect/10074733072513#/reservations/30658999853255?display=Ken%20Brown&amp;reservation_id=30658999853255&amp;guest_id=30658999849168", "Ken Brown")</f>
        <v>Ken Brown</v>
      </c>
      <c r="E2255" t="s">
        <v>1459</v>
      </c>
      <c r="F2255" t="s">
        <v>1455</v>
      </c>
      <c r="G2255">
        <v>250.2</v>
      </c>
      <c r="H2255">
        <v>271.95999999999998</v>
      </c>
      <c r="I2255">
        <v>271.97000000000003</v>
      </c>
      <c r="J2255">
        <v>-0.01</v>
      </c>
    </row>
    <row r="2256" spans="1:10" x14ac:dyDescent="0.3">
      <c r="A2256" t="str">
        <f>HYPERLINK("https://us2.cloudbeds.com/connect/10074733072513#/reservations/30660699054302?display=YQDVUJBJJ&amp;reservation_id=30660699054302", "YQDVUJBJJ")</f>
        <v>YQDVUJBJJ</v>
      </c>
      <c r="B2256" t="s">
        <v>10</v>
      </c>
      <c r="C2256" t="s">
        <v>42</v>
      </c>
      <c r="D2256" t="str">
        <f>HYPERLINK("https://us2.cloudbeds.com/connect/10074733072513#/reservations/30660699054302?display=Gary%20Zimblemann&amp;reservation_id=30660699054302&amp;guest_id=30660699054297", "Gary Zimblemann")</f>
        <v>Gary Zimblemann</v>
      </c>
      <c r="E2256" t="s">
        <v>1460</v>
      </c>
      <c r="F2256" t="s">
        <v>1461</v>
      </c>
      <c r="G2256">
        <v>138.15</v>
      </c>
      <c r="H2256">
        <v>150.16</v>
      </c>
      <c r="I2256">
        <v>150.16999999999999</v>
      </c>
      <c r="J2256">
        <v>-0.01</v>
      </c>
    </row>
    <row r="2257" spans="1:10" x14ac:dyDescent="0.3">
      <c r="A2257" t="str">
        <f>HYPERLINK("https://us2.cloudbeds.com/connect/10074733072513#/reservations/30658533642446?display=YQC9JYXVG&amp;reservation_id=30658533642446", "YQC9JYXVG")</f>
        <v>YQC9JYXVG</v>
      </c>
      <c r="B2257" t="s">
        <v>10</v>
      </c>
      <c r="C2257" t="s">
        <v>14</v>
      </c>
      <c r="D2257" t="str">
        <f>HYPERLINK("https://us2.cloudbeds.com/connect/10074733072513#/reservations/30658533642446?display=Gail%20Voiles&amp;reservation_id=30658533642446&amp;guest_id=30658533642442", "Gail Voiles")</f>
        <v>Gail Voiles</v>
      </c>
      <c r="E2257" t="s">
        <v>1462</v>
      </c>
      <c r="F2257" t="s">
        <v>1212</v>
      </c>
      <c r="G2257">
        <v>90.07</v>
      </c>
      <c r="H2257">
        <v>97.9</v>
      </c>
      <c r="I2257">
        <v>97.91</v>
      </c>
      <c r="J2257">
        <v>-0.01</v>
      </c>
    </row>
    <row r="2258" spans="1:10" x14ac:dyDescent="0.3">
      <c r="A2258" t="str">
        <f>HYPERLINK("https://us2.cloudbeds.com/connect/10074733072513#/reservations/30658512572552?display=YQC91T90S&amp;reservation_id=30658512572552", "YQC91T90S")</f>
        <v>YQC91T90S</v>
      </c>
      <c r="B2258" t="s">
        <v>10</v>
      </c>
      <c r="C2258" t="s">
        <v>11</v>
      </c>
      <c r="D2258" t="str">
        <f>HYPERLINK("https://us2.cloudbeds.com/connect/10074733072513#/reservations/30658512572552?display=Alex%20Mcglothlen&amp;reservation_id=30658512572552&amp;guest_id=30648491585743", "Alex Mcglothlen")</f>
        <v>Alex Mcglothlen</v>
      </c>
      <c r="E2258" t="s">
        <v>583</v>
      </c>
      <c r="F2258" t="s">
        <v>1212</v>
      </c>
      <c r="G2258">
        <v>90.07</v>
      </c>
      <c r="H2258">
        <v>97.9</v>
      </c>
      <c r="I2258">
        <v>97.91</v>
      </c>
      <c r="J2258">
        <v>-0.01</v>
      </c>
    </row>
    <row r="2259" spans="1:10" x14ac:dyDescent="0.3">
      <c r="A2259" t="str">
        <f>HYPERLINK("https://us2.cloudbeds.com/connect/10074733072513#/reservations/30658384175259?display=YQC5PKE5Q&amp;reservation_id=30658384175259", "YQC5PKE5Q")</f>
        <v>YQC5PKE5Q</v>
      </c>
      <c r="B2259" t="s">
        <v>10</v>
      </c>
      <c r="C2259" t="s">
        <v>14</v>
      </c>
      <c r="D2259" t="str">
        <f>HYPERLINK("https://us2.cloudbeds.com/connect/10074733072513#/reservations/30658384175259?display=Ken%20Kollasch&amp;reservation_id=30658384175259&amp;guest_id=30658384175257", "Ken Kollasch")</f>
        <v>Ken Kollasch</v>
      </c>
      <c r="E2259" t="s">
        <v>1463</v>
      </c>
      <c r="F2259" t="s">
        <v>1212</v>
      </c>
      <c r="G2259">
        <v>90.07</v>
      </c>
      <c r="H2259">
        <v>97.9</v>
      </c>
      <c r="I2259">
        <v>97.91</v>
      </c>
      <c r="J2259">
        <v>-0.01</v>
      </c>
    </row>
    <row r="2260" spans="1:10" x14ac:dyDescent="0.3">
      <c r="A2260" t="str">
        <f>HYPERLINK("https://us2.cloudbeds.com/connect/10074733072513#/reservations/30658371735782?display=YQC5F49AV&amp;reservation_id=30658371735782", "YQC5F49AV")</f>
        <v>YQC5F49AV</v>
      </c>
      <c r="B2260" t="s">
        <v>10</v>
      </c>
      <c r="C2260" t="s">
        <v>14</v>
      </c>
      <c r="D2260" t="str">
        <f>HYPERLINK("https://us2.cloudbeds.com/connect/10074733072513#/reservations/30658371735782?display=Darla%20Adams&amp;reservation_id=30658371735782&amp;guest_id=30658371735777", "Darla Adams")</f>
        <v>Darla Adams</v>
      </c>
      <c r="E2260" t="s">
        <v>631</v>
      </c>
      <c r="F2260" t="s">
        <v>1212</v>
      </c>
      <c r="G2260">
        <v>90.07</v>
      </c>
      <c r="H2260">
        <v>97.9</v>
      </c>
      <c r="I2260">
        <v>97.91</v>
      </c>
      <c r="J2260">
        <v>-0.01</v>
      </c>
    </row>
    <row r="2261" spans="1:10" x14ac:dyDescent="0.3">
      <c r="A2261" t="str">
        <f>HYPERLINK("https://us2.cloudbeds.com/connect/10074733072513#/reservations/30658938896546?display=YQCJVCC3P&amp;reservation_id=30658938896546", "YQCJVCC3P")</f>
        <v>YQCJVCC3P</v>
      </c>
      <c r="B2261" t="s">
        <v>10</v>
      </c>
      <c r="C2261" t="s">
        <v>11</v>
      </c>
      <c r="D2261" t="str">
        <f>HYPERLINK("https://us2.cloudbeds.com/connect/10074733072513#/reservations/30658938896546?display=Cheryl%20Hoesman&amp;reservation_id=30658938896546&amp;guest_id=30658938896533", "Cheryl Hoesman")</f>
        <v>Cheryl Hoesman</v>
      </c>
      <c r="E2261" t="s">
        <v>1464</v>
      </c>
      <c r="F2261" t="s">
        <v>1465</v>
      </c>
      <c r="G2261">
        <v>90.07</v>
      </c>
      <c r="H2261">
        <v>97.9</v>
      </c>
      <c r="I2261">
        <v>97.91</v>
      </c>
      <c r="J2261">
        <v>-0.01</v>
      </c>
    </row>
    <row r="2262" spans="1:10" x14ac:dyDescent="0.3">
      <c r="A2262" t="str">
        <f>HYPERLINK("https://us2.cloudbeds.com/connect/10074733072513#/reservations/30658390495408?display=YQC5UV9QF&amp;reservation_id=30658390495408", "YQC5UV9QF")</f>
        <v>YQC5UV9QF</v>
      </c>
      <c r="B2262" t="s">
        <v>10</v>
      </c>
      <c r="C2262" t="s">
        <v>11</v>
      </c>
      <c r="D2262" t="str">
        <f>HYPERLINK("https://us2.cloudbeds.com/connect/10074733072513#/reservations/30658390495408?display=Boris%20Morev&amp;reservation_id=30658390495408&amp;guest_id=30658390495403", "Boris Morev")</f>
        <v>Boris Morev</v>
      </c>
      <c r="E2262" t="s">
        <v>1466</v>
      </c>
      <c r="F2262" t="s">
        <v>1212</v>
      </c>
      <c r="G2262">
        <v>90.07</v>
      </c>
      <c r="H2262">
        <v>97.9</v>
      </c>
      <c r="I2262">
        <v>97.91</v>
      </c>
      <c r="J2262">
        <v>-0.01</v>
      </c>
    </row>
    <row r="2263" spans="1:10" x14ac:dyDescent="0.3">
      <c r="A2263" t="str">
        <f>HYPERLINK("https://us2.cloudbeds.com/connect/10074733072513#/reservations/30658481946797?display=YQC89226M&amp;reservation_id=30658481946797", "YQC89226M")</f>
        <v>YQC89226M</v>
      </c>
      <c r="B2263" t="s">
        <v>10</v>
      </c>
      <c r="C2263" t="s">
        <v>20</v>
      </c>
      <c r="D2263" t="str">
        <f>HYPERLINK("https://us2.cloudbeds.com/connect/10074733072513#/reservations/30658481946797?display=Jose%20Zayas&amp;reservation_id=30658481946797&amp;guest_id=30658473062655", "Jose Zayas")</f>
        <v>Jose Zayas</v>
      </c>
      <c r="E2263" t="s">
        <v>1467</v>
      </c>
      <c r="F2263" t="s">
        <v>1468</v>
      </c>
      <c r="G2263">
        <v>569.1</v>
      </c>
      <c r="H2263">
        <v>618.6</v>
      </c>
      <c r="I2263">
        <v>618.61</v>
      </c>
      <c r="J2263">
        <v>-0.01</v>
      </c>
    </row>
    <row r="2264" spans="1:10" x14ac:dyDescent="0.3">
      <c r="A2264" t="str">
        <f>HYPERLINK("https://us2.cloudbeds.com/connect/10074733072513#/reservations/30658927329436?display=YQCJYKGB9&amp;reservation_id=30658927329436", "YQCJYKGB9")</f>
        <v>YQCJYKGB9</v>
      </c>
      <c r="B2264" t="s">
        <v>10</v>
      </c>
      <c r="C2264" t="s">
        <v>11</v>
      </c>
      <c r="D2264" t="str">
        <f>HYPERLINK("https://us2.cloudbeds.com/connect/10074733072513#/reservations/30658927329436?display=Scott%20Hodne&amp;reservation_id=30658927329436&amp;guest_id=30658927329427", "Scott Hodne")</f>
        <v>Scott Hodne</v>
      </c>
      <c r="E2264" t="s">
        <v>1469</v>
      </c>
      <c r="F2264" t="s">
        <v>1465</v>
      </c>
      <c r="G2264">
        <v>90.07</v>
      </c>
      <c r="H2264">
        <v>97.9</v>
      </c>
      <c r="I2264">
        <v>97.91</v>
      </c>
      <c r="J2264">
        <v>-0.01</v>
      </c>
    </row>
    <row r="2265" spans="1:10" x14ac:dyDescent="0.3">
      <c r="A2265" t="str">
        <f>HYPERLINK("https://us2.cloudbeds.com/connect/10074733072513#/reservations/30658678341806?display=YQCD9M1XJ&amp;reservation_id=30658678341806", "YQCD9M1XJ")</f>
        <v>YQCD9M1XJ</v>
      </c>
      <c r="B2265" t="s">
        <v>10</v>
      </c>
      <c r="C2265" t="s">
        <v>11</v>
      </c>
      <c r="D2265" t="str">
        <f>HYPERLINK("https://us2.cloudbeds.com/connect/10074733072513#/reservations/30658678341806?display=Douglas%20Clem&amp;reservation_id=30658678341806&amp;guest_id=30658671513814", "Douglas Clem")</f>
        <v>Douglas Clem</v>
      </c>
      <c r="E2265" t="s">
        <v>1470</v>
      </c>
      <c r="F2265" t="s">
        <v>1471</v>
      </c>
      <c r="G2265">
        <v>373.2</v>
      </c>
      <c r="H2265">
        <v>405.66</v>
      </c>
      <c r="I2265">
        <v>405.67</v>
      </c>
      <c r="J2265">
        <v>-0.01</v>
      </c>
    </row>
    <row r="2266" spans="1:10" x14ac:dyDescent="0.3">
      <c r="A2266" t="str">
        <f>HYPERLINK("https://us2.cloudbeds.com/connect/10074733072513#/reservations/30658847170761?display=YQCHK0VZH&amp;reservation_id=30658847170761", "YQCHK0VZH")</f>
        <v>YQCHK0VZH</v>
      </c>
      <c r="B2266" t="s">
        <v>10</v>
      </c>
      <c r="C2266" t="s">
        <v>42</v>
      </c>
      <c r="D2266" t="str">
        <f>HYPERLINK("https://us2.cloudbeds.com/connect/10074733072513#/reservations/30658847170761?display=Steven%20Christianson&amp;reservation_id=30658847170761&amp;guest_id=30658847170756", "Steven Christianson")</f>
        <v>Steven Christianson</v>
      </c>
      <c r="E2266" t="s">
        <v>1472</v>
      </c>
      <c r="F2266" t="s">
        <v>1473</v>
      </c>
      <c r="G2266">
        <v>268.2</v>
      </c>
      <c r="H2266">
        <v>291.52</v>
      </c>
      <c r="I2266">
        <v>291.52999999999997</v>
      </c>
      <c r="J2266">
        <v>-0.01</v>
      </c>
    </row>
    <row r="2267" spans="1:10" x14ac:dyDescent="0.3">
      <c r="A2267" t="str">
        <f>HYPERLINK("https://us2.cloudbeds.com/connect/10074733072513#/reservations/30659093520529?display=YQCNTP080&amp;reservation_id=30659093520529", "YQCNTP080")</f>
        <v>YQCNTP080</v>
      </c>
      <c r="B2267" t="s">
        <v>10</v>
      </c>
      <c r="C2267" t="s">
        <v>42</v>
      </c>
      <c r="D2267" t="str">
        <f>HYPERLINK("https://us2.cloudbeds.com/connect/10074733072513#/reservations/30659093520529?display=Nicole%20Decker&amp;reservation_id=30659093520529&amp;guest_id=30659093520527", "Nicole Decker")</f>
        <v>Nicole Decker</v>
      </c>
      <c r="E2267" t="s">
        <v>1474</v>
      </c>
      <c r="F2267" t="s">
        <v>1473</v>
      </c>
      <c r="G2267">
        <v>90.07</v>
      </c>
      <c r="H2267">
        <v>97.9</v>
      </c>
      <c r="I2267">
        <v>97.91</v>
      </c>
      <c r="J2267">
        <v>-0.01</v>
      </c>
    </row>
    <row r="2268" spans="1:10" x14ac:dyDescent="0.3">
      <c r="A2268" t="str">
        <f>HYPERLINK("https://us2.cloudbeds.com/connect/10074733072513#/reservations/30658898649220?display=YQCXUEE1R&amp;reservation_id=30658898649220", "YQCXUEE1R")</f>
        <v>YQCXUEE1R</v>
      </c>
      <c r="B2268" t="s">
        <v>10</v>
      </c>
      <c r="C2268" t="s">
        <v>17</v>
      </c>
      <c r="D2268" t="str">
        <f>HYPERLINK("https://us2.cloudbeds.com/connect/10074733072513#/reservations/30658898649220?display=Amber%20Smith&amp;reservation_id=30658898649220&amp;guest_id=30658898645136", "Amber Smith")</f>
        <v>Amber Smith</v>
      </c>
      <c r="E2268" t="s">
        <v>1475</v>
      </c>
      <c r="F2268" t="s">
        <v>1038</v>
      </c>
      <c r="G2268">
        <v>304.2</v>
      </c>
      <c r="H2268">
        <v>330.66</v>
      </c>
      <c r="I2268">
        <v>330.67</v>
      </c>
      <c r="J2268">
        <v>-0.01</v>
      </c>
    </row>
    <row r="2269" spans="1:10" x14ac:dyDescent="0.3">
      <c r="A2269" t="str">
        <f>HYPERLINK("https://us2.cloudbeds.com/connect/10074733072513#/reservations/30659297976512?display=YQCT4562M&amp;reservation_id=30659297976512", "YQCT4562M")</f>
        <v>YQCT4562M</v>
      </c>
      <c r="B2269" t="s">
        <v>10</v>
      </c>
      <c r="C2269" t="s">
        <v>42</v>
      </c>
      <c r="D2269" t="str">
        <f>HYPERLINK("https://us2.cloudbeds.com/connect/10074733072513#/reservations/30659297976512?display=Sally%20Burnham&amp;reservation_id=30659297976512&amp;guest_id=30659297972426", "Sally Burnham")</f>
        <v>Sally Burnham</v>
      </c>
      <c r="E2269" t="s">
        <v>1476</v>
      </c>
      <c r="F2269" t="s">
        <v>1477</v>
      </c>
      <c r="G2269">
        <v>500.4</v>
      </c>
      <c r="H2269">
        <v>543.91999999999996</v>
      </c>
      <c r="I2269">
        <v>543.92999999999995</v>
      </c>
      <c r="J2269">
        <v>-0.01</v>
      </c>
    </row>
    <row r="2270" spans="1:10" x14ac:dyDescent="0.3">
      <c r="A2270" t="str">
        <f>HYPERLINK("https://us2.cloudbeds.com/connect/10074733072513#/reservations/30662251200731?display=YQF5JD3ZS&amp;reservation_id=30662251200731", "YQF5JD3ZS")</f>
        <v>YQF5JD3ZS</v>
      </c>
      <c r="B2270" t="s">
        <v>10</v>
      </c>
      <c r="C2270" t="s">
        <v>14</v>
      </c>
      <c r="D2270" t="str">
        <f>HYPERLINK("https://us2.cloudbeds.com/connect/10074733072513#/reservations/30662251200731?display=Hannah%20Hoelscher&amp;reservation_id=30662251200731&amp;guest_id=30662251200726", "Hannah Hoelscher")</f>
        <v>Hannah Hoelscher</v>
      </c>
      <c r="E2270" t="s">
        <v>1478</v>
      </c>
      <c r="F2270" t="s">
        <v>934</v>
      </c>
      <c r="G2270">
        <v>267.3</v>
      </c>
      <c r="H2270">
        <v>290.55</v>
      </c>
      <c r="I2270">
        <v>290.56</v>
      </c>
      <c r="J2270">
        <v>-0.01</v>
      </c>
    </row>
    <row r="2271" spans="1:10" x14ac:dyDescent="0.3">
      <c r="A2271" t="str">
        <f>HYPERLINK("https://us2.cloudbeds.com/connect/10074733072513#/reservations/30658659045596?display=YQCCQD3BU&amp;reservation_id=30658659045596", "YQCCQD3BU")</f>
        <v>YQCCQD3BU</v>
      </c>
      <c r="B2271" t="s">
        <v>10</v>
      </c>
      <c r="C2271" t="s">
        <v>20</v>
      </c>
      <c r="D2271" t="str">
        <f>HYPERLINK("https://us2.cloudbeds.com/connect/10074733072513#/reservations/30658659045596?display=Catherine%20Gaudineau&amp;reservation_id=30658659045596&amp;guest_id=30658653577354", "Catherine Gaudineau")</f>
        <v>Catherine Gaudineau</v>
      </c>
      <c r="E2271" t="s">
        <v>1479</v>
      </c>
      <c r="F2271" t="s">
        <v>1480</v>
      </c>
      <c r="G2271">
        <v>222.4</v>
      </c>
      <c r="H2271">
        <v>241.74</v>
      </c>
      <c r="I2271">
        <v>241.75</v>
      </c>
      <c r="J2271">
        <v>-0.01</v>
      </c>
    </row>
    <row r="2272" spans="1:10" x14ac:dyDescent="0.3">
      <c r="A2272" t="str">
        <f>HYPERLINK("https://us2.cloudbeds.com/connect/10074733072513#/reservations/30661666717949?display=YQENYX0KD&amp;reservation_id=30661666717949", "YQENYX0KD")</f>
        <v>YQENYX0KD</v>
      </c>
      <c r="B2272" t="s">
        <v>10</v>
      </c>
      <c r="C2272" t="s">
        <v>42</v>
      </c>
      <c r="D2272" t="str">
        <f>HYPERLINK("https://us2.cloudbeds.com/connect/10074733072513#/reservations/30661666717949?display=Shannon%20Luthc&amp;reservation_id=30661666717949&amp;guest_id=30661210460385", "Shannon Luthc")</f>
        <v>Shannon Luthc</v>
      </c>
      <c r="E2272" t="s">
        <v>1481</v>
      </c>
      <c r="F2272" t="s">
        <v>1482</v>
      </c>
      <c r="G2272">
        <v>268.2</v>
      </c>
      <c r="H2272">
        <v>291.52</v>
      </c>
      <c r="I2272">
        <v>291.52999999999997</v>
      </c>
      <c r="J2272">
        <v>-0.01</v>
      </c>
    </row>
    <row r="2273" spans="1:10" x14ac:dyDescent="0.3">
      <c r="A2273" t="str">
        <f>HYPERLINK("https://us2.cloudbeds.com/connect/10074733072513#/reservations/30661219336341?display=YQEC79VSW&amp;reservation_id=30661219336341", "YQEC79VSW")</f>
        <v>YQEC79VSW</v>
      </c>
      <c r="B2273" t="s">
        <v>10</v>
      </c>
      <c r="C2273" t="s">
        <v>42</v>
      </c>
      <c r="D2273" t="str">
        <f>HYPERLINK("https://us2.cloudbeds.com/connect/10074733072513#/reservations/30661219336341?display=Moneik%20Stephens&amp;reservation_id=30661219336341&amp;guest_id=30661219336339", "Moneik Stephens")</f>
        <v>Moneik Stephens</v>
      </c>
      <c r="E2273" t="s">
        <v>1483</v>
      </c>
      <c r="F2273" t="s">
        <v>1397</v>
      </c>
      <c r="G2273">
        <v>250.2</v>
      </c>
      <c r="H2273">
        <v>271.95999999999998</v>
      </c>
      <c r="I2273">
        <v>271.97000000000003</v>
      </c>
      <c r="J2273">
        <v>-0.01</v>
      </c>
    </row>
    <row r="2274" spans="1:10" x14ac:dyDescent="0.3">
      <c r="A2274" t="str">
        <f>HYPERLINK("https://us2.cloudbeds.com/connect/10074733072513#/reservations/30658645639396?display=YQCCF31QF&amp;reservation_id=30658645639396", "YQCCF31QF")</f>
        <v>YQCCF31QF</v>
      </c>
      <c r="B2274" t="s">
        <v>10</v>
      </c>
      <c r="C2274" t="s">
        <v>20</v>
      </c>
      <c r="D2274" t="str">
        <f>HYPERLINK("https://us2.cloudbeds.com/connect/10074733072513#/reservations/30658645639396?display=Austin%20Holmes&amp;reservation_id=30658645639396&amp;guest_id=30658645639393", "Austin Holmes")</f>
        <v>Austin Holmes</v>
      </c>
      <c r="E2274" t="s">
        <v>1484</v>
      </c>
      <c r="F2274" t="s">
        <v>1485</v>
      </c>
      <c r="G2274">
        <v>134.1</v>
      </c>
      <c r="H2274">
        <v>145.76</v>
      </c>
      <c r="I2274">
        <v>145.77000000000001</v>
      </c>
      <c r="J2274">
        <v>-0.01</v>
      </c>
    </row>
    <row r="2275" spans="1:10" x14ac:dyDescent="0.3">
      <c r="A2275" t="str">
        <f>HYPERLINK("https://us2.cloudbeds.com/connect/10074733072513#/reservations/30660118888663?display=YQDH3CCPY&amp;reservation_id=30660118888663", "YQDH3CCPY")</f>
        <v>YQDH3CCPY</v>
      </c>
      <c r="B2275" t="s">
        <v>10</v>
      </c>
      <c r="C2275" t="s">
        <v>20</v>
      </c>
      <c r="D2275" t="str">
        <f>HYPERLINK("https://us2.cloudbeds.com/connect/10074733072513#/reservations/30660118888663?display=Shelly%20Wood&amp;reservation_id=30660118888663&amp;guest_id=30660118888661", "Shelly Wood")</f>
        <v>Shelly Wood</v>
      </c>
      <c r="E2275" t="s">
        <v>1486</v>
      </c>
      <c r="F2275" t="s">
        <v>1487</v>
      </c>
      <c r="G2275">
        <v>87.2</v>
      </c>
      <c r="H2275">
        <v>94.78</v>
      </c>
      <c r="I2275">
        <v>94.79</v>
      </c>
      <c r="J2275">
        <v>-0.01</v>
      </c>
    </row>
    <row r="2276" spans="1:10" x14ac:dyDescent="0.3">
      <c r="A2276" t="str">
        <f>HYPERLINK("https://us2.cloudbeds.com/connect/10074733072513#/reservations/30660590846157?display=YQDT5B9TT&amp;reservation_id=30660590846157", "YQDT5B9TT")</f>
        <v>YQDT5B9TT</v>
      </c>
      <c r="B2276" t="s">
        <v>10</v>
      </c>
      <c r="C2276" t="s">
        <v>42</v>
      </c>
      <c r="D2276" t="str">
        <f>HYPERLINK("https://us2.cloudbeds.com/connect/10074733072513#/reservations/30660590846157?display=Wade%20Venstad&amp;reservation_id=30660590846157&amp;guest_id=30660590846146", "Wade Venstad")</f>
        <v>Wade Venstad</v>
      </c>
      <c r="E2276" t="s">
        <v>1488</v>
      </c>
      <c r="F2276" t="s">
        <v>1489</v>
      </c>
      <c r="G2276">
        <v>250.2</v>
      </c>
      <c r="H2276">
        <v>271.95999999999998</v>
      </c>
      <c r="I2276">
        <v>271.97000000000003</v>
      </c>
      <c r="J2276">
        <v>-0.01</v>
      </c>
    </row>
    <row r="2277" spans="1:10" x14ac:dyDescent="0.3">
      <c r="A2277" t="str">
        <f>HYPERLINK("https://us2.cloudbeds.com/connect/10074733072513#/reservations/30662568857849?display=YQFDN8CU4&amp;reservation_id=30662568857849", "YQFDN8CU4")</f>
        <v>YQFDN8CU4</v>
      </c>
      <c r="B2277" t="s">
        <v>10</v>
      </c>
      <c r="C2277" t="s">
        <v>42</v>
      </c>
      <c r="D2277" t="str">
        <f>HYPERLINK("https://us2.cloudbeds.com/connect/10074733072513#/reservations/30662568857849?display=Jerry%20Ward&amp;reservation_id=30662568857849&amp;guest_id=30662558584994", "Jerry Ward")</f>
        <v>Jerry Ward</v>
      </c>
      <c r="E2277" t="s">
        <v>327</v>
      </c>
      <c r="F2277" t="s">
        <v>1490</v>
      </c>
      <c r="G2277">
        <v>534.6</v>
      </c>
      <c r="H2277">
        <v>581.1</v>
      </c>
      <c r="I2277">
        <v>581.11</v>
      </c>
      <c r="J2277">
        <v>-0.01</v>
      </c>
    </row>
    <row r="2278" spans="1:10" x14ac:dyDescent="0.3">
      <c r="A2278" t="str">
        <f>HYPERLINK("https://us2.cloudbeds.com/connect/10074733072513#/reservations/30662575681720?display=YQFDT0933&amp;reservation_id=30662575681720", "YQFDT0933")</f>
        <v>YQFDT0933</v>
      </c>
      <c r="B2278" t="s">
        <v>10</v>
      </c>
      <c r="C2278" t="s">
        <v>42</v>
      </c>
      <c r="D2278" t="str">
        <f>HYPERLINK("https://us2.cloudbeds.com/connect/10074733072513#/reservations/30662575681720?display=Jerry%20Ward&amp;reservation_id=30662575681720&amp;guest_id=17963757646033", "Jerry Ward")</f>
        <v>Jerry Ward</v>
      </c>
      <c r="E2278" t="s">
        <v>327</v>
      </c>
      <c r="F2278" t="s">
        <v>1490</v>
      </c>
      <c r="G2278">
        <v>534.6</v>
      </c>
      <c r="H2278">
        <v>581.1</v>
      </c>
      <c r="I2278">
        <v>581.11</v>
      </c>
      <c r="J2278">
        <v>-0.01</v>
      </c>
    </row>
    <row r="2279" spans="1:10" x14ac:dyDescent="0.3">
      <c r="A2279" t="str">
        <f>HYPERLINK("https://us2.cloudbeds.com/connect/10074733072513#/reservations/30660746510499?display=YQE04JTC5&amp;reservation_id=30660746510499", "YQE04JTC5")</f>
        <v>YQE04JTC5</v>
      </c>
      <c r="B2279" t="s">
        <v>10</v>
      </c>
      <c r="C2279" t="s">
        <v>17</v>
      </c>
      <c r="D2279" t="str">
        <f>HYPERLINK("https://us2.cloudbeds.com/connect/10074733072513#/reservations/30660746510499?display=Jessie%20Sharp&amp;reservation_id=30660746510499&amp;guest_id=30660746510496", "Jessie Sharp")</f>
        <v>Jessie Sharp</v>
      </c>
      <c r="E2279" t="s">
        <v>1491</v>
      </c>
      <c r="F2279" t="s">
        <v>1461</v>
      </c>
      <c r="G2279">
        <v>250.2</v>
      </c>
      <c r="H2279">
        <v>271.95999999999998</v>
      </c>
      <c r="I2279">
        <v>271.97000000000003</v>
      </c>
      <c r="J2279">
        <v>-0.01</v>
      </c>
    </row>
    <row r="2280" spans="1:10" x14ac:dyDescent="0.3">
      <c r="A2280" t="str">
        <f>HYPERLINK("https://us2.cloudbeds.com/connect/10074733072513#/reservations/30660103401655?display=YQDGNAEFC&amp;reservation_id=30660103401655", "YQDGNAEFC")</f>
        <v>YQDGNAEFC</v>
      </c>
      <c r="B2280" t="s">
        <v>10</v>
      </c>
      <c r="C2280" t="s">
        <v>42</v>
      </c>
      <c r="D2280" t="str">
        <f>HYPERLINK("https://us2.cloudbeds.com/connect/10074733072513#/reservations/30660103401655?display=Catherine%20Mielke&amp;reservation_id=30660103401655&amp;guest_id=30660098076894", "Catherine Mielke")</f>
        <v>Catherine Mielke</v>
      </c>
      <c r="E2280" t="s">
        <v>1494</v>
      </c>
      <c r="F2280" t="s">
        <v>1453</v>
      </c>
      <c r="G2280">
        <v>294.3</v>
      </c>
      <c r="H2280">
        <v>319.89</v>
      </c>
      <c r="I2280">
        <v>319.89999999999998</v>
      </c>
      <c r="J2280">
        <v>-0.01</v>
      </c>
    </row>
    <row r="2281" spans="1:10" x14ac:dyDescent="0.3">
      <c r="A2281" t="str">
        <f>HYPERLINK("https://us2.cloudbeds.com/connect/10074733072513#/reservations/30660370927772?display=YQDNHTZYC&amp;reservation_id=30660370927772", "YQDNHTZYC")</f>
        <v>YQDNHTZYC</v>
      </c>
      <c r="B2281" t="s">
        <v>10</v>
      </c>
      <c r="C2281" t="s">
        <v>14</v>
      </c>
      <c r="D2281" t="str">
        <f>HYPERLINK("https://us2.cloudbeds.com/connect/10074733072513#/reservations/30660370927772?display=David%20Effler&amp;reservation_id=30660370927772&amp;guest_id=30660364107982", "David Effler")</f>
        <v>David Effler</v>
      </c>
      <c r="E2281" t="s">
        <v>1495</v>
      </c>
      <c r="F2281" t="s">
        <v>1487</v>
      </c>
      <c r="G2281">
        <v>87.2</v>
      </c>
      <c r="H2281">
        <v>94.78</v>
      </c>
      <c r="I2281">
        <v>94.79</v>
      </c>
      <c r="J2281">
        <v>-0.01</v>
      </c>
    </row>
    <row r="2282" spans="1:10" x14ac:dyDescent="0.3">
      <c r="A2282" t="str">
        <f>HYPERLINK("https://us2.cloudbeds.com/connect/10074733072513#/reservations/30659509715159?display=YQD1HN7QG&amp;reservation_id=30659509715159", "YQD1HN7QG")</f>
        <v>YQD1HN7QG</v>
      </c>
      <c r="B2282" t="s">
        <v>10</v>
      </c>
      <c r="C2282" t="s">
        <v>20</v>
      </c>
      <c r="D2282" t="str">
        <f>HYPERLINK("https://us2.cloudbeds.com/connect/10074733072513#/reservations/30659509715159?display=Larry%20Clark&amp;reservation_id=30659509715159&amp;guest_id=30659504500864", "Larry Clark")</f>
        <v>Larry Clark</v>
      </c>
      <c r="E2282" t="s">
        <v>1496</v>
      </c>
      <c r="F2282" t="s">
        <v>1497</v>
      </c>
      <c r="G2282">
        <v>206.4</v>
      </c>
      <c r="H2282">
        <v>224.35</v>
      </c>
      <c r="I2282">
        <v>224.36</v>
      </c>
      <c r="J2282">
        <v>-0.01</v>
      </c>
    </row>
    <row r="2283" spans="1:10" x14ac:dyDescent="0.3">
      <c r="A2283" t="str">
        <f>HYPERLINK("https://us2.cloudbeds.com/connect/10074733072513#/reservations/30660627685521?display=YQDU3DDH8&amp;reservation_id=30660627685521", "YQDU3DDH8")</f>
        <v>YQDU3DDH8</v>
      </c>
      <c r="B2283" t="s">
        <v>10</v>
      </c>
      <c r="C2283" t="s">
        <v>20</v>
      </c>
      <c r="D2283" t="str">
        <f>HYPERLINK("https://us2.cloudbeds.com/connect/10074733072513#/reservations/30660627685521?display=Jenna%20Anderson&amp;reservation_id=30660627685521&amp;guest_id=30660627685517", "Jenna Anderson")</f>
        <v>Jenna Anderson</v>
      </c>
      <c r="E2283" t="s">
        <v>1498</v>
      </c>
      <c r="F2283" t="s">
        <v>1499</v>
      </c>
      <c r="G2283">
        <v>103.2</v>
      </c>
      <c r="H2283">
        <v>112.17</v>
      </c>
      <c r="I2283">
        <v>112.18</v>
      </c>
      <c r="J2283">
        <v>-0.01</v>
      </c>
    </row>
    <row r="2284" spans="1:10" x14ac:dyDescent="0.3">
      <c r="A2284" t="str">
        <f>HYPERLINK("https://us2.cloudbeds.com/connect/10074733072513#/reservations/30659896471709?display=YQDBDRA4V&amp;reservation_id=30659896471709", "YQDBDRA4V")</f>
        <v>YQDBDRA4V</v>
      </c>
      <c r="B2284" t="s">
        <v>10</v>
      </c>
      <c r="C2284" t="s">
        <v>20</v>
      </c>
      <c r="D2284" t="str">
        <f>HYPERLINK("https://us2.cloudbeds.com/connect/10074733072513#/reservations/30659896471709?display=Donna%20Lee&amp;reservation_id=30659896471709&amp;guest_id=30659896467623", "Donna Lee")</f>
        <v>Donna Lee</v>
      </c>
      <c r="E2284" t="s">
        <v>1500</v>
      </c>
      <c r="F2284" t="s">
        <v>1501</v>
      </c>
      <c r="G2284">
        <v>196.2</v>
      </c>
      <c r="H2284">
        <v>213.26</v>
      </c>
      <c r="I2284">
        <v>213.27</v>
      </c>
      <c r="J2284">
        <v>-0.01</v>
      </c>
    </row>
    <row r="2285" spans="1:10" x14ac:dyDescent="0.3">
      <c r="A2285" t="str">
        <f>HYPERLINK("https://us2.cloudbeds.com/connect/10074733072513#/reservations/30661227274482?display=YQECDWS8N&amp;reservation_id=30661227274482", "YQECDWS8N")</f>
        <v>YQECDWS8N</v>
      </c>
      <c r="B2285" t="s">
        <v>10</v>
      </c>
      <c r="C2285" t="s">
        <v>20</v>
      </c>
      <c r="D2285" t="str">
        <f>HYPERLINK("https://us2.cloudbeds.com/connect/10074733072513#/reservations/30661227274482?display=Carolyn%20Law&amp;reservation_id=30661227274482&amp;guest_id=30661227274480", "Carolyn Law")</f>
        <v>Carolyn Law</v>
      </c>
      <c r="E2285" t="s">
        <v>1502</v>
      </c>
      <c r="F2285" t="s">
        <v>1503</v>
      </c>
      <c r="G2285">
        <v>87.2</v>
      </c>
      <c r="H2285">
        <v>94.78</v>
      </c>
      <c r="I2285">
        <v>94.79</v>
      </c>
      <c r="J2285">
        <v>-0.01</v>
      </c>
    </row>
    <row r="2286" spans="1:10" x14ac:dyDescent="0.3">
      <c r="A2286" t="str">
        <f>HYPERLINK("https://us2.cloudbeds.com/connect/10074733072513#/reservations/30658692530370?display=YQCDYKSX2&amp;reservation_id=30658692530370", "YQCDYKSX2")</f>
        <v>YQCDYKSX2</v>
      </c>
      <c r="B2286" t="s">
        <v>10</v>
      </c>
      <c r="C2286" t="s">
        <v>14</v>
      </c>
      <c r="D2286" t="str">
        <f>HYPERLINK("https://us2.cloudbeds.com/connect/10074733072513#/reservations/30658692530370?display=Brenda%20Mix-Osbeck&amp;reservation_id=30658692530370&amp;guest_id=30658687598817", "Brenda Mix-Osbeck")</f>
        <v>Brenda Mix-Osbeck</v>
      </c>
      <c r="E2286" t="s">
        <v>1504</v>
      </c>
      <c r="F2286" t="s">
        <v>1471</v>
      </c>
      <c r="G2286">
        <v>90.07</v>
      </c>
      <c r="H2286">
        <v>97.9</v>
      </c>
      <c r="I2286">
        <v>97.91</v>
      </c>
      <c r="J2286">
        <v>-0.01</v>
      </c>
    </row>
    <row r="2287" spans="1:10" x14ac:dyDescent="0.3">
      <c r="A2287" t="str">
        <f>HYPERLINK("https://us2.cloudbeds.com/connect/10074733072513#/reservations/30658694340760?display=YQCDN57WC&amp;reservation_id=30658694340760", "YQCDN57WC")</f>
        <v>YQCDN57WC</v>
      </c>
      <c r="B2287" t="s">
        <v>10</v>
      </c>
      <c r="C2287" t="s">
        <v>14</v>
      </c>
      <c r="D2287" t="str">
        <f>HYPERLINK("https://us2.cloudbeds.com/connect/10074733072513#/reservations/30658694340760?display=Kristen%20Sampah&amp;reservation_id=30658694340760&amp;guest_id=30658694340755", "Kristen Sampah")</f>
        <v>Kristen Sampah</v>
      </c>
      <c r="E2287" t="s">
        <v>1504</v>
      </c>
      <c r="F2287" t="s">
        <v>1471</v>
      </c>
      <c r="G2287">
        <v>90.07</v>
      </c>
      <c r="H2287">
        <v>97.9</v>
      </c>
      <c r="I2287">
        <v>97.91</v>
      </c>
      <c r="J2287">
        <v>-0.01</v>
      </c>
    </row>
    <row r="2288" spans="1:10" x14ac:dyDescent="0.3">
      <c r="A2288" t="str">
        <f>HYPERLINK("https://us2.cloudbeds.com/connect/10074733072513#/reservations/30658699555070?display=YQCDRXB4P&amp;reservation_id=30658699555070", "YQCDRXB4P")</f>
        <v>YQCDRXB4P</v>
      </c>
      <c r="B2288" t="s">
        <v>10</v>
      </c>
      <c r="C2288" t="s">
        <v>11</v>
      </c>
      <c r="D2288" t="str">
        <f>HYPERLINK("https://us2.cloudbeds.com/connect/10074733072513#/reservations/30658699555070?display=Brian%20King&amp;reservation_id=30658699555070&amp;guest_id=30658699555068", "Brian King")</f>
        <v>Brian King</v>
      </c>
      <c r="E2288" t="s">
        <v>1505</v>
      </c>
      <c r="F2288" t="s">
        <v>1471</v>
      </c>
      <c r="G2288">
        <v>90.07</v>
      </c>
      <c r="H2288">
        <v>97.9</v>
      </c>
      <c r="I2288">
        <v>97.91</v>
      </c>
      <c r="J2288">
        <v>-0.01</v>
      </c>
    </row>
    <row r="2289" spans="1:10" x14ac:dyDescent="0.3">
      <c r="A2289" t="str">
        <f>HYPERLINK("https://us2.cloudbeds.com/connect/10074733072513#/reservations/30660835840157?display=YQE2DUKEG&amp;reservation_id=30660835840157", "YQE2DUKEG")</f>
        <v>YQE2DUKEG</v>
      </c>
      <c r="B2289" t="s">
        <v>10</v>
      </c>
      <c r="C2289" t="s">
        <v>20</v>
      </c>
      <c r="D2289" t="str">
        <f>HYPERLINK("https://us2.cloudbeds.com/connect/10074733072513#/reservations/30660835840157?display=Jerome%20Vanloh&amp;reservation_id=30660835840157&amp;guest_id=30660835840151", "Jerome Vanloh")</f>
        <v>Jerome Vanloh</v>
      </c>
      <c r="E2289" t="s">
        <v>1507</v>
      </c>
      <c r="F2289" t="s">
        <v>1386</v>
      </c>
      <c r="G2289">
        <v>87.2</v>
      </c>
      <c r="H2289">
        <v>94.78</v>
      </c>
      <c r="I2289">
        <v>94.79</v>
      </c>
      <c r="J2289">
        <v>-0.01</v>
      </c>
    </row>
    <row r="2290" spans="1:10" x14ac:dyDescent="0.3">
      <c r="A2290" t="str">
        <f>HYPERLINK("https://us2.cloudbeds.com/connect/10074733072513#/reservations/30658833502357?display=YQCH8GKDF&amp;reservation_id=30658833502357", "YQCH8GKDF")</f>
        <v>YQCH8GKDF</v>
      </c>
      <c r="B2290" t="s">
        <v>10</v>
      </c>
      <c r="C2290" t="s">
        <v>14</v>
      </c>
      <c r="D2290" t="str">
        <f>HYPERLINK("https://us2.cloudbeds.com/connect/10074733072513#/reservations/30658833502357?display=Alejandro%20House&amp;reservation_id=30658833502357&amp;guest_id=30658833502353", "Alejandro House")</f>
        <v>Alejandro House</v>
      </c>
      <c r="E2290" t="s">
        <v>1508</v>
      </c>
      <c r="F2290" t="s">
        <v>1471</v>
      </c>
      <c r="G2290">
        <v>90.07</v>
      </c>
      <c r="H2290">
        <v>97.9</v>
      </c>
      <c r="I2290">
        <v>97.91</v>
      </c>
      <c r="J2290">
        <v>-0.01</v>
      </c>
    </row>
    <row r="2291" spans="1:10" x14ac:dyDescent="0.3">
      <c r="A2291" t="str">
        <f>HYPERLINK("https://us2.cloudbeds.com/connect/10074733072513#/reservations/30658826322082?display=YQCH2EQVC&amp;reservation_id=30658826322082", "YQCH2EQVC")</f>
        <v>YQCH2EQVC</v>
      </c>
      <c r="B2291" t="s">
        <v>10</v>
      </c>
      <c r="C2291" t="s">
        <v>14</v>
      </c>
      <c r="D2291" t="str">
        <f>HYPERLINK("https://us2.cloudbeds.com/connect/10074733072513#/reservations/30658826322082?display=Richard%20Drucis&amp;reservation_id=30658826322082&amp;guest_id=30658826322079", "Richard Drucis")</f>
        <v>Richard Drucis</v>
      </c>
      <c r="E2291" t="s">
        <v>1509</v>
      </c>
      <c r="F2291" t="s">
        <v>1471</v>
      </c>
      <c r="G2291">
        <v>90.07</v>
      </c>
      <c r="H2291">
        <v>97.9</v>
      </c>
      <c r="I2291">
        <v>97.91</v>
      </c>
      <c r="J2291">
        <v>-0.01</v>
      </c>
    </row>
    <row r="2292" spans="1:10" x14ac:dyDescent="0.3">
      <c r="A2292" t="str">
        <f>HYPERLINK("https://us2.cloudbeds.com/connect/10074733072513#/reservations/30658668028096?display=YQCCS4AF3&amp;reservation_id=30658668028096", "YQCCS4AF3")</f>
        <v>YQCCS4AF3</v>
      </c>
      <c r="B2292" t="s">
        <v>10</v>
      </c>
      <c r="C2292" t="s">
        <v>42</v>
      </c>
      <c r="D2292" t="str">
        <f>HYPERLINK("https://us2.cloudbeds.com/connect/10074733072513#/reservations/30658668028096?display=Michael%20Anderson&amp;reservation_id=30658668028096&amp;guest_id=30658661101730", "Michael Anderson")</f>
        <v>Michael Anderson</v>
      </c>
      <c r="E2292" t="s">
        <v>1510</v>
      </c>
      <c r="F2292" t="s">
        <v>1471</v>
      </c>
      <c r="G2292">
        <v>134.1</v>
      </c>
      <c r="H2292">
        <v>145.76</v>
      </c>
      <c r="I2292">
        <v>145.77000000000001</v>
      </c>
      <c r="J2292">
        <v>-0.01</v>
      </c>
    </row>
    <row r="2293" spans="1:10" x14ac:dyDescent="0.3">
      <c r="A2293" t="str">
        <f>HYPERLINK("https://us2.cloudbeds.com/connect/10074733072513#/reservations/30661705236635?display=YQEZY0SAA&amp;reservation_id=30661705236635", "YQEZY0SAA")</f>
        <v>YQEZY0SAA</v>
      </c>
      <c r="B2293" t="s">
        <v>10</v>
      </c>
      <c r="C2293" t="s">
        <v>42</v>
      </c>
      <c r="D2293" t="str">
        <f>HYPERLINK("https://us2.cloudbeds.com/connect/10074733072513#/reservations/30661705236635?display=Brandon%20Rausch&amp;reservation_id=30661705236635&amp;guest_id=30661697372355", "Brandon Rausch")</f>
        <v>Brandon Rausch</v>
      </c>
      <c r="E2293" t="s">
        <v>1511</v>
      </c>
      <c r="F2293" t="s">
        <v>1397</v>
      </c>
      <c r="G2293">
        <v>250.2</v>
      </c>
      <c r="H2293">
        <v>271.95999999999998</v>
      </c>
      <c r="I2293">
        <v>271.97000000000003</v>
      </c>
      <c r="J2293">
        <v>-0.01</v>
      </c>
    </row>
    <row r="2294" spans="1:10" x14ac:dyDescent="0.3">
      <c r="A2294" t="str">
        <f>HYPERLINK("https://us2.cloudbeds.com/connect/10074733072513#/reservations/30659572142316?display=YQD34BC0H&amp;reservation_id=30659572142316", "YQD34BC0H")</f>
        <v>YQD34BC0H</v>
      </c>
      <c r="B2294" t="s">
        <v>10</v>
      </c>
      <c r="C2294" t="s">
        <v>20</v>
      </c>
      <c r="D2294" t="str">
        <f>HYPERLINK("https://us2.cloudbeds.com/connect/10074733072513#/reservations/30659572142316?display=Diana%20Riffle&amp;reservation_id=30659572142316&amp;guest_id=30659566788762", "Diana Riffle")</f>
        <v>Diana Riffle</v>
      </c>
      <c r="E2294" t="s">
        <v>1512</v>
      </c>
      <c r="F2294" t="s">
        <v>1513</v>
      </c>
      <c r="G2294">
        <v>87.2</v>
      </c>
      <c r="H2294">
        <v>94.78</v>
      </c>
      <c r="I2294">
        <v>94.79</v>
      </c>
      <c r="J2294">
        <v>-0.01</v>
      </c>
    </row>
    <row r="2295" spans="1:10" x14ac:dyDescent="0.3">
      <c r="A2295" t="str">
        <f>HYPERLINK("https://us2.cloudbeds.com/connect/10074733072513#/reservations/30658492965019?display=YQC8XBYV6&amp;reservation_id=30658492965019", "YQC8XBYV6")</f>
        <v>YQC8XBYV6</v>
      </c>
      <c r="B2295" t="s">
        <v>10</v>
      </c>
      <c r="C2295" t="s">
        <v>17</v>
      </c>
      <c r="D2295" t="str">
        <f>HYPERLINK("https://us2.cloudbeds.com/connect/10074733072513#/reservations/30658492965019?display=Joshua%20Finstad&amp;reservation_id=30658492965019&amp;guest_id=30658492965017", "Joshua Finstad")</f>
        <v>Joshua Finstad</v>
      </c>
      <c r="E2295" t="s">
        <v>1519</v>
      </c>
      <c r="F2295" t="s">
        <v>1468</v>
      </c>
      <c r="G2295">
        <v>250.2</v>
      </c>
      <c r="H2295">
        <v>271.95999999999998</v>
      </c>
      <c r="I2295">
        <v>271.97000000000003</v>
      </c>
      <c r="J2295">
        <v>-0.01</v>
      </c>
    </row>
    <row r="2296" spans="1:10" x14ac:dyDescent="0.3">
      <c r="A2296" t="str">
        <f>HYPERLINK("https://us2.cloudbeds.com/connect/10074733072513#/reservations/30660320075911?display=YQDM80NNU&amp;reservation_id=30660320075911", "YQDM80NNU")</f>
        <v>YQDM80NNU</v>
      </c>
      <c r="B2296" t="s">
        <v>10</v>
      </c>
      <c r="C2296" t="s">
        <v>42</v>
      </c>
      <c r="D2296" t="str">
        <f>HYPERLINK("https://us2.cloudbeds.com/connect/10074733072513#/reservations/30660320075911?display=Brett%20Rasmussen&amp;reservation_id=30660320075911&amp;guest_id=30660320075908", "Brett Rasmussen")</f>
        <v>Brett Rasmussen</v>
      </c>
      <c r="E2296" t="s">
        <v>1522</v>
      </c>
      <c r="F2296" t="s">
        <v>1517</v>
      </c>
      <c r="G2296">
        <v>118.15</v>
      </c>
      <c r="H2296">
        <v>128.41999999999999</v>
      </c>
      <c r="I2296">
        <v>128.43</v>
      </c>
      <c r="J2296">
        <v>-0.01</v>
      </c>
    </row>
    <row r="2297" spans="1:10" x14ac:dyDescent="0.3">
      <c r="A2297" t="str">
        <f>HYPERLINK("https://us2.cloudbeds.com/connect/10074733072513#/reservations/30660311191703?display=YQDM0HGJG&amp;reservation_id=30660311191703", "YQDM0HGJG")</f>
        <v>YQDM0HGJG</v>
      </c>
      <c r="B2297" t="s">
        <v>10</v>
      </c>
      <c r="C2297" t="s">
        <v>42</v>
      </c>
      <c r="D2297" t="str">
        <f>HYPERLINK("https://us2.cloudbeds.com/connect/10074733072513#/reservations/30660311191703?display=Dana%20Watkins&amp;reservation_id=30660311191703&amp;guest_id=30660311191698", "Dana Watkins")</f>
        <v>Dana Watkins</v>
      </c>
      <c r="E2297" t="s">
        <v>1523</v>
      </c>
      <c r="F2297" t="s">
        <v>1517</v>
      </c>
      <c r="G2297">
        <v>118.15</v>
      </c>
      <c r="H2297">
        <v>128.41999999999999</v>
      </c>
      <c r="I2297">
        <v>128.43</v>
      </c>
      <c r="J2297">
        <v>-0.01</v>
      </c>
    </row>
    <row r="2298" spans="1:10" x14ac:dyDescent="0.3">
      <c r="A2298" t="str">
        <f>HYPERLINK("https://us2.cloudbeds.com/connect/10074733072513#/reservations/30661181300937?display=YQEB87XVW&amp;reservation_id=30661181300937", "YQEB87XVW")</f>
        <v>YQEB87XVW</v>
      </c>
      <c r="B2298" t="s">
        <v>10</v>
      </c>
      <c r="C2298" t="s">
        <v>42</v>
      </c>
      <c r="D2298" t="str">
        <f>HYPERLINK("https://us2.cloudbeds.com/connect/10074733072513#/reservations/30661181300937?display=Adele%20Harty&amp;reservation_id=30661181300937&amp;guest_id=30661181300928", "Adele Harty")</f>
        <v>Adele Harty</v>
      </c>
      <c r="E2298" t="s">
        <v>1524</v>
      </c>
      <c r="F2298" t="s">
        <v>1397</v>
      </c>
      <c r="G2298">
        <v>250.2</v>
      </c>
      <c r="H2298">
        <v>271.95999999999998</v>
      </c>
      <c r="I2298">
        <v>271.97000000000003</v>
      </c>
      <c r="J2298">
        <v>-0.01</v>
      </c>
    </row>
    <row r="2299" spans="1:10" x14ac:dyDescent="0.3">
      <c r="A2299" t="str">
        <f>HYPERLINK("https://us2.cloudbeds.com/connect/10074733072513#/reservations/30660178563284?display=YQDXKMUDG&amp;reservation_id=30660178563284", "YQDXKMUDG")</f>
        <v>YQDXKMUDG</v>
      </c>
      <c r="B2299" t="s">
        <v>10</v>
      </c>
      <c r="C2299" t="s">
        <v>11</v>
      </c>
      <c r="D2299" t="str">
        <f>HYPERLINK("https://us2.cloudbeds.com/connect/10074733072513#/reservations/30660178563284?display=Nestor%20Pena&amp;reservation_id=30660178563284&amp;guest_id=30660178297022", "Nestor Pena")</f>
        <v>Nestor Pena</v>
      </c>
      <c r="E2299" t="s">
        <v>1525</v>
      </c>
      <c r="F2299" t="s">
        <v>1526</v>
      </c>
      <c r="G2299">
        <v>363.2</v>
      </c>
      <c r="H2299">
        <v>394.79</v>
      </c>
      <c r="I2299">
        <v>394.8</v>
      </c>
      <c r="J2299">
        <v>-0.01</v>
      </c>
    </row>
    <row r="2300" spans="1:10" x14ac:dyDescent="0.3">
      <c r="A2300" t="str">
        <f>HYPERLINK("https://us2.cloudbeds.com/connect/10074733072513#/reservations/30659427852485?display=YQCWEM9FD&amp;reservation_id=30659427852485", "YQCWEM9FD")</f>
        <v>YQCWEM9FD</v>
      </c>
      <c r="B2300" t="s">
        <v>10</v>
      </c>
      <c r="C2300" t="s">
        <v>42</v>
      </c>
      <c r="D2300" t="str">
        <f>HYPERLINK("https://us2.cloudbeds.com/connect/10074733072513#/reservations/30659427852485?display=Robyn%20Schroepfer&amp;reservation_id=30659427852485&amp;guest_id=30659427848440", "Robyn Schroepfer")</f>
        <v>Robyn Schroepfer</v>
      </c>
      <c r="E2300" t="s">
        <v>1527</v>
      </c>
      <c r="F2300" t="s">
        <v>1528</v>
      </c>
      <c r="G2300">
        <v>174.4</v>
      </c>
      <c r="H2300">
        <v>189.56</v>
      </c>
      <c r="I2300">
        <v>189.57</v>
      </c>
      <c r="J2300">
        <v>-0.01</v>
      </c>
    </row>
    <row r="2301" spans="1:10" x14ac:dyDescent="0.3">
      <c r="A2301" t="str">
        <f>HYPERLINK("https://us2.cloudbeds.com/connect/10074733072513#/reservations/30658975215859?display=YQCKT0060&amp;reservation_id=30658975215859", "YQCKT0060")</f>
        <v>YQCKT0060</v>
      </c>
      <c r="B2301" t="s">
        <v>10</v>
      </c>
      <c r="C2301" t="s">
        <v>20</v>
      </c>
      <c r="D2301" t="str">
        <f>HYPERLINK("https://us2.cloudbeds.com/connect/10074733072513#/reservations/30658975215859?display=Roman%20Tikhonenko&amp;reservation_id=30658975215859&amp;guest_id=30658967449762", "Roman Tikhonenko")</f>
        <v>Roman Tikhonenko</v>
      </c>
      <c r="E2301" t="s">
        <v>1529</v>
      </c>
      <c r="F2301" t="s">
        <v>1530</v>
      </c>
      <c r="G2301">
        <v>103.2</v>
      </c>
      <c r="H2301">
        <v>112.17</v>
      </c>
      <c r="I2301">
        <v>112.18</v>
      </c>
      <c r="J2301">
        <v>-0.01</v>
      </c>
    </row>
    <row r="2302" spans="1:10" x14ac:dyDescent="0.3">
      <c r="A2302" t="str">
        <f>HYPERLINK("https://us2.cloudbeds.com/connect/10074733072513#/reservations/30664013992133?display=YQGHKRCY4&amp;reservation_id=30664013992133", "YQGHKRCY4")</f>
        <v>YQGHKRCY4</v>
      </c>
      <c r="B2302" t="s">
        <v>10</v>
      </c>
      <c r="C2302" t="s">
        <v>17</v>
      </c>
      <c r="D2302" t="str">
        <f>HYPERLINK("https://us2.cloudbeds.com/connect/10074733072513#/reservations/30664013992133?display=Darcy%20Tachney&amp;reservation_id=30664013992133&amp;guest_id=30664013988052", "Darcy Tachney")</f>
        <v>Darcy Tachney</v>
      </c>
      <c r="E2302" t="s">
        <v>1531</v>
      </c>
      <c r="F2302" t="s">
        <v>1532</v>
      </c>
      <c r="G2302">
        <v>268.2</v>
      </c>
      <c r="H2302">
        <v>291.52</v>
      </c>
      <c r="I2302">
        <v>291.52999999999997</v>
      </c>
      <c r="J2302">
        <v>-0.01</v>
      </c>
    </row>
    <row r="2303" spans="1:10" x14ac:dyDescent="0.3">
      <c r="A2303" t="str">
        <f>HYPERLINK("https://us2.cloudbeds.com/connect/10074733072513#/reservations/30660222201995?display=YQDJZG7MM&amp;reservation_id=30660222201995", "YQDJZG7MM")</f>
        <v>YQDJZG7MM</v>
      </c>
      <c r="B2303" t="s">
        <v>10</v>
      </c>
      <c r="C2303" t="s">
        <v>42</v>
      </c>
      <c r="D2303" t="str">
        <f>HYPERLINK("https://us2.cloudbeds.com/connect/10074733072513#/reservations/30660222201995?display=Carl%20Fielder&amp;reservation_id=30660222201995&amp;guest_id=30654308319385", "Carl Fielder")</f>
        <v>Carl Fielder</v>
      </c>
      <c r="E2303" t="s">
        <v>1533</v>
      </c>
      <c r="F2303" t="s">
        <v>1017</v>
      </c>
      <c r="G2303">
        <v>134.1</v>
      </c>
      <c r="H2303">
        <v>145.76</v>
      </c>
      <c r="I2303">
        <v>145.77000000000001</v>
      </c>
      <c r="J2303">
        <v>-0.01</v>
      </c>
    </row>
    <row r="2304" spans="1:10" x14ac:dyDescent="0.3">
      <c r="A2304" t="str">
        <f>HYPERLINK("https://us2.cloudbeds.com/connect/10074733072513#/reservations/30659968999667?display=YQDD8WGYS&amp;reservation_id=30659968999667", "YQDD8WGYS")</f>
        <v>YQDD8WGYS</v>
      </c>
      <c r="B2304" t="s">
        <v>10</v>
      </c>
      <c r="C2304" t="s">
        <v>14</v>
      </c>
      <c r="D2304" t="str">
        <f>HYPERLINK("https://us2.cloudbeds.com/connect/10074733072513#/reservations/30659968999667?display=Pete%20Catalano&amp;reservation_id=30659968999667&amp;guest_id=30659968999654", "Pete Catalano")</f>
        <v>Pete Catalano</v>
      </c>
      <c r="E2304" t="s">
        <v>1534</v>
      </c>
      <c r="F2304" t="s">
        <v>1468</v>
      </c>
      <c r="G2304">
        <v>87.2</v>
      </c>
      <c r="H2304">
        <v>94.78</v>
      </c>
      <c r="I2304">
        <v>94.79</v>
      </c>
      <c r="J2304">
        <v>-0.01</v>
      </c>
    </row>
    <row r="2305" spans="1:10" x14ac:dyDescent="0.3">
      <c r="A2305" t="str">
        <f>HYPERLINK("https://us2.cloudbeds.com/connect/10074733072513#/reservations/30659453935810?display=YQD03M336&amp;reservation_id=30659453935810", "YQD03M336")</f>
        <v>YQD03M336</v>
      </c>
      <c r="B2305" t="s">
        <v>10</v>
      </c>
      <c r="C2305" t="s">
        <v>20</v>
      </c>
      <c r="D2305" t="str">
        <f>HYPERLINK("https://us2.cloudbeds.com/connect/10074733072513#/reservations/30659453935810?display=Robin%20Arnold&amp;reservation_id=30659453935810&amp;guest_id=30659453931751", "Robin Arnold")</f>
        <v>Robin Arnold</v>
      </c>
      <c r="E2305" t="s">
        <v>1535</v>
      </c>
      <c r="F2305" t="s">
        <v>1528</v>
      </c>
      <c r="G2305">
        <v>87.2</v>
      </c>
      <c r="H2305">
        <v>94.78</v>
      </c>
      <c r="I2305">
        <v>94.79</v>
      </c>
      <c r="J2305">
        <v>-0.01</v>
      </c>
    </row>
    <row r="2306" spans="1:10" x14ac:dyDescent="0.3">
      <c r="A2306" t="str">
        <f>HYPERLINK("https://us2.cloudbeds.com/connect/10074733072513#/reservations/30659478704354?display=YQD0ZXAD4&amp;reservation_id=30659478704354", "YQD0ZXAD4")</f>
        <v>YQD0ZXAD4</v>
      </c>
      <c r="B2306" t="s">
        <v>10</v>
      </c>
      <c r="C2306" t="s">
        <v>20</v>
      </c>
      <c r="D2306" t="str">
        <f>HYPERLINK("https://us2.cloudbeds.com/connect/10074733072513#/reservations/30659478704354?display=Steve%20Ronnekamp&amp;reservation_id=30659478704354&amp;guest_id=30659478704352", "Steve Ronnekamp")</f>
        <v>Steve Ronnekamp</v>
      </c>
      <c r="E2306" t="s">
        <v>1536</v>
      </c>
      <c r="F2306" t="s">
        <v>1528</v>
      </c>
      <c r="G2306">
        <v>103.2</v>
      </c>
      <c r="H2306">
        <v>112.17</v>
      </c>
      <c r="I2306">
        <v>112.18</v>
      </c>
      <c r="J2306">
        <v>-0.01</v>
      </c>
    </row>
    <row r="2307" spans="1:10" x14ac:dyDescent="0.3">
      <c r="A2307" t="str">
        <f>HYPERLINK("https://us2.cloudbeds.com/connect/10074733072513#/reservations/30659954983113?display=YQDCU5FKQ&amp;reservation_id=30659954983113", "YQDCU5FKQ")</f>
        <v>YQDCU5FKQ</v>
      </c>
      <c r="B2307" t="s">
        <v>10</v>
      </c>
      <c r="C2307" t="s">
        <v>14</v>
      </c>
      <c r="D2307" t="str">
        <f>HYPERLINK("https://us2.cloudbeds.com/connect/10074733072513#/reservations/30659954983113?display=Tim%20Walsdorf&amp;reservation_id=30659954983113&amp;guest_id=30659954983111", "Tim Walsdorf")</f>
        <v>Tim Walsdorf</v>
      </c>
      <c r="E2307" t="s">
        <v>1537</v>
      </c>
      <c r="F2307" t="s">
        <v>1468</v>
      </c>
      <c r="G2307">
        <v>90.07</v>
      </c>
      <c r="H2307">
        <v>97.9</v>
      </c>
      <c r="I2307">
        <v>97.91</v>
      </c>
      <c r="J2307">
        <v>-0.01</v>
      </c>
    </row>
    <row r="2308" spans="1:10" x14ac:dyDescent="0.3">
      <c r="A2308" t="str">
        <f>HYPERLINK("https://us2.cloudbeds.com/connect/10074733072513#/reservations/30659962876062?display=YQDD3R3H2&amp;reservation_id=30659962876062", "YQDD3R3H2")</f>
        <v>YQDD3R3H2</v>
      </c>
      <c r="B2308" t="s">
        <v>10</v>
      </c>
      <c r="C2308" t="s">
        <v>14</v>
      </c>
      <c r="D2308" t="str">
        <f>HYPERLINK("https://us2.cloudbeds.com/connect/10074733072513#/reservations/30659962876062?display=Judy%20Morgan&amp;reservation_id=30659962876062&amp;guest_id=30659962876046", "Judy Morgan")</f>
        <v>Judy Morgan</v>
      </c>
      <c r="E2308" t="s">
        <v>1534</v>
      </c>
      <c r="F2308" t="s">
        <v>1468</v>
      </c>
      <c r="G2308">
        <v>87.2</v>
      </c>
      <c r="H2308">
        <v>94.78</v>
      </c>
      <c r="I2308">
        <v>94.79</v>
      </c>
      <c r="J2308">
        <v>-0.01</v>
      </c>
    </row>
    <row r="2309" spans="1:10" x14ac:dyDescent="0.3">
      <c r="A2309" t="str">
        <f>HYPERLINK("https://us2.cloudbeds.com/connect/10074733072513#/reservations/30661576851638?display=YQEYBPBZS&amp;reservation_id=30661576851638", "YQEYBPBZS")</f>
        <v>YQEYBPBZS</v>
      </c>
      <c r="B2309" t="s">
        <v>10</v>
      </c>
      <c r="C2309" t="s">
        <v>17</v>
      </c>
      <c r="D2309" t="str">
        <f>HYPERLINK("https://us2.cloudbeds.com/connect/10074733072513#/reservations/30661576851638?display=Mary%20Barrett&amp;reservation_id=30661576851638&amp;guest_id=30661576851628", "Mary Barrett")</f>
        <v>Mary Barrett</v>
      </c>
      <c r="E2309" t="s">
        <v>1538</v>
      </c>
      <c r="F2309" t="s">
        <v>1539</v>
      </c>
      <c r="G2309">
        <v>250.2</v>
      </c>
      <c r="H2309">
        <v>271.95999999999998</v>
      </c>
      <c r="I2309">
        <v>271.97000000000003</v>
      </c>
      <c r="J2309">
        <v>-0.01</v>
      </c>
    </row>
    <row r="2310" spans="1:10" x14ac:dyDescent="0.3">
      <c r="A2310" t="str">
        <f>HYPERLINK("https://us2.cloudbeds.com/connect/10074733072513#/reservations/30660746514581?display=YQE04K03S&amp;reservation_id=30660746514581", "YQE04K03S")</f>
        <v>YQE04K03S</v>
      </c>
      <c r="B2310" t="s">
        <v>10</v>
      </c>
      <c r="C2310" t="s">
        <v>20</v>
      </c>
      <c r="D2310" t="str">
        <f>HYPERLINK("https://us2.cloudbeds.com/connect/10074733072513#/reservations/30660746514581?display=Tammy%20Dickens&amp;reservation_id=30660746514581&amp;guest_id=30660746510497", "Tammy Dickens")</f>
        <v>Tammy Dickens</v>
      </c>
      <c r="E2310" t="s">
        <v>1540</v>
      </c>
      <c r="F2310" t="s">
        <v>1541</v>
      </c>
      <c r="G2310">
        <v>87.2</v>
      </c>
      <c r="H2310">
        <v>94.78</v>
      </c>
      <c r="I2310">
        <v>94.79</v>
      </c>
      <c r="J2310">
        <v>-0.01</v>
      </c>
    </row>
    <row r="2311" spans="1:10" x14ac:dyDescent="0.3">
      <c r="A2311" t="str">
        <f>HYPERLINK("https://us2.cloudbeds.com/connect/10074733072513#/reservations/30659377127567?display=YQCV4TQ3M&amp;reservation_id=30659377127567", "YQCV4TQ3M")</f>
        <v>YQCV4TQ3M</v>
      </c>
      <c r="B2311" t="s">
        <v>10</v>
      </c>
      <c r="C2311" t="s">
        <v>42</v>
      </c>
      <c r="D2311" t="str">
        <f>HYPERLINK("https://us2.cloudbeds.com/connect/10074733072513#/reservations/30659377127567?display=Renae%20Jacobs&amp;reservation_id=30659377127567&amp;guest_id=30659377123486", "Renae Jacobs")</f>
        <v>Renae Jacobs</v>
      </c>
      <c r="E2311" t="s">
        <v>1542</v>
      </c>
      <c r="F2311" t="s">
        <v>1497</v>
      </c>
      <c r="G2311">
        <v>196.2</v>
      </c>
      <c r="H2311">
        <v>213.26</v>
      </c>
      <c r="I2311">
        <v>213.27</v>
      </c>
      <c r="J2311">
        <v>-0.01</v>
      </c>
    </row>
    <row r="2312" spans="1:10" x14ac:dyDescent="0.3">
      <c r="A2312" t="str">
        <f>HYPERLINK("https://us2.cloudbeds.com/connect/10074733072513#/reservations/30659397943451?display=YQCVMF0Q0&amp;reservation_id=30659397943451", "YQCVMF0Q0")</f>
        <v>YQCVMF0Q0</v>
      </c>
      <c r="B2312" t="s">
        <v>10</v>
      </c>
      <c r="C2312" t="s">
        <v>42</v>
      </c>
      <c r="D2312" t="str">
        <f>HYPERLINK("https://us2.cloudbeds.com/connect/10074733072513#/reservations/30659397943451?display=Renae%20Jacobs&amp;reservation_id=30659397943451&amp;guest_id=30659377123486", "Renae Jacobs")</f>
        <v>Renae Jacobs</v>
      </c>
      <c r="E2312" t="s">
        <v>1542</v>
      </c>
      <c r="F2312" t="s">
        <v>1497</v>
      </c>
      <c r="G2312">
        <v>196.2</v>
      </c>
      <c r="H2312">
        <v>213.26</v>
      </c>
      <c r="I2312">
        <v>213.27</v>
      </c>
      <c r="J2312">
        <v>-0.01</v>
      </c>
    </row>
    <row r="2313" spans="1:10" x14ac:dyDescent="0.3">
      <c r="A2313" t="str">
        <f>HYPERLINK("https://us2.cloudbeds.com/connect/10074733072513#/reservations/30660338700501?display=YQDMNNW6E&amp;reservation_id=30660338700501", "YQDMNNW6E")</f>
        <v>YQDMNNW6E</v>
      </c>
      <c r="B2313" t="s">
        <v>10</v>
      </c>
      <c r="C2313" t="s">
        <v>20</v>
      </c>
      <c r="D2313" t="str">
        <f>HYPERLINK("https://us2.cloudbeds.com/connect/10074733072513#/reservations/30660338700501?display=Charles%20Koehler&amp;reservation_id=30660338700501&amp;guest_id=30660338700499", "Charles Koehler")</f>
        <v>Charles Koehler</v>
      </c>
      <c r="E2313" t="s">
        <v>1545</v>
      </c>
      <c r="F2313" t="s">
        <v>1487</v>
      </c>
      <c r="G2313">
        <v>87.2</v>
      </c>
      <c r="H2313">
        <v>94.78</v>
      </c>
      <c r="I2313">
        <v>94.79</v>
      </c>
      <c r="J2313">
        <v>-0.01</v>
      </c>
    </row>
    <row r="2314" spans="1:10" x14ac:dyDescent="0.3">
      <c r="A2314" t="str">
        <f>HYPERLINK("https://us2.cloudbeds.com/connect/10074733072513#/reservations/30659524280545?display=YQD1TWHQR&amp;reservation_id=30659524280545", "YQD1TWHQR")</f>
        <v>YQD1TWHQR</v>
      </c>
      <c r="B2314" t="s">
        <v>10</v>
      </c>
      <c r="C2314" t="s">
        <v>20</v>
      </c>
      <c r="D2314" t="str">
        <f>HYPERLINK("https://us2.cloudbeds.com/connect/10074733072513#/reservations/30659524280545?display=Brian%20Burnham&amp;reservation_id=30659524280545&amp;guest_id=30659524280535", "Brian Burnham")</f>
        <v>Brian Burnham</v>
      </c>
      <c r="E2314" t="s">
        <v>1547</v>
      </c>
      <c r="F2314" t="s">
        <v>1497</v>
      </c>
      <c r="G2314">
        <v>87.2</v>
      </c>
      <c r="H2314">
        <v>94.78</v>
      </c>
      <c r="I2314">
        <v>94.79</v>
      </c>
      <c r="J2314">
        <v>-0.01</v>
      </c>
    </row>
    <row r="2315" spans="1:10" x14ac:dyDescent="0.3">
      <c r="A2315" t="str">
        <f>HYPERLINK("https://us2.cloudbeds.com/connect/10074733072513#/reservations/30660441739425?display=YQDPBK642&amp;reservation_id=30660441739425", "YQDPBK642")</f>
        <v>YQDPBK642</v>
      </c>
      <c r="B2315" t="s">
        <v>10</v>
      </c>
      <c r="C2315" t="s">
        <v>42</v>
      </c>
      <c r="D2315" t="str">
        <f>HYPERLINK("https://us2.cloudbeds.com/connect/10074733072513#/reservations/30660441739425?display=Gary%20Jorgenson&amp;reservation_id=30660441739425&amp;guest_id=30660441735340", "Gary Jorgenson")</f>
        <v>Gary Jorgenson</v>
      </c>
      <c r="E2315" t="s">
        <v>1550</v>
      </c>
      <c r="F2315" t="s">
        <v>1551</v>
      </c>
      <c r="G2315">
        <v>134.1</v>
      </c>
      <c r="H2315">
        <v>145.76</v>
      </c>
      <c r="I2315">
        <v>145.77000000000001</v>
      </c>
      <c r="J2315">
        <v>-0.01</v>
      </c>
    </row>
    <row r="2316" spans="1:10" x14ac:dyDescent="0.3">
      <c r="A2316" t="str">
        <f>HYPERLINK("https://us2.cloudbeds.com/connect/10074733072513#/reservations/30659186217177?display=YQCQ8UE4B&amp;reservation_id=30659186217177", "YQCQ8UE4B")</f>
        <v>YQCQ8UE4B</v>
      </c>
      <c r="B2316" t="s">
        <v>10</v>
      </c>
      <c r="C2316" t="s">
        <v>42</v>
      </c>
      <c r="D2316" t="str">
        <f>HYPERLINK("https://us2.cloudbeds.com/connect/10074733072513#/reservations/30659186217177?display=Melody%20Sand&amp;reservation_id=30659186217177&amp;guest_id=30650826465523", "Melody Sand")</f>
        <v>Melody Sand</v>
      </c>
      <c r="E2316" t="s">
        <v>616</v>
      </c>
      <c r="F2316" t="s">
        <v>1017</v>
      </c>
      <c r="G2316">
        <v>259.2</v>
      </c>
      <c r="H2316">
        <v>281.74</v>
      </c>
      <c r="I2316">
        <v>281.75</v>
      </c>
      <c r="J2316">
        <v>-0.01</v>
      </c>
    </row>
    <row r="2317" spans="1:10" x14ac:dyDescent="0.3">
      <c r="A2317" t="str">
        <f>HYPERLINK("https://us2.cloudbeds.com/connect/10074733072513#/reservations/30658507706518?display=YQC8UPSM9&amp;reservation_id=30658507706518", "YQC8UPSM9")</f>
        <v>YQC8UPSM9</v>
      </c>
      <c r="B2317" t="s">
        <v>10</v>
      </c>
      <c r="C2317" t="s">
        <v>20</v>
      </c>
      <c r="D2317" t="str">
        <f>HYPERLINK("https://us2.cloudbeds.com/connect/10074733072513#/reservations/30658507706518?display=Elodie%20Blanchard%20Moritz&amp;reservation_id=30658507706518&amp;guest_id=30658507706516", "Elodie Blanchard Moritz")</f>
        <v>Elodie Blanchard Moritz</v>
      </c>
      <c r="E2317" t="s">
        <v>1552</v>
      </c>
      <c r="F2317" t="s">
        <v>1468</v>
      </c>
      <c r="G2317">
        <v>103.2</v>
      </c>
      <c r="H2317">
        <v>112.17</v>
      </c>
      <c r="I2317">
        <v>112.18</v>
      </c>
      <c r="J2317">
        <v>-0.01</v>
      </c>
    </row>
    <row r="2318" spans="1:10" x14ac:dyDescent="0.3">
      <c r="A2318" t="str">
        <f>HYPERLINK("https://us2.cloudbeds.com/connect/10074733072513#/reservations/30659710128340?display=YQD6YN0V6&amp;reservation_id=30659710128340", "YQD6YN0V6")</f>
        <v>YQD6YN0V6</v>
      </c>
      <c r="B2318" t="s">
        <v>10</v>
      </c>
      <c r="C2318" t="s">
        <v>20</v>
      </c>
      <c r="D2318" t="str">
        <f>HYPERLINK("https://us2.cloudbeds.com/connect/10074733072513#/reservations/30659710128340?display=Rich%20Lower&amp;reservation_id=30659710128340&amp;guest_id=30659710128335", "Rich Lower")</f>
        <v>Rich Lower</v>
      </c>
      <c r="E2318" t="s">
        <v>1553</v>
      </c>
      <c r="F2318" t="s">
        <v>1399</v>
      </c>
      <c r="G2318">
        <v>87.2</v>
      </c>
      <c r="H2318">
        <v>94.78</v>
      </c>
      <c r="I2318">
        <v>94.79</v>
      </c>
      <c r="J2318">
        <v>-0.01</v>
      </c>
    </row>
    <row r="2319" spans="1:10" x14ac:dyDescent="0.3">
      <c r="A2319" t="str">
        <f>HYPERLINK("https://us2.cloudbeds.com/connect/10074733072513#/reservations/30660131270881?display=YQDHDQV1B&amp;reservation_id=30660131270881", "YQDHDQV1B")</f>
        <v>YQDHDQV1B</v>
      </c>
      <c r="B2319" t="s">
        <v>10</v>
      </c>
      <c r="C2319" t="s">
        <v>42</v>
      </c>
      <c r="D2319" t="str">
        <f>HYPERLINK("https://us2.cloudbeds.com/connect/10074733072513#/reservations/30660131270881?display=Anita%20Koenig&amp;reservation_id=30660131270881&amp;guest_id=30649762762975", "Anita Koenig")</f>
        <v>Anita Koenig</v>
      </c>
      <c r="E2319" t="s">
        <v>502</v>
      </c>
      <c r="F2319" t="s">
        <v>1017</v>
      </c>
      <c r="G2319">
        <v>134.1</v>
      </c>
      <c r="H2319">
        <v>145.76</v>
      </c>
      <c r="I2319">
        <v>145.77000000000001</v>
      </c>
      <c r="J2319">
        <v>-0.01</v>
      </c>
    </row>
    <row r="2320" spans="1:10" x14ac:dyDescent="0.3">
      <c r="A2320" t="str">
        <f>HYPERLINK("https://us2.cloudbeds.com/connect/10074733072513#/reservations/30660059066547?display=YQDFXUZN8&amp;reservation_id=30660059066547", "YQDFXUZN8")</f>
        <v>YQDFXUZN8</v>
      </c>
      <c r="B2320" t="s">
        <v>10</v>
      </c>
      <c r="C2320" t="s">
        <v>42</v>
      </c>
      <c r="D2320" t="str">
        <f>HYPERLINK("https://us2.cloudbeds.com/connect/10074733072513#/reservations/30660059066547?display=Michael%20H%20Heinemann&amp;reservation_id=30660059066547&amp;guest_id=30660059066545", "Michael H Heinemann")</f>
        <v>Michael H Heinemann</v>
      </c>
      <c r="E2320" t="s">
        <v>1554</v>
      </c>
      <c r="F2320" t="s">
        <v>1439</v>
      </c>
      <c r="G2320">
        <v>250.2</v>
      </c>
      <c r="H2320">
        <v>271.95999999999998</v>
      </c>
      <c r="I2320">
        <v>271.97000000000003</v>
      </c>
      <c r="J2320">
        <v>-0.01</v>
      </c>
    </row>
    <row r="2321" spans="1:10" x14ac:dyDescent="0.3">
      <c r="A2321" t="str">
        <f>HYPERLINK("https://us2.cloudbeds.com/connect/10074733072513#/reservations/30660042133639?display=YQDF4YXYR&amp;reservation_id=30660042133639", "YQDF4YXYR")</f>
        <v>YQDF4YXYR</v>
      </c>
      <c r="B2321" t="s">
        <v>10</v>
      </c>
      <c r="C2321" t="s">
        <v>14</v>
      </c>
      <c r="D2321" t="str">
        <f>HYPERLINK("https://us2.cloudbeds.com/connect/10074733072513#/reservations/30660042133639?display=Donald%20Yeakel&amp;reservation_id=30660042133639&amp;guest_id=30651327750278", "Donald Yeakel")</f>
        <v>Donald Yeakel</v>
      </c>
      <c r="E2321" t="s">
        <v>1555</v>
      </c>
      <c r="F2321" t="s">
        <v>1439</v>
      </c>
      <c r="G2321">
        <v>90.07</v>
      </c>
      <c r="H2321">
        <v>97.9</v>
      </c>
      <c r="I2321">
        <v>97.91</v>
      </c>
      <c r="J2321">
        <v>-0.01</v>
      </c>
    </row>
    <row r="2322" spans="1:10" x14ac:dyDescent="0.3">
      <c r="A2322" t="str">
        <f>HYPERLINK("https://us2.cloudbeds.com/connect/10074733072513#/reservations/30660636627080?display=YQDUAV7AJ&amp;reservation_id=30660636627080", "YQDUAV7AJ")</f>
        <v>YQDUAV7AJ</v>
      </c>
      <c r="B2322" t="s">
        <v>10</v>
      </c>
      <c r="C2322" t="s">
        <v>20</v>
      </c>
      <c r="D2322" t="str">
        <f>HYPERLINK("https://us2.cloudbeds.com/connect/10074733072513#/reservations/30660636627080?display=Joann%20Coady&amp;reservation_id=30660636627080&amp;guest_id=30660636627077", "Joann Coady")</f>
        <v>Joann Coady</v>
      </c>
      <c r="E2322" t="s">
        <v>1556</v>
      </c>
      <c r="F2322" t="s">
        <v>1499</v>
      </c>
      <c r="G2322">
        <v>87.2</v>
      </c>
      <c r="H2322">
        <v>94.78</v>
      </c>
      <c r="I2322">
        <v>94.79</v>
      </c>
      <c r="J2322">
        <v>-0.01</v>
      </c>
    </row>
    <row r="2323" spans="1:10" x14ac:dyDescent="0.3">
      <c r="A2323" t="str">
        <f>HYPERLINK("https://us2.cloudbeds.com/connect/10074733072513#/reservations/30659890962631?display=YQDB960A6&amp;reservation_id=30659890962631", "YQDB960A6")</f>
        <v>YQDB960A6</v>
      </c>
      <c r="B2323" t="s">
        <v>10</v>
      </c>
      <c r="C2323" t="s">
        <v>20</v>
      </c>
      <c r="D2323" t="str">
        <f>HYPERLINK("https://us2.cloudbeds.com/connect/10074733072513#/reservations/30659890962631?display=Cyril%20Jaccaud&amp;reservation_id=30659890962631&amp;guest_id=30659890958546", "Cyril Jaccaud")</f>
        <v>Cyril Jaccaud</v>
      </c>
      <c r="E2323" t="s">
        <v>1557</v>
      </c>
      <c r="F2323" t="s">
        <v>1501</v>
      </c>
      <c r="G2323">
        <v>87.2</v>
      </c>
      <c r="H2323">
        <v>94.78</v>
      </c>
      <c r="I2323">
        <v>94.79</v>
      </c>
      <c r="J2323">
        <v>-0.01</v>
      </c>
    </row>
    <row r="2324" spans="1:10" x14ac:dyDescent="0.3">
      <c r="A2324" t="str">
        <f>HYPERLINK("https://us2.cloudbeds.com/connect/10074733072513#/reservations/30660796461263?display=YQE1DNRRM&amp;reservation_id=30660796461263", "YQE1DNRRM")</f>
        <v>YQE1DNRRM</v>
      </c>
      <c r="B2324" t="s">
        <v>10</v>
      </c>
      <c r="C2324" t="s">
        <v>20</v>
      </c>
      <c r="D2324" t="str">
        <f>HYPERLINK("https://us2.cloudbeds.com/connect/10074733072513#/reservations/30660796461263?display=Gloria%20Yoke&amp;reservation_id=30660796461263&amp;guest_id=30660792983713", "Gloria Yoke")</f>
        <v>Gloria Yoke</v>
      </c>
      <c r="E2324" t="s">
        <v>1558</v>
      </c>
      <c r="F2324" t="s">
        <v>1559</v>
      </c>
      <c r="G2324">
        <v>87.2</v>
      </c>
      <c r="H2324">
        <v>94.78</v>
      </c>
      <c r="I2324">
        <v>94.79</v>
      </c>
      <c r="J2324">
        <v>-0.01</v>
      </c>
    </row>
    <row r="2325" spans="1:10" x14ac:dyDescent="0.3">
      <c r="A2325" t="str">
        <f>HYPERLINK("https://us2.cloudbeds.com/connect/10074733072513#/reservations/30659868127460?display=YQDAMUJCA&amp;reservation_id=30659868127460", "YQDAMUJCA")</f>
        <v>YQDAMUJCA</v>
      </c>
      <c r="B2325" t="s">
        <v>10</v>
      </c>
      <c r="C2325" t="s">
        <v>20</v>
      </c>
      <c r="D2325" t="str">
        <f>HYPERLINK("https://us2.cloudbeds.com/connect/10074733072513#/reservations/30659868127460?display=Lisa%20Poppema&amp;reservation_id=30659868127460&amp;guest_id=30659868127458", "Lisa Poppema")</f>
        <v>Lisa Poppema</v>
      </c>
      <c r="E2325" t="s">
        <v>1560</v>
      </c>
      <c r="F2325" t="s">
        <v>1501</v>
      </c>
      <c r="G2325">
        <v>103.2</v>
      </c>
      <c r="H2325">
        <v>112.17</v>
      </c>
      <c r="I2325">
        <v>112.18</v>
      </c>
      <c r="J2325">
        <v>-0.01</v>
      </c>
    </row>
    <row r="2326" spans="1:10" x14ac:dyDescent="0.3">
      <c r="A2326" t="str">
        <f>HYPERLINK("https://us2.cloudbeds.com/connect/10074733072513#/reservations/30661972619501?display=YQEVFG5VD&amp;reservation_id=30661972619501", "YQEVFG5VD")</f>
        <v>YQEVFG5VD</v>
      </c>
      <c r="B2326" t="s">
        <v>10</v>
      </c>
      <c r="C2326" t="s">
        <v>17</v>
      </c>
      <c r="D2326" t="str">
        <f>HYPERLINK("https://us2.cloudbeds.com/connect/10074733072513#/reservations/30661972619501?display=Lori%20Knake&amp;reservation_id=30661972619501&amp;guest_id=30661972619497", "Lori Knake")</f>
        <v>Lori Knake</v>
      </c>
      <c r="E2326" t="s">
        <v>1561</v>
      </c>
      <c r="F2326" t="s">
        <v>1489</v>
      </c>
      <c r="G2326">
        <v>250.2</v>
      </c>
      <c r="H2326">
        <v>271.95999999999998</v>
      </c>
      <c r="I2326">
        <v>271.97000000000003</v>
      </c>
      <c r="J2326">
        <v>-0.01</v>
      </c>
    </row>
    <row r="2327" spans="1:10" x14ac:dyDescent="0.3">
      <c r="A2327" t="str">
        <f>HYPERLINK("https://us2.cloudbeds.com/connect/10074733072513#/reservations/30660596216023?display=YQDT9SNU3&amp;reservation_id=30660596216023", "YQDT9SNU3")</f>
        <v>YQDT9SNU3</v>
      </c>
      <c r="B2327" t="s">
        <v>10</v>
      </c>
      <c r="C2327" t="s">
        <v>42</v>
      </c>
      <c r="D2327" t="str">
        <f>HYPERLINK("https://us2.cloudbeds.com/connect/10074733072513#/reservations/30660596216023?display=Dan%20Letsche&amp;reservation_id=30660596216023&amp;guest_id=30660596211939", "Dan Letsche")</f>
        <v>Dan Letsche</v>
      </c>
      <c r="E2327" t="s">
        <v>1562</v>
      </c>
      <c r="F2327" t="s">
        <v>1489</v>
      </c>
      <c r="G2327">
        <v>264</v>
      </c>
      <c r="H2327">
        <v>286.95999999999998</v>
      </c>
      <c r="I2327">
        <v>286.97000000000003</v>
      </c>
      <c r="J2327">
        <v>-0.01</v>
      </c>
    </row>
    <row r="2328" spans="1:10" x14ac:dyDescent="0.3">
      <c r="A2328" t="str">
        <f>HYPERLINK("https://us2.cloudbeds.com/connect/10074733072513#/reservations/30660734955740?display=YQDWRSBUV&amp;reservation_id=30660734955740", "YQDWRSBUV")</f>
        <v>YQDWRSBUV</v>
      </c>
      <c r="B2328" t="s">
        <v>10</v>
      </c>
      <c r="C2328" t="s">
        <v>14</v>
      </c>
      <c r="D2328" t="str">
        <f>HYPERLINK("https://us2.cloudbeds.com/connect/10074733072513#/reservations/30660734955740?display=Lori%20Knake&amp;reservation_id=30660734955740&amp;guest_id=30660734955737", "Lori Knake")</f>
        <v>Lori Knake</v>
      </c>
      <c r="E2328" t="s">
        <v>1561</v>
      </c>
      <c r="F2328" t="s">
        <v>1541</v>
      </c>
      <c r="G2328">
        <v>87.2</v>
      </c>
      <c r="H2328">
        <v>94.78</v>
      </c>
      <c r="I2328">
        <v>94.79</v>
      </c>
      <c r="J2328">
        <v>-0.01</v>
      </c>
    </row>
    <row r="2329" spans="1:10" x14ac:dyDescent="0.3">
      <c r="A2329" t="str">
        <f>HYPERLINK("https://us2.cloudbeds.com/connect/10074733072513#/reservations/30660981063900?display=YQE64CMXW&amp;reservation_id=30660981063900", "YQE64CMXW")</f>
        <v>YQE64CMXW</v>
      </c>
      <c r="B2329" t="s">
        <v>10</v>
      </c>
      <c r="C2329" t="s">
        <v>14</v>
      </c>
      <c r="D2329" t="str">
        <f>HYPERLINK("https://us2.cloudbeds.com/connect/10074733072513#/reservations/30660981063900?display=Matthew%20Foster&amp;reservation_id=30660981063900&amp;guest_id=30659718750338", "Matthew Foster")</f>
        <v>Matthew Foster</v>
      </c>
      <c r="E2329" t="s">
        <v>1563</v>
      </c>
      <c r="F2329" t="s">
        <v>1544</v>
      </c>
      <c r="G2329">
        <v>90.07</v>
      </c>
      <c r="H2329">
        <v>97.9</v>
      </c>
      <c r="I2329">
        <v>97.91</v>
      </c>
      <c r="J2329">
        <v>-0.01</v>
      </c>
    </row>
    <row r="2330" spans="1:10" x14ac:dyDescent="0.3">
      <c r="A2330" t="str">
        <f>HYPERLINK("https://us2.cloudbeds.com/connect/10074733072513#/reservations/30661178826929?display=YQEB64Z51&amp;reservation_id=30661178826929", "YQEB64Z51")</f>
        <v>YQEB64Z51</v>
      </c>
      <c r="B2330" t="s">
        <v>10</v>
      </c>
      <c r="C2330" t="s">
        <v>42</v>
      </c>
      <c r="D2330" t="str">
        <f>HYPERLINK("https://us2.cloudbeds.com/connect/10074733072513#/reservations/30661178826929?display=Neil%20Sorensen&amp;reservation_id=30661178826929&amp;guest_id=30661173297370", "Neil Sorensen")</f>
        <v>Neil Sorensen</v>
      </c>
      <c r="E2330" t="s">
        <v>1564</v>
      </c>
      <c r="F2330" t="s">
        <v>1397</v>
      </c>
      <c r="G2330">
        <v>250.2</v>
      </c>
      <c r="H2330">
        <v>271.95999999999998</v>
      </c>
      <c r="I2330">
        <v>271.97000000000003</v>
      </c>
      <c r="J2330">
        <v>-0.01</v>
      </c>
    </row>
    <row r="2331" spans="1:10" x14ac:dyDescent="0.3">
      <c r="A2331" t="str">
        <f>HYPERLINK("https://us2.cloudbeds.com/connect/10074733072513#/reservations/30660110049475?display=YQDGSUDWF&amp;reservation_id=30660110049475", "YQDGSUDWF")</f>
        <v>YQDGSUDWF</v>
      </c>
      <c r="B2331" t="s">
        <v>10</v>
      </c>
      <c r="C2331" t="s">
        <v>20</v>
      </c>
      <c r="D2331" t="str">
        <f>HYPERLINK("https://us2.cloudbeds.com/connect/10074733072513#/reservations/30660110049475?display=Lynne%20Mellberg&amp;reservation_id=30660110049475&amp;guest_id=30660110045439", "Lynne Mellberg")</f>
        <v>Lynne Mellberg</v>
      </c>
      <c r="E2331" t="s">
        <v>1565</v>
      </c>
      <c r="F2331" t="s">
        <v>1487</v>
      </c>
      <c r="G2331">
        <v>87.2</v>
      </c>
      <c r="H2331">
        <v>94.78</v>
      </c>
      <c r="I2331">
        <v>94.79</v>
      </c>
      <c r="J2331">
        <v>-0.01</v>
      </c>
    </row>
    <row r="2332" spans="1:10" x14ac:dyDescent="0.3">
      <c r="A2332" t="str">
        <f>HYPERLINK("https://us2.cloudbeds.com/connect/10074733072513#/reservations/30660803424410?display=YQE1JJJU4&amp;reservation_id=30660803424410", "YQE1JJJU4")</f>
        <v>YQE1JJJU4</v>
      </c>
      <c r="B2332" t="s">
        <v>10</v>
      </c>
      <c r="C2332" t="s">
        <v>14</v>
      </c>
      <c r="D2332" t="str">
        <f>HYPERLINK("https://us2.cloudbeds.com/connect/10074733072513#/reservations/30660803424410?display=Michael%20Stork&amp;reservation_id=30660803424410&amp;guest_id=30660796465357", "Michael Stork")</f>
        <v>Michael Stork</v>
      </c>
      <c r="E2332" t="s">
        <v>1566</v>
      </c>
      <c r="F2332" t="s">
        <v>1559</v>
      </c>
      <c r="G2332">
        <v>87.2</v>
      </c>
      <c r="H2332">
        <v>94.78</v>
      </c>
      <c r="I2332">
        <v>94.79</v>
      </c>
      <c r="J2332">
        <v>-0.01</v>
      </c>
    </row>
    <row r="2333" spans="1:10" x14ac:dyDescent="0.3">
      <c r="A2333" t="str">
        <f>HYPERLINK("https://us2.cloudbeds.com/connect/10074733072513#/reservations/30663152595147?display=YQFSKFZG5&amp;reservation_id=30663152595147", "YQFSKFZG5")</f>
        <v>YQFSKFZG5</v>
      </c>
      <c r="B2333" t="s">
        <v>10</v>
      </c>
      <c r="C2333" t="s">
        <v>42</v>
      </c>
      <c r="D2333" t="str">
        <f>HYPERLINK("https://us2.cloudbeds.com/connect/10074733072513#/reservations/30663152595147?display=Jorge%20Or%20Kelsey%20Gallardo&amp;reservation_id=30663152595147&amp;guest_id=30663152595145", "Jorge Or Kelsey Gallardo")</f>
        <v>Jorge Or Kelsey Gallardo</v>
      </c>
      <c r="E2333" t="s">
        <v>1567</v>
      </c>
      <c r="F2333" t="s">
        <v>1568</v>
      </c>
      <c r="G2333">
        <v>250.2</v>
      </c>
      <c r="H2333">
        <v>271.95999999999998</v>
      </c>
      <c r="I2333">
        <v>271.97000000000003</v>
      </c>
      <c r="J2333">
        <v>-0.01</v>
      </c>
    </row>
    <row r="2334" spans="1:10" x14ac:dyDescent="0.3">
      <c r="A2334" t="str">
        <f>HYPERLINK("https://us2.cloudbeds.com/connect/10074733072513#/reservations/30661087621271?display=YQE8S7QD7&amp;reservation_id=30661087621271", "YQE8S7QD7")</f>
        <v>YQE8S7QD7</v>
      </c>
      <c r="B2334" t="s">
        <v>10</v>
      </c>
      <c r="C2334" t="s">
        <v>14</v>
      </c>
      <c r="D2334" t="str">
        <f>HYPERLINK("https://us2.cloudbeds.com/connect/10074733072513#/reservations/30661087621271?display=Amanda%20North&amp;reservation_id=30661087621271&amp;guest_id=30661087621269", "Amanda North")</f>
        <v>Amanda North</v>
      </c>
      <c r="E2334" t="s">
        <v>1570</v>
      </c>
      <c r="F2334" t="s">
        <v>1493</v>
      </c>
      <c r="G2334">
        <v>134.1</v>
      </c>
      <c r="H2334">
        <v>145.76</v>
      </c>
      <c r="I2334">
        <v>145.77000000000001</v>
      </c>
      <c r="J2334">
        <v>-0.01</v>
      </c>
    </row>
    <row r="2335" spans="1:10" x14ac:dyDescent="0.3">
      <c r="A2335" t="str">
        <f>HYPERLINK("https://us2.cloudbeds.com/connect/10074733072513#/reservations/30662213218444?display=YQF4KC6KF&amp;reservation_id=30662213218444", "YQF4KC6KF")</f>
        <v>YQF4KC6KF</v>
      </c>
      <c r="B2335" t="s">
        <v>10</v>
      </c>
      <c r="C2335" t="s">
        <v>42</v>
      </c>
      <c r="D2335" t="str">
        <f>HYPERLINK("https://us2.cloudbeds.com/connect/10074733072513#/reservations/30662213218444?display=Dave%20Sprenge&amp;reservation_id=30662213218444&amp;guest_id=30662211457255", "Dave Sprenge")</f>
        <v>Dave Sprenge</v>
      </c>
      <c r="E2335" t="s">
        <v>1571</v>
      </c>
      <c r="F2335" t="s">
        <v>1568</v>
      </c>
      <c r="G2335">
        <v>134.1</v>
      </c>
      <c r="H2335">
        <v>145.76</v>
      </c>
      <c r="I2335">
        <v>145.77000000000001</v>
      </c>
      <c r="J2335">
        <v>-0.01</v>
      </c>
    </row>
    <row r="2336" spans="1:10" x14ac:dyDescent="0.3">
      <c r="A2336" t="str">
        <f>HYPERLINK("https://us2.cloudbeds.com/connect/10074733072513#/reservations/30660656689348?display=YQDURSFW3&amp;reservation_id=30660656689348", "YQDURSFW3")</f>
        <v>YQDURSFW3</v>
      </c>
      <c r="B2336" t="s">
        <v>10</v>
      </c>
      <c r="C2336" t="s">
        <v>20</v>
      </c>
      <c r="D2336" t="str">
        <f>HYPERLINK("https://us2.cloudbeds.com/connect/10074733072513#/reservations/30660656689348?display=Bharat%20Bhushan%20Chivukula&amp;reservation_id=30660656689348&amp;guest_id=30660656685303", "Bharat Bhushan Chivukula")</f>
        <v>Bharat Bhushan Chivukula</v>
      </c>
      <c r="E2336" t="s">
        <v>1573</v>
      </c>
      <c r="F2336" t="s">
        <v>1499</v>
      </c>
      <c r="G2336">
        <v>87.2</v>
      </c>
      <c r="H2336">
        <v>94.78</v>
      </c>
      <c r="I2336">
        <v>94.79</v>
      </c>
      <c r="J2336">
        <v>-0.01</v>
      </c>
    </row>
    <row r="2337" spans="1:10" x14ac:dyDescent="0.3">
      <c r="A2337" t="str">
        <f>HYPERLINK("https://us2.cloudbeds.com/connect/10074733072513#/reservations/30660595642594?display=YQDT9CPBF&amp;reservation_id=30660595642594", "YQDT9CPBF")</f>
        <v>YQDT9CPBF</v>
      </c>
      <c r="B2337" t="s">
        <v>10</v>
      </c>
      <c r="C2337" t="s">
        <v>20</v>
      </c>
      <c r="D2337" t="str">
        <f>HYPERLINK("https://us2.cloudbeds.com/connect/10074733072513#/reservations/30660595642594?display=Rich%20Kubinski&amp;reservation_id=30660595642594&amp;guest_id=30660595642589", "Rich Kubinski")</f>
        <v>Rich Kubinski</v>
      </c>
      <c r="E2337" t="s">
        <v>1574</v>
      </c>
      <c r="F2337" t="s">
        <v>1399</v>
      </c>
      <c r="G2337">
        <v>87.2</v>
      </c>
      <c r="H2337">
        <v>94.78</v>
      </c>
      <c r="I2337">
        <v>94.79</v>
      </c>
      <c r="J2337">
        <v>-0.01</v>
      </c>
    </row>
    <row r="2338" spans="1:10" x14ac:dyDescent="0.3">
      <c r="A2338" t="str">
        <f>HYPERLINK("https://us2.cloudbeds.com/connect/10074733072513#/reservations/30659727012016?display=YQD72URPZ&amp;reservation_id=30659727012016", "YQD72URPZ")</f>
        <v>YQD72URPZ</v>
      </c>
      <c r="B2338" t="s">
        <v>10</v>
      </c>
      <c r="C2338" t="s">
        <v>20</v>
      </c>
      <c r="D2338" t="str">
        <f>HYPERLINK("https://us2.cloudbeds.com/connect/10074733072513#/reservations/30659727012016?display=Christopher%20Dryer&amp;reservation_id=30659727012016&amp;guest_id=30659727012012", "Christopher Dryer")</f>
        <v>Christopher Dryer</v>
      </c>
      <c r="E2338" t="s">
        <v>1575</v>
      </c>
      <c r="F2338" t="s">
        <v>1399</v>
      </c>
      <c r="G2338">
        <v>87.2</v>
      </c>
      <c r="H2338">
        <v>94.78</v>
      </c>
      <c r="I2338">
        <v>94.79</v>
      </c>
      <c r="J2338">
        <v>-0.01</v>
      </c>
    </row>
    <row r="2339" spans="1:10" x14ac:dyDescent="0.3">
      <c r="A2339" t="str">
        <f>HYPERLINK("https://us2.cloudbeds.com/connect/10074733072513#/reservations/30662059974880?display=YQF0N4W33&amp;reservation_id=30662059974880", "YQF0N4W33")</f>
        <v>YQF0N4W33</v>
      </c>
      <c r="B2339" t="s">
        <v>10</v>
      </c>
      <c r="C2339" t="s">
        <v>11</v>
      </c>
      <c r="D2339" t="str">
        <f>HYPERLINK("https://us2.cloudbeds.com/connect/10074733072513#/reservations/30662059974880?display=Martin%20Lucas%20Bobrik&amp;reservation_id=30662059974880&amp;guest_id=30662059974874", "Martin Lucas Bobrik")</f>
        <v>Martin Lucas Bobrik</v>
      </c>
      <c r="E2339" t="s">
        <v>1577</v>
      </c>
      <c r="F2339" t="s">
        <v>1578</v>
      </c>
      <c r="G2339">
        <v>64.150000000000006</v>
      </c>
      <c r="H2339">
        <v>69.72</v>
      </c>
      <c r="I2339">
        <v>69.73</v>
      </c>
      <c r="J2339">
        <v>-0.01</v>
      </c>
    </row>
    <row r="2340" spans="1:10" x14ac:dyDescent="0.3">
      <c r="A2340" t="str">
        <f>HYPERLINK("https://us2.cloudbeds.com/connect/10074733072513#/reservations/30662078095585?display=YQF15E6SB&amp;reservation_id=30662078095585", "YQF15E6SB")</f>
        <v>YQF15E6SB</v>
      </c>
      <c r="B2340" t="s">
        <v>10</v>
      </c>
      <c r="C2340" t="s">
        <v>11</v>
      </c>
      <c r="D2340" t="str">
        <f>HYPERLINK("https://us2.cloudbeds.com/connect/10074733072513#/reservations/30662078095585?display=Jill%20Erin%20Martin-Byers&amp;reservation_id=30662078095585&amp;guest_id=30662073012431", "Jill Erin Martin-Byers")</f>
        <v>Jill Erin Martin-Byers</v>
      </c>
      <c r="E2340" t="s">
        <v>1577</v>
      </c>
      <c r="F2340" t="s">
        <v>1578</v>
      </c>
      <c r="G2340">
        <v>64.150000000000006</v>
      </c>
      <c r="H2340">
        <v>69.72</v>
      </c>
      <c r="I2340">
        <v>69.73</v>
      </c>
      <c r="J2340">
        <v>-0.01</v>
      </c>
    </row>
    <row r="2341" spans="1:10" x14ac:dyDescent="0.3">
      <c r="A2341" t="str">
        <f>HYPERLINK("https://us2.cloudbeds.com/connect/10074733072513#/reservations/30662073008330?display=YQF114YC4&amp;reservation_id=30662073008330", "YQF114YC4")</f>
        <v>YQF114YC4</v>
      </c>
      <c r="B2341" t="s">
        <v>10</v>
      </c>
      <c r="C2341" t="s">
        <v>11</v>
      </c>
      <c r="D2341" t="str">
        <f>HYPERLINK("https://us2.cloudbeds.com/connect/10074733072513#/reservations/30662073008330?display=Joseph%20Smith%20Troop&amp;reservation_id=30662073008330&amp;guest_id=30662067908794", "Joseph Smith Troop")</f>
        <v>Joseph Smith Troop</v>
      </c>
      <c r="E2341" t="s">
        <v>1577</v>
      </c>
      <c r="F2341" t="s">
        <v>1578</v>
      </c>
      <c r="G2341">
        <v>64.150000000000006</v>
      </c>
      <c r="H2341">
        <v>69.72</v>
      </c>
      <c r="I2341">
        <v>69.73</v>
      </c>
      <c r="J2341">
        <v>-0.01</v>
      </c>
    </row>
    <row r="2342" spans="1:10" x14ac:dyDescent="0.3">
      <c r="A2342" t="str">
        <f>HYPERLINK("https://us2.cloudbeds.com/connect/10074733072513#/reservations/30659618566350?display=YQD4AG5WE&amp;reservation_id=30659618566350", "YQD4AG5WE")</f>
        <v>YQD4AG5WE</v>
      </c>
      <c r="B2342" t="s">
        <v>10</v>
      </c>
      <c r="C2342" t="s">
        <v>42</v>
      </c>
      <c r="D2342" t="str">
        <f>HYPERLINK("https://us2.cloudbeds.com/connect/10074733072513#/reservations/30659618566350?display=Maxwell%20Marlatt&amp;reservation_id=30659618566350&amp;guest_id=30659615776995", "Maxwell Marlatt")</f>
        <v>Maxwell Marlatt</v>
      </c>
      <c r="E2342" t="s">
        <v>1579</v>
      </c>
      <c r="F2342" t="s">
        <v>1399</v>
      </c>
      <c r="G2342">
        <v>196.2</v>
      </c>
      <c r="H2342">
        <v>213.26</v>
      </c>
      <c r="I2342">
        <v>213.27</v>
      </c>
      <c r="J2342">
        <v>-0.01</v>
      </c>
    </row>
    <row r="2343" spans="1:10" x14ac:dyDescent="0.3">
      <c r="A2343" t="str">
        <f>HYPERLINK("https://us2.cloudbeds.com/connect/10074733072513#/reservations/30659651903682?display=YQD55JRPK&amp;reservation_id=30659651903682", "YQD55JRPK")</f>
        <v>YQD55JRPK</v>
      </c>
      <c r="B2343" t="s">
        <v>10</v>
      </c>
      <c r="C2343" t="s">
        <v>20</v>
      </c>
      <c r="D2343" t="str">
        <f>HYPERLINK("https://us2.cloudbeds.com/connect/10074733072513#/reservations/30659651903682?display=Frank%20Rose&amp;reservation_id=30659651903682&amp;guest_id=30659651899596", "Frank Rose")</f>
        <v>Frank Rose</v>
      </c>
      <c r="E2343" t="s">
        <v>1580</v>
      </c>
      <c r="F2343" t="s">
        <v>1399</v>
      </c>
      <c r="G2343">
        <v>87.2</v>
      </c>
      <c r="H2343">
        <v>94.78</v>
      </c>
      <c r="I2343">
        <v>94.79</v>
      </c>
      <c r="J2343">
        <v>-0.01</v>
      </c>
    </row>
    <row r="2344" spans="1:10" x14ac:dyDescent="0.3">
      <c r="A2344" t="str">
        <f>HYPERLINK("https://us2.cloudbeds.com/connect/10074733072513#/reservations/30660680822966?display=YQDVF717S&amp;reservation_id=30660680822966", "YQDVF717S")</f>
        <v>YQDVF717S</v>
      </c>
      <c r="B2344" t="s">
        <v>10</v>
      </c>
      <c r="C2344" t="s">
        <v>20</v>
      </c>
      <c r="D2344" t="str">
        <f>HYPERLINK("https://us2.cloudbeds.com/connect/10074733072513#/reservations/30660680822966?display=Natsuko%20Kaifu&amp;reservation_id=30660680822966&amp;guest_id=30660680822963", "Natsuko Kaifu")</f>
        <v>Natsuko Kaifu</v>
      </c>
      <c r="E2344" t="s">
        <v>1581</v>
      </c>
      <c r="F2344" t="s">
        <v>1499</v>
      </c>
      <c r="G2344">
        <v>87.2</v>
      </c>
      <c r="H2344">
        <v>94.78</v>
      </c>
      <c r="I2344">
        <v>94.79</v>
      </c>
      <c r="J2344">
        <v>-0.01</v>
      </c>
    </row>
    <row r="2345" spans="1:10" x14ac:dyDescent="0.3">
      <c r="A2345" t="str">
        <f>HYPERLINK("https://us2.cloudbeds.com/connect/10074733072513#/reservations/30660853453046?display=YQE2SPNTB&amp;reservation_id=30660853453046", "YQE2SPNTB")</f>
        <v>YQE2SPNTB</v>
      </c>
      <c r="B2345" t="s">
        <v>10</v>
      </c>
      <c r="C2345" t="s">
        <v>17</v>
      </c>
      <c r="D2345" t="str">
        <f>HYPERLINK("https://us2.cloudbeds.com/connect/10074733072513#/reservations/30660853453046?display=Melody%20Stiefel&amp;reservation_id=30660853453046&amp;guest_id=30660853453042", "Melody Stiefel")</f>
        <v>Melody Stiefel</v>
      </c>
      <c r="E2345" t="s">
        <v>606</v>
      </c>
      <c r="F2345" t="s">
        <v>1386</v>
      </c>
      <c r="G2345">
        <v>100.1</v>
      </c>
      <c r="H2345">
        <v>108.8</v>
      </c>
      <c r="I2345">
        <v>108.81</v>
      </c>
      <c r="J2345">
        <v>-0.01</v>
      </c>
    </row>
    <row r="2346" spans="1:10" x14ac:dyDescent="0.3">
      <c r="A2346" t="str">
        <f>HYPERLINK("https://us2.cloudbeds.com/connect/10074733072513#/reservations/30660364107984?display=YQDNC4W75&amp;reservation_id=30660364107984", "YQDNC4W75")</f>
        <v>YQDNC4W75</v>
      </c>
      <c r="B2346" t="s">
        <v>10</v>
      </c>
      <c r="C2346" t="s">
        <v>14</v>
      </c>
      <c r="D2346" t="str">
        <f>HYPERLINK("https://us2.cloudbeds.com/connect/10074733072513#/reservations/30660364107984?display=Meredith%20Holt&amp;reservation_id=30660364107984&amp;guest_id=30660364107979", "Meredith Holt")</f>
        <v>Meredith Holt</v>
      </c>
      <c r="E2346" t="s">
        <v>1582</v>
      </c>
      <c r="F2346" t="s">
        <v>1583</v>
      </c>
      <c r="G2346">
        <v>87.2</v>
      </c>
      <c r="H2346">
        <v>94.78</v>
      </c>
      <c r="I2346">
        <v>94.79</v>
      </c>
      <c r="J2346">
        <v>-0.01</v>
      </c>
    </row>
    <row r="2347" spans="1:10" x14ac:dyDescent="0.3">
      <c r="A2347" t="str">
        <f>HYPERLINK("https://us2.cloudbeds.com/connect/10074733072513#/reservations/30661367189729?display=YQEFWW6ZM&amp;reservation_id=30661367189729", "YQEFWW6ZM")</f>
        <v>YQEFWW6ZM</v>
      </c>
      <c r="B2347" t="s">
        <v>10</v>
      </c>
      <c r="C2347" t="s">
        <v>42</v>
      </c>
      <c r="D2347" t="str">
        <f>HYPERLINK("https://us2.cloudbeds.com/connect/10074733072513#/reservations/30661367189729?display=David%20Smith&amp;reservation_id=30661367189729&amp;guest_id=30661365813426", "David Smith")</f>
        <v>David Smith</v>
      </c>
      <c r="E2347" t="s">
        <v>1584</v>
      </c>
      <c r="F2347" t="s">
        <v>1549</v>
      </c>
      <c r="G2347">
        <v>134.1</v>
      </c>
      <c r="H2347">
        <v>145.76</v>
      </c>
      <c r="I2347">
        <v>145.77000000000001</v>
      </c>
      <c r="J2347">
        <v>-0.01</v>
      </c>
    </row>
    <row r="2348" spans="1:10" x14ac:dyDescent="0.3">
      <c r="A2348" t="str">
        <f>HYPERLINK("https://us2.cloudbeds.com/connect/10074733072513#/reservations/30660382437597?display=YQDNRK0QW&amp;reservation_id=30660382437597", "YQDNRK0QW")</f>
        <v>YQDNRK0QW</v>
      </c>
      <c r="B2348" t="s">
        <v>10</v>
      </c>
      <c r="C2348" t="s">
        <v>20</v>
      </c>
      <c r="D2348" t="str">
        <f>HYPERLINK("https://us2.cloudbeds.com/connect/10074733072513#/reservations/30660382437597?display=Marvin%20Kassner&amp;reservation_id=30660382437597&amp;guest_id=30660382433516", "Marvin Kassner")</f>
        <v>Marvin Kassner</v>
      </c>
      <c r="E2348" t="s">
        <v>1585</v>
      </c>
      <c r="F2348" t="s">
        <v>1487</v>
      </c>
      <c r="G2348">
        <v>87.2</v>
      </c>
      <c r="H2348">
        <v>94.78</v>
      </c>
      <c r="I2348">
        <v>94.79</v>
      </c>
      <c r="J2348">
        <v>-0.01</v>
      </c>
    </row>
    <row r="2349" spans="1:10" x14ac:dyDescent="0.3">
      <c r="A2349" t="str">
        <f>HYPERLINK("https://us2.cloudbeds.com/connect/10074733072513#/reservations/30660377522311?display=YQDNNF87U&amp;reservation_id=30660377522311", "YQDNNF87U")</f>
        <v>YQDNNF87U</v>
      </c>
      <c r="B2349" t="s">
        <v>10</v>
      </c>
      <c r="C2349" t="s">
        <v>20</v>
      </c>
      <c r="D2349" t="str">
        <f>HYPERLINK("https://us2.cloudbeds.com/connect/10074733072513#/reservations/30660377522311?display=Madalyn%20Sandler&amp;reservation_id=30660377522311&amp;guest_id=30660377518230", "Madalyn Sandler")</f>
        <v>Madalyn Sandler</v>
      </c>
      <c r="E2349" t="s">
        <v>1586</v>
      </c>
      <c r="F2349" t="s">
        <v>1487</v>
      </c>
      <c r="G2349">
        <v>87.2</v>
      </c>
      <c r="H2349">
        <v>94.78</v>
      </c>
      <c r="I2349">
        <v>94.79</v>
      </c>
      <c r="J2349">
        <v>-0.01</v>
      </c>
    </row>
    <row r="2350" spans="1:10" x14ac:dyDescent="0.3">
      <c r="A2350" t="str">
        <f>HYPERLINK("https://us2.cloudbeds.com/connect/10074733072513#/reservations/30669293662420?display=YQKKHPWNR&amp;reservation_id=30669293662420", "YQKKHPWNR")</f>
        <v>YQKKHPWNR</v>
      </c>
      <c r="B2350" t="s">
        <v>10</v>
      </c>
      <c r="C2350" t="s">
        <v>42</v>
      </c>
      <c r="D2350" t="str">
        <f>HYPERLINK("https://us2.cloudbeds.com/connect/10074733072513#/reservations/30669293662420?display=Julie%20Hansen&amp;reservation_id=30669293662420&amp;guest_id=30669293658335", "Julie Hansen")</f>
        <v>Julie Hansen</v>
      </c>
      <c r="E2350" t="s">
        <v>1587</v>
      </c>
      <c r="F2350" t="s">
        <v>1588</v>
      </c>
      <c r="G2350">
        <v>270.2</v>
      </c>
      <c r="H2350">
        <v>293.7</v>
      </c>
      <c r="I2350">
        <v>293.70999999999998</v>
      </c>
      <c r="J2350">
        <v>-0.01</v>
      </c>
    </row>
    <row r="2351" spans="1:10" x14ac:dyDescent="0.3">
      <c r="A2351" t="str">
        <f>HYPERLINK("https://us2.cloudbeds.com/connect/10074733072513#/reservations/30660752421117?display=YQE09JBUQ&amp;reservation_id=30660752421117", "YQE09JBUQ")</f>
        <v>YQE09JBUQ</v>
      </c>
      <c r="B2351" t="s">
        <v>10</v>
      </c>
      <c r="C2351" t="s">
        <v>20</v>
      </c>
      <c r="D2351" t="str">
        <f>HYPERLINK("https://us2.cloudbeds.com/connect/10074733072513#/reservations/30660752421117?display=Mikael%20Gren&amp;reservation_id=30660752421117&amp;guest_id=30660752421113", "Mikael Gren")</f>
        <v>Mikael Gren</v>
      </c>
      <c r="E2351" t="s">
        <v>1589</v>
      </c>
      <c r="F2351" t="s">
        <v>1541</v>
      </c>
      <c r="G2351">
        <v>103.2</v>
      </c>
      <c r="H2351">
        <v>112.17</v>
      </c>
      <c r="I2351">
        <v>112.18</v>
      </c>
      <c r="J2351">
        <v>-0.01</v>
      </c>
    </row>
    <row r="2352" spans="1:10" x14ac:dyDescent="0.3">
      <c r="A2352" t="str">
        <f>HYPERLINK("https://us2.cloudbeds.com/connect/10074733072513#/reservations/30662291615961?display=YQF6KFNWQ&amp;reservation_id=30662291615961", "YQF6KFNWQ")</f>
        <v>YQF6KFNWQ</v>
      </c>
      <c r="B2352" t="s">
        <v>10</v>
      </c>
      <c r="C2352" t="s">
        <v>20</v>
      </c>
      <c r="D2352" t="str">
        <f>HYPERLINK("https://us2.cloudbeds.com/connect/10074733072513#/reservations/30662291615961?display=Jim%20Brown&amp;reservation_id=30662291615961&amp;guest_id=30662291615959", "Jim Brown")</f>
        <v>Jim Brown</v>
      </c>
      <c r="E2352" t="s">
        <v>1592</v>
      </c>
      <c r="F2352" t="s">
        <v>1593</v>
      </c>
      <c r="G2352">
        <v>285.60000000000002</v>
      </c>
      <c r="H2352">
        <v>310.44</v>
      </c>
      <c r="I2352">
        <v>310.45</v>
      </c>
      <c r="J2352">
        <v>-0.01</v>
      </c>
    </row>
    <row r="2353" spans="1:10" x14ac:dyDescent="0.3">
      <c r="A2353" t="str">
        <f>HYPERLINK("https://us2.cloudbeds.com/connect/10074733072513#/reservations/30661345075404?display=YQEFEARZJ&amp;reservation_id=30661345075404", "YQEFEARZJ")</f>
        <v>YQEFEARZJ</v>
      </c>
      <c r="B2353" t="s">
        <v>10</v>
      </c>
      <c r="C2353" t="s">
        <v>20</v>
      </c>
      <c r="D2353" t="str">
        <f>HYPERLINK("https://us2.cloudbeds.com/connect/10074733072513#/reservations/30661345075404?display=Andrew%20Laycock&amp;reservation_id=30661345075404&amp;guest_id=30661345071323", "Andrew Laycock")</f>
        <v>Andrew Laycock</v>
      </c>
      <c r="E2353" t="s">
        <v>1594</v>
      </c>
      <c r="F2353" t="s">
        <v>1386</v>
      </c>
      <c r="G2353">
        <v>87.2</v>
      </c>
      <c r="H2353">
        <v>94.78</v>
      </c>
      <c r="I2353">
        <v>94.79</v>
      </c>
      <c r="J2353">
        <v>-0.01</v>
      </c>
    </row>
    <row r="2354" spans="1:10" x14ac:dyDescent="0.3">
      <c r="A2354" t="str">
        <f>HYPERLINK("https://us2.cloudbeds.com/connect/10074733072513#/reservations/30661193355457?display=YQEBXD0AF&amp;reservation_id=30661193355457", "YQEBXD0AF")</f>
        <v>YQEBXD0AF</v>
      </c>
      <c r="B2354" t="s">
        <v>10</v>
      </c>
      <c r="C2354" t="s">
        <v>42</v>
      </c>
      <c r="D2354" t="str">
        <f>HYPERLINK("https://us2.cloudbeds.com/connect/10074733072513#/reservations/30661193355457?display=Josh%20Hillers&amp;reservation_id=30661193355457&amp;guest_id=30661186855072", "Josh Hillers")</f>
        <v>Josh Hillers</v>
      </c>
      <c r="E2354" t="s">
        <v>1595</v>
      </c>
      <c r="F2354" t="s">
        <v>1397</v>
      </c>
      <c r="G2354">
        <v>270.2</v>
      </c>
      <c r="H2354">
        <v>293.7</v>
      </c>
      <c r="I2354">
        <v>293.70999999999998</v>
      </c>
      <c r="J2354">
        <v>-0.01</v>
      </c>
    </row>
    <row r="2355" spans="1:10" x14ac:dyDescent="0.3">
      <c r="A2355" t="str">
        <f>HYPERLINK("https://us2.cloudbeds.com/connect/10074733072513#/reservations/30659735732425?display=YQD7A9GGX&amp;reservation_id=30659735732425", "YQD7A9GGX")</f>
        <v>YQD7A9GGX</v>
      </c>
      <c r="B2355" t="s">
        <v>10</v>
      </c>
      <c r="C2355" t="s">
        <v>42</v>
      </c>
      <c r="D2355" t="str">
        <f>HYPERLINK("https://us2.cloudbeds.com/connect/10074733072513#/reservations/30659735732425?display=Todd%20Hornstra&amp;reservation_id=30659735732425&amp;guest_id=30659727016097", "Todd Hornstra")</f>
        <v>Todd Hornstra</v>
      </c>
      <c r="E2355" t="s">
        <v>1596</v>
      </c>
      <c r="F2355" t="s">
        <v>1403</v>
      </c>
      <c r="G2355">
        <v>134.1</v>
      </c>
      <c r="H2355">
        <v>145.76</v>
      </c>
      <c r="I2355">
        <v>145.77000000000001</v>
      </c>
      <c r="J2355">
        <v>-0.01</v>
      </c>
    </row>
    <row r="2356" spans="1:10" x14ac:dyDescent="0.3">
      <c r="A2356" t="str">
        <f>HYPERLINK("https://us2.cloudbeds.com/connect/10074733072513#/reservations/30661322547412?display=YQEESAVT6&amp;reservation_id=30661322547412", "YQEESAVT6")</f>
        <v>YQEESAVT6</v>
      </c>
      <c r="B2356" t="s">
        <v>10</v>
      </c>
      <c r="C2356" t="s">
        <v>42</v>
      </c>
      <c r="D2356" t="str">
        <f>HYPERLINK("https://us2.cloudbeds.com/connect/10074733072513#/reservations/30661322547412?display=Joann%20Fischer&amp;reservation_id=30661322547412&amp;guest_id=30661317128323", "Joann Fischer")</f>
        <v>Joann Fischer</v>
      </c>
      <c r="E2356" t="s">
        <v>1597</v>
      </c>
      <c r="F2356" t="s">
        <v>1598</v>
      </c>
      <c r="G2356">
        <v>250.2</v>
      </c>
      <c r="H2356">
        <v>271.95999999999998</v>
      </c>
      <c r="I2356">
        <v>271.97000000000003</v>
      </c>
      <c r="J2356">
        <v>-0.01</v>
      </c>
    </row>
    <row r="2357" spans="1:10" x14ac:dyDescent="0.3">
      <c r="A2357" t="str">
        <f>HYPERLINK("https://us2.cloudbeds.com/connect/10074733072513#/reservations/30660638605459?display=YQDUCK90F&amp;reservation_id=30660638605459", "YQDUCK90F")</f>
        <v>YQDUCK90F</v>
      </c>
      <c r="B2357" t="s">
        <v>10</v>
      </c>
      <c r="C2357" t="s">
        <v>11</v>
      </c>
      <c r="D2357" t="str">
        <f>HYPERLINK("https://us2.cloudbeds.com/connect/10074733072513#/reservations/30660638605459?display=Geoffrey%20W%20Doggett&amp;reservation_id=30660638605459&amp;guest_id=30660627636419", "Geoffrey W Doggett")</f>
        <v>Geoffrey W Doggett</v>
      </c>
      <c r="E2357" t="s">
        <v>1599</v>
      </c>
      <c r="F2357" t="s">
        <v>1600</v>
      </c>
      <c r="G2357">
        <v>174.4</v>
      </c>
      <c r="H2357">
        <v>189.56</v>
      </c>
      <c r="I2357">
        <v>189.57</v>
      </c>
      <c r="J2357">
        <v>-0.01</v>
      </c>
    </row>
    <row r="2358" spans="1:10" x14ac:dyDescent="0.3">
      <c r="A2358" t="str">
        <f>HYPERLINK("https://us2.cloudbeds.com/connect/10074733072513#/reservations/30661373587611?display=YQEG5C7ZT&amp;reservation_id=30661373587611", "YQEG5C7ZT")</f>
        <v>YQEG5C7ZT</v>
      </c>
      <c r="B2358" t="s">
        <v>10</v>
      </c>
      <c r="C2358" t="s">
        <v>17</v>
      </c>
      <c r="D2358" t="str">
        <f>HYPERLINK("https://us2.cloudbeds.com/connect/10074733072513#/reservations/30661373587611?display=Phyllis%20Mark&amp;reservation_id=30661373587611&amp;guest_id=30661373587607", "Phyllis Mark")</f>
        <v>Phyllis Mark</v>
      </c>
      <c r="E2358" t="s">
        <v>1601</v>
      </c>
      <c r="F2358" t="s">
        <v>1602</v>
      </c>
      <c r="G2358">
        <v>250.2</v>
      </c>
      <c r="H2358">
        <v>271.95999999999998</v>
      </c>
      <c r="I2358">
        <v>271.97000000000003</v>
      </c>
      <c r="J2358">
        <v>-0.01</v>
      </c>
    </row>
    <row r="2359" spans="1:10" x14ac:dyDescent="0.3">
      <c r="A2359" t="str">
        <f>HYPERLINK("https://us2.cloudbeds.com/connect/10074733072513#/reservations/30660730581127?display=YQDWZ5KRU&amp;reservation_id=30660730581127", "YQDWZ5KRU")</f>
        <v>YQDWZ5KRU</v>
      </c>
      <c r="B2359" t="s">
        <v>10</v>
      </c>
      <c r="C2359" t="s">
        <v>14</v>
      </c>
      <c r="D2359" t="str">
        <f>HYPERLINK("https://us2.cloudbeds.com/connect/10074733072513#/reservations/30660730581127?display=David%20Cook&amp;reservation_id=30660730581127&amp;guest_id=30658409631968", "David Cook")</f>
        <v>David Cook</v>
      </c>
      <c r="E2359" t="s">
        <v>1603</v>
      </c>
      <c r="F2359" t="s">
        <v>1541</v>
      </c>
      <c r="G2359">
        <v>87.2</v>
      </c>
      <c r="H2359">
        <v>94.78</v>
      </c>
      <c r="I2359">
        <v>94.79</v>
      </c>
      <c r="J2359">
        <v>-0.01</v>
      </c>
    </row>
    <row r="2360" spans="1:10" x14ac:dyDescent="0.3">
      <c r="A2360" t="str">
        <f>HYPERLINK("https://us2.cloudbeds.com/connect/10074733072513#/reservations/30660742295803?display=YQE011K43&amp;reservation_id=30660742295803", "YQE011K43")</f>
        <v>YQE011K43</v>
      </c>
      <c r="B2360" t="s">
        <v>10</v>
      </c>
      <c r="C2360" t="s">
        <v>20</v>
      </c>
      <c r="D2360" t="str">
        <f>HYPERLINK("https://us2.cloudbeds.com/connect/10074733072513#/reservations/30660742295803?display=Carol%20Case&amp;reservation_id=30660742295803&amp;guest_id=30660742295755", "Carol Case")</f>
        <v>Carol Case</v>
      </c>
      <c r="E2360" t="s">
        <v>1604</v>
      </c>
      <c r="F2360" t="s">
        <v>1541</v>
      </c>
      <c r="G2360">
        <v>87.2</v>
      </c>
      <c r="H2360">
        <v>94.78</v>
      </c>
      <c r="I2360">
        <v>94.79</v>
      </c>
      <c r="J2360">
        <v>-0.01</v>
      </c>
    </row>
    <row r="2361" spans="1:10" x14ac:dyDescent="0.3">
      <c r="A2361" t="str">
        <f>HYPERLINK("https://us2.cloudbeds.com/connect/10074733072513#/reservations/30659868131555?display=YQDAMUN4D&amp;reservation_id=30659868131555", "YQDAMUN4D")</f>
        <v>YQDAMUN4D</v>
      </c>
      <c r="B2361" t="s">
        <v>10</v>
      </c>
      <c r="C2361" t="s">
        <v>20</v>
      </c>
      <c r="D2361" t="str">
        <f>HYPERLINK("https://us2.cloudbeds.com/connect/10074733072513#/reservations/30659868131555?display=Sandra%20Jayne%20Belen&amp;reservation_id=30659868131555&amp;guest_id=30659868131553", "Sandra Jayne Belen")</f>
        <v>Sandra Jayne Belen</v>
      </c>
      <c r="E2361" t="s">
        <v>1608</v>
      </c>
      <c r="F2361" t="s">
        <v>1501</v>
      </c>
      <c r="G2361">
        <v>103.2</v>
      </c>
      <c r="H2361">
        <v>112.17</v>
      </c>
      <c r="I2361">
        <v>112.18</v>
      </c>
      <c r="J2361">
        <v>-0.01</v>
      </c>
    </row>
    <row r="2362" spans="1:10" x14ac:dyDescent="0.3">
      <c r="A2362" t="str">
        <f>HYPERLINK("https://us2.cloudbeds.com/connect/10074733072513#/reservations/30659725566181?display=YQD71NK3X&amp;reservation_id=30659725566181", "YQD71NK3X")</f>
        <v>YQD71NK3X</v>
      </c>
      <c r="B2362" t="s">
        <v>10</v>
      </c>
      <c r="C2362" t="s">
        <v>11</v>
      </c>
      <c r="D2362" t="str">
        <f>HYPERLINK("https://us2.cloudbeds.com/connect/10074733072513#/reservations/30659725566181?display=Dana%20Indaburu&amp;reservation_id=30659725566181&amp;guest_id=30659714527437", "Dana Indaburu")</f>
        <v>Dana Indaburu</v>
      </c>
      <c r="E2362" t="s">
        <v>1609</v>
      </c>
      <c r="F2362" t="s">
        <v>1610</v>
      </c>
      <c r="G2362">
        <v>90.07</v>
      </c>
      <c r="H2362">
        <v>97.9</v>
      </c>
      <c r="I2362">
        <v>97.91</v>
      </c>
      <c r="J2362">
        <v>-0.01</v>
      </c>
    </row>
    <row r="2363" spans="1:10" x14ac:dyDescent="0.3">
      <c r="A2363" t="str">
        <f>HYPERLINK("https://us2.cloudbeds.com/connect/10074733072513#/reservations/30661097439367?display=YQE93H038&amp;reservation_id=30661097439367", "YQE93H038")</f>
        <v>YQE93H038</v>
      </c>
      <c r="B2363" t="s">
        <v>10</v>
      </c>
      <c r="C2363" t="s">
        <v>11</v>
      </c>
      <c r="D2363" t="str">
        <f>HYPERLINK("https://us2.cloudbeds.com/connect/10074733072513#/reservations/30661097439367?display=Jeffrey%20Ray%20Musgrave&amp;reservation_id=30661097439367&amp;guest_id=30658273271978", "Jeffrey Ray Musgrave")</f>
        <v>Jeffrey Ray Musgrave</v>
      </c>
      <c r="E2363" t="s">
        <v>1440</v>
      </c>
      <c r="F2363" t="s">
        <v>1611</v>
      </c>
      <c r="G2363">
        <v>87.2</v>
      </c>
      <c r="H2363">
        <v>94.78</v>
      </c>
      <c r="I2363">
        <v>94.79</v>
      </c>
      <c r="J2363">
        <v>-0.01</v>
      </c>
    </row>
    <row r="2364" spans="1:10" x14ac:dyDescent="0.3">
      <c r="A2364" t="str">
        <f>HYPERLINK("https://us2.cloudbeds.com/connect/10074733072513#/reservations/30661281337542?display=YQEDQJ7V8&amp;reservation_id=30661281337542", "YQEDQJ7V8")</f>
        <v>YQEDQJ7V8</v>
      </c>
      <c r="B2364" t="s">
        <v>10</v>
      </c>
      <c r="C2364" t="s">
        <v>20</v>
      </c>
      <c r="D2364" t="str">
        <f>HYPERLINK("https://us2.cloudbeds.com/connect/10074733072513#/reservations/30661281337542?display=Hannah%20Kelley&amp;reservation_id=30661281337542&amp;guest_id=30661281337536", "Hannah Kelley")</f>
        <v>Hannah Kelley</v>
      </c>
      <c r="E2364" t="s">
        <v>1612</v>
      </c>
      <c r="F2364" t="s">
        <v>1425</v>
      </c>
      <c r="G2364">
        <v>87.2</v>
      </c>
      <c r="H2364">
        <v>94.78</v>
      </c>
      <c r="I2364">
        <v>94.79</v>
      </c>
      <c r="J2364">
        <v>-0.01</v>
      </c>
    </row>
    <row r="2365" spans="1:10" x14ac:dyDescent="0.3">
      <c r="A2365" t="str">
        <f>HYPERLINK("https://us2.cloudbeds.com/connect/10074733072513#/reservations/30661001461976?display=YQE6YJ9JG&amp;reservation_id=30661001461976", "YQE6YJ9JG")</f>
        <v>YQE6YJ9JG</v>
      </c>
      <c r="B2365" t="s">
        <v>10</v>
      </c>
      <c r="C2365" t="s">
        <v>14</v>
      </c>
      <c r="D2365" t="str">
        <f>HYPERLINK("https://us2.cloudbeds.com/connect/10074733072513#/reservations/30661001461976?display=Cheryl%20Hasebe&amp;reservation_id=30661001461976&amp;guest_id=30661001461971", "Cheryl Hasebe")</f>
        <v>Cheryl Hasebe</v>
      </c>
      <c r="E2365" t="s">
        <v>1613</v>
      </c>
      <c r="F2365" t="s">
        <v>1614</v>
      </c>
      <c r="G2365">
        <v>87.2</v>
      </c>
      <c r="H2365">
        <v>94.78</v>
      </c>
      <c r="I2365">
        <v>94.79</v>
      </c>
      <c r="J2365">
        <v>-0.01</v>
      </c>
    </row>
    <row r="2366" spans="1:10" x14ac:dyDescent="0.3">
      <c r="A2366" t="str">
        <f>HYPERLINK("https://us2.cloudbeds.com/connect/10074733072513#/reservations/30660703342790?display=YQDW16MJP&amp;reservation_id=30660703342790", "YQDW16MJP")</f>
        <v>YQDW16MJP</v>
      </c>
      <c r="B2366" t="s">
        <v>10</v>
      </c>
      <c r="C2366" t="s">
        <v>14</v>
      </c>
      <c r="D2366" t="str">
        <f>HYPERLINK("https://us2.cloudbeds.com/connect/10074733072513#/reservations/30660703342790?display=Abee%20Boyles&amp;reservation_id=30660703342790&amp;guest_id=30660703342788", "Abee Boyles")</f>
        <v>Abee Boyles</v>
      </c>
      <c r="E2366" t="s">
        <v>1615</v>
      </c>
      <c r="F2366" t="s">
        <v>1616</v>
      </c>
      <c r="G2366">
        <v>87.2</v>
      </c>
      <c r="H2366">
        <v>94.78</v>
      </c>
      <c r="I2366">
        <v>94.79</v>
      </c>
      <c r="J2366">
        <v>-0.01</v>
      </c>
    </row>
    <row r="2367" spans="1:10" x14ac:dyDescent="0.3">
      <c r="A2367" t="str">
        <f>HYPERLINK("https://us2.cloudbeds.com/connect/10074733072513#/reservations/30660451188900?display=YQDPJJ4AP&amp;reservation_id=30660451188900", "YQDPJJ4AP")</f>
        <v>YQDPJJ4AP</v>
      </c>
      <c r="B2367" t="s">
        <v>10</v>
      </c>
      <c r="C2367" t="s">
        <v>20</v>
      </c>
      <c r="D2367" t="str">
        <f>HYPERLINK("https://us2.cloudbeds.com/connect/10074733072513#/reservations/30660451188900?display=Doris%20Carlson&amp;reservation_id=30660451188900&amp;guest_id=30660443058394", "Doris Carlson")</f>
        <v>Doris Carlson</v>
      </c>
      <c r="E2367" t="s">
        <v>1618</v>
      </c>
      <c r="F2367" t="s">
        <v>1521</v>
      </c>
      <c r="G2367">
        <v>103.2</v>
      </c>
      <c r="H2367">
        <v>112.17</v>
      </c>
      <c r="I2367">
        <v>112.18</v>
      </c>
      <c r="J2367">
        <v>-0.01</v>
      </c>
    </row>
    <row r="2368" spans="1:10" x14ac:dyDescent="0.3">
      <c r="A2368" t="str">
        <f>HYPERLINK("https://us2.cloudbeds.com/connect/10074733072513#/reservations/30660406239367?display=YQDZEMBBZ&amp;reservation_id=30660406239367", "YQDZEMBBZ")</f>
        <v>YQDZEMBBZ</v>
      </c>
      <c r="B2368" t="s">
        <v>10</v>
      </c>
      <c r="C2368" t="s">
        <v>42</v>
      </c>
      <c r="D2368" t="str">
        <f>HYPERLINK("https://us2.cloudbeds.com/connect/10074733072513#/reservations/30660406239367?display=Jason%20Borresch&amp;reservation_id=30660406239367&amp;guest_id=30660406239362", "Jason Borresch")</f>
        <v>Jason Borresch</v>
      </c>
      <c r="E2368" t="s">
        <v>1619</v>
      </c>
      <c r="F2368" t="s">
        <v>1583</v>
      </c>
      <c r="G2368">
        <v>196.2</v>
      </c>
      <c r="H2368">
        <v>213.26</v>
      </c>
      <c r="I2368">
        <v>213.27</v>
      </c>
      <c r="J2368">
        <v>-0.01</v>
      </c>
    </row>
    <row r="2369" spans="1:10" x14ac:dyDescent="0.3">
      <c r="A2369" t="str">
        <f>HYPERLINK("https://us2.cloudbeds.com/connect/10074733072513#/reservations/30662344937609?display=YQF7WEFSA&amp;reservation_id=30662344937609", "YQF7WEFSA")</f>
        <v>YQF7WEFSA</v>
      </c>
      <c r="B2369" t="s">
        <v>10</v>
      </c>
      <c r="C2369" t="s">
        <v>42</v>
      </c>
      <c r="D2369" t="str">
        <f>HYPERLINK("https://us2.cloudbeds.com/connect/10074733072513#/reservations/30662344937609?display=Darrell%20Justesen&amp;reservation_id=30662344937609&amp;guest_id=30662344937607", "Darrell Justesen")</f>
        <v>Darrell Justesen</v>
      </c>
      <c r="E2369" t="s">
        <v>1620</v>
      </c>
      <c r="F2369" t="s">
        <v>1621</v>
      </c>
      <c r="G2369">
        <v>304.2</v>
      </c>
      <c r="H2369">
        <v>330.66</v>
      </c>
      <c r="I2369">
        <v>330.67</v>
      </c>
      <c r="J2369">
        <v>-0.01</v>
      </c>
    </row>
    <row r="2370" spans="1:10" x14ac:dyDescent="0.3">
      <c r="A2370" t="str">
        <f>HYPERLINK("https://us2.cloudbeds.com/connect/10074733072513#/reservations/30661142266069?display=YQEA8AC96&amp;reservation_id=30661142266069", "YQEA8AC96")</f>
        <v>YQEA8AC96</v>
      </c>
      <c r="B2370" t="s">
        <v>10</v>
      </c>
      <c r="C2370" t="s">
        <v>17</v>
      </c>
      <c r="D2370" t="str">
        <f>HYPERLINK("https://us2.cloudbeds.com/connect/10074733072513#/reservations/30661142266069?display=William%20Graves&amp;reservation_id=30661142266069&amp;guest_id=30648454471826", "William Graves")</f>
        <v>William Graves</v>
      </c>
      <c r="E2370" t="s">
        <v>447</v>
      </c>
      <c r="F2370" t="s">
        <v>1503</v>
      </c>
      <c r="G2370">
        <v>196.2</v>
      </c>
      <c r="H2370">
        <v>213.26</v>
      </c>
      <c r="I2370">
        <v>213.27</v>
      </c>
      <c r="J2370">
        <v>-0.01</v>
      </c>
    </row>
    <row r="2371" spans="1:10" x14ac:dyDescent="0.3">
      <c r="A2371" t="str">
        <f>HYPERLINK("https://us2.cloudbeds.com/connect/10074733072513#/reservations/30661033226485?display=YQE7FC63C&amp;reservation_id=30661033226485", "YQE7FC63C")</f>
        <v>YQE7FC63C</v>
      </c>
      <c r="B2371" t="s">
        <v>10</v>
      </c>
      <c r="C2371" t="s">
        <v>14</v>
      </c>
      <c r="D2371" t="str">
        <f>HYPERLINK("https://us2.cloudbeds.com/connect/10074733072513#/reservations/30661033226485?display=Jody%20Mcclure&amp;reservation_id=30661033226485&amp;guest_id=30661033226436", "Jody Mcclure")</f>
        <v>Jody Mcclure</v>
      </c>
      <c r="E2371" t="s">
        <v>1622</v>
      </c>
      <c r="F2371" t="s">
        <v>1614</v>
      </c>
      <c r="G2371">
        <v>174.4</v>
      </c>
      <c r="H2371">
        <v>189.56</v>
      </c>
      <c r="I2371">
        <v>189.57</v>
      </c>
      <c r="J2371">
        <v>-0.01</v>
      </c>
    </row>
    <row r="2372" spans="1:10" x14ac:dyDescent="0.3">
      <c r="A2372" t="str">
        <f>HYPERLINK("https://us2.cloudbeds.com/connect/10074733072513#/reservations/30660424810718?display=YQDZUB3UV&amp;reservation_id=30660424810718", "YQDZUB3UV")</f>
        <v>YQDZUB3UV</v>
      </c>
      <c r="B2372" t="s">
        <v>10</v>
      </c>
      <c r="C2372" t="s">
        <v>42</v>
      </c>
      <c r="D2372" t="str">
        <f>HYPERLINK("https://us2.cloudbeds.com/connect/10074733072513#/reservations/30660424810718?display=Chris%20Richardson&amp;reservation_id=30660424810718&amp;guest_id=30660424810711", "Chris Richardson")</f>
        <v>Chris Richardson</v>
      </c>
      <c r="E2372" t="s">
        <v>1623</v>
      </c>
      <c r="F2372" t="s">
        <v>1583</v>
      </c>
      <c r="G2372">
        <v>250.2</v>
      </c>
      <c r="H2372">
        <v>271.95999999999998</v>
      </c>
      <c r="I2372">
        <v>271.97000000000003</v>
      </c>
      <c r="J2372">
        <v>-0.01</v>
      </c>
    </row>
    <row r="2373" spans="1:10" x14ac:dyDescent="0.3">
      <c r="A2373" t="str">
        <f>HYPERLINK("https://us2.cloudbeds.com/connect/10074733072513#/reservations/30661686235288?display=YQEZ503SU&amp;reservation_id=30661686235288", "YQEZ503SU")</f>
        <v>YQEZ503SU</v>
      </c>
      <c r="B2373" t="s">
        <v>10</v>
      </c>
      <c r="C2373" t="s">
        <v>14</v>
      </c>
      <c r="D2373" t="str">
        <f>HYPERLINK("https://us2.cloudbeds.com/connect/10074733072513#/reservations/30661686235288?display=Bobby%20Gregg&amp;reservation_id=30661686235288&amp;guest_id=30661686235286", "Bobby Gregg")</f>
        <v>Bobby Gregg</v>
      </c>
      <c r="E2373" t="s">
        <v>1624</v>
      </c>
      <c r="F2373" t="s">
        <v>1521</v>
      </c>
      <c r="G2373">
        <v>87.2</v>
      </c>
      <c r="H2373">
        <v>94.78</v>
      </c>
      <c r="I2373">
        <v>94.79</v>
      </c>
      <c r="J2373">
        <v>-0.01</v>
      </c>
    </row>
    <row r="2374" spans="1:10" x14ac:dyDescent="0.3">
      <c r="A2374" t="str">
        <f>HYPERLINK("https://us2.cloudbeds.com/connect/10074733072513#/reservations/30661007208622?display=YQE6QE6J9&amp;reservation_id=30661007208622", "YQE6QE6J9")</f>
        <v>YQE6QE6J9</v>
      </c>
      <c r="B2374" t="s">
        <v>10</v>
      </c>
      <c r="C2374" t="s">
        <v>17</v>
      </c>
      <c r="D2374" t="str">
        <f>HYPERLINK("https://us2.cloudbeds.com/connect/10074733072513#/reservations/30661007208622?display=Tuomo%20Aho&amp;reservation_id=30661007208622&amp;guest_id=30661001461974", "Tuomo Aho")</f>
        <v>Tuomo Aho</v>
      </c>
      <c r="E2374" t="s">
        <v>1625</v>
      </c>
      <c r="F2374" t="s">
        <v>1614</v>
      </c>
      <c r="G2374">
        <v>196.2</v>
      </c>
      <c r="H2374">
        <v>213.26</v>
      </c>
      <c r="I2374">
        <v>213.27</v>
      </c>
      <c r="J2374">
        <v>-0.01</v>
      </c>
    </row>
    <row r="2375" spans="1:10" x14ac:dyDescent="0.3">
      <c r="A2375" t="str">
        <f>HYPERLINK("https://us2.cloudbeds.com/connect/10074733072513#/reservations/30661102416093?display=YQE97NG35&amp;reservation_id=30661102416093", "YQE97NG35")</f>
        <v>YQE97NG35</v>
      </c>
      <c r="B2375" t="s">
        <v>10</v>
      </c>
      <c r="C2375" t="s">
        <v>20</v>
      </c>
      <c r="D2375" t="str">
        <f>HYPERLINK("https://us2.cloudbeds.com/connect/10074733072513#/reservations/30661102416093?display=Sandra%20Jayne%20Belen&amp;reservation_id=30661102416093&amp;guest_id=30661097439366", "Sandra Jayne Belen")</f>
        <v>Sandra Jayne Belen</v>
      </c>
      <c r="E2375" t="s">
        <v>1626</v>
      </c>
      <c r="F2375" t="s">
        <v>1627</v>
      </c>
      <c r="G2375">
        <v>87.2</v>
      </c>
      <c r="H2375">
        <v>94.78</v>
      </c>
      <c r="I2375">
        <v>94.79</v>
      </c>
      <c r="J2375">
        <v>-0.01</v>
      </c>
    </row>
    <row r="2376" spans="1:10" x14ac:dyDescent="0.3">
      <c r="A2376" t="str">
        <f>HYPERLINK("https://us2.cloudbeds.com/connect/10074733072513#/reservations/30660270719116?display=YQDKWD9MF&amp;reservation_id=30660270719116", "YQDKWD9MF")</f>
        <v>YQDKWD9MF</v>
      </c>
      <c r="B2376" t="s">
        <v>10</v>
      </c>
      <c r="C2376" t="s">
        <v>14</v>
      </c>
      <c r="D2376" t="str">
        <f>HYPERLINK("https://us2.cloudbeds.com/connect/10074733072513#/reservations/30660270719116?display=April%20Williamson&amp;reservation_id=30660270719116&amp;guest_id=30660270719114", "April Williamson")</f>
        <v>April Williamson</v>
      </c>
      <c r="E2376" t="s">
        <v>1628</v>
      </c>
      <c r="F2376" t="s">
        <v>1616</v>
      </c>
      <c r="G2376">
        <v>180.14</v>
      </c>
      <c r="H2376">
        <v>195.8</v>
      </c>
      <c r="I2376">
        <v>195.81</v>
      </c>
      <c r="J2376">
        <v>-0.01</v>
      </c>
    </row>
    <row r="2377" spans="1:10" x14ac:dyDescent="0.3">
      <c r="A2377" t="str">
        <f>HYPERLINK("https://us2.cloudbeds.com/connect/10074733072513#/reservations/30660470112459?display=YQDQ2HNAW&amp;reservation_id=30660470112459", "YQDQ2HNAW")</f>
        <v>YQDQ2HNAW</v>
      </c>
      <c r="B2377" t="s">
        <v>10</v>
      </c>
      <c r="C2377" t="s">
        <v>20</v>
      </c>
      <c r="D2377" t="str">
        <f>HYPERLINK("https://us2.cloudbeds.com/connect/10074733072513#/reservations/30660470112459?display=Jean%20Singler&amp;reservation_id=30660470112459&amp;guest_id=30660470112456", "Jean Singler")</f>
        <v>Jean Singler</v>
      </c>
      <c r="E2377" t="s">
        <v>1629</v>
      </c>
      <c r="F2377" t="s">
        <v>1521</v>
      </c>
      <c r="G2377">
        <v>103.2</v>
      </c>
      <c r="H2377">
        <v>112.17</v>
      </c>
      <c r="I2377">
        <v>112.18</v>
      </c>
      <c r="J2377">
        <v>-0.01</v>
      </c>
    </row>
    <row r="2378" spans="1:10" x14ac:dyDescent="0.3">
      <c r="A2378" t="str">
        <f>HYPERLINK("https://us2.cloudbeds.com/connect/10074733072513#/reservations/30661028298922?display=YQE7B7289&amp;reservation_id=30661028298922", "YQE7B7289")</f>
        <v>YQE7B7289</v>
      </c>
      <c r="B2378" t="s">
        <v>10</v>
      </c>
      <c r="C2378" t="s">
        <v>14</v>
      </c>
      <c r="D2378" t="str">
        <f>HYPERLINK("https://us2.cloudbeds.com/connect/10074733072513#/reservations/30661028298922?display=Michael%20White&amp;reservation_id=30661028298922&amp;guest_id=30661020008584", "Michael White")</f>
        <v>Michael White</v>
      </c>
      <c r="E2378" t="s">
        <v>1631</v>
      </c>
      <c r="F2378" t="s">
        <v>1614</v>
      </c>
      <c r="G2378">
        <v>90.07</v>
      </c>
      <c r="H2378">
        <v>97.9</v>
      </c>
      <c r="I2378">
        <v>97.91</v>
      </c>
      <c r="J2378">
        <v>-0.01</v>
      </c>
    </row>
    <row r="2379" spans="1:10" x14ac:dyDescent="0.3">
      <c r="A2379" t="str">
        <f>HYPERLINK("https://us2.cloudbeds.com/connect/10074733072513#/reservations/30661097435272?display=YQE93GTB6&amp;reservation_id=30661097435272", "YQE93GTB6")</f>
        <v>YQE93GTB6</v>
      </c>
      <c r="B2379" t="s">
        <v>10</v>
      </c>
      <c r="C2379" t="s">
        <v>20</v>
      </c>
      <c r="D2379" t="str">
        <f>HYPERLINK("https://us2.cloudbeds.com/connect/10074733072513#/reservations/30661097435272?display=Maria%20Schulzetenberg&amp;reservation_id=30661097435272&amp;guest_id=30661088977119", "Maria Schulzetenberg")</f>
        <v>Maria Schulzetenberg</v>
      </c>
      <c r="E2379" t="s">
        <v>1633</v>
      </c>
      <c r="F2379" t="s">
        <v>1627</v>
      </c>
      <c r="G2379">
        <v>103.2</v>
      </c>
      <c r="H2379">
        <v>112.17</v>
      </c>
      <c r="I2379">
        <v>112.18</v>
      </c>
      <c r="J2379">
        <v>-0.01</v>
      </c>
    </row>
    <row r="2380" spans="1:10" x14ac:dyDescent="0.3">
      <c r="A2380" t="str">
        <f>HYPERLINK("https://us2.cloudbeds.com/connect/10074733072513#/reservations/30661495857344?display=YQEJ9FF44&amp;reservation_id=30661495857344", "YQEJ9FF44")</f>
        <v>YQEJ9FF44</v>
      </c>
      <c r="B2380" t="s">
        <v>10</v>
      </c>
      <c r="C2380" t="s">
        <v>20</v>
      </c>
      <c r="D2380" t="str">
        <f>HYPERLINK("https://us2.cloudbeds.com/connect/10074733072513#/reservations/30661495857344?display=Pam%20Waterman&amp;reservation_id=30661495857344&amp;guest_id=30661495853310", "Pam Waterman")</f>
        <v>Pam Waterman</v>
      </c>
      <c r="E2380" t="s">
        <v>1634</v>
      </c>
      <c r="F2380" t="s">
        <v>1635</v>
      </c>
      <c r="G2380">
        <v>87.2</v>
      </c>
      <c r="H2380">
        <v>94.78</v>
      </c>
      <c r="I2380">
        <v>94.79</v>
      </c>
      <c r="J2380">
        <v>-0.01</v>
      </c>
    </row>
    <row r="2381" spans="1:10" x14ac:dyDescent="0.3">
      <c r="A2381" t="str">
        <f>HYPERLINK("https://us2.cloudbeds.com/connect/10074733072513#/reservations/30661129859297?display=YQE9US4FD&amp;reservation_id=30661129859297", "YQE9US4FD")</f>
        <v>YQE9US4FD</v>
      </c>
      <c r="B2381" t="s">
        <v>10</v>
      </c>
      <c r="C2381" t="s">
        <v>20</v>
      </c>
      <c r="D2381" t="str">
        <f>HYPERLINK("https://us2.cloudbeds.com/connect/10074733072513#/reservations/30661129859297?display=Gary%20Metkler&amp;reservation_id=30661129859297&amp;guest_id=30661129859284", "Gary Metkler")</f>
        <v>Gary Metkler</v>
      </c>
      <c r="E2381" t="s">
        <v>1636</v>
      </c>
      <c r="F2381" t="s">
        <v>1627</v>
      </c>
      <c r="G2381">
        <v>87.2</v>
      </c>
      <c r="H2381">
        <v>94.78</v>
      </c>
      <c r="I2381">
        <v>94.79</v>
      </c>
      <c r="J2381">
        <v>-0.01</v>
      </c>
    </row>
    <row r="2382" spans="1:10" x14ac:dyDescent="0.3">
      <c r="A2382" t="str">
        <f>HYPERLINK("https://us2.cloudbeds.com/connect/10074733072513#/reservations/30662250016897?display=YQF5XD5M3&amp;reservation_id=30662250016897", "YQF5XD5M3")</f>
        <v>YQF5XD5M3</v>
      </c>
      <c r="B2382" t="s">
        <v>10</v>
      </c>
      <c r="C2382" t="s">
        <v>17</v>
      </c>
      <c r="D2382" t="str">
        <f>HYPERLINK("https://us2.cloudbeds.com/connect/10074733072513#/reservations/30662250016897?display=Nicole%20Nelson&amp;reservation_id=30662250016897&amp;guest_id=30652518375559", "Nicole Nelson")</f>
        <v>Nicole Nelson</v>
      </c>
      <c r="E2382" t="s">
        <v>1165</v>
      </c>
      <c r="F2382" t="s">
        <v>859</v>
      </c>
      <c r="G2382">
        <v>259.2</v>
      </c>
      <c r="H2382">
        <v>281.74</v>
      </c>
      <c r="I2382">
        <v>281.75</v>
      </c>
      <c r="J2382">
        <v>-0.01</v>
      </c>
    </row>
    <row r="2383" spans="1:10" x14ac:dyDescent="0.3">
      <c r="A2383" t="str">
        <f>HYPERLINK("https://us2.cloudbeds.com/connect/10074733072513#/reservations/30661102420189?display=YQE97NJS9&amp;reservation_id=30661102420189", "YQE97NJS9")</f>
        <v>YQE97NJS9</v>
      </c>
      <c r="B2383" t="s">
        <v>10</v>
      </c>
      <c r="C2383" t="s">
        <v>20</v>
      </c>
      <c r="D2383" t="str">
        <f>HYPERLINK("https://us2.cloudbeds.com/connect/10074733072513#/reservations/30661102420189?display=Joann%20Burns&amp;reservation_id=30661102420189&amp;guest_id=30661102420187", "Joann Burns")</f>
        <v>Joann Burns</v>
      </c>
      <c r="E2383" t="s">
        <v>1637</v>
      </c>
      <c r="F2383" t="s">
        <v>1627</v>
      </c>
      <c r="G2383">
        <v>103.2</v>
      </c>
      <c r="H2383">
        <v>112.17</v>
      </c>
      <c r="I2383">
        <v>112.18</v>
      </c>
      <c r="J2383">
        <v>-0.01</v>
      </c>
    </row>
    <row r="2384" spans="1:10" x14ac:dyDescent="0.3">
      <c r="A2384" t="str">
        <f>HYPERLINK("https://us2.cloudbeds.com/connect/10074733072513#/reservations/30660202160296?display=YQDJ7JHUF&amp;reservation_id=30660202160296", "YQDJ7JHUF")</f>
        <v>YQDJ7JHUF</v>
      </c>
      <c r="B2384" t="s">
        <v>10</v>
      </c>
      <c r="C2384" t="s">
        <v>11</v>
      </c>
      <c r="D2384" t="str">
        <f>HYPERLINK("https://us2.cloudbeds.com/connect/10074733072513#/reservations/30660202160296?display=Ray%20Hansen&amp;reservation_id=30660202160296&amp;guest_id=30660202160294", "Ray Hansen")</f>
        <v>Ray Hansen</v>
      </c>
      <c r="E2384" t="s">
        <v>1638</v>
      </c>
      <c r="F2384" t="s">
        <v>1600</v>
      </c>
      <c r="G2384">
        <v>285.60000000000002</v>
      </c>
      <c r="H2384">
        <v>310.44</v>
      </c>
      <c r="I2384">
        <v>310.45</v>
      </c>
      <c r="J2384">
        <v>-0.01</v>
      </c>
    </row>
    <row r="2385" spans="1:10" x14ac:dyDescent="0.3">
      <c r="A2385" t="str">
        <f>HYPERLINK("https://us2.cloudbeds.com/connect/10074733072513#/reservations/30661870657690?display=YQESSGV3H&amp;reservation_id=30661870657690", "YQESSGV3H")</f>
        <v>YQESSGV3H</v>
      </c>
      <c r="B2385" t="s">
        <v>10</v>
      </c>
      <c r="C2385" t="s">
        <v>42</v>
      </c>
      <c r="D2385" t="str">
        <f>HYPERLINK("https://us2.cloudbeds.com/connect/10074733072513#/reservations/30661870657690?display=Roberta%20Greager&amp;reservation_id=30661870657690&amp;guest_id=30659768242414", "Roberta Greager")</f>
        <v>Roberta Greager</v>
      </c>
      <c r="E2385" t="s">
        <v>1639</v>
      </c>
      <c r="F2385" t="s">
        <v>1598</v>
      </c>
      <c r="G2385">
        <v>134.1</v>
      </c>
      <c r="H2385">
        <v>145.76</v>
      </c>
      <c r="I2385">
        <v>145.77000000000001</v>
      </c>
      <c r="J2385">
        <v>-0.01</v>
      </c>
    </row>
    <row r="2386" spans="1:10" x14ac:dyDescent="0.3">
      <c r="A2386" t="str">
        <f>HYPERLINK("https://us2.cloudbeds.com/connect/10074733072513#/reservations/30662579904701?display=YQFDWXPV7&amp;reservation_id=30662579904701", "YQFDWXPV7")</f>
        <v>YQFDWXPV7</v>
      </c>
      <c r="B2386" t="s">
        <v>10</v>
      </c>
      <c r="C2386" t="s">
        <v>23</v>
      </c>
      <c r="D2386" t="str">
        <f>HYPERLINK("https://us2.cloudbeds.com/connect/10074733072513#/reservations/30662579904701?display=Susan%20Ersher&amp;reservation_id=30662579904701&amp;guest_id=30662579904696", "Susan Ersher")</f>
        <v>Susan Ersher</v>
      </c>
      <c r="E2386" t="s">
        <v>1640</v>
      </c>
      <c r="F2386" t="s">
        <v>1641</v>
      </c>
      <c r="G2386">
        <v>196.2</v>
      </c>
      <c r="H2386">
        <v>213.26</v>
      </c>
      <c r="I2386">
        <v>213.27</v>
      </c>
      <c r="J2386">
        <v>-0.01</v>
      </c>
    </row>
    <row r="2387" spans="1:10" x14ac:dyDescent="0.3">
      <c r="A2387" t="str">
        <f>HYPERLINK("https://us2.cloudbeds.com/connect/10074733072513#/reservations/30661151252687?display=YQEAFTEEV&amp;reservation_id=30661151252687", "YQEAFTEEV")</f>
        <v>YQEAFTEEV</v>
      </c>
      <c r="B2387" t="s">
        <v>10</v>
      </c>
      <c r="C2387" t="s">
        <v>20</v>
      </c>
      <c r="D2387" t="str">
        <f>HYPERLINK("https://us2.cloudbeds.com/connect/10074733072513#/reservations/30661151252687?display=Bryon%20Starr&amp;reservation_id=30661151252687&amp;guest_id=30661151252681", "Bryon Starr")</f>
        <v>Bryon Starr</v>
      </c>
      <c r="E2387" t="s">
        <v>1642</v>
      </c>
      <c r="F2387" t="s">
        <v>1503</v>
      </c>
      <c r="G2387">
        <v>103.2</v>
      </c>
      <c r="H2387">
        <v>112.17</v>
      </c>
      <c r="I2387">
        <v>112.18</v>
      </c>
      <c r="J2387">
        <v>-0.01</v>
      </c>
    </row>
    <row r="2388" spans="1:10" x14ac:dyDescent="0.3">
      <c r="A2388" t="str">
        <f>HYPERLINK("https://us2.cloudbeds.com/connect/10074733072513#/reservations/30660162867398?display=YQDX7F59J&amp;reservation_id=30660162867398", "YQDX7F59J")</f>
        <v>YQDX7F59J</v>
      </c>
      <c r="B2388" t="s">
        <v>10</v>
      </c>
      <c r="C2388" t="s">
        <v>42</v>
      </c>
      <c r="D2388" t="str">
        <f>HYPERLINK("https://us2.cloudbeds.com/connect/10074733072513#/reservations/30660162867398?display=Douglas%20Schafer&amp;reservation_id=30660162867398&amp;guest_id=30660162867396", "Douglas Schafer")</f>
        <v>Douglas Schafer</v>
      </c>
      <c r="E2388" t="s">
        <v>1643</v>
      </c>
      <c r="F2388" t="s">
        <v>1600</v>
      </c>
      <c r="G2388">
        <v>87.2</v>
      </c>
      <c r="H2388">
        <v>94.78</v>
      </c>
      <c r="I2388">
        <v>94.79</v>
      </c>
      <c r="J2388">
        <v>-0.01</v>
      </c>
    </row>
    <row r="2389" spans="1:10" x14ac:dyDescent="0.3">
      <c r="A2389" t="str">
        <f>HYPERLINK("https://us2.cloudbeds.com/connect/10074733072513#/reservations/30661330137325?display=YQEF1Z5GX&amp;reservation_id=30661330137325", "YQEF1Z5GX")</f>
        <v>YQEF1Z5GX</v>
      </c>
      <c r="B2389" t="s">
        <v>10</v>
      </c>
      <c r="C2389" t="s">
        <v>42</v>
      </c>
      <c r="D2389" t="str">
        <f>HYPERLINK("https://us2.cloudbeds.com/connect/10074733072513#/reservations/30661330137325?display=Lawrence%20Reed&amp;reservation_id=30661330137325&amp;guest_id=30661322551516", "Lawrence Reed")</f>
        <v>Lawrence Reed</v>
      </c>
      <c r="E2389" t="s">
        <v>1644</v>
      </c>
      <c r="F2389" t="s">
        <v>1598</v>
      </c>
      <c r="G2389">
        <v>250.2</v>
      </c>
      <c r="H2389">
        <v>271.95999999999998</v>
      </c>
      <c r="I2389">
        <v>271.97000000000003</v>
      </c>
      <c r="J2389">
        <v>-0.01</v>
      </c>
    </row>
    <row r="2390" spans="1:10" x14ac:dyDescent="0.3">
      <c r="A2390" t="str">
        <f>HYPERLINK("https://us2.cloudbeds.com/connect/10074733072513#/reservations/30660971901072?display=YQE5TYNJH&amp;reservation_id=30660971901072", "YQE5TYNJH")</f>
        <v>YQE5TYNJH</v>
      </c>
      <c r="B2390" t="s">
        <v>10</v>
      </c>
      <c r="C2390" t="s">
        <v>42</v>
      </c>
      <c r="D2390" t="str">
        <f>HYPERLINK("https://us2.cloudbeds.com/connect/10074733072513#/reservations/30660971901072?display=Elizabeth%20Tronson&amp;reservation_id=30660971901072&amp;guest_id=30660966871203", "Elizabeth Tronson")</f>
        <v>Elizabeth Tronson</v>
      </c>
      <c r="E2390" t="s">
        <v>1645</v>
      </c>
      <c r="F2390" t="s">
        <v>1646</v>
      </c>
      <c r="G2390">
        <v>250.2</v>
      </c>
      <c r="H2390">
        <v>271.95999999999998</v>
      </c>
      <c r="I2390">
        <v>271.97000000000003</v>
      </c>
      <c r="J2390">
        <v>-0.01</v>
      </c>
    </row>
    <row r="2391" spans="1:10" x14ac:dyDescent="0.3">
      <c r="A2391" t="str">
        <f>HYPERLINK("https://us2.cloudbeds.com/connect/10074733072513#/reservations/30661514760340?display=YQEJPDXVC&amp;reservation_id=30661514760340", "YQEJPDXVC")</f>
        <v>YQEJPDXVC</v>
      </c>
      <c r="B2391" t="s">
        <v>10</v>
      </c>
      <c r="C2391" t="s">
        <v>20</v>
      </c>
      <c r="D2391" t="str">
        <f>HYPERLINK("https://us2.cloudbeds.com/connect/10074733072513#/reservations/30661514760340?display=Kari%20Wlodarczyk&amp;reservation_id=30661514760340&amp;guest_id=30661510238392", "Kari Wlodarczyk")</f>
        <v>Kari Wlodarczyk</v>
      </c>
      <c r="E2391" t="s">
        <v>1647</v>
      </c>
      <c r="F2391" t="s">
        <v>1635</v>
      </c>
      <c r="G2391">
        <v>87.2</v>
      </c>
      <c r="H2391">
        <v>94.78</v>
      </c>
      <c r="I2391">
        <v>94.79</v>
      </c>
      <c r="J2391">
        <v>-0.01</v>
      </c>
    </row>
    <row r="2392" spans="1:10" x14ac:dyDescent="0.3">
      <c r="A2392" t="str">
        <f>HYPERLINK("https://us2.cloudbeds.com/connect/10074733072513#/reservations/30660461281531?display=YQDPS2W43&amp;reservation_id=30660461281531", "YQDPS2W43")</f>
        <v>YQDPS2W43</v>
      </c>
      <c r="B2392" t="s">
        <v>10</v>
      </c>
      <c r="C2392" t="s">
        <v>17</v>
      </c>
      <c r="D2392" t="str">
        <f>HYPERLINK("https://us2.cloudbeds.com/connect/10074733072513#/reservations/30660461281531?display=Danny%20Larsen&amp;reservation_id=30660461281531&amp;guest_id=30660461281519", "Danny Larsen")</f>
        <v>Danny Larsen</v>
      </c>
      <c r="E2392" t="s">
        <v>1648</v>
      </c>
      <c r="F2392" t="s">
        <v>1649</v>
      </c>
      <c r="G2392">
        <v>134.1</v>
      </c>
      <c r="H2392">
        <v>145.76</v>
      </c>
      <c r="I2392">
        <v>145.77000000000001</v>
      </c>
      <c r="J2392">
        <v>-0.01</v>
      </c>
    </row>
    <row r="2393" spans="1:10" x14ac:dyDescent="0.3">
      <c r="A2393" t="str">
        <f>HYPERLINK("https://us2.cloudbeds.com/connect/10074733072513#/reservations/30660778049763?display=YQE0V6H1E&amp;reservation_id=30660778049763", "YQE0V6H1E")</f>
        <v>YQE0V6H1E</v>
      </c>
      <c r="B2393" t="s">
        <v>10</v>
      </c>
      <c r="C2393" t="s">
        <v>14</v>
      </c>
      <c r="D2393" t="str">
        <f>HYPERLINK("https://us2.cloudbeds.com/connect/10074733072513#/reservations/30660778049763?display=Donna%20Goupil&amp;reservation_id=30660778049763&amp;guest_id=30660778049750", "Donna Goupil")</f>
        <v>Donna Goupil</v>
      </c>
      <c r="E2393" t="s">
        <v>1650</v>
      </c>
      <c r="F2393" t="s">
        <v>1598</v>
      </c>
      <c r="G2393">
        <v>90.07</v>
      </c>
      <c r="H2393">
        <v>97.9</v>
      </c>
      <c r="I2393">
        <v>97.91</v>
      </c>
      <c r="J2393">
        <v>-0.01</v>
      </c>
    </row>
    <row r="2394" spans="1:10" x14ac:dyDescent="0.3">
      <c r="A2394" t="str">
        <f>HYPERLINK("https://us2.cloudbeds.com/connect/10074733072513#/reservations/30661940846817?display=YQEUYN1UQ&amp;reservation_id=30661940846817", "YQEUYN1UQ")</f>
        <v>YQEUYN1UQ</v>
      </c>
      <c r="B2394" t="s">
        <v>10</v>
      </c>
      <c r="C2394" t="s">
        <v>14</v>
      </c>
      <c r="D2394" t="str">
        <f>HYPERLINK("https://us2.cloudbeds.com/connect/10074733072513#/reservations/30661940846817?display=Mindi%20Noisy%20Hawk&amp;reservation_id=30661940846817&amp;guest_id=30661940846812", "Mindi Noisy Hawk")</f>
        <v>Mindi Noisy Hawk</v>
      </c>
      <c r="E2394" t="s">
        <v>1651</v>
      </c>
      <c r="F2394" t="s">
        <v>1598</v>
      </c>
      <c r="G2394">
        <v>90.07</v>
      </c>
      <c r="H2394">
        <v>97.9</v>
      </c>
      <c r="I2394">
        <v>97.91</v>
      </c>
      <c r="J2394">
        <v>-0.01</v>
      </c>
    </row>
    <row r="2395" spans="1:10" x14ac:dyDescent="0.3">
      <c r="A2395" t="str">
        <f>HYPERLINK("https://us2.cloudbeds.com/connect/10074733072513#/reservations/30662895296666?display=YQFM1H12G&amp;reservation_id=30662895296666", "YQFM1H12G")</f>
        <v>YQFM1H12G</v>
      </c>
      <c r="B2395" t="s">
        <v>10</v>
      </c>
      <c r="C2395" t="s">
        <v>42</v>
      </c>
      <c r="D2395" t="str">
        <f>HYPERLINK("https://us2.cloudbeds.com/connect/10074733072513#/reservations/30662895296666?display=Jason%20Shaw&amp;reservation_id=30662895296666&amp;guest_id=30662895296649", "Jason Shaw")</f>
        <v>Jason Shaw</v>
      </c>
      <c r="E2395" t="s">
        <v>1652</v>
      </c>
      <c r="F2395" t="s">
        <v>1568</v>
      </c>
      <c r="G2395">
        <v>277.2</v>
      </c>
      <c r="H2395">
        <v>301.31</v>
      </c>
      <c r="I2395">
        <v>301.32</v>
      </c>
      <c r="J2395">
        <v>-0.01</v>
      </c>
    </row>
    <row r="2396" spans="1:10" x14ac:dyDescent="0.3">
      <c r="A2396" t="str">
        <f>HYPERLINK("https://us2.cloudbeds.com/connect/10074733072513#/reservations/30661234749666?display=YQECK9SHE&amp;reservation_id=30661234749666", "YQECK9SHE")</f>
        <v>YQECK9SHE</v>
      </c>
      <c r="B2396" t="s">
        <v>10</v>
      </c>
      <c r="C2396" t="s">
        <v>14</v>
      </c>
      <c r="D2396" t="str">
        <f>HYPERLINK("https://us2.cloudbeds.com/connect/10074733072513#/reservations/30661234749666?display=Lynnelle%20Anderson&amp;reservation_id=30661234749666&amp;guest_id=30649122865292", "Lynnelle Anderson")</f>
        <v>Lynnelle Anderson</v>
      </c>
      <c r="E2396" t="s">
        <v>961</v>
      </c>
      <c r="F2396" t="s">
        <v>1602</v>
      </c>
      <c r="G2396">
        <v>87.2</v>
      </c>
      <c r="H2396">
        <v>94.78</v>
      </c>
      <c r="I2396">
        <v>94.79</v>
      </c>
      <c r="J2396">
        <v>-0.01</v>
      </c>
    </row>
    <row r="2397" spans="1:10" x14ac:dyDescent="0.3">
      <c r="A2397" t="str">
        <f>HYPERLINK("https://us2.cloudbeds.com/connect/10074733072513#/reservations/30661247541385?display=YQECV2QR9&amp;reservation_id=30661247541385", "YQECV2QR9")</f>
        <v>YQECV2QR9</v>
      </c>
      <c r="B2397" t="s">
        <v>10</v>
      </c>
      <c r="C2397" t="s">
        <v>20</v>
      </c>
      <c r="D2397" t="str">
        <f>HYPERLINK("https://us2.cloudbeds.com/connect/10074733072513#/reservations/30661247541385?display=Scott%20Boucher&amp;reservation_id=30661247541385&amp;guest_id=30661241651388", "Scott Boucher")</f>
        <v>Scott Boucher</v>
      </c>
      <c r="E2397" t="s">
        <v>1653</v>
      </c>
      <c r="F2397" t="s">
        <v>1602</v>
      </c>
      <c r="G2397">
        <v>87.2</v>
      </c>
      <c r="H2397">
        <v>94.78</v>
      </c>
      <c r="I2397">
        <v>94.79</v>
      </c>
      <c r="J2397">
        <v>-0.01</v>
      </c>
    </row>
    <row r="2398" spans="1:10" x14ac:dyDescent="0.3">
      <c r="A2398" t="str">
        <f>HYPERLINK("https://us2.cloudbeds.com/connect/10074733072513#/reservations/30662471512254?display=YQFB75K0K&amp;reservation_id=30662471512254", "YQFB75K0K")</f>
        <v>YQFB75K0K</v>
      </c>
      <c r="B2398" t="s">
        <v>10</v>
      </c>
      <c r="C2398" t="s">
        <v>14</v>
      </c>
      <c r="D2398" t="str">
        <f>HYPERLINK("https://us2.cloudbeds.com/connect/10074733072513#/reservations/30662471512254?display=Sara%20Rose%20Ahonen&amp;reservation_id=30662471512254&amp;guest_id=30662471512194", "Sara Rose Ahonen")</f>
        <v>Sara Rose Ahonen</v>
      </c>
      <c r="E2398" t="s">
        <v>1654</v>
      </c>
      <c r="F2398" t="s">
        <v>1593</v>
      </c>
      <c r="G2398">
        <v>90.07</v>
      </c>
      <c r="H2398">
        <v>97.9</v>
      </c>
      <c r="I2398">
        <v>97.91</v>
      </c>
      <c r="J2398">
        <v>-0.01</v>
      </c>
    </row>
    <row r="2399" spans="1:10" x14ac:dyDescent="0.3">
      <c r="A2399" t="str">
        <f>HYPERLINK("https://us2.cloudbeds.com/connect/10074733072513#/reservations/30661365506301?display=YQEFVXBTN&amp;reservation_id=30661365506301", "YQEFVXBTN")</f>
        <v>YQEFVXBTN</v>
      </c>
      <c r="B2399" t="s">
        <v>10</v>
      </c>
      <c r="C2399" t="s">
        <v>20</v>
      </c>
      <c r="D2399" t="str">
        <f>HYPERLINK("https://us2.cloudbeds.com/connect/10074733072513#/reservations/30661365506301?display=Ryan%20Hinrich&amp;reservation_id=30661365506301&amp;guest_id=30661365506299", "Ryan Hinrich")</f>
        <v>Ryan Hinrich</v>
      </c>
      <c r="E2399" t="s">
        <v>1655</v>
      </c>
      <c r="F2399" t="s">
        <v>1602</v>
      </c>
      <c r="G2399">
        <v>87.2</v>
      </c>
      <c r="H2399">
        <v>94.78</v>
      </c>
      <c r="I2399">
        <v>94.79</v>
      </c>
      <c r="J2399">
        <v>-0.01</v>
      </c>
    </row>
    <row r="2400" spans="1:10" x14ac:dyDescent="0.3">
      <c r="A2400" t="str">
        <f>HYPERLINK("https://us2.cloudbeds.com/connect/10074733072513#/reservations/30661419811042?display=YQEHBBFGU&amp;reservation_id=30661419811042", "YQEHBBFGU")</f>
        <v>YQEHBBFGU</v>
      </c>
      <c r="B2400" t="s">
        <v>10</v>
      </c>
      <c r="C2400" t="s">
        <v>14</v>
      </c>
      <c r="D2400" t="str">
        <f>HYPERLINK("https://us2.cloudbeds.com/connect/10074733072513#/reservations/30661419811042?display=Brandon%20Swanson&amp;reservation_id=30661419811042&amp;guest_id=30661419806961", "Brandon Swanson")</f>
        <v>Brandon Swanson</v>
      </c>
      <c r="E2400" t="s">
        <v>1656</v>
      </c>
      <c r="F2400" t="s">
        <v>1657</v>
      </c>
      <c r="G2400">
        <v>289.39999999999998</v>
      </c>
      <c r="H2400">
        <v>314.57</v>
      </c>
      <c r="I2400">
        <v>314.58</v>
      </c>
      <c r="J2400">
        <v>-0.01</v>
      </c>
    </row>
    <row r="2401" spans="1:10" x14ac:dyDescent="0.3">
      <c r="A2401" t="str">
        <f>HYPERLINK("https://us2.cloudbeds.com/connect/10074733072513#/reservations/30664677363843?display=YQH1J6MD5&amp;reservation_id=30664677363843", "YQH1J6MD5")</f>
        <v>YQH1J6MD5</v>
      </c>
      <c r="B2401" t="s">
        <v>10</v>
      </c>
      <c r="C2401" t="s">
        <v>42</v>
      </c>
      <c r="D2401" t="str">
        <f>HYPERLINK("https://us2.cloudbeds.com/connect/10074733072513#/reservations/30664677363843?display=Lisa%20Harvey%20For%20Bride&amp;reservation_id=30664677363843&amp;guest_id=30664668360925", "Lisa Harvey For Bride")</f>
        <v>Lisa Harvey For Bride</v>
      </c>
      <c r="E2401" t="s">
        <v>1658</v>
      </c>
      <c r="F2401" t="s">
        <v>1659</v>
      </c>
      <c r="G2401">
        <v>270.2</v>
      </c>
      <c r="H2401">
        <v>293.7</v>
      </c>
      <c r="I2401">
        <v>293.70999999999998</v>
      </c>
      <c r="J2401">
        <v>-0.01</v>
      </c>
    </row>
    <row r="2402" spans="1:10" x14ac:dyDescent="0.3">
      <c r="A2402" t="str">
        <f>HYPERLINK("https://us2.cloudbeds.com/connect/10074733072513#/reservations/30662474322132?display=YQFB9HQ8E&amp;reservation_id=30662474322132", "YQFB9HQ8E")</f>
        <v>YQFB9HQ8E</v>
      </c>
      <c r="B2402" t="s">
        <v>10</v>
      </c>
      <c r="C2402" t="s">
        <v>20</v>
      </c>
      <c r="D2402" t="str">
        <f>HYPERLINK("https://us2.cloudbeds.com/connect/10074733072513#/reservations/30662474322132?display=David%20Moores&amp;reservation_id=30662474322132&amp;guest_id=30662474322119", "David Moores")</f>
        <v>David Moores</v>
      </c>
      <c r="E2402" t="s">
        <v>1660</v>
      </c>
      <c r="F2402" t="s">
        <v>1593</v>
      </c>
      <c r="G2402">
        <v>87.2</v>
      </c>
      <c r="H2402">
        <v>94.78</v>
      </c>
      <c r="I2402">
        <v>94.79</v>
      </c>
      <c r="J2402">
        <v>-0.01</v>
      </c>
    </row>
    <row r="2403" spans="1:10" x14ac:dyDescent="0.3">
      <c r="A2403" t="str">
        <f>HYPERLINK("https://us2.cloudbeds.com/connect/10074733072513#/reservations/30662179102947?display=YQF3ZJT8H&amp;reservation_id=30662179102947", "YQF3ZJT8H")</f>
        <v>YQF3ZJT8H</v>
      </c>
      <c r="B2403" t="s">
        <v>10</v>
      </c>
      <c r="C2403" t="s">
        <v>20</v>
      </c>
      <c r="D2403" t="str">
        <f>HYPERLINK("https://us2.cloudbeds.com/connect/10074733072513#/reservations/30662179102947?display=Nancy%20Anderson&amp;reservation_id=30662179102947&amp;guest_id=30662179098851", "Nancy Anderson")</f>
        <v>Nancy Anderson</v>
      </c>
      <c r="E2403" t="s">
        <v>1661</v>
      </c>
      <c r="F2403" t="s">
        <v>1662</v>
      </c>
      <c r="G2403">
        <v>87.2</v>
      </c>
      <c r="H2403">
        <v>94.78</v>
      </c>
      <c r="I2403">
        <v>94.79</v>
      </c>
      <c r="J2403">
        <v>-0.01</v>
      </c>
    </row>
    <row r="2404" spans="1:10" x14ac:dyDescent="0.3">
      <c r="A2404" t="str">
        <f>HYPERLINK("https://us2.cloudbeds.com/connect/10074733072513#/reservations/30662488445062?display=YQFBYEPW0&amp;reservation_id=30662488445062", "YQFBYEPW0")</f>
        <v>YQFBYEPW0</v>
      </c>
      <c r="B2404" t="s">
        <v>10</v>
      </c>
      <c r="C2404" t="s">
        <v>11</v>
      </c>
      <c r="D2404" t="str">
        <f>HYPERLINK("https://us2.cloudbeds.com/connect/10074733072513#/reservations/30662488445062?display=Robert%20Smith&amp;reservation_id=30662488445062&amp;guest_id=30662488445057", "Robert Smith")</f>
        <v>Robert Smith</v>
      </c>
      <c r="E2404" t="s">
        <v>1663</v>
      </c>
      <c r="F2404" t="s">
        <v>1593</v>
      </c>
      <c r="G2404">
        <v>87.2</v>
      </c>
      <c r="H2404">
        <v>94.78</v>
      </c>
      <c r="I2404">
        <v>94.79</v>
      </c>
      <c r="J2404">
        <v>-0.01</v>
      </c>
    </row>
    <row r="2405" spans="1:10" x14ac:dyDescent="0.3">
      <c r="A2405" t="str">
        <f>HYPERLINK("https://us2.cloudbeds.com/connect/10074733072513#/reservations/30662480343217?display=YQFBEKB8X&amp;reservation_id=30662480343217", "YQFBEKB8X")</f>
        <v>YQFBEKB8X</v>
      </c>
      <c r="B2405" t="s">
        <v>10</v>
      </c>
      <c r="C2405" t="s">
        <v>11</v>
      </c>
      <c r="D2405" t="str">
        <f>HYPERLINK("https://us2.cloudbeds.com/connect/10074733072513#/reservations/30662480343217?display=Ike%20Eisentrout&amp;reservation_id=30662480343217&amp;guest_id=30662480343215", "Ike Eisentrout")</f>
        <v>Ike Eisentrout</v>
      </c>
      <c r="E2405" t="s">
        <v>1663</v>
      </c>
      <c r="F2405" t="s">
        <v>1593</v>
      </c>
      <c r="G2405">
        <v>87.2</v>
      </c>
      <c r="H2405">
        <v>94.78</v>
      </c>
      <c r="I2405">
        <v>94.79</v>
      </c>
      <c r="J2405">
        <v>-0.01</v>
      </c>
    </row>
    <row r="2406" spans="1:10" x14ac:dyDescent="0.3">
      <c r="A2406" t="str">
        <f>HYPERLINK("https://us2.cloudbeds.com/connect/10074733072513#/reservations/30662444265674?display=YQFAH6E6M&amp;reservation_id=30662444265674", "YQFAH6E6M")</f>
        <v>YQFAH6E6M</v>
      </c>
      <c r="B2406" t="s">
        <v>10</v>
      </c>
      <c r="C2406" t="s">
        <v>20</v>
      </c>
      <c r="D2406" t="str">
        <f>HYPERLINK("https://us2.cloudbeds.com/connect/10074733072513#/reservations/30662444265674?display=Tom%20Deaderick&amp;reservation_id=30662444265674&amp;guest_id=30662438506675", "Tom Deaderick")</f>
        <v>Tom Deaderick</v>
      </c>
      <c r="E2406" t="s">
        <v>1664</v>
      </c>
      <c r="F2406" t="s">
        <v>1593</v>
      </c>
      <c r="G2406">
        <v>196.2</v>
      </c>
      <c r="H2406">
        <v>213.26</v>
      </c>
      <c r="I2406">
        <v>213.27</v>
      </c>
      <c r="J2406">
        <v>-0.01</v>
      </c>
    </row>
    <row r="2407" spans="1:10" x14ac:dyDescent="0.3">
      <c r="A2407" t="str">
        <f>HYPERLINK("https://us2.cloudbeds.com/connect/10074733072513#/reservations/30662211121392?display=YQF4XJRVE&amp;reservation_id=30662211121392", "YQF4XJRVE")</f>
        <v>YQF4XJRVE</v>
      </c>
      <c r="B2407" t="s">
        <v>10</v>
      </c>
      <c r="C2407" t="s">
        <v>42</v>
      </c>
      <c r="D2407" t="str">
        <f>HYPERLINK("https://us2.cloudbeds.com/connect/10074733072513#/reservations/30662211121392?display=Robin%20Versluys&amp;reservation_id=30662211121392&amp;guest_id=30662202745049", "Robin Versluys")</f>
        <v>Robin Versluys</v>
      </c>
      <c r="E2407" t="s">
        <v>1665</v>
      </c>
      <c r="F2407" t="s">
        <v>859</v>
      </c>
      <c r="G2407">
        <v>118.15</v>
      </c>
      <c r="H2407">
        <v>128.41999999999999</v>
      </c>
      <c r="I2407">
        <v>128.43</v>
      </c>
      <c r="J2407">
        <v>-0.01</v>
      </c>
    </row>
    <row r="2408" spans="1:10" x14ac:dyDescent="0.3">
      <c r="A2408" t="str">
        <f>HYPERLINK("https://us2.cloudbeds.com/connect/10074733072513#/reservations/30660580253909?display=YQDSTDXAM&amp;reservation_id=30660580253909", "YQDSTDXAM")</f>
        <v>YQDSTDXAM</v>
      </c>
      <c r="B2408" t="s">
        <v>10</v>
      </c>
      <c r="C2408" t="s">
        <v>42</v>
      </c>
      <c r="D2408" t="str">
        <f>HYPERLINK("https://us2.cloudbeds.com/connect/10074733072513#/reservations/30660580253909?display=Laurie%20Feldmann&amp;reservation_id=30660580253909&amp;guest_id=30660580249817", "Laurie Feldmann")</f>
        <v>Laurie Feldmann</v>
      </c>
      <c r="E2408" t="s">
        <v>1666</v>
      </c>
      <c r="F2408" t="s">
        <v>1489</v>
      </c>
      <c r="G2408">
        <v>264</v>
      </c>
      <c r="H2408">
        <v>286.95999999999998</v>
      </c>
      <c r="I2408">
        <v>286.97000000000003</v>
      </c>
      <c r="J2408">
        <v>-0.01</v>
      </c>
    </row>
    <row r="2409" spans="1:10" x14ac:dyDescent="0.3">
      <c r="A2409" t="str">
        <f>HYPERLINK("https://us2.cloudbeds.com/connect/10074733072513#/reservations/30661865087177?display=YQESNQUS4&amp;reservation_id=30661865087177", "YQESNQUS4")</f>
        <v>YQESNQUS4</v>
      </c>
      <c r="B2409" t="s">
        <v>10</v>
      </c>
      <c r="C2409" t="s">
        <v>14</v>
      </c>
      <c r="D2409" t="str">
        <f>HYPERLINK("https://us2.cloudbeds.com/connect/10074733072513#/reservations/30661865087177?display=Jeff%20Keinroth&amp;reservation_id=30661865087177&amp;guest_id=30650338578652", "Jeff Keinroth")</f>
        <v>Jeff Keinroth</v>
      </c>
      <c r="E2409" t="s">
        <v>781</v>
      </c>
      <c r="F2409" t="s">
        <v>1667</v>
      </c>
      <c r="G2409">
        <v>103.2</v>
      </c>
      <c r="H2409">
        <v>112.17</v>
      </c>
      <c r="I2409">
        <v>112.18</v>
      </c>
      <c r="J2409">
        <v>-0.01</v>
      </c>
    </row>
    <row r="2410" spans="1:10" x14ac:dyDescent="0.3">
      <c r="A2410" t="str">
        <f>HYPERLINK("https://us2.cloudbeds.com/connect/10074733072513#/reservations/30661851660437?display=YQESCGAE7&amp;reservation_id=30661851660437", "YQESCGAE7")</f>
        <v>YQESCGAE7</v>
      </c>
      <c r="B2410" t="s">
        <v>10</v>
      </c>
      <c r="C2410" t="s">
        <v>20</v>
      </c>
      <c r="D2410" t="str">
        <f>HYPERLINK("https://us2.cloudbeds.com/connect/10074733072513#/reservations/30661851660437?display=Aodan%20Coyne&amp;reservation_id=30661851660437&amp;guest_id=30661851660435", "Aodan Coyne")</f>
        <v>Aodan Coyne</v>
      </c>
      <c r="E2410" t="s">
        <v>1669</v>
      </c>
      <c r="F2410" t="s">
        <v>1667</v>
      </c>
      <c r="G2410">
        <v>103.2</v>
      </c>
      <c r="H2410">
        <v>112.17</v>
      </c>
      <c r="I2410">
        <v>112.18</v>
      </c>
      <c r="J2410">
        <v>-0.01</v>
      </c>
    </row>
    <row r="2411" spans="1:10" x14ac:dyDescent="0.3">
      <c r="A2411" t="str">
        <f>HYPERLINK("https://us2.cloudbeds.com/connect/10074733072513#/reservations/30663120289951?display=YQFRQ7QFR&amp;reservation_id=30663120289951", "YQFRQ7QFR")</f>
        <v>YQFRQ7QFR</v>
      </c>
      <c r="B2411" t="s">
        <v>10</v>
      </c>
      <c r="C2411" t="s">
        <v>42</v>
      </c>
      <c r="D2411" t="str">
        <f>HYPERLINK("https://us2.cloudbeds.com/connect/10074733072513#/reservations/30663120289951?display=Howard%20Oppegard&amp;reservation_id=30663120289951&amp;guest_id=30663120289946", "Howard Oppegard")</f>
        <v>Howard Oppegard</v>
      </c>
      <c r="E2411" t="s">
        <v>1670</v>
      </c>
      <c r="F2411" t="s">
        <v>1568</v>
      </c>
      <c r="G2411">
        <v>294.3</v>
      </c>
      <c r="H2411">
        <v>319.89</v>
      </c>
      <c r="I2411">
        <v>319.89999999999998</v>
      </c>
      <c r="J2411">
        <v>-0.01</v>
      </c>
    </row>
    <row r="2412" spans="1:10" x14ac:dyDescent="0.3">
      <c r="A2412" t="str">
        <f>HYPERLINK("https://us2.cloudbeds.com/connect/10074733072513#/reservations/30660556484815?display=YQDS9C4Q3&amp;reservation_id=30660556484815", "YQDS9C4Q3")</f>
        <v>YQDS9C4Q3</v>
      </c>
      <c r="B2412" t="s">
        <v>10</v>
      </c>
      <c r="C2412" t="s">
        <v>11</v>
      </c>
      <c r="D2412" t="str">
        <f>HYPERLINK("https://us2.cloudbeds.com/connect/10074733072513#/reservations/30660556484815?display=Hugh%20Abrahamson&amp;reservation_id=30660556484815&amp;guest_id=30660556484812", "Hugh Abrahamson")</f>
        <v>Hugh Abrahamson</v>
      </c>
      <c r="E2412" t="s">
        <v>1671</v>
      </c>
      <c r="F2412" t="s">
        <v>1489</v>
      </c>
      <c r="G2412">
        <v>90.07</v>
      </c>
      <c r="H2412">
        <v>97.9</v>
      </c>
      <c r="I2412">
        <v>97.91</v>
      </c>
      <c r="J2412">
        <v>-0.01</v>
      </c>
    </row>
    <row r="2413" spans="1:10" x14ac:dyDescent="0.3">
      <c r="A2413" t="str">
        <f>HYPERLINK("https://us2.cloudbeds.com/connect/10074733072513#/reservations/30662027120806?display=YQEWSEP22&amp;reservation_id=30662027120806", "YQEWSEP22")</f>
        <v>YQEWSEP22</v>
      </c>
      <c r="B2413" t="s">
        <v>10</v>
      </c>
      <c r="C2413" t="s">
        <v>11</v>
      </c>
      <c r="D2413" t="str">
        <f>HYPERLINK("https://us2.cloudbeds.com/connect/10074733072513#/reservations/30662027120806?display=Cameron%20Alexander%20Moran&amp;reservation_id=30662027120806&amp;guest_id=30662021103827", "Cameron Alexander Moran")</f>
        <v>Cameron Alexander Moran</v>
      </c>
      <c r="E2413" t="s">
        <v>1672</v>
      </c>
      <c r="F2413" t="s">
        <v>1489</v>
      </c>
      <c r="G2413">
        <v>90.07</v>
      </c>
      <c r="H2413">
        <v>97.9</v>
      </c>
      <c r="I2413">
        <v>97.91</v>
      </c>
      <c r="J2413">
        <v>-0.01</v>
      </c>
    </row>
    <row r="2414" spans="1:10" x14ac:dyDescent="0.3">
      <c r="A2414" t="str">
        <f>HYPERLINK("https://us2.cloudbeds.com/connect/10074733072513#/reservations/30660569465067?display=YQDSKAB72&amp;reservation_id=30660569465067", "YQDSKAB72")</f>
        <v>YQDSKAB72</v>
      </c>
      <c r="B2414" t="s">
        <v>10</v>
      </c>
      <c r="C2414" t="s">
        <v>11</v>
      </c>
      <c r="D2414" t="str">
        <f>HYPERLINK("https://us2.cloudbeds.com/connect/10074733072513#/reservations/30660569465067?display=Mandy%20Wolner&amp;reservation_id=30660569465067&amp;guest_id=30660569465048", "Mandy Wolner")</f>
        <v>Mandy Wolner</v>
      </c>
      <c r="E2414" t="s">
        <v>1673</v>
      </c>
      <c r="F2414" t="s">
        <v>1489</v>
      </c>
      <c r="G2414">
        <v>90.07</v>
      </c>
      <c r="H2414">
        <v>97.9</v>
      </c>
      <c r="I2414">
        <v>97.91</v>
      </c>
      <c r="J2414">
        <v>-0.01</v>
      </c>
    </row>
    <row r="2415" spans="1:10" x14ac:dyDescent="0.3">
      <c r="A2415" t="str">
        <f>HYPERLINK("https://us2.cloudbeds.com/connect/10074733072513#/reservations/30662951895258?display=YQFNG7W2B&amp;reservation_id=30662951895258", "YQFNG7W2B")</f>
        <v>YQFNG7W2B</v>
      </c>
      <c r="B2415" t="s">
        <v>10</v>
      </c>
      <c r="C2415" t="s">
        <v>17</v>
      </c>
      <c r="D2415" t="str">
        <f>HYPERLINK("https://us2.cloudbeds.com/connect/10074733072513#/reservations/30662951895258?display=David%20Phillips&amp;reservation_id=30662951895258&amp;guest_id=30662951895248", "David Phillips")</f>
        <v>David Phillips</v>
      </c>
      <c r="E2415" t="s">
        <v>1674</v>
      </c>
      <c r="F2415" t="s">
        <v>1568</v>
      </c>
      <c r="G2415">
        <v>250.2</v>
      </c>
      <c r="H2415">
        <v>271.95999999999998</v>
      </c>
      <c r="I2415">
        <v>271.97000000000003</v>
      </c>
      <c r="J2415">
        <v>-0.01</v>
      </c>
    </row>
    <row r="2416" spans="1:10" x14ac:dyDescent="0.3">
      <c r="A2416" t="str">
        <f>HYPERLINK("https://us2.cloudbeds.com/connect/10074733072513#/reservations/30660953735348?display=YQE5EB7G1&amp;reservation_id=30660953735348", "YQE5EB7G1")</f>
        <v>YQE5EB7G1</v>
      </c>
      <c r="B2416" t="s">
        <v>10</v>
      </c>
      <c r="C2416" t="s">
        <v>17</v>
      </c>
      <c r="D2416" t="str">
        <f>HYPERLINK("https://us2.cloudbeds.com/connect/10074733072513#/reservations/30660953735348?display=Michael%20Davies&amp;reservation_id=30660953735348&amp;guest_id=30660953735338", "Michael Davies")</f>
        <v>Michael Davies</v>
      </c>
      <c r="E2416" t="s">
        <v>1675</v>
      </c>
      <c r="F2416" t="s">
        <v>1676</v>
      </c>
      <c r="G2416">
        <v>250.2</v>
      </c>
      <c r="H2416">
        <v>271.95999999999998</v>
      </c>
      <c r="I2416">
        <v>271.97000000000003</v>
      </c>
      <c r="J2416">
        <v>-0.01</v>
      </c>
    </row>
    <row r="2417" spans="1:10" x14ac:dyDescent="0.3">
      <c r="A2417" t="str">
        <f>HYPERLINK("https://us2.cloudbeds.com/connect/10074733072513#/reservations/30661866967218?display=YQESPD882&amp;reservation_id=30661866967218", "YQESPD882")</f>
        <v>YQESPD882</v>
      </c>
      <c r="B2417" t="s">
        <v>10</v>
      </c>
      <c r="C2417" t="s">
        <v>14</v>
      </c>
      <c r="D2417" t="str">
        <f>HYPERLINK("https://us2.cloudbeds.com/connect/10074733072513#/reservations/30661866967218?display=John%20Allen&amp;reservation_id=30661866967218&amp;guest_id=30661866967204", "John Allen")</f>
        <v>John Allen</v>
      </c>
      <c r="E2417" t="s">
        <v>1677</v>
      </c>
      <c r="F2417" t="s">
        <v>1678</v>
      </c>
      <c r="G2417">
        <v>64.150000000000006</v>
      </c>
      <c r="H2417">
        <v>69.72</v>
      </c>
      <c r="I2417">
        <v>69.73</v>
      </c>
      <c r="J2417">
        <v>-0.01</v>
      </c>
    </row>
    <row r="2418" spans="1:10" x14ac:dyDescent="0.3">
      <c r="A2418" t="str">
        <f>HYPERLINK("https://us2.cloudbeds.com/connect/10074733072513#/reservations/30661454835923?display=YQEX7T2UV&amp;reservation_id=30661454835923", "YQEX7T2UV")</f>
        <v>YQEX7T2UV</v>
      </c>
      <c r="B2418" t="s">
        <v>10</v>
      </c>
      <c r="C2418" t="s">
        <v>11</v>
      </c>
      <c r="D2418" t="str">
        <f>HYPERLINK("https://us2.cloudbeds.com/connect/10074733072513#/reservations/30661454835923?display=Allyson%20Mcnamara&amp;reservation_id=30661454835923&amp;guest_id=30661454835918", "Allyson Mcnamara")</f>
        <v>Allyson Mcnamara</v>
      </c>
      <c r="E2418" t="s">
        <v>1679</v>
      </c>
      <c r="F2418" t="s">
        <v>1680</v>
      </c>
      <c r="G2418">
        <v>64.150000000000006</v>
      </c>
      <c r="H2418">
        <v>69.72</v>
      </c>
      <c r="I2418">
        <v>69.73</v>
      </c>
      <c r="J2418">
        <v>-0.01</v>
      </c>
    </row>
    <row r="2419" spans="1:10" x14ac:dyDescent="0.3">
      <c r="A2419" t="str">
        <f>HYPERLINK("https://us2.cloudbeds.com/connect/10074733072513#/reservations/30661872095432?display=YQESTNVBG&amp;reservation_id=30661872095432", "YQESTNVBG")</f>
        <v>YQESTNVBG</v>
      </c>
      <c r="B2419" t="s">
        <v>10</v>
      </c>
      <c r="C2419" t="s">
        <v>11</v>
      </c>
      <c r="D2419" t="str">
        <f>HYPERLINK("https://us2.cloudbeds.com/connect/10074733072513#/reservations/30661872095432?display=Frederick%20Kennedy%20Duggan&amp;reservation_id=30661872095432&amp;guest_id=30661872095427", "Frederick Kennedy Duggan")</f>
        <v>Frederick Kennedy Duggan</v>
      </c>
      <c r="E2419" t="s">
        <v>1681</v>
      </c>
      <c r="F2419" t="s">
        <v>1678</v>
      </c>
      <c r="G2419">
        <v>64.150000000000006</v>
      </c>
      <c r="H2419">
        <v>69.72</v>
      </c>
      <c r="I2419">
        <v>69.73</v>
      </c>
      <c r="J2419">
        <v>-0.01</v>
      </c>
    </row>
    <row r="2420" spans="1:10" x14ac:dyDescent="0.3">
      <c r="A2420" t="str">
        <f>HYPERLINK("https://us2.cloudbeds.com/connect/10074733072513#/reservations/30661773840589?display=YQEQCSSH0&amp;reservation_id=30661773840589", "YQEQCSSH0")</f>
        <v>YQEQCSSH0</v>
      </c>
      <c r="B2420" t="s">
        <v>10</v>
      </c>
      <c r="C2420" t="s">
        <v>14</v>
      </c>
      <c r="D2420" t="str">
        <f>HYPERLINK("https://us2.cloudbeds.com/connect/10074733072513#/reservations/30661773840589?display=Theo%20Eyckelhoff&amp;reservation_id=30661773840589&amp;guest_id=30661773840585", "Theo Eyckelhoff")</f>
        <v>Theo Eyckelhoff</v>
      </c>
      <c r="E2420" t="s">
        <v>1682</v>
      </c>
      <c r="F2420" t="s">
        <v>1683</v>
      </c>
      <c r="G2420">
        <v>64.150000000000006</v>
      </c>
      <c r="H2420">
        <v>69.72</v>
      </c>
      <c r="I2420">
        <v>69.73</v>
      </c>
      <c r="J2420">
        <v>-0.01</v>
      </c>
    </row>
    <row r="2421" spans="1:10" x14ac:dyDescent="0.3">
      <c r="A2421" t="str">
        <f>HYPERLINK("https://us2.cloudbeds.com/connect/10074733072513#/reservations/30661761003676?display=YQEQ21YNY&amp;reservation_id=30661761003676", "YQEQ21YNY")</f>
        <v>YQEQ21YNY</v>
      </c>
      <c r="B2421" t="s">
        <v>10</v>
      </c>
      <c r="C2421" t="s">
        <v>14</v>
      </c>
      <c r="D2421" t="str">
        <f>HYPERLINK("https://us2.cloudbeds.com/connect/10074733072513#/reservations/30661761003676?display=Christopher%20Jones&amp;reservation_id=30661761003676&amp;guest_id=30661761003674", "Christopher Jones")</f>
        <v>Christopher Jones</v>
      </c>
      <c r="E2421" t="s">
        <v>1684</v>
      </c>
      <c r="F2421" t="s">
        <v>1683</v>
      </c>
      <c r="G2421">
        <v>64.150000000000006</v>
      </c>
      <c r="H2421">
        <v>69.72</v>
      </c>
      <c r="I2421">
        <v>69.73</v>
      </c>
      <c r="J2421">
        <v>-0.01</v>
      </c>
    </row>
    <row r="2422" spans="1:10" x14ac:dyDescent="0.3">
      <c r="A2422" t="str">
        <f>HYPERLINK("https://us2.cloudbeds.com/connect/10074733072513#/reservations/30661435613326?display=YQEHZM6B0&amp;reservation_id=30661435613326", "YQEHZM6B0")</f>
        <v>YQEHZM6B0</v>
      </c>
      <c r="B2422" t="s">
        <v>10</v>
      </c>
      <c r="C2422" t="s">
        <v>14</v>
      </c>
      <c r="D2422" t="str">
        <f>HYPERLINK("https://us2.cloudbeds.com/connect/10074733072513#/reservations/30661435613326?display=Whitney%20Konecny&amp;reservation_id=30661435613326&amp;guest_id=30661435613323", "Whitney Konecny")</f>
        <v>Whitney Konecny</v>
      </c>
      <c r="E2422" t="s">
        <v>1685</v>
      </c>
      <c r="F2422" t="s">
        <v>1657</v>
      </c>
      <c r="G2422">
        <v>182.4</v>
      </c>
      <c r="H2422">
        <v>198.26</v>
      </c>
      <c r="I2422">
        <v>198.27</v>
      </c>
      <c r="J2422">
        <v>-0.01</v>
      </c>
    </row>
    <row r="2423" spans="1:10" x14ac:dyDescent="0.3">
      <c r="A2423" t="str">
        <f>HYPERLINK("https://us2.cloudbeds.com/connect/10074733072513#/reservations/30662336303319?display=YQF7P5775&amp;reservation_id=30662336303319", "YQF7P5775")</f>
        <v>YQF7P5775</v>
      </c>
      <c r="B2423" t="s">
        <v>10</v>
      </c>
      <c r="C2423" t="s">
        <v>11</v>
      </c>
      <c r="D2423" t="str">
        <f>HYPERLINK("https://us2.cloudbeds.com/connect/10074733072513#/reservations/30662336303319?display=Ashley%20Jeppesn&amp;reservation_id=30662336303319&amp;guest_id=30662336303315", "Ashley Jeppesn")</f>
        <v>Ashley Jeppesn</v>
      </c>
      <c r="E2423" t="s">
        <v>1686</v>
      </c>
      <c r="F2423" t="s">
        <v>1687</v>
      </c>
      <c r="G2423">
        <v>174.4</v>
      </c>
      <c r="H2423">
        <v>189.56</v>
      </c>
      <c r="I2423">
        <v>189.57</v>
      </c>
      <c r="J2423">
        <v>-0.01</v>
      </c>
    </row>
    <row r="2424" spans="1:10" x14ac:dyDescent="0.3">
      <c r="A2424" t="str">
        <f>HYPERLINK("https://us2.cloudbeds.com/connect/10074733072513#/reservations/30661206241416?display=YQEBT8J52&amp;reservation_id=30661206241416", "YQEBT8J52")</f>
        <v>YQEBT8J52</v>
      </c>
      <c r="B2424" t="s">
        <v>10</v>
      </c>
      <c r="C2424" t="s">
        <v>14</v>
      </c>
      <c r="D2424" t="str">
        <f>HYPERLINK("https://us2.cloudbeds.com/connect/10074733072513#/reservations/30661206241416?display=Whitney%20Konecny&amp;reservation_id=30661206241416&amp;guest_id=30661206237371", "Whitney Konecny")</f>
        <v>Whitney Konecny</v>
      </c>
      <c r="E2424" t="s">
        <v>1685</v>
      </c>
      <c r="F2424" t="s">
        <v>1607</v>
      </c>
      <c r="G2424">
        <v>90.07</v>
      </c>
      <c r="H2424">
        <v>97.9</v>
      </c>
      <c r="I2424">
        <v>97.91</v>
      </c>
      <c r="J2424">
        <v>-0.01</v>
      </c>
    </row>
    <row r="2425" spans="1:10" x14ac:dyDescent="0.3">
      <c r="A2425" t="str">
        <f>HYPERLINK("https://us2.cloudbeds.com/connect/10074733072513#/reservations/30662951899353?display=YQFNG82RE&amp;reservation_id=30662951899353", "YQFNG82RE")</f>
        <v>YQFNG82RE</v>
      </c>
      <c r="B2425" t="s">
        <v>10</v>
      </c>
      <c r="C2425" t="s">
        <v>17</v>
      </c>
      <c r="D2425" t="str">
        <f>HYPERLINK("https://us2.cloudbeds.com/connect/10074733072513#/reservations/30662951899353?display=Patricia%20Hanson&amp;reservation_id=30662951899353&amp;guest_id=30662951895256", "Patricia Hanson")</f>
        <v>Patricia Hanson</v>
      </c>
      <c r="E2425" t="s">
        <v>1688</v>
      </c>
      <c r="F2425" t="s">
        <v>1689</v>
      </c>
      <c r="G2425">
        <v>134.1</v>
      </c>
      <c r="H2425">
        <v>145.76</v>
      </c>
      <c r="I2425">
        <v>145.77000000000001</v>
      </c>
      <c r="J2425">
        <v>-0.01</v>
      </c>
    </row>
    <row r="2426" spans="1:10" x14ac:dyDescent="0.3">
      <c r="A2426" t="str">
        <f>HYPERLINK("https://us2.cloudbeds.com/connect/10074733072513#/reservations/30662926237906?display=YQFMRK0JR&amp;reservation_id=30662926237906", "YQFMRK0JR")</f>
        <v>YQFMRK0JR</v>
      </c>
      <c r="B2426" t="s">
        <v>10</v>
      </c>
      <c r="C2426" t="s">
        <v>42</v>
      </c>
      <c r="D2426" t="str">
        <f>HYPERLINK("https://us2.cloudbeds.com/connect/10074733072513#/reservations/30662926237906?display=Connie%20Hickey&amp;reservation_id=30662926237906&amp;guest_id=30662926237895", "Connie Hickey")</f>
        <v>Connie Hickey</v>
      </c>
      <c r="E2426" t="s">
        <v>1690</v>
      </c>
      <c r="F2426" t="s">
        <v>1689</v>
      </c>
      <c r="G2426">
        <v>134.1</v>
      </c>
      <c r="H2426">
        <v>145.76</v>
      </c>
      <c r="I2426">
        <v>145.77000000000001</v>
      </c>
      <c r="J2426">
        <v>-0.01</v>
      </c>
    </row>
    <row r="2427" spans="1:10" x14ac:dyDescent="0.3">
      <c r="A2427" t="str">
        <f>HYPERLINK("https://us2.cloudbeds.com/connect/10074733072513#/reservations/30662302990541?display=YQF6U27W0&amp;reservation_id=30662302990541", "YQF6U27W0")</f>
        <v>YQF6U27W0</v>
      </c>
      <c r="B2427" t="s">
        <v>10</v>
      </c>
      <c r="C2427" t="s">
        <v>11</v>
      </c>
      <c r="D2427" t="str">
        <f>HYPERLINK("https://us2.cloudbeds.com/connect/10074733072513#/reservations/30662302990541?display=Leah%20Henderson&amp;reservation_id=30662302990541&amp;guest_id=30662302990531", "Leah Henderson")</f>
        <v>Leah Henderson</v>
      </c>
      <c r="E2427" t="s">
        <v>1691</v>
      </c>
      <c r="F2427" t="s">
        <v>1621</v>
      </c>
      <c r="G2427">
        <v>103.2</v>
      </c>
      <c r="H2427">
        <v>112.17</v>
      </c>
      <c r="I2427">
        <v>112.18</v>
      </c>
      <c r="J2427">
        <v>-0.01</v>
      </c>
    </row>
    <row r="2428" spans="1:10" x14ac:dyDescent="0.3">
      <c r="A2428" t="str">
        <f>HYPERLINK("https://us2.cloudbeds.com/connect/10074733072513#/reservations/30660928987279?display=YQE4QFXWX&amp;reservation_id=30660928987279", "YQE4QFXWX")</f>
        <v>YQE4QFXWX</v>
      </c>
      <c r="B2428" t="s">
        <v>10</v>
      </c>
      <c r="C2428" t="s">
        <v>11</v>
      </c>
      <c r="D2428" t="str">
        <f>HYPERLINK("https://us2.cloudbeds.com/connect/10074733072513#/reservations/30660928987279?display=Samantha%20Dyrdal&amp;reservation_id=30660928987279&amp;guest_id=30660928987275", "Samantha Dyrdal")</f>
        <v>Samantha Dyrdal</v>
      </c>
      <c r="E2428" t="s">
        <v>1695</v>
      </c>
      <c r="F2428" t="s">
        <v>1694</v>
      </c>
      <c r="G2428">
        <v>64.150000000000006</v>
      </c>
      <c r="H2428">
        <v>69.72</v>
      </c>
      <c r="I2428">
        <v>69.73</v>
      </c>
      <c r="J2428">
        <v>-0.01</v>
      </c>
    </row>
    <row r="2429" spans="1:10" x14ac:dyDescent="0.3">
      <c r="A2429" t="str">
        <f>HYPERLINK("https://us2.cloudbeds.com/connect/10074733072513#/reservations/30663279870146?display=YQFVSQBPA&amp;reservation_id=30663279870146", "YQFVSQBPA")</f>
        <v>YQFVSQBPA</v>
      </c>
      <c r="B2429" t="s">
        <v>10</v>
      </c>
      <c r="C2429" t="s">
        <v>17</v>
      </c>
      <c r="D2429" t="str">
        <f>HYPERLINK("https://us2.cloudbeds.com/connect/10074733072513#/reservations/30663279870146?display=Kelli%20Wretlind&amp;reservation_id=30663279870146&amp;guest_id=30663279866109", "Kelli Wretlind")</f>
        <v>Kelli Wretlind</v>
      </c>
      <c r="E2429" t="s">
        <v>1696</v>
      </c>
      <c r="F2429" t="s">
        <v>1697</v>
      </c>
      <c r="G2429">
        <v>500.4</v>
      </c>
      <c r="H2429">
        <v>543.91999999999996</v>
      </c>
      <c r="I2429">
        <v>543.92999999999995</v>
      </c>
      <c r="J2429">
        <v>-0.01</v>
      </c>
    </row>
    <row r="2430" spans="1:10" x14ac:dyDescent="0.3">
      <c r="A2430" t="str">
        <f>HYPERLINK("https://us2.cloudbeds.com/connect/10074733072513#/reservations/30663459463346?display=YQG3F7QE8&amp;reservation_id=30663459463346", "YQG3F7QE8")</f>
        <v>YQG3F7QE8</v>
      </c>
      <c r="B2430" t="s">
        <v>10</v>
      </c>
      <c r="C2430" t="s">
        <v>42</v>
      </c>
      <c r="D2430" t="str">
        <f>HYPERLINK("https://us2.cloudbeds.com/connect/10074733072513#/reservations/30663459463346?display=Janet%20Modrigger&amp;reservation_id=30663459463346&amp;guest_id=30663459463301", "Janet Modrigger")</f>
        <v>Janet Modrigger</v>
      </c>
      <c r="E2430" t="s">
        <v>1698</v>
      </c>
      <c r="F2430" t="s">
        <v>1699</v>
      </c>
      <c r="G2430">
        <v>356.4</v>
      </c>
      <c r="H2430">
        <v>387.4</v>
      </c>
      <c r="I2430">
        <v>387.41</v>
      </c>
      <c r="J2430">
        <v>-0.01</v>
      </c>
    </row>
    <row r="2431" spans="1:10" x14ac:dyDescent="0.3">
      <c r="A2431" t="str">
        <f>HYPERLINK("https://us2.cloudbeds.com/connect/10074733072513#/reservations/30660936773836?display=YQE50185R&amp;reservation_id=30660936773836", "YQE50185R")</f>
        <v>YQE50185R</v>
      </c>
      <c r="B2431" t="s">
        <v>10</v>
      </c>
      <c r="C2431" t="s">
        <v>14</v>
      </c>
      <c r="D2431" t="str">
        <f>HYPERLINK("https://us2.cloudbeds.com/connect/10074733072513#/reservations/30660936773836?display=Bo%20Lilliedal&amp;reservation_id=30660936773836&amp;guest_id=30660936773834", "Bo Lilliedal")</f>
        <v>Bo Lilliedal</v>
      </c>
      <c r="E2431" t="s">
        <v>1700</v>
      </c>
      <c r="F2431" t="s">
        <v>1694</v>
      </c>
      <c r="G2431">
        <v>64.150000000000006</v>
      </c>
      <c r="H2431">
        <v>69.72</v>
      </c>
      <c r="I2431">
        <v>69.73</v>
      </c>
      <c r="J2431">
        <v>-0.01</v>
      </c>
    </row>
    <row r="2432" spans="1:10" x14ac:dyDescent="0.3">
      <c r="A2432" t="str">
        <f>HYPERLINK("https://us2.cloudbeds.com/connect/10074733072513#/reservations/30661468491971?display=YQEXJD2UJ&amp;reservation_id=30661468491971", "YQEXJD2UJ")</f>
        <v>YQEXJD2UJ</v>
      </c>
      <c r="B2432" t="s">
        <v>10</v>
      </c>
      <c r="C2432" t="s">
        <v>14</v>
      </c>
      <c r="D2432" t="str">
        <f>HYPERLINK("https://us2.cloudbeds.com/connect/10074733072513#/reservations/30661468491971?display=Denise%20Hohn&amp;reservation_id=30661468491971&amp;guest_id=30647635157231", "Denise Hohn")</f>
        <v>Denise Hohn</v>
      </c>
      <c r="E2432" t="s">
        <v>1701</v>
      </c>
      <c r="F2432" t="s">
        <v>1680</v>
      </c>
      <c r="G2432">
        <v>64.150000000000006</v>
      </c>
      <c r="H2432">
        <v>69.72</v>
      </c>
      <c r="I2432">
        <v>69.73</v>
      </c>
      <c r="J2432">
        <v>-0.01</v>
      </c>
    </row>
    <row r="2433" spans="1:10" x14ac:dyDescent="0.3">
      <c r="A2433" t="str">
        <f>HYPERLINK("https://us2.cloudbeds.com/connect/10074733072513#/reservations/30663221833950?display=YQFUCSDYN&amp;reservation_id=30663221833950", "YQFUCSDYN")</f>
        <v>YQFUCSDYN</v>
      </c>
      <c r="B2433" t="s">
        <v>10</v>
      </c>
      <c r="C2433" t="s">
        <v>14</v>
      </c>
      <c r="D2433" t="str">
        <f>HYPERLINK("https://us2.cloudbeds.com/connect/10074733072513#/reservations/30663221833950?display=Eric%20Motz&amp;reservation_id=30663221833950&amp;guest_id=30663221833940", "Eric Motz")</f>
        <v>Eric Motz</v>
      </c>
      <c r="E2433" t="s">
        <v>1706</v>
      </c>
      <c r="F2433" t="s">
        <v>1707</v>
      </c>
      <c r="G2433">
        <v>64.150000000000006</v>
      </c>
      <c r="H2433">
        <v>69.72</v>
      </c>
      <c r="I2433">
        <v>69.73</v>
      </c>
      <c r="J2433">
        <v>-0.01</v>
      </c>
    </row>
    <row r="2434" spans="1:10" x14ac:dyDescent="0.3">
      <c r="A2434" t="str">
        <f>HYPERLINK("https://us2.cloudbeds.com/connect/10074733072513#/reservations/30663213613254?display=YQFU5UYQN&amp;reservation_id=30663213613254", "YQFU5UYQN")</f>
        <v>YQFU5UYQN</v>
      </c>
      <c r="B2434" t="s">
        <v>10</v>
      </c>
      <c r="C2434" t="s">
        <v>14</v>
      </c>
      <c r="D2434" t="str">
        <f>HYPERLINK("https://us2.cloudbeds.com/connect/10074733072513#/reservations/30663213613254?display=Marco%20Dib&amp;reservation_id=30663213613254&amp;guest_id=30648108036239", "Marco Dib")</f>
        <v>Marco Dib</v>
      </c>
      <c r="E2434" t="s">
        <v>497</v>
      </c>
      <c r="F2434" t="s">
        <v>1707</v>
      </c>
      <c r="G2434">
        <v>64.150000000000006</v>
      </c>
      <c r="H2434">
        <v>69.72</v>
      </c>
      <c r="I2434">
        <v>69.73</v>
      </c>
      <c r="J2434">
        <v>-0.01</v>
      </c>
    </row>
    <row r="2435" spans="1:10" x14ac:dyDescent="0.3">
      <c r="A2435" t="str">
        <f>HYPERLINK("https://us2.cloudbeds.com/connect/10074733072513#/reservations/30660636627132?display=YQDUAV7C4&amp;reservation_id=30660636627132", "YQDUAV7C4")</f>
        <v>YQDUAV7C4</v>
      </c>
      <c r="B2435" t="s">
        <v>10</v>
      </c>
      <c r="C2435" t="s">
        <v>11</v>
      </c>
      <c r="D2435" t="str">
        <f>HYPERLINK("https://us2.cloudbeds.com/connect/10074733072513#/reservations/30660636627132?display=Steven%20L%20Hansen&amp;reservation_id=30660636627132&amp;guest_id=30660636627078", "Steven L Hansen")</f>
        <v>Steven L Hansen</v>
      </c>
      <c r="E2435" t="s">
        <v>1708</v>
      </c>
      <c r="F2435" t="s">
        <v>1680</v>
      </c>
      <c r="G2435">
        <v>64.150000000000006</v>
      </c>
      <c r="H2435">
        <v>69.72</v>
      </c>
      <c r="I2435">
        <v>69.73</v>
      </c>
      <c r="J2435">
        <v>-0.01</v>
      </c>
    </row>
    <row r="2436" spans="1:10" x14ac:dyDescent="0.3">
      <c r="A2436" t="str">
        <f>HYPERLINK("https://us2.cloudbeds.com/connect/10074733072513#/reservations/30661479670000?display=YQEXSR4DN&amp;reservation_id=30661479670000", "YQEXSR4DN")</f>
        <v>YQEXSR4DN</v>
      </c>
      <c r="B2436" t="s">
        <v>10</v>
      </c>
      <c r="C2436" t="s">
        <v>14</v>
      </c>
      <c r="D2436" t="str">
        <f>HYPERLINK("https://us2.cloudbeds.com/connect/10074733072513#/reservations/30661479670000?display=Bonnie%20Blackledge&amp;reservation_id=30661479670000&amp;guest_id=30661479669996", "Bonnie Blackledge")</f>
        <v>Bonnie Blackledge</v>
      </c>
      <c r="E2436" t="s">
        <v>1709</v>
      </c>
      <c r="F2436" t="s">
        <v>1680</v>
      </c>
      <c r="G2436">
        <v>64.150000000000006</v>
      </c>
      <c r="H2436">
        <v>69.72</v>
      </c>
      <c r="I2436">
        <v>69.73</v>
      </c>
      <c r="J2436">
        <v>-0.01</v>
      </c>
    </row>
    <row r="2437" spans="1:10" x14ac:dyDescent="0.3">
      <c r="A2437" t="str">
        <f>HYPERLINK("https://us2.cloudbeds.com/connect/10074733072513#/reservations/30661472673945?display=YQEXMUF42&amp;reservation_id=30661472673945", "YQEXMUF42")</f>
        <v>YQEXMUF42</v>
      </c>
      <c r="B2437" t="s">
        <v>10</v>
      </c>
      <c r="C2437" t="s">
        <v>11</v>
      </c>
      <c r="D2437" t="str">
        <f>HYPERLINK("https://us2.cloudbeds.com/connect/10074733072513#/reservations/30661472673945?display=Richard%20Schleckser&amp;reservation_id=30661472673945&amp;guest_id=30661472673935", "Richard Schleckser")</f>
        <v>Richard Schleckser</v>
      </c>
      <c r="E2437" t="s">
        <v>1710</v>
      </c>
      <c r="F2437" t="s">
        <v>1680</v>
      </c>
      <c r="G2437">
        <v>64.150000000000006</v>
      </c>
      <c r="H2437">
        <v>69.72</v>
      </c>
      <c r="I2437">
        <v>69.73</v>
      </c>
      <c r="J2437">
        <v>-0.01</v>
      </c>
    </row>
    <row r="2438" spans="1:10" x14ac:dyDescent="0.3">
      <c r="A2438" t="str">
        <f>HYPERLINK("https://us2.cloudbeds.com/connect/10074733072513#/reservations/30663278358677?display=YQFVRH9R7&amp;reservation_id=30663278358677", "YQFVRH9R7")</f>
        <v>YQFVRH9R7</v>
      </c>
      <c r="B2438" t="s">
        <v>10</v>
      </c>
      <c r="C2438" t="s">
        <v>11</v>
      </c>
      <c r="D2438" t="str">
        <f>HYPERLINK("https://us2.cloudbeds.com/connect/10074733072513#/reservations/30663278358677?display=Gabriel%20Marroquin&amp;reservation_id=30663278358677&amp;guest_id=30663278358666", "Gabriel Marroquin")</f>
        <v>Gabriel Marroquin</v>
      </c>
      <c r="E2438" t="s">
        <v>1711</v>
      </c>
      <c r="F2438" t="s">
        <v>1680</v>
      </c>
      <c r="G2438">
        <v>64.150000000000006</v>
      </c>
      <c r="H2438">
        <v>69.72</v>
      </c>
      <c r="I2438">
        <v>69.73</v>
      </c>
      <c r="J2438">
        <v>-0.01</v>
      </c>
    </row>
    <row r="2439" spans="1:10" x14ac:dyDescent="0.3">
      <c r="A2439" t="str">
        <f>HYPERLINK("https://us2.cloudbeds.com/connect/10074733072513#/reservations/30663243596028?display=YQFUV6W6K&amp;reservation_id=30663243596028", "YQFUV6W6K")</f>
        <v>YQFUV6W6K</v>
      </c>
      <c r="B2439" t="s">
        <v>10</v>
      </c>
      <c r="C2439" t="s">
        <v>14</v>
      </c>
      <c r="D2439" t="str">
        <f>HYPERLINK("https://us2.cloudbeds.com/connect/10074733072513#/reservations/30663243596028?display=Michael%20Hammer&amp;reservation_id=30663243596028&amp;guest_id=30663243596017", "Michael Hammer")</f>
        <v>Michael Hammer</v>
      </c>
      <c r="E2439" t="s">
        <v>1712</v>
      </c>
      <c r="F2439" t="s">
        <v>1707</v>
      </c>
      <c r="G2439">
        <v>64.150000000000006</v>
      </c>
      <c r="H2439">
        <v>69.72</v>
      </c>
      <c r="I2439">
        <v>69.73</v>
      </c>
      <c r="J2439">
        <v>-0.01</v>
      </c>
    </row>
    <row r="2440" spans="1:10" x14ac:dyDescent="0.3">
      <c r="A2440" t="str">
        <f>HYPERLINK("https://us2.cloudbeds.com/connect/10074733072513#/reservations/30663221829855?display=YQFUCS9TK&amp;reservation_id=30663221829855", "YQFUCS9TK")</f>
        <v>YQFUCS9TK</v>
      </c>
      <c r="B2440" t="s">
        <v>10</v>
      </c>
      <c r="C2440" t="s">
        <v>11</v>
      </c>
      <c r="D2440" t="str">
        <f>HYPERLINK("https://us2.cloudbeds.com/connect/10074733072513#/reservations/30663221829855?display=Scott%20Bennett&amp;reservation_id=30663221829855&amp;guest_id=30663221829843", "Scott Bennett")</f>
        <v>Scott Bennett</v>
      </c>
      <c r="E2440" t="s">
        <v>1713</v>
      </c>
      <c r="F2440" t="s">
        <v>1699</v>
      </c>
      <c r="G2440">
        <v>64.150000000000006</v>
      </c>
      <c r="H2440">
        <v>69.72</v>
      </c>
      <c r="I2440">
        <v>69.73</v>
      </c>
      <c r="J2440">
        <v>-0.01</v>
      </c>
    </row>
    <row r="2441" spans="1:10" x14ac:dyDescent="0.3">
      <c r="A2441" t="str">
        <f>HYPERLINK("https://us2.cloudbeds.com/connect/10074733072513#/reservations/30661497524417?display=YQEJASVYM&amp;reservation_id=30661497524417", "YQEJASVYM")</f>
        <v>YQEJASVYM</v>
      </c>
      <c r="B2441" t="s">
        <v>10</v>
      </c>
      <c r="C2441" t="s">
        <v>14</v>
      </c>
      <c r="D2441" t="str">
        <f>HYPERLINK("https://us2.cloudbeds.com/connect/10074733072513#/reservations/30661497524417?display=Steve%20Vannevel&amp;reservation_id=30661497524417&amp;guest_id=30656984465575", "Steve Vannevel")</f>
        <v>Steve Vannevel</v>
      </c>
      <c r="E2441" t="s">
        <v>1714</v>
      </c>
      <c r="F2441" t="s">
        <v>1680</v>
      </c>
      <c r="G2441">
        <v>64.150000000000006</v>
      </c>
      <c r="H2441">
        <v>69.72</v>
      </c>
      <c r="I2441">
        <v>69.73</v>
      </c>
      <c r="J2441">
        <v>-0.01</v>
      </c>
    </row>
    <row r="2442" spans="1:10" x14ac:dyDescent="0.3">
      <c r="A2442" t="str">
        <f>HYPERLINK("https://us2.cloudbeds.com/connect/10074733072513#/reservations/30661499502812?display=YQEJCX0C1&amp;reservation_id=30661499502812", "YQEJCX0C1")</f>
        <v>YQEJCX0C1</v>
      </c>
      <c r="B2442" t="s">
        <v>10</v>
      </c>
      <c r="C2442" t="s">
        <v>14</v>
      </c>
      <c r="D2442" t="str">
        <f>HYPERLINK("https://us2.cloudbeds.com/connect/10074733072513#/reservations/30661499502812?display=Drew%20Beck&amp;reservation_id=30661499502812&amp;guest_id=30661499502808", "Drew Beck")</f>
        <v>Drew Beck</v>
      </c>
      <c r="E2442" t="s">
        <v>1714</v>
      </c>
      <c r="F2442" t="s">
        <v>1680</v>
      </c>
      <c r="G2442">
        <v>64.150000000000006</v>
      </c>
      <c r="H2442">
        <v>69.72</v>
      </c>
      <c r="I2442">
        <v>69.73</v>
      </c>
      <c r="J2442">
        <v>-0.01</v>
      </c>
    </row>
    <row r="2443" spans="1:10" x14ac:dyDescent="0.3">
      <c r="A2443" t="str">
        <f>HYPERLINK("https://us2.cloudbeds.com/connect/10074733072513#/reservations/30663232385227?display=YQFUYP0KC&amp;reservation_id=30663232385227", "YQFUYP0KC")</f>
        <v>YQFUYP0KC</v>
      </c>
      <c r="B2443" t="s">
        <v>10</v>
      </c>
      <c r="C2443" t="s">
        <v>14</v>
      </c>
      <c r="D2443" t="str">
        <f>HYPERLINK("https://us2.cloudbeds.com/connect/10074733072513#/reservations/30663232385227?display=Trent%20Stepps&amp;reservation_id=30663232385227&amp;guest_id=30663232381180", "Trent Stepps")</f>
        <v>Trent Stepps</v>
      </c>
      <c r="E2443" t="s">
        <v>1715</v>
      </c>
      <c r="F2443" t="s">
        <v>1699</v>
      </c>
      <c r="G2443">
        <v>64.150000000000006</v>
      </c>
      <c r="H2443">
        <v>69.72</v>
      </c>
      <c r="I2443">
        <v>69.73</v>
      </c>
      <c r="J2443">
        <v>-0.01</v>
      </c>
    </row>
    <row r="2444" spans="1:10" x14ac:dyDescent="0.3">
      <c r="A2444" t="str">
        <f>HYPERLINK("https://us2.cloudbeds.com/connect/10074733072513#/reservations/30663229460661?display=YQFUJ9Y25&amp;reservation_id=30663229460661", "YQFUJ9Y25")</f>
        <v>YQFUJ9Y25</v>
      </c>
      <c r="B2444" t="s">
        <v>10</v>
      </c>
      <c r="C2444" t="s">
        <v>11</v>
      </c>
      <c r="D2444" t="str">
        <f>HYPERLINK("https://us2.cloudbeds.com/connect/10074733072513#/reservations/30663229460661?display=Derek%20Hauck&amp;reservation_id=30663229460661&amp;guest_id=30663229460646", "Derek Hauck")</f>
        <v>Derek Hauck</v>
      </c>
      <c r="E2444" t="s">
        <v>1716</v>
      </c>
      <c r="F2444" t="s">
        <v>1699</v>
      </c>
      <c r="G2444">
        <v>64.150000000000006</v>
      </c>
      <c r="H2444">
        <v>69.72</v>
      </c>
      <c r="I2444">
        <v>69.73</v>
      </c>
      <c r="J2444">
        <v>-0.01</v>
      </c>
    </row>
    <row r="2445" spans="1:10" x14ac:dyDescent="0.3">
      <c r="A2445" t="str">
        <f>HYPERLINK("https://us2.cloudbeds.com/connect/10074733072513#/reservations/30662329090263?display=YQF7J2GYN&amp;reservation_id=30662329090263", "YQF7J2GYN")</f>
        <v>YQF7J2GYN</v>
      </c>
      <c r="B2445" t="s">
        <v>10</v>
      </c>
      <c r="C2445" t="s">
        <v>14</v>
      </c>
      <c r="D2445" t="str">
        <f>HYPERLINK("https://us2.cloudbeds.com/connect/10074733072513#/reservations/30662329090263?display=Benjamin%20Hylton&amp;reservation_id=30662329090263&amp;guest_id=30661228204230", "Benjamin Hylton")</f>
        <v>Benjamin Hylton</v>
      </c>
      <c r="E2445" t="s">
        <v>1718</v>
      </c>
      <c r="F2445" t="s">
        <v>1621</v>
      </c>
      <c r="G2445">
        <v>64.150000000000006</v>
      </c>
      <c r="H2445">
        <v>69.72</v>
      </c>
      <c r="I2445">
        <v>69.73</v>
      </c>
      <c r="J2445">
        <v>-0.01</v>
      </c>
    </row>
    <row r="2446" spans="1:10" x14ac:dyDescent="0.3">
      <c r="A2446" t="str">
        <f>HYPERLINK("https://us2.cloudbeds.com/connect/10074733072513#/reservations/30662319419546?display=YQF7AUD9M&amp;reservation_id=30662319419546", "YQF7AUD9M")</f>
        <v>YQF7AUD9M</v>
      </c>
      <c r="B2446" t="s">
        <v>10</v>
      </c>
      <c r="C2446" t="s">
        <v>14</v>
      </c>
      <c r="D2446" t="str">
        <f>HYPERLINK("https://us2.cloudbeds.com/connect/10074733072513#/reservations/30662319419546?display=Gil%20Millsap&amp;reservation_id=30662319419546&amp;guest_id=30661218631849", "Gil Millsap")</f>
        <v>Gil Millsap</v>
      </c>
      <c r="E2446" t="s">
        <v>1718</v>
      </c>
      <c r="F2446" t="s">
        <v>1621</v>
      </c>
      <c r="G2446">
        <v>64.150000000000006</v>
      </c>
      <c r="H2446">
        <v>69.72</v>
      </c>
      <c r="I2446">
        <v>69.73</v>
      </c>
      <c r="J2446">
        <v>-0.01</v>
      </c>
    </row>
    <row r="2447" spans="1:10" x14ac:dyDescent="0.3">
      <c r="A2447" t="str">
        <f>HYPERLINK("https://us2.cloudbeds.com/connect/10074733072513#/reservations/30663253143794?display=YQFV68YYS&amp;reservation_id=30663253143794", "YQFV68YYS")</f>
        <v>YQFV68YYS</v>
      </c>
      <c r="B2447" t="s">
        <v>10</v>
      </c>
      <c r="C2447" t="s">
        <v>14</v>
      </c>
      <c r="D2447" t="str">
        <f>HYPERLINK("https://us2.cloudbeds.com/connect/10074733072513#/reservations/30663253143794?display=Darin%20Grulkowski&amp;reservation_id=30663253143794&amp;guest_id=30663253143775", "Darin Grulkowski")</f>
        <v>Darin Grulkowski</v>
      </c>
      <c r="E2447" t="s">
        <v>1721</v>
      </c>
      <c r="F2447" t="s">
        <v>1699</v>
      </c>
      <c r="G2447">
        <v>64.150000000000006</v>
      </c>
      <c r="H2447">
        <v>69.72</v>
      </c>
      <c r="I2447">
        <v>69.73</v>
      </c>
      <c r="J2447">
        <v>-0.01</v>
      </c>
    </row>
    <row r="2448" spans="1:10" x14ac:dyDescent="0.3">
      <c r="A2448" t="str">
        <f>HYPERLINK("https://us2.cloudbeds.com/connect/10074733072513#/reservations/30663264551146?display=YQFVFT2Z6&amp;reservation_id=30663264551146", "YQFVFT2Z6")</f>
        <v>YQFVFT2Z6</v>
      </c>
      <c r="B2448" t="s">
        <v>10</v>
      </c>
      <c r="C2448" t="s">
        <v>14</v>
      </c>
      <c r="D2448" t="str">
        <f>HYPERLINK("https://us2.cloudbeds.com/connect/10074733072513#/reservations/30663264551146?display=Taylor%20Carhart&amp;reservation_id=30663264551146&amp;guest_id=30663264551133", "Taylor Carhart")</f>
        <v>Taylor Carhart</v>
      </c>
      <c r="E2448" t="s">
        <v>1722</v>
      </c>
      <c r="F2448" t="s">
        <v>1699</v>
      </c>
      <c r="G2448">
        <v>64.150000000000006</v>
      </c>
      <c r="H2448">
        <v>69.72</v>
      </c>
      <c r="I2448">
        <v>69.73</v>
      </c>
      <c r="J2448">
        <v>-0.01</v>
      </c>
    </row>
    <row r="2449" spans="1:10" x14ac:dyDescent="0.3">
      <c r="A2449" t="str">
        <f>HYPERLINK("https://us2.cloudbeds.com/connect/10074733072513#/reservations/30661234745564?display=YQECK9ZP4&amp;reservation_id=30661234745564", "YQECK9ZP4")</f>
        <v>YQECK9ZP4</v>
      </c>
      <c r="B2449" t="s">
        <v>10</v>
      </c>
      <c r="C2449" t="s">
        <v>20</v>
      </c>
      <c r="D2449" t="str">
        <f>HYPERLINK("https://us2.cloudbeds.com/connect/10074733072513#/reservations/30661234745564?display=Dorinda%20Hedman&amp;reservation_id=30661234745564&amp;guest_id=30661234745551", "Dorinda Hedman")</f>
        <v>Dorinda Hedman</v>
      </c>
      <c r="E2449" t="s">
        <v>1723</v>
      </c>
      <c r="F2449" t="s">
        <v>1703</v>
      </c>
      <c r="G2449">
        <v>363.2</v>
      </c>
      <c r="H2449">
        <v>394.79</v>
      </c>
      <c r="I2449">
        <v>394.8</v>
      </c>
      <c r="J2449">
        <v>-0.01</v>
      </c>
    </row>
    <row r="2450" spans="1:10" x14ac:dyDescent="0.3">
      <c r="A2450" t="str">
        <f>HYPERLINK("https://us2.cloudbeds.com/connect/10074733072513#/reservations/30661485850757?display=YQEJ1141D&amp;reservation_id=30661485850757", "YQEJ1141D")</f>
        <v>YQEJ1141D</v>
      </c>
      <c r="B2450" t="s">
        <v>10</v>
      </c>
      <c r="C2450" t="s">
        <v>11</v>
      </c>
      <c r="D2450" t="str">
        <f>HYPERLINK("https://us2.cloudbeds.com/connect/10074733072513#/reservations/30661485850757?display=Mehdi%20Eslamlou&amp;reservation_id=30661485850757&amp;guest_id=30661485850752", "Mehdi Eslamlou")</f>
        <v>Mehdi Eslamlou</v>
      </c>
      <c r="E2450" t="s">
        <v>1724</v>
      </c>
      <c r="F2450" t="s">
        <v>1725</v>
      </c>
      <c r="G2450">
        <v>90.07</v>
      </c>
      <c r="H2450">
        <v>97.9</v>
      </c>
      <c r="I2450">
        <v>97.91</v>
      </c>
      <c r="J2450">
        <v>-0.01</v>
      </c>
    </row>
    <row r="2451" spans="1:10" x14ac:dyDescent="0.3">
      <c r="A2451" t="str">
        <f>HYPERLINK("https://us2.cloudbeds.com/connect/10074733072513#/reservations/30662275170497?display=YQF66K3XD&amp;reservation_id=30662275170497", "YQF66K3XD")</f>
        <v>YQF66K3XD</v>
      </c>
      <c r="B2451" t="s">
        <v>10</v>
      </c>
      <c r="C2451" t="s">
        <v>11</v>
      </c>
      <c r="D2451" t="str">
        <f>HYPERLINK("https://us2.cloudbeds.com/connect/10074733072513#/reservations/30662275170497?display=Steven%20Wilkinson&amp;reservation_id=30662275170497&amp;guest_id=30662275166441", "Steven Wilkinson")</f>
        <v>Steven Wilkinson</v>
      </c>
      <c r="E2451" t="s">
        <v>1728</v>
      </c>
      <c r="F2451" t="s">
        <v>1621</v>
      </c>
      <c r="G2451">
        <v>64.150000000000006</v>
      </c>
      <c r="H2451">
        <v>69.72</v>
      </c>
      <c r="I2451">
        <v>69.73</v>
      </c>
      <c r="J2451">
        <v>-0.01</v>
      </c>
    </row>
    <row r="2452" spans="1:10" x14ac:dyDescent="0.3">
      <c r="A2452" t="str">
        <f>HYPERLINK("https://us2.cloudbeds.com/connect/10074733072513#/reservations/30663627632792?display=YQG7P1C1A&amp;reservation_id=30663627632792", "YQG7P1C1A")</f>
        <v>YQG7P1C1A</v>
      </c>
      <c r="B2452" t="s">
        <v>10</v>
      </c>
      <c r="C2452" t="s">
        <v>11</v>
      </c>
      <c r="D2452" t="str">
        <f>HYPERLINK("https://us2.cloudbeds.com/connect/10074733072513#/reservations/30663627632792?display=Frank%20Bell&amp;reservation_id=30663627632792&amp;guest_id=30663622656193", "Frank Bell")</f>
        <v>Frank Bell</v>
      </c>
      <c r="E2452" t="s">
        <v>1728</v>
      </c>
      <c r="F2452" t="s">
        <v>1621</v>
      </c>
      <c r="G2452">
        <v>64.150000000000006</v>
      </c>
      <c r="H2452">
        <v>69.72</v>
      </c>
      <c r="I2452">
        <v>69.73</v>
      </c>
      <c r="J2452">
        <v>-0.01</v>
      </c>
    </row>
    <row r="2453" spans="1:10" x14ac:dyDescent="0.3">
      <c r="A2453" t="str">
        <f>HYPERLINK("https://us2.cloudbeds.com/connect/10074733072513#/reservations/30662428328136?display=YQFA3ZV5W&amp;reservation_id=30662428328136", "YQFA3ZV5W")</f>
        <v>YQFA3ZV5W</v>
      </c>
      <c r="B2453" t="s">
        <v>10</v>
      </c>
      <c r="C2453" t="s">
        <v>11</v>
      </c>
      <c r="D2453" t="str">
        <f>HYPERLINK("https://us2.cloudbeds.com/connect/10074733072513#/reservations/30662428328136?display=Seth%20Yaden&amp;reservation_id=30662428328136&amp;guest_id=30662424195234", "Seth Yaden")</f>
        <v>Seth Yaden</v>
      </c>
      <c r="E2453" t="s">
        <v>1730</v>
      </c>
      <c r="F2453" t="s">
        <v>1731</v>
      </c>
      <c r="G2453">
        <v>64.150000000000006</v>
      </c>
      <c r="H2453">
        <v>69.72</v>
      </c>
      <c r="I2453">
        <v>69.73</v>
      </c>
      <c r="J2453">
        <v>-0.01</v>
      </c>
    </row>
    <row r="2454" spans="1:10" x14ac:dyDescent="0.3">
      <c r="A2454" t="str">
        <f>HYPERLINK("https://us2.cloudbeds.com/connect/10074733072513#/reservations/30662338412786?display=YQF7QUU9D&amp;reservation_id=30662338412786", "YQF7QUU9D")</f>
        <v>YQF7QUU9D</v>
      </c>
      <c r="B2454" t="s">
        <v>10</v>
      </c>
      <c r="C2454" t="s">
        <v>11</v>
      </c>
      <c r="D2454" t="str">
        <f>HYPERLINK("https://us2.cloudbeds.com/connect/10074733072513#/reservations/30662338412786?display=Remigiusz%20Galka&amp;reservation_id=30662338412786&amp;guest_id=30662338412784", "Remigiusz Galka")</f>
        <v>Remigiusz Galka</v>
      </c>
      <c r="E2454" t="s">
        <v>1728</v>
      </c>
      <c r="F2454" t="s">
        <v>1621</v>
      </c>
      <c r="G2454">
        <v>64.150000000000006</v>
      </c>
      <c r="H2454">
        <v>69.72</v>
      </c>
      <c r="I2454">
        <v>69.73</v>
      </c>
      <c r="J2454">
        <v>-0.01</v>
      </c>
    </row>
    <row r="2455" spans="1:10" x14ac:dyDescent="0.3">
      <c r="A2455" t="str">
        <f>HYPERLINK("https://us2.cloudbeds.com/connect/10074733072513#/reservations/30662016200874?display=YQEWJ7TJ2&amp;reservation_id=30662016200874", "YQEWJ7TJ2")</f>
        <v>YQEWJ7TJ2</v>
      </c>
      <c r="B2455" t="s">
        <v>10</v>
      </c>
      <c r="C2455" t="s">
        <v>11</v>
      </c>
      <c r="D2455" t="str">
        <f>HYPERLINK("https://us2.cloudbeds.com/connect/10074733072513#/reservations/30662016200874?display=Alex%20Mcglothlen&amp;reservation_id=30662016200874&amp;guest_id=30648491585743", "Alex Mcglothlen")</f>
        <v>Alex Mcglothlen</v>
      </c>
      <c r="E2455" t="s">
        <v>583</v>
      </c>
      <c r="F2455" t="s">
        <v>1727</v>
      </c>
      <c r="G2455">
        <v>64.150000000000006</v>
      </c>
      <c r="H2455">
        <v>69.72</v>
      </c>
      <c r="I2455">
        <v>69.73</v>
      </c>
      <c r="J2455">
        <v>-0.01</v>
      </c>
    </row>
    <row r="2456" spans="1:10" x14ac:dyDescent="0.3">
      <c r="A2456" t="str">
        <f>HYPERLINK("https://us2.cloudbeds.com/connect/10074733072513#/reservations/30662406779053?display=YQF9XJA7F&amp;reservation_id=30662406779053", "YQF9XJA7F")</f>
        <v>YQF9XJA7F</v>
      </c>
      <c r="B2456" t="s">
        <v>10</v>
      </c>
      <c r="C2456" t="s">
        <v>42</v>
      </c>
      <c r="D2456" t="str">
        <f>HYPERLINK("https://us2.cloudbeds.com/connect/10074733072513#/reservations/30662406779053?display=Mckenzie%20Malm&amp;reservation_id=30662406779053&amp;guest_id=30662406779047", "Mckenzie Malm")</f>
        <v>Mckenzie Malm</v>
      </c>
      <c r="E2456" t="s">
        <v>1732</v>
      </c>
      <c r="F2456" t="s">
        <v>1733</v>
      </c>
      <c r="G2456">
        <v>1064</v>
      </c>
      <c r="H2456">
        <v>1156.56</v>
      </c>
      <c r="I2456">
        <v>1156.57</v>
      </c>
      <c r="J2456">
        <v>-0.01</v>
      </c>
    </row>
    <row r="2457" spans="1:10" x14ac:dyDescent="0.3">
      <c r="A2457" t="str">
        <f>HYPERLINK("https://us2.cloudbeds.com/connect/10074733072513#/reservations/30662383677683?display=YQF8W3FRV&amp;reservation_id=30662383677683", "YQF8W3FRV")</f>
        <v>YQF8W3FRV</v>
      </c>
      <c r="B2457" t="s">
        <v>10</v>
      </c>
      <c r="C2457" t="s">
        <v>42</v>
      </c>
      <c r="D2457" t="str">
        <f>HYPERLINK("https://us2.cloudbeds.com/connect/10074733072513#/reservations/30662383677683?display=Jeremy%20Jenson&amp;reservation_id=30662383677683&amp;guest_id=30662383677667", "Jeremy Jenson")</f>
        <v>Jeremy Jenson</v>
      </c>
      <c r="E2457" t="s">
        <v>1734</v>
      </c>
      <c r="F2457" t="s">
        <v>1703</v>
      </c>
      <c r="G2457">
        <v>84.15</v>
      </c>
      <c r="H2457">
        <v>91.46</v>
      </c>
      <c r="I2457">
        <v>91.47</v>
      </c>
      <c r="J2457">
        <v>-0.01</v>
      </c>
    </row>
    <row r="2458" spans="1:10" x14ac:dyDescent="0.3">
      <c r="A2458" t="str">
        <f>HYPERLINK("https://us2.cloudbeds.com/connect/10074733072513#/reservations/30661284106368?display=YQEDNSE3Y&amp;reservation_id=30661284106368", "YQEDNSE3Y")</f>
        <v>YQEDNSE3Y</v>
      </c>
      <c r="B2458" t="s">
        <v>10</v>
      </c>
      <c r="C2458" t="s">
        <v>14</v>
      </c>
      <c r="D2458" t="str">
        <f>HYPERLINK("https://us2.cloudbeds.com/connect/10074733072513#/reservations/30661284106368?display=Randy%20Schneider&amp;reservation_id=30661284106368&amp;guest_id=30661278105833", "Randy Schneider")</f>
        <v>Randy Schneider</v>
      </c>
      <c r="E2458" t="s">
        <v>1735</v>
      </c>
      <c r="F2458" t="s">
        <v>1703</v>
      </c>
      <c r="G2458">
        <v>64.150000000000006</v>
      </c>
      <c r="H2458">
        <v>69.72</v>
      </c>
      <c r="I2458">
        <v>69.73</v>
      </c>
      <c r="J2458">
        <v>-0.01</v>
      </c>
    </row>
    <row r="2459" spans="1:10" x14ac:dyDescent="0.3">
      <c r="A2459" t="str">
        <f>HYPERLINK("https://us2.cloudbeds.com/connect/10074733072513#/reservations/30661603172588?display=YQEM0VPJD&amp;reservation_id=30661603172588", "YQEM0VPJD")</f>
        <v>YQEM0VPJD</v>
      </c>
      <c r="B2459" t="s">
        <v>10</v>
      </c>
      <c r="C2459" t="s">
        <v>14</v>
      </c>
      <c r="D2459" t="str">
        <f>HYPERLINK("https://us2.cloudbeds.com/connect/10074733072513#/reservations/30661603172588?display=Kyle%20Edens&amp;reservation_id=30661603172588&amp;guest_id=30661603172586", "Kyle Edens")</f>
        <v>Kyle Edens</v>
      </c>
      <c r="E2459" t="s">
        <v>1736</v>
      </c>
      <c r="F2459" t="s">
        <v>1727</v>
      </c>
      <c r="G2459">
        <v>64.150000000000006</v>
      </c>
      <c r="H2459">
        <v>69.72</v>
      </c>
      <c r="I2459">
        <v>69.73</v>
      </c>
      <c r="J2459">
        <v>-0.01</v>
      </c>
    </row>
    <row r="2460" spans="1:10" x14ac:dyDescent="0.3">
      <c r="A2460" t="str">
        <f>HYPERLINK("https://us2.cloudbeds.com/connect/10074733072513#/reservations/30661609037953?display=YQEM5TWJZ&amp;reservation_id=30661609037953", "YQEM5TWJZ")</f>
        <v>YQEM5TWJZ</v>
      </c>
      <c r="B2460" t="s">
        <v>10</v>
      </c>
      <c r="C2460" t="s">
        <v>14</v>
      </c>
      <c r="D2460" t="str">
        <f>HYPERLINK("https://us2.cloudbeds.com/connect/10074733072513#/reservations/30661609037953?display=Carl%20Vondrak&amp;reservation_id=30661609037953&amp;guest_id=30661609033862", "Carl Vondrak")</f>
        <v>Carl Vondrak</v>
      </c>
      <c r="E2460" t="s">
        <v>1736</v>
      </c>
      <c r="F2460" t="s">
        <v>1727</v>
      </c>
      <c r="G2460">
        <v>64.150000000000006</v>
      </c>
      <c r="H2460">
        <v>69.72</v>
      </c>
      <c r="I2460">
        <v>69.73</v>
      </c>
      <c r="J2460">
        <v>-0.01</v>
      </c>
    </row>
    <row r="2461" spans="1:10" x14ac:dyDescent="0.3">
      <c r="A2461" t="str">
        <f>HYPERLINK("https://us2.cloudbeds.com/connect/10074733072513#/reservations/30661595648143?display=YQEYRKD2U&amp;reservation_id=30661595648143", "YQEYRKD2U")</f>
        <v>YQEYRKD2U</v>
      </c>
      <c r="B2461" t="s">
        <v>10</v>
      </c>
      <c r="C2461" t="s">
        <v>14</v>
      </c>
      <c r="D2461" t="str">
        <f>HYPERLINK("https://us2.cloudbeds.com/connect/10074733072513#/reservations/30661595648143?display=Joanne%20Duell&amp;reservation_id=30661595648143&amp;guest_id=30661595648139", "Joanne Duell")</f>
        <v>Joanne Duell</v>
      </c>
      <c r="E2461" t="s">
        <v>1739</v>
      </c>
      <c r="F2461" t="s">
        <v>1727</v>
      </c>
      <c r="G2461">
        <v>64.150000000000006</v>
      </c>
      <c r="H2461">
        <v>69.72</v>
      </c>
      <c r="I2461">
        <v>69.73</v>
      </c>
      <c r="J2461">
        <v>-0.01</v>
      </c>
    </row>
    <row r="2462" spans="1:10" x14ac:dyDescent="0.3">
      <c r="A2462" t="str">
        <f>HYPERLINK("https://us2.cloudbeds.com/connect/10074733072513#/reservations/30663832465610?display=YQGCWP4KD&amp;reservation_id=30663832465610", "YQGCWP4KD")</f>
        <v>YQGCWP4KD</v>
      </c>
      <c r="B2462" t="s">
        <v>10</v>
      </c>
      <c r="C2462" t="s">
        <v>42</v>
      </c>
      <c r="D2462" t="str">
        <f>HYPERLINK("https://us2.cloudbeds.com/connect/10074733072513#/reservations/30663832465610?display=Ronald%20Brant&amp;reservation_id=30663832465610&amp;guest_id=30663832461513", "Ronald Brant")</f>
        <v>Ronald Brant</v>
      </c>
      <c r="E2462" t="s">
        <v>1740</v>
      </c>
      <c r="F2462" t="s">
        <v>1741</v>
      </c>
      <c r="G2462">
        <v>374.4</v>
      </c>
      <c r="H2462">
        <v>406.96</v>
      </c>
      <c r="I2462">
        <v>406.97</v>
      </c>
      <c r="J2462">
        <v>-0.01</v>
      </c>
    </row>
    <row r="2463" spans="1:10" x14ac:dyDescent="0.3">
      <c r="A2463" t="str">
        <f>HYPERLINK("https://us2.cloudbeds.com/connect/10074733072513#/reservations/30661287555224?display=YQEDVR8FS&amp;reservation_id=30661287555224", "YQEDVR8FS")</f>
        <v>YQEDVR8FS</v>
      </c>
      <c r="B2463" t="s">
        <v>10</v>
      </c>
      <c r="C2463" t="s">
        <v>14</v>
      </c>
      <c r="D2463" t="str">
        <f>HYPERLINK("https://us2.cloudbeds.com/connect/10074733072513#/reservations/30661287555224?display=Alexander%20Hicklin&amp;reservation_id=30661287555224&amp;guest_id=30660235276435", "Alexander Hicklin")</f>
        <v>Alexander Hicklin</v>
      </c>
      <c r="E2463" t="s">
        <v>1719</v>
      </c>
      <c r="F2463" t="s">
        <v>1703</v>
      </c>
      <c r="G2463">
        <v>64.150000000000006</v>
      </c>
      <c r="H2463">
        <v>69.72</v>
      </c>
      <c r="I2463">
        <v>69.73</v>
      </c>
      <c r="J2463">
        <v>-0.01</v>
      </c>
    </row>
    <row r="2464" spans="1:10" x14ac:dyDescent="0.3">
      <c r="A2464" t="str">
        <f>HYPERLINK("https://us2.cloudbeds.com/connect/10074733072513#/reservations/30661660360866?display=YQENG642G&amp;reservation_id=30661660360866", "YQENG642G")</f>
        <v>YQENG642G</v>
      </c>
      <c r="B2464" t="s">
        <v>10</v>
      </c>
      <c r="C2464" t="s">
        <v>14</v>
      </c>
      <c r="D2464" t="str">
        <f>HYPERLINK("https://us2.cloudbeds.com/connect/10074733072513#/reservations/30661660360866?display=Scott%20Houseknecht&amp;reservation_id=30661660360866&amp;guest_id=30661660360854", "Scott Houseknecht")</f>
        <v>Scott Houseknecht</v>
      </c>
      <c r="E2464" t="s">
        <v>1742</v>
      </c>
      <c r="F2464" t="s">
        <v>1738</v>
      </c>
      <c r="G2464">
        <v>64.150000000000006</v>
      </c>
      <c r="H2464">
        <v>69.72</v>
      </c>
      <c r="I2464">
        <v>69.73</v>
      </c>
      <c r="J2464">
        <v>-0.01</v>
      </c>
    </row>
    <row r="2465" spans="1:10" x14ac:dyDescent="0.3">
      <c r="A2465" t="str">
        <f>HYPERLINK("https://us2.cloudbeds.com/connect/10074733072513#/reservations/30661619937414?display=YQEMF399E&amp;reservation_id=30661619937414", "YQEMF399E")</f>
        <v>YQEMF399E</v>
      </c>
      <c r="B2465" t="s">
        <v>10</v>
      </c>
      <c r="C2465" t="s">
        <v>42</v>
      </c>
      <c r="D2465" t="str">
        <f>HYPERLINK("https://us2.cloudbeds.com/connect/10074733072513#/reservations/30661619937414?display=Julian%20Salas&amp;reservation_id=30661619937414&amp;guest_id=30661619937412", "Julian Salas")</f>
        <v>Julian Salas</v>
      </c>
      <c r="E2465" t="s">
        <v>1743</v>
      </c>
      <c r="F2465" t="s">
        <v>1738</v>
      </c>
      <c r="G2465">
        <v>84.15</v>
      </c>
      <c r="H2465">
        <v>91.46</v>
      </c>
      <c r="I2465">
        <v>91.47</v>
      </c>
      <c r="J2465">
        <v>-0.01</v>
      </c>
    </row>
    <row r="2466" spans="1:10" x14ac:dyDescent="0.3">
      <c r="A2466" t="str">
        <f>HYPERLINK("https://us2.cloudbeds.com/connect/10074733072513#/reservations/30662588137630?display=YQFE6GT0U&amp;reservation_id=30662588137630", "YQFE6GT0U")</f>
        <v>YQFE6GT0U</v>
      </c>
      <c r="B2466" t="s">
        <v>10</v>
      </c>
      <c r="C2466" t="s">
        <v>11</v>
      </c>
      <c r="D2466" t="str">
        <f>HYPERLINK("https://us2.cloudbeds.com/connect/10074733072513#/reservations/30662588137630?display=William%20Thomas%20Boyd&amp;reservation_id=30662588137630&amp;guest_id=30646101500085", "William Thomas Boyd")</f>
        <v>William Thomas Boyd</v>
      </c>
      <c r="E2466" t="s">
        <v>846</v>
      </c>
      <c r="F2466" t="s">
        <v>1641</v>
      </c>
      <c r="G2466">
        <v>103.2</v>
      </c>
      <c r="H2466">
        <v>112.17</v>
      </c>
      <c r="I2466">
        <v>112.18</v>
      </c>
      <c r="J2466">
        <v>-0.01</v>
      </c>
    </row>
    <row r="2467" spans="1:10" x14ac:dyDescent="0.3">
      <c r="A2467" t="str">
        <f>HYPERLINK("https://us2.cloudbeds.com/connect/10074733072513#/reservations/30662098624665?display=YQF1MZF5N&amp;reservation_id=30662098624665", "YQF1MZF5N")</f>
        <v>YQF1MZF5N</v>
      </c>
      <c r="B2467" t="s">
        <v>10</v>
      </c>
      <c r="C2467" t="s">
        <v>14</v>
      </c>
      <c r="D2467" t="str">
        <f>HYPERLINK("https://us2.cloudbeds.com/connect/10074733072513#/reservations/30662098624665?display=Brent%20Peterson&amp;reservation_id=30662098624665&amp;guest_id=30662098624663", "Brent Peterson")</f>
        <v>Brent Peterson</v>
      </c>
      <c r="E2467" t="s">
        <v>850</v>
      </c>
      <c r="F2467" t="s">
        <v>1738</v>
      </c>
      <c r="G2467">
        <v>64.150000000000006</v>
      </c>
      <c r="H2467">
        <v>69.72</v>
      </c>
      <c r="I2467">
        <v>69.73</v>
      </c>
      <c r="J2467">
        <v>-0.01</v>
      </c>
    </row>
    <row r="2468" spans="1:10" x14ac:dyDescent="0.3">
      <c r="A2468" t="str">
        <f>HYPERLINK("https://us2.cloudbeds.com/connect/10074733072513#/reservations/30662112661654?display=YQF21J1W0&amp;reservation_id=30662112661654", "YQF21J1W0")</f>
        <v>YQF21J1W0</v>
      </c>
      <c r="B2468" t="s">
        <v>10</v>
      </c>
      <c r="C2468" t="s">
        <v>14</v>
      </c>
      <c r="D2468" t="str">
        <f>HYPERLINK("https://us2.cloudbeds.com/connect/10074733072513#/reservations/30662112661654?display=Andrew%20Hokom&amp;reservation_id=30662112661654&amp;guest_id=30652867367138", "Andrew Hokom")</f>
        <v>Andrew Hokom</v>
      </c>
      <c r="E2468" t="s">
        <v>850</v>
      </c>
      <c r="F2468" t="s">
        <v>1738</v>
      </c>
      <c r="G2468">
        <v>64.150000000000006</v>
      </c>
      <c r="H2468">
        <v>69.72</v>
      </c>
      <c r="I2468">
        <v>69.73</v>
      </c>
      <c r="J2468">
        <v>-0.01</v>
      </c>
    </row>
    <row r="2469" spans="1:10" x14ac:dyDescent="0.3">
      <c r="A2469" t="str">
        <f>HYPERLINK("https://us2.cloudbeds.com/connect/10074733072513#/reservations/30662373810312?display=YQF8NPTTN&amp;reservation_id=30662373810312", "YQF8NPTTN")</f>
        <v>YQF8NPTTN</v>
      </c>
      <c r="B2469" t="s">
        <v>10</v>
      </c>
      <c r="C2469" t="s">
        <v>14</v>
      </c>
      <c r="D2469" t="str">
        <f>HYPERLINK("https://us2.cloudbeds.com/connect/10074733072513#/reservations/30662373810312?display=Scott%20Houseknecht&amp;reservation_id=30662373810312&amp;guest_id=30661660360854", "Scott Houseknecht")</f>
        <v>Scott Houseknecht</v>
      </c>
      <c r="E2469" t="s">
        <v>1742</v>
      </c>
      <c r="F2469" t="s">
        <v>1733</v>
      </c>
      <c r="G2469">
        <v>64.150000000000006</v>
      </c>
      <c r="H2469">
        <v>69.72</v>
      </c>
      <c r="I2469">
        <v>69.73</v>
      </c>
      <c r="J2469">
        <v>-0.01</v>
      </c>
    </row>
    <row r="2470" spans="1:10" x14ac:dyDescent="0.3">
      <c r="A2470" t="str">
        <f>HYPERLINK("https://us2.cloudbeds.com/connect/10074733072513#/reservations/30662377975964?display=YQF8R9R3J&amp;reservation_id=30662377975964", "YQF8R9R3J")</f>
        <v>YQF8R9R3J</v>
      </c>
      <c r="B2470" t="s">
        <v>10</v>
      </c>
      <c r="C2470" t="s">
        <v>14</v>
      </c>
      <c r="D2470" t="str">
        <f>HYPERLINK("https://us2.cloudbeds.com/connect/10074733072513#/reservations/30662377975964?display=Alexander%20Hicklin&amp;reservation_id=30662377975964&amp;guest_id=30660235276435", "Alexander Hicklin")</f>
        <v>Alexander Hicklin</v>
      </c>
      <c r="E2470" t="s">
        <v>1719</v>
      </c>
      <c r="F2470" t="s">
        <v>1733</v>
      </c>
      <c r="G2470">
        <v>64.150000000000006</v>
      </c>
      <c r="H2470">
        <v>69.72</v>
      </c>
      <c r="I2470">
        <v>69.73</v>
      </c>
      <c r="J2470">
        <v>-0.01</v>
      </c>
    </row>
    <row r="2471" spans="1:10" x14ac:dyDescent="0.3">
      <c r="A2471" t="str">
        <f>HYPERLINK("https://us2.cloudbeds.com/connect/10074733072513#/reservations/30662500499598?display=YQFBVK7AW&amp;reservation_id=30662500499598", "YQFBVK7AW")</f>
        <v>YQFBVK7AW</v>
      </c>
      <c r="B2471" t="s">
        <v>10</v>
      </c>
      <c r="C2471" t="s">
        <v>14</v>
      </c>
      <c r="D2471" t="str">
        <f>HYPERLINK("https://us2.cloudbeds.com/connect/10074733072513#/reservations/30662500499598?display=Kelsey%20Schochenmaier&amp;reservation_id=30662500499598&amp;guest_id=30662500499596", "Kelsey Schochenmaier")</f>
        <v>Kelsey Schochenmaier</v>
      </c>
      <c r="E2471" t="s">
        <v>1746</v>
      </c>
      <c r="F2471" t="s">
        <v>1705</v>
      </c>
      <c r="G2471">
        <v>340.84</v>
      </c>
      <c r="H2471">
        <v>370.48</v>
      </c>
      <c r="I2471">
        <v>370.49</v>
      </c>
      <c r="J2471">
        <v>-0.01</v>
      </c>
    </row>
    <row r="2472" spans="1:10" x14ac:dyDescent="0.3">
      <c r="A2472" t="str">
        <f>HYPERLINK("https://us2.cloudbeds.com/connect/10074733072513#/reservations/30661438456047?display=YQEHR29Z2&amp;reservation_id=30661438456047", "YQEHR29Z2")</f>
        <v>YQEHR29Z2</v>
      </c>
      <c r="B2472" t="s">
        <v>10</v>
      </c>
      <c r="C2472" t="s">
        <v>11</v>
      </c>
      <c r="D2472" t="str">
        <f>HYPERLINK("https://us2.cloudbeds.com/connect/10074733072513#/reservations/30661438456047?display=Landyn%20Fors&amp;reservation_id=30661438456047&amp;guest_id=30661438456043", "Landyn Fors")</f>
        <v>Landyn Fors</v>
      </c>
      <c r="E2472" t="s">
        <v>1747</v>
      </c>
      <c r="F2472" t="s">
        <v>1748</v>
      </c>
      <c r="G2472">
        <v>64.150000000000006</v>
      </c>
      <c r="H2472">
        <v>69.72</v>
      </c>
      <c r="I2472">
        <v>69.73</v>
      </c>
      <c r="J2472">
        <v>-0.01</v>
      </c>
    </row>
    <row r="2473" spans="1:10" x14ac:dyDescent="0.3">
      <c r="A2473" t="str">
        <f>HYPERLINK("https://us2.cloudbeds.com/connect/10074733072513#/reservations/30661400400087?display=YQEGRWAV5&amp;reservation_id=30661400400087", "YQEGRWAV5")</f>
        <v>YQEGRWAV5</v>
      </c>
      <c r="B2473" t="s">
        <v>10</v>
      </c>
      <c r="C2473" t="s">
        <v>14</v>
      </c>
      <c r="D2473" t="str">
        <f>HYPERLINK("https://us2.cloudbeds.com/connect/10074733072513#/reservations/30661400400087?display=Jennifer%20Kim&amp;reservation_id=30661400400087&amp;guest_id=30661400400084", "Jennifer Kim")</f>
        <v>Jennifer Kim</v>
      </c>
      <c r="E2473" t="s">
        <v>1749</v>
      </c>
      <c r="F2473" t="s">
        <v>1750</v>
      </c>
      <c r="G2473">
        <v>64.150000000000006</v>
      </c>
      <c r="H2473">
        <v>69.72</v>
      </c>
      <c r="I2473">
        <v>69.73</v>
      </c>
      <c r="J2473">
        <v>-0.01</v>
      </c>
    </row>
    <row r="2474" spans="1:10" x14ac:dyDescent="0.3">
      <c r="A2474" t="str">
        <f>HYPERLINK("https://us2.cloudbeds.com/connect/10074733072513#/reservations/30661906882814?display=YQETQ1VMJ&amp;reservation_id=30661906882814", "YQETQ1VMJ")</f>
        <v>YQETQ1VMJ</v>
      </c>
      <c r="B2474" t="s">
        <v>10</v>
      </c>
      <c r="C2474" t="s">
        <v>14</v>
      </c>
      <c r="D2474" t="str">
        <f>HYPERLINK("https://us2.cloudbeds.com/connect/10074733072513#/reservations/30661906882814?display=Ken%20Eckhoff&amp;reservation_id=30661906882814&amp;guest_id=30661906882809", "Ken Eckhoff")</f>
        <v>Ken Eckhoff</v>
      </c>
      <c r="E2474" t="s">
        <v>1751</v>
      </c>
      <c r="F2474" t="s">
        <v>1752</v>
      </c>
      <c r="G2474">
        <v>64.150000000000006</v>
      </c>
      <c r="H2474">
        <v>69.72</v>
      </c>
      <c r="I2474">
        <v>69.73</v>
      </c>
      <c r="J2474">
        <v>-0.01</v>
      </c>
    </row>
    <row r="2475" spans="1:10" x14ac:dyDescent="0.3">
      <c r="A2475" t="str">
        <f>HYPERLINK("https://us2.cloudbeds.com/connect/10074733072513#/reservations/30662057058488?display=YQF0KMR1J&amp;reservation_id=30662057058488", "YQF0KMR1J")</f>
        <v>YQF0KMR1J</v>
      </c>
      <c r="B2475" t="s">
        <v>10</v>
      </c>
      <c r="C2475" t="s">
        <v>42</v>
      </c>
      <c r="D2475" t="str">
        <f>HYPERLINK("https://us2.cloudbeds.com/connect/10074733072513#/reservations/30662057058488?display=Nicholas%20Rivera&amp;reservation_id=30662057058488&amp;guest_id=30662057058470", "Nicholas Rivera")</f>
        <v>Nicholas Rivera</v>
      </c>
      <c r="E2475" t="s">
        <v>1630</v>
      </c>
      <c r="F2475" t="s">
        <v>1578</v>
      </c>
      <c r="G2475">
        <v>375.3</v>
      </c>
      <c r="H2475">
        <v>407.94</v>
      </c>
      <c r="I2475">
        <v>407.95</v>
      </c>
      <c r="J2475">
        <v>-0.01</v>
      </c>
    </row>
    <row r="2476" spans="1:10" x14ac:dyDescent="0.3">
      <c r="A2476" t="str">
        <f>HYPERLINK("https://us2.cloudbeds.com/connect/10074733072513#/reservations/30663940436107?display=YQGFZQJ2Y&amp;reservation_id=30663940436107", "YQGFZQJ2Y")</f>
        <v>YQGFZQJ2Y</v>
      </c>
      <c r="B2476" t="s">
        <v>10</v>
      </c>
      <c r="C2476" t="s">
        <v>14</v>
      </c>
      <c r="D2476" t="str">
        <f>HYPERLINK("https://us2.cloudbeds.com/connect/10074733072513#/reservations/30663940436107?display=Lee%20Klosterman&amp;reservation_id=30663940436107&amp;guest_id=30663940436102", "Lee Klosterman")</f>
        <v>Lee Klosterman</v>
      </c>
      <c r="E2476" t="s">
        <v>1755</v>
      </c>
      <c r="F2476" t="s">
        <v>1756</v>
      </c>
      <c r="G2476">
        <v>87.2</v>
      </c>
      <c r="H2476">
        <v>94.78</v>
      </c>
      <c r="I2476">
        <v>94.79</v>
      </c>
      <c r="J2476">
        <v>-0.01</v>
      </c>
    </row>
    <row r="2477" spans="1:10" x14ac:dyDescent="0.3">
      <c r="A2477" t="str">
        <f>HYPERLINK("https://us2.cloudbeds.com/connect/10074733072513#/reservations/30661912383695?display=YQETUN0WV&amp;reservation_id=30661912383695", "YQETUN0WV")</f>
        <v>YQETUN0WV</v>
      </c>
      <c r="B2477" t="s">
        <v>10</v>
      </c>
      <c r="C2477" t="s">
        <v>14</v>
      </c>
      <c r="D2477" t="str">
        <f>HYPERLINK("https://us2.cloudbeds.com/connect/10074733072513#/reservations/30661912383695?display=Robin%20Norton&amp;reservation_id=30661912383695&amp;guest_id=30661461368994", "Robin Norton")</f>
        <v>Robin Norton</v>
      </c>
      <c r="E2477" t="s">
        <v>1757</v>
      </c>
      <c r="F2477" t="s">
        <v>1752</v>
      </c>
      <c r="G2477">
        <v>64.150000000000006</v>
      </c>
      <c r="H2477">
        <v>69.72</v>
      </c>
      <c r="I2477">
        <v>69.73</v>
      </c>
      <c r="J2477">
        <v>-0.01</v>
      </c>
    </row>
    <row r="2478" spans="1:10" x14ac:dyDescent="0.3">
      <c r="A2478" t="str">
        <f>HYPERLINK("https://us2.cloudbeds.com/connect/10074733072513#/reservations/30661454840013?display=YQEX7T6MT&amp;reservation_id=30661454840013", "YQEX7T6MT")</f>
        <v>YQEX7T6MT</v>
      </c>
      <c r="B2478" t="s">
        <v>10</v>
      </c>
      <c r="C2478" t="s">
        <v>14</v>
      </c>
      <c r="D2478" t="str">
        <f>HYPERLINK("https://us2.cloudbeds.com/connect/10074733072513#/reservations/30661454840013?display=Daniel%20Stewart&amp;reservation_id=30661454840013&amp;guest_id=30661454835921", "Daniel Stewart")</f>
        <v>Daniel Stewart</v>
      </c>
      <c r="E2478" t="s">
        <v>1758</v>
      </c>
      <c r="F2478" t="s">
        <v>1748</v>
      </c>
      <c r="G2478">
        <v>72.17</v>
      </c>
      <c r="H2478">
        <v>78.44</v>
      </c>
      <c r="I2478">
        <v>78.45</v>
      </c>
      <c r="J2478">
        <v>-0.01</v>
      </c>
    </row>
    <row r="2479" spans="1:10" x14ac:dyDescent="0.3">
      <c r="A2479" t="str">
        <f>HYPERLINK("https://us2.cloudbeds.com/connect/10074733072513#/reservations/30661928984778?display=YQEUBMWB2&amp;reservation_id=30661928984778", "YQEUBMWB2")</f>
        <v>YQEUBMWB2</v>
      </c>
      <c r="B2479" t="s">
        <v>10</v>
      </c>
      <c r="C2479" t="s">
        <v>14</v>
      </c>
      <c r="D2479" t="str">
        <f>HYPERLINK("https://us2.cloudbeds.com/connect/10074733072513#/reservations/30661928984778?display=Daniel%20Stewart&amp;reservation_id=30661928984778&amp;guest_id=30661923586302", "Daniel Stewart")</f>
        <v>Daniel Stewart</v>
      </c>
      <c r="E2479" t="s">
        <v>1759</v>
      </c>
      <c r="F2479" t="s">
        <v>1752</v>
      </c>
      <c r="G2479">
        <v>64.150000000000006</v>
      </c>
      <c r="H2479">
        <v>69.72</v>
      </c>
      <c r="I2479">
        <v>69.73</v>
      </c>
      <c r="J2479">
        <v>-0.01</v>
      </c>
    </row>
    <row r="2480" spans="1:10" x14ac:dyDescent="0.3">
      <c r="A2480" t="str">
        <f>HYPERLINK("https://us2.cloudbeds.com/connect/10074733072513#/reservations/30661451608311?display=YQEX5593H&amp;reservation_id=30661451608311", "YQEX5593H")</f>
        <v>YQEX5593H</v>
      </c>
      <c r="B2480" t="s">
        <v>10</v>
      </c>
      <c r="C2480" t="s">
        <v>14</v>
      </c>
      <c r="D2480" t="str">
        <f>HYPERLINK("https://us2.cloudbeds.com/connect/10074733072513#/reservations/30661451608311?display=Jonnie%20Thurston&amp;reservation_id=30661451608311&amp;guest_id=30661451608294", "Jonnie Thurston")</f>
        <v>Jonnie Thurston</v>
      </c>
      <c r="E2480" t="s">
        <v>1761</v>
      </c>
      <c r="F2480" t="s">
        <v>1748</v>
      </c>
      <c r="G2480">
        <v>64.150000000000006</v>
      </c>
      <c r="H2480">
        <v>69.72</v>
      </c>
      <c r="I2480">
        <v>69.73</v>
      </c>
      <c r="J2480">
        <v>-0.01</v>
      </c>
    </row>
    <row r="2481" spans="1:10" x14ac:dyDescent="0.3">
      <c r="A2481" t="str">
        <f>HYPERLINK("https://us2.cloudbeds.com/connect/10074733072513#/reservations/30661917827226?display=YQEU29GYD&amp;reservation_id=30661917827226", "YQEU29GYD")</f>
        <v>YQEU29GYD</v>
      </c>
      <c r="B2481" t="s">
        <v>10</v>
      </c>
      <c r="C2481" t="s">
        <v>11</v>
      </c>
      <c r="D2481" t="str">
        <f>HYPERLINK("https://us2.cloudbeds.com/connect/10074733072513#/reservations/30661917827226?display=Alvin%20Weasel&amp;reservation_id=30661917827226&amp;guest_id=30661917823145", "Alvin Weasel")</f>
        <v>Alvin Weasel</v>
      </c>
      <c r="E2481" t="s">
        <v>1762</v>
      </c>
      <c r="F2481" t="s">
        <v>1752</v>
      </c>
      <c r="G2481">
        <v>64.150000000000006</v>
      </c>
      <c r="H2481">
        <v>69.72</v>
      </c>
      <c r="I2481">
        <v>69.73</v>
      </c>
      <c r="J2481">
        <v>-0.01</v>
      </c>
    </row>
    <row r="2482" spans="1:10" x14ac:dyDescent="0.3">
      <c r="A2482" t="str">
        <f>HYPERLINK("https://us2.cloudbeds.com/connect/10074733072513#/reservations/30662082552002?display=YQF19672A&amp;reservation_id=30662082552002", "YQF19672A")</f>
        <v>YQF19672A</v>
      </c>
      <c r="B2482" t="s">
        <v>10</v>
      </c>
      <c r="C2482" t="s">
        <v>11</v>
      </c>
      <c r="D2482" t="str">
        <f>HYPERLINK("https://us2.cloudbeds.com/connect/10074733072513#/reservations/30662082552002?display=Donny%20Erickson&amp;reservation_id=30662082552002&amp;guest_id=30662082552000", "Donny Erickson")</f>
        <v>Donny Erickson</v>
      </c>
      <c r="E2482" t="s">
        <v>1763</v>
      </c>
      <c r="F2482" t="s">
        <v>1578</v>
      </c>
      <c r="G2482">
        <v>72.17</v>
      </c>
      <c r="H2482">
        <v>78.44</v>
      </c>
      <c r="I2482">
        <v>78.45</v>
      </c>
      <c r="J2482">
        <v>-0.01</v>
      </c>
    </row>
    <row r="2483" spans="1:10" x14ac:dyDescent="0.3">
      <c r="A2483" t="str">
        <f>HYPERLINK("https://us2.cloudbeds.com/connect/10074733072513#/reservations/30662085939361?display=YQF1C1FJX&amp;reservation_id=30662085939361", "YQF1C1FJX")</f>
        <v>YQF1C1FJX</v>
      </c>
      <c r="B2483" t="s">
        <v>10</v>
      </c>
      <c r="C2483" t="s">
        <v>11</v>
      </c>
      <c r="D2483" t="str">
        <f>HYPERLINK("https://us2.cloudbeds.com/connect/10074733072513#/reservations/30662085939361?display=Mark%20Corley&amp;reservation_id=30662085939361&amp;guest_id=30662085939356", "Mark Corley")</f>
        <v>Mark Corley</v>
      </c>
      <c r="E2483" t="s">
        <v>1765</v>
      </c>
      <c r="F2483" t="s">
        <v>1578</v>
      </c>
      <c r="G2483">
        <v>64.150000000000006</v>
      </c>
      <c r="H2483">
        <v>69.72</v>
      </c>
      <c r="I2483">
        <v>69.73</v>
      </c>
      <c r="J2483">
        <v>-0.01</v>
      </c>
    </row>
    <row r="2484" spans="1:10" x14ac:dyDescent="0.3">
      <c r="A2484" t="str">
        <f>HYPERLINK("https://us2.cloudbeds.com/connect/10074733072513#/reservations/30661934616705?display=YQEUBN33K&amp;reservation_id=30661934616705", "YQEUBN33K")</f>
        <v>YQEUBN33K</v>
      </c>
      <c r="B2484" t="s">
        <v>10</v>
      </c>
      <c r="C2484" t="s">
        <v>14</v>
      </c>
      <c r="D2484" t="str">
        <f>HYPERLINK("https://us2.cloudbeds.com/connect/10074733072513#/reservations/30661934616705?display=Anthony%20Marquez&amp;reservation_id=30661934616705&amp;guest_id=30661928988884", "Anthony Marquez")</f>
        <v>Anthony Marquez</v>
      </c>
      <c r="E2484" t="s">
        <v>1766</v>
      </c>
      <c r="F2484" t="s">
        <v>1752</v>
      </c>
      <c r="G2484">
        <v>64.150000000000006</v>
      </c>
      <c r="H2484">
        <v>69.72</v>
      </c>
      <c r="I2484">
        <v>69.73</v>
      </c>
      <c r="J2484">
        <v>-0.01</v>
      </c>
    </row>
    <row r="2485" spans="1:10" x14ac:dyDescent="0.3">
      <c r="A2485" t="str">
        <f>HYPERLINK("https://us2.cloudbeds.com/connect/10074733072513#/reservations/30662466199778?display=YQFB2MPNG&amp;reservation_id=30662466199778", "YQFB2MPNG")</f>
        <v>YQFB2MPNG</v>
      </c>
      <c r="B2485" t="s">
        <v>10</v>
      </c>
      <c r="C2485" t="s">
        <v>14</v>
      </c>
      <c r="D2485" t="str">
        <f>HYPERLINK("https://us2.cloudbeds.com/connect/10074733072513#/reservations/30662466199778?display=Charles%20Podzilni&amp;reservation_id=30662466199778&amp;guest_id=30662466199773", "Charles Podzilni")</f>
        <v>Charles Podzilni</v>
      </c>
      <c r="E2485" t="s">
        <v>1770</v>
      </c>
      <c r="F2485" t="s">
        <v>1771</v>
      </c>
      <c r="G2485">
        <v>64.150000000000006</v>
      </c>
      <c r="H2485">
        <v>69.72</v>
      </c>
      <c r="I2485">
        <v>69.73</v>
      </c>
      <c r="J2485">
        <v>-0.01</v>
      </c>
    </row>
    <row r="2486" spans="1:10" x14ac:dyDescent="0.3">
      <c r="A2486" t="str">
        <f>HYPERLINK("https://us2.cloudbeds.com/connect/10074733072513#/reservations/30662402871508?display=YQF9F9J10&amp;reservation_id=30662402871508", "YQF9F9J10")</f>
        <v>YQF9F9J10</v>
      </c>
      <c r="B2486" t="s">
        <v>10</v>
      </c>
      <c r="C2486" t="s">
        <v>14</v>
      </c>
      <c r="D2486" t="str">
        <f>HYPERLINK("https://us2.cloudbeds.com/connect/10074733072513#/reservations/30662402871508?display=Eric%20Muller&amp;reservation_id=30662402871508&amp;guest_id=30662402867449", "Eric Muller")</f>
        <v>Eric Muller</v>
      </c>
      <c r="E2486" t="s">
        <v>1772</v>
      </c>
      <c r="F2486" t="s">
        <v>1731</v>
      </c>
      <c r="G2486">
        <v>196.2</v>
      </c>
      <c r="H2486">
        <v>213.26</v>
      </c>
      <c r="I2486">
        <v>213.27</v>
      </c>
      <c r="J2486">
        <v>-0.01</v>
      </c>
    </row>
    <row r="2487" spans="1:10" x14ac:dyDescent="0.3">
      <c r="A2487" t="str">
        <f>HYPERLINK("https://us2.cloudbeds.com/connect/10074733072513#/reservations/30662475702483?display=YQFBAN6Q8&amp;reservation_id=30662475702483", "YQFBAN6Q8")</f>
        <v>YQFBAN6Q8</v>
      </c>
      <c r="B2487" t="s">
        <v>10</v>
      </c>
      <c r="C2487" t="s">
        <v>14</v>
      </c>
      <c r="D2487" t="str">
        <f>HYPERLINK("https://us2.cloudbeds.com/connect/10074733072513#/reservations/30662475702483?display=Alexander%20Hicklin&amp;reservation_id=30662475702483&amp;guest_id=30660235276435", "Alexander Hicklin")</f>
        <v>Alexander Hicklin</v>
      </c>
      <c r="E2487" t="s">
        <v>1719</v>
      </c>
      <c r="F2487" t="s">
        <v>1771</v>
      </c>
      <c r="G2487">
        <v>64.150000000000006</v>
      </c>
      <c r="H2487">
        <v>69.72</v>
      </c>
      <c r="I2487">
        <v>69.73</v>
      </c>
      <c r="J2487">
        <v>-0.01</v>
      </c>
    </row>
    <row r="2488" spans="1:10" x14ac:dyDescent="0.3">
      <c r="A2488" t="str">
        <f>HYPERLINK("https://us2.cloudbeds.com/connect/10074733072513#/reservations/30661998690435?display=YQEW4FY6N&amp;reservation_id=30661998690435", "YQEW4FY6N")</f>
        <v>YQEW4FY6N</v>
      </c>
      <c r="B2488" t="s">
        <v>10</v>
      </c>
      <c r="C2488" t="s">
        <v>42</v>
      </c>
      <c r="D2488" t="str">
        <f>HYPERLINK("https://us2.cloudbeds.com/connect/10074733072513#/reservations/30661998690435?display=Thomas%20Bark&amp;reservation_id=30661998690435&amp;guest_id=30661998690433", "Thomas Bark")</f>
        <v>Thomas Bark</v>
      </c>
      <c r="E2488" t="s">
        <v>1773</v>
      </c>
      <c r="F2488" t="s">
        <v>1490</v>
      </c>
      <c r="G2488">
        <v>356.4</v>
      </c>
      <c r="H2488">
        <v>387.4</v>
      </c>
      <c r="I2488">
        <v>387.41</v>
      </c>
      <c r="J2488">
        <v>-0.01</v>
      </c>
    </row>
    <row r="2489" spans="1:10" x14ac:dyDescent="0.3">
      <c r="A2489" t="str">
        <f>HYPERLINK("https://us2.cloudbeds.com/connect/10074733072513#/reservations/30662438932721?display=YQFACN131&amp;reservation_id=30662438932721", "YQFACN131")</f>
        <v>YQFACN131</v>
      </c>
      <c r="B2489" t="s">
        <v>10</v>
      </c>
      <c r="C2489" t="s">
        <v>14</v>
      </c>
      <c r="D2489" t="str">
        <f>HYPERLINK("https://us2.cloudbeds.com/connect/10074733072513#/reservations/30662438932721?display=Jay%20Leibel&amp;reservation_id=30662438932721&amp;guest_id=30662438932718", "Jay Leibel")</f>
        <v>Jay Leibel</v>
      </c>
      <c r="E2489" t="s">
        <v>1776</v>
      </c>
      <c r="F2489" t="s">
        <v>1731</v>
      </c>
      <c r="G2489">
        <v>64.150000000000006</v>
      </c>
      <c r="H2489">
        <v>69.72</v>
      </c>
      <c r="I2489">
        <v>69.73</v>
      </c>
      <c r="J2489">
        <v>-0.01</v>
      </c>
    </row>
    <row r="2490" spans="1:10" x14ac:dyDescent="0.3">
      <c r="A2490" t="str">
        <f>HYPERLINK("https://us2.cloudbeds.com/connect/10074733072513#/reservations/30663722033347?display=YQGA5Y6J6&amp;reservation_id=30663722033347", "YQGA5Y6J6")</f>
        <v>YQGA5Y6J6</v>
      </c>
      <c r="B2490" t="s">
        <v>10</v>
      </c>
      <c r="C2490" t="s">
        <v>14</v>
      </c>
      <c r="D2490" t="str">
        <f>HYPERLINK("https://us2.cloudbeds.com/connect/10074733072513#/reservations/30663722033347?display=Amy%20Deraad&amp;reservation_id=30663722033347&amp;guest_id=30663722029308", "Amy Deraad")</f>
        <v>Amy Deraad</v>
      </c>
      <c r="E2490" t="s">
        <v>1778</v>
      </c>
      <c r="F2490" t="s">
        <v>1779</v>
      </c>
      <c r="G2490">
        <v>174.4</v>
      </c>
      <c r="H2490">
        <v>189.56</v>
      </c>
      <c r="I2490">
        <v>189.57</v>
      </c>
      <c r="J2490">
        <v>-0.01</v>
      </c>
    </row>
    <row r="2491" spans="1:10" x14ac:dyDescent="0.3">
      <c r="A2491" t="str">
        <f>HYPERLINK("https://us2.cloudbeds.com/connect/10074733072513#/reservations/30662676476118?display=YQFGF00UQ&amp;reservation_id=30662676476118", "YQFGF00UQ")</f>
        <v>YQFGF00UQ</v>
      </c>
      <c r="B2491" t="s">
        <v>10</v>
      </c>
      <c r="C2491" t="s">
        <v>17</v>
      </c>
      <c r="D2491" t="str">
        <f>HYPERLINK("https://us2.cloudbeds.com/connect/10074733072513#/reservations/30662676476118?display=John%20Stone&amp;reservation_id=30662676476118&amp;guest_id=30662676476116", "John Stone")</f>
        <v>John Stone</v>
      </c>
      <c r="E2491" t="s">
        <v>1780</v>
      </c>
      <c r="F2491" t="s">
        <v>1768</v>
      </c>
      <c r="G2491">
        <v>276.3</v>
      </c>
      <c r="H2491">
        <v>300.33</v>
      </c>
      <c r="I2491">
        <v>300.33999999999997</v>
      </c>
      <c r="J2491">
        <v>-0.01</v>
      </c>
    </row>
    <row r="2492" spans="1:10" x14ac:dyDescent="0.3">
      <c r="A2492" t="str">
        <f>HYPERLINK("https://us2.cloudbeds.com/connect/10074733072513#/reservations/30662136721621?display=YQF2YSXJU&amp;reservation_id=30662136721621", "YQF2YSXJU")</f>
        <v>YQF2YSXJU</v>
      </c>
      <c r="B2492" t="s">
        <v>10</v>
      </c>
      <c r="C2492" t="s">
        <v>14</v>
      </c>
      <c r="D2492" t="str">
        <f>HYPERLINK("https://us2.cloudbeds.com/connect/10074733072513#/reservations/30662136721621?display=Laura%20Loban&amp;reservation_id=30662136721621&amp;guest_id=30662136721610", "Laura Loban")</f>
        <v>Laura Loban</v>
      </c>
      <c r="E2492" t="s">
        <v>1781</v>
      </c>
      <c r="F2492" t="s">
        <v>1782</v>
      </c>
      <c r="G2492">
        <v>222.4</v>
      </c>
      <c r="H2492">
        <v>241.74</v>
      </c>
      <c r="I2492">
        <v>241.75</v>
      </c>
      <c r="J2492">
        <v>-0.01</v>
      </c>
    </row>
    <row r="2493" spans="1:10" x14ac:dyDescent="0.3">
      <c r="A2493" t="str">
        <f>HYPERLINK("https://us2.cloudbeds.com/connect/10074733072513#/reservations/30663738998991?display=YQGAJV9MK&amp;reservation_id=30663738998991", "YQGAJV9MK")</f>
        <v>YQGAJV9MK</v>
      </c>
      <c r="B2493" t="s">
        <v>10</v>
      </c>
      <c r="C2493" t="s">
        <v>11</v>
      </c>
      <c r="D2493" t="str">
        <f>HYPERLINK("https://us2.cloudbeds.com/connect/10074733072513#/reservations/30663738998991?display=Karla%20Kennedy&amp;reservation_id=30663738998991&amp;guest_id=30663738998980", "Karla Kennedy")</f>
        <v>Karla Kennedy</v>
      </c>
      <c r="E2493" t="s">
        <v>1783</v>
      </c>
      <c r="F2493" t="s">
        <v>1779</v>
      </c>
      <c r="G2493">
        <v>174.4</v>
      </c>
      <c r="H2493">
        <v>189.56</v>
      </c>
      <c r="I2493">
        <v>189.57</v>
      </c>
      <c r="J2493">
        <v>-0.01</v>
      </c>
    </row>
    <row r="2494" spans="1:10" x14ac:dyDescent="0.3">
      <c r="A2494" t="str">
        <f>HYPERLINK("https://us2.cloudbeds.com/connect/10074733072513#/reservations/30664063340677?display=YQGXTEJ3H&amp;reservation_id=30664063340677", "YQGXTEJ3H")</f>
        <v>YQGXTEJ3H</v>
      </c>
      <c r="B2494" t="s">
        <v>10</v>
      </c>
      <c r="C2494" t="s">
        <v>11</v>
      </c>
      <c r="D2494" t="str">
        <f>HYPERLINK("https://us2.cloudbeds.com/connect/10074733072513#/reservations/30664063340677?display=Gustavo%20Rizzo&amp;reservation_id=30664063340677&amp;guest_id=30664063340674", "Gustavo Rizzo")</f>
        <v>Gustavo Rizzo</v>
      </c>
      <c r="E2494" t="s">
        <v>1784</v>
      </c>
      <c r="F2494" t="s">
        <v>1779</v>
      </c>
      <c r="G2494">
        <v>174.4</v>
      </c>
      <c r="H2494">
        <v>189.56</v>
      </c>
      <c r="I2494">
        <v>189.57</v>
      </c>
      <c r="J2494">
        <v>-0.01</v>
      </c>
    </row>
    <row r="2495" spans="1:10" x14ac:dyDescent="0.3">
      <c r="A2495" t="str">
        <f>HYPERLINK("https://us2.cloudbeds.com/connect/10074733072513#/reservations/30662527807629?display=YQFCYY3J2&amp;reservation_id=30662527807629", "YQFCYY3J2")</f>
        <v>YQFCYY3J2</v>
      </c>
      <c r="B2495" t="s">
        <v>10</v>
      </c>
      <c r="C2495" t="s">
        <v>42</v>
      </c>
      <c r="D2495" t="str">
        <f>HYPERLINK("https://us2.cloudbeds.com/connect/10074733072513#/reservations/30662527807629?display=Gene%20Neumann&amp;reservation_id=30662527807629&amp;guest_id=30662522814705", "Gene Neumann")</f>
        <v>Gene Neumann</v>
      </c>
      <c r="E2495" t="s">
        <v>1785</v>
      </c>
      <c r="F2495" t="s">
        <v>1786</v>
      </c>
      <c r="G2495">
        <v>445.5</v>
      </c>
      <c r="H2495">
        <v>484.25</v>
      </c>
      <c r="I2495">
        <v>484.26</v>
      </c>
      <c r="J2495">
        <v>-0.01</v>
      </c>
    </row>
    <row r="2496" spans="1:10" x14ac:dyDescent="0.3">
      <c r="A2496" t="str">
        <f>HYPERLINK("https://us2.cloudbeds.com/connect/10074733072513#/reservations/30662190440608?display=YQF415CB0&amp;reservation_id=30662190440608", "YQF415CB0")</f>
        <v>YQF415CB0</v>
      </c>
      <c r="B2496" t="s">
        <v>10</v>
      </c>
      <c r="C2496" t="s">
        <v>42</v>
      </c>
      <c r="D2496" t="str">
        <f>HYPERLINK("https://us2.cloudbeds.com/connect/10074733072513#/reservations/30662190440608?display=Heidi%20Neumann&amp;reservation_id=30662190440608&amp;guest_id=30662190440597", "Heidi Neumann")</f>
        <v>Heidi Neumann</v>
      </c>
      <c r="E2496" t="s">
        <v>1789</v>
      </c>
      <c r="F2496" t="s">
        <v>1697</v>
      </c>
      <c r="G2496">
        <v>356.4</v>
      </c>
      <c r="H2496">
        <v>387.4</v>
      </c>
      <c r="I2496">
        <v>387.41</v>
      </c>
      <c r="J2496">
        <v>-0.01</v>
      </c>
    </row>
    <row r="2497" spans="1:10" x14ac:dyDescent="0.3">
      <c r="A2497" t="str">
        <f>HYPERLINK("https://us2.cloudbeds.com/connect/10074733072513#/reservations/30664114479340?display=YQGK6XJD0&amp;reservation_id=30664114479340", "YQGK6XJD0")</f>
        <v>YQGK6XJD0</v>
      </c>
      <c r="B2497" t="s">
        <v>10</v>
      </c>
      <c r="C2497" t="s">
        <v>11</v>
      </c>
      <c r="D2497" t="str">
        <f>HYPERLINK("https://us2.cloudbeds.com/connect/10074733072513#/reservations/30664114479340?display=Allen%20W%20Bennett&amp;reservation_id=30664114479340&amp;guest_id=30664114479337", "Allen W Bennett")</f>
        <v>Allen W Bennett</v>
      </c>
      <c r="E2497" t="s">
        <v>1790</v>
      </c>
      <c r="F2497" t="s">
        <v>1788</v>
      </c>
      <c r="G2497">
        <v>64.150000000000006</v>
      </c>
      <c r="H2497">
        <v>69.72</v>
      </c>
      <c r="I2497">
        <v>69.73</v>
      </c>
      <c r="J2497">
        <v>-0.01</v>
      </c>
    </row>
    <row r="2498" spans="1:10" x14ac:dyDescent="0.3">
      <c r="A2498" t="str">
        <f>HYPERLINK("https://us2.cloudbeds.com/connect/10074733072513#/reservations/30664219218128?display=YQGMST38M&amp;reservation_id=30664219218128", "YQGMST38M")</f>
        <v>YQGMST38M</v>
      </c>
      <c r="B2498" t="s">
        <v>10</v>
      </c>
      <c r="C2498" t="s">
        <v>11</v>
      </c>
      <c r="D2498" t="str">
        <f>HYPERLINK("https://us2.cloudbeds.com/connect/10074733072513#/reservations/30664219218128?display=Cole%20Scherbenske&amp;reservation_id=30664219218128&amp;guest_id=30664219218126", "Cole Scherbenske")</f>
        <v>Cole Scherbenske</v>
      </c>
      <c r="E2498" t="s">
        <v>1792</v>
      </c>
      <c r="F2498" t="s">
        <v>1754</v>
      </c>
      <c r="G2498">
        <v>64.150000000000006</v>
      </c>
      <c r="H2498">
        <v>69.72</v>
      </c>
      <c r="I2498">
        <v>69.73</v>
      </c>
      <c r="J2498">
        <v>-0.01</v>
      </c>
    </row>
    <row r="2499" spans="1:10" x14ac:dyDescent="0.3">
      <c r="A2499" t="str">
        <f>HYPERLINK("https://us2.cloudbeds.com/connect/10074733072513#/reservations/30664094990535?display=YQGJN49B5&amp;reservation_id=30664094990535", "YQGJN49B5")</f>
        <v>YQGJN49B5</v>
      </c>
      <c r="B2499" t="s">
        <v>10</v>
      </c>
      <c r="C2499" t="s">
        <v>20</v>
      </c>
      <c r="D2499" t="str">
        <f>HYPERLINK("https://us2.cloudbeds.com/connect/10074733072513#/reservations/30664094990535?display=Timothy%20Larson&amp;reservation_id=30664094990535&amp;guest_id=30664090603675", "Timothy Larson")</f>
        <v>Timothy Larson</v>
      </c>
      <c r="E2499" t="s">
        <v>1793</v>
      </c>
      <c r="F2499" t="s">
        <v>1779</v>
      </c>
      <c r="G2499">
        <v>103.2</v>
      </c>
      <c r="H2499">
        <v>112.17</v>
      </c>
      <c r="I2499">
        <v>112.18</v>
      </c>
      <c r="J2499">
        <v>-0.01</v>
      </c>
    </row>
    <row r="2500" spans="1:10" x14ac:dyDescent="0.3">
      <c r="A2500" t="str">
        <f>HYPERLINK("https://us2.cloudbeds.com/connect/10074733072513#/reservations/30662739435740?display=YQFX22W34&amp;reservation_id=30662739435740", "YQFX22W34")</f>
        <v>YQFX22W34</v>
      </c>
      <c r="B2500" t="s">
        <v>10</v>
      </c>
      <c r="C2500" t="s">
        <v>42</v>
      </c>
      <c r="D2500" t="str">
        <f>HYPERLINK("https://us2.cloudbeds.com/connect/10074733072513#/reservations/30662739435740?display=Christine%20Sanders&amp;reservation_id=30662739435740&amp;guest_id=30649604915332", "Christine Sanders")</f>
        <v>Christine Sanders</v>
      </c>
      <c r="E2500" t="s">
        <v>593</v>
      </c>
      <c r="F2500" t="s">
        <v>1796</v>
      </c>
      <c r="G2500">
        <v>285.3</v>
      </c>
      <c r="H2500">
        <v>310.11</v>
      </c>
      <c r="I2500">
        <v>310.12</v>
      </c>
      <c r="J2500">
        <v>-0.01</v>
      </c>
    </row>
    <row r="2501" spans="1:10" x14ac:dyDescent="0.3">
      <c r="A2501" t="str">
        <f>HYPERLINK("https://us2.cloudbeds.com/connect/10074733072513#/reservations/30662045814953?display=YQF0B6VDD&amp;reservation_id=30662045814953", "YQF0B6VDD")</f>
        <v>YQF0B6VDD</v>
      </c>
      <c r="B2501" t="s">
        <v>10</v>
      </c>
      <c r="C2501" t="s">
        <v>14</v>
      </c>
      <c r="D2501" t="str">
        <f>HYPERLINK("https://us2.cloudbeds.com/connect/10074733072513#/reservations/30662045814953?display=Maximo%20Castillo&amp;reservation_id=30662045814953&amp;guest_id=30662045814951", "Maximo Castillo")</f>
        <v>Maximo Castillo</v>
      </c>
      <c r="E2501" t="s">
        <v>1797</v>
      </c>
      <c r="F2501" t="s">
        <v>1788</v>
      </c>
      <c r="G2501">
        <v>64.150000000000006</v>
      </c>
      <c r="H2501">
        <v>69.72</v>
      </c>
      <c r="I2501">
        <v>69.73</v>
      </c>
      <c r="J2501">
        <v>-0.01</v>
      </c>
    </row>
    <row r="2502" spans="1:10" x14ac:dyDescent="0.3">
      <c r="A2502" t="str">
        <f>HYPERLINK("https://us2.cloudbeds.com/connect/10074733072513#/reservations/30662146932945?display=YQF2UFNCW&amp;reservation_id=30662146932945", "YQF2UFNCW")</f>
        <v>YQF2UFNCW</v>
      </c>
      <c r="B2502" t="s">
        <v>10</v>
      </c>
      <c r="C2502" t="s">
        <v>11</v>
      </c>
      <c r="D2502" t="str">
        <f>HYPERLINK("https://us2.cloudbeds.com/connect/10074733072513#/reservations/30662146932945?display=Julia%20L%20Arends&amp;reservation_id=30662146932945&amp;guest_id=30662146932940", "Julia L Arends")</f>
        <v>Julia L Arends</v>
      </c>
      <c r="E2502" t="s">
        <v>1798</v>
      </c>
      <c r="F2502" t="s">
        <v>1782</v>
      </c>
      <c r="G2502">
        <v>64.150000000000006</v>
      </c>
      <c r="H2502">
        <v>69.72</v>
      </c>
      <c r="I2502">
        <v>69.73</v>
      </c>
      <c r="J2502">
        <v>-0.01</v>
      </c>
    </row>
    <row r="2503" spans="1:10" x14ac:dyDescent="0.3">
      <c r="A2503" t="str">
        <f>HYPERLINK("https://us2.cloudbeds.com/connect/10074733072513#/reservations/30662144671883?display=YQF2SXQ3V&amp;reservation_id=30662144671883", "YQF2SXQ3V")</f>
        <v>YQF2SXQ3V</v>
      </c>
      <c r="B2503" t="s">
        <v>10</v>
      </c>
      <c r="C2503" t="s">
        <v>11</v>
      </c>
      <c r="D2503" t="str">
        <f>HYPERLINK("https://us2.cloudbeds.com/connect/10074733072513#/reservations/30662144671883?display=Erica%20Yamamoto&amp;reservation_id=30662144671883&amp;guest_id=30662144671878", "Erica Yamamoto")</f>
        <v>Erica Yamamoto</v>
      </c>
      <c r="E2503" t="s">
        <v>1799</v>
      </c>
      <c r="F2503" t="s">
        <v>1782</v>
      </c>
      <c r="G2503">
        <v>87.2</v>
      </c>
      <c r="H2503">
        <v>94.78</v>
      </c>
      <c r="I2503">
        <v>94.79</v>
      </c>
      <c r="J2503">
        <v>-0.01</v>
      </c>
    </row>
    <row r="2504" spans="1:10" x14ac:dyDescent="0.3">
      <c r="A2504" t="str">
        <f>HYPERLINK("https://us2.cloudbeds.com/connect/10074733072513#/reservations/30662185222341?display=YQF3TP5HN&amp;reservation_id=30662185222341", "YQF3TP5HN")</f>
        <v>YQF3TP5HN</v>
      </c>
      <c r="B2504" t="s">
        <v>10</v>
      </c>
      <c r="C2504" t="s">
        <v>11</v>
      </c>
      <c r="D2504" t="str">
        <f>HYPERLINK("https://us2.cloudbeds.com/connect/10074733072513#/reservations/30662185222341?display=Alex%20Mcglothlen&amp;reservation_id=30662185222341&amp;guest_id=30648491585743", "Alex Mcglothlen")</f>
        <v>Alex Mcglothlen</v>
      </c>
      <c r="E2504" t="s">
        <v>583</v>
      </c>
      <c r="F2504" t="s">
        <v>1800</v>
      </c>
      <c r="G2504">
        <v>64.150000000000006</v>
      </c>
      <c r="H2504">
        <v>69.72</v>
      </c>
      <c r="I2504">
        <v>69.73</v>
      </c>
      <c r="J2504">
        <v>-0.01</v>
      </c>
    </row>
    <row r="2505" spans="1:10" x14ac:dyDescent="0.3">
      <c r="A2505" t="str">
        <f>HYPERLINK("https://us2.cloudbeds.com/connect/10074733072513#/reservations/30663084835014?display=YQFQTB74Q&amp;reservation_id=30663084835014", "YQFQTB74Q")</f>
        <v>YQFQTB74Q</v>
      </c>
      <c r="B2505" t="s">
        <v>10</v>
      </c>
      <c r="C2505" t="s">
        <v>11</v>
      </c>
      <c r="D2505" t="str">
        <f>HYPERLINK("https://us2.cloudbeds.com/connect/10074733072513#/reservations/30663084835014?display=Cindy%20Jacob&amp;reservation_id=30663084835014&amp;guest_id=30663084835011", "Cindy Jacob")</f>
        <v>Cindy Jacob</v>
      </c>
      <c r="E2505" t="s">
        <v>1801</v>
      </c>
      <c r="F2505" t="s">
        <v>1802</v>
      </c>
      <c r="G2505">
        <v>174.4</v>
      </c>
      <c r="H2505">
        <v>189.56</v>
      </c>
      <c r="I2505">
        <v>189.57</v>
      </c>
      <c r="J2505">
        <v>-0.01</v>
      </c>
    </row>
    <row r="2506" spans="1:10" x14ac:dyDescent="0.3">
      <c r="A2506" t="str">
        <f>HYPERLINK("https://us2.cloudbeds.com/connect/10074733072513#/reservations/30663080722579?display=YQFQPSPQX&amp;reservation_id=30663080722579", "YQFQPSPQX")</f>
        <v>YQFQPSPQX</v>
      </c>
      <c r="B2506" t="s">
        <v>10</v>
      </c>
      <c r="C2506" t="s">
        <v>20</v>
      </c>
      <c r="D2506" t="str">
        <f>HYPERLINK("https://us2.cloudbeds.com/connect/10074733072513#/reservations/30663080722579?display=Richard%20Kopystynsky&amp;reservation_id=30663080722579&amp;guest_id=30663075057862", "Richard Kopystynsky")</f>
        <v>Richard Kopystynsky</v>
      </c>
      <c r="E2506" t="s">
        <v>1803</v>
      </c>
      <c r="F2506" t="s">
        <v>1802</v>
      </c>
      <c r="G2506">
        <v>276.3</v>
      </c>
      <c r="H2506">
        <v>300.33</v>
      </c>
      <c r="I2506">
        <v>300.33999999999997</v>
      </c>
      <c r="J2506">
        <v>-0.01</v>
      </c>
    </row>
    <row r="2507" spans="1:10" x14ac:dyDescent="0.3">
      <c r="A2507" t="str">
        <f>HYPERLINK("https://us2.cloudbeds.com/connect/10074733072513#/reservations/30661850730733?display=YQESBNENC&amp;reservation_id=30661850730733", "YQESBNENC")</f>
        <v>YQESBNENC</v>
      </c>
      <c r="B2507" t="s">
        <v>10</v>
      </c>
      <c r="C2507" t="s">
        <v>14</v>
      </c>
      <c r="D2507" t="str">
        <f>HYPERLINK("https://us2.cloudbeds.com/connect/10074733072513#/reservations/30661850730733?display=Scott%20Saalfeld&amp;reservation_id=30661850730733&amp;guest_id=30661839716499", "Scott Saalfeld")</f>
        <v>Scott Saalfeld</v>
      </c>
      <c r="E2507" t="s">
        <v>1319</v>
      </c>
      <c r="F2507" t="s">
        <v>1804</v>
      </c>
      <c r="G2507">
        <v>72.17</v>
      </c>
      <c r="H2507">
        <v>78.44</v>
      </c>
      <c r="I2507">
        <v>78.45</v>
      </c>
      <c r="J2507">
        <v>-0.01</v>
      </c>
    </row>
    <row r="2508" spans="1:10" x14ac:dyDescent="0.3">
      <c r="A2508" t="str">
        <f>HYPERLINK("https://us2.cloudbeds.com/connect/10074733072513#/reservations/30662194978949?display=YQF44WYPG&amp;reservation_id=30662194978949", "YQF44WYPG")</f>
        <v>YQF44WYPG</v>
      </c>
      <c r="B2508" t="s">
        <v>10</v>
      </c>
      <c r="C2508" t="s">
        <v>14</v>
      </c>
      <c r="D2508" t="str">
        <f>HYPERLINK("https://us2.cloudbeds.com/connect/10074733072513#/reservations/30662194978949?display=Wei%20Wu&amp;reservation_id=30662194978949&amp;guest_id=30662190444687", "Wei Wu")</f>
        <v>Wei Wu</v>
      </c>
      <c r="E2508" t="s">
        <v>1805</v>
      </c>
      <c r="F2508" t="s">
        <v>1800</v>
      </c>
      <c r="G2508">
        <v>72.17</v>
      </c>
      <c r="H2508">
        <v>78.44</v>
      </c>
      <c r="I2508">
        <v>78.45</v>
      </c>
      <c r="J2508">
        <v>-0.01</v>
      </c>
    </row>
    <row r="2509" spans="1:10" x14ac:dyDescent="0.3">
      <c r="A2509" t="str">
        <f>HYPERLINK("https://us2.cloudbeds.com/connect/10074733072513#/reservations/30662157189310?display=YQF3643HU&amp;reservation_id=30662157189310", "YQF3643HU")</f>
        <v>YQF3643HU</v>
      </c>
      <c r="B2509" t="s">
        <v>10</v>
      </c>
      <c r="C2509" t="s">
        <v>14</v>
      </c>
      <c r="D2509" t="str">
        <f>HYPERLINK("https://us2.cloudbeds.com/connect/10074733072513#/reservations/30662157189310?display=David%20Kitchen&amp;reservation_id=30662157189310&amp;guest_id=30662157189306", "David Kitchen")</f>
        <v>David Kitchen</v>
      </c>
      <c r="E2509" t="s">
        <v>1806</v>
      </c>
      <c r="F2509" t="s">
        <v>1782</v>
      </c>
      <c r="G2509">
        <v>64.150000000000006</v>
      </c>
      <c r="H2509">
        <v>69.72</v>
      </c>
      <c r="I2509">
        <v>69.73</v>
      </c>
      <c r="J2509">
        <v>-0.01</v>
      </c>
    </row>
    <row r="2510" spans="1:10" x14ac:dyDescent="0.3">
      <c r="A2510" t="str">
        <f>HYPERLINK("https://us2.cloudbeds.com/connect/10074733072513#/reservations/30664587792555?display=YQGW9M7EN&amp;reservation_id=30664587792555", "YQGW9M7EN")</f>
        <v>YQGW9M7EN</v>
      </c>
      <c r="B2510" t="s">
        <v>10</v>
      </c>
      <c r="C2510" t="s">
        <v>14</v>
      </c>
      <c r="D2510" t="str">
        <f>HYPERLINK("https://us2.cloudbeds.com/connect/10074733072513#/reservations/30664587792555?display=Mark%20Suarez&amp;reservation_id=30664587792555&amp;guest_id=30664578384091", "Mark Suarez")</f>
        <v>Mark Suarez</v>
      </c>
      <c r="E2510" t="s">
        <v>1807</v>
      </c>
      <c r="F2510" t="s">
        <v>934</v>
      </c>
      <c r="G2510">
        <v>417.95</v>
      </c>
      <c r="H2510">
        <v>454.3</v>
      </c>
      <c r="I2510">
        <v>454.31</v>
      </c>
      <c r="J2510">
        <v>-0.01</v>
      </c>
    </row>
    <row r="2511" spans="1:10" x14ac:dyDescent="0.3">
      <c r="A2511" t="str">
        <f>HYPERLINK("https://us2.cloudbeds.com/connect/10074733072513#/reservations/30662882795684?display=YQFYNW5ZS&amp;reservation_id=30662882795684", "YQFYNW5ZS")</f>
        <v>YQFYNW5ZS</v>
      </c>
      <c r="B2511" t="s">
        <v>10</v>
      </c>
      <c r="C2511" t="s">
        <v>14</v>
      </c>
      <c r="D2511" t="str">
        <f>HYPERLINK("https://us2.cloudbeds.com/connect/10074733072513#/reservations/30662882795684?display=Wei%20Wu&amp;reservation_id=30662882795684&amp;guest_id=30662190444687", "Wei Wu")</f>
        <v>Wei Wu</v>
      </c>
      <c r="E2511" t="s">
        <v>1805</v>
      </c>
      <c r="F2511" t="s">
        <v>1795</v>
      </c>
      <c r="G2511">
        <v>64.150000000000006</v>
      </c>
      <c r="H2511">
        <v>69.72</v>
      </c>
      <c r="I2511">
        <v>69.73</v>
      </c>
      <c r="J2511">
        <v>-0.01</v>
      </c>
    </row>
    <row r="2512" spans="1:10" x14ac:dyDescent="0.3">
      <c r="A2512" t="str">
        <f>HYPERLINK("https://us2.cloudbeds.com/connect/10074733072513#/reservations/30663496237291?display=YQG4D830F&amp;reservation_id=30663496237291", "YQG4D830F")</f>
        <v>YQG4D830F</v>
      </c>
      <c r="B2512" t="s">
        <v>10</v>
      </c>
      <c r="C2512" t="s">
        <v>11</v>
      </c>
      <c r="D2512" t="str">
        <f>HYPERLINK("https://us2.cloudbeds.com/connect/10074733072513#/reservations/30663496237291?display=Pamela%20Rider&amp;reservation_id=30663496237291&amp;guest_id=30663496237286", "Pamela Rider")</f>
        <v>Pamela Rider</v>
      </c>
      <c r="E2512" t="s">
        <v>1808</v>
      </c>
      <c r="F2512" t="s">
        <v>1809</v>
      </c>
      <c r="G2512">
        <v>64.150000000000006</v>
      </c>
      <c r="H2512">
        <v>69.72</v>
      </c>
      <c r="I2512">
        <v>69.73</v>
      </c>
      <c r="J2512">
        <v>-0.01</v>
      </c>
    </row>
    <row r="2513" spans="1:10" x14ac:dyDescent="0.3">
      <c r="A2513" t="str">
        <f>HYPERLINK("https://us2.cloudbeds.com/connect/10074733072513#/reservations/30662893781231?display=YQFM07SG7&amp;reservation_id=30662893781231", "YQFM07SG7")</f>
        <v>YQFM07SG7</v>
      </c>
      <c r="B2513" t="s">
        <v>10</v>
      </c>
      <c r="C2513" t="s">
        <v>14</v>
      </c>
      <c r="D2513" t="str">
        <f>HYPERLINK("https://us2.cloudbeds.com/connect/10074733072513#/reservations/30662893781231?display=Alexander%20Hicklin&amp;reservation_id=30662893781231&amp;guest_id=30660235276435", "Alexander Hicklin")</f>
        <v>Alexander Hicklin</v>
      </c>
      <c r="E2513" t="s">
        <v>1719</v>
      </c>
      <c r="F2513" t="s">
        <v>1795</v>
      </c>
      <c r="G2513">
        <v>64.150000000000006</v>
      </c>
      <c r="H2513">
        <v>69.72</v>
      </c>
      <c r="I2513">
        <v>69.73</v>
      </c>
      <c r="J2513">
        <v>-0.01</v>
      </c>
    </row>
    <row r="2514" spans="1:10" x14ac:dyDescent="0.3">
      <c r="A2514" t="str">
        <f>HYPERLINK("https://us2.cloudbeds.com/connect/10074733072513#/reservations/30663101055106?display=YQFRA0XKN&amp;reservation_id=30663101055106", "YQFRA0XKN")</f>
        <v>YQFRA0XKN</v>
      </c>
      <c r="B2514" t="s">
        <v>10</v>
      </c>
      <c r="C2514" t="s">
        <v>20</v>
      </c>
      <c r="D2514" t="str">
        <f>HYPERLINK("https://us2.cloudbeds.com/connect/10074733072513#/reservations/30663101055106?display=Connie%20Sperling&amp;reservation_id=30663101055106&amp;guest_id=30663101051070", "Connie Sperling")</f>
        <v>Connie Sperling</v>
      </c>
      <c r="E2514" t="s">
        <v>1810</v>
      </c>
      <c r="F2514" t="s">
        <v>1802</v>
      </c>
      <c r="G2514">
        <v>87.2</v>
      </c>
      <c r="H2514">
        <v>94.78</v>
      </c>
      <c r="I2514">
        <v>94.79</v>
      </c>
      <c r="J2514">
        <v>-0.01</v>
      </c>
    </row>
    <row r="2515" spans="1:10" x14ac:dyDescent="0.3">
      <c r="A2515" t="str">
        <f>HYPERLINK("https://us2.cloudbeds.com/connect/10074733072513#/reservations/30660588716172?display=YQDT3X0WT&amp;reservation_id=30660588716172", "YQDT3X0WT")</f>
        <v>YQDT3X0WT</v>
      </c>
      <c r="B2515" t="s">
        <v>10</v>
      </c>
      <c r="C2515" t="s">
        <v>11</v>
      </c>
      <c r="D2515" t="str">
        <f>HYPERLINK("https://us2.cloudbeds.com/connect/10074733072513#/reservations/30660588716172?display=Kevin%20Mattox&amp;reservation_id=30660588716172&amp;guest_id=30660588716170", "Kevin Mattox")</f>
        <v>Kevin Mattox</v>
      </c>
      <c r="E2515" t="s">
        <v>1811</v>
      </c>
      <c r="F2515" t="s">
        <v>1812</v>
      </c>
      <c r="G2515">
        <v>64.150000000000006</v>
      </c>
      <c r="H2515">
        <v>69.72</v>
      </c>
      <c r="I2515">
        <v>69.73</v>
      </c>
      <c r="J2515">
        <v>-0.01</v>
      </c>
    </row>
    <row r="2516" spans="1:10" x14ac:dyDescent="0.3">
      <c r="A2516" t="str">
        <f>HYPERLINK("https://us2.cloudbeds.com/connect/10074733072513#/reservations/30661806158053?display=YQER744Q3&amp;reservation_id=30661806158053", "YQER744Q3")</f>
        <v>YQER744Q3</v>
      </c>
      <c r="B2516" t="s">
        <v>10</v>
      </c>
      <c r="C2516" t="s">
        <v>14</v>
      </c>
      <c r="D2516" t="str">
        <f>HYPERLINK("https://us2.cloudbeds.com/connect/10074733072513#/reservations/30661806158053?display=Kimberly%20Dalin&amp;reservation_id=30661806158053&amp;guest_id=30661806158051", "Kimberly Dalin")</f>
        <v>Kimberly Dalin</v>
      </c>
      <c r="E2516" t="s">
        <v>1813</v>
      </c>
      <c r="F2516" t="s">
        <v>1796</v>
      </c>
      <c r="G2516">
        <v>90.07</v>
      </c>
      <c r="H2516">
        <v>97.9</v>
      </c>
      <c r="I2516">
        <v>97.91</v>
      </c>
      <c r="J2516">
        <v>-0.01</v>
      </c>
    </row>
    <row r="2517" spans="1:10" x14ac:dyDescent="0.3">
      <c r="A2517" t="str">
        <f>HYPERLINK("https://us2.cloudbeds.com/connect/10074733072513#/reservations/30663009431778?display=YQFZVP0B8&amp;reservation_id=30663009431778", "YQFZVP0B8")</f>
        <v>YQFZVP0B8</v>
      </c>
      <c r="B2517" t="s">
        <v>10</v>
      </c>
      <c r="C2517" t="s">
        <v>14</v>
      </c>
      <c r="D2517" t="str">
        <f>HYPERLINK("https://us2.cloudbeds.com/connect/10074733072513#/reservations/30663009431778?display=Alexander%20Hicklin&amp;reservation_id=30663009431778&amp;guest_id=30660235276435", "Alexander Hicklin")</f>
        <v>Alexander Hicklin</v>
      </c>
      <c r="E2517" t="s">
        <v>1719</v>
      </c>
      <c r="F2517" t="s">
        <v>1745</v>
      </c>
      <c r="G2517">
        <v>64.150000000000006</v>
      </c>
      <c r="H2517">
        <v>69.72</v>
      </c>
      <c r="I2517">
        <v>69.73</v>
      </c>
      <c r="J2517">
        <v>-0.01</v>
      </c>
    </row>
    <row r="2518" spans="1:10" x14ac:dyDescent="0.3">
      <c r="A2518" t="str">
        <f>HYPERLINK("https://us2.cloudbeds.com/connect/10074733072513#/reservations/30663116726469?display=YQFRN7Y7H&amp;reservation_id=30663116726469", "YQFRN7Y7H")</f>
        <v>YQFRN7Y7H</v>
      </c>
      <c r="B2518" t="s">
        <v>10</v>
      </c>
      <c r="C2518" t="s">
        <v>20</v>
      </c>
      <c r="D2518" t="str">
        <f>HYPERLINK("https://us2.cloudbeds.com/connect/10074733072513#/reservations/30663116726469?display=Treasure%20Evans&amp;reservation_id=30663116726469&amp;guest_id=30663116726467", "Treasure Evans")</f>
        <v>Treasure Evans</v>
      </c>
      <c r="E2518" t="s">
        <v>1814</v>
      </c>
      <c r="F2518" t="s">
        <v>1802</v>
      </c>
      <c r="G2518">
        <v>87.2</v>
      </c>
      <c r="H2518">
        <v>94.78</v>
      </c>
      <c r="I2518">
        <v>94.79</v>
      </c>
      <c r="J2518">
        <v>-0.01</v>
      </c>
    </row>
    <row r="2519" spans="1:10" x14ac:dyDescent="0.3">
      <c r="A2519" t="str">
        <f>HYPERLINK("https://us2.cloudbeds.com/connect/10074733072513#/reservations/30660575584455?display=YQDSPFKG2&amp;reservation_id=30660575584455", "YQDSPFKG2")</f>
        <v>YQDSPFKG2</v>
      </c>
      <c r="B2519" t="s">
        <v>10</v>
      </c>
      <c r="C2519" t="s">
        <v>14</v>
      </c>
      <c r="D2519" t="str">
        <f>HYPERLINK("https://us2.cloudbeds.com/connect/10074733072513#/reservations/30660575584455?display=Sharon%20Beckmann&amp;reservation_id=30660575584455&amp;guest_id=30660575584453", "Sharon Beckmann")</f>
        <v>Sharon Beckmann</v>
      </c>
      <c r="E2519" t="s">
        <v>1807</v>
      </c>
      <c r="F2519" t="s">
        <v>1812</v>
      </c>
      <c r="G2519">
        <v>64.150000000000006</v>
      </c>
      <c r="H2519">
        <v>69.72</v>
      </c>
      <c r="I2519">
        <v>69.73</v>
      </c>
      <c r="J2519">
        <v>-0.01</v>
      </c>
    </row>
    <row r="2520" spans="1:10" x14ac:dyDescent="0.3">
      <c r="A2520" t="str">
        <f>HYPERLINK("https://us2.cloudbeds.com/connect/10074733072513#/reservations/30664633806983?display=YQH0FFY9A&amp;reservation_id=30664633806983", "YQH0FFY9A")</f>
        <v>YQH0FFY9A</v>
      </c>
      <c r="B2520" t="s">
        <v>10</v>
      </c>
      <c r="C2520" t="s">
        <v>20</v>
      </c>
      <c r="D2520" t="str">
        <f>HYPERLINK("https://us2.cloudbeds.com/connect/10074733072513#/reservations/30664633806983?display=Neil%20Tobin&amp;reservation_id=30664633806983&amp;guest_id=30664627777759", "Neil Tobin")</f>
        <v>Neil Tobin</v>
      </c>
      <c r="E2520" t="s">
        <v>1815</v>
      </c>
      <c r="F2520" t="s">
        <v>1816</v>
      </c>
      <c r="G2520">
        <v>406.1</v>
      </c>
      <c r="H2520">
        <v>441.42</v>
      </c>
      <c r="I2520">
        <v>441.43</v>
      </c>
      <c r="J2520">
        <v>-0.01</v>
      </c>
    </row>
    <row r="2521" spans="1:10" x14ac:dyDescent="0.3">
      <c r="A2521" t="str">
        <f>HYPERLINK("https://us2.cloudbeds.com/connect/10074733072513#/reservations/30660595638491?display=YQDT9CYJ4&amp;reservation_id=30660595638491", "YQDT9CYJ4")</f>
        <v>YQDT9CYJ4</v>
      </c>
      <c r="B2521" t="s">
        <v>10</v>
      </c>
      <c r="C2521" t="s">
        <v>11</v>
      </c>
      <c r="D2521" t="str">
        <f>HYPERLINK("https://us2.cloudbeds.com/connect/10074733072513#/reservations/30660595638491?display=Robert%20Kaubisch&amp;reservation_id=30660595638491&amp;guest_id=30660588720266", "Robert Kaubisch")</f>
        <v>Robert Kaubisch</v>
      </c>
      <c r="E2521" t="s">
        <v>1817</v>
      </c>
      <c r="F2521" t="s">
        <v>1812</v>
      </c>
      <c r="G2521">
        <v>64.150000000000006</v>
      </c>
      <c r="H2521">
        <v>69.72</v>
      </c>
      <c r="I2521">
        <v>69.73</v>
      </c>
      <c r="J2521">
        <v>-0.01</v>
      </c>
    </row>
    <row r="2522" spans="1:10" x14ac:dyDescent="0.3">
      <c r="A2522" t="str">
        <f>HYPERLINK("https://us2.cloudbeds.com/connect/10074733072513#/reservations/30662281515229?display=YQF6BVYP0&amp;reservation_id=30662281515229", "YQF6BVYP0")</f>
        <v>YQF6BVYP0</v>
      </c>
      <c r="B2522" t="s">
        <v>10</v>
      </c>
      <c r="C2522" t="s">
        <v>11</v>
      </c>
      <c r="D2522" t="str">
        <f>HYPERLINK("https://us2.cloudbeds.com/connect/10074733072513#/reservations/30662281515229?display=Phillip%20Sprague&amp;reservation_id=30662281515229&amp;guest_id=30662281515224", "Phillip Sprague")</f>
        <v>Phillip Sprague</v>
      </c>
      <c r="E2522" t="s">
        <v>1818</v>
      </c>
      <c r="F2522" t="s">
        <v>934</v>
      </c>
      <c r="G2522">
        <v>66.209999999999994</v>
      </c>
      <c r="H2522">
        <v>71.959999999999994</v>
      </c>
      <c r="I2522">
        <v>71.97</v>
      </c>
      <c r="J2522">
        <v>-0.01</v>
      </c>
    </row>
    <row r="2523" spans="1:10" x14ac:dyDescent="0.3">
      <c r="A2523" t="str">
        <f>HYPERLINK("https://us2.cloudbeds.com/connect/10074733072513#/reservations/30663002456195?display=YQFZPSTRV&amp;reservation_id=30663002456195", "YQFZPSTRV")</f>
        <v>YQFZPSTRV</v>
      </c>
      <c r="B2523" t="s">
        <v>10</v>
      </c>
      <c r="C2523" t="s">
        <v>20</v>
      </c>
      <c r="D2523" t="str">
        <f>HYPERLINK("https://us2.cloudbeds.com/connect/10074733072513#/reservations/30663002456195?display=First%20Name%20Not%20Provided%20Cosato&amp;reservation_id=30663002456195&amp;guest_id=30663002456193", "First Name Not Provided Cosato")</f>
        <v>First Name Not Provided Cosato</v>
      </c>
      <c r="E2523" t="s">
        <v>1821</v>
      </c>
      <c r="F2523" t="s">
        <v>1591</v>
      </c>
      <c r="G2523">
        <v>250.2</v>
      </c>
      <c r="H2523">
        <v>271.95999999999998</v>
      </c>
      <c r="I2523">
        <v>271.97000000000003</v>
      </c>
      <c r="J2523">
        <v>-0.01</v>
      </c>
    </row>
    <row r="2524" spans="1:10" x14ac:dyDescent="0.3">
      <c r="A2524" t="str">
        <f>HYPERLINK("https://us2.cloudbeds.com/connect/10074733072513#/reservations/30664547262633?display=YQGV8GDT8&amp;reservation_id=30664547262633", "YQGV8GDT8")</f>
        <v>YQGV8GDT8</v>
      </c>
      <c r="B2524" t="s">
        <v>10</v>
      </c>
      <c r="C2524" t="s">
        <v>11</v>
      </c>
      <c r="D2524" t="str">
        <f>HYPERLINK("https://us2.cloudbeds.com/connect/10074733072513#/reservations/30664547262633?display=Charles%20Joseph%20Anderson&amp;reservation_id=30664547262633&amp;guest_id=30664547262631", "Charles Joseph Anderson")</f>
        <v>Charles Joseph Anderson</v>
      </c>
      <c r="E2524" t="s">
        <v>1824</v>
      </c>
      <c r="F2524" t="s">
        <v>934</v>
      </c>
      <c r="G2524">
        <v>66.209999999999994</v>
      </c>
      <c r="H2524">
        <v>71.959999999999994</v>
      </c>
      <c r="I2524">
        <v>71.97</v>
      </c>
      <c r="J2524">
        <v>-0.01</v>
      </c>
    </row>
    <row r="2525" spans="1:10" x14ac:dyDescent="0.3">
      <c r="A2525" t="str">
        <f>HYPERLINK("https://us2.cloudbeds.com/connect/10074733072513#/reservations/30662291763355?display=YQF6KJRB9&amp;reservation_id=30662291763355", "YQF6KJRB9")</f>
        <v>YQF6KJRB9</v>
      </c>
      <c r="B2525" t="s">
        <v>10</v>
      </c>
      <c r="C2525" t="s">
        <v>14</v>
      </c>
      <c r="D2525" t="str">
        <f>HYPERLINK("https://us2.cloudbeds.com/connect/10074733072513#/reservations/30662291763355?display=Joshua%20Gleghorn&amp;reservation_id=30662291763355&amp;guest_id=30662291763350", "Joshua Gleghorn")</f>
        <v>Joshua Gleghorn</v>
      </c>
      <c r="E2525" t="s">
        <v>1825</v>
      </c>
      <c r="F2525" t="s">
        <v>934</v>
      </c>
      <c r="G2525">
        <v>66.209999999999994</v>
      </c>
      <c r="H2525">
        <v>71.959999999999994</v>
      </c>
      <c r="I2525">
        <v>71.97</v>
      </c>
      <c r="J2525">
        <v>-0.01</v>
      </c>
    </row>
    <row r="2526" spans="1:10" x14ac:dyDescent="0.3">
      <c r="A2526" t="str">
        <f>HYPERLINK("https://us2.cloudbeds.com/connect/10074733072513#/reservations/30664455717019?display=YQGSUA0VZ&amp;reservation_id=30664455717019", "YQGSUA0VZ")</f>
        <v>YQGSUA0VZ</v>
      </c>
      <c r="B2526" t="s">
        <v>10</v>
      </c>
      <c r="C2526" t="s">
        <v>20</v>
      </c>
      <c r="D2526" t="str">
        <f>HYPERLINK("https://us2.cloudbeds.com/connect/10074733072513#/reservations/30664455717019?display=James%20Stittsworth&amp;reservation_id=30664455717019&amp;guest_id=30664455717014", "James Stittsworth")</f>
        <v>James Stittsworth</v>
      </c>
      <c r="E2526" t="s">
        <v>1826</v>
      </c>
      <c r="F2526" t="s">
        <v>1827</v>
      </c>
      <c r="G2526">
        <v>250.2</v>
      </c>
      <c r="H2526">
        <v>271.95999999999998</v>
      </c>
      <c r="I2526">
        <v>271.97000000000003</v>
      </c>
      <c r="J2526">
        <v>-0.01</v>
      </c>
    </row>
    <row r="2527" spans="1:10" x14ac:dyDescent="0.3">
      <c r="A2527" t="str">
        <f>HYPERLINK("https://us2.cloudbeds.com/connect/10074733072513#/reservations/30662593966226?display=YQFEBE291&amp;reservation_id=30662593966226", "YQFEBE291")</f>
        <v>YQFEBE291</v>
      </c>
      <c r="B2527" t="s">
        <v>10</v>
      </c>
      <c r="C2527" t="s">
        <v>17</v>
      </c>
      <c r="D2527" t="str">
        <f>HYPERLINK("https://us2.cloudbeds.com/connect/10074733072513#/reservations/30662593966226?display=Chrystina%20Harich&amp;reservation_id=30662593966226&amp;guest_id=30662593966215", "Chrystina Harich")</f>
        <v>Chrystina Harich</v>
      </c>
      <c r="E2527" t="s">
        <v>1828</v>
      </c>
      <c r="F2527" t="s">
        <v>1829</v>
      </c>
      <c r="G2527">
        <v>445.5</v>
      </c>
      <c r="H2527">
        <v>484.25</v>
      </c>
      <c r="I2527">
        <v>484.26</v>
      </c>
      <c r="J2527">
        <v>-0.01</v>
      </c>
    </row>
    <row r="2528" spans="1:10" x14ac:dyDescent="0.3">
      <c r="A2528" t="str">
        <f>HYPERLINK("https://us2.cloudbeds.com/connect/10074733072513#/reservations/30664479211710?display=YQGTH3QH2&amp;reservation_id=30664479211710", "YQGTH3QH2")</f>
        <v>YQGTH3QH2</v>
      </c>
      <c r="B2528" t="s">
        <v>10</v>
      </c>
      <c r="C2528" t="s">
        <v>17</v>
      </c>
      <c r="D2528" t="str">
        <f>HYPERLINK("https://us2.cloudbeds.com/connect/10074733072513#/reservations/30664479211710?display=William%20Graves&amp;reservation_id=30664479211710&amp;guest_id=30648454471826", "William Graves")</f>
        <v>William Graves</v>
      </c>
      <c r="E2528" t="s">
        <v>447</v>
      </c>
      <c r="F2528" t="s">
        <v>1830</v>
      </c>
      <c r="G2528">
        <v>267.3</v>
      </c>
      <c r="H2528">
        <v>290.55</v>
      </c>
      <c r="I2528">
        <v>290.56</v>
      </c>
      <c r="J2528">
        <v>-0.01</v>
      </c>
    </row>
    <row r="2529" spans="1:10" x14ac:dyDescent="0.3">
      <c r="A2529" t="str">
        <f>HYPERLINK("https://us2.cloudbeds.com/connect/10074733072513#/reservations/30662533882109?display=YQFCQP4K7&amp;reservation_id=30662533882109", "YQFCQP4K7")</f>
        <v>YQFCQP4K7</v>
      </c>
      <c r="B2529" t="s">
        <v>10</v>
      </c>
      <c r="C2529" t="s">
        <v>42</v>
      </c>
      <c r="D2529" t="str">
        <f>HYPERLINK("https://us2.cloudbeds.com/connect/10074733072513#/reservations/30662533882109?display=Rodney%20Dupre&amp;reservation_id=30662533882109&amp;guest_id=30662533882104", "Rodney Dupre")</f>
        <v>Rodney Dupre</v>
      </c>
      <c r="E2529" t="s">
        <v>1831</v>
      </c>
      <c r="F2529" t="s">
        <v>1832</v>
      </c>
      <c r="G2529">
        <v>187.2</v>
      </c>
      <c r="H2529">
        <v>203.48</v>
      </c>
      <c r="I2529">
        <v>203.49</v>
      </c>
      <c r="J2529">
        <v>-0.01</v>
      </c>
    </row>
    <row r="2530" spans="1:10" x14ac:dyDescent="0.3">
      <c r="A2530" t="str">
        <f>HYPERLINK("https://us2.cloudbeds.com/connect/10074733072513#/reservations/30662513668289?display=YQFC9NYQ7&amp;reservation_id=30662513668289", "YQFC9NYQ7")</f>
        <v>YQFC9NYQ7</v>
      </c>
      <c r="B2530" t="s">
        <v>10</v>
      </c>
      <c r="C2530" t="s">
        <v>14</v>
      </c>
      <c r="D2530" t="str">
        <f>HYPERLINK("https://us2.cloudbeds.com/connect/10074733072513#/reservations/30662513668289?display=Harry%20Daniell&amp;reservation_id=30662513668289&amp;guest_id=30662513664192", "Harry Daniell")</f>
        <v>Harry Daniell</v>
      </c>
      <c r="E2530" t="s">
        <v>1833</v>
      </c>
      <c r="F2530" t="s">
        <v>1786</v>
      </c>
      <c r="G2530">
        <v>66.209999999999994</v>
      </c>
      <c r="H2530">
        <v>71.959999999999994</v>
      </c>
      <c r="I2530">
        <v>71.97</v>
      </c>
      <c r="J2530">
        <v>-0.01</v>
      </c>
    </row>
    <row r="2531" spans="1:10" x14ac:dyDescent="0.3">
      <c r="A2531" t="str">
        <f>HYPERLINK("https://us2.cloudbeds.com/connect/10074733072513#/reservations/30662325997806?display=YQF7GFEUT&amp;reservation_id=30662325997806", "YQF7GFEUT")</f>
        <v>YQF7GFEUT</v>
      </c>
      <c r="B2531" t="s">
        <v>10</v>
      </c>
      <c r="C2531" t="s">
        <v>17</v>
      </c>
      <c r="D2531" t="str">
        <f>HYPERLINK("https://us2.cloudbeds.com/connect/10074733072513#/reservations/30662325997806?display=Warren%20Vande%20Stadt&amp;reservation_id=30662325997806&amp;guest_id=30662325997801", "Warren Vande Stadt")</f>
        <v>Warren Vande Stadt</v>
      </c>
      <c r="E2531" t="s">
        <v>1835</v>
      </c>
      <c r="F2531" t="s">
        <v>1687</v>
      </c>
      <c r="G2531">
        <v>134.1</v>
      </c>
      <c r="H2531">
        <v>145.76</v>
      </c>
      <c r="I2531">
        <v>145.77000000000001</v>
      </c>
      <c r="J2531">
        <v>-0.01</v>
      </c>
    </row>
    <row r="2532" spans="1:10" x14ac:dyDescent="0.3">
      <c r="A2532" t="str">
        <f>HYPERLINK("https://us2.cloudbeds.com/connect/10074733072513#/reservations/30664423674004?display=YQGS39CN9&amp;reservation_id=30664423674004", "YQGS39CN9")</f>
        <v>YQGS39CN9</v>
      </c>
      <c r="B2532" t="s">
        <v>10</v>
      </c>
      <c r="C2532" t="s">
        <v>11</v>
      </c>
      <c r="D2532" t="str">
        <f>HYPERLINK("https://us2.cloudbeds.com/connect/10074733072513#/reservations/30664423674004?display=Josh%20Plumb&amp;reservation_id=30664423674004&amp;guest_id=30664423673993", "Josh Plumb")</f>
        <v>Josh Plumb</v>
      </c>
      <c r="E2532" t="s">
        <v>1836</v>
      </c>
      <c r="F2532" t="s">
        <v>1837</v>
      </c>
      <c r="G2532">
        <v>66.209999999999994</v>
      </c>
      <c r="H2532">
        <v>71.959999999999994</v>
      </c>
      <c r="I2532">
        <v>71.97</v>
      </c>
      <c r="J2532">
        <v>-0.01</v>
      </c>
    </row>
    <row r="2533" spans="1:10" x14ac:dyDescent="0.3">
      <c r="A2533" t="str">
        <f>HYPERLINK("https://us2.cloudbeds.com/connect/10074733072513#/reservations/30664430010601?display=YQGS8KNEC&amp;reservation_id=30664430010601", "YQGS8KNEC")</f>
        <v>YQGS8KNEC</v>
      </c>
      <c r="B2533" t="s">
        <v>10</v>
      </c>
      <c r="C2533" t="s">
        <v>11</v>
      </c>
      <c r="D2533" t="str">
        <f>HYPERLINK("https://us2.cloudbeds.com/connect/10074733072513#/reservations/30664430010601?display=Jeff%20Titus&amp;reservation_id=30664430010601&amp;guest_id=30664430010588", "Jeff Titus")</f>
        <v>Jeff Titus</v>
      </c>
      <c r="E2533" t="s">
        <v>1838</v>
      </c>
      <c r="F2533" t="s">
        <v>1837</v>
      </c>
      <c r="G2533">
        <v>66.209999999999994</v>
      </c>
      <c r="H2533">
        <v>71.959999999999994</v>
      </c>
      <c r="I2533">
        <v>71.97</v>
      </c>
      <c r="J2533">
        <v>-0.01</v>
      </c>
    </row>
    <row r="2534" spans="1:10" x14ac:dyDescent="0.3">
      <c r="A2534" t="str">
        <f>HYPERLINK("https://us2.cloudbeds.com/connect/10074733072513#/reservations/30664414445795?display=YQGRSGJMJ&amp;reservation_id=30664414445795", "YQGRSGJMJ")</f>
        <v>YQGRSGJMJ</v>
      </c>
      <c r="B2534" t="s">
        <v>10</v>
      </c>
      <c r="C2534" t="s">
        <v>11</v>
      </c>
      <c r="D2534" t="str">
        <f>HYPERLINK("https://us2.cloudbeds.com/connect/10074733072513#/reservations/30664414445795?display=Kevin%20Mattox&amp;reservation_id=30664414445795&amp;guest_id=30660005167310", "Kevin Mattox")</f>
        <v>Kevin Mattox</v>
      </c>
      <c r="E2534" t="s">
        <v>1836</v>
      </c>
      <c r="F2534" t="s">
        <v>1837</v>
      </c>
      <c r="G2534">
        <v>66.209999999999994</v>
      </c>
      <c r="H2534">
        <v>71.959999999999994</v>
      </c>
      <c r="I2534">
        <v>71.97</v>
      </c>
      <c r="J2534">
        <v>-0.01</v>
      </c>
    </row>
    <row r="2535" spans="1:10" x14ac:dyDescent="0.3">
      <c r="A2535" t="str">
        <f>HYPERLINK("https://us2.cloudbeds.com/connect/10074733072513#/reservations/30664433959105?display=YQGSBVJ80&amp;reservation_id=30664433959105", "YQGSBVJ80")</f>
        <v>YQGSBVJ80</v>
      </c>
      <c r="B2535" t="s">
        <v>10</v>
      </c>
      <c r="C2535" t="s">
        <v>11</v>
      </c>
      <c r="D2535" t="str">
        <f>HYPERLINK("https://us2.cloudbeds.com/connect/10074733072513#/reservations/30664433959105?display=Blake%20Leger&amp;reservation_id=30664433959105&amp;guest_id=30664433955013", "Blake Leger")</f>
        <v>Blake Leger</v>
      </c>
      <c r="E2535" t="s">
        <v>1839</v>
      </c>
      <c r="F2535" t="s">
        <v>1837</v>
      </c>
      <c r="G2535">
        <v>66.209999999999994</v>
      </c>
      <c r="H2535">
        <v>71.959999999999994</v>
      </c>
      <c r="I2535">
        <v>71.97</v>
      </c>
      <c r="J2535">
        <v>-0.01</v>
      </c>
    </row>
    <row r="2536" spans="1:10" x14ac:dyDescent="0.3">
      <c r="A2536" t="str">
        <f>HYPERLINK("https://us2.cloudbeds.com/connect/10074733072513#/reservations/30664441204890?display=YQGSX26S8&amp;reservation_id=30664441204890", "YQGSX26S8")</f>
        <v>YQGSX26S8</v>
      </c>
      <c r="B2536" t="s">
        <v>10</v>
      </c>
      <c r="C2536" t="s">
        <v>11</v>
      </c>
      <c r="D2536" t="str">
        <f>HYPERLINK("https://us2.cloudbeds.com/connect/10074733072513#/reservations/30664441204890?display=Linda%20Miller&amp;reservation_id=30664441204890&amp;guest_id=30664441204888", "Linda Miller")</f>
        <v>Linda Miller</v>
      </c>
      <c r="E2536" t="s">
        <v>1840</v>
      </c>
      <c r="F2536" t="s">
        <v>1837</v>
      </c>
      <c r="G2536">
        <v>66.209999999999994</v>
      </c>
      <c r="H2536">
        <v>71.959999999999994</v>
      </c>
      <c r="I2536">
        <v>71.97</v>
      </c>
      <c r="J2536">
        <v>-0.01</v>
      </c>
    </row>
    <row r="2537" spans="1:10" x14ac:dyDescent="0.3">
      <c r="A2537" t="str">
        <f>HYPERLINK("https://us2.cloudbeds.com/connect/10074733072513#/reservations/30662610702591?display=YQFEPHPRK&amp;reservation_id=30662610702591", "YQFEPHPRK")</f>
        <v>YQFEPHPRK</v>
      </c>
      <c r="B2537" t="s">
        <v>10</v>
      </c>
      <c r="C2537" t="s">
        <v>11</v>
      </c>
      <c r="D2537" t="str">
        <f>HYPERLINK("https://us2.cloudbeds.com/connect/10074733072513#/reservations/30662610702591?display=Christine%20Pesch&amp;reservation_id=30662610702591&amp;guest_id=30662610702537", "Christine Pesch")</f>
        <v>Christine Pesch</v>
      </c>
      <c r="E2537" t="s">
        <v>1841</v>
      </c>
      <c r="F2537" t="s">
        <v>1842</v>
      </c>
      <c r="G2537">
        <v>64.150000000000006</v>
      </c>
      <c r="H2537">
        <v>69.72</v>
      </c>
      <c r="I2537">
        <v>69.73</v>
      </c>
      <c r="J2537">
        <v>-0.01</v>
      </c>
    </row>
    <row r="2538" spans="1:10" x14ac:dyDescent="0.3">
      <c r="A2538" t="str">
        <f>HYPERLINK("https://us2.cloudbeds.com/connect/10074733072513#/reservations/30664507957443?display=YQGU8BMVT&amp;reservation_id=30664507957443", "YQGU8BMVT")</f>
        <v>YQGU8BMVT</v>
      </c>
      <c r="B2538" t="s">
        <v>10</v>
      </c>
      <c r="C2538" t="s">
        <v>11</v>
      </c>
      <c r="D2538" t="str">
        <f>HYPERLINK("https://us2.cloudbeds.com/connect/10074733072513#/reservations/30664507957443?display=Bishwas%20Thapa&amp;reservation_id=30664507957443&amp;guest_id=30664502014135", "Bishwas Thapa")</f>
        <v>Bishwas Thapa</v>
      </c>
      <c r="E2538" t="s">
        <v>1843</v>
      </c>
      <c r="F2538" t="s">
        <v>1830</v>
      </c>
      <c r="G2538">
        <v>64.150000000000006</v>
      </c>
      <c r="H2538">
        <v>69.72</v>
      </c>
      <c r="I2538">
        <v>69.73</v>
      </c>
      <c r="J2538">
        <v>-0.01</v>
      </c>
    </row>
    <row r="2539" spans="1:10" x14ac:dyDescent="0.3">
      <c r="A2539" t="str">
        <f>HYPERLINK("https://us2.cloudbeds.com/connect/10074733072513#/reservations/30661920751756?display=YQEU4ZT5X&amp;reservation_id=30661920751756", "YQEU4ZT5X")</f>
        <v>YQEU4ZT5X</v>
      </c>
      <c r="B2539" t="s">
        <v>10</v>
      </c>
      <c r="C2539" t="s">
        <v>11</v>
      </c>
      <c r="D2539" t="str">
        <f>HYPERLINK("https://us2.cloudbeds.com/connect/10074733072513#/reservations/30661920751756?display=Nikki%20Kruger&amp;reservation_id=30661920751756&amp;guest_id=30661920751754", "Nikki Kruger")</f>
        <v>Nikki Kruger</v>
      </c>
      <c r="E2539" t="s">
        <v>1847</v>
      </c>
      <c r="F2539" t="s">
        <v>1756</v>
      </c>
      <c r="G2539">
        <v>64.150000000000006</v>
      </c>
      <c r="H2539">
        <v>69.72</v>
      </c>
      <c r="I2539">
        <v>69.73</v>
      </c>
      <c r="J2539">
        <v>-0.01</v>
      </c>
    </row>
    <row r="2540" spans="1:10" x14ac:dyDescent="0.3">
      <c r="A2540" t="str">
        <f>HYPERLINK("https://us2.cloudbeds.com/connect/10074733072513#/reservations/30664830132409?display=YQH5G0MZK&amp;reservation_id=30664830132409", "YQH5G0MZK")</f>
        <v>YQH5G0MZK</v>
      </c>
      <c r="B2540" t="s">
        <v>10</v>
      </c>
      <c r="C2540" t="s">
        <v>11</v>
      </c>
      <c r="D2540" t="str">
        <f>HYPERLINK("https://us2.cloudbeds.com/connect/10074733072513#/reservations/30664830132409?display=James%20Johnson&amp;reservation_id=30664830132409&amp;guest_id=30664830132362", "James Johnson")</f>
        <v>James Johnson</v>
      </c>
      <c r="E2540" t="s">
        <v>1848</v>
      </c>
      <c r="F2540" t="s">
        <v>1756</v>
      </c>
      <c r="G2540">
        <v>64.150000000000006</v>
      </c>
      <c r="H2540">
        <v>69.72</v>
      </c>
      <c r="I2540">
        <v>69.73</v>
      </c>
      <c r="J2540">
        <v>-0.01</v>
      </c>
    </row>
    <row r="2541" spans="1:10" x14ac:dyDescent="0.3">
      <c r="A2541" t="str">
        <f>HYPERLINK("https://us2.cloudbeds.com/connect/10074733072513#/reservations/30663075057864?display=YQFQY351H&amp;reservation_id=30663075057864", "YQFQY351H")</f>
        <v>YQFQY351H</v>
      </c>
      <c r="B2541" t="s">
        <v>10</v>
      </c>
      <c r="C2541" t="s">
        <v>11</v>
      </c>
      <c r="D2541" t="str">
        <f>HYPERLINK("https://us2.cloudbeds.com/connect/10074733072513#/reservations/30663075057864?display=John%20T%20Hoffmann&amp;reservation_id=30663075057864&amp;guest_id=30663075057861", "John T Hoffmann")</f>
        <v>John T Hoffmann</v>
      </c>
      <c r="E2541" t="s">
        <v>1849</v>
      </c>
      <c r="F2541" t="s">
        <v>1846</v>
      </c>
      <c r="G2541">
        <v>64.150000000000006</v>
      </c>
      <c r="H2541">
        <v>69.72</v>
      </c>
      <c r="I2541">
        <v>69.73</v>
      </c>
      <c r="J2541">
        <v>-0.01</v>
      </c>
    </row>
    <row r="2542" spans="1:10" x14ac:dyDescent="0.3">
      <c r="A2542" t="str">
        <f>HYPERLINK("https://us2.cloudbeds.com/connect/10074733072513#/reservations/30663421989021?display=YQG2GY0PT&amp;reservation_id=30663421989021", "YQG2GY0PT")</f>
        <v>YQG2GY0PT</v>
      </c>
      <c r="B2542" t="s">
        <v>10</v>
      </c>
      <c r="C2542" t="s">
        <v>11</v>
      </c>
      <c r="D2542" t="str">
        <f>HYPERLINK("https://us2.cloudbeds.com/connect/10074733072513#/reservations/30663421989021?display=Mark%20J%20Salisbury&amp;reservation_id=30663421989021&amp;guest_id=30663421989016", "Mark J Salisbury")</f>
        <v>Mark J Salisbury</v>
      </c>
      <c r="E2542" t="s">
        <v>1851</v>
      </c>
      <c r="F2542" t="s">
        <v>1850</v>
      </c>
      <c r="G2542">
        <v>64.150000000000006</v>
      </c>
      <c r="H2542">
        <v>69.72</v>
      </c>
      <c r="I2542">
        <v>69.73</v>
      </c>
      <c r="J2542">
        <v>-0.01</v>
      </c>
    </row>
    <row r="2543" spans="1:10" x14ac:dyDescent="0.3">
      <c r="A2543" t="str">
        <f>HYPERLINK("https://us2.cloudbeds.com/connect/10074733072513#/reservations/30663029711055?display=YQFPFSA8Q&amp;reservation_id=30663029711055", "YQFPFSA8Q")</f>
        <v>YQFPFSA8Q</v>
      </c>
      <c r="B2543" t="s">
        <v>10</v>
      </c>
      <c r="C2543" t="s">
        <v>14</v>
      </c>
      <c r="D2543" t="str">
        <f>HYPERLINK("https://us2.cloudbeds.com/connect/10074733072513#/reservations/30663029711055?display=Scott%20Campbell&amp;reservation_id=30663029711055&amp;guest_id=30663029711044", "Scott Campbell")</f>
        <v>Scott Campbell</v>
      </c>
      <c r="E2543" t="s">
        <v>1852</v>
      </c>
      <c r="F2543" t="s">
        <v>1846</v>
      </c>
      <c r="G2543">
        <v>64.150000000000006</v>
      </c>
      <c r="H2543">
        <v>69.72</v>
      </c>
      <c r="I2543">
        <v>69.73</v>
      </c>
      <c r="J2543">
        <v>-0.01</v>
      </c>
    </row>
    <row r="2544" spans="1:10" x14ac:dyDescent="0.3">
      <c r="A2544" t="str">
        <f>HYPERLINK("https://us2.cloudbeds.com/connect/10074733072513#/reservations/30663291097216?display=YQFW045J9&amp;reservation_id=30663291097216", "YQFW045J9")</f>
        <v>YQFW045J9</v>
      </c>
      <c r="B2544" t="s">
        <v>10</v>
      </c>
      <c r="C2544" t="s">
        <v>14</v>
      </c>
      <c r="D2544" t="str">
        <f>HYPERLINK("https://us2.cloudbeds.com/connect/10074733072513#/reservations/30663291097216?display=Joel%20Bruins&amp;reservation_id=30663291097216&amp;guest_id=30663285002402", "Joel Bruins")</f>
        <v>Joel Bruins</v>
      </c>
      <c r="E2544" t="s">
        <v>1853</v>
      </c>
      <c r="F2544" t="s">
        <v>1854</v>
      </c>
      <c r="G2544">
        <v>64.150000000000006</v>
      </c>
      <c r="H2544">
        <v>69.72</v>
      </c>
      <c r="I2544">
        <v>69.73</v>
      </c>
      <c r="J2544">
        <v>-0.01</v>
      </c>
    </row>
    <row r="2545" spans="1:10" x14ac:dyDescent="0.3">
      <c r="A2545" t="str">
        <f>HYPERLINK("https://us2.cloudbeds.com/connect/10074733072513#/reservations/30663300174010?display=YQFWCUB8U&amp;reservation_id=30663300174010", "YQFWCUB8U")</f>
        <v>YQFWCUB8U</v>
      </c>
      <c r="B2545" t="s">
        <v>10</v>
      </c>
      <c r="C2545" t="s">
        <v>14</v>
      </c>
      <c r="D2545" t="str">
        <f>HYPERLINK("https://us2.cloudbeds.com/connect/10074733072513#/reservations/30663300174010?display=Barbara%20Ostrander&amp;reservation_id=30663300174010&amp;guest_id=30663300173981", "Barbara Ostrander")</f>
        <v>Barbara Ostrander</v>
      </c>
      <c r="E2545" t="s">
        <v>1855</v>
      </c>
      <c r="F2545" t="s">
        <v>1854</v>
      </c>
      <c r="G2545">
        <v>64.150000000000006</v>
      </c>
      <c r="H2545">
        <v>69.72</v>
      </c>
      <c r="I2545">
        <v>69.73</v>
      </c>
      <c r="J2545">
        <v>-0.01</v>
      </c>
    </row>
    <row r="2546" spans="1:10" x14ac:dyDescent="0.3">
      <c r="A2546" t="str">
        <f>HYPERLINK("https://us2.cloudbeds.com/connect/10074733072513#/reservations/30663294894294?display=YQFW8FE1H&amp;reservation_id=30663294894294", "YQFW8FE1H")</f>
        <v>YQFW8FE1H</v>
      </c>
      <c r="B2546" t="s">
        <v>10</v>
      </c>
      <c r="C2546" t="s">
        <v>14</v>
      </c>
      <c r="D2546" t="str">
        <f>HYPERLINK("https://us2.cloudbeds.com/connect/10074733072513#/reservations/30663294894294?display=Kelly%20Kerkman&amp;reservation_id=30663294894294&amp;guest_id=30663291097278", "Kelly Kerkman")</f>
        <v>Kelly Kerkman</v>
      </c>
      <c r="E2546" t="s">
        <v>1856</v>
      </c>
      <c r="F2546" t="s">
        <v>1854</v>
      </c>
      <c r="G2546">
        <v>64.150000000000006</v>
      </c>
      <c r="H2546">
        <v>69.72</v>
      </c>
      <c r="I2546">
        <v>69.73</v>
      </c>
      <c r="J2546">
        <v>-0.01</v>
      </c>
    </row>
    <row r="2547" spans="1:10" x14ac:dyDescent="0.3">
      <c r="A2547" t="str">
        <f>HYPERLINK("https://us2.cloudbeds.com/connect/10074733072513#/reservations/30663717322889?display=YQGA1M431&amp;reservation_id=30663717322889", "YQGA1M431")</f>
        <v>YQGA1M431</v>
      </c>
      <c r="B2547" t="s">
        <v>10</v>
      </c>
      <c r="C2547" t="s">
        <v>14</v>
      </c>
      <c r="D2547" t="str">
        <f>HYPERLINK("https://us2.cloudbeds.com/connect/10074733072513#/reservations/30663717322889?display=Pat%20Rotert&amp;reservation_id=30663717322889&amp;guest_id=30663717322887", "Pat Rotert")</f>
        <v>Pat Rotert</v>
      </c>
      <c r="E2547" t="s">
        <v>1857</v>
      </c>
      <c r="F2547" t="s">
        <v>1858</v>
      </c>
      <c r="G2547">
        <v>87.2</v>
      </c>
      <c r="H2547">
        <v>94.78</v>
      </c>
      <c r="I2547">
        <v>94.79</v>
      </c>
      <c r="J2547">
        <v>-0.01</v>
      </c>
    </row>
    <row r="2548" spans="1:10" x14ac:dyDescent="0.3">
      <c r="A2548" t="str">
        <f>HYPERLINK("https://us2.cloudbeds.com/connect/10074733072513#/reservations/30663147147430?display=YQFSFT4WR&amp;reservation_id=30663147147430", "YQFSFT4WR")</f>
        <v>YQFSFT4WR</v>
      </c>
      <c r="B2548" t="s">
        <v>10</v>
      </c>
      <c r="C2548" t="s">
        <v>11</v>
      </c>
      <c r="D2548" t="str">
        <f>HYPERLINK("https://us2.cloudbeds.com/connect/10074733072513#/reservations/30663147147430?display=Josh%20Plumb&amp;reservation_id=30663147147430&amp;guest_id=30663147147397", "Josh Plumb")</f>
        <v>Josh Plumb</v>
      </c>
      <c r="E2548" t="s">
        <v>1811</v>
      </c>
      <c r="F2548" t="s">
        <v>1842</v>
      </c>
      <c r="G2548">
        <v>64.150000000000006</v>
      </c>
      <c r="H2548">
        <v>69.72</v>
      </c>
      <c r="I2548">
        <v>69.73</v>
      </c>
      <c r="J2548">
        <v>-0.01</v>
      </c>
    </row>
    <row r="2549" spans="1:10" x14ac:dyDescent="0.3">
      <c r="A2549" t="str">
        <f>HYPERLINK("https://us2.cloudbeds.com/connect/10074733072513#/reservations/30663735992449?display=YQGAHDKS9&amp;reservation_id=30663735992449", "YQGAHDKS9")</f>
        <v>YQGAHDKS9</v>
      </c>
      <c r="B2549" t="s">
        <v>10</v>
      </c>
      <c r="C2549" t="s">
        <v>42</v>
      </c>
      <c r="D2549" t="str">
        <f>HYPERLINK("https://us2.cloudbeds.com/connect/10074733072513#/reservations/30663735992449?display=Harlow%20Anderson&amp;reservation_id=30663735992449&amp;guest_id=30663735988415", "Harlow Anderson")</f>
        <v>Harlow Anderson</v>
      </c>
      <c r="E2549" t="s">
        <v>742</v>
      </c>
      <c r="F2549" t="s">
        <v>1858</v>
      </c>
      <c r="G2549">
        <v>187.2</v>
      </c>
      <c r="H2549">
        <v>203.48</v>
      </c>
      <c r="I2549">
        <v>203.49</v>
      </c>
      <c r="J2549">
        <v>-0.01</v>
      </c>
    </row>
    <row r="2550" spans="1:10" x14ac:dyDescent="0.3">
      <c r="A2550" t="str">
        <f>HYPERLINK("https://us2.cloudbeds.com/connect/10074733072513#/reservations/30662572679404?display=YQFDQFZ4R&amp;reservation_id=30662572679404", "YQFDQFZ4R")</f>
        <v>YQFDQFZ4R</v>
      </c>
      <c r="B2550" t="s">
        <v>10</v>
      </c>
      <c r="C2550" t="s">
        <v>11</v>
      </c>
      <c r="D2550" t="str">
        <f>HYPERLINK("https://us2.cloudbeds.com/connect/10074733072513#/reservations/30662572679404?display=Paula%20Rae%20Sundquist&amp;reservation_id=30662572679404&amp;guest_id=30662565736602", "Paula Rae Sundquist")</f>
        <v>Paula Rae Sundquist</v>
      </c>
      <c r="E2550" t="s">
        <v>1859</v>
      </c>
      <c r="F2550" t="s">
        <v>1842</v>
      </c>
      <c r="G2550">
        <v>64.150000000000006</v>
      </c>
      <c r="H2550">
        <v>69.72</v>
      </c>
      <c r="I2550">
        <v>69.73</v>
      </c>
      <c r="J2550">
        <v>-0.01</v>
      </c>
    </row>
    <row r="2551" spans="1:10" x14ac:dyDescent="0.3">
      <c r="A2551" t="str">
        <f>HYPERLINK("https://us2.cloudbeds.com/connect/10074733072513#/reservations/30663430213842?display=YQG2NXTDT&amp;reservation_id=30663430213842", "YQG2NXTDT")</f>
        <v>YQG2NXTDT</v>
      </c>
      <c r="B2551" t="s">
        <v>10</v>
      </c>
      <c r="C2551" t="s">
        <v>11</v>
      </c>
      <c r="D2551" t="str">
        <f>HYPERLINK("https://us2.cloudbeds.com/connect/10074733072513#/reservations/30663430213842?display=Loren%20M%20Babe&amp;reservation_id=30663430213842&amp;guest_id=30663430213838", "Loren M Babe")</f>
        <v>Loren M Babe</v>
      </c>
      <c r="E2551" t="s">
        <v>1862</v>
      </c>
      <c r="F2551" t="s">
        <v>1850</v>
      </c>
      <c r="G2551">
        <v>72.17</v>
      </c>
      <c r="H2551">
        <v>78.44</v>
      </c>
      <c r="I2551">
        <v>78.45</v>
      </c>
      <c r="J2551">
        <v>-0.01</v>
      </c>
    </row>
    <row r="2552" spans="1:10" x14ac:dyDescent="0.3">
      <c r="A2552" t="str">
        <f>HYPERLINK("https://us2.cloudbeds.com/connect/10074733072513#/reservations/30664057630956?display=YQGXZKN0N&amp;reservation_id=30664057630956", "YQGXZKN0N")</f>
        <v>YQGXZKN0N</v>
      </c>
      <c r="B2552" t="s">
        <v>10</v>
      </c>
      <c r="C2552" t="s">
        <v>14</v>
      </c>
      <c r="D2552" t="str">
        <f>HYPERLINK("https://us2.cloudbeds.com/connect/10074733072513#/reservations/30664057630956?display=Taylor%20Mccall&amp;reservation_id=30664057630956&amp;guest_id=30664057630950", "Taylor Mccall")</f>
        <v>Taylor Mccall</v>
      </c>
      <c r="E2552" t="s">
        <v>1865</v>
      </c>
      <c r="F2552" t="s">
        <v>1864</v>
      </c>
      <c r="G2552">
        <v>87.2</v>
      </c>
      <c r="H2552">
        <v>94.78</v>
      </c>
      <c r="I2552">
        <v>94.79</v>
      </c>
      <c r="J2552">
        <v>-0.01</v>
      </c>
    </row>
    <row r="2553" spans="1:10" x14ac:dyDescent="0.3">
      <c r="A2553" t="str">
        <f>HYPERLINK("https://us2.cloudbeds.com/connect/10074733072513#/reservations/30662045601987?display=YQF0B10RT&amp;reservation_id=30662045601987", "YQF0B10RT")</f>
        <v>YQF0B10RT</v>
      </c>
      <c r="B2553" t="s">
        <v>10</v>
      </c>
      <c r="C2553" t="s">
        <v>11</v>
      </c>
      <c r="D2553" t="str">
        <f>HYPERLINK("https://us2.cloudbeds.com/connect/10074733072513#/reservations/30662045601987?display=Michael%20&amp;%20Jill%20Josepher&amp;reservation_id=30662045601987&amp;guest_id=30662045601984", "Michael &amp; Jill Josepher")</f>
        <v>Michael &amp; Jill Josepher</v>
      </c>
      <c r="E2553" t="s">
        <v>1866</v>
      </c>
      <c r="F2553" t="s">
        <v>1867</v>
      </c>
      <c r="G2553">
        <v>64.150000000000006</v>
      </c>
      <c r="H2553">
        <v>69.72</v>
      </c>
      <c r="I2553">
        <v>69.73</v>
      </c>
      <c r="J2553">
        <v>-0.01</v>
      </c>
    </row>
    <row r="2554" spans="1:10" x14ac:dyDescent="0.3">
      <c r="A2554" t="str">
        <f>HYPERLINK("https://us2.cloudbeds.com/connect/10074733072513#/reservations/30664830132364?display=YQH5G0MN9&amp;reservation_id=30664830132364", "YQH5G0MN9")</f>
        <v>YQH5G0MN9</v>
      </c>
      <c r="B2554" t="s">
        <v>10</v>
      </c>
      <c r="C2554" t="s">
        <v>11</v>
      </c>
      <c r="D2554" t="str">
        <f>HYPERLINK("https://us2.cloudbeds.com/connect/10074733072513#/reservations/30664830132364?display=Michael%20Shepherd&amp;reservation_id=30664830132364&amp;guest_id=30664830132361", "Michael Shepherd")</f>
        <v>Michael Shepherd</v>
      </c>
      <c r="E2554" t="s">
        <v>1868</v>
      </c>
      <c r="F2554" t="s">
        <v>1869</v>
      </c>
      <c r="G2554">
        <v>80.099999999999994</v>
      </c>
      <c r="H2554">
        <v>87.06</v>
      </c>
      <c r="I2554">
        <v>87.07</v>
      </c>
      <c r="J2554">
        <v>-0.01</v>
      </c>
    </row>
    <row r="2555" spans="1:10" x14ac:dyDescent="0.3">
      <c r="A2555" t="str">
        <f>HYPERLINK("https://us2.cloudbeds.com/connect/10074733072513#/reservations/30663063458006?display=YQFQBAC6M&amp;reservation_id=30663063458006", "YQFQBAC6M")</f>
        <v>YQFQBAC6M</v>
      </c>
      <c r="B2555" t="s">
        <v>10</v>
      </c>
      <c r="C2555" t="s">
        <v>14</v>
      </c>
      <c r="D2555" t="str">
        <f>HYPERLINK("https://us2.cloudbeds.com/connect/10074733072513#/reservations/30663063458006?display=Chris%20Salvevold&amp;reservation_id=30663063458006&amp;guest_id=30663063453940", "Chris Salvevold")</f>
        <v>Chris Salvevold</v>
      </c>
      <c r="E2555" t="s">
        <v>1871</v>
      </c>
      <c r="F2555" t="s">
        <v>1872</v>
      </c>
      <c r="G2555">
        <v>64.150000000000006</v>
      </c>
      <c r="H2555">
        <v>69.72</v>
      </c>
      <c r="I2555">
        <v>69.73</v>
      </c>
      <c r="J2555">
        <v>-0.01</v>
      </c>
    </row>
    <row r="2556" spans="1:10" x14ac:dyDescent="0.3">
      <c r="A2556" t="str">
        <f>HYPERLINK("https://us2.cloudbeds.com/connect/10074733072513#/reservations/30663051071693?display=YQFQ0SN5S&amp;reservation_id=30663051071693", "YQFQ0SN5S")</f>
        <v>YQFQ0SN5S</v>
      </c>
      <c r="B2556" t="s">
        <v>10</v>
      </c>
      <c r="C2556" t="s">
        <v>14</v>
      </c>
      <c r="D2556" t="str">
        <f>HYPERLINK("https://us2.cloudbeds.com/connect/10074733072513#/reservations/30663051071693?display=Pat%20Mertens&amp;reservation_id=30663051071693&amp;guest_id=30663051067609", "Pat Mertens")</f>
        <v>Pat Mertens</v>
      </c>
      <c r="E2556" t="s">
        <v>1871</v>
      </c>
      <c r="F2556" t="s">
        <v>1872</v>
      </c>
      <c r="G2556">
        <v>64.150000000000006</v>
      </c>
      <c r="H2556">
        <v>69.72</v>
      </c>
      <c r="I2556">
        <v>69.73</v>
      </c>
      <c r="J2556">
        <v>-0.01</v>
      </c>
    </row>
    <row r="2557" spans="1:10" x14ac:dyDescent="0.3">
      <c r="A2557" t="str">
        <f>HYPERLINK("https://us2.cloudbeds.com/connect/10074733072513#/reservations/30662444269772?display=YQFAH6HVS&amp;reservation_id=30662444269772", "YQFAH6HVS")</f>
        <v>YQFAH6HVS</v>
      </c>
      <c r="B2557" t="s">
        <v>10</v>
      </c>
      <c r="C2557" t="s">
        <v>42</v>
      </c>
      <c r="D2557" t="str">
        <f>HYPERLINK("https://us2.cloudbeds.com/connect/10074733072513#/reservations/30662444269772?display=Darvin%20Deberg&amp;reservation_id=30662444269772&amp;guest_id=30662444265722", "Darvin Deberg")</f>
        <v>Darvin Deberg</v>
      </c>
      <c r="E2557" t="s">
        <v>1873</v>
      </c>
      <c r="F2557" t="s">
        <v>1874</v>
      </c>
      <c r="G2557">
        <v>134.1</v>
      </c>
      <c r="H2557">
        <v>145.76</v>
      </c>
      <c r="I2557">
        <v>145.77000000000001</v>
      </c>
      <c r="J2557">
        <v>-0.01</v>
      </c>
    </row>
    <row r="2558" spans="1:10" x14ac:dyDescent="0.3">
      <c r="A2558" t="str">
        <f>HYPERLINK("https://us2.cloudbeds.com/connect/10074733072513#/reservations/30664811483269?display=YQH509ZZ6&amp;reservation_id=30664811483269", "YQH509ZZ6")</f>
        <v>YQH509ZZ6</v>
      </c>
      <c r="B2558" t="s">
        <v>10</v>
      </c>
      <c r="C2558" t="s">
        <v>42</v>
      </c>
      <c r="D2558" t="str">
        <f>HYPERLINK("https://us2.cloudbeds.com/connect/10074733072513#/reservations/30664811483269?display=Janet%20Molohon&amp;reservation_id=30664811483269&amp;guest_id=30664811479226", "Janet Molohon")</f>
        <v>Janet Molohon</v>
      </c>
      <c r="E2558" t="s">
        <v>1875</v>
      </c>
      <c r="F2558" t="s">
        <v>1869</v>
      </c>
      <c r="G2558">
        <v>80.099999999999994</v>
      </c>
      <c r="H2558">
        <v>87.06</v>
      </c>
      <c r="I2558">
        <v>87.07</v>
      </c>
      <c r="J2558">
        <v>-0.01</v>
      </c>
    </row>
    <row r="2559" spans="1:10" x14ac:dyDescent="0.3">
      <c r="A2559" t="str">
        <f>HYPERLINK("https://us2.cloudbeds.com/connect/10074733072513#/reservations/30664071205092?display=YQGJ32DQ5&amp;reservation_id=30664071205092", "YQGJ32DQ5")</f>
        <v>YQGJ32DQ5</v>
      </c>
      <c r="B2559" t="s">
        <v>10</v>
      </c>
      <c r="C2559" t="s">
        <v>11</v>
      </c>
      <c r="D2559" t="str">
        <f>HYPERLINK("https://us2.cloudbeds.com/connect/10074733072513#/reservations/30664071205092?display=Barb%20Guthmiller&amp;reservation_id=30664071205092&amp;guest_id=30664071205088", "Barb Guthmiller")</f>
        <v>Barb Guthmiller</v>
      </c>
      <c r="E2559" t="s">
        <v>1876</v>
      </c>
      <c r="F2559" t="s">
        <v>1864</v>
      </c>
      <c r="G2559">
        <v>90.07</v>
      </c>
      <c r="H2559">
        <v>97.9</v>
      </c>
      <c r="I2559">
        <v>97.91</v>
      </c>
      <c r="J2559">
        <v>-0.01</v>
      </c>
    </row>
    <row r="2560" spans="1:10" x14ac:dyDescent="0.3">
      <c r="A2560" t="str">
        <f>HYPERLINK("https://us2.cloudbeds.com/connect/10074733072513#/reservations/30663322538124?display=YQFWVPYYB&amp;reservation_id=30663322538124", "YQFWVPYYB")</f>
        <v>YQFWVPYYB</v>
      </c>
      <c r="B2560" t="s">
        <v>10</v>
      </c>
      <c r="C2560" t="s">
        <v>11</v>
      </c>
      <c r="D2560" t="str">
        <f>HYPERLINK("https://us2.cloudbeds.com/connect/10074733072513#/reservations/30663322538124?display=Josh%20Plumb&amp;reservation_id=30663322538124&amp;guest_id=30663147147397", "Josh Plumb")</f>
        <v>Josh Plumb</v>
      </c>
      <c r="E2560" t="s">
        <v>1811</v>
      </c>
      <c r="F2560" t="s">
        <v>1878</v>
      </c>
      <c r="G2560">
        <v>64.150000000000006</v>
      </c>
      <c r="H2560">
        <v>69.72</v>
      </c>
      <c r="I2560">
        <v>69.73</v>
      </c>
      <c r="J2560">
        <v>-0.01</v>
      </c>
    </row>
    <row r="2561" spans="1:10" x14ac:dyDescent="0.3">
      <c r="A2561" t="str">
        <f>HYPERLINK("https://us2.cloudbeds.com/connect/10074733072513#/reservations/30663415296199?display=YQG2AWPV3&amp;reservation_id=30663415296199", "YQG2AWPV3")</f>
        <v>YQG2AWPV3</v>
      </c>
      <c r="B2561" t="s">
        <v>10</v>
      </c>
      <c r="C2561" t="s">
        <v>11</v>
      </c>
      <c r="D2561" t="str">
        <f>HYPERLINK("https://us2.cloudbeds.com/connect/10074733072513#/reservations/30663415296199?display=Alex%20Mcglothlen&amp;reservation_id=30663415296199&amp;guest_id=30648491585743", "Alex Mcglothlen")</f>
        <v>Alex Mcglothlen</v>
      </c>
      <c r="E2561" t="s">
        <v>583</v>
      </c>
      <c r="F2561" t="s">
        <v>1879</v>
      </c>
      <c r="G2561">
        <v>64.150000000000006</v>
      </c>
      <c r="H2561">
        <v>69.72</v>
      </c>
      <c r="I2561">
        <v>69.73</v>
      </c>
      <c r="J2561">
        <v>-0.01</v>
      </c>
    </row>
    <row r="2562" spans="1:10" x14ac:dyDescent="0.3">
      <c r="A2562" t="str">
        <f>HYPERLINK("https://us2.cloudbeds.com/connect/10074733072513#/reservations/30664841343223?display=YQH5PFYB9&amp;reservation_id=30664841343223", "YQH5PFYB9")</f>
        <v>YQH5PFYB9</v>
      </c>
      <c r="B2562" t="s">
        <v>10</v>
      </c>
      <c r="C2562" t="s">
        <v>20</v>
      </c>
      <c r="D2562" t="str">
        <f>HYPERLINK("https://us2.cloudbeds.com/connect/10074733072513#/reservations/30664841343223?display=Bosco%20Omary&amp;reservation_id=30664841343223&amp;guest_id=30664841343221", "Bosco Omary")</f>
        <v>Bosco Omary</v>
      </c>
      <c r="E2562" t="s">
        <v>1880</v>
      </c>
      <c r="F2562" t="s">
        <v>1869</v>
      </c>
      <c r="G2562">
        <v>80.099999999999994</v>
      </c>
      <c r="H2562">
        <v>87.06</v>
      </c>
      <c r="I2562">
        <v>87.07</v>
      </c>
      <c r="J2562">
        <v>-0.01</v>
      </c>
    </row>
    <row r="2563" spans="1:10" x14ac:dyDescent="0.3">
      <c r="A2563" t="str">
        <f>HYPERLINK("https://us2.cloudbeds.com/connect/10074733072513#/reservations/30664953942180?display=YQH8YDSWM&amp;reservation_id=30664953942180", "YQH8YDSWM")</f>
        <v>YQH8YDSWM</v>
      </c>
      <c r="B2563" t="s">
        <v>10</v>
      </c>
      <c r="C2563" t="s">
        <v>14</v>
      </c>
      <c r="D2563" t="str">
        <f>HYPERLINK("https://us2.cloudbeds.com/connect/10074733072513#/reservations/30664953942180?display=Brandyn%20Johnson&amp;reservation_id=30664953942180&amp;guest_id=30664946643187", "Brandyn Johnson")</f>
        <v>Brandyn Johnson</v>
      </c>
      <c r="E2563" t="s">
        <v>1881</v>
      </c>
      <c r="F2563" t="s">
        <v>1861</v>
      </c>
      <c r="G2563">
        <v>174.4</v>
      </c>
      <c r="H2563">
        <v>189.56</v>
      </c>
      <c r="I2563">
        <v>189.57</v>
      </c>
      <c r="J2563">
        <v>-0.01</v>
      </c>
    </row>
    <row r="2564" spans="1:10" x14ac:dyDescent="0.3">
      <c r="A2564" t="str">
        <f>HYPERLINK("https://us2.cloudbeds.com/connect/10074733072513#/reservations/30663310995682?display=YQFWM1FHC&amp;reservation_id=30663310995682", "YQFWM1FHC")</f>
        <v>YQFWM1FHC</v>
      </c>
      <c r="B2564" t="s">
        <v>10</v>
      </c>
      <c r="C2564" t="s">
        <v>11</v>
      </c>
      <c r="D2564" t="str">
        <f>HYPERLINK("https://us2.cloudbeds.com/connect/10074733072513#/reservations/30663310995682?display=Ray%20Oberg&amp;reservation_id=30663310995682&amp;guest_id=30663310995678", "Ray Oberg")</f>
        <v>Ray Oberg</v>
      </c>
      <c r="E2564" t="s">
        <v>1882</v>
      </c>
      <c r="F2564" t="s">
        <v>1878</v>
      </c>
      <c r="G2564">
        <v>64.150000000000006</v>
      </c>
      <c r="H2564">
        <v>69.72</v>
      </c>
      <c r="I2564">
        <v>69.73</v>
      </c>
      <c r="J2564">
        <v>-0.01</v>
      </c>
    </row>
    <row r="2565" spans="1:10" x14ac:dyDescent="0.3">
      <c r="A2565" t="str">
        <f>HYPERLINK("https://us2.cloudbeds.com/connect/10074733072513#/reservations/30662634602676?display=YQFFCMRY5&amp;reservation_id=30662634602676", "YQFFCMRY5")</f>
        <v>YQFFCMRY5</v>
      </c>
      <c r="B2565" t="s">
        <v>10</v>
      </c>
      <c r="C2565" t="s">
        <v>11</v>
      </c>
      <c r="D2565" t="str">
        <f>HYPERLINK("https://us2.cloudbeds.com/connect/10074733072513#/reservations/30662634602676?display=Samantha%20Abbott&amp;reservation_id=30662634602676&amp;guest_id=30662627729543", "Samantha Abbott")</f>
        <v>Samantha Abbott</v>
      </c>
      <c r="E2565" t="s">
        <v>1883</v>
      </c>
      <c r="F2565" t="s">
        <v>1829</v>
      </c>
      <c r="G2565">
        <v>64.150000000000006</v>
      </c>
      <c r="H2565">
        <v>69.72</v>
      </c>
      <c r="I2565">
        <v>69.73</v>
      </c>
      <c r="J2565">
        <v>-0.01</v>
      </c>
    </row>
    <row r="2566" spans="1:10" x14ac:dyDescent="0.3">
      <c r="A2566" t="str">
        <f>HYPERLINK("https://us2.cloudbeds.com/connect/10074733072513#/reservations/30664930189538?display=YQH81CUXS&amp;reservation_id=30664930189538", "YQH81CUXS")</f>
        <v>YQH81CUXS</v>
      </c>
      <c r="B2566" t="s">
        <v>10</v>
      </c>
      <c r="C2566" t="s">
        <v>11</v>
      </c>
      <c r="D2566" t="str">
        <f>HYPERLINK("https://us2.cloudbeds.com/connect/10074733072513#/reservations/30664930189538?display=Samantha%20Abbott&amp;reservation_id=30664930189538&amp;guest_id=30664930189526", "Samantha Abbott")</f>
        <v>Samantha Abbott</v>
      </c>
      <c r="E2566" t="s">
        <v>1883</v>
      </c>
      <c r="F2566" t="s">
        <v>1861</v>
      </c>
      <c r="G2566">
        <v>72.17</v>
      </c>
      <c r="H2566">
        <v>78.44</v>
      </c>
      <c r="I2566">
        <v>78.45</v>
      </c>
      <c r="J2566">
        <v>-0.01</v>
      </c>
    </row>
    <row r="2567" spans="1:10" x14ac:dyDescent="0.3">
      <c r="A2567" t="str">
        <f>HYPERLINK("https://us2.cloudbeds.com/connect/10074733072513#/reservations/30662306685066?display=YQF7061XB&amp;reservation_id=30662306685066", "YQF7061XB")</f>
        <v>YQF7061XB</v>
      </c>
      <c r="B2567" t="s">
        <v>10</v>
      </c>
      <c r="C2567" t="s">
        <v>17</v>
      </c>
      <c r="D2567" t="str">
        <f>HYPERLINK("https://us2.cloudbeds.com/connect/10074733072513#/reservations/30662306685066?display=Patricia%20Rehm&amp;reservation_id=30662306685066&amp;guest_id=30662306680985", "Patricia Rehm")</f>
        <v>Patricia Rehm</v>
      </c>
      <c r="E2567" t="s">
        <v>1884</v>
      </c>
      <c r="F2567" t="s">
        <v>1687</v>
      </c>
      <c r="G2567">
        <v>285.3</v>
      </c>
      <c r="H2567">
        <v>310.11</v>
      </c>
      <c r="I2567">
        <v>310.12</v>
      </c>
      <c r="J2567">
        <v>-0.01</v>
      </c>
    </row>
    <row r="2568" spans="1:10" x14ac:dyDescent="0.3">
      <c r="A2568" t="str">
        <f>HYPERLINK("https://us2.cloudbeds.com/connect/10074733072513#/reservations/30659786563712?display=YQD8E1M8X&amp;reservation_id=30659786563712", "YQD8E1M8X")</f>
        <v>YQD8E1M8X</v>
      </c>
      <c r="B2568" t="s">
        <v>10</v>
      </c>
      <c r="C2568" t="s">
        <v>42</v>
      </c>
      <c r="D2568" t="str">
        <f>HYPERLINK("https://us2.cloudbeds.com/connect/10074733072513#/reservations/30659786563712?display=Ronald%20Brown&amp;reservation_id=30659786563712&amp;guest_id=30659779330274", "Ronald Brown")</f>
        <v>Ronald Brown</v>
      </c>
      <c r="E2568" t="s">
        <v>1885</v>
      </c>
      <c r="F2568" t="s">
        <v>1687</v>
      </c>
      <c r="G2568">
        <v>294.95</v>
      </c>
      <c r="H2568">
        <v>320.60000000000002</v>
      </c>
      <c r="I2568">
        <v>320.61</v>
      </c>
      <c r="J2568">
        <v>-0.01</v>
      </c>
    </row>
    <row r="2569" spans="1:10" x14ac:dyDescent="0.3">
      <c r="A2569" t="str">
        <f>HYPERLINK("https://us2.cloudbeds.com/connect/10074733072513#/reservations/30664847933585?display=YQH5V1137&amp;reservation_id=30664847933585", "YQH5V1137")</f>
        <v>YQH5V1137</v>
      </c>
      <c r="B2569" t="s">
        <v>10</v>
      </c>
      <c r="C2569" t="s">
        <v>11</v>
      </c>
      <c r="D2569" t="str">
        <f>HYPERLINK("https://us2.cloudbeds.com/connect/10074733072513#/reservations/30664847933585?display=Markus%20Erk&amp;reservation_id=30664847933585&amp;guest_id=30664847933580", "Markus Erk")</f>
        <v>Markus Erk</v>
      </c>
      <c r="E2569" t="s">
        <v>1886</v>
      </c>
      <c r="F2569" t="s">
        <v>1872</v>
      </c>
      <c r="G2569">
        <v>87.2</v>
      </c>
      <c r="H2569">
        <v>94.78</v>
      </c>
      <c r="I2569">
        <v>94.79</v>
      </c>
      <c r="J2569">
        <v>-0.01</v>
      </c>
    </row>
    <row r="2570" spans="1:10" x14ac:dyDescent="0.3">
      <c r="A2570" t="str">
        <f>HYPERLINK("https://us2.cloudbeds.com/connect/10074733072513#/reservations/30663421984919?display=YQG2GKU0J&amp;reservation_id=30663421984919", "YQG2GKU0J")</f>
        <v>YQG2GKU0J</v>
      </c>
      <c r="B2570" t="s">
        <v>10</v>
      </c>
      <c r="C2570" t="s">
        <v>11</v>
      </c>
      <c r="D2570" t="str">
        <f>HYPERLINK("https://us2.cloudbeds.com/connect/10074733072513#/reservations/30663421984919?display=Jolene%20Opperman&amp;reservation_id=30663421984919&amp;guest_id=30663415300293", "Jolene Opperman")</f>
        <v>Jolene Opperman</v>
      </c>
      <c r="E2570" t="s">
        <v>1888</v>
      </c>
      <c r="F2570" t="s">
        <v>1879</v>
      </c>
      <c r="G2570">
        <v>64.150000000000006</v>
      </c>
      <c r="H2570">
        <v>69.72</v>
      </c>
      <c r="I2570">
        <v>69.73</v>
      </c>
      <c r="J2570">
        <v>-0.01</v>
      </c>
    </row>
    <row r="2571" spans="1:10" x14ac:dyDescent="0.3">
      <c r="A2571" t="str">
        <f>HYPERLINK("https://us2.cloudbeds.com/connect/10074733072513#/reservations/30663968489667?display=YQGGFF6UH&amp;reservation_id=30663968489667", "YQGGFF6UH")</f>
        <v>YQGGFF6UH</v>
      </c>
      <c r="B2571" t="s">
        <v>10</v>
      </c>
      <c r="C2571" t="s">
        <v>11</v>
      </c>
      <c r="D2571" t="str">
        <f>HYPERLINK("https://us2.cloudbeds.com/connect/10074733072513#/reservations/30663968489667?display=Amanda%20Erickson&amp;reservation_id=30663968489667&amp;guest_id=30663963771034", "Amanda Erickson")</f>
        <v>Amanda Erickson</v>
      </c>
      <c r="E2571" t="s">
        <v>1889</v>
      </c>
      <c r="F2571" t="s">
        <v>1829</v>
      </c>
      <c r="G2571">
        <v>87.2</v>
      </c>
      <c r="H2571">
        <v>94.78</v>
      </c>
      <c r="I2571">
        <v>94.79</v>
      </c>
      <c r="J2571">
        <v>-0.01</v>
      </c>
    </row>
    <row r="2572" spans="1:10" x14ac:dyDescent="0.3">
      <c r="A2572" t="str">
        <f>HYPERLINK("https://us2.cloudbeds.com/connect/10074733072513#/reservations/30662826045585?display=YQFK940KT&amp;reservation_id=30662826045585", "YQFK940KT")</f>
        <v>YQFK940KT</v>
      </c>
      <c r="B2572" t="s">
        <v>10</v>
      </c>
      <c r="C2572" t="s">
        <v>14</v>
      </c>
      <c r="D2572" t="str">
        <f>HYPERLINK("https://us2.cloudbeds.com/connect/10074733072513#/reservations/30662826045585?display=Jeffrey%20Dozier&amp;reservation_id=30662826045585&amp;guest_id=30662826045583", "Jeffrey Dozier")</f>
        <v>Jeffrey Dozier</v>
      </c>
      <c r="E2572" t="s">
        <v>1319</v>
      </c>
      <c r="F2572" t="s">
        <v>1890</v>
      </c>
      <c r="G2572">
        <v>64.150000000000006</v>
      </c>
      <c r="H2572">
        <v>69.72</v>
      </c>
      <c r="I2572">
        <v>69.73</v>
      </c>
      <c r="J2572">
        <v>-0.01</v>
      </c>
    </row>
    <row r="2573" spans="1:10" x14ac:dyDescent="0.3">
      <c r="A2573" t="str">
        <f>HYPERLINK("https://us2.cloudbeds.com/connect/10074733072513#/reservations/30664860430522?display=YQH68XPN9&amp;reservation_id=30664860430522", "YQH68XPN9")</f>
        <v>YQH68XPN9</v>
      </c>
      <c r="B2573" t="s">
        <v>10</v>
      </c>
      <c r="C2573" t="s">
        <v>14</v>
      </c>
      <c r="D2573" t="str">
        <f>HYPERLINK("https://us2.cloudbeds.com/connect/10074733072513#/reservations/30664860430522?display=Troy%20Stap&amp;reservation_id=30664860430522&amp;guest_id=30664860430520", "Troy Stap")</f>
        <v>Troy Stap</v>
      </c>
      <c r="E2573" t="s">
        <v>1891</v>
      </c>
      <c r="F2573" t="s">
        <v>1872</v>
      </c>
      <c r="G2573">
        <v>64.150000000000006</v>
      </c>
      <c r="H2573">
        <v>69.72</v>
      </c>
      <c r="I2573">
        <v>69.73</v>
      </c>
      <c r="J2573">
        <v>-0.01</v>
      </c>
    </row>
    <row r="2574" spans="1:10" x14ac:dyDescent="0.3">
      <c r="A2574" t="str">
        <f>HYPERLINK("https://us2.cloudbeds.com/connect/10074733072513#/reservations/30664872452313?display=YQH6XN9WV&amp;reservation_id=30664872452313", "YQH6XN9WV")</f>
        <v>YQH6XN9WV</v>
      </c>
      <c r="B2574" t="s">
        <v>10</v>
      </c>
      <c r="C2574" t="s">
        <v>14</v>
      </c>
      <c r="D2574" t="str">
        <f>HYPERLINK("https://us2.cloudbeds.com/connect/10074733072513#/reservations/30664872452313?display=Forrest%20Mauckduff&amp;reservation_id=30664872452313&amp;guest_id=30664866447500", "Forrest Mauckduff")</f>
        <v>Forrest Mauckduff</v>
      </c>
      <c r="E2574" t="s">
        <v>1891</v>
      </c>
      <c r="F2574" t="s">
        <v>1872</v>
      </c>
      <c r="G2574">
        <v>64.150000000000006</v>
      </c>
      <c r="H2574">
        <v>69.72</v>
      </c>
      <c r="I2574">
        <v>69.73</v>
      </c>
      <c r="J2574">
        <v>-0.01</v>
      </c>
    </row>
    <row r="2575" spans="1:10" x14ac:dyDescent="0.3">
      <c r="A2575" t="str">
        <f>HYPERLINK("https://us2.cloudbeds.com/connect/10074733072513#/reservations/30664966705375?display=YQH8W613C&amp;reservation_id=30664966705375", "YQH8W613C")</f>
        <v>YQH8W613C</v>
      </c>
      <c r="B2575" t="s">
        <v>10</v>
      </c>
      <c r="C2575" t="s">
        <v>42</v>
      </c>
      <c r="D2575" t="str">
        <f>HYPERLINK("https://us2.cloudbeds.com/connect/10074733072513#/reservations/30664966705375?display=David%20Ludens&amp;reservation_id=30664966705375&amp;guest_id=30664966705365", "David Ludens")</f>
        <v>David Ludens</v>
      </c>
      <c r="E2575" t="s">
        <v>1892</v>
      </c>
      <c r="F2575" t="s">
        <v>1861</v>
      </c>
      <c r="G2575">
        <v>187.2</v>
      </c>
      <c r="H2575">
        <v>203.48</v>
      </c>
      <c r="I2575">
        <v>203.49</v>
      </c>
      <c r="J2575">
        <v>-0.01</v>
      </c>
    </row>
    <row r="2576" spans="1:10" x14ac:dyDescent="0.3">
      <c r="A2576" t="str">
        <f>HYPERLINK("https://us2.cloudbeds.com/connect/10074733072513#/reservations/30665134047374?display=YQHD89XS1&amp;reservation_id=30665134047374", "YQHD89XS1")</f>
        <v>YQHD89XS1</v>
      </c>
      <c r="B2576" t="s">
        <v>10</v>
      </c>
      <c r="C2576" t="s">
        <v>42</v>
      </c>
      <c r="D2576" t="str">
        <f>HYPERLINK("https://us2.cloudbeds.com/connect/10074733072513#/reservations/30665134047374?display=Kathy%20Stephan&amp;reservation_id=30665134047374&amp;guest_id=30665129558212", "Kathy Stephan")</f>
        <v>Kathy Stephan</v>
      </c>
      <c r="E2576" t="s">
        <v>1894</v>
      </c>
      <c r="F2576" t="s">
        <v>1820</v>
      </c>
      <c r="G2576">
        <v>238</v>
      </c>
      <c r="H2576">
        <v>258.7</v>
      </c>
      <c r="I2576">
        <v>258.70999999999998</v>
      </c>
      <c r="J2576">
        <v>-0.01</v>
      </c>
    </row>
    <row r="2577" spans="1:10" x14ac:dyDescent="0.3">
      <c r="A2577" t="str">
        <f>HYPERLINK("https://us2.cloudbeds.com/connect/10074733072513#/reservations/30663842787574?display=YQGD8FC06&amp;reservation_id=30663842787574", "YQGD8FC06")</f>
        <v>YQGD8FC06</v>
      </c>
      <c r="B2577" t="s">
        <v>10</v>
      </c>
      <c r="C2577" t="s">
        <v>14</v>
      </c>
      <c r="D2577" t="str">
        <f>HYPERLINK("https://us2.cloudbeds.com/connect/10074733072513#/reservations/30663842787574?display=Shannon%20Hamilton&amp;reservation_id=30663842787574&amp;guest_id=30663842787569", "Shannon Hamilton")</f>
        <v>Shannon Hamilton</v>
      </c>
      <c r="E2577" t="s">
        <v>1895</v>
      </c>
      <c r="F2577" t="s">
        <v>1896</v>
      </c>
      <c r="G2577">
        <v>87.2</v>
      </c>
      <c r="H2577">
        <v>94.78</v>
      </c>
      <c r="I2577">
        <v>94.79</v>
      </c>
      <c r="J2577">
        <v>-0.01</v>
      </c>
    </row>
    <row r="2578" spans="1:10" x14ac:dyDescent="0.3">
      <c r="A2578" t="str">
        <f>HYPERLINK("https://us2.cloudbeds.com/connect/10074733072513#/reservations/30663847190674?display=YQGDC5T8F&amp;reservation_id=30663847190674", "YQGDC5T8F")</f>
        <v>YQGDC5T8F</v>
      </c>
      <c r="B2578" t="s">
        <v>10</v>
      </c>
      <c r="C2578" t="s">
        <v>23</v>
      </c>
      <c r="D2578" t="str">
        <f>HYPERLINK("https://us2.cloudbeds.com/connect/10074733072513#/reservations/30663847190674?display=James%20Clark&amp;reservation_id=30663847190674&amp;guest_id=30663847190669", "James Clark")</f>
        <v>James Clark</v>
      </c>
      <c r="E2578" t="s">
        <v>1899</v>
      </c>
      <c r="F2578" t="s">
        <v>1900</v>
      </c>
      <c r="G2578">
        <v>294.3</v>
      </c>
      <c r="H2578">
        <v>319.89</v>
      </c>
      <c r="I2578">
        <v>319.89999999999998</v>
      </c>
      <c r="J2578">
        <v>-0.01</v>
      </c>
    </row>
    <row r="2579" spans="1:10" x14ac:dyDescent="0.3">
      <c r="A2579" t="str">
        <f>HYPERLINK("https://us2.cloudbeds.com/connect/10074733072513#/reservations/30664919765200?display=YQH7PJS5R&amp;reservation_id=30664919765200", "YQH7PJS5R")</f>
        <v>YQH7PJS5R</v>
      </c>
      <c r="B2579" t="s">
        <v>10</v>
      </c>
      <c r="C2579" t="s">
        <v>11</v>
      </c>
      <c r="D2579" t="str">
        <f>HYPERLINK("https://us2.cloudbeds.com/connect/10074733072513#/reservations/30664919765200?display=Mahesh%20Tampi&amp;reservation_id=30664919765200&amp;guest_id=30664919765196", "Mahesh Tampi")</f>
        <v>Mahesh Tampi</v>
      </c>
      <c r="E2579" t="s">
        <v>1901</v>
      </c>
      <c r="F2579" t="s">
        <v>1861</v>
      </c>
      <c r="G2579">
        <v>64.150000000000006</v>
      </c>
      <c r="H2579">
        <v>69.72</v>
      </c>
      <c r="I2579">
        <v>69.73</v>
      </c>
      <c r="J2579">
        <v>-0.01</v>
      </c>
    </row>
    <row r="2580" spans="1:10" x14ac:dyDescent="0.3">
      <c r="A2580" t="str">
        <f>HYPERLINK("https://us2.cloudbeds.com/connect/10074733072513#/reservations/30663097454752?display=YQFR6WCH3&amp;reservation_id=30663097454752", "YQFR6WCH3")</f>
        <v>YQFR6WCH3</v>
      </c>
      <c r="B2580" t="s">
        <v>10</v>
      </c>
      <c r="C2580" t="s">
        <v>11</v>
      </c>
      <c r="D2580" t="str">
        <f>HYPERLINK("https://us2.cloudbeds.com/connect/10074733072513#/reservations/30663097454752?display=Isaac%20Lalonde&amp;reservation_id=30663097454752&amp;guest_id=30663097450661", "Isaac Lalonde")</f>
        <v>Isaac Lalonde</v>
      </c>
      <c r="E2580" t="s">
        <v>1902</v>
      </c>
      <c r="F2580" t="s">
        <v>1903</v>
      </c>
      <c r="G2580">
        <v>64.150000000000006</v>
      </c>
      <c r="H2580">
        <v>69.72</v>
      </c>
      <c r="I2580">
        <v>69.73</v>
      </c>
      <c r="J2580">
        <v>-0.01</v>
      </c>
    </row>
    <row r="2581" spans="1:10" x14ac:dyDescent="0.3">
      <c r="A2581" t="str">
        <f>HYPERLINK("https://us2.cloudbeds.com/connect/10074733072513#/reservations/30663079674075?display=YQFQZWJWN&amp;reservation_id=30663079674075", "YQFQZWJWN")</f>
        <v>YQFQZWJWN</v>
      </c>
      <c r="B2581" t="s">
        <v>10</v>
      </c>
      <c r="C2581" t="s">
        <v>11</v>
      </c>
      <c r="D2581" t="str">
        <f>HYPERLINK("https://us2.cloudbeds.com/connect/10074733072513#/reservations/30663079674075?display=Larry%20Derksen&amp;reservation_id=30663079674075&amp;guest_id=30663079669983", "Larry Derksen")</f>
        <v>Larry Derksen</v>
      </c>
      <c r="E2581" t="s">
        <v>1904</v>
      </c>
      <c r="F2581" t="s">
        <v>1903</v>
      </c>
      <c r="G2581">
        <v>64.150000000000006</v>
      </c>
      <c r="H2581">
        <v>69.72</v>
      </c>
      <c r="I2581">
        <v>69.73</v>
      </c>
      <c r="J2581">
        <v>-0.01</v>
      </c>
    </row>
    <row r="2582" spans="1:10" x14ac:dyDescent="0.3">
      <c r="A2582" t="str">
        <f>HYPERLINK("https://us2.cloudbeds.com/connect/10074733072513#/reservations/30663086411960?display=YQFQUM371&amp;reservation_id=30663086411960", "YQFQUM371")</f>
        <v>YQFQUM371</v>
      </c>
      <c r="B2582" t="s">
        <v>10</v>
      </c>
      <c r="C2582" t="s">
        <v>14</v>
      </c>
      <c r="D2582" t="str">
        <f>HYPERLINK("https://us2.cloudbeds.com/connect/10074733072513#/reservations/30663086411960?display=Bryce%20Bray&amp;reservation_id=30663086411960&amp;guest_id=30663086411958", "Bryce Bray")</f>
        <v>Bryce Bray</v>
      </c>
      <c r="E2582" t="s">
        <v>1905</v>
      </c>
      <c r="F2582" t="s">
        <v>1903</v>
      </c>
      <c r="G2582">
        <v>64.150000000000006</v>
      </c>
      <c r="H2582">
        <v>69.72</v>
      </c>
      <c r="I2582">
        <v>69.73</v>
      </c>
      <c r="J2582">
        <v>-0.01</v>
      </c>
    </row>
    <row r="2583" spans="1:10" x14ac:dyDescent="0.3">
      <c r="A2583" t="str">
        <f>HYPERLINK("https://us2.cloudbeds.com/connect/10074733072513#/reservations/30663900922048?display=YQGEJZTE0&amp;reservation_id=30663900922048", "YQGEJZTE0")</f>
        <v>YQGEJZTE0</v>
      </c>
      <c r="B2583" t="s">
        <v>10</v>
      </c>
      <c r="C2583" t="s">
        <v>11</v>
      </c>
      <c r="D2583" t="str">
        <f>HYPERLINK("https://us2.cloudbeds.com/connect/10074733072513#/reservations/30663900922048?display=Katie%20Henderson&amp;reservation_id=30663900922048&amp;guest_id=30663895310496", "Katie Henderson")</f>
        <v>Katie Henderson</v>
      </c>
      <c r="E2583" t="s">
        <v>1906</v>
      </c>
      <c r="F2583" t="s">
        <v>1900</v>
      </c>
      <c r="G2583">
        <v>64.150000000000006</v>
      </c>
      <c r="H2583">
        <v>69.72</v>
      </c>
      <c r="I2583">
        <v>69.73</v>
      </c>
      <c r="J2583">
        <v>-0.01</v>
      </c>
    </row>
    <row r="2584" spans="1:10" x14ac:dyDescent="0.3">
      <c r="A2584" t="str">
        <f>HYPERLINK("https://us2.cloudbeds.com/connect/10074733072513#/reservations/30663889129675?display=YQGEEHTZ9&amp;reservation_id=30663889129675", "YQGEEHTZ9")</f>
        <v>YQGEEHTZ9</v>
      </c>
      <c r="B2584" t="s">
        <v>10</v>
      </c>
      <c r="C2584" t="s">
        <v>14</v>
      </c>
      <c r="D2584" t="str">
        <f>HYPERLINK("https://us2.cloudbeds.com/connect/10074733072513#/reservations/30663889129675?display=Randy%20Kudrna&amp;reservation_id=30663889129675&amp;guest_id=30663889129671", "Randy Kudrna")</f>
        <v>Randy Kudrna</v>
      </c>
      <c r="E2584" t="s">
        <v>1907</v>
      </c>
      <c r="F2584" t="s">
        <v>1900</v>
      </c>
      <c r="G2584">
        <v>64.150000000000006</v>
      </c>
      <c r="H2584">
        <v>69.72</v>
      </c>
      <c r="I2584">
        <v>69.73</v>
      </c>
      <c r="J2584">
        <v>-0.01</v>
      </c>
    </row>
    <row r="2585" spans="1:10" x14ac:dyDescent="0.3">
      <c r="A2585" t="str">
        <f>HYPERLINK("https://us2.cloudbeds.com/connect/10074733072513#/reservations/30662605357203?display=YQFEY11A5&amp;reservation_id=30662605357203", "YQFEY11A5")</f>
        <v>YQFEY11A5</v>
      </c>
      <c r="B2585" t="s">
        <v>10</v>
      </c>
      <c r="C2585" t="s">
        <v>11</v>
      </c>
      <c r="D2585" t="str">
        <f>HYPERLINK("https://us2.cloudbeds.com/connect/10074733072513#/reservations/30662605357203?display=Thomas%20Oines&amp;reservation_id=30662605357203&amp;guest_id=30662605357195", "Thomas Oines")</f>
        <v>Thomas Oines</v>
      </c>
      <c r="E2585" t="s">
        <v>1908</v>
      </c>
      <c r="F2585" t="s">
        <v>1829</v>
      </c>
      <c r="G2585">
        <v>64.150000000000006</v>
      </c>
      <c r="H2585">
        <v>69.72</v>
      </c>
      <c r="I2585">
        <v>69.73</v>
      </c>
      <c r="J2585">
        <v>-0.01</v>
      </c>
    </row>
    <row r="2586" spans="1:10" x14ac:dyDescent="0.3">
      <c r="A2586" t="str">
        <f>HYPERLINK("https://us2.cloudbeds.com/connect/10074733072513#/reservations/30665134051477?display=YQHD89MKC&amp;reservation_id=30665134051477", "YQHD89MKC")</f>
        <v>YQHD89MKC</v>
      </c>
      <c r="B2586" t="s">
        <v>10</v>
      </c>
      <c r="C2586" t="s">
        <v>14</v>
      </c>
      <c r="D2586" t="str">
        <f>HYPERLINK("https://us2.cloudbeds.com/connect/10074733072513#/reservations/30665134051477?display=Todd%20Willson&amp;reservation_id=30665134051477&amp;guest_id=30665134051475", "Todd Willson")</f>
        <v>Todd Willson</v>
      </c>
      <c r="E2586" t="s">
        <v>1909</v>
      </c>
      <c r="F2586" t="s">
        <v>1820</v>
      </c>
      <c r="G2586">
        <v>119.2</v>
      </c>
      <c r="H2586">
        <v>129.56</v>
      </c>
      <c r="I2586">
        <v>129.57</v>
      </c>
      <c r="J2586">
        <v>-0.01</v>
      </c>
    </row>
    <row r="2587" spans="1:10" x14ac:dyDescent="0.3">
      <c r="A2587" t="str">
        <f>HYPERLINK("https://us2.cloudbeds.com/connect/10074733072513#/reservations/30662847721605?display=YQFKRD64W&amp;reservation_id=30662847721605", "YQFKRD64W")</f>
        <v>YQFKRD64W</v>
      </c>
      <c r="B2587" t="s">
        <v>10</v>
      </c>
      <c r="C2587" t="s">
        <v>42</v>
      </c>
      <c r="D2587" t="str">
        <f>HYPERLINK("https://us2.cloudbeds.com/connect/10074733072513#/reservations/30662847721605?display=Michael%20Kissner&amp;reservation_id=30662847721605&amp;guest_id=30662847721603", "Michael Kissner")</f>
        <v>Michael Kissner</v>
      </c>
      <c r="E2587" t="s">
        <v>1910</v>
      </c>
      <c r="F2587" t="s">
        <v>1890</v>
      </c>
      <c r="G2587">
        <v>187.2</v>
      </c>
      <c r="H2587">
        <v>203.48</v>
      </c>
      <c r="I2587">
        <v>203.49</v>
      </c>
      <c r="J2587">
        <v>-0.01</v>
      </c>
    </row>
    <row r="2588" spans="1:10" x14ac:dyDescent="0.3">
      <c r="A2588" t="str">
        <f>HYPERLINK("https://us2.cloudbeds.com/connect/10074733072513#/reservations/30665119969473?display=YQHCTDRFW&amp;reservation_id=30665119969473", "YQHCTDRFW")</f>
        <v>YQHCTDRFW</v>
      </c>
      <c r="B2588" t="s">
        <v>10</v>
      </c>
      <c r="C2588" t="s">
        <v>42</v>
      </c>
      <c r="D2588" t="str">
        <f>HYPERLINK("https://us2.cloudbeds.com/connect/10074733072513#/reservations/30665119969473?display=Al%20Mclaughlin&amp;reservation_id=30665119969473&amp;guest_id=30665114362010", "Al Mclaughlin")</f>
        <v>Al Mclaughlin</v>
      </c>
      <c r="E2588" t="s">
        <v>1911</v>
      </c>
      <c r="F2588" t="s">
        <v>1820</v>
      </c>
      <c r="G2588">
        <v>84.15</v>
      </c>
      <c r="H2588">
        <v>91.46</v>
      </c>
      <c r="I2588">
        <v>91.47</v>
      </c>
      <c r="J2588">
        <v>-0.01</v>
      </c>
    </row>
    <row r="2589" spans="1:10" x14ac:dyDescent="0.3">
      <c r="A2589" t="str">
        <f>HYPERLINK("https://us2.cloudbeds.com/connect/10074733072513#/reservations/30664937267328?display=YQH7W95KQ&amp;reservation_id=30664937267328", "YQH7W95KQ")</f>
        <v>YQH7W95KQ</v>
      </c>
      <c r="B2589" t="s">
        <v>10</v>
      </c>
      <c r="C2589" t="s">
        <v>17</v>
      </c>
      <c r="D2589" t="str">
        <f>HYPERLINK("https://us2.cloudbeds.com/connect/10074733072513#/reservations/30664937267328?display=Mitchell%20Antonsen&amp;reservation_id=30664937267328&amp;guest_id=30664927682719", "Mitchell Antonsen")</f>
        <v>Mitchell Antonsen</v>
      </c>
      <c r="E2589" t="s">
        <v>1912</v>
      </c>
      <c r="F2589" t="s">
        <v>1913</v>
      </c>
      <c r="G2589">
        <v>250.2</v>
      </c>
      <c r="H2589">
        <v>271.95999999999998</v>
      </c>
      <c r="I2589">
        <v>271.97000000000003</v>
      </c>
      <c r="J2589">
        <v>-0.01</v>
      </c>
    </row>
    <row r="2590" spans="1:10" x14ac:dyDescent="0.3">
      <c r="A2590" t="str">
        <f>HYPERLINK("https://us2.cloudbeds.com/connect/10074733072513#/reservations/30663482421388?display=YQG41JY7Z&amp;reservation_id=30663482421388", "YQG41JY7Z")</f>
        <v>YQG41JY7Z</v>
      </c>
      <c r="B2590" t="s">
        <v>10</v>
      </c>
      <c r="C2590" t="s">
        <v>11</v>
      </c>
      <c r="D2590" t="str">
        <f>HYPERLINK("https://us2.cloudbeds.com/connect/10074733072513#/reservations/30663482421388?display=Patrick%20J%20Rider&amp;reservation_id=30663482421388&amp;guest_id=30663482417327", "Patrick J Rider")</f>
        <v>Patrick J Rider</v>
      </c>
      <c r="E2590" t="s">
        <v>1914</v>
      </c>
      <c r="F2590" t="s">
        <v>1915</v>
      </c>
      <c r="G2590">
        <v>72.17</v>
      </c>
      <c r="H2590">
        <v>78.44</v>
      </c>
      <c r="I2590">
        <v>78.45</v>
      </c>
      <c r="J2590">
        <v>-0.01</v>
      </c>
    </row>
    <row r="2591" spans="1:10" x14ac:dyDescent="0.3">
      <c r="A2591" t="str">
        <f>HYPERLINK("https://us2.cloudbeds.com/connect/10074733072513#/reservations/30663508353227?display=YQG4NF7P1&amp;reservation_id=30663508353227", "YQG4NF7P1")</f>
        <v>YQG4NF7P1</v>
      </c>
      <c r="B2591" t="s">
        <v>10</v>
      </c>
      <c r="C2591" t="s">
        <v>11</v>
      </c>
      <c r="D2591" t="str">
        <f>HYPERLINK("https://us2.cloudbeds.com/connect/10074733072513#/reservations/30663508353227?display=John%20Reimer&amp;reservation_id=30663508353227&amp;guest_id=30651272974537", "John Reimer")</f>
        <v>John Reimer</v>
      </c>
      <c r="E2591" t="s">
        <v>1916</v>
      </c>
      <c r="F2591" t="s">
        <v>1917</v>
      </c>
      <c r="G2591">
        <v>64.150000000000006</v>
      </c>
      <c r="H2591">
        <v>69.72</v>
      </c>
      <c r="I2591">
        <v>69.73</v>
      </c>
      <c r="J2591">
        <v>-0.01</v>
      </c>
    </row>
    <row r="2592" spans="1:10" x14ac:dyDescent="0.3">
      <c r="A2592" t="str">
        <f>HYPERLINK("https://us2.cloudbeds.com/connect/10074733072513#/reservations/30664311734473?display=YQGP7TGJ8&amp;reservation_id=30664311734473", "YQGP7TGJ8")</f>
        <v>YQGP7TGJ8</v>
      </c>
      <c r="B2592" t="s">
        <v>10</v>
      </c>
      <c r="C2592" t="s">
        <v>11</v>
      </c>
      <c r="D2592" t="str">
        <f>HYPERLINK("https://us2.cloudbeds.com/connect/10074733072513#/reservations/30664311734473?display=Wes%20Bolstad&amp;reservation_id=30664311734473&amp;guest_id=30664306020599", "Wes Bolstad")</f>
        <v>Wes Bolstad</v>
      </c>
      <c r="E2592" t="s">
        <v>1919</v>
      </c>
      <c r="F2592" t="s">
        <v>1913</v>
      </c>
      <c r="G2592">
        <v>72.17</v>
      </c>
      <c r="H2592">
        <v>78.44</v>
      </c>
      <c r="I2592">
        <v>78.45</v>
      </c>
      <c r="J2592">
        <v>-0.01</v>
      </c>
    </row>
    <row r="2593" spans="1:10" x14ac:dyDescent="0.3">
      <c r="A2593" t="str">
        <f>HYPERLINK("https://us2.cloudbeds.com/connect/10074733072513#/reservations/30664296980627?display=YQGZSEVH0&amp;reservation_id=30664296980627", "YQGZSEVH0")</f>
        <v>YQGZSEVH0</v>
      </c>
      <c r="B2593" t="s">
        <v>10</v>
      </c>
      <c r="C2593" t="s">
        <v>11</v>
      </c>
      <c r="D2593" t="str">
        <f>HYPERLINK("https://us2.cloudbeds.com/connect/10074733072513#/reservations/30664296980627?display=Dori%20Bolstad&amp;reservation_id=30664296980627&amp;guest_id=30664296976541", "Dori Bolstad")</f>
        <v>Dori Bolstad</v>
      </c>
      <c r="E2593" t="s">
        <v>1919</v>
      </c>
      <c r="F2593" t="s">
        <v>1913</v>
      </c>
      <c r="G2593">
        <v>72.17</v>
      </c>
      <c r="H2593">
        <v>78.44</v>
      </c>
      <c r="I2593">
        <v>78.45</v>
      </c>
      <c r="J2593">
        <v>-0.01</v>
      </c>
    </row>
    <row r="2594" spans="1:10" x14ac:dyDescent="0.3">
      <c r="A2594" t="str">
        <f>HYPERLINK("https://us2.cloudbeds.com/connect/10074733072513#/reservations/30664137900176?display=YQGKQAA4A&amp;reservation_id=30664137900176", "YQGKQAA4A")</f>
        <v>YQGKQAA4A</v>
      </c>
      <c r="B2594" t="s">
        <v>10</v>
      </c>
      <c r="C2594" t="s">
        <v>11</v>
      </c>
      <c r="D2594" t="str">
        <f>HYPERLINK("https://us2.cloudbeds.com/connect/10074733072513#/reservations/30664137900176?display=Ivan%20Lau&amp;reservation_id=30664137900176&amp;guest_id=30664137896084", "Ivan Lau")</f>
        <v>Ivan Lau</v>
      </c>
      <c r="E2594" t="s">
        <v>1921</v>
      </c>
      <c r="F2594" t="s">
        <v>1917</v>
      </c>
      <c r="G2594">
        <v>64.150000000000006</v>
      </c>
      <c r="H2594">
        <v>69.72</v>
      </c>
      <c r="I2594">
        <v>69.73</v>
      </c>
      <c r="J2594">
        <v>-0.01</v>
      </c>
    </row>
    <row r="2595" spans="1:10" x14ac:dyDescent="0.3">
      <c r="A2595" t="str">
        <f>HYPERLINK("https://us2.cloudbeds.com/connect/10074733072513#/reservations/30664589353125?display=YQGWAWYFN&amp;reservation_id=30664589353125", "YQGWAWYFN")</f>
        <v>YQGWAWYFN</v>
      </c>
      <c r="B2595" t="s">
        <v>10</v>
      </c>
      <c r="C2595" t="s">
        <v>11</v>
      </c>
      <c r="D2595" t="str">
        <f>HYPERLINK("https://us2.cloudbeds.com/connect/10074733072513#/reservations/30664589353125?display=Robert%20Kaubisch&amp;reservation_id=30664589353125&amp;guest_id=30664589353119", "Robert Kaubisch")</f>
        <v>Robert Kaubisch</v>
      </c>
      <c r="E2595" t="s">
        <v>1817</v>
      </c>
      <c r="F2595" t="s">
        <v>1816</v>
      </c>
      <c r="G2595">
        <v>64.150000000000006</v>
      </c>
      <c r="H2595">
        <v>69.72</v>
      </c>
      <c r="I2595">
        <v>69.73</v>
      </c>
      <c r="J2595">
        <v>-0.01</v>
      </c>
    </row>
    <row r="2596" spans="1:10" x14ac:dyDescent="0.3">
      <c r="A2596" t="str">
        <f>HYPERLINK("https://us2.cloudbeds.com/connect/10074733072513#/reservations/30664786591919?display=YQH4CA3YS&amp;reservation_id=30664786591919", "YQH4CA3YS")</f>
        <v>YQH4CA3YS</v>
      </c>
      <c r="B2596" t="s">
        <v>10</v>
      </c>
      <c r="C2596" t="s">
        <v>11</v>
      </c>
      <c r="D2596" t="str">
        <f>HYPERLINK("https://us2.cloudbeds.com/connect/10074733072513#/reservations/30664786591919?display=Laurel%20Gregory&amp;reservation_id=30664786591919&amp;guest_id=30664774639839", "Laurel Gregory")</f>
        <v>Laurel Gregory</v>
      </c>
      <c r="E2596" t="s">
        <v>1922</v>
      </c>
      <c r="F2596" t="s">
        <v>1923</v>
      </c>
      <c r="G2596">
        <v>64.150000000000006</v>
      </c>
      <c r="H2596">
        <v>69.72</v>
      </c>
      <c r="I2596">
        <v>69.73</v>
      </c>
      <c r="J2596">
        <v>-0.01</v>
      </c>
    </row>
    <row r="2597" spans="1:10" x14ac:dyDescent="0.3">
      <c r="A2597" t="str">
        <f>HYPERLINK("https://us2.cloudbeds.com/connect/10074733072513#/reservations/30664146874591?display=YQGY0T139&amp;reservation_id=30664146874591", "YQGY0T139")</f>
        <v>YQGY0T139</v>
      </c>
      <c r="B2597" t="s">
        <v>10</v>
      </c>
      <c r="C2597" t="s">
        <v>11</v>
      </c>
      <c r="D2597" t="str">
        <f>HYPERLINK("https://us2.cloudbeds.com/connect/10074733072513#/reservations/30664146874591?display=Rodney%20Lamar%20Bennett&amp;reservation_id=30664146874591&amp;guest_id=30664146870506", "Rodney Lamar Bennett")</f>
        <v>Rodney Lamar Bennett</v>
      </c>
      <c r="E2597" t="s">
        <v>1924</v>
      </c>
      <c r="F2597" t="s">
        <v>1917</v>
      </c>
      <c r="G2597">
        <v>64.150000000000006</v>
      </c>
      <c r="H2597">
        <v>69.72</v>
      </c>
      <c r="I2597">
        <v>69.73</v>
      </c>
      <c r="J2597">
        <v>-0.01</v>
      </c>
    </row>
    <row r="2598" spans="1:10" x14ac:dyDescent="0.3">
      <c r="A2598" t="str">
        <f>HYPERLINK("https://us2.cloudbeds.com/connect/10074733072513#/reservations/30664325828770?display=YQGPJPN06&amp;reservation_id=30664325828770", "YQGPJPN06")</f>
        <v>YQGPJPN06</v>
      </c>
      <c r="B2598" t="s">
        <v>10</v>
      </c>
      <c r="C2598" t="s">
        <v>42</v>
      </c>
      <c r="D2598" t="str">
        <f>HYPERLINK("https://us2.cloudbeds.com/connect/10074733072513#/reservations/30664325828770?display=Josh%20Frost&amp;reservation_id=30664325828770&amp;guest_id=30664325828765", "Josh Frost")</f>
        <v>Josh Frost</v>
      </c>
      <c r="E2598" t="s">
        <v>1925</v>
      </c>
      <c r="F2598" t="s">
        <v>1913</v>
      </c>
      <c r="G2598">
        <v>196.2</v>
      </c>
      <c r="H2598">
        <v>213.26</v>
      </c>
      <c r="I2598">
        <v>213.27</v>
      </c>
      <c r="J2598">
        <v>-0.01</v>
      </c>
    </row>
    <row r="2599" spans="1:10" x14ac:dyDescent="0.3">
      <c r="A2599" t="str">
        <f>HYPERLINK("https://us2.cloudbeds.com/connect/10074733072513#/reservations/30664606531797?display=YQGWPFM6H&amp;reservation_id=30664606531797", "YQGWPFM6H")</f>
        <v>YQGWPFM6H</v>
      </c>
      <c r="B2599" t="s">
        <v>10</v>
      </c>
      <c r="C2599" t="s">
        <v>14</v>
      </c>
      <c r="D2599" t="str">
        <f>HYPERLINK("https://us2.cloudbeds.com/connect/10074733072513#/reservations/30664606531797?display=Baleigh%20Cerv&amp;reservation_id=30664606531797&amp;guest_id=30664606531794", "Baleigh Cerv")</f>
        <v>Baleigh Cerv</v>
      </c>
      <c r="E2599" t="s">
        <v>1926</v>
      </c>
      <c r="F2599" t="s">
        <v>1816</v>
      </c>
      <c r="G2599">
        <v>64.150000000000006</v>
      </c>
      <c r="H2599">
        <v>69.72</v>
      </c>
      <c r="I2599">
        <v>69.73</v>
      </c>
      <c r="J2599">
        <v>-0.01</v>
      </c>
    </row>
    <row r="2600" spans="1:10" x14ac:dyDescent="0.3">
      <c r="A2600" t="str">
        <f>HYPERLINK("https://us2.cloudbeds.com/connect/10074733072513#/reservations/30664619544830?display=YQH03EPNS&amp;reservation_id=30664619544830", "YQH03EPNS")</f>
        <v>YQH03EPNS</v>
      </c>
      <c r="B2600" t="s">
        <v>10</v>
      </c>
      <c r="C2600" t="s">
        <v>14</v>
      </c>
      <c r="D2600" t="str">
        <f>HYPERLINK("https://us2.cloudbeds.com/connect/10074733072513#/reservations/30664619544830?display=Morgan%20Selland&amp;reservation_id=30664619544830&amp;guest_id=30664619544819", "Morgan Selland")</f>
        <v>Morgan Selland</v>
      </c>
      <c r="E2600" t="s">
        <v>1927</v>
      </c>
      <c r="F2600" t="s">
        <v>1816</v>
      </c>
      <c r="G2600">
        <v>64.150000000000006</v>
      </c>
      <c r="H2600">
        <v>69.72</v>
      </c>
      <c r="I2600">
        <v>69.73</v>
      </c>
      <c r="J2600">
        <v>-0.01</v>
      </c>
    </row>
    <row r="2601" spans="1:10" x14ac:dyDescent="0.3">
      <c r="A2601" t="str">
        <f>HYPERLINK("https://us2.cloudbeds.com/connect/10074733072513#/reservations/30664215089309?display=YQGMPD6SV&amp;reservation_id=30664215089309", "YQGMPD6SV")</f>
        <v>YQGMPD6SV</v>
      </c>
      <c r="B2601" t="s">
        <v>10</v>
      </c>
      <c r="C2601" t="s">
        <v>11</v>
      </c>
      <c r="D2601" t="str">
        <f>HYPERLINK("https://us2.cloudbeds.com/connect/10074733072513#/reservations/30664215089309?display=Forrest%20Cerv&amp;reservation_id=30664215089309&amp;guest_id=30664215089303", "Forrest Cerv")</f>
        <v>Forrest Cerv</v>
      </c>
      <c r="E2601" t="s">
        <v>1928</v>
      </c>
      <c r="F2601" t="s">
        <v>1816</v>
      </c>
      <c r="G2601">
        <v>64.150000000000006</v>
      </c>
      <c r="H2601">
        <v>69.72</v>
      </c>
      <c r="I2601">
        <v>69.73</v>
      </c>
      <c r="J2601">
        <v>-0.01</v>
      </c>
    </row>
    <row r="2602" spans="1:10" x14ac:dyDescent="0.3">
      <c r="A2602" t="str">
        <f>HYPERLINK("https://us2.cloudbeds.com/connect/10074733072513#/reservations/30664638468338?display=YQH0JDBMG&amp;reservation_id=30664638468338", "YQH0JDBMG")</f>
        <v>YQH0JDBMG</v>
      </c>
      <c r="B2602" t="s">
        <v>10</v>
      </c>
      <c r="C2602" t="s">
        <v>14</v>
      </c>
      <c r="D2602" t="str">
        <f>HYPERLINK("https://us2.cloudbeds.com/connect/10074733072513#/reservations/30664638468338?display=Duane%20Nicol&amp;reservation_id=30664638468338&amp;guest_id=30664638468336", "Duane Nicol")</f>
        <v>Duane Nicol</v>
      </c>
      <c r="E2602" t="s">
        <v>1929</v>
      </c>
      <c r="F2602" t="s">
        <v>1816</v>
      </c>
      <c r="G2602">
        <v>64.150000000000006</v>
      </c>
      <c r="H2602">
        <v>69.72</v>
      </c>
      <c r="I2602">
        <v>69.73</v>
      </c>
      <c r="J2602">
        <v>-0.01</v>
      </c>
    </row>
    <row r="2603" spans="1:10" x14ac:dyDescent="0.3">
      <c r="A2603" t="str">
        <f>HYPERLINK("https://us2.cloudbeds.com/connect/10074733072513#/reservations/30665192788103?display=YQHEZR3U4&amp;reservation_id=30665192788103", "YQHEZR3U4")</f>
        <v>YQHEZR3U4</v>
      </c>
      <c r="B2603" t="s">
        <v>10</v>
      </c>
      <c r="C2603" t="s">
        <v>42</v>
      </c>
      <c r="D2603" t="str">
        <f>HYPERLINK("https://us2.cloudbeds.com/connect/10074733072513#/reservations/30665192788103?display=David%20Anderson&amp;reservation_id=30665192788103&amp;guest_id=30665192788101", "David Anderson")</f>
        <v>David Anderson</v>
      </c>
      <c r="E2603" t="s">
        <v>1930</v>
      </c>
      <c r="F2603" t="s">
        <v>1931</v>
      </c>
      <c r="G2603">
        <v>80.099999999999994</v>
      </c>
      <c r="H2603">
        <v>87.06</v>
      </c>
      <c r="I2603">
        <v>87.07</v>
      </c>
      <c r="J2603">
        <v>-0.01</v>
      </c>
    </row>
    <row r="2604" spans="1:10" x14ac:dyDescent="0.3">
      <c r="A2604" t="str">
        <f>HYPERLINK("https://us2.cloudbeds.com/connect/10074733072513#/reservations/30664890302613?display=YQH70P0F5&amp;reservation_id=30664890302613", "YQH70P0F5")</f>
        <v>YQH70P0F5</v>
      </c>
      <c r="B2604" t="s">
        <v>10</v>
      </c>
      <c r="C2604" t="s">
        <v>11</v>
      </c>
      <c r="D2604" t="str">
        <f>HYPERLINK("https://us2.cloudbeds.com/connect/10074733072513#/reservations/30664890302613?display=Michael%20Lusty&amp;reservation_id=30664890302613&amp;guest_id=30664890298531", "Michael Lusty")</f>
        <v>Michael Lusty</v>
      </c>
      <c r="E2604" t="s">
        <v>1932</v>
      </c>
      <c r="F2604" t="s">
        <v>1913</v>
      </c>
      <c r="G2604">
        <v>64.150000000000006</v>
      </c>
      <c r="H2604">
        <v>69.72</v>
      </c>
      <c r="I2604">
        <v>69.73</v>
      </c>
      <c r="J2604">
        <v>-0.01</v>
      </c>
    </row>
    <row r="2605" spans="1:10" x14ac:dyDescent="0.3">
      <c r="A2605" t="str">
        <f>HYPERLINK("https://us2.cloudbeds.com/connect/10074733072513#/reservations/30663590211753?display=YQG6QG29E&amp;reservation_id=30663590211753", "YQG6QG29E")</f>
        <v>YQG6QG29E</v>
      </c>
      <c r="B2605" t="s">
        <v>10</v>
      </c>
      <c r="C2605" t="s">
        <v>11</v>
      </c>
      <c r="D2605" t="str">
        <f>HYPERLINK("https://us2.cloudbeds.com/connect/10074733072513#/reservations/30663590211753?display=Jay%20Leibel&amp;reservation_id=30663590211753&amp;guest_id=30663579750620", "Jay Leibel")</f>
        <v>Jay Leibel</v>
      </c>
      <c r="E2605" t="s">
        <v>1933</v>
      </c>
      <c r="F2605" t="s">
        <v>1920</v>
      </c>
      <c r="G2605">
        <v>64.150000000000006</v>
      </c>
      <c r="H2605">
        <v>69.72</v>
      </c>
      <c r="I2605">
        <v>69.73</v>
      </c>
      <c r="J2605">
        <v>-0.01</v>
      </c>
    </row>
    <row r="2606" spans="1:10" x14ac:dyDescent="0.3">
      <c r="A2606" t="str">
        <f>HYPERLINK("https://us2.cloudbeds.com/connect/10074733072513#/reservations/30665172164818?display=YQHE7E833&amp;reservation_id=30665172164818", "YQHE7E833")</f>
        <v>YQHE7E833</v>
      </c>
      <c r="B2606" t="s">
        <v>10</v>
      </c>
      <c r="C2606" t="s">
        <v>11</v>
      </c>
      <c r="D2606" t="str">
        <f>HYPERLINK("https://us2.cloudbeds.com/connect/10074733072513#/reservations/30665172164818?display=Mary%20Jo%20Shannon&amp;reservation_id=30665172164818&amp;guest_id=30665166504066", "Mary Jo Shannon")</f>
        <v>Mary Jo Shannon</v>
      </c>
      <c r="E2606" t="s">
        <v>1934</v>
      </c>
      <c r="F2606" t="s">
        <v>1874</v>
      </c>
      <c r="G2606">
        <v>87.2</v>
      </c>
      <c r="H2606">
        <v>94.78</v>
      </c>
      <c r="I2606">
        <v>94.79</v>
      </c>
      <c r="J2606">
        <v>-0.01</v>
      </c>
    </row>
    <row r="2607" spans="1:10" x14ac:dyDescent="0.3">
      <c r="A2607" t="str">
        <f>HYPERLINK("https://us2.cloudbeds.com/connect/10074733072513#/reservations/30665311416506?display=YQHHPS486&amp;reservation_id=30665311416506", "YQHHPS486")</f>
        <v>YQHHPS486</v>
      </c>
      <c r="B2607" t="s">
        <v>10</v>
      </c>
      <c r="C2607" t="s">
        <v>42</v>
      </c>
      <c r="D2607" t="str">
        <f>HYPERLINK("https://us2.cloudbeds.com/connect/10074733072513#/reservations/30665311416506?display=Valerie%20Mccarthy&amp;reservation_id=30665311416506&amp;guest_id=30665311416460", "Valerie Mccarthy")</f>
        <v>Valerie Mccarthy</v>
      </c>
      <c r="E2607" t="s">
        <v>1935</v>
      </c>
      <c r="F2607" t="s">
        <v>1936</v>
      </c>
      <c r="G2607">
        <v>196.2</v>
      </c>
      <c r="H2607">
        <v>213.26</v>
      </c>
      <c r="I2607">
        <v>213.27</v>
      </c>
      <c r="J2607">
        <v>-0.01</v>
      </c>
    </row>
    <row r="2608" spans="1:10" x14ac:dyDescent="0.3">
      <c r="A2608" t="str">
        <f>HYPERLINK("https://us2.cloudbeds.com/connect/10074733072513#/reservations/30665224708231?display=YQHFXZBAZ&amp;reservation_id=30665224708231", "YQHFXZBAZ")</f>
        <v>YQHFXZBAZ</v>
      </c>
      <c r="B2608" t="s">
        <v>10</v>
      </c>
      <c r="C2608" t="s">
        <v>14</v>
      </c>
      <c r="D2608" t="str">
        <f>HYPERLINK("https://us2.cloudbeds.com/connect/10074733072513#/reservations/30665224708231?display=Terry%20Fregia&amp;reservation_id=30665224708231&amp;guest_id=30665224704139", "Terry Fregia")</f>
        <v>Terry Fregia</v>
      </c>
      <c r="E2608" t="s">
        <v>1937</v>
      </c>
      <c r="F2608" t="s">
        <v>1931</v>
      </c>
      <c r="G2608">
        <v>64.150000000000006</v>
      </c>
      <c r="H2608">
        <v>69.72</v>
      </c>
      <c r="I2608">
        <v>69.73</v>
      </c>
      <c r="J2608">
        <v>-0.01</v>
      </c>
    </row>
    <row r="2609" spans="1:10" x14ac:dyDescent="0.3">
      <c r="A2609" t="str">
        <f>HYPERLINK("https://us2.cloudbeds.com/connect/10074733072513#/reservations/30662313652474?display=YQF761UHU&amp;reservation_id=30662313652474", "YQF761UHU")</f>
        <v>YQF761UHU</v>
      </c>
      <c r="B2609" t="s">
        <v>10</v>
      </c>
      <c r="C2609" t="s">
        <v>11</v>
      </c>
      <c r="D2609" t="str">
        <f>HYPERLINK("https://us2.cloudbeds.com/connect/10074733072513#/reservations/30662313652474?display=Janelle%20Aguirre%20Andrade&amp;reservation_id=30662313652474&amp;guest_id=30662313652470", "Janelle Aguirre Andrade")</f>
        <v>Janelle Aguirre Andrade</v>
      </c>
      <c r="E2609" t="s">
        <v>1938</v>
      </c>
      <c r="F2609" t="s">
        <v>1931</v>
      </c>
      <c r="G2609">
        <v>64.150000000000006</v>
      </c>
      <c r="H2609">
        <v>69.72</v>
      </c>
      <c r="I2609">
        <v>69.73</v>
      </c>
      <c r="J2609">
        <v>-0.01</v>
      </c>
    </row>
    <row r="2610" spans="1:10" x14ac:dyDescent="0.3">
      <c r="A2610" t="str">
        <f>HYPERLINK("https://us2.cloudbeds.com/connect/10074733072513#/reservations/30664366006409?display=YQGQKYN2D&amp;reservation_id=30664366006409", "YQGQKYN2D")</f>
        <v>YQGQKYN2D</v>
      </c>
      <c r="B2610" t="s">
        <v>10</v>
      </c>
      <c r="C2610" t="s">
        <v>42</v>
      </c>
      <c r="D2610" t="str">
        <f>HYPERLINK("https://us2.cloudbeds.com/connect/10074733072513#/reservations/30664366006409?display=Enrique%20Voth&amp;reservation_id=30664366006409&amp;guest_id=30664366006406", "Enrique Voth")</f>
        <v>Enrique Voth</v>
      </c>
      <c r="E2610" t="s">
        <v>1939</v>
      </c>
      <c r="F2610" t="s">
        <v>1940</v>
      </c>
      <c r="G2610">
        <v>80.099999999999994</v>
      </c>
      <c r="H2610">
        <v>87.06</v>
      </c>
      <c r="I2610">
        <v>87.07</v>
      </c>
      <c r="J2610">
        <v>-0.01</v>
      </c>
    </row>
    <row r="2611" spans="1:10" x14ac:dyDescent="0.3">
      <c r="A2611" t="str">
        <f>HYPERLINK("https://us2.cloudbeds.com/connect/10074733072513#/reservations/30665221832945?display=YQHFGAB0S&amp;reservation_id=30665221832945", "YQHFGAB0S")</f>
        <v>YQHFGAB0S</v>
      </c>
      <c r="B2611" t="s">
        <v>10</v>
      </c>
      <c r="C2611" t="s">
        <v>11</v>
      </c>
      <c r="D2611" t="str">
        <f>HYPERLINK("https://us2.cloudbeds.com/connect/10074733072513#/reservations/30665221832945?display=Ben%20Leavitt&amp;reservation_id=30665221832945&amp;guest_id=30665215914137", "Ben Leavitt")</f>
        <v>Ben Leavitt</v>
      </c>
      <c r="E2611" t="s">
        <v>1941</v>
      </c>
      <c r="F2611" t="s">
        <v>1931</v>
      </c>
      <c r="G2611">
        <v>64.150000000000006</v>
      </c>
      <c r="H2611">
        <v>69.72</v>
      </c>
      <c r="I2611">
        <v>69.73</v>
      </c>
      <c r="J2611">
        <v>-0.01</v>
      </c>
    </row>
    <row r="2612" spans="1:10" x14ac:dyDescent="0.3">
      <c r="A2612" t="str">
        <f>HYPERLINK("https://us2.cloudbeds.com/connect/10074733072513#/reservations/30663295676636?display=YQFW946ES&amp;reservation_id=30663295676636", "YQFW946ES")</f>
        <v>YQFW946ES</v>
      </c>
      <c r="B2612" t="s">
        <v>10</v>
      </c>
      <c r="C2612" t="s">
        <v>14</v>
      </c>
      <c r="D2612" t="str">
        <f>HYPERLINK("https://us2.cloudbeds.com/connect/10074733072513#/reservations/30663295676636?display=Ryan%20Hargan&amp;reservation_id=30663295676636&amp;guest_id=30663295676624", "Ryan Hargan")</f>
        <v>Ryan Hargan</v>
      </c>
      <c r="E2612" t="s">
        <v>1319</v>
      </c>
      <c r="F2612" t="s">
        <v>1942</v>
      </c>
      <c r="G2612">
        <v>72.17</v>
      </c>
      <c r="H2612">
        <v>78.44</v>
      </c>
      <c r="I2612">
        <v>78.45</v>
      </c>
      <c r="J2612">
        <v>-0.01</v>
      </c>
    </row>
    <row r="2613" spans="1:10" x14ac:dyDescent="0.3">
      <c r="A2613" t="str">
        <f>HYPERLINK("https://us2.cloudbeds.com/connect/10074733072513#/reservations/30665172168922?display=YQHE7EBSF&amp;reservation_id=30665172168922", "YQHE7EBSF")</f>
        <v>YQHE7EBSF</v>
      </c>
      <c r="B2613" t="s">
        <v>10</v>
      </c>
      <c r="C2613" t="s">
        <v>11</v>
      </c>
      <c r="D2613" t="str">
        <f>HYPERLINK("https://us2.cloudbeds.com/connect/10074733072513#/reservations/30665172168922?display=Tracy%20Peschong&amp;reservation_id=30665172168922&amp;guest_id=30665172168917", "Tracy Peschong")</f>
        <v>Tracy Peschong</v>
      </c>
      <c r="E2613" t="s">
        <v>1943</v>
      </c>
      <c r="F2613" t="s">
        <v>1874</v>
      </c>
      <c r="G2613">
        <v>72.17</v>
      </c>
      <c r="H2613">
        <v>78.44</v>
      </c>
      <c r="I2613">
        <v>78.45</v>
      </c>
      <c r="J2613">
        <v>-0.01</v>
      </c>
    </row>
    <row r="2614" spans="1:10" x14ac:dyDescent="0.3">
      <c r="A2614" t="str">
        <f>HYPERLINK("https://us2.cloudbeds.com/connect/10074733072513#/reservations/30663550361747?display=YQG5PT62G&amp;reservation_id=30663550361747", "YQG5PT62G")</f>
        <v>YQG5PT62G</v>
      </c>
      <c r="B2614" t="s">
        <v>10</v>
      </c>
      <c r="C2614" t="s">
        <v>14</v>
      </c>
      <c r="D2614" t="str">
        <f>HYPERLINK("https://us2.cloudbeds.com/connect/10074733072513#/reservations/30663550361747?display=Tim%20Martin&amp;reservation_id=30663550361747&amp;guest_id=30663544815794", "Tim Martin")</f>
        <v>Tim Martin</v>
      </c>
      <c r="E2614" t="s">
        <v>1944</v>
      </c>
      <c r="F2614" t="s">
        <v>1945</v>
      </c>
      <c r="G2614">
        <v>64.150000000000006</v>
      </c>
      <c r="H2614">
        <v>69.72</v>
      </c>
      <c r="I2614">
        <v>69.73</v>
      </c>
      <c r="J2614">
        <v>-0.01</v>
      </c>
    </row>
    <row r="2615" spans="1:10" x14ac:dyDescent="0.3">
      <c r="A2615" t="str">
        <f>HYPERLINK("https://us2.cloudbeds.com/connect/10074733072513#/reservations/30663306305724?display=YQFWX2VSE&amp;reservation_id=30663306305724", "YQFWX2VSE")</f>
        <v>YQFWX2VSE</v>
      </c>
      <c r="B2615" t="s">
        <v>10</v>
      </c>
      <c r="C2615" t="s">
        <v>14</v>
      </c>
      <c r="D2615" t="str">
        <f>HYPERLINK("https://us2.cloudbeds.com/connect/10074733072513#/reservations/30663306305724?display=Jennifer%20Dunlop&amp;reservation_id=30663306305724&amp;guest_id=30663306305675", "Jennifer Dunlop")</f>
        <v>Jennifer Dunlop</v>
      </c>
      <c r="E2615" t="s">
        <v>1946</v>
      </c>
      <c r="F2615" t="s">
        <v>1942</v>
      </c>
      <c r="G2615">
        <v>64.150000000000006</v>
      </c>
      <c r="H2615">
        <v>69.72</v>
      </c>
      <c r="I2615">
        <v>69.73</v>
      </c>
      <c r="J2615">
        <v>-0.01</v>
      </c>
    </row>
    <row r="2616" spans="1:10" x14ac:dyDescent="0.3">
      <c r="A2616" t="str">
        <f>HYPERLINK("https://us2.cloudbeds.com/connect/10074733072513#/reservations/30663304696039?display=YQFWGZ5Z3&amp;reservation_id=30663304696039", "YQFWGZ5Z3")</f>
        <v>YQFWGZ5Z3</v>
      </c>
      <c r="B2616" t="s">
        <v>10</v>
      </c>
      <c r="C2616" t="s">
        <v>11</v>
      </c>
      <c r="D2616" t="str">
        <f>HYPERLINK("https://us2.cloudbeds.com/connect/10074733072513#/reservations/30663304696039?display=Jacque%20Mick&amp;reservation_id=30663304696039&amp;guest_id=30663295680730", "Jacque Mick")</f>
        <v>Jacque Mick</v>
      </c>
      <c r="E2616" t="s">
        <v>1947</v>
      </c>
      <c r="F2616" t="s">
        <v>1942</v>
      </c>
      <c r="G2616">
        <v>64.150000000000006</v>
      </c>
      <c r="H2616">
        <v>69.72</v>
      </c>
      <c r="I2616">
        <v>69.73</v>
      </c>
      <c r="J2616">
        <v>-0.01</v>
      </c>
    </row>
    <row r="2617" spans="1:10" x14ac:dyDescent="0.3">
      <c r="A2617" t="str">
        <f>HYPERLINK("https://us2.cloudbeds.com/connect/10074733072513#/reservations/30664229990566?display=YQGN4VSA6&amp;reservation_id=30664229990566", "YQGN4VSA6")</f>
        <v>YQGN4VSA6</v>
      </c>
      <c r="B2617" t="s">
        <v>10</v>
      </c>
      <c r="C2617" t="s">
        <v>42</v>
      </c>
      <c r="D2617" t="str">
        <f>HYPERLINK("https://us2.cloudbeds.com/connect/10074733072513#/reservations/30664229990566?display=Steven%20Theesfeld&amp;reservation_id=30664229990566&amp;guest_id=30664219218125", "Steven Theesfeld")</f>
        <v>Steven Theesfeld</v>
      </c>
      <c r="E2617" t="s">
        <v>1948</v>
      </c>
      <c r="F2617" t="s">
        <v>1920</v>
      </c>
      <c r="G2617">
        <v>84.15</v>
      </c>
      <c r="H2617">
        <v>91.46</v>
      </c>
      <c r="I2617">
        <v>91.47</v>
      </c>
      <c r="J2617">
        <v>-0.01</v>
      </c>
    </row>
    <row r="2618" spans="1:10" x14ac:dyDescent="0.3">
      <c r="A2618" t="str">
        <f>HYPERLINK("https://us2.cloudbeds.com/connect/10074733072513#/reservations/30663579746528?display=YQG6HYSBD&amp;reservation_id=30663579746528", "YQG6HYSBD")</f>
        <v>YQG6HYSBD</v>
      </c>
      <c r="B2618" t="s">
        <v>10</v>
      </c>
      <c r="C2618" t="s">
        <v>14</v>
      </c>
      <c r="D2618" t="str">
        <f>HYPERLINK("https://us2.cloudbeds.com/connect/10074733072513#/reservations/30663579746528?display=Tim%20Martin&amp;reservation_id=30663579746528&amp;guest_id=30663579746526", "Tim Martin")</f>
        <v>Tim Martin</v>
      </c>
      <c r="E2618" t="s">
        <v>1944</v>
      </c>
      <c r="F2618" t="s">
        <v>1920</v>
      </c>
      <c r="G2618">
        <v>68.16</v>
      </c>
      <c r="H2618">
        <v>74.08</v>
      </c>
      <c r="I2618">
        <v>74.09</v>
      </c>
      <c r="J2618">
        <v>-0.01</v>
      </c>
    </row>
    <row r="2619" spans="1:10" x14ac:dyDescent="0.3">
      <c r="A2619" t="str">
        <f>HYPERLINK("https://us2.cloudbeds.com/connect/10074733072513#/reservations/30664597766303?display=YQGWX2P2G&amp;reservation_id=30664597766303", "YQGWX2P2G")</f>
        <v>YQGWX2P2G</v>
      </c>
      <c r="B2619" t="s">
        <v>10</v>
      </c>
      <c r="C2619" t="s">
        <v>20</v>
      </c>
      <c r="D2619" t="str">
        <f>HYPERLINK("https://us2.cloudbeds.com/connect/10074733072513#/reservations/30664597766303?display=Alessia%20Fretta&amp;reservation_id=30664597766303&amp;guest_id=30664597766301", "Alessia Fretta")</f>
        <v>Alessia Fretta</v>
      </c>
      <c r="E2619" t="s">
        <v>1949</v>
      </c>
      <c r="F2619" t="s">
        <v>1950</v>
      </c>
      <c r="G2619">
        <v>84.15</v>
      </c>
      <c r="H2619">
        <v>91.46</v>
      </c>
      <c r="I2619">
        <v>91.47</v>
      </c>
      <c r="J2619">
        <v>-0.01</v>
      </c>
    </row>
    <row r="2620" spans="1:10" x14ac:dyDescent="0.3">
      <c r="A2620" t="str">
        <f>HYPERLINK("https://us2.cloudbeds.com/connect/10074733072513#/reservations/30663310999763?display=YQFWM1J8W&amp;reservation_id=30663310999763", "YQFWM1J8W")</f>
        <v>YQFWM1J8W</v>
      </c>
      <c r="B2620" t="s">
        <v>10</v>
      </c>
      <c r="C2620" t="s">
        <v>11</v>
      </c>
      <c r="D2620" t="str">
        <f>HYPERLINK("https://us2.cloudbeds.com/connect/10074733072513#/reservations/30663310999763?display=Vikki%20Hasche&amp;reservation_id=30663310999763&amp;guest_id=30663310995680", "Vikki Hasche")</f>
        <v>Vikki Hasche</v>
      </c>
      <c r="E2620" t="s">
        <v>1951</v>
      </c>
      <c r="F2620" t="s">
        <v>1942</v>
      </c>
      <c r="G2620">
        <v>68.16</v>
      </c>
      <c r="H2620">
        <v>74.08</v>
      </c>
      <c r="I2620">
        <v>74.09</v>
      </c>
      <c r="J2620">
        <v>-0.01</v>
      </c>
    </row>
    <row r="2621" spans="1:10" x14ac:dyDescent="0.3">
      <c r="A2621" t="str">
        <f>HYPERLINK("https://us2.cloudbeds.com/connect/10074733072513#/reservations/30665166499969?display=YQHE2YK70&amp;reservation_id=30665166499969", "YQHE2YK70")</f>
        <v>YQHE2YK70</v>
      </c>
      <c r="B2621" t="s">
        <v>10</v>
      </c>
      <c r="C2621" t="s">
        <v>11</v>
      </c>
      <c r="D2621" t="str">
        <f>HYPERLINK("https://us2.cloudbeds.com/connect/10074733072513#/reservations/30665166499969?display=Alan%20Zoutte&amp;reservation_id=30665166499969&amp;guest_id=30665159573729", "Alan Zoutte")</f>
        <v>Alan Zoutte</v>
      </c>
      <c r="E2621" t="s">
        <v>1952</v>
      </c>
      <c r="F2621" t="s">
        <v>1874</v>
      </c>
      <c r="G2621">
        <v>158.91999999999999</v>
      </c>
      <c r="H2621">
        <v>172.74</v>
      </c>
      <c r="I2621">
        <v>172.75</v>
      </c>
      <c r="J2621">
        <v>-0.01</v>
      </c>
    </row>
    <row r="2622" spans="1:10" x14ac:dyDescent="0.3">
      <c r="A2622" t="str">
        <f>HYPERLINK("https://us2.cloudbeds.com/connect/10074733072513#/reservations/30665334296739?display=YQHXC4QXK&amp;reservation_id=30665334296739", "YQHXC4QXK")</f>
        <v>YQHXC4QXK</v>
      </c>
      <c r="B2622" t="s">
        <v>10</v>
      </c>
      <c r="C2622" t="s">
        <v>11</v>
      </c>
      <c r="D2622" t="str">
        <f>HYPERLINK("https://us2.cloudbeds.com/connect/10074733072513#/reservations/30665334296739?display=John%20Andrew%20Esler&amp;reservation_id=30665334296739&amp;guest_id=30665334296734", "John Andrew Esler")</f>
        <v>John Andrew Esler</v>
      </c>
      <c r="E2622" t="s">
        <v>1953</v>
      </c>
      <c r="F2622" t="s">
        <v>1936</v>
      </c>
      <c r="G2622">
        <v>68.16</v>
      </c>
      <c r="H2622">
        <v>74.08</v>
      </c>
      <c r="I2622">
        <v>74.09</v>
      </c>
      <c r="J2622">
        <v>-0.01</v>
      </c>
    </row>
    <row r="2623" spans="1:10" x14ac:dyDescent="0.3">
      <c r="A2623" t="str">
        <f>HYPERLINK("https://us2.cloudbeds.com/connect/10074733072513#/reservations/30668416254101?display=YQJV3UQPU&amp;reservation_id=30668416254101", "YQJV3UQPU")</f>
        <v>YQJV3UQPU</v>
      </c>
      <c r="B2623" t="s">
        <v>10</v>
      </c>
      <c r="C2623" t="s">
        <v>17</v>
      </c>
      <c r="D2623" t="str">
        <f>HYPERLINK("https://us2.cloudbeds.com/connect/10074733072513#/reservations/30668416254101?display=Pamela%20Caboth&amp;reservation_id=30668416254101&amp;guest_id=30668416250008", "Pamela Caboth")</f>
        <v>Pamela Caboth</v>
      </c>
      <c r="E2623" t="s">
        <v>1954</v>
      </c>
      <c r="F2623" t="s">
        <v>1588</v>
      </c>
      <c r="G2623">
        <v>134.1</v>
      </c>
      <c r="H2623">
        <v>145.76</v>
      </c>
      <c r="I2623">
        <v>145.77000000000001</v>
      </c>
      <c r="J2623">
        <v>-0.01</v>
      </c>
    </row>
    <row r="2624" spans="1:10" x14ac:dyDescent="0.3">
      <c r="A2624" t="str">
        <f>HYPERLINK("https://us2.cloudbeds.com/connect/10074733072513#/reservations/30664242266305?display=YQGNFAEQ9&amp;reservation_id=30664242266305", "YQGNFAEQ9")</f>
        <v>YQGNFAEQ9</v>
      </c>
      <c r="B2624" t="s">
        <v>10</v>
      </c>
      <c r="C2624" t="s">
        <v>14</v>
      </c>
      <c r="D2624" t="str">
        <f>HYPERLINK("https://us2.cloudbeds.com/connect/10074733072513#/reservations/30664242266305?display=Danielle%20Dragt&amp;reservation_id=30664242266305&amp;guest_id=30664230473891", "Danielle Dragt")</f>
        <v>Danielle Dragt</v>
      </c>
      <c r="E2624" t="s">
        <v>1955</v>
      </c>
      <c r="F2624" t="s">
        <v>1936</v>
      </c>
      <c r="G2624">
        <v>72.17</v>
      </c>
      <c r="H2624">
        <v>78.44</v>
      </c>
      <c r="I2624">
        <v>78.45</v>
      </c>
      <c r="J2624">
        <v>-0.01</v>
      </c>
    </row>
    <row r="2625" spans="1:10" x14ac:dyDescent="0.3">
      <c r="A2625" t="str">
        <f>HYPERLINK("https://us2.cloudbeds.com/connect/10074733072513#/reservations/30665328210121?display=YQHX70ECY&amp;reservation_id=30665328210121", "YQHX70ECY")</f>
        <v>YQHX70ECY</v>
      </c>
      <c r="B2625" t="s">
        <v>10</v>
      </c>
      <c r="C2625" t="s">
        <v>11</v>
      </c>
      <c r="D2625" t="str">
        <f>HYPERLINK("https://us2.cloudbeds.com/connect/10074733072513#/reservations/30665328210121?display=Mary%20E%20Dirksen&amp;reservation_id=30665328210121&amp;guest_id=30665328210118", "Mary E Dirksen")</f>
        <v>Mary E Dirksen</v>
      </c>
      <c r="E2625" t="s">
        <v>1957</v>
      </c>
      <c r="F2625" t="s">
        <v>1936</v>
      </c>
      <c r="G2625">
        <v>68.16</v>
      </c>
      <c r="H2625">
        <v>74.08</v>
      </c>
      <c r="I2625">
        <v>74.09</v>
      </c>
      <c r="J2625">
        <v>-0.01</v>
      </c>
    </row>
    <row r="2626" spans="1:10" x14ac:dyDescent="0.3">
      <c r="A2626" t="str">
        <f>HYPERLINK("https://us2.cloudbeds.com/connect/10074733072513#/reservations/30664242266366?display=YQGNFAES4&amp;reservation_id=30664242266366", "YQGNFAES4")</f>
        <v>YQGNFAES4</v>
      </c>
      <c r="B2626" t="s">
        <v>10</v>
      </c>
      <c r="C2626" t="s">
        <v>11</v>
      </c>
      <c r="D2626" t="str">
        <f>HYPERLINK("https://us2.cloudbeds.com/connect/10074733072513#/reservations/30664242266366?display=Mike%20Andersen&amp;reservation_id=30664242266366&amp;guest_id=30664242266364", "Mike Andersen")</f>
        <v>Mike Andersen</v>
      </c>
      <c r="E2626" t="s">
        <v>1958</v>
      </c>
      <c r="F2626" t="s">
        <v>1936</v>
      </c>
      <c r="G2626">
        <v>68.16</v>
      </c>
      <c r="H2626">
        <v>74.08</v>
      </c>
      <c r="I2626">
        <v>74.09</v>
      </c>
      <c r="J2626">
        <v>-0.01</v>
      </c>
    </row>
    <row r="2627" spans="1:10" x14ac:dyDescent="0.3">
      <c r="A2627" t="str">
        <f>HYPERLINK("https://us2.cloudbeds.com/connect/10074733072513#/reservations/30664730226943?display=YQH2UPM69&amp;reservation_id=30664730226943", "YQH2UPM69")</f>
        <v>YQH2UPM69</v>
      </c>
      <c r="B2627" t="s">
        <v>10</v>
      </c>
      <c r="C2627" t="s">
        <v>17</v>
      </c>
      <c r="D2627" t="str">
        <f>HYPERLINK("https://us2.cloudbeds.com/connect/10074733072513#/reservations/30664730226943?display=Haley%20Coss&amp;reservation_id=30664730226943&amp;guest_id=30664730226938", "Haley Coss")</f>
        <v>Haley Coss</v>
      </c>
      <c r="E2627" t="s">
        <v>1959</v>
      </c>
      <c r="F2627" t="s">
        <v>1659</v>
      </c>
      <c r="G2627">
        <v>294.3</v>
      </c>
      <c r="H2627">
        <v>319.89</v>
      </c>
      <c r="I2627">
        <v>319.89999999999998</v>
      </c>
      <c r="J2627">
        <v>-0.01</v>
      </c>
    </row>
    <row r="2628" spans="1:10" x14ac:dyDescent="0.3">
      <c r="A2628" t="str">
        <f>HYPERLINK("https://us2.cloudbeds.com/connect/10074733072513#/reservations/30664281403603?display=YQGZFAGX0&amp;reservation_id=30664281403603", "YQGZFAGX0")</f>
        <v>YQGZFAGX0</v>
      </c>
      <c r="B2628" t="s">
        <v>10</v>
      </c>
      <c r="C2628" t="s">
        <v>11</v>
      </c>
      <c r="D2628" t="str">
        <f>HYPERLINK("https://us2.cloudbeds.com/connect/10074733072513#/reservations/30664281403603?display=Chris%20Paulk&amp;reservation_id=30664281403603&amp;guest_id=30664281403601", "Chris Paulk")</f>
        <v>Chris Paulk</v>
      </c>
      <c r="E2628" t="s">
        <v>1960</v>
      </c>
      <c r="F2628" t="s">
        <v>1961</v>
      </c>
      <c r="G2628">
        <v>72.17</v>
      </c>
      <c r="H2628">
        <v>78.44</v>
      </c>
      <c r="I2628">
        <v>78.45</v>
      </c>
      <c r="J2628">
        <v>-0.01</v>
      </c>
    </row>
    <row r="2629" spans="1:10" x14ac:dyDescent="0.3">
      <c r="A2629" t="str">
        <f>HYPERLINK("https://us2.cloudbeds.com/connect/10074733072513#/reservations/30665368924306?display=YQHJ8BC4R&amp;reservation_id=30665368924306", "YQHJ8BC4R")</f>
        <v>YQHJ8BC4R</v>
      </c>
      <c r="B2629" t="s">
        <v>10</v>
      </c>
      <c r="C2629" t="s">
        <v>11</v>
      </c>
      <c r="D2629" t="str">
        <f>HYPERLINK("https://us2.cloudbeds.com/connect/10074733072513#/reservations/30665368924306?display=Thomas%20Montbriand&amp;reservation_id=30665368924306&amp;guest_id=30665368924302", "Thomas Montbriand")</f>
        <v>Thomas Montbriand</v>
      </c>
      <c r="E2629" t="s">
        <v>1962</v>
      </c>
      <c r="F2629" t="s">
        <v>1963</v>
      </c>
      <c r="G2629">
        <v>68.16</v>
      </c>
      <c r="H2629">
        <v>74.08</v>
      </c>
      <c r="I2629">
        <v>74.09</v>
      </c>
      <c r="J2629">
        <v>-0.01</v>
      </c>
    </row>
    <row r="2630" spans="1:10" x14ac:dyDescent="0.3">
      <c r="A2630" t="str">
        <f>HYPERLINK("https://us2.cloudbeds.com/connect/10074733072513#/reservations/30664735776967?display=YQH32F3KR&amp;reservation_id=30664735776967", "YQH32F3KR")</f>
        <v>YQH32F3KR</v>
      </c>
      <c r="B2630" t="s">
        <v>10</v>
      </c>
      <c r="C2630" t="s">
        <v>11</v>
      </c>
      <c r="D2630" t="str">
        <f>HYPERLINK("https://us2.cloudbeds.com/connect/10074733072513#/reservations/30664735776967?display=Devin%20Brown&amp;reservation_id=30664735776967&amp;guest_id=30661247545494", "Devin Brown")</f>
        <v>Devin Brown</v>
      </c>
      <c r="E2630" t="s">
        <v>1717</v>
      </c>
      <c r="F2630" t="s">
        <v>1964</v>
      </c>
      <c r="G2630">
        <v>68.16</v>
      </c>
      <c r="H2630">
        <v>74.08</v>
      </c>
      <c r="I2630">
        <v>74.09</v>
      </c>
      <c r="J2630">
        <v>-0.01</v>
      </c>
    </row>
    <row r="2631" spans="1:10" x14ac:dyDescent="0.3">
      <c r="A2631" t="str">
        <f>HYPERLINK("https://us2.cloudbeds.com/connect/10074733072513#/reservations/30665390514408?display=YQHJQX4PB&amp;reservation_id=30665390514408", "YQHJQX4PB")</f>
        <v>YQHJQX4PB</v>
      </c>
      <c r="B2631" t="s">
        <v>10</v>
      </c>
      <c r="C2631" t="s">
        <v>14</v>
      </c>
      <c r="D2631" t="str">
        <f>HYPERLINK("https://us2.cloudbeds.com/connect/10074733072513#/reservations/30665390514408?display=Sean%20Denning&amp;reservation_id=30665390514408&amp;guest_id=30665390514387", "Sean Denning")</f>
        <v>Sean Denning</v>
      </c>
      <c r="E2631" t="s">
        <v>1965</v>
      </c>
      <c r="F2631" t="s">
        <v>1963</v>
      </c>
      <c r="G2631">
        <v>68.16</v>
      </c>
      <c r="H2631">
        <v>74.08</v>
      </c>
      <c r="I2631">
        <v>74.09</v>
      </c>
      <c r="J2631">
        <v>-0.01</v>
      </c>
    </row>
    <row r="2632" spans="1:10" x14ac:dyDescent="0.3">
      <c r="A2632" t="str">
        <f>HYPERLINK("https://us2.cloudbeds.com/connect/10074733072513#/reservations/30663968493762?display=YQGGFFAMK&amp;reservation_id=30663968493762", "YQGGFFAMK")</f>
        <v>YQGGFFAMK</v>
      </c>
      <c r="B2632" t="s">
        <v>10</v>
      </c>
      <c r="C2632" t="s">
        <v>14</v>
      </c>
      <c r="D2632" t="str">
        <f>HYPERLINK("https://us2.cloudbeds.com/connect/10074733072513#/reservations/30663968493762?display=Jeremiah%20Or%20Amy%20Dougherty&amp;reservation_id=30663968493762&amp;guest_id=30663968489719", "Jeremiah Or Amy Dougherty")</f>
        <v>Jeremiah Or Amy Dougherty</v>
      </c>
      <c r="E2632" t="s">
        <v>1966</v>
      </c>
      <c r="F2632" t="s">
        <v>1967</v>
      </c>
      <c r="G2632">
        <v>68.16</v>
      </c>
      <c r="H2632">
        <v>74.08</v>
      </c>
      <c r="I2632">
        <v>74.09</v>
      </c>
      <c r="J2632">
        <v>-0.01</v>
      </c>
    </row>
    <row r="2633" spans="1:10" x14ac:dyDescent="0.3">
      <c r="A2633" t="str">
        <f>HYPERLINK("https://us2.cloudbeds.com/connect/10074733072513#/reservations/30663973347481?display=YQGGJXCZ0&amp;reservation_id=30663973347481", "YQGGJXCZ0")</f>
        <v>YQGGJXCZ0</v>
      </c>
      <c r="B2633" t="s">
        <v>10</v>
      </c>
      <c r="C2633" t="s">
        <v>11</v>
      </c>
      <c r="D2633" t="str">
        <f>HYPERLINK("https://us2.cloudbeds.com/connect/10074733072513#/reservations/30663973347481?display=Angela%20Stonefield&amp;reservation_id=30663973347481&amp;guest_id=30663973347470", "Angela Stonefield")</f>
        <v>Angela Stonefield</v>
      </c>
      <c r="E2633" t="s">
        <v>1968</v>
      </c>
      <c r="F2633" t="s">
        <v>1967</v>
      </c>
      <c r="G2633">
        <v>68.16</v>
      </c>
      <c r="H2633">
        <v>74.08</v>
      </c>
      <c r="I2633">
        <v>74.09</v>
      </c>
      <c r="J2633">
        <v>-0.01</v>
      </c>
    </row>
    <row r="2634" spans="1:10" x14ac:dyDescent="0.3">
      <c r="A2634" t="str">
        <f>HYPERLINK("https://us2.cloudbeds.com/connect/10074733072513#/reservations/30664483832040?display=YQGTY0C82&amp;reservation_id=30664483832040", "YQGTY0C82")</f>
        <v>YQGTY0C82</v>
      </c>
      <c r="B2634" t="s">
        <v>10</v>
      </c>
      <c r="C2634" t="s">
        <v>11</v>
      </c>
      <c r="D2634" t="str">
        <f>HYPERLINK("https://us2.cloudbeds.com/connect/10074733072513#/reservations/30664483832040?display=Cindy%20Curr&amp;reservation_id=30664483832040&amp;guest_id=30664483832038", "Cindy Curr")</f>
        <v>Cindy Curr</v>
      </c>
      <c r="E2634" t="s">
        <v>1969</v>
      </c>
      <c r="F2634" t="s">
        <v>1970</v>
      </c>
      <c r="G2634">
        <v>68.16</v>
      </c>
      <c r="H2634">
        <v>74.08</v>
      </c>
      <c r="I2634">
        <v>74.09</v>
      </c>
      <c r="J2634">
        <v>-0.01</v>
      </c>
    </row>
    <row r="2635" spans="1:10" x14ac:dyDescent="0.3">
      <c r="A2635" t="str">
        <f>HYPERLINK("https://us2.cloudbeds.com/connect/10074733072513#/reservations/30661426036928?display=YQEHA155W&amp;reservation_id=30661426036928", "YQEHA155W")</f>
        <v>YQEHA155W</v>
      </c>
      <c r="B2635" t="s">
        <v>10</v>
      </c>
      <c r="C2635" t="s">
        <v>14</v>
      </c>
      <c r="D2635" t="str">
        <f>HYPERLINK("https://us2.cloudbeds.com/connect/10074733072513#/reservations/30661426036928?display=Bruce%20Bergner&amp;reservation_id=30661426036928&amp;guest_id=30661418254495", "Bruce Bergner")</f>
        <v>Bruce Bergner</v>
      </c>
      <c r="E2635" t="s">
        <v>1971</v>
      </c>
      <c r="F2635" t="s">
        <v>1972</v>
      </c>
      <c r="G2635">
        <v>68.16</v>
      </c>
      <c r="H2635">
        <v>74.08</v>
      </c>
      <c r="I2635">
        <v>74.09</v>
      </c>
      <c r="J2635">
        <v>-0.01</v>
      </c>
    </row>
    <row r="2636" spans="1:10" x14ac:dyDescent="0.3">
      <c r="A2636" t="str">
        <f>HYPERLINK("https://us2.cloudbeds.com/connect/10074733072513#/reservations/30664097763490?display=YQGJPFEM3&amp;reservation_id=30664097763490", "YQGJPFEM3")</f>
        <v>YQGJPFEM3</v>
      </c>
      <c r="B2636" t="s">
        <v>10</v>
      </c>
      <c r="C2636" t="s">
        <v>11</v>
      </c>
      <c r="D2636" t="str">
        <f>HYPERLINK("https://us2.cloudbeds.com/connect/10074733072513#/reservations/30664097763490?display=John%20Eickhoff&amp;reservation_id=30664097763490&amp;guest_id=30664097763488", "John Eickhoff")</f>
        <v>John Eickhoff</v>
      </c>
      <c r="E2636" t="s">
        <v>1973</v>
      </c>
      <c r="F2636" t="s">
        <v>1974</v>
      </c>
      <c r="G2636">
        <v>184.51</v>
      </c>
      <c r="H2636">
        <v>200.55</v>
      </c>
      <c r="I2636">
        <v>200.56</v>
      </c>
      <c r="J2636">
        <v>-0.01</v>
      </c>
    </row>
    <row r="2637" spans="1:10" x14ac:dyDescent="0.3">
      <c r="A2637" t="str">
        <f>HYPERLINK("https://us2.cloudbeds.com/connect/10074733072513#/reservations/30663945355481?display=YQGFSVFDJ&amp;reservation_id=30663945355481", "YQGFSVFDJ")</f>
        <v>YQGFSVFDJ</v>
      </c>
      <c r="B2637" t="s">
        <v>10</v>
      </c>
      <c r="C2637" t="s">
        <v>11</v>
      </c>
      <c r="D2637" t="str">
        <f>HYPERLINK("https://us2.cloudbeds.com/connect/10074733072513#/reservations/30663945355481?display=William%20Anderson&amp;reservation_id=30663945355481&amp;guest_id=30663945351390", "William Anderson")</f>
        <v>William Anderson</v>
      </c>
      <c r="E2637" t="s">
        <v>1975</v>
      </c>
      <c r="F2637" t="s">
        <v>1967</v>
      </c>
      <c r="G2637">
        <v>68.16</v>
      </c>
      <c r="H2637">
        <v>74.08</v>
      </c>
      <c r="I2637">
        <v>74.09</v>
      </c>
      <c r="J2637">
        <v>-0.01</v>
      </c>
    </row>
    <row r="2638" spans="1:10" x14ac:dyDescent="0.3">
      <c r="A2638" t="str">
        <f>HYPERLINK("https://us2.cloudbeds.com/connect/10074733072513#/reservations/30664464859268?display=YQGT50E1J&amp;reservation_id=30664464859268", "YQGT50E1J")</f>
        <v>YQGT50E1J</v>
      </c>
      <c r="B2638" t="s">
        <v>10</v>
      </c>
      <c r="C2638" t="s">
        <v>42</v>
      </c>
      <c r="D2638" t="str">
        <f>HYPERLINK("https://us2.cloudbeds.com/connect/10074733072513#/reservations/30664464859268?display=Janet%20Schmitt&amp;reservation_id=30664464859268&amp;guest_id=30664464855225", "Janet Schmitt")</f>
        <v>Janet Schmitt</v>
      </c>
      <c r="E2638" t="s">
        <v>1976</v>
      </c>
      <c r="F2638" t="s">
        <v>1974</v>
      </c>
      <c r="G2638">
        <v>196.2</v>
      </c>
      <c r="H2638">
        <v>213.26</v>
      </c>
      <c r="I2638">
        <v>213.27</v>
      </c>
      <c r="J2638">
        <v>-0.01</v>
      </c>
    </row>
    <row r="2639" spans="1:10" x14ac:dyDescent="0.3">
      <c r="A2639" t="str">
        <f>HYPERLINK("https://us2.cloudbeds.com/connect/10074733072513#/reservations/30665000161491?display=YQH9RCWW2&amp;reservation_id=30665000161491", "YQH9RCWW2")</f>
        <v>YQH9RCWW2</v>
      </c>
      <c r="B2639" t="s">
        <v>10</v>
      </c>
      <c r="C2639" t="s">
        <v>11</v>
      </c>
      <c r="D2639" t="str">
        <f>HYPERLINK("https://us2.cloudbeds.com/connect/10074733072513#/reservations/30665000161491?display=Reginald%20Friesen&amp;reservation_id=30665000161491&amp;guest_id=30665000161487", "Reginald Friesen")</f>
        <v>Reginald Friesen</v>
      </c>
      <c r="E2639" t="s">
        <v>1977</v>
      </c>
      <c r="F2639" t="s">
        <v>1978</v>
      </c>
      <c r="G2639">
        <v>68.16</v>
      </c>
      <c r="H2639">
        <v>74.08</v>
      </c>
      <c r="I2639">
        <v>74.09</v>
      </c>
      <c r="J2639">
        <v>-0.01</v>
      </c>
    </row>
    <row r="2640" spans="1:10" x14ac:dyDescent="0.3">
      <c r="A2640" t="str">
        <f>HYPERLINK("https://us2.cloudbeds.com/connect/10074733072513#/reservations/30663748001949?display=YQGARHQRW&amp;reservation_id=30663748001949", "YQGARHQRW")</f>
        <v>YQGARHQRW</v>
      </c>
      <c r="B2640" t="s">
        <v>10</v>
      </c>
      <c r="C2640" t="s">
        <v>11</v>
      </c>
      <c r="D2640" t="str">
        <f>HYPERLINK("https://us2.cloudbeds.com/connect/10074733072513#/reservations/30663748001949?display=Carlos%20Schulze&amp;reservation_id=30663748001949&amp;guest_id=30663747997837", "Carlos Schulze")</f>
        <v>Carlos Schulze</v>
      </c>
      <c r="E2640" t="s">
        <v>1979</v>
      </c>
      <c r="F2640" t="s">
        <v>1980</v>
      </c>
      <c r="G2640">
        <v>68.16</v>
      </c>
      <c r="H2640">
        <v>74.08</v>
      </c>
      <c r="I2640">
        <v>74.09</v>
      </c>
      <c r="J2640">
        <v>-0.01</v>
      </c>
    </row>
    <row r="2641" spans="1:10" x14ac:dyDescent="0.3">
      <c r="A2641" t="str">
        <f>HYPERLINK("https://us2.cloudbeds.com/connect/10074733072513#/reservations/30664495431843?display=YQGTUQ518&amp;reservation_id=30664495431843", "YQGTUQ518")</f>
        <v>YQGTUQ518</v>
      </c>
      <c r="B2641" t="s">
        <v>10</v>
      </c>
      <c r="C2641" t="s">
        <v>11</v>
      </c>
      <c r="D2641" t="str">
        <f>HYPERLINK("https://us2.cloudbeds.com/connect/10074733072513#/reservations/30664495431843?display=Ryan%20Timm&amp;reservation_id=30664495431843&amp;guest_id=30664495431840", "Ryan Timm")</f>
        <v>Ryan Timm</v>
      </c>
      <c r="E2641" t="s">
        <v>1981</v>
      </c>
      <c r="F2641" t="s">
        <v>1970</v>
      </c>
      <c r="G2641">
        <v>68.16</v>
      </c>
      <c r="H2641">
        <v>74.08</v>
      </c>
      <c r="I2641">
        <v>74.09</v>
      </c>
      <c r="J2641">
        <v>-0.01</v>
      </c>
    </row>
    <row r="2642" spans="1:10" x14ac:dyDescent="0.3">
      <c r="A2642" t="str">
        <f>HYPERLINK("https://us2.cloudbeds.com/connect/10074733072513#/reservations/30664755593412?display=YQH3J5HX5&amp;reservation_id=30664755593412", "YQH3J5HX5")</f>
        <v>YQH3J5HX5</v>
      </c>
      <c r="B2642" t="s">
        <v>10</v>
      </c>
      <c r="C2642" t="s">
        <v>14</v>
      </c>
      <c r="D2642" t="str">
        <f>HYPERLINK("https://us2.cloudbeds.com/connect/10074733072513#/reservations/30664755593412?display=Monica%20Berggren&amp;reservation_id=30664755593412&amp;guest_id=30664755589367", "Monica Berggren")</f>
        <v>Monica Berggren</v>
      </c>
      <c r="E2642" t="s">
        <v>1982</v>
      </c>
      <c r="F2642" t="s">
        <v>1983</v>
      </c>
      <c r="G2642">
        <v>84.15</v>
      </c>
      <c r="H2642">
        <v>91.46</v>
      </c>
      <c r="I2642">
        <v>91.47</v>
      </c>
      <c r="J2642">
        <v>-0.01</v>
      </c>
    </row>
    <row r="2643" spans="1:10" x14ac:dyDescent="0.3">
      <c r="A2643" t="str">
        <f>HYPERLINK("https://us2.cloudbeds.com/connect/10074733072513#/reservations/30663759384762?display=YQGB44XD8&amp;reservation_id=30663759384762", "YQGB44XD8")</f>
        <v>YQGB44XD8</v>
      </c>
      <c r="B2643" t="s">
        <v>10</v>
      </c>
      <c r="C2643" t="s">
        <v>14</v>
      </c>
      <c r="D2643" t="str">
        <f>HYPERLINK("https://us2.cloudbeds.com/connect/10074733072513#/reservations/30663759384762?display=Chris%20Sharpe&amp;reservation_id=30663759384762&amp;guest_id=30663759384760", "Chris Sharpe")</f>
        <v>Chris Sharpe</v>
      </c>
      <c r="E2643" t="s">
        <v>1984</v>
      </c>
      <c r="F2643" t="s">
        <v>1980</v>
      </c>
      <c r="G2643">
        <v>68.16</v>
      </c>
      <c r="H2643">
        <v>74.08</v>
      </c>
      <c r="I2643">
        <v>74.09</v>
      </c>
      <c r="J2643">
        <v>-0.01</v>
      </c>
    </row>
    <row r="2644" spans="1:10" x14ac:dyDescent="0.3">
      <c r="A2644" t="str">
        <f>HYPERLINK("https://us2.cloudbeds.com/connect/10074733072513#/reservations/30664787943622?display=YQH4DENTX&amp;reservation_id=30664787943622", "YQH4DENTX")</f>
        <v>YQH4DENTX</v>
      </c>
      <c r="B2644" t="s">
        <v>10</v>
      </c>
      <c r="C2644" t="s">
        <v>20</v>
      </c>
      <c r="D2644" t="str">
        <f>HYPERLINK("https://us2.cloudbeds.com/connect/10074733072513#/reservations/30664787943622?display=Sheila%20Peterson&amp;reservation_id=30664787943622&amp;guest_id=30664787939537", "Sheila Peterson")</f>
        <v>Sheila Peterson</v>
      </c>
      <c r="E2644" t="s">
        <v>1985</v>
      </c>
      <c r="F2644" t="s">
        <v>1923</v>
      </c>
      <c r="G2644">
        <v>80.19</v>
      </c>
      <c r="H2644">
        <v>87.16</v>
      </c>
      <c r="I2644">
        <v>87.17</v>
      </c>
      <c r="J2644">
        <v>-0.01</v>
      </c>
    </row>
    <row r="2645" spans="1:10" x14ac:dyDescent="0.3">
      <c r="A2645" t="str">
        <f>HYPERLINK("https://us2.cloudbeds.com/connect/10074733072513#/reservations/30663766003913?display=YQGB9NZJJ&amp;reservation_id=30663766003913", "YQGB9NZJJ")</f>
        <v>YQGB9NZJJ</v>
      </c>
      <c r="B2645" t="s">
        <v>10</v>
      </c>
      <c r="C2645" t="s">
        <v>11</v>
      </c>
      <c r="D2645" t="str">
        <f>HYPERLINK("https://us2.cloudbeds.com/connect/10074733072513#/reservations/30663766003913?display=Mathew%20Paulson&amp;reservation_id=30663766003913&amp;guest_id=30663765999828", "Mathew Paulson")</f>
        <v>Mathew Paulson</v>
      </c>
      <c r="E2645" t="s">
        <v>1986</v>
      </c>
      <c r="F2645" t="s">
        <v>1980</v>
      </c>
      <c r="G2645">
        <v>68.16</v>
      </c>
      <c r="H2645">
        <v>74.08</v>
      </c>
      <c r="I2645">
        <v>74.09</v>
      </c>
      <c r="J2645">
        <v>-0.01</v>
      </c>
    </row>
    <row r="2646" spans="1:10" x14ac:dyDescent="0.3">
      <c r="A2646" t="str">
        <f>HYPERLINK("https://us2.cloudbeds.com/connect/10074733072513#/reservations/30665583317219?display=YQHZZ45GP&amp;reservation_id=30665583317219", "YQHZZ45GP")</f>
        <v>YQHZZ45GP</v>
      </c>
      <c r="B2646" t="s">
        <v>10</v>
      </c>
      <c r="C2646" t="s">
        <v>20</v>
      </c>
      <c r="D2646" t="str">
        <f>HYPERLINK("https://us2.cloudbeds.com/connect/10074733072513#/reservations/30665583317219?display=Stephanie%20Williams&amp;reservation_id=30665583317219&amp;guest_id=30665583317215", "Stephanie Williams")</f>
        <v>Stephanie Williams</v>
      </c>
      <c r="E2646" t="s">
        <v>1987</v>
      </c>
      <c r="F2646" t="s">
        <v>1980</v>
      </c>
      <c r="G2646">
        <v>68.16</v>
      </c>
      <c r="H2646">
        <v>74.08</v>
      </c>
      <c r="I2646">
        <v>74.09</v>
      </c>
      <c r="J2646">
        <v>-0.01</v>
      </c>
    </row>
    <row r="2647" spans="1:10" x14ac:dyDescent="0.3">
      <c r="A2647" t="str">
        <f>HYPERLINK("https://us2.cloudbeds.com/connect/10074733072513#/reservations/30664153559195?display=YQGY6H1D1&amp;reservation_id=30664153559195", "YQGY6H1D1")</f>
        <v>YQGY6H1D1</v>
      </c>
      <c r="B2647" t="s">
        <v>10</v>
      </c>
      <c r="C2647" t="s">
        <v>42</v>
      </c>
      <c r="D2647" t="str">
        <f>HYPERLINK("https://us2.cloudbeds.com/connect/10074733072513#/reservations/30664153559195?display=Carlos%20Schulze&amp;reservation_id=30664153559195&amp;guest_id=30664147824842", "Carlos Schulze")</f>
        <v>Carlos Schulze</v>
      </c>
      <c r="E2647" t="s">
        <v>1979</v>
      </c>
      <c r="F2647" t="s">
        <v>1974</v>
      </c>
      <c r="G2647">
        <v>68.16</v>
      </c>
      <c r="H2647">
        <v>74.08</v>
      </c>
      <c r="I2647">
        <v>74.09</v>
      </c>
      <c r="J2647">
        <v>-0.01</v>
      </c>
    </row>
    <row r="2648" spans="1:10" x14ac:dyDescent="0.3">
      <c r="A2648" t="str">
        <f>HYPERLINK("https://us2.cloudbeds.com/connect/10074733072513#/reservations/30663382458550?display=YQG1GA0WR&amp;reservation_id=30663382458550", "YQG1GA0WR")</f>
        <v>YQG1GA0WR</v>
      </c>
      <c r="B2648" t="s">
        <v>10</v>
      </c>
      <c r="C2648" t="s">
        <v>14</v>
      </c>
      <c r="D2648" t="str">
        <f>HYPERLINK("https://us2.cloudbeds.com/connect/10074733072513#/reservations/30663382458550?display=Henry%20Slaa&amp;reservation_id=30663382458550&amp;guest_id=30663382458548", "Henry Slaa")</f>
        <v>Henry Slaa</v>
      </c>
      <c r="E2648" t="s">
        <v>1988</v>
      </c>
      <c r="F2648" t="s">
        <v>1972</v>
      </c>
      <c r="G2648">
        <v>84.15</v>
      </c>
      <c r="H2648">
        <v>91.46</v>
      </c>
      <c r="I2648">
        <v>91.47</v>
      </c>
      <c r="J2648">
        <v>-0.01</v>
      </c>
    </row>
    <row r="2649" spans="1:10" x14ac:dyDescent="0.3">
      <c r="A2649" t="str">
        <f>HYPERLINK("https://us2.cloudbeds.com/connect/10074733072513#/reservations/30663389880459?display=YQG1MXXB5&amp;reservation_id=30663389880459", "YQG1MXXB5")</f>
        <v>YQG1MXXB5</v>
      </c>
      <c r="B2649" t="s">
        <v>10</v>
      </c>
      <c r="C2649" t="s">
        <v>14</v>
      </c>
      <c r="D2649" t="str">
        <f>HYPERLINK("https://us2.cloudbeds.com/connect/10074733072513#/reservations/30663389880459?display=Denise%20Hohn&amp;reservation_id=30663389880459&amp;guest_id=30647635157231", "Denise Hohn")</f>
        <v>Denise Hohn</v>
      </c>
      <c r="E2649" t="s">
        <v>1701</v>
      </c>
      <c r="F2649" t="s">
        <v>1972</v>
      </c>
      <c r="G2649">
        <v>68.16</v>
      </c>
      <c r="H2649">
        <v>74.08</v>
      </c>
      <c r="I2649">
        <v>74.09</v>
      </c>
      <c r="J2649">
        <v>-0.01</v>
      </c>
    </row>
    <row r="2650" spans="1:10" x14ac:dyDescent="0.3">
      <c r="A2650" t="str">
        <f>HYPERLINK("https://us2.cloudbeds.com/connect/10074733072513#/reservations/30664793391276?display=YQH4X1AAW&amp;reservation_id=30664793391276", "YQH4X1AAW")</f>
        <v>YQH4X1AAW</v>
      </c>
      <c r="B2650" t="s">
        <v>10</v>
      </c>
      <c r="C2650" t="s">
        <v>14</v>
      </c>
      <c r="D2650" t="str">
        <f>HYPERLINK("https://us2.cloudbeds.com/connect/10074733072513#/reservations/30664793391276?display=Chris%20Hyde&amp;reservation_id=30664793391276&amp;guest_id=30664793391272", "Chris Hyde")</f>
        <v>Chris Hyde</v>
      </c>
      <c r="E2650" t="s">
        <v>1991</v>
      </c>
      <c r="F2650" t="s">
        <v>1923</v>
      </c>
      <c r="G2650">
        <v>72.17</v>
      </c>
      <c r="H2650">
        <v>78.44</v>
      </c>
      <c r="I2650">
        <v>78.45</v>
      </c>
      <c r="J2650">
        <v>-0.01</v>
      </c>
    </row>
    <row r="2651" spans="1:10" x14ac:dyDescent="0.3">
      <c r="A2651" t="str">
        <f>HYPERLINK("https://us2.cloudbeds.com/connect/10074733072513#/reservations/30664860057792?display=YQH632M20&amp;reservation_id=30664860057792", "YQH632M20")</f>
        <v>YQH632M20</v>
      </c>
      <c r="B2651" t="s">
        <v>10</v>
      </c>
      <c r="C2651" t="s">
        <v>42</v>
      </c>
      <c r="D2651" t="str">
        <f>HYPERLINK("https://us2.cloudbeds.com/connect/10074733072513#/reservations/30664860057792?display=Roy%20Young&amp;reservation_id=30664860057792&amp;guest_id=30664853917872", "Roy Young")</f>
        <v>Roy Young</v>
      </c>
      <c r="E2651" t="s">
        <v>1992</v>
      </c>
      <c r="F2651" t="s">
        <v>1993</v>
      </c>
      <c r="G2651">
        <v>196.2</v>
      </c>
      <c r="H2651">
        <v>213.26</v>
      </c>
      <c r="I2651">
        <v>213.27</v>
      </c>
      <c r="J2651">
        <v>-0.01</v>
      </c>
    </row>
    <row r="2652" spans="1:10" x14ac:dyDescent="0.3">
      <c r="A2652" t="str">
        <f>HYPERLINK("https://us2.cloudbeds.com/connect/10074733072513#/reservations/30664799539329?display=YQH4N7CUK&amp;reservation_id=30664799539329", "YQH4N7CUK")</f>
        <v>YQH4N7CUK</v>
      </c>
      <c r="B2652" t="s">
        <v>10</v>
      </c>
      <c r="C2652" t="s">
        <v>11</v>
      </c>
      <c r="D2652" t="str">
        <f>HYPERLINK("https://us2.cloudbeds.com/connect/10074733072513#/reservations/30664799539329?display=Nick%20Handley&amp;reservation_id=30664799539329&amp;guest_id=30664799535292", "Nick Handley")</f>
        <v>Nick Handley</v>
      </c>
      <c r="E2652" t="s">
        <v>1994</v>
      </c>
      <c r="F2652" t="s">
        <v>1923</v>
      </c>
      <c r="G2652">
        <v>68.16</v>
      </c>
      <c r="H2652">
        <v>74.08</v>
      </c>
      <c r="I2652">
        <v>74.09</v>
      </c>
      <c r="J2652">
        <v>-0.01</v>
      </c>
    </row>
    <row r="2653" spans="1:10" x14ac:dyDescent="0.3">
      <c r="A2653" t="str">
        <f>HYPERLINK("https://us2.cloudbeds.com/connect/10074733072513#/reservations/30664774639841?display=YQH427HCM&amp;reservation_id=30664774639841", "YQH427HCM")</f>
        <v>YQH427HCM</v>
      </c>
      <c r="B2653" t="s">
        <v>10</v>
      </c>
      <c r="C2653" t="s">
        <v>11</v>
      </c>
      <c r="D2653" t="str">
        <f>HYPERLINK("https://us2.cloudbeds.com/connect/10074733072513#/reservations/30664774639841?display=Jason%20Versluis&amp;reservation_id=30664774639841&amp;guest_id=30664774639836", "Jason Versluis")</f>
        <v>Jason Versluis</v>
      </c>
      <c r="E2653" t="s">
        <v>1995</v>
      </c>
      <c r="F2653" t="s">
        <v>1983</v>
      </c>
      <c r="G2653">
        <v>68.16</v>
      </c>
      <c r="H2653">
        <v>74.08</v>
      </c>
      <c r="I2653">
        <v>74.09</v>
      </c>
      <c r="J2653">
        <v>-0.01</v>
      </c>
    </row>
    <row r="2654" spans="1:10" x14ac:dyDescent="0.3">
      <c r="A2654" t="str">
        <f>HYPERLINK("https://us2.cloudbeds.com/connect/10074733072513#/reservations/30663675805895?display=YQG8WYS4A&amp;reservation_id=30663675805895", "YQG8WYS4A")</f>
        <v>YQG8WYS4A</v>
      </c>
      <c r="B2654" t="s">
        <v>10</v>
      </c>
      <c r="C2654" t="s">
        <v>42</v>
      </c>
      <c r="D2654" t="str">
        <f>HYPERLINK("https://us2.cloudbeds.com/connect/10074733072513#/reservations/30663675805895?display=Kurt%20Mccqen&amp;reservation_id=30663675805895&amp;guest_id=30663667560618", "Kurt Mccqen")</f>
        <v>Kurt Mccqen</v>
      </c>
      <c r="E2654" t="s">
        <v>1996</v>
      </c>
      <c r="F2654" t="s">
        <v>1997</v>
      </c>
      <c r="G2654">
        <v>396.4</v>
      </c>
      <c r="H2654">
        <v>430.88</v>
      </c>
      <c r="I2654">
        <v>430.89</v>
      </c>
      <c r="J2654">
        <v>-0.01</v>
      </c>
    </row>
    <row r="2655" spans="1:10" x14ac:dyDescent="0.3">
      <c r="A2655" t="str">
        <f>HYPERLINK("https://us2.cloudbeds.com/connect/10074733072513#/reservations/30665350185205?display=YQHXPHUH9&amp;reservation_id=30665350185205", "YQHXPHUH9")</f>
        <v>YQHXPHUH9</v>
      </c>
      <c r="B2655" t="s">
        <v>10</v>
      </c>
      <c r="C2655" t="s">
        <v>42</v>
      </c>
      <c r="D2655" t="str">
        <f>HYPERLINK("https://us2.cloudbeds.com/connect/10074733072513#/reservations/30665350185205?display=Carol%20Broomes&amp;reservation_id=30665350185205&amp;guest_id=30665350185203", "Carol Broomes")</f>
        <v>Carol Broomes</v>
      </c>
      <c r="E2655" t="s">
        <v>1998</v>
      </c>
      <c r="F2655" t="s">
        <v>1999</v>
      </c>
      <c r="G2655">
        <v>356.4</v>
      </c>
      <c r="H2655">
        <v>387.4</v>
      </c>
      <c r="I2655">
        <v>387.41</v>
      </c>
      <c r="J2655">
        <v>-0.01</v>
      </c>
    </row>
    <row r="2656" spans="1:10" x14ac:dyDescent="0.3">
      <c r="A2656" t="str">
        <f>HYPERLINK("https://us2.cloudbeds.com/connect/10074733072513#/reservations/30665563893984?display=YQHZ7ZMYT&amp;reservation_id=30665563893984", "YQHZ7ZMYT")</f>
        <v>YQHZ7ZMYT</v>
      </c>
      <c r="B2656" t="s">
        <v>10</v>
      </c>
      <c r="C2656" t="s">
        <v>20</v>
      </c>
      <c r="D2656" t="str">
        <f>HYPERLINK("https://us2.cloudbeds.com/connect/10074733072513#/reservations/30665563893984?display=Isaac%20Horn&amp;reservation_id=30665563893984&amp;guest_id=30665563889899", "Isaac Horn")</f>
        <v>Isaac Horn</v>
      </c>
      <c r="E2656" t="s">
        <v>2003</v>
      </c>
      <c r="F2656" t="s">
        <v>1990</v>
      </c>
      <c r="G2656">
        <v>80.19</v>
      </c>
      <c r="H2656">
        <v>87.16</v>
      </c>
      <c r="I2656">
        <v>87.17</v>
      </c>
      <c r="J2656">
        <v>-0.01</v>
      </c>
    </row>
    <row r="2657" spans="1:10" x14ac:dyDescent="0.3">
      <c r="A2657" t="str">
        <f>HYPERLINK("https://us2.cloudbeds.com/connect/10074733072513#/reservations/30664054771940?display=YQGXM74YS&amp;reservation_id=30664054771940", "YQGXM74YS")</f>
        <v>YQGXM74YS</v>
      </c>
      <c r="B2657" t="s">
        <v>10</v>
      </c>
      <c r="C2657" t="s">
        <v>42</v>
      </c>
      <c r="D2657" t="str">
        <f>HYPERLINK("https://us2.cloudbeds.com/connect/10074733072513#/reservations/30664054771940?display=Andrew%20Dicus&amp;reservation_id=30664054771940&amp;guest_id=30664054771936", "Andrew Dicus")</f>
        <v>Andrew Dicus</v>
      </c>
      <c r="E2657" t="s">
        <v>2007</v>
      </c>
      <c r="F2657" t="s">
        <v>2004</v>
      </c>
      <c r="G2657">
        <v>333.6</v>
      </c>
      <c r="H2657">
        <v>362.61</v>
      </c>
      <c r="I2657">
        <v>362.62</v>
      </c>
      <c r="J2657">
        <v>-0.01</v>
      </c>
    </row>
    <row r="2658" spans="1:10" x14ac:dyDescent="0.3">
      <c r="A2658" t="str">
        <f>HYPERLINK("https://us2.cloudbeds.com/connect/10074733072513#/reservations/30666664759502?display=YQXJC0TF1&amp;reservation_id=30666664759502", "YQXJC0TF1")</f>
        <v>YQXJC0TF1</v>
      </c>
      <c r="B2658" t="s">
        <v>10</v>
      </c>
      <c r="C2658" t="s">
        <v>20</v>
      </c>
      <c r="D2658" t="str">
        <f>HYPERLINK("https://us2.cloudbeds.com/connect/10074733072513#/reservations/30666664759502?display=Ashley%20Beard&amp;reservation_id=30666664759502&amp;guest_id=30666656440449", "Ashley Beard")</f>
        <v>Ashley Beard</v>
      </c>
      <c r="E2658" t="s">
        <v>2008</v>
      </c>
      <c r="F2658" t="s">
        <v>2009</v>
      </c>
      <c r="G2658">
        <v>259.2</v>
      </c>
      <c r="H2658">
        <v>281.74</v>
      </c>
      <c r="I2658">
        <v>281.75</v>
      </c>
      <c r="J2658">
        <v>-0.01</v>
      </c>
    </row>
    <row r="2659" spans="1:10" x14ac:dyDescent="0.3">
      <c r="A2659" t="str">
        <f>HYPERLINK("https://us2.cloudbeds.com/connect/10074733072513#/reservations/30665070801113?display=YQHBKVYFY&amp;reservation_id=30665070801113", "YQHBKVYFY")</f>
        <v>YQHBKVYFY</v>
      </c>
      <c r="B2659" t="s">
        <v>10</v>
      </c>
      <c r="C2659" t="s">
        <v>11</v>
      </c>
      <c r="D2659" t="str">
        <f>HYPERLINK("https://us2.cloudbeds.com/connect/10074733072513#/reservations/30665070801113?display=Alex%20Mcglothlen&amp;reservation_id=30665070801113&amp;guest_id=30648491585743", "Alex Mcglothlen")</f>
        <v>Alex Mcglothlen</v>
      </c>
      <c r="E2659" t="s">
        <v>583</v>
      </c>
      <c r="F2659" t="s">
        <v>1997</v>
      </c>
      <c r="G2659">
        <v>68.16</v>
      </c>
      <c r="H2659">
        <v>74.08</v>
      </c>
      <c r="I2659">
        <v>74.09</v>
      </c>
      <c r="J2659">
        <v>-0.01</v>
      </c>
    </row>
    <row r="2660" spans="1:10" x14ac:dyDescent="0.3">
      <c r="A2660" t="str">
        <f>HYPERLINK("https://us2.cloudbeds.com/connect/10074733072513#/reservations/30664033423529?display=YQGX472WA&amp;reservation_id=30664033423529", "YQGX472WA")</f>
        <v>YQGX472WA</v>
      </c>
      <c r="B2660" t="s">
        <v>10</v>
      </c>
      <c r="C2660" t="s">
        <v>20</v>
      </c>
      <c r="D2660" t="str">
        <f>HYPERLINK("https://us2.cloudbeds.com/connect/10074733072513#/reservations/30664033423529?display=Donns%20Mcfadden&amp;reservation_id=30664033423529&amp;guest_id=30664033423524", "Donns Mcfadden")</f>
        <v>Donns Mcfadden</v>
      </c>
      <c r="E2660" t="s">
        <v>2010</v>
      </c>
      <c r="F2660" t="s">
        <v>2004</v>
      </c>
      <c r="G2660">
        <v>72.17</v>
      </c>
      <c r="H2660">
        <v>78.44</v>
      </c>
      <c r="I2660">
        <v>78.45</v>
      </c>
      <c r="J2660">
        <v>-0.01</v>
      </c>
    </row>
    <row r="2661" spans="1:10" x14ac:dyDescent="0.3">
      <c r="A2661" t="str">
        <f>HYPERLINK("https://us2.cloudbeds.com/connect/10074733072513#/reservations/30665306546384?display=YQHHYZK4P&amp;reservation_id=30665306546384", "YQHHYZK4P")</f>
        <v>YQHHYZK4P</v>
      </c>
      <c r="B2661" t="s">
        <v>10</v>
      </c>
      <c r="C2661" t="s">
        <v>20</v>
      </c>
      <c r="D2661" t="str">
        <f>HYPERLINK("https://us2.cloudbeds.com/connect/10074733072513#/reservations/30665306546384?display=Shoan%20Loeschke&amp;reservation_id=30665306546384&amp;guest_id=30665306546379", "Shoan Loeschke")</f>
        <v>Shoan Loeschke</v>
      </c>
      <c r="E2661" t="s">
        <v>2012</v>
      </c>
      <c r="F2661" t="s">
        <v>2013</v>
      </c>
      <c r="G2661">
        <v>160.38</v>
      </c>
      <c r="H2661">
        <v>174.32</v>
      </c>
      <c r="I2661">
        <v>174.33</v>
      </c>
      <c r="J2661">
        <v>-0.01</v>
      </c>
    </row>
    <row r="2662" spans="1:10" x14ac:dyDescent="0.3">
      <c r="A2662" t="str">
        <f>HYPERLINK("https://us2.cloudbeds.com/connect/10074733072513#/reservations/30665296949438?display=YQHHDYXH7&amp;reservation_id=30665296949438", "YQHHDYXH7")</f>
        <v>YQHHDYXH7</v>
      </c>
      <c r="B2662" t="s">
        <v>10</v>
      </c>
      <c r="C2662" t="s">
        <v>14</v>
      </c>
      <c r="D2662" t="str">
        <f>HYPERLINK("https://us2.cloudbeds.com/connect/10074733072513#/reservations/30665296949438?display=Jose%20Guillermo&amp;reservation_id=30665296949438&amp;guest_id=30663354835072", "Jose Guillermo")</f>
        <v>Jose Guillermo</v>
      </c>
      <c r="E2662" t="s">
        <v>1845</v>
      </c>
      <c r="F2662" t="s">
        <v>2013</v>
      </c>
      <c r="G2662">
        <v>368.34</v>
      </c>
      <c r="H2662">
        <v>400.38</v>
      </c>
      <c r="I2662">
        <v>400.39</v>
      </c>
      <c r="J2662">
        <v>-0.01</v>
      </c>
    </row>
    <row r="2663" spans="1:10" x14ac:dyDescent="0.3">
      <c r="A2663" t="str">
        <f>HYPERLINK("https://us2.cloudbeds.com/connect/10074733072513#/reservations/30665257509008?display=YQHGDD2DM&amp;reservation_id=30665257509008", "YQHGDD2DM")</f>
        <v>YQHGDD2DM</v>
      </c>
      <c r="B2663" t="s">
        <v>10</v>
      </c>
      <c r="C2663" t="s">
        <v>14</v>
      </c>
      <c r="D2663" t="str">
        <f>HYPERLINK("https://us2.cloudbeds.com/connect/10074733072513#/reservations/30665257509008?display=Victor%20Gonzales&amp;reservation_id=30665257509008&amp;guest_id=30663982047383", "Victor Gonzales")</f>
        <v>Victor Gonzales</v>
      </c>
      <c r="E2663" t="s">
        <v>1845</v>
      </c>
      <c r="F2663" t="s">
        <v>2013</v>
      </c>
      <c r="G2663">
        <v>368.34</v>
      </c>
      <c r="H2663">
        <v>400.38</v>
      </c>
      <c r="I2663">
        <v>400.39</v>
      </c>
      <c r="J2663">
        <v>-0.01</v>
      </c>
    </row>
    <row r="2664" spans="1:10" x14ac:dyDescent="0.3">
      <c r="A2664" t="str">
        <f>HYPERLINK("https://us2.cloudbeds.com/connect/10074733072513#/reservations/30665268547716?display=YQHGMN7VW&amp;reservation_id=30665268547716", "YQHGMN7VW")</f>
        <v>YQHGMN7VW</v>
      </c>
      <c r="B2664" t="s">
        <v>10</v>
      </c>
      <c r="C2664" t="s">
        <v>14</v>
      </c>
      <c r="D2664" t="str">
        <f>HYPERLINK("https://us2.cloudbeds.com/connect/10074733072513#/reservations/30665268547716?display=Nelson%20Camacho&amp;reservation_id=30665268547716&amp;guest_id=30663349854411", "Nelson Camacho")</f>
        <v>Nelson Camacho</v>
      </c>
      <c r="E2664" t="s">
        <v>1845</v>
      </c>
      <c r="F2664" t="s">
        <v>2013</v>
      </c>
      <c r="G2664">
        <v>368.34</v>
      </c>
      <c r="H2664">
        <v>400.38</v>
      </c>
      <c r="I2664">
        <v>400.39</v>
      </c>
      <c r="J2664">
        <v>-0.01</v>
      </c>
    </row>
    <row r="2665" spans="1:10" x14ac:dyDescent="0.3">
      <c r="A2665" t="str">
        <f>HYPERLINK("https://us2.cloudbeds.com/connect/10074733072513#/reservations/30665313812632?display=YQHHRSQX3&amp;reservation_id=30665313812632", "YQHHRSQX3")</f>
        <v>YQHHRSQX3</v>
      </c>
      <c r="B2665" t="s">
        <v>10</v>
      </c>
      <c r="C2665" t="s">
        <v>11</v>
      </c>
      <c r="D2665" t="str">
        <f>HYPERLINK("https://us2.cloudbeds.com/connect/10074733072513#/reservations/30665313812632?display=Alex%20Mcglothlen&amp;reservation_id=30665313812632&amp;guest_id=30648491585743", "Alex Mcglothlen")</f>
        <v>Alex Mcglothlen</v>
      </c>
      <c r="E2665" t="s">
        <v>583</v>
      </c>
      <c r="F2665" t="s">
        <v>2013</v>
      </c>
      <c r="G2665">
        <v>68.16</v>
      </c>
      <c r="H2665">
        <v>74.08</v>
      </c>
      <c r="I2665">
        <v>74.09</v>
      </c>
      <c r="J2665">
        <v>-0.01</v>
      </c>
    </row>
    <row r="2666" spans="1:10" x14ac:dyDescent="0.3">
      <c r="A2666" t="str">
        <f>HYPERLINK("https://us2.cloudbeds.com/connect/10074733072513#/reservations/30665277640883?display=YQHGUC8WG&amp;reservation_id=30665277640883", "YQHGUC8WG")</f>
        <v>YQHGUC8WG</v>
      </c>
      <c r="B2666" t="s">
        <v>10</v>
      </c>
      <c r="C2666" t="s">
        <v>14</v>
      </c>
      <c r="D2666" t="str">
        <f>HYPERLINK("https://us2.cloudbeds.com/connect/10074733072513#/reservations/30665277640883?display=Efrain%20Adorno&amp;reservation_id=30665277640883&amp;guest_id=30663345287422", "Efrain Adorno")</f>
        <v>Efrain Adorno</v>
      </c>
      <c r="E2666" t="s">
        <v>1845</v>
      </c>
      <c r="F2666" t="s">
        <v>2013</v>
      </c>
      <c r="G2666">
        <v>368.34</v>
      </c>
      <c r="H2666">
        <v>400.38</v>
      </c>
      <c r="I2666">
        <v>400.39</v>
      </c>
      <c r="J2666">
        <v>-0.01</v>
      </c>
    </row>
    <row r="2667" spans="1:10" x14ac:dyDescent="0.3">
      <c r="A2667" t="str">
        <f>HYPERLINK("https://us2.cloudbeds.com/connect/10074733072513#/reservations/30665239187704?display=YQHFUV8EY&amp;reservation_id=30665239187704", "YQHFUV8EY")</f>
        <v>YQHFUV8EY</v>
      </c>
      <c r="B2667" t="s">
        <v>10</v>
      </c>
      <c r="C2667" t="s">
        <v>20</v>
      </c>
      <c r="D2667" t="str">
        <f>HYPERLINK("https://us2.cloudbeds.com/connect/10074733072513#/reservations/30665239187704?display=Richard%20Kliewer&amp;reservation_id=30665239187704&amp;guest_id=30665229291745", "Richard Kliewer")</f>
        <v>Richard Kliewer</v>
      </c>
      <c r="E2667" t="s">
        <v>2014</v>
      </c>
      <c r="F2667" t="s">
        <v>2002</v>
      </c>
      <c r="G2667">
        <v>68.16</v>
      </c>
      <c r="H2667">
        <v>74.08</v>
      </c>
      <c r="I2667">
        <v>74.09</v>
      </c>
      <c r="J2667">
        <v>-0.01</v>
      </c>
    </row>
    <row r="2668" spans="1:10" x14ac:dyDescent="0.3">
      <c r="A2668" t="str">
        <f>HYPERLINK("https://us2.cloudbeds.com/connect/10074733072513#/reservations/30665896825044?display=YQHWZFWFT&amp;reservation_id=30665896825044", "YQHWZFWFT")</f>
        <v>YQHWZFWFT</v>
      </c>
      <c r="B2668" t="s">
        <v>10</v>
      </c>
      <c r="C2668" t="s">
        <v>11</v>
      </c>
      <c r="D2668" t="str">
        <f>HYPERLINK("https://us2.cloudbeds.com/connect/10074733072513#/reservations/30665896825044?display=Jerod%20Skau&amp;reservation_id=30665896825044&amp;guest_id=30665890930936", "Jerod Skau")</f>
        <v>Jerod Skau</v>
      </c>
      <c r="E2668" t="s">
        <v>2015</v>
      </c>
      <c r="F2668" t="s">
        <v>2016</v>
      </c>
      <c r="G2668">
        <v>68.16</v>
      </c>
      <c r="H2668">
        <v>74.08</v>
      </c>
      <c r="I2668">
        <v>74.09</v>
      </c>
      <c r="J2668">
        <v>-0.01</v>
      </c>
    </row>
    <row r="2669" spans="1:10" x14ac:dyDescent="0.3">
      <c r="A2669" t="str">
        <f>HYPERLINK("https://us2.cloudbeds.com/connect/10074733072513#/reservations/30665043124406?display=YQHAUKGMJ&amp;reservation_id=30665043124406", "YQHAUKGMJ")</f>
        <v>YQHAUKGMJ</v>
      </c>
      <c r="B2669" t="s">
        <v>10</v>
      </c>
      <c r="C2669" t="s">
        <v>14</v>
      </c>
      <c r="D2669" t="str">
        <f>HYPERLINK("https://us2.cloudbeds.com/connect/10074733072513#/reservations/30665043124406?display=Matthew%20Kleinsasser&amp;reservation_id=30665043124406&amp;guest_id=30665043124402", "Matthew Kleinsasser")</f>
        <v>Matthew Kleinsasser</v>
      </c>
      <c r="E2669" t="s">
        <v>2017</v>
      </c>
      <c r="F2669" t="s">
        <v>2002</v>
      </c>
      <c r="G2669">
        <v>68.16</v>
      </c>
      <c r="H2669">
        <v>74.08</v>
      </c>
      <c r="I2669">
        <v>74.09</v>
      </c>
      <c r="J2669">
        <v>-0.01</v>
      </c>
    </row>
    <row r="2670" spans="1:10" x14ac:dyDescent="0.3">
      <c r="A2670" t="str">
        <f>HYPERLINK("https://us2.cloudbeds.com/connect/10074733072513#/reservations/30665049682164?display=YQHB34WGH&amp;reservation_id=30665049682164", "YQHB34WGH")</f>
        <v>YQHB34WGH</v>
      </c>
      <c r="B2670" t="s">
        <v>10</v>
      </c>
      <c r="C2670" t="s">
        <v>20</v>
      </c>
      <c r="D2670" t="str">
        <f>HYPERLINK("https://us2.cloudbeds.com/connect/10074733072513#/reservations/30665049682164?display=Daniel%20Mcguire&amp;reservation_id=30665049682164&amp;guest_id=30665049682162", "Daniel Mcguire")</f>
        <v>Daniel Mcguire</v>
      </c>
      <c r="E2670" t="s">
        <v>2018</v>
      </c>
      <c r="F2670" t="s">
        <v>2002</v>
      </c>
      <c r="G2670">
        <v>174.42</v>
      </c>
      <c r="H2670">
        <v>189.58</v>
      </c>
      <c r="I2670">
        <v>189.59</v>
      </c>
      <c r="J2670">
        <v>-0.01</v>
      </c>
    </row>
    <row r="2671" spans="1:10" x14ac:dyDescent="0.3">
      <c r="A2671" t="str">
        <f>HYPERLINK("https://us2.cloudbeds.com/connect/10074733072513#/reservations/30665866240129?display=YQHVZ8W8S&amp;reservation_id=30665866240129", "YQHVZ8W8S")</f>
        <v>YQHVZ8W8S</v>
      </c>
      <c r="B2671" t="s">
        <v>10</v>
      </c>
      <c r="C2671" t="s">
        <v>14</v>
      </c>
      <c r="D2671" t="str">
        <f>HYPERLINK("https://us2.cloudbeds.com/connect/10074733072513#/reservations/30665866240129?display=Michael%20Semerad&amp;reservation_id=30665866240129&amp;guest_id=30665857437858", "Michael Semerad")</f>
        <v>Michael Semerad</v>
      </c>
      <c r="E2671" t="s">
        <v>2019</v>
      </c>
      <c r="F2671" t="s">
        <v>2013</v>
      </c>
      <c r="G2671">
        <v>72.17</v>
      </c>
      <c r="H2671">
        <v>78.44</v>
      </c>
      <c r="I2671">
        <v>78.45</v>
      </c>
      <c r="J2671">
        <v>-0.01</v>
      </c>
    </row>
    <row r="2672" spans="1:10" x14ac:dyDescent="0.3">
      <c r="A2672" t="str">
        <f>HYPERLINK("https://us2.cloudbeds.com/connect/10074733072513#/reservations/30666444660945?display=YQXDZEAZQ&amp;reservation_id=30666444660945", "YQXDZEAZQ")</f>
        <v>YQXDZEAZQ</v>
      </c>
      <c r="B2672" t="s">
        <v>10</v>
      </c>
      <c r="C2672" t="s">
        <v>11</v>
      </c>
      <c r="D2672" t="str">
        <f>HYPERLINK("https://us2.cloudbeds.com/connect/10074733072513#/reservations/30666444660945?display=Vernon%20Gingrich&amp;reservation_id=30666444660945&amp;guest_id=30666438422660", "Vernon Gingrich")</f>
        <v>Vernon Gingrich</v>
      </c>
      <c r="E2672" t="s">
        <v>2022</v>
      </c>
      <c r="F2672" t="s">
        <v>2023</v>
      </c>
      <c r="G2672">
        <v>72.17</v>
      </c>
      <c r="H2672">
        <v>78.44</v>
      </c>
      <c r="I2672">
        <v>78.45</v>
      </c>
      <c r="J2672">
        <v>-0.01</v>
      </c>
    </row>
    <row r="2673" spans="1:10" x14ac:dyDescent="0.3">
      <c r="A2673" t="str">
        <f>HYPERLINK("https://us2.cloudbeds.com/connect/10074733072513#/reservations/30665867714778?display=YQHVWUV9K&amp;reservation_id=30665867714778", "YQHVWUV9K")</f>
        <v>YQHVWUV9K</v>
      </c>
      <c r="B2673" t="s">
        <v>10</v>
      </c>
      <c r="C2673" t="s">
        <v>11</v>
      </c>
      <c r="D2673" t="str">
        <f>HYPERLINK("https://us2.cloudbeds.com/connect/10074733072513#/reservations/30665867714778?display=Timothy%20James%20Smith&amp;reservation_id=30665867714778&amp;guest_id=30665867714774", "Timothy James Smith")</f>
        <v>Timothy James Smith</v>
      </c>
      <c r="E2673" t="s">
        <v>2024</v>
      </c>
      <c r="F2673" t="s">
        <v>2013</v>
      </c>
      <c r="G2673">
        <v>68.16</v>
      </c>
      <c r="H2673">
        <v>74.08</v>
      </c>
      <c r="I2673">
        <v>74.09</v>
      </c>
      <c r="J2673">
        <v>-0.01</v>
      </c>
    </row>
    <row r="2674" spans="1:10" x14ac:dyDescent="0.3">
      <c r="A2674" t="str">
        <f>HYPERLINK("https://us2.cloudbeds.com/connect/10074733072513#/reservations/30663994458270?display=YQGH4BR6T&amp;reservation_id=30663994458270", "YQGH4BR6T")</f>
        <v>YQGH4BR6T</v>
      </c>
      <c r="B2674" t="s">
        <v>10</v>
      </c>
      <c r="C2674" t="s">
        <v>42</v>
      </c>
      <c r="D2674" t="str">
        <f>HYPERLINK("https://us2.cloudbeds.com/connect/10074733072513#/reservations/30663994458270?display=Michelle%20Styke&amp;reservation_id=30663994458270&amp;guest_id=30663994458266", "Michelle Styke")</f>
        <v>Michelle Styke</v>
      </c>
      <c r="E2674" t="s">
        <v>2025</v>
      </c>
      <c r="F2674" t="s">
        <v>2021</v>
      </c>
      <c r="G2674">
        <v>80.099999999999994</v>
      </c>
      <c r="H2674">
        <v>87.06</v>
      </c>
      <c r="I2674">
        <v>87.07</v>
      </c>
      <c r="J2674">
        <v>-0.01</v>
      </c>
    </row>
    <row r="2675" spans="1:10" x14ac:dyDescent="0.3">
      <c r="A2675" t="str">
        <f>HYPERLINK("https://us2.cloudbeds.com/connect/10074733072513#/reservations/30665382490331?display=YQHJJPSFG&amp;reservation_id=30665382490331", "YQHJJPSFG")</f>
        <v>YQHJJPSFG</v>
      </c>
      <c r="B2675" t="s">
        <v>10</v>
      </c>
      <c r="C2675" t="s">
        <v>20</v>
      </c>
      <c r="D2675" t="str">
        <f>HYPERLINK("https://us2.cloudbeds.com/connect/10074733072513#/reservations/30665382490331?display=Alicia%20Mueller&amp;reservation_id=30665382490331&amp;guest_id=30665382490326", "Alicia Mueller")</f>
        <v>Alicia Mueller</v>
      </c>
      <c r="E2675" t="s">
        <v>2026</v>
      </c>
      <c r="F2675" t="s">
        <v>2027</v>
      </c>
      <c r="G2675">
        <v>437.86</v>
      </c>
      <c r="H2675">
        <v>475.94</v>
      </c>
      <c r="I2675">
        <v>475.95</v>
      </c>
      <c r="J2675">
        <v>-0.01</v>
      </c>
    </row>
    <row r="2676" spans="1:10" x14ac:dyDescent="0.3">
      <c r="A2676" t="str">
        <f>HYPERLINK("https://us2.cloudbeds.com/connect/10074733072513#/reservations/30663360790685?display=YQG0V12VS&amp;reservation_id=30663360790685", "YQG0V12VS")</f>
        <v>YQG0V12VS</v>
      </c>
      <c r="B2676" t="s">
        <v>10</v>
      </c>
      <c r="C2676" t="s">
        <v>14</v>
      </c>
      <c r="D2676" t="str">
        <f>HYPERLINK("https://us2.cloudbeds.com/connect/10074733072513#/reservations/30663360790685?display=Victor%20Gonzalez&amp;reservation_id=30663360790685&amp;guest_id=30663360790672", "Victor Gonzalez")</f>
        <v>Victor Gonzalez</v>
      </c>
      <c r="E2676" t="s">
        <v>1845</v>
      </c>
      <c r="F2676" t="s">
        <v>2021</v>
      </c>
      <c r="G2676">
        <v>68.16</v>
      </c>
      <c r="H2676">
        <v>74.08</v>
      </c>
      <c r="I2676">
        <v>74.09</v>
      </c>
      <c r="J2676">
        <v>-0.01</v>
      </c>
    </row>
    <row r="2677" spans="1:10" x14ac:dyDescent="0.3">
      <c r="A2677" t="str">
        <f>HYPERLINK("https://us2.cloudbeds.com/connect/10074733072513#/reservations/30663354835076?display=YQG0Q0C2S&amp;reservation_id=30663354835076", "YQG0Q0C2S")</f>
        <v>YQG0Q0C2S</v>
      </c>
      <c r="B2677" t="s">
        <v>10</v>
      </c>
      <c r="C2677" t="s">
        <v>14</v>
      </c>
      <c r="D2677" t="str">
        <f>HYPERLINK("https://us2.cloudbeds.com/connect/10074733072513#/reservations/30663354835076?display=Jose%20Guillermo&amp;reservation_id=30663354835076&amp;guest_id=30663354835072", "Jose Guillermo")</f>
        <v>Jose Guillermo</v>
      </c>
      <c r="E2677" t="s">
        <v>1845</v>
      </c>
      <c r="F2677" t="s">
        <v>2021</v>
      </c>
      <c r="G2677">
        <v>68.16</v>
      </c>
      <c r="H2677">
        <v>74.08</v>
      </c>
      <c r="I2677">
        <v>74.09</v>
      </c>
      <c r="J2677">
        <v>-0.01</v>
      </c>
    </row>
    <row r="2678" spans="1:10" x14ac:dyDescent="0.3">
      <c r="A2678" t="str">
        <f>HYPERLINK("https://us2.cloudbeds.com/connect/10074733072513#/reservations/30665848713357?display=YQHVGU6PW&amp;reservation_id=30665848713357", "YQHVGU6PW")</f>
        <v>YQHVGU6PW</v>
      </c>
      <c r="B2678" t="s">
        <v>10</v>
      </c>
      <c r="C2678" t="s">
        <v>42</v>
      </c>
      <c r="D2678" t="str">
        <f>HYPERLINK("https://us2.cloudbeds.com/connect/10074733072513#/reservations/30665848713357?display=Christine/Mark%20Sanders&amp;reservation_id=30665848713357&amp;guest_id=30665848713355", "Christine/Mark Sanders")</f>
        <v>Christine/Mark Sanders</v>
      </c>
      <c r="E2678" t="s">
        <v>2028</v>
      </c>
      <c r="F2678" t="s">
        <v>2029</v>
      </c>
      <c r="G2678">
        <v>294.3</v>
      </c>
      <c r="H2678">
        <v>319.89</v>
      </c>
      <c r="I2678">
        <v>319.89999999999998</v>
      </c>
      <c r="J2678">
        <v>-0.01</v>
      </c>
    </row>
    <row r="2679" spans="1:10" x14ac:dyDescent="0.3">
      <c r="A2679" t="str">
        <f>HYPERLINK("https://us2.cloudbeds.com/connect/10074733072513#/reservations/30663345291458?display=YQG0HVQEA&amp;reservation_id=30663345291458", "YQG0HVQEA")</f>
        <v>YQG0HVQEA</v>
      </c>
      <c r="B2679" t="s">
        <v>10</v>
      </c>
      <c r="C2679" t="s">
        <v>14</v>
      </c>
      <c r="D2679" t="str">
        <f>HYPERLINK("https://us2.cloudbeds.com/connect/10074733072513#/reservations/30663345291458?display=Efrain%20Adorno&amp;reservation_id=30663345291458&amp;guest_id=30663345287422", "Efrain Adorno")</f>
        <v>Efrain Adorno</v>
      </c>
      <c r="E2679" t="s">
        <v>1845</v>
      </c>
      <c r="F2679" t="s">
        <v>2021</v>
      </c>
      <c r="G2679">
        <v>68.16</v>
      </c>
      <c r="H2679">
        <v>74.08</v>
      </c>
      <c r="I2679">
        <v>74.09</v>
      </c>
      <c r="J2679">
        <v>-0.01</v>
      </c>
    </row>
    <row r="2680" spans="1:10" x14ac:dyDescent="0.3">
      <c r="A2680" t="str">
        <f>HYPERLINK("https://us2.cloudbeds.com/connect/10074733072513#/reservations/30663338643629?display=YQG0CBQTV&amp;reservation_id=30663338643629", "YQG0CBQTV")</f>
        <v>YQG0CBQTV</v>
      </c>
      <c r="B2680" t="s">
        <v>10</v>
      </c>
      <c r="C2680" t="s">
        <v>14</v>
      </c>
      <c r="D2680" t="str">
        <f>HYPERLINK("https://us2.cloudbeds.com/connect/10074733072513#/reservations/30663338643629?display=Mike%20Hill&amp;reservation_id=30663338643629&amp;guest_id=30663338643624", "Mike Hill")</f>
        <v>Mike Hill</v>
      </c>
      <c r="E2680" t="s">
        <v>2031</v>
      </c>
      <c r="F2680" t="s">
        <v>2021</v>
      </c>
      <c r="G2680">
        <v>68.16</v>
      </c>
      <c r="H2680">
        <v>74.08</v>
      </c>
      <c r="I2680">
        <v>74.09</v>
      </c>
      <c r="J2680">
        <v>-0.01</v>
      </c>
    </row>
    <row r="2681" spans="1:10" x14ac:dyDescent="0.3">
      <c r="A2681" t="str">
        <f>HYPERLINK("https://us2.cloudbeds.com/connect/10074733072513#/reservations/30663354830981?display=YQG0Q08AP&amp;reservation_id=30663354830981", "YQG0Q08AP")</f>
        <v>YQG0Q08AP</v>
      </c>
      <c r="B2681" t="s">
        <v>10</v>
      </c>
      <c r="C2681" t="s">
        <v>14</v>
      </c>
      <c r="D2681" t="str">
        <f>HYPERLINK("https://us2.cloudbeds.com/connect/10074733072513#/reservations/30663354830981?display=Nelson%20Camacho&amp;reservation_id=30663354830981&amp;guest_id=30663349854411", "Nelson Camacho")</f>
        <v>Nelson Camacho</v>
      </c>
      <c r="E2681" t="s">
        <v>1845</v>
      </c>
      <c r="F2681" t="s">
        <v>2021</v>
      </c>
      <c r="G2681">
        <v>68.16</v>
      </c>
      <c r="H2681">
        <v>74.08</v>
      </c>
      <c r="I2681">
        <v>74.09</v>
      </c>
      <c r="J2681">
        <v>-0.01</v>
      </c>
    </row>
    <row r="2682" spans="1:10" x14ac:dyDescent="0.3">
      <c r="A2682" t="str">
        <f>HYPERLINK("https://us2.cloudbeds.com/connect/10074733072513#/reservations/30666626310344?display=YQXXCJWK1&amp;reservation_id=30666626310344", "YQXXCJWK1")</f>
        <v>YQXXCJWK1</v>
      </c>
      <c r="B2682" t="s">
        <v>10</v>
      </c>
      <c r="C2682" t="s">
        <v>11</v>
      </c>
      <c r="D2682" t="str">
        <f>HYPERLINK("https://us2.cloudbeds.com/connect/10074733072513#/reservations/30666626310344?display=Kaylee%20Tschetter&amp;reservation_id=30666626310344&amp;guest_id=30666621735089", "Kaylee Tschetter")</f>
        <v>Kaylee Tschetter</v>
      </c>
      <c r="E2682" t="s">
        <v>2033</v>
      </c>
      <c r="F2682" t="s">
        <v>2034</v>
      </c>
      <c r="G2682">
        <v>84.15</v>
      </c>
      <c r="H2682">
        <v>91.46</v>
      </c>
      <c r="I2682">
        <v>91.47</v>
      </c>
      <c r="J2682">
        <v>-0.01</v>
      </c>
    </row>
    <row r="2683" spans="1:10" x14ac:dyDescent="0.3">
      <c r="A2683" t="str">
        <f>HYPERLINK("https://us2.cloudbeds.com/connect/10074733072513#/reservations/30665624260741?display=YQHPPYFSX&amp;reservation_id=30665624260741", "YQHPPYFSX")</f>
        <v>YQHPPYFSX</v>
      </c>
      <c r="B2683" t="s">
        <v>10</v>
      </c>
      <c r="C2683" t="s">
        <v>14</v>
      </c>
      <c r="D2683" t="str">
        <f>HYPERLINK("https://us2.cloudbeds.com/connect/10074733072513#/reservations/30665624260741?display=Victor%20Gonzalez&amp;reservation_id=30665624260741&amp;guest_id=30663360790672", "Victor Gonzalez")</f>
        <v>Victor Gonzalez</v>
      </c>
      <c r="E2683" t="s">
        <v>1845</v>
      </c>
      <c r="F2683" t="s">
        <v>2035</v>
      </c>
      <c r="G2683">
        <v>68.16</v>
      </c>
      <c r="H2683">
        <v>74.08</v>
      </c>
      <c r="I2683">
        <v>74.09</v>
      </c>
      <c r="J2683">
        <v>-0.01</v>
      </c>
    </row>
    <row r="2684" spans="1:10" x14ac:dyDescent="0.3">
      <c r="A2684" t="str">
        <f>HYPERLINK("https://us2.cloudbeds.com/connect/10074733072513#/reservations/30665634529487?display=YQHQ1A7CM&amp;reservation_id=30665634529487", "YQHQ1A7CM")</f>
        <v>YQHQ1A7CM</v>
      </c>
      <c r="B2684" t="s">
        <v>10</v>
      </c>
      <c r="C2684" t="s">
        <v>14</v>
      </c>
      <c r="D2684" t="str">
        <f>HYPERLINK("https://us2.cloudbeds.com/connect/10074733072513#/reservations/30665634529487?display=Nelson%20Camacho&amp;reservation_id=30665634529487&amp;guest_id=30663349854411", "Nelson Camacho")</f>
        <v>Nelson Camacho</v>
      </c>
      <c r="E2684" t="s">
        <v>1845</v>
      </c>
      <c r="F2684" t="s">
        <v>2035</v>
      </c>
      <c r="G2684">
        <v>68.16</v>
      </c>
      <c r="H2684">
        <v>74.08</v>
      </c>
      <c r="I2684">
        <v>74.09</v>
      </c>
      <c r="J2684">
        <v>-0.01</v>
      </c>
    </row>
    <row r="2685" spans="1:10" x14ac:dyDescent="0.3">
      <c r="A2685" t="str">
        <f>HYPERLINK("https://us2.cloudbeds.com/connect/10074733072513#/reservations/30665642918059?display=YQHQ8CYCR&amp;reservation_id=30665642918059", "YQHQ8CYCR")</f>
        <v>YQHQ8CYCR</v>
      </c>
      <c r="B2685" t="s">
        <v>10</v>
      </c>
      <c r="C2685" t="s">
        <v>14</v>
      </c>
      <c r="D2685" t="str">
        <f>HYPERLINK("https://us2.cloudbeds.com/connect/10074733072513#/reservations/30665642918059?display=Jose%20Adorno&amp;reservation_id=30665642918059&amp;guest_id=30665642918057", "Jose Adorno")</f>
        <v>Jose Adorno</v>
      </c>
      <c r="E2685" t="s">
        <v>1845</v>
      </c>
      <c r="F2685" t="s">
        <v>2035</v>
      </c>
      <c r="G2685">
        <v>68.16</v>
      </c>
      <c r="H2685">
        <v>74.08</v>
      </c>
      <c r="I2685">
        <v>74.09</v>
      </c>
      <c r="J2685">
        <v>-0.01</v>
      </c>
    </row>
    <row r="2686" spans="1:10" x14ac:dyDescent="0.3">
      <c r="A2686" t="str">
        <f>HYPERLINK("https://us2.cloudbeds.com/connect/10074733072513#/reservations/30665654571201?display=YQHQX6U5B&amp;reservation_id=30665654571201", "YQHQX6U5B")</f>
        <v>YQHQX6U5B</v>
      </c>
      <c r="B2686" t="s">
        <v>10</v>
      </c>
      <c r="C2686" t="s">
        <v>42</v>
      </c>
      <c r="D2686" t="str">
        <f>HYPERLINK("https://us2.cloudbeds.com/connect/10074733072513#/reservations/30665654571201?display=Harley%20Schieffer&amp;reservation_id=30665654571201&amp;guest_id=30665649111203", "Harley Schieffer")</f>
        <v>Harley Schieffer</v>
      </c>
      <c r="E2686" t="s">
        <v>2036</v>
      </c>
      <c r="F2686" t="s">
        <v>1999</v>
      </c>
      <c r="G2686">
        <v>80.099999999999994</v>
      </c>
      <c r="H2686">
        <v>87.06</v>
      </c>
      <c r="I2686">
        <v>87.07</v>
      </c>
      <c r="J2686">
        <v>-0.01</v>
      </c>
    </row>
    <row r="2687" spans="1:10" x14ac:dyDescent="0.3">
      <c r="A2687" t="str">
        <f>HYPERLINK("https://us2.cloudbeds.com/connect/10074733072513#/reservations/30665634525395?display=YQHQ1A3KM&amp;reservation_id=30665634525395", "YQHQ1A3KM")</f>
        <v>YQHQ1A3KM</v>
      </c>
      <c r="B2687" t="s">
        <v>10</v>
      </c>
      <c r="C2687" t="s">
        <v>14</v>
      </c>
      <c r="D2687" t="str">
        <f>HYPERLINK("https://us2.cloudbeds.com/connect/10074733072513#/reservations/30665634525395?display=Jose%20Guillermo&amp;reservation_id=30665634525395&amp;guest_id=30663354835072", "Jose Guillermo")</f>
        <v>Jose Guillermo</v>
      </c>
      <c r="E2687" t="s">
        <v>1845</v>
      </c>
      <c r="F2687" t="s">
        <v>2035</v>
      </c>
      <c r="G2687">
        <v>68.16</v>
      </c>
      <c r="H2687">
        <v>74.08</v>
      </c>
      <c r="I2687">
        <v>74.09</v>
      </c>
      <c r="J2687">
        <v>-0.01</v>
      </c>
    </row>
    <row r="2688" spans="1:10" x14ac:dyDescent="0.3">
      <c r="A2688" t="str">
        <f>HYPERLINK("https://us2.cloudbeds.com/connect/10074733072513#/reservations/30665316180176?display=YQHHTSMJR&amp;reservation_id=30665316180176", "YQHHTSMJR")</f>
        <v>YQHHTSMJR</v>
      </c>
      <c r="B2688" t="s">
        <v>10</v>
      </c>
      <c r="C2688" t="s">
        <v>14</v>
      </c>
      <c r="D2688" t="str">
        <f>HYPERLINK("https://us2.cloudbeds.com/connect/10074733072513#/reservations/30665316180176?display=Nelson%20Camacho&amp;reservation_id=30665316180176&amp;guest_id=30663349854411", "Nelson Camacho")</f>
        <v>Nelson Camacho</v>
      </c>
      <c r="E2688" t="s">
        <v>1845</v>
      </c>
      <c r="F2688" t="s">
        <v>1999</v>
      </c>
      <c r="G2688">
        <v>68.16</v>
      </c>
      <c r="H2688">
        <v>74.08</v>
      </c>
      <c r="I2688">
        <v>74.09</v>
      </c>
      <c r="J2688">
        <v>-0.01</v>
      </c>
    </row>
    <row r="2689" spans="1:10" x14ac:dyDescent="0.3">
      <c r="A2689" t="str">
        <f>HYPERLINK("https://us2.cloudbeds.com/connect/10074733072513#/reservations/30665322279075?display=YQHX20D1W&amp;reservation_id=30665322279075", "YQHX20D1W")</f>
        <v>YQHX20D1W</v>
      </c>
      <c r="B2689" t="s">
        <v>10</v>
      </c>
      <c r="C2689" t="s">
        <v>14</v>
      </c>
      <c r="D2689" t="str">
        <f>HYPERLINK("https://us2.cloudbeds.com/connect/10074733072513#/reservations/30665322279075?display=Victor%20Gonzalez&amp;reservation_id=30665322279075&amp;guest_id=30663360790672", "Victor Gonzalez")</f>
        <v>Victor Gonzalez</v>
      </c>
      <c r="E2689" t="s">
        <v>1845</v>
      </c>
      <c r="F2689" t="s">
        <v>1999</v>
      </c>
      <c r="G2689">
        <v>68.16</v>
      </c>
      <c r="H2689">
        <v>74.08</v>
      </c>
      <c r="I2689">
        <v>74.09</v>
      </c>
      <c r="J2689">
        <v>-0.01</v>
      </c>
    </row>
    <row r="2690" spans="1:10" x14ac:dyDescent="0.3">
      <c r="A2690" t="str">
        <f>HYPERLINK("https://us2.cloudbeds.com/connect/10074733072513#/reservations/30666450276519?display=YQXDT5JCN&amp;reservation_id=30666450276519", "YQXDT5JCN")</f>
        <v>YQXDT5JCN</v>
      </c>
      <c r="B2690" t="s">
        <v>10</v>
      </c>
      <c r="C2690" t="s">
        <v>11</v>
      </c>
      <c r="D2690" t="str">
        <f>HYPERLINK("https://us2.cloudbeds.com/connect/10074733072513#/reservations/30666450276519?display=Theresa%20Nordstrom&amp;reservation_id=30666450276519&amp;guest_id=30666444665050", "Theresa Nordstrom")</f>
        <v>Theresa Nordstrom</v>
      </c>
      <c r="E2690" t="s">
        <v>2037</v>
      </c>
      <c r="F2690" t="s">
        <v>2023</v>
      </c>
      <c r="G2690">
        <v>80.099999999999994</v>
      </c>
      <c r="H2690">
        <v>87.06</v>
      </c>
      <c r="I2690">
        <v>87.07</v>
      </c>
      <c r="J2690">
        <v>-0.01</v>
      </c>
    </row>
    <row r="2691" spans="1:10" x14ac:dyDescent="0.3">
      <c r="A2691" t="str">
        <f>HYPERLINK("https://us2.cloudbeds.com/connect/10074733072513#/reservations/30665311416462?display=YQHHPS46T&amp;reservation_id=30665311416462", "YQHHPS46T")</f>
        <v>YQHHPS46T</v>
      </c>
      <c r="B2691" t="s">
        <v>10</v>
      </c>
      <c r="C2691" t="s">
        <v>14</v>
      </c>
      <c r="D2691" t="str">
        <f>HYPERLINK("https://us2.cloudbeds.com/connect/10074733072513#/reservations/30665311416462?display=Efrain%20Adorno&amp;reservation_id=30665311416462&amp;guest_id=30663345287422", "Efrain Adorno")</f>
        <v>Efrain Adorno</v>
      </c>
      <c r="E2691" t="s">
        <v>1845</v>
      </c>
      <c r="F2691" t="s">
        <v>1999</v>
      </c>
      <c r="G2691">
        <v>68.16</v>
      </c>
      <c r="H2691">
        <v>74.08</v>
      </c>
      <c r="I2691">
        <v>74.09</v>
      </c>
      <c r="J2691">
        <v>-0.01</v>
      </c>
    </row>
    <row r="2692" spans="1:10" x14ac:dyDescent="0.3">
      <c r="A2692" t="str">
        <f>HYPERLINK("https://us2.cloudbeds.com/connect/10074733072513#/reservations/30665302470878?display=YQHHXA6NJ&amp;reservation_id=30665302470878", "YQHHXA6NJ")</f>
        <v>YQHHXA6NJ</v>
      </c>
      <c r="B2692" t="s">
        <v>10</v>
      </c>
      <c r="C2692" t="s">
        <v>14</v>
      </c>
      <c r="D2692" t="str">
        <f>HYPERLINK("https://us2.cloudbeds.com/connect/10074733072513#/reservations/30665302470878?display=Jose%20Guillermo&amp;reservation_id=30665302470878&amp;guest_id=30663354835072", "Jose Guillermo")</f>
        <v>Jose Guillermo</v>
      </c>
      <c r="E2692" t="s">
        <v>1845</v>
      </c>
      <c r="F2692" t="s">
        <v>1999</v>
      </c>
      <c r="G2692">
        <v>68.16</v>
      </c>
      <c r="H2692">
        <v>74.08</v>
      </c>
      <c r="I2692">
        <v>74.09</v>
      </c>
      <c r="J2692">
        <v>-0.01</v>
      </c>
    </row>
    <row r="2693" spans="1:10" x14ac:dyDescent="0.3">
      <c r="A2693" t="str">
        <f>HYPERLINK("https://us2.cloudbeds.com/connect/10074733072513#/reservations/30665211162821?display=YQHF7ADUP&amp;reservation_id=30665211162821", "YQHF7ADUP")</f>
        <v>YQHF7ADUP</v>
      </c>
      <c r="B2693" t="s">
        <v>10</v>
      </c>
      <c r="C2693" t="s">
        <v>14</v>
      </c>
      <c r="D2693" t="str">
        <f>HYPERLINK("https://us2.cloudbeds.com/connect/10074733072513#/reservations/30665211162821?display=Efrain%20Adorno&amp;reservation_id=30665211162821&amp;guest_id=30663345287422", "Efrain Adorno")</f>
        <v>Efrain Adorno</v>
      </c>
      <c r="E2693" t="s">
        <v>1845</v>
      </c>
      <c r="F2693" t="s">
        <v>2023</v>
      </c>
      <c r="G2693">
        <v>68.16</v>
      </c>
      <c r="H2693">
        <v>74.08</v>
      </c>
      <c r="I2693">
        <v>74.09</v>
      </c>
      <c r="J2693">
        <v>-0.01</v>
      </c>
    </row>
    <row r="2694" spans="1:10" x14ac:dyDescent="0.3">
      <c r="A2694" t="str">
        <f>HYPERLINK("https://us2.cloudbeds.com/connect/10074733072513#/reservations/30666452009165?display=YQXDUKQE4&amp;reservation_id=30666452009165", "YQXDUKQE4")</f>
        <v>YQXDUKQE4</v>
      </c>
      <c r="B2694" t="s">
        <v>10</v>
      </c>
      <c r="C2694" t="s">
        <v>14</v>
      </c>
      <c r="D2694" t="str">
        <f>HYPERLINK("https://us2.cloudbeds.com/connect/10074733072513#/reservations/30666452009165?display=Jose%20Guillermo&amp;reservation_id=30666452009165&amp;guest_id=30663354835072", "Jose Guillermo")</f>
        <v>Jose Guillermo</v>
      </c>
      <c r="E2694" t="s">
        <v>1845</v>
      </c>
      <c r="F2694" t="s">
        <v>2023</v>
      </c>
      <c r="G2694">
        <v>68.16</v>
      </c>
      <c r="H2694">
        <v>74.08</v>
      </c>
      <c r="I2694">
        <v>74.09</v>
      </c>
      <c r="J2694">
        <v>-0.01</v>
      </c>
    </row>
    <row r="2695" spans="1:10" x14ac:dyDescent="0.3">
      <c r="A2695" t="str">
        <f>HYPERLINK("https://us2.cloudbeds.com/connect/10074733072513#/reservations/30665215914139?display=YQHFBAKV3&amp;reservation_id=30665215914139", "YQHFBAKV3")</f>
        <v>YQHFBAKV3</v>
      </c>
      <c r="B2695" t="s">
        <v>10</v>
      </c>
      <c r="C2695" t="s">
        <v>14</v>
      </c>
      <c r="D2695" t="str">
        <f>HYPERLINK("https://us2.cloudbeds.com/connect/10074733072513#/reservations/30665215914139?display=Andrew%20Pleva&amp;reservation_id=30665215914139&amp;guest_id=30665215914134", "Andrew Pleva")</f>
        <v>Andrew Pleva</v>
      </c>
      <c r="E2695" t="s">
        <v>2038</v>
      </c>
      <c r="F2695" t="s">
        <v>2023</v>
      </c>
      <c r="G2695">
        <v>68.16</v>
      </c>
      <c r="H2695">
        <v>74.08</v>
      </c>
      <c r="I2695">
        <v>74.09</v>
      </c>
      <c r="J2695">
        <v>-0.01</v>
      </c>
    </row>
    <row r="2696" spans="1:10" x14ac:dyDescent="0.3">
      <c r="A2696" t="str">
        <f>HYPERLINK("https://us2.cloudbeds.com/connect/10074733072513#/reservations/30665201754332?display=YQHEWCKC1&amp;reservation_id=30665201754332", "YQHEWCKC1")</f>
        <v>YQHEWCKC1</v>
      </c>
      <c r="B2696" t="s">
        <v>10</v>
      </c>
      <c r="C2696" t="s">
        <v>14</v>
      </c>
      <c r="D2696" t="str">
        <f>HYPERLINK("https://us2.cloudbeds.com/connect/10074733072513#/reservations/30665201754332?display=Nelson%20Camacho&amp;reservation_id=30665201754332&amp;guest_id=30663349854411", "Nelson Camacho")</f>
        <v>Nelson Camacho</v>
      </c>
      <c r="E2696" t="s">
        <v>1845</v>
      </c>
      <c r="F2696" t="s">
        <v>2023</v>
      </c>
      <c r="G2696">
        <v>68.16</v>
      </c>
      <c r="H2696">
        <v>74.08</v>
      </c>
      <c r="I2696">
        <v>74.09</v>
      </c>
      <c r="J2696">
        <v>-0.01</v>
      </c>
    </row>
    <row r="2697" spans="1:10" x14ac:dyDescent="0.3">
      <c r="A2697" t="str">
        <f>HYPERLINK("https://us2.cloudbeds.com/connect/10074733072513#/reservations/30665207148719?display=YQHF3UNTA&amp;reservation_id=30665207148719", "YQHF3UNTA")</f>
        <v>YQHF3UNTA</v>
      </c>
      <c r="B2697" t="s">
        <v>10</v>
      </c>
      <c r="C2697" t="s">
        <v>14</v>
      </c>
      <c r="D2697" t="str">
        <f>HYPERLINK("https://us2.cloudbeds.com/connect/10074733072513#/reservations/30665207148719?display=Victor%20Gonzalez&amp;reservation_id=30665207148719&amp;guest_id=30663360790672", "Victor Gonzalez")</f>
        <v>Victor Gonzalez</v>
      </c>
      <c r="E2697" t="s">
        <v>1845</v>
      </c>
      <c r="F2697" t="s">
        <v>2023</v>
      </c>
      <c r="G2697">
        <v>68.16</v>
      </c>
      <c r="H2697">
        <v>74.08</v>
      </c>
      <c r="I2697">
        <v>74.09</v>
      </c>
      <c r="J2697">
        <v>-0.01</v>
      </c>
    </row>
    <row r="2698" spans="1:10" x14ac:dyDescent="0.3">
      <c r="A2698" t="str">
        <f>HYPERLINK("https://us2.cloudbeds.com/connect/10074733072513#/reservations/30665161744593?display=YQHDVY9FN&amp;reservation_id=30665161744593", "YQHDVY9FN")</f>
        <v>YQHDVY9FN</v>
      </c>
      <c r="B2698" t="s">
        <v>10</v>
      </c>
      <c r="C2698" t="s">
        <v>42</v>
      </c>
      <c r="D2698" t="str">
        <f>HYPERLINK("https://us2.cloudbeds.com/connect/10074733072513#/reservations/30665161744593?display=Nicholas%20Salabura&amp;reservation_id=30665161744593&amp;guest_id=30665161744583", "Nicholas Salabura")</f>
        <v>Nicholas Salabura</v>
      </c>
      <c r="E2698" t="s">
        <v>2041</v>
      </c>
      <c r="F2698" t="s">
        <v>2042</v>
      </c>
      <c r="G2698">
        <v>84.15</v>
      </c>
      <c r="H2698">
        <v>91.46</v>
      </c>
      <c r="I2698">
        <v>91.47</v>
      </c>
      <c r="J2698">
        <v>-0.01</v>
      </c>
    </row>
    <row r="2699" spans="1:10" x14ac:dyDescent="0.3">
      <c r="A2699" t="str">
        <f>HYPERLINK("https://us2.cloudbeds.com/connect/10074733072513#/reservations/30665188229324?display=YQHEKW8NA&amp;reservation_id=30665188229324", "YQHEKW8NA")</f>
        <v>YQHEKW8NA</v>
      </c>
      <c r="B2699" t="s">
        <v>10</v>
      </c>
      <c r="C2699" t="s">
        <v>20</v>
      </c>
      <c r="D2699" t="str">
        <f>HYPERLINK("https://us2.cloudbeds.com/connect/10074733072513#/reservations/30665188229324?display=Walter%20Kerr&amp;reservation_id=30665188229324&amp;guest_id=30665188229314", "Walter Kerr")</f>
        <v>Walter Kerr</v>
      </c>
      <c r="E2699" t="s">
        <v>2043</v>
      </c>
      <c r="F2699" t="s">
        <v>2042</v>
      </c>
      <c r="G2699">
        <v>80.19</v>
      </c>
      <c r="H2699">
        <v>87.16</v>
      </c>
      <c r="I2699">
        <v>87.17</v>
      </c>
      <c r="J2699">
        <v>-0.01</v>
      </c>
    </row>
    <row r="2700" spans="1:10" x14ac:dyDescent="0.3">
      <c r="A2700" t="str">
        <f>HYPERLINK("https://us2.cloudbeds.com/connect/10074733072513#/reservations/30665194434787?display=YQHEQ6V0Y&amp;reservation_id=30665194434787", "YQHEQ6V0Y")</f>
        <v>YQHEQ6V0Y</v>
      </c>
      <c r="B2700" t="s">
        <v>10</v>
      </c>
      <c r="C2700" t="s">
        <v>20</v>
      </c>
      <c r="D2700" t="str">
        <f>HYPERLINK("https://us2.cloudbeds.com/connect/10074733072513#/reservations/30665194434787?display=Jenny%20Day&amp;reservation_id=30665194434787&amp;guest_id=30665194434781", "Jenny Day")</f>
        <v>Jenny Day</v>
      </c>
      <c r="E2700" t="s">
        <v>2044</v>
      </c>
      <c r="F2700" t="s">
        <v>2042</v>
      </c>
      <c r="G2700">
        <v>68.16</v>
      </c>
      <c r="H2700">
        <v>74.08</v>
      </c>
      <c r="I2700">
        <v>74.09</v>
      </c>
      <c r="J2700">
        <v>-0.01</v>
      </c>
    </row>
    <row r="2701" spans="1:10" x14ac:dyDescent="0.3">
      <c r="A2701" t="str">
        <f>HYPERLINK("https://us2.cloudbeds.com/connect/10074733072513#/reservations/30666582827161?display=YQXH8V04R&amp;reservation_id=30666582827161", "YQXH8V04R")</f>
        <v>YQXH8V04R</v>
      </c>
      <c r="B2701" t="s">
        <v>10</v>
      </c>
      <c r="C2701" t="s">
        <v>20</v>
      </c>
      <c r="D2701" t="str">
        <f>HYPERLINK("https://us2.cloudbeds.com/connect/10074733072513#/reservations/30666582827161?display=Brian%20Burnham&amp;reservation_id=30666582827161&amp;guest_id=30666582827158", "Brian Burnham")</f>
        <v>Brian Burnham</v>
      </c>
      <c r="E2701" t="s">
        <v>2047</v>
      </c>
      <c r="F2701" t="s">
        <v>2046</v>
      </c>
      <c r="G2701">
        <v>68.16</v>
      </c>
      <c r="H2701">
        <v>74.08</v>
      </c>
      <c r="I2701">
        <v>74.09</v>
      </c>
      <c r="J2701">
        <v>-0.01</v>
      </c>
    </row>
    <row r="2702" spans="1:10" x14ac:dyDescent="0.3">
      <c r="A2702" t="str">
        <f>HYPERLINK("https://us2.cloudbeds.com/connect/10074733072513#/reservations/30666312581332?display=YQXAC20H9&amp;reservation_id=30666312581332", "YQXAC20H9")</f>
        <v>YQXAC20H9</v>
      </c>
      <c r="B2702" t="s">
        <v>10</v>
      </c>
      <c r="C2702" t="s">
        <v>20</v>
      </c>
      <c r="D2702" t="str">
        <f>HYPERLINK("https://us2.cloudbeds.com/connect/10074733072513#/reservations/30666312581332?display=Jonda%20Johnson&amp;reservation_id=30666312581332&amp;guest_id=30666312581327", "Jonda Johnson")</f>
        <v>Jonda Johnson</v>
      </c>
      <c r="E2702" t="s">
        <v>2048</v>
      </c>
      <c r="F2702" t="s">
        <v>2046</v>
      </c>
      <c r="G2702">
        <v>72.17</v>
      </c>
      <c r="H2702">
        <v>78.44</v>
      </c>
      <c r="I2702">
        <v>78.45</v>
      </c>
      <c r="J2702">
        <v>-0.01</v>
      </c>
    </row>
    <row r="2703" spans="1:10" x14ac:dyDescent="0.3">
      <c r="A2703" t="str">
        <f>HYPERLINK("https://us2.cloudbeds.com/connect/10074733072513#/reservations/30670793662650?display=YQYPSKND8&amp;reservation_id=30670793662650", "YQYPSKND8")</f>
        <v>YQYPSKND8</v>
      </c>
      <c r="B2703" t="s">
        <v>10</v>
      </c>
      <c r="C2703" t="s">
        <v>42</v>
      </c>
      <c r="D2703" t="str">
        <f>HYPERLINK("https://us2.cloudbeds.com/connect/10074733072513#/reservations/30670793662650?display=Brian%20Rupp&amp;reservation_id=30670793662650&amp;guest_id=30670782283939", "Brian Rupp")</f>
        <v>Brian Rupp</v>
      </c>
      <c r="E2703" t="s">
        <v>2049</v>
      </c>
      <c r="F2703" t="s">
        <v>2050</v>
      </c>
      <c r="G2703">
        <v>230.2</v>
      </c>
      <c r="H2703">
        <v>250.22</v>
      </c>
      <c r="I2703">
        <v>250.23</v>
      </c>
      <c r="J2703">
        <v>-0.01</v>
      </c>
    </row>
    <row r="2704" spans="1:10" x14ac:dyDescent="0.3">
      <c r="A2704" t="str">
        <f>HYPERLINK("https://us2.cloudbeds.com/connect/10074733072513#/reservations/30665553076413?display=YQHNVKM5N&amp;reservation_id=30665553076413", "YQHNVKM5N")</f>
        <v>YQHNVKM5N</v>
      </c>
      <c r="B2704" t="s">
        <v>10</v>
      </c>
      <c r="C2704" t="s">
        <v>42</v>
      </c>
      <c r="D2704" t="str">
        <f>HYPERLINK("https://us2.cloudbeds.com/connect/10074733072513#/reservations/30665553076413?display=Logan%20Eidson&amp;reservation_id=30665553076413&amp;guest_id=30665553076411", "Logan Eidson")</f>
        <v>Logan Eidson</v>
      </c>
      <c r="E2704" t="s">
        <v>2055</v>
      </c>
      <c r="F2704" t="s">
        <v>2052</v>
      </c>
      <c r="G2704">
        <v>94.1</v>
      </c>
      <c r="H2704">
        <v>102.28</v>
      </c>
      <c r="I2704">
        <v>102.29</v>
      </c>
      <c r="J2704">
        <v>-0.01</v>
      </c>
    </row>
    <row r="2705" spans="1:10" x14ac:dyDescent="0.3">
      <c r="A2705" t="str">
        <f>HYPERLINK("https://us2.cloudbeds.com/connect/10074733072513#/reservations/30665544544385?display=YQHNZE8ED&amp;reservation_id=30665544544385", "YQHNZE8ED")</f>
        <v>YQHNZE8ED</v>
      </c>
      <c r="B2705" t="s">
        <v>10</v>
      </c>
      <c r="C2705" t="s">
        <v>14</v>
      </c>
      <c r="D2705" t="str">
        <f>HYPERLINK("https://us2.cloudbeds.com/connect/10074733072513#/reservations/30665544544385?display=Viola%20Nissen&amp;reservation_id=30665544544385&amp;guest_id=30665536528610", "Viola Nissen")</f>
        <v>Viola Nissen</v>
      </c>
      <c r="E2705" t="s">
        <v>2056</v>
      </c>
      <c r="F2705" t="s">
        <v>2057</v>
      </c>
      <c r="G2705">
        <v>68.16</v>
      </c>
      <c r="H2705">
        <v>74.08</v>
      </c>
      <c r="I2705">
        <v>74.09</v>
      </c>
      <c r="J2705">
        <v>-0.01</v>
      </c>
    </row>
    <row r="2706" spans="1:10" x14ac:dyDescent="0.3">
      <c r="A2706" t="str">
        <f>HYPERLINK("https://us2.cloudbeds.com/connect/10074733072513#/reservations/30665563889901?display=YQHZ7ZXU5&amp;reservation_id=30665563889901", "YQHZ7ZXU5")</f>
        <v>YQHZ7ZXU5</v>
      </c>
      <c r="B2706" t="s">
        <v>10</v>
      </c>
      <c r="C2706" t="s">
        <v>42</v>
      </c>
      <c r="D2706" t="str">
        <f>HYPERLINK("https://us2.cloudbeds.com/connect/10074733072513#/reservations/30665563889901?display=Spencer%20Amundson&amp;reservation_id=30665563889901&amp;guest_id=30665563889896", "Spencer Amundson")</f>
        <v>Spencer Amundson</v>
      </c>
      <c r="E2706" t="s">
        <v>2060</v>
      </c>
      <c r="F2706" t="s">
        <v>2052</v>
      </c>
      <c r="G2706">
        <v>103.2</v>
      </c>
      <c r="H2706">
        <v>112.17</v>
      </c>
      <c r="I2706">
        <v>112.18</v>
      </c>
      <c r="J2706">
        <v>-0.01</v>
      </c>
    </row>
    <row r="2707" spans="1:10" x14ac:dyDescent="0.3">
      <c r="A2707" t="str">
        <f>HYPERLINK("https://us2.cloudbeds.com/connect/10074733072513#/reservations/30669395022016?display=YQKN48BSX&amp;reservation_id=30669395022016", "YQKN48BSX")</f>
        <v>YQKN48BSX</v>
      </c>
      <c r="B2707" t="s">
        <v>10</v>
      </c>
      <c r="C2707" t="s">
        <v>42</v>
      </c>
      <c r="D2707" t="str">
        <f>HYPERLINK("https://us2.cloudbeds.com/connect/10074733072513#/reservations/30669395022016?display=Samantha%20Lang&amp;reservation_id=30669395022016&amp;guest_id=30669395017925", "Samantha Lang")</f>
        <v>Samantha Lang</v>
      </c>
      <c r="E2707" t="s">
        <v>2061</v>
      </c>
      <c r="F2707" t="s">
        <v>2062</v>
      </c>
      <c r="G2707">
        <v>224</v>
      </c>
      <c r="H2707">
        <v>243.48</v>
      </c>
      <c r="I2707">
        <v>243.49</v>
      </c>
      <c r="J2707">
        <v>-0.01</v>
      </c>
    </row>
    <row r="2708" spans="1:10" x14ac:dyDescent="0.3">
      <c r="A2708" t="str">
        <f>HYPERLINK("https://us2.cloudbeds.com/connect/10074733072513#/reservations/30665493446892?display=YQHMEBCVH&amp;reservation_id=30665493446892", "YQHMEBCVH")</f>
        <v>YQHMEBCVH</v>
      </c>
      <c r="B2708" t="s">
        <v>10</v>
      </c>
      <c r="C2708" t="s">
        <v>14</v>
      </c>
      <c r="D2708" t="str">
        <f>HYPERLINK("https://us2.cloudbeds.com/connect/10074733072513#/reservations/30665493446892?display=Dawn%20Clifton&amp;reservation_id=30665493446892&amp;guest_id=30665487155348", "Dawn Clifton")</f>
        <v>Dawn Clifton</v>
      </c>
      <c r="E2708" t="s">
        <v>2063</v>
      </c>
      <c r="F2708" t="s">
        <v>2054</v>
      </c>
      <c r="G2708">
        <v>84.15</v>
      </c>
      <c r="H2708">
        <v>91.46</v>
      </c>
      <c r="I2708">
        <v>91.47</v>
      </c>
      <c r="J2708">
        <v>-0.01</v>
      </c>
    </row>
    <row r="2709" spans="1:10" x14ac:dyDescent="0.3">
      <c r="A2709" t="str">
        <f>HYPERLINK("https://us2.cloudbeds.com/connect/10074733072513#/reservations/30666849128671?display=YQXZ2G7QX&amp;reservation_id=30666849128671", "YQXZ2G7QX")</f>
        <v>YQXZ2G7QX</v>
      </c>
      <c r="B2709" t="s">
        <v>10</v>
      </c>
      <c r="C2709" t="s">
        <v>11</v>
      </c>
      <c r="D2709" t="str">
        <f>HYPERLINK("https://us2.cloudbeds.com/connect/10074733072513#/reservations/30666849128671?display=Sandra%20Nauman&amp;reservation_id=30666849128671&amp;guest_id=30666841317518", "Sandra Nauman")</f>
        <v>Sandra Nauman</v>
      </c>
      <c r="E2709" t="s">
        <v>2065</v>
      </c>
      <c r="F2709" t="s">
        <v>2066</v>
      </c>
      <c r="G2709">
        <v>268.2</v>
      </c>
      <c r="H2709">
        <v>291.52</v>
      </c>
      <c r="I2709">
        <v>291.52999999999997</v>
      </c>
      <c r="J2709">
        <v>-0.01</v>
      </c>
    </row>
    <row r="2710" spans="1:10" x14ac:dyDescent="0.3">
      <c r="A2710" t="str">
        <f>HYPERLINK("https://us2.cloudbeds.com/connect/10074733072513#/reservations/30665699922134?display=YQHRNESZ1&amp;reservation_id=30665699922134", "YQHRNESZ1")</f>
        <v>YQHRNESZ1</v>
      </c>
      <c r="B2710" t="s">
        <v>10</v>
      </c>
      <c r="C2710" t="s">
        <v>20</v>
      </c>
      <c r="D2710" t="str">
        <f>HYPERLINK("https://us2.cloudbeds.com/connect/10074733072513#/reservations/30665699922134?display=Michael%20Hill&amp;reservation_id=30665699922134&amp;guest_id=30665699922129", "Michael Hill")</f>
        <v>Michael Hill</v>
      </c>
      <c r="E2710" t="s">
        <v>2067</v>
      </c>
      <c r="F2710" t="s">
        <v>2068</v>
      </c>
      <c r="G2710">
        <v>80.19</v>
      </c>
      <c r="H2710">
        <v>87.16</v>
      </c>
      <c r="I2710">
        <v>87.17</v>
      </c>
      <c r="J2710">
        <v>-0.01</v>
      </c>
    </row>
    <row r="2711" spans="1:10" x14ac:dyDescent="0.3">
      <c r="A2711" t="str">
        <f>HYPERLINK("https://us2.cloudbeds.com/connect/10074733072513#/reservations/30665448607970?display=YQHY9HMXA&amp;reservation_id=30665448607970", "YQHY9HMXA")</f>
        <v>YQHY9HMXA</v>
      </c>
      <c r="B2711" t="s">
        <v>10</v>
      </c>
      <c r="C2711" t="s">
        <v>17</v>
      </c>
      <c r="D2711" t="str">
        <f>HYPERLINK("https://us2.cloudbeds.com/connect/10074733072513#/reservations/30665448607970?display=Barbara%20Young&amp;reservation_id=30665448607970&amp;guest_id=30665448607966", "Barbara Young")</f>
        <v>Barbara Young</v>
      </c>
      <c r="E2711" t="s">
        <v>2069</v>
      </c>
      <c r="F2711" t="s">
        <v>2054</v>
      </c>
      <c r="G2711">
        <v>80.099999999999994</v>
      </c>
      <c r="H2711">
        <v>87.06</v>
      </c>
      <c r="I2711">
        <v>87.07</v>
      </c>
      <c r="J2711">
        <v>-0.01</v>
      </c>
    </row>
    <row r="2712" spans="1:10" x14ac:dyDescent="0.3">
      <c r="A2712" t="str">
        <f>HYPERLINK("https://us2.cloudbeds.com/connect/10074733072513#/reservations/30665496490114?display=YQHMGU2FC&amp;reservation_id=30665496490114", "YQHMGU2FC")</f>
        <v>YQHMGU2FC</v>
      </c>
      <c r="B2712" t="s">
        <v>10</v>
      </c>
      <c r="C2712" t="s">
        <v>14</v>
      </c>
      <c r="D2712" t="str">
        <f>HYPERLINK("https://us2.cloudbeds.com/connect/10074733072513#/reservations/30665496490114?display=Allyn%20Workman&amp;reservation_id=30665496490114&amp;guest_id=30665496486022", "Allyn Workman")</f>
        <v>Allyn Workman</v>
      </c>
      <c r="E2712" t="s">
        <v>2070</v>
      </c>
      <c r="F2712" t="s">
        <v>2054</v>
      </c>
      <c r="G2712">
        <v>68.16</v>
      </c>
      <c r="H2712">
        <v>74.08</v>
      </c>
      <c r="I2712">
        <v>74.09</v>
      </c>
      <c r="J2712">
        <v>-0.01</v>
      </c>
    </row>
    <row r="2713" spans="1:10" x14ac:dyDescent="0.3">
      <c r="A2713" t="str">
        <f>HYPERLINK("https://us2.cloudbeds.com/connect/10074733072513#/reservations/30666613268621?display=YQXX1K2ZA&amp;reservation_id=30666613268621", "YQXX1K2ZA")</f>
        <v>YQXX1K2ZA</v>
      </c>
      <c r="B2713" t="s">
        <v>10</v>
      </c>
      <c r="C2713" t="s">
        <v>42</v>
      </c>
      <c r="D2713" t="str">
        <f>HYPERLINK("https://us2.cloudbeds.com/connect/10074733072513#/reservations/30666613268621?display=Gayle%20Skyberg&amp;reservation_id=30666613268621&amp;guest_id=30646162808983", "Gayle Skyberg")</f>
        <v>Gayle Skyberg</v>
      </c>
      <c r="E2713" t="s">
        <v>2071</v>
      </c>
      <c r="F2713" t="s">
        <v>2072</v>
      </c>
      <c r="G2713">
        <v>80.099999999999994</v>
      </c>
      <c r="H2713">
        <v>87.06</v>
      </c>
      <c r="I2713">
        <v>87.07</v>
      </c>
      <c r="J2713">
        <v>-0.01</v>
      </c>
    </row>
    <row r="2714" spans="1:10" x14ac:dyDescent="0.3">
      <c r="A2714" t="str">
        <f>HYPERLINK("https://us2.cloudbeds.com/connect/10074733072513#/reservations/30666640158960?display=YQXXZ9BE2&amp;reservation_id=30666640158960", "YQXXZ9BE2")</f>
        <v>YQXXZ9BE2</v>
      </c>
      <c r="B2714" t="s">
        <v>10</v>
      </c>
      <c r="C2714" t="s">
        <v>20</v>
      </c>
      <c r="D2714" t="str">
        <f>HYPERLINK("https://us2.cloudbeds.com/connect/10074733072513#/reservations/30666640158960?display=Jacob%20Schieffer&amp;reservation_id=30666640158960&amp;guest_id=30666631647392", "Jacob Schieffer")</f>
        <v>Jacob Schieffer</v>
      </c>
      <c r="E2714" t="s">
        <v>2073</v>
      </c>
      <c r="F2714" t="s">
        <v>2034</v>
      </c>
      <c r="G2714">
        <v>80.19</v>
      </c>
      <c r="H2714">
        <v>87.16</v>
      </c>
      <c r="I2714">
        <v>87.17</v>
      </c>
      <c r="J2714">
        <v>-0.01</v>
      </c>
    </row>
    <row r="2715" spans="1:10" x14ac:dyDescent="0.3">
      <c r="A2715" t="str">
        <f>HYPERLINK("https://us2.cloudbeds.com/connect/10074733072513#/reservations/30666592735430?display=YQXHH9NY8&amp;reservation_id=30666592735430", "YQXHH9NY8")</f>
        <v>YQXHH9NY8</v>
      </c>
      <c r="B2715" t="s">
        <v>10</v>
      </c>
      <c r="C2715" t="s">
        <v>20</v>
      </c>
      <c r="D2715" t="str">
        <f>HYPERLINK("https://us2.cloudbeds.com/connect/10074733072513#/reservations/30666592735430?display=Kristin%20Harrison&amp;reservation_id=30666592735430&amp;guest_id=30666592731338", "Kristin Harrison")</f>
        <v>Kristin Harrison</v>
      </c>
      <c r="E2715" t="s">
        <v>2074</v>
      </c>
      <c r="F2715" t="s">
        <v>2034</v>
      </c>
      <c r="G2715">
        <v>80.19</v>
      </c>
      <c r="H2715">
        <v>87.16</v>
      </c>
      <c r="I2715">
        <v>87.17</v>
      </c>
      <c r="J2715">
        <v>-0.01</v>
      </c>
    </row>
    <row r="2716" spans="1:10" x14ac:dyDescent="0.3">
      <c r="A2716" t="str">
        <f>HYPERLINK("https://us2.cloudbeds.com/connect/10074733072513#/reservations/30666639458498?display=YQXXNMS6V&amp;reservation_id=30666639458498", "YQXXNMS6V")</f>
        <v>YQXXNMS6V</v>
      </c>
      <c r="B2716" t="s">
        <v>10</v>
      </c>
      <c r="C2716" t="s">
        <v>20</v>
      </c>
      <c r="D2716" t="str">
        <f>HYPERLINK("https://us2.cloudbeds.com/connect/10074733072513#/reservations/30666639458498?display=Gary%20Fritz&amp;reservation_id=30666639458498&amp;guest_id=30666639458496", "Gary Fritz")</f>
        <v>Gary Fritz</v>
      </c>
      <c r="E2716" t="s">
        <v>2078</v>
      </c>
      <c r="F2716" t="s">
        <v>2072</v>
      </c>
      <c r="G2716">
        <v>68.17</v>
      </c>
      <c r="H2716">
        <v>74.09</v>
      </c>
      <c r="I2716">
        <v>74.099999999999994</v>
      </c>
      <c r="J2716">
        <v>-0.01</v>
      </c>
    </row>
    <row r="2717" spans="1:10" x14ac:dyDescent="0.3">
      <c r="A2717" t="str">
        <f>HYPERLINK("https://us2.cloudbeds.com/connect/10074733072513#/reservations/30666607386811?display=YQXHTYDKY&amp;reservation_id=30666607386811", "YQXHTYDKY")</f>
        <v>YQXHTYDKY</v>
      </c>
      <c r="B2717" t="s">
        <v>10</v>
      </c>
      <c r="C2717" t="s">
        <v>121</v>
      </c>
      <c r="D2717" t="str">
        <f>HYPERLINK("https://us2.cloudbeds.com/connect/10074733072513#/reservations/30666607386811?display=Emily%20Raczynski&amp;reservation_id=30666607386811&amp;guest_id=30666607386809", "Emily Raczynski")</f>
        <v>Emily Raczynski</v>
      </c>
      <c r="E2717" t="s">
        <v>2079</v>
      </c>
      <c r="F2717" t="s">
        <v>2072</v>
      </c>
      <c r="G2717">
        <v>143.19999999999999</v>
      </c>
      <c r="H2717">
        <v>155.65</v>
      </c>
      <c r="I2717">
        <v>155.66</v>
      </c>
      <c r="J2717">
        <v>-0.01</v>
      </c>
    </row>
    <row r="2718" spans="1:10" x14ac:dyDescent="0.3">
      <c r="A2718" t="str">
        <f>HYPERLINK("https://us2.cloudbeds.com/connect/10074733072513#/reservations/30664660869327?display=YQH159MUB&amp;reservation_id=30664660869327", "YQH159MUB")</f>
        <v>YQH159MUB</v>
      </c>
      <c r="B2718" t="s">
        <v>10</v>
      </c>
      <c r="C2718" t="s">
        <v>20</v>
      </c>
      <c r="D2718" t="str">
        <f>HYPERLINK("https://us2.cloudbeds.com/connect/10074733072513#/reservations/30664660869327?display=Lonny%20Laufenberg&amp;reservation_id=30664660869327&amp;guest_id=30664660865230", "Lonny Laufenberg")</f>
        <v>Lonny Laufenberg</v>
      </c>
      <c r="E2718" t="s">
        <v>2080</v>
      </c>
      <c r="F2718" t="s">
        <v>2029</v>
      </c>
      <c r="G2718">
        <v>72.17</v>
      </c>
      <c r="H2718">
        <v>78.44</v>
      </c>
      <c r="I2718">
        <v>78.45</v>
      </c>
      <c r="J2718">
        <v>-0.01</v>
      </c>
    </row>
    <row r="2719" spans="1:10" x14ac:dyDescent="0.3">
      <c r="A2719" t="str">
        <f>HYPERLINK("https://us2.cloudbeds.com/connect/10074733072513#/reservations/30664724668568?display=YQH2Q302M&amp;reservation_id=30664724668568", "YQH2Q302M")</f>
        <v>YQH2Q302M</v>
      </c>
      <c r="B2719" t="s">
        <v>10</v>
      </c>
      <c r="C2719" t="s">
        <v>14</v>
      </c>
      <c r="D2719" t="str">
        <f>HYPERLINK("https://us2.cloudbeds.com/connect/10074733072513#/reservations/30664724668568?display=Marlen%20Morgan&amp;reservation_id=30664724668568&amp;guest_id=30664724668566", "Marlen Morgan")</f>
        <v>Marlen Morgan</v>
      </c>
      <c r="E2719" t="s">
        <v>1319</v>
      </c>
      <c r="F2719" t="s">
        <v>2029</v>
      </c>
      <c r="G2719">
        <v>68.16</v>
      </c>
      <c r="H2719">
        <v>74.08</v>
      </c>
      <c r="I2719">
        <v>74.09</v>
      </c>
      <c r="J2719">
        <v>-0.01</v>
      </c>
    </row>
    <row r="2720" spans="1:10" x14ac:dyDescent="0.3">
      <c r="A2720" t="str">
        <f>HYPERLINK("https://us2.cloudbeds.com/connect/10074733072513#/reservations/30665414590669?display=YQHKDS3C0&amp;reservation_id=30665414590669", "YQHKDS3C0")</f>
        <v>YQHKDS3C0</v>
      </c>
      <c r="B2720" t="s">
        <v>10</v>
      </c>
      <c r="C2720" t="s">
        <v>11</v>
      </c>
      <c r="D2720" t="str">
        <f>HYPERLINK("https://us2.cloudbeds.com/connect/10074733072513#/reservations/30665414590669?display=Schaquele%20Butler%20Jordan&amp;reservation_id=30665414590669&amp;guest_id=30665414590664", "Schaquele Butler Jordan")</f>
        <v>Schaquele Butler Jordan</v>
      </c>
      <c r="E2720" t="s">
        <v>2081</v>
      </c>
      <c r="F2720" t="s">
        <v>2027</v>
      </c>
      <c r="G2720">
        <v>294.95</v>
      </c>
      <c r="H2720">
        <v>320.60000000000002</v>
      </c>
      <c r="I2720">
        <v>320.61</v>
      </c>
      <c r="J2720">
        <v>-0.01</v>
      </c>
    </row>
    <row r="2721" spans="1:10" x14ac:dyDescent="0.3">
      <c r="A2721" t="str">
        <f>HYPERLINK("https://us2.cloudbeds.com/connect/10074733072513#/reservations/30664723423465?display=YQH2P1BZ9&amp;reservation_id=30664723423465", "YQH2P1BZ9")</f>
        <v>YQH2P1BZ9</v>
      </c>
      <c r="B2721" t="s">
        <v>10</v>
      </c>
      <c r="C2721" t="s">
        <v>14</v>
      </c>
      <c r="D2721" t="str">
        <f>HYPERLINK("https://us2.cloudbeds.com/connect/10074733072513#/reservations/30664723423465?display=Douglas%20Broward&amp;reservation_id=30664723423465&amp;guest_id=30664717234333", "Douglas Broward")</f>
        <v>Douglas Broward</v>
      </c>
      <c r="E2721" t="s">
        <v>2082</v>
      </c>
      <c r="F2721" t="s">
        <v>2029</v>
      </c>
      <c r="G2721">
        <v>68.16</v>
      </c>
      <c r="H2721">
        <v>74.08</v>
      </c>
      <c r="I2721">
        <v>74.09</v>
      </c>
      <c r="J2721">
        <v>-0.01</v>
      </c>
    </row>
    <row r="2722" spans="1:10" x14ac:dyDescent="0.3">
      <c r="A2722" t="str">
        <f>HYPERLINK("https://us2.cloudbeds.com/connect/10074733072513#/reservations/30664668356844?display=YQH1BK1GQ&amp;reservation_id=30664668356844", "YQH1BK1GQ")</f>
        <v>YQH1BK1GQ</v>
      </c>
      <c r="B2722" t="s">
        <v>10</v>
      </c>
      <c r="C2722" t="s">
        <v>42</v>
      </c>
      <c r="D2722" t="str">
        <f>HYPERLINK("https://us2.cloudbeds.com/connect/10074733072513#/reservations/30664668356844?display=Danielles%20Bogert&amp;reservation_id=30664668356844&amp;guest_id=30664668356842", "Danielles Bogert")</f>
        <v>Danielles Bogert</v>
      </c>
      <c r="E2722" t="s">
        <v>2083</v>
      </c>
      <c r="F2722" t="s">
        <v>2077</v>
      </c>
      <c r="G2722">
        <v>84.15</v>
      </c>
      <c r="H2722">
        <v>91.46</v>
      </c>
      <c r="I2722">
        <v>91.47</v>
      </c>
      <c r="J2722">
        <v>-0.01</v>
      </c>
    </row>
    <row r="2723" spans="1:10" x14ac:dyDescent="0.3">
      <c r="A2723" t="str">
        <f>HYPERLINK("https://us2.cloudbeds.com/connect/10074733072513#/reservations/30664732119277?display=YQH2WCASZ&amp;reservation_id=30664732119277", "YQH2WCASZ")</f>
        <v>YQH2WCASZ</v>
      </c>
      <c r="B2723" t="s">
        <v>10</v>
      </c>
      <c r="C2723" t="s">
        <v>14</v>
      </c>
      <c r="D2723" t="str">
        <f>HYPERLINK("https://us2.cloudbeds.com/connect/10074733072513#/reservations/30664732119277?display=Tracy%20Mailloux&amp;reservation_id=30664732119277&amp;guest_id=30652897870045", "Tracy Mailloux")</f>
        <v>Tracy Mailloux</v>
      </c>
      <c r="E2723" t="s">
        <v>865</v>
      </c>
      <c r="F2723" t="s">
        <v>2029</v>
      </c>
      <c r="G2723">
        <v>68.16</v>
      </c>
      <c r="H2723">
        <v>74.08</v>
      </c>
      <c r="I2723">
        <v>74.09</v>
      </c>
      <c r="J2723">
        <v>-0.01</v>
      </c>
    </row>
    <row r="2724" spans="1:10" x14ac:dyDescent="0.3">
      <c r="A2724" t="str">
        <f>HYPERLINK("https://us2.cloudbeds.com/connect/10074733072513#/reservations/30665313808553?display=YQHHRSMQG&amp;reservation_id=30665313808553", "YQHHRSMQG")</f>
        <v>YQHHRSMQG</v>
      </c>
      <c r="B2724" t="s">
        <v>10</v>
      </c>
      <c r="C2724" t="s">
        <v>14</v>
      </c>
      <c r="D2724" t="str">
        <f>HYPERLINK("https://us2.cloudbeds.com/connect/10074733072513#/reservations/30665313808553?display=Dariann%20And%20Darryl%20Van%20Holton&amp;reservation_id=30665313808553&amp;guest_id=30665313808549", "Dariann And Darryl Van Holton")</f>
        <v>Dariann And Darryl Van Holton</v>
      </c>
      <c r="E2724" t="s">
        <v>2084</v>
      </c>
      <c r="F2724" t="s">
        <v>2085</v>
      </c>
      <c r="G2724">
        <v>84.15</v>
      </c>
      <c r="H2724">
        <v>91.46</v>
      </c>
      <c r="I2724">
        <v>91.47</v>
      </c>
      <c r="J2724">
        <v>-0.01</v>
      </c>
    </row>
    <row r="2725" spans="1:10" x14ac:dyDescent="0.3">
      <c r="A2725" t="str">
        <f>HYPERLINK("https://us2.cloudbeds.com/connect/10074733072513#/reservations/30666038116483?display=YQX3BKKMY&amp;reservation_id=30666038116483", "YQX3BKKMY")</f>
        <v>YQX3BKKMY</v>
      </c>
      <c r="B2725" t="s">
        <v>10</v>
      </c>
      <c r="C2725" t="s">
        <v>11</v>
      </c>
      <c r="D2725" t="str">
        <f>HYPERLINK("https://us2.cloudbeds.com/connect/10074733072513#/reservations/30666038116483?display=Ariana%20Storley&amp;reservation_id=30666038116483&amp;guest_id=30666032836828", "Ariana Storley")</f>
        <v>Ariana Storley</v>
      </c>
      <c r="E2725" t="s">
        <v>2086</v>
      </c>
      <c r="F2725" t="s">
        <v>2087</v>
      </c>
      <c r="G2725">
        <v>118.15</v>
      </c>
      <c r="H2725">
        <v>128.41999999999999</v>
      </c>
      <c r="I2725">
        <v>128.43</v>
      </c>
      <c r="J2725">
        <v>-0.01</v>
      </c>
    </row>
    <row r="2726" spans="1:10" x14ac:dyDescent="0.3">
      <c r="A2726" t="str">
        <f>HYPERLINK("https://us2.cloudbeds.com/connect/10074733072513#/reservations/30665496486024?display=YQHMGTVNE&amp;reservation_id=30665496486024", "YQHMGTVNE")</f>
        <v>YQHMGTVNE</v>
      </c>
      <c r="B2726" t="s">
        <v>10</v>
      </c>
      <c r="C2726" t="s">
        <v>11</v>
      </c>
      <c r="D2726" t="str">
        <f>HYPERLINK("https://us2.cloudbeds.com/connect/10074733072513#/reservations/30665496486024?display=Hans%20Leonhardt&amp;reservation_id=30665496486024&amp;guest_id=30665496486019", "Hans Leonhardt")</f>
        <v>Hans Leonhardt</v>
      </c>
      <c r="E2726" t="s">
        <v>2088</v>
      </c>
      <c r="F2726" t="s">
        <v>2076</v>
      </c>
      <c r="G2726">
        <v>84.15</v>
      </c>
      <c r="H2726">
        <v>91.46</v>
      </c>
      <c r="I2726">
        <v>91.47</v>
      </c>
      <c r="J2726">
        <v>-0.01</v>
      </c>
    </row>
    <row r="2727" spans="1:10" x14ac:dyDescent="0.3">
      <c r="A2727" t="str">
        <f>HYPERLINK("https://us2.cloudbeds.com/connect/10074733072513#/reservations/30665644851375?display=YQHQA0EN5&amp;reservation_id=30665644851375", "YQHQA0EN5")</f>
        <v>YQHQA0EN5</v>
      </c>
      <c r="B2727" t="s">
        <v>10</v>
      </c>
      <c r="C2727" t="s">
        <v>11</v>
      </c>
      <c r="D2727" t="str">
        <f>HYPERLINK("https://us2.cloudbeds.com/connect/10074733072513#/reservations/30665644851375?display=Shayna%20Cappelle&amp;reservation_id=30665644851375&amp;guest_id=30665644851372", "Shayna Cappelle")</f>
        <v>Shayna Cappelle</v>
      </c>
      <c r="E2727" t="s">
        <v>2089</v>
      </c>
      <c r="F2727" t="s">
        <v>2059</v>
      </c>
      <c r="G2727">
        <v>68.16</v>
      </c>
      <c r="H2727">
        <v>74.08</v>
      </c>
      <c r="I2727">
        <v>74.09</v>
      </c>
      <c r="J2727">
        <v>-0.01</v>
      </c>
    </row>
    <row r="2728" spans="1:10" x14ac:dyDescent="0.3">
      <c r="A2728" t="str">
        <f>HYPERLINK("https://us2.cloudbeds.com/connect/10074733072513#/reservations/30665487155350?display=YQHM91AJZ&amp;reservation_id=30665487155350", "YQHM91AJZ")</f>
        <v>YQHM91AJZ</v>
      </c>
      <c r="B2728" t="s">
        <v>10</v>
      </c>
      <c r="C2728" t="s">
        <v>11</v>
      </c>
      <c r="D2728" t="str">
        <f>HYPERLINK("https://us2.cloudbeds.com/connect/10074733072513#/reservations/30665487155350?display=Zach%20Irvin&amp;reservation_id=30665487155350&amp;guest_id=30665487155345", "Zach Irvin")</f>
        <v>Zach Irvin</v>
      </c>
      <c r="E2728" t="s">
        <v>2091</v>
      </c>
      <c r="F2728" t="s">
        <v>2076</v>
      </c>
      <c r="G2728">
        <v>68.16</v>
      </c>
      <c r="H2728">
        <v>74.08</v>
      </c>
      <c r="I2728">
        <v>74.09</v>
      </c>
      <c r="J2728">
        <v>-0.01</v>
      </c>
    </row>
    <row r="2729" spans="1:10" x14ac:dyDescent="0.3">
      <c r="A2729" t="str">
        <f>HYPERLINK("https://us2.cloudbeds.com/connect/10074733072513#/reservations/30665167966379?display=YQHE3TDPM&amp;reservation_id=30665167966379", "YQHE3TDPM")</f>
        <v>YQHE3TDPM</v>
      </c>
      <c r="B2729" t="s">
        <v>10</v>
      </c>
      <c r="C2729" t="s">
        <v>14</v>
      </c>
      <c r="D2729" t="str">
        <f>HYPERLINK("https://us2.cloudbeds.com/connect/10074733072513#/reservations/30665167966379?display=Jonathan%20Isley&amp;reservation_id=30665167966379&amp;guest_id=30665167966368", "Jonathan Isley")</f>
        <v>Jonathan Isley</v>
      </c>
      <c r="E2729" t="s">
        <v>2092</v>
      </c>
      <c r="F2729" t="s">
        <v>2076</v>
      </c>
      <c r="G2729">
        <v>68.16</v>
      </c>
      <c r="H2729">
        <v>74.08</v>
      </c>
      <c r="I2729">
        <v>74.09</v>
      </c>
      <c r="J2729">
        <v>-0.01</v>
      </c>
    </row>
    <row r="2730" spans="1:10" x14ac:dyDescent="0.3">
      <c r="A2730" t="str">
        <f>HYPERLINK("https://us2.cloudbeds.com/connect/10074733072513#/reservations/30665172607105?display=YQHE7QX7Z&amp;reservation_id=30665172607105", "YQHE7QX7Z")</f>
        <v>YQHE7QX7Z</v>
      </c>
      <c r="B2730" t="s">
        <v>10</v>
      </c>
      <c r="C2730" t="s">
        <v>20</v>
      </c>
      <c r="D2730" t="str">
        <f>HYPERLINK("https://us2.cloudbeds.com/connect/10074733072513#/reservations/30665172607105?display=Sydney%20Jones&amp;reservation_id=30665172607105&amp;guest_id=30665172603062", "Sydney Jones")</f>
        <v>Sydney Jones</v>
      </c>
      <c r="E2730" t="s">
        <v>2093</v>
      </c>
      <c r="F2730" t="s">
        <v>2076</v>
      </c>
      <c r="G2730">
        <v>80.19</v>
      </c>
      <c r="H2730">
        <v>87.16</v>
      </c>
      <c r="I2730">
        <v>87.17</v>
      </c>
      <c r="J2730">
        <v>-0.01</v>
      </c>
    </row>
    <row r="2731" spans="1:10" x14ac:dyDescent="0.3">
      <c r="A2731" t="str">
        <f>HYPERLINK("https://us2.cloudbeds.com/connect/10074733072513#/reservations/30666708455555?display=YQXKFSQCR&amp;reservation_id=30666708455555", "YQXKFSQCR")</f>
        <v>YQXKFSQCR</v>
      </c>
      <c r="B2731" t="s">
        <v>10</v>
      </c>
      <c r="C2731" t="s">
        <v>42</v>
      </c>
      <c r="D2731" t="str">
        <f>HYPERLINK("https://us2.cloudbeds.com/connect/10074733072513#/reservations/30666708455555?display=Nina%20Tallman&amp;reservation_id=30666708455555&amp;guest_id=30666708451519", "Nina Tallman")</f>
        <v>Nina Tallman</v>
      </c>
      <c r="E2731" t="s">
        <v>2094</v>
      </c>
      <c r="F2731" t="s">
        <v>2009</v>
      </c>
      <c r="G2731">
        <v>224</v>
      </c>
      <c r="H2731">
        <v>243.48</v>
      </c>
      <c r="I2731">
        <v>243.49</v>
      </c>
      <c r="J2731">
        <v>-0.01</v>
      </c>
    </row>
    <row r="2732" spans="1:10" x14ac:dyDescent="0.3">
      <c r="A2732" t="str">
        <f>HYPERLINK("https://us2.cloudbeds.com/connect/10074733072513#/reservations/30665845330101?display=YQHVE2212&amp;reservation_id=30665845330101", "YQHVE2212")</f>
        <v>YQHVE2212</v>
      </c>
      <c r="B2732" t="s">
        <v>10</v>
      </c>
      <c r="C2732" t="s">
        <v>20</v>
      </c>
      <c r="D2732" t="str">
        <f>HYPERLINK("https://us2.cloudbeds.com/connect/10074733072513#/reservations/30665845330101?display=Janice%20Jernigan&amp;reservation_id=30665845330101&amp;guest_id=30665845330098", "Janice Jernigan")</f>
        <v>Janice Jernigan</v>
      </c>
      <c r="E2732" t="s">
        <v>2097</v>
      </c>
      <c r="F2732" t="s">
        <v>2096</v>
      </c>
      <c r="G2732">
        <v>68.16</v>
      </c>
      <c r="H2732">
        <v>74.08</v>
      </c>
      <c r="I2732">
        <v>74.09</v>
      </c>
      <c r="J2732">
        <v>-0.01</v>
      </c>
    </row>
    <row r="2733" spans="1:10" x14ac:dyDescent="0.3">
      <c r="A2733" t="str">
        <f>HYPERLINK("https://us2.cloudbeds.com/connect/10074733072513#/reservations/30667027390681?display=YQXSKQY3Y&amp;reservation_id=30667027390681", "YQXSKQY3Y")</f>
        <v>YQXSKQY3Y</v>
      </c>
      <c r="B2733" t="s">
        <v>10</v>
      </c>
      <c r="C2733" t="s">
        <v>14</v>
      </c>
      <c r="D2733" t="str">
        <f>HYPERLINK("https://us2.cloudbeds.com/connect/10074733072513#/reservations/30667027390681?display=Jennifer%20Stewart-Wright&amp;reservation_id=30667027390681&amp;guest_id=30667027386579", "Jennifer Stewart-Wright")</f>
        <v>Jennifer Stewart-Wright</v>
      </c>
      <c r="E2733" t="s">
        <v>2098</v>
      </c>
      <c r="F2733" t="s">
        <v>2096</v>
      </c>
      <c r="G2733">
        <v>68.16</v>
      </c>
      <c r="H2733">
        <v>74.08</v>
      </c>
      <c r="I2733">
        <v>74.09</v>
      </c>
      <c r="J2733">
        <v>-0.01</v>
      </c>
    </row>
    <row r="2734" spans="1:10" x14ac:dyDescent="0.3">
      <c r="A2734" t="str">
        <f>HYPERLINK("https://us2.cloudbeds.com/connect/10074733072513#/reservations/30666896502994?display=YQXP9EGD3&amp;reservation_id=30666896502994", "YQXP9EGD3")</f>
        <v>YQXP9EGD3</v>
      </c>
      <c r="B2734" t="s">
        <v>10</v>
      </c>
      <c r="C2734" t="s">
        <v>20</v>
      </c>
      <c r="D2734" t="str">
        <f>HYPERLINK("https://us2.cloudbeds.com/connect/10074733072513#/reservations/30666896502994?display=Kaitlyn%20Soltvedt&amp;reservation_id=30666896502994&amp;guest_id=30666896502989", "Kaitlyn Soltvedt")</f>
        <v>Kaitlyn Soltvedt</v>
      </c>
      <c r="E2734" t="s">
        <v>2099</v>
      </c>
      <c r="F2734" t="s">
        <v>2066</v>
      </c>
      <c r="G2734">
        <v>80.19</v>
      </c>
      <c r="H2734">
        <v>87.16</v>
      </c>
      <c r="I2734">
        <v>87.17</v>
      </c>
      <c r="J2734">
        <v>-0.01</v>
      </c>
    </row>
    <row r="2735" spans="1:10" x14ac:dyDescent="0.3">
      <c r="A2735" t="str">
        <f>HYPERLINK("https://us2.cloudbeds.com/connect/10074733072513#/reservations/30666817773723?display=YQXN91ZCK&amp;reservation_id=30666817773723", "YQXN91ZCK")</f>
        <v>YQXN91ZCK</v>
      </c>
      <c r="B2735" t="s">
        <v>10</v>
      </c>
      <c r="C2735" t="s">
        <v>20</v>
      </c>
      <c r="D2735" t="str">
        <f>HYPERLINK("https://us2.cloudbeds.com/connect/10074733072513#/reservations/30666817773723?display=Doreen%20Vinzenz&amp;reservation_id=30666817773723&amp;guest_id=30666817773721", "Doreen Vinzenz")</f>
        <v>Doreen Vinzenz</v>
      </c>
      <c r="E2735" t="s">
        <v>2100</v>
      </c>
      <c r="F2735" t="s">
        <v>2066</v>
      </c>
      <c r="G2735">
        <v>80.19</v>
      </c>
      <c r="H2735">
        <v>87.16</v>
      </c>
      <c r="I2735">
        <v>87.17</v>
      </c>
      <c r="J2735">
        <v>-0.01</v>
      </c>
    </row>
    <row r="2736" spans="1:10" x14ac:dyDescent="0.3">
      <c r="A2736" t="str">
        <f>HYPERLINK("https://us2.cloudbeds.com/connect/10074733072513#/reservations/30665935118583?display=YQX0NPXE5&amp;reservation_id=30665935118583", "YQX0NPXE5")</f>
        <v>YQX0NPXE5</v>
      </c>
      <c r="B2736" t="s">
        <v>10</v>
      </c>
      <c r="C2736" t="s">
        <v>42</v>
      </c>
      <c r="D2736" t="str">
        <f>HYPERLINK("https://us2.cloudbeds.com/connect/10074733072513#/reservations/30665935118583?display=Connie%20Seim&amp;reservation_id=30665935118583&amp;guest_id=30665923903636", "Connie Seim")</f>
        <v>Connie Seim</v>
      </c>
      <c r="E2736" t="s">
        <v>2101</v>
      </c>
      <c r="F2736" t="s">
        <v>2102</v>
      </c>
      <c r="G2736">
        <v>534.6</v>
      </c>
      <c r="H2736">
        <v>581.1</v>
      </c>
      <c r="I2736">
        <v>581.11</v>
      </c>
      <c r="J2736">
        <v>-0.01</v>
      </c>
    </row>
    <row r="2737" spans="1:10" x14ac:dyDescent="0.3">
      <c r="A2737" t="str">
        <f>HYPERLINK("https://us2.cloudbeds.com/connect/10074733072513#/reservations/30666082083057?display=YQX4FN212&amp;reservation_id=30666082083057", "YQX4FN212")</f>
        <v>YQX4FN212</v>
      </c>
      <c r="B2737" t="s">
        <v>10</v>
      </c>
      <c r="C2737" t="s">
        <v>42</v>
      </c>
      <c r="D2737" t="str">
        <f>HYPERLINK("https://us2.cloudbeds.com/connect/10074733072513#/reservations/30666082083057?display=Mike%20Clark&amp;reservation_id=30666082083057&amp;guest_id=30666082083042", "Mike Clark")</f>
        <v>Mike Clark</v>
      </c>
      <c r="E2737" t="s">
        <v>2105</v>
      </c>
      <c r="F2737" t="s">
        <v>2106</v>
      </c>
      <c r="G2737">
        <v>144</v>
      </c>
      <c r="H2737">
        <v>156.52000000000001</v>
      </c>
      <c r="I2737">
        <v>156.53</v>
      </c>
      <c r="J2737">
        <v>-0.01</v>
      </c>
    </row>
    <row r="2738" spans="1:10" x14ac:dyDescent="0.3">
      <c r="A2738" t="str">
        <f>HYPERLINK("https://us2.cloudbeds.com/connect/10074733072513#/reservations/30666954944645?display=YQXQPNNR7&amp;reservation_id=30666954944645", "YQXQPNNR7")</f>
        <v>YQXQPNNR7</v>
      </c>
      <c r="B2738" t="s">
        <v>10</v>
      </c>
      <c r="C2738" t="s">
        <v>11</v>
      </c>
      <c r="D2738" t="str">
        <f>HYPERLINK("https://us2.cloudbeds.com/connect/10074733072513#/reservations/30666954944645?display=Larry%20Joines&amp;reservation_id=30666954944645&amp;guest_id=30666949337223", "Larry Joines")</f>
        <v>Larry Joines</v>
      </c>
      <c r="E2738" t="s">
        <v>2107</v>
      </c>
      <c r="F2738" t="s">
        <v>2108</v>
      </c>
      <c r="G2738">
        <v>302.60000000000002</v>
      </c>
      <c r="H2738">
        <v>328.92</v>
      </c>
      <c r="I2738">
        <v>328.93</v>
      </c>
      <c r="J2738">
        <v>-0.01</v>
      </c>
    </row>
    <row r="2739" spans="1:10" x14ac:dyDescent="0.3">
      <c r="A2739" t="str">
        <f>HYPERLINK("https://us2.cloudbeds.com/connect/10074733072513#/reservations/30666932850816?display=YQXQ72QV2&amp;reservation_id=30666932850816", "YQXQ72QV2")</f>
        <v>YQXQ72QV2</v>
      </c>
      <c r="B2739" t="s">
        <v>10</v>
      </c>
      <c r="C2739" t="s">
        <v>20</v>
      </c>
      <c r="D2739" t="str">
        <f>HYPERLINK("https://us2.cloudbeds.com/connect/10074733072513#/reservations/30666932850816?display=Vadzim%20Makarski&amp;reservation_id=30666932850816&amp;guest_id=30666932846724", "Vadzim Makarski")</f>
        <v>Vadzim Makarski</v>
      </c>
      <c r="E2739" t="s">
        <v>2109</v>
      </c>
      <c r="F2739" t="s">
        <v>2110</v>
      </c>
      <c r="G2739">
        <v>80.19</v>
      </c>
      <c r="H2739">
        <v>87.16</v>
      </c>
      <c r="I2739">
        <v>87.17</v>
      </c>
      <c r="J2739">
        <v>-0.01</v>
      </c>
    </row>
    <row r="2740" spans="1:10" x14ac:dyDescent="0.3">
      <c r="A2740" t="str">
        <f>HYPERLINK("https://us2.cloudbeds.com/connect/10074733072513#/reservations/30665407647985?display=YQHK7WU2Y&amp;reservation_id=30665407647985", "YQHK7WU2Y")</f>
        <v>YQHK7WU2Y</v>
      </c>
      <c r="B2740" t="s">
        <v>10</v>
      </c>
      <c r="C2740" t="s">
        <v>14</v>
      </c>
      <c r="D2740" t="str">
        <f>HYPERLINK("https://us2.cloudbeds.com/connect/10074733072513#/reservations/30665407647985?display=Colby%20Zupan&amp;reservation_id=30665407647985&amp;guest_id=30665407647983", "Colby Zupan")</f>
        <v>Colby Zupan</v>
      </c>
      <c r="E2740" t="s">
        <v>2111</v>
      </c>
      <c r="F2740" t="s">
        <v>2112</v>
      </c>
      <c r="G2740">
        <v>68.16</v>
      </c>
      <c r="H2740">
        <v>74.08</v>
      </c>
      <c r="I2740">
        <v>74.09</v>
      </c>
      <c r="J2740">
        <v>-0.01</v>
      </c>
    </row>
    <row r="2741" spans="1:10" x14ac:dyDescent="0.3">
      <c r="A2741" t="str">
        <f>HYPERLINK("https://us2.cloudbeds.com/connect/10074733072513#/reservations/30665401258136?display=YQHK2K3ES&amp;reservation_id=30665401258136", "YQHK2K3ES")</f>
        <v>YQHK2K3ES</v>
      </c>
      <c r="B2741" t="s">
        <v>10</v>
      </c>
      <c r="C2741" t="s">
        <v>14</v>
      </c>
      <c r="D2741" t="str">
        <f>HYPERLINK("https://us2.cloudbeds.com/connect/10074733072513#/reservations/30665401258136?display=Christen%20Ramsey&amp;reservation_id=30665401258136&amp;guest_id=30665401258134", "Christen Ramsey")</f>
        <v>Christen Ramsey</v>
      </c>
      <c r="E2741" t="s">
        <v>2115</v>
      </c>
      <c r="F2741" t="s">
        <v>2112</v>
      </c>
      <c r="G2741">
        <v>68.16</v>
      </c>
      <c r="H2741">
        <v>74.08</v>
      </c>
      <c r="I2741">
        <v>74.09</v>
      </c>
      <c r="J2741">
        <v>-0.01</v>
      </c>
    </row>
    <row r="2742" spans="1:10" x14ac:dyDescent="0.3">
      <c r="A2742" t="str">
        <f>HYPERLINK("https://us2.cloudbeds.com/connect/10074733072513#/reservations/30666875863258?display=YQXZP15FH&amp;reservation_id=30666875863258", "YQXZP15FH")</f>
        <v>YQXZP15FH</v>
      </c>
      <c r="B2742" t="s">
        <v>10</v>
      </c>
      <c r="C2742" t="s">
        <v>20</v>
      </c>
      <c r="D2742" t="str">
        <f>HYPERLINK("https://us2.cloudbeds.com/connect/10074733072513#/reservations/30666875863258?display=Danielle%20Delvo&amp;reservation_id=30666875863258&amp;guest_id=30666875863243", "Danielle Delvo")</f>
        <v>Danielle Delvo</v>
      </c>
      <c r="E2742" t="s">
        <v>2116</v>
      </c>
      <c r="F2742" t="s">
        <v>2117</v>
      </c>
      <c r="G2742">
        <v>68.16</v>
      </c>
      <c r="H2742">
        <v>74.08</v>
      </c>
      <c r="I2742">
        <v>74.09</v>
      </c>
      <c r="J2742">
        <v>-0.01</v>
      </c>
    </row>
    <row r="2743" spans="1:10" x14ac:dyDescent="0.3">
      <c r="A2743" t="str">
        <f>HYPERLINK("https://us2.cloudbeds.com/connect/10074733072513#/reservations/30666284462296?display=YQX9YBXX9&amp;reservation_id=30666284462296", "YQX9YBXX9")</f>
        <v>YQX9YBXX9</v>
      </c>
      <c r="B2743" t="s">
        <v>10</v>
      </c>
      <c r="C2743" t="s">
        <v>14</v>
      </c>
      <c r="D2743" t="str">
        <f>HYPERLINK("https://us2.cloudbeds.com/connect/10074733072513#/reservations/30666284462296?display=Shawn%20Claeys&amp;reservation_id=30666284462296&amp;guest_id=30666284462292", "Shawn Claeys")</f>
        <v>Shawn Claeys</v>
      </c>
      <c r="E2743" t="s">
        <v>2120</v>
      </c>
      <c r="F2743" t="s">
        <v>2121</v>
      </c>
      <c r="G2743">
        <v>84.15</v>
      </c>
      <c r="H2743">
        <v>91.46</v>
      </c>
      <c r="I2743">
        <v>91.47</v>
      </c>
      <c r="J2743">
        <v>-0.01</v>
      </c>
    </row>
    <row r="2744" spans="1:10" x14ac:dyDescent="0.3">
      <c r="A2744" t="str">
        <f>HYPERLINK("https://us2.cloudbeds.com/connect/10074733072513#/reservations/30666516295928?display=YQXFXRM8S&amp;reservation_id=30666516295928", "YQXFXRM8S")</f>
        <v>YQXFXRM8S</v>
      </c>
      <c r="B2744" t="s">
        <v>10</v>
      </c>
      <c r="C2744" t="s">
        <v>42</v>
      </c>
      <c r="D2744" t="str">
        <f>HYPERLINK("https://us2.cloudbeds.com/connect/10074733072513#/reservations/30666516295928?display=Mike%20Trent&amp;reservation_id=30666516295928&amp;guest_id=30666516295924", "Mike Trent")</f>
        <v>Mike Trent</v>
      </c>
      <c r="E2744" t="s">
        <v>2122</v>
      </c>
      <c r="F2744" t="s">
        <v>2123</v>
      </c>
      <c r="G2744">
        <v>187.2</v>
      </c>
      <c r="H2744">
        <v>203.48</v>
      </c>
      <c r="I2744">
        <v>203.49</v>
      </c>
      <c r="J2744">
        <v>-0.01</v>
      </c>
    </row>
    <row r="2745" spans="1:10" x14ac:dyDescent="0.3">
      <c r="A2745" t="str">
        <f>HYPERLINK("https://us2.cloudbeds.com/connect/10074733072513#/reservations/30666510700701?display=YQXFE3WAH&amp;reservation_id=30666510700701", "YQXFE3WAH")</f>
        <v>YQXFE3WAH</v>
      </c>
      <c r="B2745" t="s">
        <v>10</v>
      </c>
      <c r="C2745" t="s">
        <v>20</v>
      </c>
      <c r="D2745" t="str">
        <f>HYPERLINK("https://us2.cloudbeds.com/connect/10074733072513#/reservations/30666510700701?display=Dana%20Hasche&amp;reservation_id=30666510700701&amp;guest_id=30666510700678", "Dana Hasche")</f>
        <v>Dana Hasche</v>
      </c>
      <c r="E2745" t="s">
        <v>2124</v>
      </c>
      <c r="F2745" t="s">
        <v>2123</v>
      </c>
      <c r="G2745">
        <v>80.19</v>
      </c>
      <c r="H2745">
        <v>87.16</v>
      </c>
      <c r="I2745">
        <v>87.17</v>
      </c>
      <c r="J2745">
        <v>-0.01</v>
      </c>
    </row>
    <row r="2746" spans="1:10" x14ac:dyDescent="0.3">
      <c r="A2746" t="str">
        <f>HYPERLINK("https://us2.cloudbeds.com/connect/10074733072513#/reservations/30666847838340?display=YQXZ1DAUK&amp;reservation_id=30666847838340", "YQXZ1DAUK")</f>
        <v>YQXZ1DAUK</v>
      </c>
      <c r="B2746" t="s">
        <v>10</v>
      </c>
      <c r="C2746" t="s">
        <v>42</v>
      </c>
      <c r="D2746" t="str">
        <f>HYPERLINK("https://us2.cloudbeds.com/connect/10074733072513#/reservations/30666847838340?display=Jaden%20Fisher&amp;reservation_id=30666847838340&amp;guest_id=30666847838337", "Jaden Fisher")</f>
        <v>Jaden Fisher</v>
      </c>
      <c r="E2746" t="s">
        <v>2125</v>
      </c>
      <c r="F2746" t="s">
        <v>2126</v>
      </c>
      <c r="G2746">
        <v>196.2</v>
      </c>
      <c r="H2746">
        <v>213.26</v>
      </c>
      <c r="I2746">
        <v>213.27</v>
      </c>
      <c r="J2746">
        <v>-0.01</v>
      </c>
    </row>
    <row r="2747" spans="1:10" x14ac:dyDescent="0.3">
      <c r="A2747" t="str">
        <f>HYPERLINK("https://us2.cloudbeds.com/connect/10074733072513#/reservations/30667118612731?display=YQXUVZ0U6&amp;reservation_id=30667118612731", "YQXUVZ0U6")</f>
        <v>YQXUVZ0U6</v>
      </c>
      <c r="B2747" t="s">
        <v>10</v>
      </c>
      <c r="C2747" t="s">
        <v>14</v>
      </c>
      <c r="D2747" t="str">
        <f>HYPERLINK("https://us2.cloudbeds.com/connect/10074733072513#/reservations/30667118612731?display=Gloria%20Hines&amp;reservation_id=30667118612731&amp;guest_id=30667118612677", "Gloria Hines")</f>
        <v>Gloria Hines</v>
      </c>
      <c r="E2747" t="s">
        <v>1075</v>
      </c>
      <c r="F2747" t="s">
        <v>2127</v>
      </c>
      <c r="G2747">
        <v>68.16</v>
      </c>
      <c r="H2747">
        <v>74.08</v>
      </c>
      <c r="I2747">
        <v>74.09</v>
      </c>
      <c r="J2747">
        <v>-0.01</v>
      </c>
    </row>
    <row r="2748" spans="1:10" x14ac:dyDescent="0.3">
      <c r="A2748" t="str">
        <f>HYPERLINK("https://us2.cloudbeds.com/connect/10074733072513#/reservations/30666889949327?display=YQXP3U4B4&amp;reservation_id=30666889949327", "YQXP3U4B4")</f>
        <v>YQXP3U4B4</v>
      </c>
      <c r="B2748" t="s">
        <v>10</v>
      </c>
      <c r="C2748" t="s">
        <v>11</v>
      </c>
      <c r="D2748" t="str">
        <f>HYPERLINK("https://us2.cloudbeds.com/connect/10074733072513#/reservations/30666889949327?display=Mike%20Brisse&amp;reservation_id=30666889949327&amp;guest_id=30666889945242", "Mike Brisse")</f>
        <v>Mike Brisse</v>
      </c>
      <c r="E2748" t="s">
        <v>2128</v>
      </c>
      <c r="F2748" t="s">
        <v>2129</v>
      </c>
      <c r="G2748">
        <v>72.17</v>
      </c>
      <c r="H2748">
        <v>78.44</v>
      </c>
      <c r="I2748">
        <v>78.45</v>
      </c>
      <c r="J2748">
        <v>-0.01</v>
      </c>
    </row>
    <row r="2749" spans="1:10" x14ac:dyDescent="0.3">
      <c r="A2749" t="str">
        <f>HYPERLINK("https://us2.cloudbeds.com/connect/10074733072513#/reservations/30666032832743?display=YQX375JPA&amp;reservation_id=30666032832743", "YQX375JPA")</f>
        <v>YQX375JPA</v>
      </c>
      <c r="B2749" t="s">
        <v>10</v>
      </c>
      <c r="C2749" t="s">
        <v>20</v>
      </c>
      <c r="D2749" t="str">
        <f>HYPERLINK("https://us2.cloudbeds.com/connect/10074733072513#/reservations/30666032832743?display=Susan%20Wilson&amp;reservation_id=30666032832743&amp;guest_id=30666027135119", "Susan Wilson")</f>
        <v>Susan Wilson</v>
      </c>
      <c r="E2749" t="s">
        <v>2130</v>
      </c>
      <c r="F2749" t="s">
        <v>2131</v>
      </c>
      <c r="G2749">
        <v>80.19</v>
      </c>
      <c r="H2749">
        <v>87.16</v>
      </c>
      <c r="I2749">
        <v>87.17</v>
      </c>
      <c r="J2749">
        <v>-0.01</v>
      </c>
    </row>
    <row r="2750" spans="1:10" x14ac:dyDescent="0.3">
      <c r="A2750" t="str">
        <f>HYPERLINK("https://us2.cloudbeds.com/connect/10074733072513#/reservations/30666011177122?display=YQX2YTWWC&amp;reservation_id=30666011177122", "YQX2YTWWC")</f>
        <v>YQX2YTWWC</v>
      </c>
      <c r="B2750" t="s">
        <v>10</v>
      </c>
      <c r="C2750" t="s">
        <v>42</v>
      </c>
      <c r="D2750" t="str">
        <f>HYPERLINK("https://us2.cloudbeds.com/connect/10074733072513#/reservations/30666011177122?display=Richard%20Brown&amp;reservation_id=30666011177122&amp;guest_id=30666011177120", "Richard Brown")</f>
        <v>Richard Brown</v>
      </c>
      <c r="E2750" t="s">
        <v>2132</v>
      </c>
      <c r="F2750" t="s">
        <v>2131</v>
      </c>
      <c r="G2750">
        <v>68.16</v>
      </c>
      <c r="H2750">
        <v>74.08</v>
      </c>
      <c r="I2750">
        <v>74.09</v>
      </c>
      <c r="J2750">
        <v>-0.01</v>
      </c>
    </row>
    <row r="2751" spans="1:10" x14ac:dyDescent="0.3">
      <c r="A2751" t="str">
        <f>HYPERLINK("https://us2.cloudbeds.com/connect/10074733072513#/reservations/30666875867352?display=YQXZP197K&amp;reservation_id=30666875867352", "YQXZP197K")</f>
        <v>YQXZP197K</v>
      </c>
      <c r="B2751" t="s">
        <v>10</v>
      </c>
      <c r="C2751" t="s">
        <v>42</v>
      </c>
      <c r="D2751" t="str">
        <f>HYPERLINK("https://us2.cloudbeds.com/connect/10074733072513#/reservations/30666875867352?display=Amanda%20Poe&amp;reservation_id=30666875867352&amp;guest_id=30666522165389", "Amanda Poe")</f>
        <v>Amanda Poe</v>
      </c>
      <c r="E2751" t="s">
        <v>2137</v>
      </c>
      <c r="F2751" t="s">
        <v>2138</v>
      </c>
      <c r="G2751">
        <v>118.15</v>
      </c>
      <c r="H2751">
        <v>128.41999999999999</v>
      </c>
      <c r="I2751">
        <v>128.43</v>
      </c>
      <c r="J2751">
        <v>-0.01</v>
      </c>
    </row>
    <row r="2752" spans="1:10" x14ac:dyDescent="0.3">
      <c r="A2752" t="str">
        <f>HYPERLINK("https://us2.cloudbeds.com/connect/10074733072513#/reservations/30667272401123?display=YQJ1TDDZG&amp;reservation_id=30667272401123", "YQJ1TDDZG")</f>
        <v>YQJ1TDDZG</v>
      </c>
      <c r="B2752" t="s">
        <v>10</v>
      </c>
      <c r="C2752" t="s">
        <v>20</v>
      </c>
      <c r="D2752" t="str">
        <f>HYPERLINK("https://us2.cloudbeds.com/connect/10074733072513#/reservations/30667272401123?display=Ben%20Stanton&amp;reservation_id=30667272401123&amp;guest_id=30667272401112", "Ben Stanton")</f>
        <v>Ben Stanton</v>
      </c>
      <c r="E2752" t="s">
        <v>2139</v>
      </c>
      <c r="F2752" t="s">
        <v>2140</v>
      </c>
      <c r="G2752">
        <v>80.19</v>
      </c>
      <c r="H2752">
        <v>87.16</v>
      </c>
      <c r="I2752">
        <v>87.17</v>
      </c>
      <c r="J2752">
        <v>-0.01</v>
      </c>
    </row>
    <row r="2753" spans="1:10" x14ac:dyDescent="0.3">
      <c r="A2753" t="str">
        <f>HYPERLINK("https://us2.cloudbeds.com/connect/10074733072513#/reservations/30666430128260?display=YQXDC5UPD&amp;reservation_id=30666430128260", "YQXDC5UPD")</f>
        <v>YQXDC5UPD</v>
      </c>
      <c r="B2753" t="s">
        <v>10</v>
      </c>
      <c r="C2753" t="s">
        <v>11</v>
      </c>
      <c r="D2753" t="str">
        <f>HYPERLINK("https://us2.cloudbeds.com/connect/10074733072513#/reservations/30666430128260?display=Justin%20Campbell&amp;reservation_id=30666430128260&amp;guest_id=30666430124223", "Justin Campbell")</f>
        <v>Justin Campbell</v>
      </c>
      <c r="E2753" t="s">
        <v>2141</v>
      </c>
      <c r="F2753" t="s">
        <v>2142</v>
      </c>
      <c r="G2753">
        <v>68.16</v>
      </c>
      <c r="H2753">
        <v>74.08</v>
      </c>
      <c r="I2753">
        <v>74.09</v>
      </c>
      <c r="J2753">
        <v>-0.01</v>
      </c>
    </row>
    <row r="2754" spans="1:10" x14ac:dyDescent="0.3">
      <c r="A2754" t="str">
        <f>HYPERLINK("https://us2.cloudbeds.com/connect/10074733072513#/reservations/30667683410060?display=YQJCCWBDP&amp;reservation_id=30667683410060", "YQJCCWBDP")</f>
        <v>YQJCCWBDP</v>
      </c>
      <c r="B2754" t="s">
        <v>10</v>
      </c>
      <c r="C2754" t="s">
        <v>11</v>
      </c>
      <c r="D2754" t="str">
        <f>HYPERLINK("https://us2.cloudbeds.com/connect/10074733072513#/reservations/30667683410060?display=Daren%20Addicott&amp;reservation_id=30667683410060&amp;guest_id=30667679027445", "Daren Addicott")</f>
        <v>Daren Addicott</v>
      </c>
      <c r="E2754" t="s">
        <v>2143</v>
      </c>
      <c r="F2754" t="s">
        <v>2144</v>
      </c>
      <c r="G2754">
        <v>198.28</v>
      </c>
      <c r="H2754">
        <v>215.52</v>
      </c>
      <c r="I2754">
        <v>215.53</v>
      </c>
      <c r="J2754">
        <v>-0.01</v>
      </c>
    </row>
    <row r="2755" spans="1:10" x14ac:dyDescent="0.3">
      <c r="A2755" t="str">
        <f>HYPERLINK("https://us2.cloudbeds.com/connect/10074733072513#/reservations/30666678325415?display=YQXJNFCMA&amp;reservation_id=30666678325415", "YQXJNFCMA")</f>
        <v>YQXJNFCMA</v>
      </c>
      <c r="B2755" t="s">
        <v>10</v>
      </c>
      <c r="C2755" t="s">
        <v>20</v>
      </c>
      <c r="D2755" t="str">
        <f>HYPERLINK("https://us2.cloudbeds.com/connect/10074733072513#/reservations/30666678325415?display=James%20Worthington&amp;reservation_id=30666678325415&amp;guest_id=30666672881882", "James Worthington")</f>
        <v>James Worthington</v>
      </c>
      <c r="E2755" t="s">
        <v>2146</v>
      </c>
      <c r="F2755" t="s">
        <v>2147</v>
      </c>
      <c r="G2755">
        <v>103.2</v>
      </c>
      <c r="H2755">
        <v>112.17</v>
      </c>
      <c r="I2755">
        <v>112.18</v>
      </c>
      <c r="J2755">
        <v>-0.01</v>
      </c>
    </row>
    <row r="2756" spans="1:10" x14ac:dyDescent="0.3">
      <c r="A2756" t="str">
        <f>HYPERLINK("https://us2.cloudbeds.com/connect/10074733072513#/reservations/30667031290042?display=YQXSZ34Q3&amp;reservation_id=30667031290042", "YQXSZ34Q3")</f>
        <v>YQXSZ34Q3</v>
      </c>
      <c r="B2756" t="s">
        <v>10</v>
      </c>
      <c r="C2756" t="s">
        <v>20</v>
      </c>
      <c r="D2756" t="str">
        <f>HYPERLINK("https://us2.cloudbeds.com/connect/10074733072513#/reservations/30667031290042?display=Lonny%20Laufenberg&amp;reservation_id=30667031290042&amp;guest_id=30667031290038", "Lonny Laufenberg")</f>
        <v>Lonny Laufenberg</v>
      </c>
      <c r="E2756" t="s">
        <v>2148</v>
      </c>
      <c r="F2756" t="s">
        <v>2149</v>
      </c>
      <c r="G2756">
        <v>68.16</v>
      </c>
      <c r="H2756">
        <v>74.08</v>
      </c>
      <c r="I2756">
        <v>74.09</v>
      </c>
      <c r="J2756">
        <v>-0.01</v>
      </c>
    </row>
    <row r="2757" spans="1:10" x14ac:dyDescent="0.3">
      <c r="A2757" t="str">
        <f>HYPERLINK("https://us2.cloudbeds.com/connect/10074733072513#/reservations/30667009949831?display=YQXS63AY1&amp;reservation_id=30667009949831", "YQXS63AY1")</f>
        <v>YQXS63AY1</v>
      </c>
      <c r="B2757" t="s">
        <v>10</v>
      </c>
      <c r="C2757" t="s">
        <v>20</v>
      </c>
      <c r="D2757" t="str">
        <f>HYPERLINK("https://us2.cloudbeds.com/connect/10074733072513#/reservations/30667009949831?display=Anthony%20Bravata&amp;reservation_id=30667009949831&amp;guest_id=30667009949829", "Anthony Bravata")</f>
        <v>Anthony Bravata</v>
      </c>
      <c r="E2757" t="s">
        <v>2150</v>
      </c>
      <c r="F2757" t="s">
        <v>2149</v>
      </c>
      <c r="G2757">
        <v>68.16</v>
      </c>
      <c r="H2757">
        <v>74.08</v>
      </c>
      <c r="I2757">
        <v>74.09</v>
      </c>
      <c r="J2757">
        <v>-0.01</v>
      </c>
    </row>
    <row r="2758" spans="1:10" x14ac:dyDescent="0.3">
      <c r="A2758" t="str">
        <f>HYPERLINK("https://us2.cloudbeds.com/connect/10074733072513#/reservations/30667199705281?display=YQJ013X26&amp;reservation_id=30667199705281", "YQJ013X26")</f>
        <v>YQJ013X26</v>
      </c>
      <c r="B2758" t="s">
        <v>10</v>
      </c>
      <c r="C2758" t="s">
        <v>17</v>
      </c>
      <c r="D2758" t="str">
        <f>HYPERLINK("https://us2.cloudbeds.com/connect/10074733072513#/reservations/30667199705281?display=Douglas%20Rickabaugh&amp;reservation_id=30667199705281&amp;guest_id=30667192062121", "Douglas Rickabaugh")</f>
        <v>Douglas Rickabaugh</v>
      </c>
      <c r="E2758" t="s">
        <v>2151</v>
      </c>
      <c r="F2758" t="s">
        <v>2152</v>
      </c>
      <c r="G2758">
        <v>196.2</v>
      </c>
      <c r="H2758">
        <v>213.26</v>
      </c>
      <c r="I2758">
        <v>213.27</v>
      </c>
      <c r="J2758">
        <v>-0.01</v>
      </c>
    </row>
    <row r="2759" spans="1:10" x14ac:dyDescent="0.3">
      <c r="A2759" t="str">
        <f>HYPERLINK("https://us2.cloudbeds.com/connect/10074733072513#/reservations/30667068743884?display=YQXTMMBM0&amp;reservation_id=30667068743884", "YQXTMMBM0")</f>
        <v>YQXTMMBM0</v>
      </c>
      <c r="B2759" t="s">
        <v>10</v>
      </c>
      <c r="C2759" t="s">
        <v>20</v>
      </c>
      <c r="D2759" t="str">
        <f>HYPERLINK("https://us2.cloudbeds.com/connect/10074733072513#/reservations/30667068743884?display=Christopher%20Robey&amp;reservation_id=30667068743884&amp;guest_id=30667062562996", "Christopher Robey")</f>
        <v>Christopher Robey</v>
      </c>
      <c r="E2759" t="s">
        <v>2155</v>
      </c>
      <c r="F2759" t="s">
        <v>2154</v>
      </c>
      <c r="G2759">
        <v>80.19</v>
      </c>
      <c r="H2759">
        <v>87.16</v>
      </c>
      <c r="I2759">
        <v>87.17</v>
      </c>
      <c r="J2759">
        <v>-0.01</v>
      </c>
    </row>
    <row r="2760" spans="1:10" x14ac:dyDescent="0.3">
      <c r="A2760" t="str">
        <f>HYPERLINK("https://us2.cloudbeds.com/connect/10074733072513#/reservations/30663447769217?display=YQG35CD1V&amp;reservation_id=30663447769217", "YQG35CD1V")</f>
        <v>YQG35CD1V</v>
      </c>
      <c r="B2760" t="s">
        <v>10</v>
      </c>
      <c r="C2760" t="s">
        <v>20</v>
      </c>
      <c r="D2760" t="str">
        <f>HYPERLINK("https://us2.cloudbeds.com/connect/10074733072513#/reservations/30663447769217?display=Gabby%20Stanton-Fischer&amp;reservation_id=30663447769217&amp;guest_id=30663436550314", "Gabby Stanton-Fischer")</f>
        <v>Gabby Stanton-Fischer</v>
      </c>
      <c r="E2760" t="s">
        <v>2156</v>
      </c>
      <c r="F2760" t="s">
        <v>2157</v>
      </c>
      <c r="G2760">
        <v>68.16</v>
      </c>
      <c r="H2760">
        <v>74.08</v>
      </c>
      <c r="I2760">
        <v>74.09</v>
      </c>
      <c r="J2760">
        <v>-0.01</v>
      </c>
    </row>
    <row r="2761" spans="1:10" x14ac:dyDescent="0.3">
      <c r="A2761" t="str">
        <f>HYPERLINK("https://us2.cloudbeds.com/connect/10074733072513#/reservations/30666171334858?display=YQX6ZVKK3&amp;reservation_id=30666171334858", "YQX6ZVKK3")</f>
        <v>YQX6ZVKK3</v>
      </c>
      <c r="B2761" t="s">
        <v>10</v>
      </c>
      <c r="C2761" t="s">
        <v>17</v>
      </c>
      <c r="D2761" t="str">
        <f>HYPERLINK("https://us2.cloudbeds.com/connect/10074733072513#/reservations/30666171334858?display=Edward%20Zugel&amp;reservation_id=30666171334858&amp;guest_id=30666171334856", "Edward Zugel")</f>
        <v>Edward Zugel</v>
      </c>
      <c r="E2761" t="s">
        <v>2158</v>
      </c>
      <c r="F2761" t="s">
        <v>2159</v>
      </c>
      <c r="G2761">
        <v>356.4</v>
      </c>
      <c r="H2761">
        <v>387.4</v>
      </c>
      <c r="I2761">
        <v>387.41</v>
      </c>
      <c r="J2761">
        <v>-0.01</v>
      </c>
    </row>
    <row r="2762" spans="1:10" x14ac:dyDescent="0.3">
      <c r="A2762" t="str">
        <f>HYPERLINK("https://us2.cloudbeds.com/connect/10074733072513#/reservations/30666178965638?display=YQX6VCVZS&amp;reservation_id=30666178965638", "YQX6VCVZS")</f>
        <v>YQX6VCVZS</v>
      </c>
      <c r="B2762" t="s">
        <v>10</v>
      </c>
      <c r="C2762" t="s">
        <v>14</v>
      </c>
      <c r="D2762" t="str">
        <f>HYPERLINK("https://us2.cloudbeds.com/connect/10074733072513#/reservations/30666178965638?display=Myrian%20Nunez%20Arrieta&amp;reservation_id=30666178965638&amp;guest_id=30666178965633", "Myrian Nunez Arrieta")</f>
        <v>Myrian Nunez Arrieta</v>
      </c>
      <c r="E2762" t="s">
        <v>2160</v>
      </c>
      <c r="F2762" t="s">
        <v>2159</v>
      </c>
      <c r="G2762">
        <v>68.16</v>
      </c>
      <c r="H2762">
        <v>74.08</v>
      </c>
      <c r="I2762">
        <v>74.09</v>
      </c>
      <c r="J2762">
        <v>-0.01</v>
      </c>
    </row>
    <row r="2763" spans="1:10" x14ac:dyDescent="0.3">
      <c r="A2763" t="str">
        <f>HYPERLINK("https://us2.cloudbeds.com/connect/10074733072513#/reservations/30667107336396?display=YQXUM7852&amp;reservation_id=30667107336396", "YQXUM7852")</f>
        <v>YQXUM7852</v>
      </c>
      <c r="B2763" t="s">
        <v>10</v>
      </c>
      <c r="C2763" t="s">
        <v>20</v>
      </c>
      <c r="D2763" t="str">
        <f>HYPERLINK("https://us2.cloudbeds.com/connect/10074733072513#/reservations/30667107336396?display=David%20Dodd&amp;reservation_id=30667107336396&amp;guest_id=30667107336394", "David Dodd")</f>
        <v>David Dodd</v>
      </c>
      <c r="E2763" t="s">
        <v>2161</v>
      </c>
      <c r="F2763" t="s">
        <v>2162</v>
      </c>
      <c r="G2763">
        <v>68.16</v>
      </c>
      <c r="H2763">
        <v>74.08</v>
      </c>
      <c r="I2763">
        <v>74.09</v>
      </c>
      <c r="J2763">
        <v>-0.01</v>
      </c>
    </row>
    <row r="2764" spans="1:10" x14ac:dyDescent="0.3">
      <c r="A2764" t="str">
        <f>HYPERLINK("https://us2.cloudbeds.com/connect/10074733072513#/reservations/30667107332303?display=YQXUM74D1&amp;reservation_id=30667107332303", "YQXUM74D1")</f>
        <v>YQXUM74D1</v>
      </c>
      <c r="B2764" t="s">
        <v>10</v>
      </c>
      <c r="C2764" t="s">
        <v>42</v>
      </c>
      <c r="D2764" t="str">
        <f>HYPERLINK("https://us2.cloudbeds.com/connect/10074733072513#/reservations/30667107332303?display=Peter%20Shkinder&amp;reservation_id=30667107332303&amp;guest_id=30667107332297", "Peter Shkinder")</f>
        <v>Peter Shkinder</v>
      </c>
      <c r="E2764" t="s">
        <v>2163</v>
      </c>
      <c r="F2764" t="s">
        <v>2162</v>
      </c>
      <c r="G2764">
        <v>84.15</v>
      </c>
      <c r="H2764">
        <v>91.46</v>
      </c>
      <c r="I2764">
        <v>91.47</v>
      </c>
      <c r="J2764">
        <v>-0.01</v>
      </c>
    </row>
    <row r="2765" spans="1:10" x14ac:dyDescent="0.3">
      <c r="A2765" t="str">
        <f>HYPERLINK("https://us2.cloudbeds.com/connect/10074733072513#/reservations/30663451971737?display=YQG38UB41&amp;reservation_id=30663451971737", "YQG38UB41")</f>
        <v>YQG38UB41</v>
      </c>
      <c r="B2765" t="s">
        <v>10</v>
      </c>
      <c r="C2765" t="s">
        <v>11</v>
      </c>
      <c r="D2765" t="str">
        <f>HYPERLINK("https://us2.cloudbeds.com/connect/10074733072513#/reservations/30663451971737?display=Wayne%20Damitz&amp;reservation_id=30663451971737&amp;guest_id=30663451971726", "Wayne Damitz")</f>
        <v>Wayne Damitz</v>
      </c>
      <c r="E2765" t="s">
        <v>2164</v>
      </c>
      <c r="F2765" t="s">
        <v>2157</v>
      </c>
      <c r="G2765">
        <v>84.15</v>
      </c>
      <c r="H2765">
        <v>91.46</v>
      </c>
      <c r="I2765">
        <v>91.47</v>
      </c>
      <c r="J2765">
        <v>-0.01</v>
      </c>
    </row>
    <row r="2766" spans="1:10" x14ac:dyDescent="0.3">
      <c r="A2766" t="str">
        <f>HYPERLINK("https://us2.cloudbeds.com/connect/10074733072513#/reservations/30667287335129?display=YQJ28WW84&amp;reservation_id=30667287335129", "YQJ28WW84")</f>
        <v>YQJ28WW84</v>
      </c>
      <c r="B2766" t="s">
        <v>10</v>
      </c>
      <c r="C2766" t="s">
        <v>20</v>
      </c>
      <c r="D2766" t="str">
        <f>HYPERLINK("https://us2.cloudbeds.com/connect/10074733072513#/reservations/30667287335129?display=Jamie%20Spencer&amp;reservation_id=30667287335129&amp;guest_id=30667287335127", "Jamie Spencer")</f>
        <v>Jamie Spencer</v>
      </c>
      <c r="E2766" t="s">
        <v>2165</v>
      </c>
      <c r="F2766" t="s">
        <v>2166</v>
      </c>
      <c r="G2766">
        <v>80.19</v>
      </c>
      <c r="H2766">
        <v>87.16</v>
      </c>
      <c r="I2766">
        <v>87.17</v>
      </c>
      <c r="J2766">
        <v>-0.01</v>
      </c>
    </row>
    <row r="2767" spans="1:10" x14ac:dyDescent="0.3">
      <c r="A2767" t="str">
        <f>HYPERLINK("https://us2.cloudbeds.com/connect/10074733072513#/reservations/30667248648419?display=YQJ19CF8J&amp;reservation_id=30667248648419", "YQJ19CF8J")</f>
        <v>YQJ19CF8J</v>
      </c>
      <c r="B2767" t="s">
        <v>10</v>
      </c>
      <c r="C2767" t="s">
        <v>20</v>
      </c>
      <c r="D2767" t="str">
        <f>HYPERLINK("https://us2.cloudbeds.com/connect/10074733072513#/reservations/30667248648419?display=Summer%20Lang&amp;reservation_id=30667248648419&amp;guest_id=30667248644338", "Summer Lang")</f>
        <v>Summer Lang</v>
      </c>
      <c r="E2767" t="s">
        <v>2169</v>
      </c>
      <c r="F2767" t="s">
        <v>2152</v>
      </c>
      <c r="G2767">
        <v>80.19</v>
      </c>
      <c r="H2767">
        <v>87.16</v>
      </c>
      <c r="I2767">
        <v>87.17</v>
      </c>
      <c r="J2767">
        <v>-0.01</v>
      </c>
    </row>
    <row r="2768" spans="1:10" x14ac:dyDescent="0.3">
      <c r="A2768" t="str">
        <f>HYPERLINK("https://us2.cloudbeds.com/connect/10074733072513#/reservations/30671590224073?display=YQMD7A6P6&amp;reservation_id=30671590224073", "YQMD7A6P6")</f>
        <v>YQMD7A6P6</v>
      </c>
      <c r="B2768" t="s">
        <v>10</v>
      </c>
      <c r="C2768" t="s">
        <v>20</v>
      </c>
      <c r="D2768" t="str">
        <f>HYPERLINK("https://us2.cloudbeds.com/connect/10074733072513#/reservations/30671590224073?display=Laura%20Ochsner&amp;reservation_id=30671590224073&amp;guest_id=30671590224068", "Laura Ochsner")</f>
        <v>Laura Ochsner</v>
      </c>
      <c r="E2768" t="s">
        <v>2175</v>
      </c>
      <c r="F2768" t="s">
        <v>2176</v>
      </c>
      <c r="G2768">
        <v>285.3</v>
      </c>
      <c r="H2768">
        <v>310.11</v>
      </c>
      <c r="I2768">
        <v>310.12</v>
      </c>
      <c r="J2768">
        <v>-0.01</v>
      </c>
    </row>
    <row r="2769" spans="1:10" x14ac:dyDescent="0.3">
      <c r="A2769" t="str">
        <f>HYPERLINK("https://us2.cloudbeds.com/connect/10074733072513#/reservations/30668007956652?display=YQJKMYAWW&amp;reservation_id=30668007956652", "YQJKMYAWW")</f>
        <v>YQJKMYAWW</v>
      </c>
      <c r="B2769" t="s">
        <v>10</v>
      </c>
      <c r="C2769" t="s">
        <v>42</v>
      </c>
      <c r="D2769" t="str">
        <f>HYPERLINK("https://us2.cloudbeds.com/connect/10074733072513#/reservations/30668007956652?display=Katlynn%20Holt&amp;reservation_id=30668007956652&amp;guest_id=30668007956650", "Katlynn Holt")</f>
        <v>Katlynn Holt</v>
      </c>
      <c r="E2769" t="s">
        <v>2177</v>
      </c>
      <c r="F2769" t="s">
        <v>2171</v>
      </c>
      <c r="G2769">
        <v>196.2</v>
      </c>
      <c r="H2769">
        <v>213.26</v>
      </c>
      <c r="I2769">
        <v>213.27</v>
      </c>
      <c r="J2769">
        <v>-0.01</v>
      </c>
    </row>
    <row r="2770" spans="1:10" x14ac:dyDescent="0.3">
      <c r="A2770" t="str">
        <f>HYPERLINK("https://us2.cloudbeds.com/connect/10074733072513#/reservations/30667832991951?display=YQJG73MHB&amp;reservation_id=30667832991951", "YQJG73MHB")</f>
        <v>YQJG73MHB</v>
      </c>
      <c r="B2770" t="s">
        <v>10</v>
      </c>
      <c r="C2770" t="s">
        <v>20</v>
      </c>
      <c r="D2770" t="str">
        <f>HYPERLINK("https://us2.cloudbeds.com/connect/10074733072513#/reservations/30667832991951?display=Sandee%20Price&amp;reservation_id=30667832991951&amp;guest_id=30667832991949", "Sandee Price")</f>
        <v>Sandee Price</v>
      </c>
      <c r="E2770" t="s">
        <v>2178</v>
      </c>
      <c r="F2770" t="s">
        <v>2174</v>
      </c>
      <c r="G2770">
        <v>80.19</v>
      </c>
      <c r="H2770">
        <v>87.16</v>
      </c>
      <c r="I2770">
        <v>87.17</v>
      </c>
      <c r="J2770">
        <v>-0.01</v>
      </c>
    </row>
    <row r="2771" spans="1:10" x14ac:dyDescent="0.3">
      <c r="A2771" t="str">
        <f>HYPERLINK("https://us2.cloudbeds.com/connect/10074733072513#/reservations/30666810192091?display=YQXN2YPC6&amp;reservation_id=30666810192091", "YQXN2YPC6")</f>
        <v>YQXN2YPC6</v>
      </c>
      <c r="B2771" t="s">
        <v>10</v>
      </c>
      <c r="C2771" t="s">
        <v>14</v>
      </c>
      <c r="D2771" t="str">
        <f>HYPERLINK("https://us2.cloudbeds.com/connect/10074733072513#/reservations/30666810192091?display=Rhonda%20Pauly&amp;reservation_id=30666810192091&amp;guest_id=30666810188006", "Rhonda Pauly")</f>
        <v>Rhonda Pauly</v>
      </c>
      <c r="E2771" t="s">
        <v>2179</v>
      </c>
      <c r="F2771" t="s">
        <v>2180</v>
      </c>
      <c r="G2771">
        <v>72.17</v>
      </c>
      <c r="H2771">
        <v>78.44</v>
      </c>
      <c r="I2771">
        <v>78.45</v>
      </c>
      <c r="J2771">
        <v>-0.01</v>
      </c>
    </row>
    <row r="2772" spans="1:10" x14ac:dyDescent="0.3">
      <c r="A2772" t="str">
        <f>HYPERLINK("https://us2.cloudbeds.com/connect/10074733072513#/reservations/30665921892581?display=YQX0CKHB7&amp;reservation_id=30665921892581", "YQX0CKHB7")</f>
        <v>YQX0CKHB7</v>
      </c>
      <c r="B2772" t="s">
        <v>10</v>
      </c>
      <c r="C2772" t="s">
        <v>14</v>
      </c>
      <c r="D2772" t="str">
        <f>HYPERLINK("https://us2.cloudbeds.com/connect/10074733072513#/reservations/30665921892581?display=Clay%20Courtney&amp;reservation_id=30665921892581&amp;guest_id=30665921892579", "Clay Courtney")</f>
        <v>Clay Courtney</v>
      </c>
      <c r="E2772" t="s">
        <v>2181</v>
      </c>
      <c r="F2772" t="s">
        <v>2182</v>
      </c>
      <c r="G2772">
        <v>84.15</v>
      </c>
      <c r="H2772">
        <v>91.46</v>
      </c>
      <c r="I2772">
        <v>91.47</v>
      </c>
      <c r="J2772">
        <v>-0.01</v>
      </c>
    </row>
    <row r="2773" spans="1:10" x14ac:dyDescent="0.3">
      <c r="A2773" t="str">
        <f>HYPERLINK("https://us2.cloudbeds.com/connect/10074733072513#/reservations/30668100698340?display=YQJN1S085&amp;reservation_id=30668100698340", "YQJN1S085")</f>
        <v>YQJN1S085</v>
      </c>
      <c r="B2773" t="s">
        <v>10</v>
      </c>
      <c r="C2773" t="s">
        <v>11</v>
      </c>
      <c r="D2773" t="str">
        <f>HYPERLINK("https://us2.cloudbeds.com/connect/10074733072513#/reservations/30668100698340?display=Michele%20Peterson&amp;reservation_id=30668100698340&amp;guest_id=30668100698338", "Michele Peterson")</f>
        <v>Michele Peterson</v>
      </c>
      <c r="E2773" t="s">
        <v>2183</v>
      </c>
      <c r="F2773" t="s">
        <v>2184</v>
      </c>
      <c r="G2773">
        <v>68.16</v>
      </c>
      <c r="H2773">
        <v>74.08</v>
      </c>
      <c r="I2773">
        <v>74.09</v>
      </c>
      <c r="J2773">
        <v>-0.01</v>
      </c>
    </row>
    <row r="2774" spans="1:10" x14ac:dyDescent="0.3">
      <c r="A2774" t="str">
        <f>HYPERLINK("https://us2.cloudbeds.com/connect/10074733072513#/reservations/30666763374745?display=YQXYT607N&amp;reservation_id=30666763374745", "YQXYT607N")</f>
        <v>YQXYT607N</v>
      </c>
      <c r="B2774" t="s">
        <v>10</v>
      </c>
      <c r="C2774" t="s">
        <v>20</v>
      </c>
      <c r="D2774" t="str">
        <f>HYPERLINK("https://us2.cloudbeds.com/connect/10074733072513#/reservations/30666763374745?display=Brittani%20Mcnew&amp;reservation_id=30666763374745&amp;guest_id=30666763370663", "Brittani Mcnew")</f>
        <v>Brittani Mcnew</v>
      </c>
      <c r="E2774" t="s">
        <v>2185</v>
      </c>
      <c r="F2774" t="s">
        <v>2184</v>
      </c>
      <c r="G2774">
        <v>72.17</v>
      </c>
      <c r="H2774">
        <v>78.44</v>
      </c>
      <c r="I2774">
        <v>78.45</v>
      </c>
      <c r="J2774">
        <v>-0.01</v>
      </c>
    </row>
    <row r="2775" spans="1:10" x14ac:dyDescent="0.3">
      <c r="A2775" t="str">
        <f>HYPERLINK("https://us2.cloudbeds.com/connect/10074733072513#/reservations/30668194083030?display=YQJPEJXV8&amp;reservation_id=30668194083030", "YQJPEJXV8")</f>
        <v>YQJPEJXV8</v>
      </c>
      <c r="B2775" t="s">
        <v>10</v>
      </c>
      <c r="C2775" t="s">
        <v>20</v>
      </c>
      <c r="D2775" t="str">
        <f>HYPERLINK("https://us2.cloudbeds.com/connect/10074733072513#/reservations/30668194083030?display=Regina%20Mccray&amp;reservation_id=30668194083030&amp;guest_id=30668194078933", "Regina Mccray")</f>
        <v>Regina Mccray</v>
      </c>
      <c r="E2775" t="s">
        <v>2186</v>
      </c>
      <c r="F2775" t="s">
        <v>2187</v>
      </c>
      <c r="G2775">
        <v>160.38</v>
      </c>
      <c r="H2775">
        <v>174.32</v>
      </c>
      <c r="I2775">
        <v>174.33</v>
      </c>
      <c r="J2775">
        <v>-0.01</v>
      </c>
    </row>
    <row r="2776" spans="1:10" x14ac:dyDescent="0.3">
      <c r="A2776" t="str">
        <f>HYPERLINK("https://us2.cloudbeds.com/connect/10074733072513#/reservations/30666816082111?display=YQXN7KM0Y&amp;reservation_id=30666816082111", "YQXN7KM0Y")</f>
        <v>YQXN7KM0Y</v>
      </c>
      <c r="B2776" t="s">
        <v>10</v>
      </c>
      <c r="C2776" t="s">
        <v>14</v>
      </c>
      <c r="D2776" t="str">
        <f>HYPERLINK("https://us2.cloudbeds.com/connect/10074733072513#/reservations/30666816082111?display=Vedad%20Becirovic&amp;reservation_id=30666816082111&amp;guest_id=30666816082107", "Vedad Becirovic")</f>
        <v>Vedad Becirovic</v>
      </c>
      <c r="E2776" t="s">
        <v>2188</v>
      </c>
      <c r="F2776" t="s">
        <v>2180</v>
      </c>
      <c r="G2776">
        <v>68.16</v>
      </c>
      <c r="H2776">
        <v>74.08</v>
      </c>
      <c r="I2776">
        <v>74.09</v>
      </c>
      <c r="J2776">
        <v>-0.01</v>
      </c>
    </row>
    <row r="2777" spans="1:10" x14ac:dyDescent="0.3">
      <c r="A2777" t="str">
        <f>HYPERLINK("https://us2.cloudbeds.com/connect/10074733072513#/reservations/30668147335337?display=YQJZ85ZPG&amp;reservation_id=30668147335337", "YQJZ85ZPG")</f>
        <v>YQJZ85ZPG</v>
      </c>
      <c r="B2777" t="s">
        <v>10</v>
      </c>
      <c r="C2777" t="s">
        <v>20</v>
      </c>
      <c r="D2777" t="str">
        <f>HYPERLINK("https://us2.cloudbeds.com/connect/10074733072513#/reservations/30668147335337?display=Shelly%20Miller&amp;reservation_id=30668147335337&amp;guest_id=30668147335327", "Shelly Miller")</f>
        <v>Shelly Miller</v>
      </c>
      <c r="E2777" t="s">
        <v>2189</v>
      </c>
      <c r="F2777" t="s">
        <v>2180</v>
      </c>
      <c r="G2777">
        <v>80.19</v>
      </c>
      <c r="H2777">
        <v>87.16</v>
      </c>
      <c r="I2777">
        <v>87.17</v>
      </c>
      <c r="J2777">
        <v>-0.01</v>
      </c>
    </row>
    <row r="2778" spans="1:10" x14ac:dyDescent="0.3">
      <c r="A2778" t="str">
        <f>HYPERLINK("https://us2.cloudbeds.com/connect/10074733072513#/reservations/30666800799992?display=YQXMRZDS4&amp;reservation_id=30666800799992", "YQXMRZDS4")</f>
        <v>YQXMRZDS4</v>
      </c>
      <c r="B2778" t="s">
        <v>10</v>
      </c>
      <c r="C2778" t="s">
        <v>14</v>
      </c>
      <c r="D2778" t="str">
        <f>HYPERLINK("https://us2.cloudbeds.com/connect/10074733072513#/reservations/30666800799992?display=Greg%20Cotter&amp;reservation_id=30666800799992&amp;guest_id=30666800799981", "Greg Cotter")</f>
        <v>Greg Cotter</v>
      </c>
      <c r="E2778" t="s">
        <v>2190</v>
      </c>
      <c r="F2778" t="s">
        <v>2180</v>
      </c>
      <c r="G2778">
        <v>68.16</v>
      </c>
      <c r="H2778">
        <v>74.08</v>
      </c>
      <c r="I2778">
        <v>74.09</v>
      </c>
      <c r="J2778">
        <v>-0.01</v>
      </c>
    </row>
    <row r="2779" spans="1:10" x14ac:dyDescent="0.3">
      <c r="A2779" t="str">
        <f>HYPERLINK("https://us2.cloudbeds.com/connect/10074733072513#/reservations/30668179447956?display=YQJP28AV5&amp;reservation_id=30668179447956", "YQJP28AV5")</f>
        <v>YQJP28AV5</v>
      </c>
      <c r="B2779" t="s">
        <v>10</v>
      </c>
      <c r="C2779" t="s">
        <v>20</v>
      </c>
      <c r="D2779" t="str">
        <f>HYPERLINK("https://us2.cloudbeds.com/connect/10074733072513#/reservations/30668179447956?display=Anita%20Pekarik&amp;reservation_id=30668179447956&amp;guest_id=30668179447954", "Anita Pekarik")</f>
        <v>Anita Pekarik</v>
      </c>
      <c r="E2779" t="s">
        <v>2191</v>
      </c>
      <c r="F2779" t="s">
        <v>2187</v>
      </c>
      <c r="G2779">
        <v>80.19</v>
      </c>
      <c r="H2779">
        <v>87.16</v>
      </c>
      <c r="I2779">
        <v>87.17</v>
      </c>
      <c r="J2779">
        <v>-0.01</v>
      </c>
    </row>
    <row r="2780" spans="1:10" x14ac:dyDescent="0.3">
      <c r="A2780" t="str">
        <f>HYPERLINK("https://us2.cloudbeds.com/connect/10074733072513#/reservations/30665218048213?display=YQHFD40K0&amp;reservation_id=30665218048213", "YQHFD40K0")</f>
        <v>YQHFD40K0</v>
      </c>
      <c r="B2780" t="s">
        <v>10</v>
      </c>
      <c r="C2780" t="s">
        <v>14</v>
      </c>
      <c r="D2780" t="str">
        <f>HYPERLINK("https://us2.cloudbeds.com/connect/10074733072513#/reservations/30665218048213?display=Robert%20Bartlett&amp;reservation_id=30665218048213&amp;guest_id=30665218044122", "Robert Bartlett")</f>
        <v>Robert Bartlett</v>
      </c>
      <c r="E2780" t="s">
        <v>2192</v>
      </c>
      <c r="F2780" t="s">
        <v>2182</v>
      </c>
      <c r="G2780">
        <v>84.15</v>
      </c>
      <c r="H2780">
        <v>91.46</v>
      </c>
      <c r="I2780">
        <v>91.47</v>
      </c>
      <c r="J2780">
        <v>-0.01</v>
      </c>
    </row>
    <row r="2781" spans="1:10" x14ac:dyDescent="0.3">
      <c r="A2781" t="str">
        <f>HYPERLINK("https://us2.cloudbeds.com/connect/10074733072513#/reservations/30668214227172?display=YQJPVJ3PQ&amp;reservation_id=30668214227172", "YQJPVJ3PQ")</f>
        <v>YQJPVJ3PQ</v>
      </c>
      <c r="B2781" t="s">
        <v>10</v>
      </c>
      <c r="C2781" t="s">
        <v>20</v>
      </c>
      <c r="D2781" t="str">
        <f>HYPERLINK("https://us2.cloudbeds.com/connect/10074733072513#/reservations/30668214227172?display=Jose%20Hernandez&amp;reservation_id=30668214227172&amp;guest_id=30668208287884", "Jose Hernandez")</f>
        <v>Jose Hernandez</v>
      </c>
      <c r="E2781" t="s">
        <v>2193</v>
      </c>
      <c r="F2781" t="s">
        <v>2187</v>
      </c>
      <c r="G2781">
        <v>80.19</v>
      </c>
      <c r="H2781">
        <v>87.16</v>
      </c>
      <c r="I2781">
        <v>87.17</v>
      </c>
      <c r="J2781">
        <v>-0.01</v>
      </c>
    </row>
    <row r="2782" spans="1:10" x14ac:dyDescent="0.3">
      <c r="A2782" t="str">
        <f>HYPERLINK("https://us2.cloudbeds.com/connect/10074733072513#/reservations/30665894105313?display=YQHWM6A0Q&amp;reservation_id=30665894105313", "YQHWM6A0Q")</f>
        <v>YQHWM6A0Q</v>
      </c>
      <c r="B2782" t="s">
        <v>10</v>
      </c>
      <c r="C2782" t="s">
        <v>42</v>
      </c>
      <c r="D2782" t="str">
        <f>HYPERLINK("https://us2.cloudbeds.com/connect/10074733072513#/reservations/30665894105313?display=Aurther%20Paredts&amp;reservation_id=30665894105313&amp;guest_id=30665894105300", "Aurther Paredts")</f>
        <v>Aurther Paredts</v>
      </c>
      <c r="E2782" t="s">
        <v>2194</v>
      </c>
      <c r="F2782" t="s">
        <v>2195</v>
      </c>
      <c r="G2782">
        <v>84.15</v>
      </c>
      <c r="H2782">
        <v>91.46</v>
      </c>
      <c r="I2782">
        <v>91.47</v>
      </c>
      <c r="J2782">
        <v>-0.01</v>
      </c>
    </row>
    <row r="2783" spans="1:10" x14ac:dyDescent="0.3">
      <c r="A2783" t="str">
        <f>HYPERLINK("https://us2.cloudbeds.com/connect/10074733072513#/reservations/30665921896674?display=YQX0CKY38&amp;reservation_id=30665921896674", "YQX0CKY38")</f>
        <v>YQX0CKY38</v>
      </c>
      <c r="B2783" t="s">
        <v>10</v>
      </c>
      <c r="C2783" t="s">
        <v>14</v>
      </c>
      <c r="D2783" t="str">
        <f>HYPERLINK("https://us2.cloudbeds.com/connect/10074733072513#/reservations/30665921896674?display=Jalen%20Bame&amp;reservation_id=30665921896674&amp;guest_id=30665921896672", "Jalen Bame")</f>
        <v>Jalen Bame</v>
      </c>
      <c r="E2783" t="s">
        <v>2196</v>
      </c>
      <c r="F2783" t="s">
        <v>2182</v>
      </c>
      <c r="G2783">
        <v>64.150000000000006</v>
      </c>
      <c r="H2783">
        <v>69.72</v>
      </c>
      <c r="I2783">
        <v>69.73</v>
      </c>
      <c r="J2783">
        <v>-0.01</v>
      </c>
    </row>
    <row r="2784" spans="1:10" x14ac:dyDescent="0.3">
      <c r="A2784" t="str">
        <f>HYPERLINK("https://us2.cloudbeds.com/connect/10074733072513#/reservations/30667343663238?display=YQJ3NGCSH&amp;reservation_id=30667343663238", "YQJ3NGCSH")</f>
        <v>YQJ3NGCSH</v>
      </c>
      <c r="B2784" t="s">
        <v>10</v>
      </c>
      <c r="C2784" t="s">
        <v>11</v>
      </c>
      <c r="D2784" t="str">
        <f>HYPERLINK("https://us2.cloudbeds.com/connect/10074733072513#/reservations/30667343663238?display=Nicholas%20Donald%20Kollasch&amp;reservation_id=30667343663238&amp;guest_id=30667343663234", "Nicholas Donald Kollasch")</f>
        <v>Nicholas Donald Kollasch</v>
      </c>
      <c r="E2784" t="s">
        <v>2197</v>
      </c>
      <c r="F2784" t="s">
        <v>2198</v>
      </c>
      <c r="G2784">
        <v>64.150000000000006</v>
      </c>
      <c r="H2784">
        <v>69.72</v>
      </c>
      <c r="I2784">
        <v>69.73</v>
      </c>
      <c r="J2784">
        <v>-0.01</v>
      </c>
    </row>
    <row r="2785" spans="1:10" x14ac:dyDescent="0.3">
      <c r="A2785" t="str">
        <f>HYPERLINK("https://us2.cloudbeds.com/connect/10074733072513#/reservations/30667332866188?display=YQJ3ECV76&amp;reservation_id=30667332866188", "YQJ3ECV76")</f>
        <v>YQJ3ECV76</v>
      </c>
      <c r="B2785" t="s">
        <v>10</v>
      </c>
      <c r="C2785" t="s">
        <v>42</v>
      </c>
      <c r="D2785" t="str">
        <f>HYPERLINK("https://us2.cloudbeds.com/connect/10074733072513#/reservations/30667332866188?display=James%20Freestone&amp;reservation_id=30667332866188&amp;guest_id=30667332866177", "James Freestone")</f>
        <v>James Freestone</v>
      </c>
      <c r="E2785" t="s">
        <v>2199</v>
      </c>
      <c r="F2785" t="s">
        <v>2198</v>
      </c>
      <c r="G2785">
        <v>176.24</v>
      </c>
      <c r="H2785">
        <v>191.56</v>
      </c>
      <c r="I2785">
        <v>191.57</v>
      </c>
      <c r="J2785">
        <v>-0.01</v>
      </c>
    </row>
    <row r="2786" spans="1:10" x14ac:dyDescent="0.3">
      <c r="A2786" t="str">
        <f>HYPERLINK("https://us2.cloudbeds.com/connect/10074733072513#/reservations/30667290394780?display=YQJ2BJ3RR&amp;reservation_id=30667290394780", "YQJ2BJ3RR")</f>
        <v>YQJ2BJ3RR</v>
      </c>
      <c r="B2786" t="s">
        <v>10</v>
      </c>
      <c r="C2786" t="s">
        <v>11</v>
      </c>
      <c r="D2786" t="str">
        <f>HYPERLINK("https://us2.cloudbeds.com/connect/10074733072513#/reservations/30667290394780?display=Jaideep%20Natu&amp;reservation_id=30667290394780&amp;guest_id=30667290390699", "Jaideep Natu")</f>
        <v>Jaideep Natu</v>
      </c>
      <c r="E2786" t="s">
        <v>2200</v>
      </c>
      <c r="F2786" t="s">
        <v>2201</v>
      </c>
      <c r="G2786">
        <v>64.150000000000006</v>
      </c>
      <c r="H2786">
        <v>69.72</v>
      </c>
      <c r="I2786">
        <v>69.73</v>
      </c>
      <c r="J2786">
        <v>-0.01</v>
      </c>
    </row>
    <row r="2787" spans="1:10" x14ac:dyDescent="0.3">
      <c r="A2787" t="str">
        <f>HYPERLINK("https://us2.cloudbeds.com/connect/10074733072513#/reservations/30667349954723?display=YQJ3SQF5J&amp;reservation_id=30667349954723", "YQJ3SQF5J")</f>
        <v>YQJ3SQF5J</v>
      </c>
      <c r="B2787" t="s">
        <v>10</v>
      </c>
      <c r="C2787" t="s">
        <v>20</v>
      </c>
      <c r="D2787" t="str">
        <f>HYPERLINK("https://us2.cloudbeds.com/connect/10074733072513#/reservations/30667349954723?display=Roger%20Laird&amp;reservation_id=30667349954723&amp;guest_id=30667349954706", "Roger Laird")</f>
        <v>Roger Laird</v>
      </c>
      <c r="E2787" t="s">
        <v>2202</v>
      </c>
      <c r="F2787" t="s">
        <v>2198</v>
      </c>
      <c r="G2787">
        <v>68.16</v>
      </c>
      <c r="H2787">
        <v>74.08</v>
      </c>
      <c r="I2787">
        <v>74.09</v>
      </c>
      <c r="J2787">
        <v>-0.01</v>
      </c>
    </row>
    <row r="2788" spans="1:10" x14ac:dyDescent="0.3">
      <c r="A2788" t="str">
        <f>HYPERLINK("https://us2.cloudbeds.com/connect/10074733072513#/reservations/30667282727045?display=YQJ253ZP7&amp;reservation_id=30667282727045", "YQJ253ZP7")</f>
        <v>YQJ253ZP7</v>
      </c>
      <c r="B2788" t="s">
        <v>10</v>
      </c>
      <c r="C2788" t="s">
        <v>11</v>
      </c>
      <c r="D2788" t="str">
        <f>HYPERLINK("https://us2.cloudbeds.com/connect/10074733072513#/reservations/30667282727045?display=Hineshum%20Samuel&amp;reservation_id=30667282727045&amp;guest_id=30667282722961", "Hineshum Samuel")</f>
        <v>Hineshum Samuel</v>
      </c>
      <c r="E2788" t="s">
        <v>2203</v>
      </c>
      <c r="F2788" t="s">
        <v>2201</v>
      </c>
      <c r="G2788">
        <v>64.150000000000006</v>
      </c>
      <c r="H2788">
        <v>69.72</v>
      </c>
      <c r="I2788">
        <v>69.73</v>
      </c>
      <c r="J2788">
        <v>-0.01</v>
      </c>
    </row>
    <row r="2789" spans="1:10" x14ac:dyDescent="0.3">
      <c r="A2789" t="str">
        <f>HYPERLINK("https://us2.cloudbeds.com/connect/10074733072513#/reservations/30666132541621?display=YQX5P84QF&amp;reservation_id=30666132541621", "YQX5P84QF")</f>
        <v>YQX5P84QF</v>
      </c>
      <c r="B2789" t="s">
        <v>10</v>
      </c>
      <c r="C2789" t="s">
        <v>11</v>
      </c>
      <c r="D2789" t="str">
        <f>HYPERLINK("https://us2.cloudbeds.com/connect/10074733072513#/reservations/30666132541621?display=Michele%20Peterson&amp;reservation_id=30666132541621&amp;guest_id=30666132541619", "Michele Peterson")</f>
        <v>Michele Peterson</v>
      </c>
      <c r="E2789" t="s">
        <v>2183</v>
      </c>
      <c r="F2789" t="s">
        <v>2206</v>
      </c>
      <c r="G2789">
        <v>64.150000000000006</v>
      </c>
      <c r="H2789">
        <v>69.72</v>
      </c>
      <c r="I2789">
        <v>69.73</v>
      </c>
      <c r="J2789">
        <v>-0.01</v>
      </c>
    </row>
    <row r="2790" spans="1:10" x14ac:dyDescent="0.3">
      <c r="A2790" t="str">
        <f>HYPERLINK("https://us2.cloudbeds.com/connect/10074733072513#/reservations/30666120900828?display=YQX5FE7C5&amp;reservation_id=30666120900828", "YQX5FE7C5")</f>
        <v>YQX5FE7C5</v>
      </c>
      <c r="B2790" t="s">
        <v>10</v>
      </c>
      <c r="C2790" t="s">
        <v>20</v>
      </c>
      <c r="D2790" t="str">
        <f>HYPERLINK("https://us2.cloudbeds.com/connect/10074733072513#/reservations/30666120900828?display=Shawn%20Ellingson&amp;reservation_id=30666120900828&amp;guest_id=30666120900826", "Shawn Ellingson")</f>
        <v>Shawn Ellingson</v>
      </c>
      <c r="E2790" t="s">
        <v>2207</v>
      </c>
      <c r="F2790" t="s">
        <v>2206</v>
      </c>
      <c r="G2790">
        <v>80.19</v>
      </c>
      <c r="H2790">
        <v>87.16</v>
      </c>
      <c r="I2790">
        <v>87.17</v>
      </c>
      <c r="J2790">
        <v>-0.01</v>
      </c>
    </row>
    <row r="2791" spans="1:10" x14ac:dyDescent="0.3">
      <c r="A2791" t="str">
        <f>HYPERLINK("https://us2.cloudbeds.com/connect/10074733072513#/reservations/30665272664229?display=YQHGQ5Q1Q&amp;reservation_id=30665272664229", "YQHGQ5Q1Q")</f>
        <v>YQHGQ5Q1Q</v>
      </c>
      <c r="B2791" t="s">
        <v>10</v>
      </c>
      <c r="C2791" t="s">
        <v>20</v>
      </c>
      <c r="D2791" t="str">
        <f>HYPERLINK("https://us2.cloudbeds.com/connect/10074733072513#/reservations/30665272664229?display=Duane%20Bueber&amp;reservation_id=30665272664229&amp;guest_id=30665264500949", "Duane Bueber")</f>
        <v>Duane Bueber</v>
      </c>
      <c r="E2791" t="s">
        <v>2208</v>
      </c>
      <c r="F2791" t="s">
        <v>2209</v>
      </c>
      <c r="G2791">
        <v>68.16</v>
      </c>
      <c r="H2791">
        <v>74.08</v>
      </c>
      <c r="I2791">
        <v>74.09</v>
      </c>
      <c r="J2791">
        <v>-0.01</v>
      </c>
    </row>
    <row r="2792" spans="1:10" x14ac:dyDescent="0.3">
      <c r="A2792" t="str">
        <f>HYPERLINK("https://us2.cloudbeds.com/connect/10074733072513#/reservations/30667422060763?display=YQJ5NJU83&amp;reservation_id=30667422060763", "YQJ5NJU83")</f>
        <v>YQJ5NJU83</v>
      </c>
      <c r="B2792" t="s">
        <v>10</v>
      </c>
      <c r="C2792" t="s">
        <v>14</v>
      </c>
      <c r="D2792" t="str">
        <f>HYPERLINK("https://us2.cloudbeds.com/connect/10074733072513#/reservations/30667422060763?display=Timothy%20Meehan&amp;reservation_id=30667422060763&amp;guest_id=30667422056671", "Timothy Meehan")</f>
        <v>Timothy Meehan</v>
      </c>
      <c r="E2792" t="s">
        <v>2210</v>
      </c>
      <c r="F2792" t="s">
        <v>2205</v>
      </c>
      <c r="G2792">
        <v>64.150000000000006</v>
      </c>
      <c r="H2792">
        <v>69.72</v>
      </c>
      <c r="I2792">
        <v>69.73</v>
      </c>
      <c r="J2792">
        <v>-0.01</v>
      </c>
    </row>
    <row r="2793" spans="1:10" x14ac:dyDescent="0.3">
      <c r="A2793" t="str">
        <f>HYPERLINK("https://us2.cloudbeds.com/connect/10074733072513#/reservations/30667433255121?display=YQJ601DZ2&amp;reservation_id=30667433255121", "YQJ601DZ2")</f>
        <v>YQJ601DZ2</v>
      </c>
      <c r="B2793" t="s">
        <v>10</v>
      </c>
      <c r="C2793" t="s">
        <v>14</v>
      </c>
      <c r="D2793" t="str">
        <f>HYPERLINK("https://us2.cloudbeds.com/connect/10074733072513#/reservations/30667433255121?display=April%20Smith&amp;reservation_id=30667433255121&amp;guest_id=30667433255118", "April Smith")</f>
        <v>April Smith</v>
      </c>
      <c r="E2793" t="s">
        <v>2211</v>
      </c>
      <c r="F2793" t="s">
        <v>2212</v>
      </c>
      <c r="G2793">
        <v>127.2</v>
      </c>
      <c r="H2793">
        <v>138.26</v>
      </c>
      <c r="I2793">
        <v>138.27000000000001</v>
      </c>
      <c r="J2793">
        <v>-0.01</v>
      </c>
    </row>
    <row r="2794" spans="1:10" x14ac:dyDescent="0.3">
      <c r="A2794" t="str">
        <f>HYPERLINK("https://us2.cloudbeds.com/connect/10074733072513#/reservations/30667442290889?display=YQJ67YS17&amp;reservation_id=30667442290889", "YQJ67YS17")</f>
        <v>YQJ67YS17</v>
      </c>
      <c r="B2794" t="s">
        <v>10</v>
      </c>
      <c r="C2794" t="s">
        <v>11</v>
      </c>
      <c r="D2794" t="str">
        <f>HYPERLINK("https://us2.cloudbeds.com/connect/10074733072513#/reservations/30667442290889?display=William%20Gibson&amp;reservation_id=30667442290889&amp;guest_id=30667442290887", "William Gibson")</f>
        <v>William Gibson</v>
      </c>
      <c r="E2794" t="s">
        <v>2213</v>
      </c>
      <c r="F2794" t="s">
        <v>2205</v>
      </c>
      <c r="G2794">
        <v>72.17</v>
      </c>
      <c r="H2794">
        <v>78.44</v>
      </c>
      <c r="I2794">
        <v>78.45</v>
      </c>
      <c r="J2794">
        <v>-0.01</v>
      </c>
    </row>
    <row r="2795" spans="1:10" x14ac:dyDescent="0.3">
      <c r="A2795" t="str">
        <f>HYPERLINK("https://us2.cloudbeds.com/connect/10074733072513#/reservations/30668061364469?display=YQJM1MFWM&amp;reservation_id=30668061364469", "YQJM1MFWM")</f>
        <v>YQJM1MFWM</v>
      </c>
      <c r="B2795" t="s">
        <v>10</v>
      </c>
      <c r="C2795" t="s">
        <v>11</v>
      </c>
      <c r="D2795" t="str">
        <f>HYPERLINK("https://us2.cloudbeds.com/connect/10074733072513#/reservations/30668061364469?display=Maria%20Goodman&amp;reservation_id=30668061364469&amp;guest_id=30650960105658", "Maria Goodman")</f>
        <v>Maria Goodman</v>
      </c>
      <c r="E2795" t="s">
        <v>777</v>
      </c>
      <c r="F2795" t="s">
        <v>2214</v>
      </c>
      <c r="G2795">
        <v>64.150000000000006</v>
      </c>
      <c r="H2795">
        <v>69.72</v>
      </c>
      <c r="I2795">
        <v>69.73</v>
      </c>
      <c r="J2795">
        <v>-0.01</v>
      </c>
    </row>
    <row r="2796" spans="1:10" x14ac:dyDescent="0.3">
      <c r="A2796" t="str">
        <f>HYPERLINK("https://us2.cloudbeds.com/connect/10074733072513#/reservations/30665274876091?display=YQHGS1B4U&amp;reservation_id=30665274876091", "YQHGS1B4U")</f>
        <v>YQHGS1B4U</v>
      </c>
      <c r="B2796" t="s">
        <v>10</v>
      </c>
      <c r="C2796" t="s">
        <v>11</v>
      </c>
      <c r="D2796" t="str">
        <f>HYPERLINK("https://us2.cloudbeds.com/connect/10074733072513#/reservations/30665274876091?display=Ryan%20Habbena&amp;reservation_id=30665274876091&amp;guest_id=30665274876038", "Ryan Habbena")</f>
        <v>Ryan Habbena</v>
      </c>
      <c r="E2796" t="s">
        <v>2215</v>
      </c>
      <c r="F2796" t="s">
        <v>2209</v>
      </c>
      <c r="G2796">
        <v>64.150000000000006</v>
      </c>
      <c r="H2796">
        <v>69.72</v>
      </c>
      <c r="I2796">
        <v>69.73</v>
      </c>
      <c r="J2796">
        <v>-0.01</v>
      </c>
    </row>
    <row r="2797" spans="1:10" x14ac:dyDescent="0.3">
      <c r="A2797" t="str">
        <f>HYPERLINK("https://us2.cloudbeds.com/connect/10074733072513#/reservations/30667461447828?display=YQJ6NQUBH&amp;reservation_id=30667461447828", "YQJ6NQUBH")</f>
        <v>YQJ6NQUBH</v>
      </c>
      <c r="B2797" t="s">
        <v>10</v>
      </c>
      <c r="C2797" t="s">
        <v>20</v>
      </c>
      <c r="D2797" t="str">
        <f>HYPERLINK("https://us2.cloudbeds.com/connect/10074733072513#/reservations/30667461447828?display=Sara%20Freeman&amp;reservation_id=30667461447828&amp;guest_id=30667452399776", "Sara Freeman")</f>
        <v>Sara Freeman</v>
      </c>
      <c r="E2797" t="s">
        <v>2216</v>
      </c>
      <c r="F2797" t="s">
        <v>2205</v>
      </c>
      <c r="G2797">
        <v>68.16</v>
      </c>
      <c r="H2797">
        <v>74.08</v>
      </c>
      <c r="I2797">
        <v>74.09</v>
      </c>
      <c r="J2797">
        <v>-0.01</v>
      </c>
    </row>
    <row r="2798" spans="1:10" x14ac:dyDescent="0.3">
      <c r="A2798" t="str">
        <f>HYPERLINK("https://us2.cloudbeds.com/connect/10074733072513#/reservations/30666567352468?display=YQXGSTD4Z&amp;reservation_id=30666567352468", "YQXGSTD4Z")</f>
        <v>YQXGSTD4Z</v>
      </c>
      <c r="B2798" t="s">
        <v>10</v>
      </c>
      <c r="C2798" t="s">
        <v>20</v>
      </c>
      <c r="D2798" t="str">
        <f>HYPERLINK("https://us2.cloudbeds.com/connect/10074733072513#/reservations/30666567352468?display=James%20Freestone&amp;reservation_id=30666567352468&amp;guest_id=30666567352465", "James Freestone")</f>
        <v>James Freestone</v>
      </c>
      <c r="E2798" t="s">
        <v>2217</v>
      </c>
      <c r="F2798" t="s">
        <v>2218</v>
      </c>
      <c r="G2798">
        <v>160.38</v>
      </c>
      <c r="H2798">
        <v>174.32</v>
      </c>
      <c r="I2798">
        <v>174.33</v>
      </c>
      <c r="J2798">
        <v>-0.01</v>
      </c>
    </row>
    <row r="2799" spans="1:10" x14ac:dyDescent="0.3">
      <c r="A2799" t="str">
        <f>HYPERLINK("https://us2.cloudbeds.com/connect/10074733072513#/reservations/30666589036777?display=YQXHE5Q90&amp;reservation_id=30666589036777", "YQXHE5Q90")</f>
        <v>YQXHE5Q90</v>
      </c>
      <c r="B2799" t="s">
        <v>10</v>
      </c>
      <c r="C2799" t="s">
        <v>14</v>
      </c>
      <c r="D2799" t="str">
        <f>HYPERLINK("https://us2.cloudbeds.com/connect/10074733072513#/reservations/30666589036777?display=Gary%20King&amp;reservation_id=30666589036777&amp;guest_id=30652729069775", "Gary King")</f>
        <v>Gary King</v>
      </c>
      <c r="E2799" t="s">
        <v>861</v>
      </c>
      <c r="F2799" t="s">
        <v>2218</v>
      </c>
      <c r="G2799">
        <v>174.4</v>
      </c>
      <c r="H2799">
        <v>189.56</v>
      </c>
      <c r="I2799">
        <v>189.57</v>
      </c>
      <c r="J2799">
        <v>-0.01</v>
      </c>
    </row>
    <row r="2800" spans="1:10" x14ac:dyDescent="0.3">
      <c r="A2800" t="str">
        <f>HYPERLINK("https://us2.cloudbeds.com/connect/10074733072513#/reservations/30667416785030?display=YQJ5J53MD&amp;reservation_id=30667416785030", "YQJ5J53MD")</f>
        <v>YQJ5J53MD</v>
      </c>
      <c r="B2800" t="s">
        <v>10</v>
      </c>
      <c r="C2800" t="s">
        <v>42</v>
      </c>
      <c r="D2800" t="str">
        <f>HYPERLINK("https://us2.cloudbeds.com/connect/10074733072513#/reservations/30667416785030?display=Brian%20Mallin&amp;reservation_id=30667416785030&amp;guest_id=30667416780938", "Brian Mallin")</f>
        <v>Brian Mallin</v>
      </c>
      <c r="E2800" t="s">
        <v>2219</v>
      </c>
      <c r="F2800" t="s">
        <v>2205</v>
      </c>
      <c r="G2800">
        <v>64.150000000000006</v>
      </c>
      <c r="H2800">
        <v>69.72</v>
      </c>
      <c r="I2800">
        <v>69.73</v>
      </c>
      <c r="J2800">
        <v>-0.01</v>
      </c>
    </row>
    <row r="2801" spans="1:10" x14ac:dyDescent="0.3">
      <c r="A2801" t="str">
        <f>HYPERLINK("https://us2.cloudbeds.com/connect/10074733072513#/reservations/30668000596124?display=YQJKGEH0M&amp;reservation_id=30668000596124", "YQJKGEH0M")</f>
        <v>YQJKGEH0M</v>
      </c>
      <c r="B2801" t="s">
        <v>10</v>
      </c>
      <c r="C2801" t="s">
        <v>14</v>
      </c>
      <c r="D2801" t="str">
        <f>HYPERLINK("https://us2.cloudbeds.com/connect/10074733072513#/reservations/30668000596124?display=James%20Roberts&amp;reservation_id=30668000596124&amp;guest_id=30668000592032", "James Roberts")</f>
        <v>James Roberts</v>
      </c>
      <c r="E2801" t="s">
        <v>2220</v>
      </c>
      <c r="F2801" t="s">
        <v>2214</v>
      </c>
      <c r="G2801">
        <v>64.150000000000006</v>
      </c>
      <c r="H2801">
        <v>69.72</v>
      </c>
      <c r="I2801">
        <v>69.73</v>
      </c>
      <c r="J2801">
        <v>-0.01</v>
      </c>
    </row>
    <row r="2802" spans="1:10" x14ac:dyDescent="0.3">
      <c r="A2802" t="str">
        <f>HYPERLINK("https://us2.cloudbeds.com/connect/10074733072513#/reservations/30668062654606?display=YQJM2PCMZ&amp;reservation_id=30668062654606", "YQJM2PCMZ")</f>
        <v>YQJM2PCMZ</v>
      </c>
      <c r="B2802" t="s">
        <v>10</v>
      </c>
      <c r="C2802" t="s">
        <v>11</v>
      </c>
      <c r="D2802" t="str">
        <f>HYPERLINK("https://us2.cloudbeds.com/connect/10074733072513#/reservations/30668062654606?display=Hunter%20Smith&amp;reservation_id=30668062654606&amp;guest_id=30668062654604", "Hunter Smith")</f>
        <v>Hunter Smith</v>
      </c>
      <c r="E2802" t="s">
        <v>2221</v>
      </c>
      <c r="F2802" t="s">
        <v>2214</v>
      </c>
      <c r="G2802">
        <v>103.2</v>
      </c>
      <c r="H2802">
        <v>112.17</v>
      </c>
      <c r="I2802">
        <v>112.18</v>
      </c>
      <c r="J2802">
        <v>-0.01</v>
      </c>
    </row>
    <row r="2803" spans="1:10" x14ac:dyDescent="0.3">
      <c r="A2803" t="str">
        <f>HYPERLINK("https://us2.cloudbeds.com/connect/10074733072513#/reservations/30667461443712?display=YQJ6NQMSK&amp;reservation_id=30667461443712", "YQJ6NQMSK")</f>
        <v>YQJ6NQMSK</v>
      </c>
      <c r="B2803" t="s">
        <v>10</v>
      </c>
      <c r="C2803" t="s">
        <v>42</v>
      </c>
      <c r="D2803" t="str">
        <f>HYPERLINK("https://us2.cloudbeds.com/connect/10074733072513#/reservations/30667461443712?display=Andrew%20Rettig&amp;reservation_id=30667461443712&amp;guest_id=30667461439678", "Andrew Rettig")</f>
        <v>Andrew Rettig</v>
      </c>
      <c r="E2803" t="s">
        <v>2222</v>
      </c>
      <c r="F2803" t="s">
        <v>2218</v>
      </c>
      <c r="G2803">
        <v>84.15</v>
      </c>
      <c r="H2803">
        <v>91.46</v>
      </c>
      <c r="I2803">
        <v>91.47</v>
      </c>
      <c r="J2803">
        <v>-0.01</v>
      </c>
    </row>
    <row r="2804" spans="1:10" x14ac:dyDescent="0.3">
      <c r="A2804" t="str">
        <f>HYPERLINK("https://us2.cloudbeds.com/connect/10074733072513#/reservations/30667461439618?display=YQJ6NQMQZ&amp;reservation_id=30667461439618", "YQJ6NQMQZ")</f>
        <v>YQJ6NQMQZ</v>
      </c>
      <c r="B2804" t="s">
        <v>10</v>
      </c>
      <c r="C2804" t="s">
        <v>20</v>
      </c>
      <c r="D2804" t="str">
        <f>HYPERLINK("https://us2.cloudbeds.com/connect/10074733072513#/reservations/30667461439618?display=Cathleen%20Whitney%20Krentz&amp;reservation_id=30667461439618&amp;guest_id=30667461439616", "Cathleen Whitney Krentz")</f>
        <v>Cathleen Whitney Krentz</v>
      </c>
      <c r="E2804" t="s">
        <v>2223</v>
      </c>
      <c r="F2804" t="s">
        <v>2224</v>
      </c>
      <c r="G2804">
        <v>68.16</v>
      </c>
      <c r="H2804">
        <v>74.08</v>
      </c>
      <c r="I2804">
        <v>74.09</v>
      </c>
      <c r="J2804">
        <v>-0.01</v>
      </c>
    </row>
    <row r="2805" spans="1:10" x14ac:dyDescent="0.3">
      <c r="A2805" t="str">
        <f>HYPERLINK("https://us2.cloudbeds.com/connect/10074733072513#/reservations/30667442675846?display=YQJ67WXHJ&amp;reservation_id=30667442675846", "YQJ67WXHJ")</f>
        <v>YQJ67WXHJ</v>
      </c>
      <c r="B2805" t="s">
        <v>10</v>
      </c>
      <c r="C2805" t="s">
        <v>14</v>
      </c>
      <c r="D2805" t="str">
        <f>HYPERLINK("https://us2.cloudbeds.com/connect/10074733072513#/reservations/30667442675846?display=Shawn%20Risdon&amp;reservation_id=30667442675846&amp;guest_id=30667439350005", "Shawn Risdon")</f>
        <v>Shawn Risdon</v>
      </c>
      <c r="E2805" t="s">
        <v>2225</v>
      </c>
      <c r="F2805" t="s">
        <v>2224</v>
      </c>
      <c r="G2805">
        <v>64.150000000000006</v>
      </c>
      <c r="H2805">
        <v>69.72</v>
      </c>
      <c r="I2805">
        <v>69.73</v>
      </c>
      <c r="J2805">
        <v>-0.01</v>
      </c>
    </row>
    <row r="2806" spans="1:10" x14ac:dyDescent="0.3">
      <c r="A2806" t="str">
        <f>HYPERLINK("https://us2.cloudbeds.com/connect/10074733072513#/reservations/30666583761046?display=YQXH9NWNC&amp;reservation_id=30666583761046", "YQXH9NWNC")</f>
        <v>YQXH9NWNC</v>
      </c>
      <c r="B2806" t="s">
        <v>10</v>
      </c>
      <c r="C2806" t="s">
        <v>20</v>
      </c>
      <c r="D2806" t="str">
        <f>HYPERLINK("https://us2.cloudbeds.com/connect/10074733072513#/reservations/30666583761046?display=Lonny%20Laufenberg&amp;reservation_id=30666583761046&amp;guest_id=30666579640511", "Lonny Laufenberg")</f>
        <v>Lonny Laufenberg</v>
      </c>
      <c r="E2806" t="s">
        <v>2226</v>
      </c>
      <c r="F2806" t="s">
        <v>2218</v>
      </c>
      <c r="G2806">
        <v>68.16</v>
      </c>
      <c r="H2806">
        <v>74.08</v>
      </c>
      <c r="I2806">
        <v>74.09</v>
      </c>
      <c r="J2806">
        <v>-0.01</v>
      </c>
    </row>
    <row r="2807" spans="1:10" x14ac:dyDescent="0.3">
      <c r="A2807" t="str">
        <f>HYPERLINK("https://us2.cloudbeds.com/connect/10074733072513#/reservations/30666579640449?display=YQXH68ASQ&amp;reservation_id=30666579640449", "YQXH68ASQ")</f>
        <v>YQXH68ASQ</v>
      </c>
      <c r="B2807" t="s">
        <v>10</v>
      </c>
      <c r="C2807" t="s">
        <v>20</v>
      </c>
      <c r="D2807" t="str">
        <f>HYPERLINK("https://us2.cloudbeds.com/connect/10074733072513#/reservations/30666579640449?display=Michael%20Rietveld&amp;reservation_id=30666579640449&amp;guest_id=30666572828906", "Michael Rietveld")</f>
        <v>Michael Rietveld</v>
      </c>
      <c r="E2807" t="s">
        <v>2227</v>
      </c>
      <c r="F2807" t="s">
        <v>2218</v>
      </c>
      <c r="G2807">
        <v>80.19</v>
      </c>
      <c r="H2807">
        <v>87.16</v>
      </c>
      <c r="I2807">
        <v>87.17</v>
      </c>
      <c r="J2807">
        <v>-0.01</v>
      </c>
    </row>
    <row r="2808" spans="1:10" x14ac:dyDescent="0.3">
      <c r="A2808" t="str">
        <f>HYPERLINK("https://us2.cloudbeds.com/connect/10074733072513#/reservations/30667062562998?display=YQXTHFBUE&amp;reservation_id=30667062562998", "YQXTHFBUE")</f>
        <v>YQXTHFBUE</v>
      </c>
      <c r="B2808" t="s">
        <v>10</v>
      </c>
      <c r="C2808" t="s">
        <v>20</v>
      </c>
      <c r="D2808" t="str">
        <f>HYPERLINK("https://us2.cloudbeds.com/connect/10074733072513#/reservations/30667062562998?display=Keri%20Brown&amp;reservation_id=30667062562998&amp;guest_id=30667062562995", "Keri Brown")</f>
        <v>Keri Brown</v>
      </c>
      <c r="E2808" t="s">
        <v>2228</v>
      </c>
      <c r="F2808" t="s">
        <v>2229</v>
      </c>
      <c r="G2808">
        <v>80.19</v>
      </c>
      <c r="H2808">
        <v>87.16</v>
      </c>
      <c r="I2808">
        <v>87.17</v>
      </c>
      <c r="J2808">
        <v>-0.01</v>
      </c>
    </row>
    <row r="2809" spans="1:10" x14ac:dyDescent="0.3">
      <c r="A2809" t="str">
        <f>HYPERLINK("https://us2.cloudbeds.com/connect/10074733072513#/reservations/30668068798694?display=YQJM7VBY7&amp;reservation_id=30668068798694", "YQJM7VBY7")</f>
        <v>YQJM7VBY7</v>
      </c>
      <c r="B2809" t="s">
        <v>10</v>
      </c>
      <c r="C2809" t="s">
        <v>14</v>
      </c>
      <c r="D2809" t="str">
        <f>HYPERLINK("https://us2.cloudbeds.com/connect/10074733072513#/reservations/30668068798694?display=Ed%20Reichling&amp;reservation_id=30668068798694&amp;guest_id=30653708218581", "Ed Reichling")</f>
        <v>Ed Reichling</v>
      </c>
      <c r="E2809" t="s">
        <v>978</v>
      </c>
      <c r="F2809" t="s">
        <v>2214</v>
      </c>
      <c r="G2809">
        <v>64.150000000000006</v>
      </c>
      <c r="H2809">
        <v>69.72</v>
      </c>
      <c r="I2809">
        <v>69.73</v>
      </c>
      <c r="J2809">
        <v>-0.01</v>
      </c>
    </row>
    <row r="2810" spans="1:10" x14ac:dyDescent="0.3">
      <c r="A2810" t="str">
        <f>HYPERLINK("https://us2.cloudbeds.com/connect/10074733072513#/reservations/30668081324160?display=YQJM7VFD8&amp;reservation_id=30668081324160", "YQJM7VFD8")</f>
        <v>YQJM7VFD8</v>
      </c>
      <c r="B2810" t="s">
        <v>10</v>
      </c>
      <c r="C2810" t="s">
        <v>20</v>
      </c>
      <c r="D2810" t="str">
        <f>HYPERLINK("https://us2.cloudbeds.com/connect/10074733072513#/reservations/30668081324160?display=Angela%20Hanisch&amp;reservation_id=30668081324160&amp;guest_id=30668068802785", "Angela Hanisch")</f>
        <v>Angela Hanisch</v>
      </c>
      <c r="E2810" t="s">
        <v>2230</v>
      </c>
      <c r="F2810" t="s">
        <v>2214</v>
      </c>
      <c r="G2810">
        <v>80.19</v>
      </c>
      <c r="H2810">
        <v>87.16</v>
      </c>
      <c r="I2810">
        <v>87.17</v>
      </c>
      <c r="J2810">
        <v>-0.01</v>
      </c>
    </row>
    <row r="2811" spans="1:10" x14ac:dyDescent="0.3">
      <c r="A2811" t="str">
        <f>HYPERLINK("https://us2.cloudbeds.com/connect/10074733072513#/reservations/30666592731340?display=YQXHH9JTF&amp;reservation_id=30666592731340", "YQXHH9JTF")</f>
        <v>YQXHH9JTF</v>
      </c>
      <c r="B2811" t="s">
        <v>10</v>
      </c>
      <c r="C2811" t="s">
        <v>11</v>
      </c>
      <c r="D2811" t="str">
        <f>HYPERLINK("https://us2.cloudbeds.com/connect/10074733072513#/reservations/30666592731340?display=Andrew%20Weldon&amp;reservation_id=30666592731340&amp;guest_id=30666592731337", "Andrew Weldon")</f>
        <v>Andrew Weldon</v>
      </c>
      <c r="E2811" t="s">
        <v>2233</v>
      </c>
      <c r="F2811" t="s">
        <v>2218</v>
      </c>
      <c r="G2811">
        <v>64.150000000000006</v>
      </c>
      <c r="H2811">
        <v>69.72</v>
      </c>
      <c r="I2811">
        <v>69.73</v>
      </c>
      <c r="J2811">
        <v>-0.01</v>
      </c>
    </row>
    <row r="2812" spans="1:10" x14ac:dyDescent="0.3">
      <c r="A2812" t="str">
        <f>HYPERLINK("https://us2.cloudbeds.com/connect/10074733072513#/reservations/30666425643152?display=YQXD8D471&amp;reservation_id=30666425643152", "YQXD8D471")</f>
        <v>YQXD8D471</v>
      </c>
      <c r="B2812" t="s">
        <v>10</v>
      </c>
      <c r="C2812" t="s">
        <v>42</v>
      </c>
      <c r="D2812" t="str">
        <f>HYPERLINK("https://us2.cloudbeds.com/connect/10074733072513#/reservations/30666425643152?display=James%20Jonnes&amp;reservation_id=30666425643152&amp;guest_id=30666425643147", "James Jonnes")</f>
        <v>James Jonnes</v>
      </c>
      <c r="E2812" t="s">
        <v>2234</v>
      </c>
      <c r="F2812" t="s">
        <v>2235</v>
      </c>
      <c r="G2812">
        <v>282.14999999999998</v>
      </c>
      <c r="H2812">
        <v>306.69</v>
      </c>
      <c r="I2812">
        <v>306.7</v>
      </c>
      <c r="J2812">
        <v>-0.01</v>
      </c>
    </row>
    <row r="2813" spans="1:10" x14ac:dyDescent="0.3">
      <c r="A2813" t="str">
        <f>HYPERLINK("https://us2.cloudbeds.com/connect/10074733072513#/reservations/30667056574680?display=YQXTCDZ08&amp;reservation_id=30667056574680", "YQXTCDZ08")</f>
        <v>YQXTCDZ08</v>
      </c>
      <c r="B2813" t="s">
        <v>10</v>
      </c>
      <c r="C2813" t="s">
        <v>11</v>
      </c>
      <c r="D2813" t="str">
        <f>HYPERLINK("https://us2.cloudbeds.com/connect/10074733072513#/reservations/30667056574680?display=Celicia%20Casillas&amp;reservation_id=30667056574680&amp;guest_id=30667056574678", "Celicia Casillas")</f>
        <v>Celicia Casillas</v>
      </c>
      <c r="E2813" t="s">
        <v>2236</v>
      </c>
      <c r="F2813" t="s">
        <v>2229</v>
      </c>
      <c r="G2813">
        <v>72.17</v>
      </c>
      <c r="H2813">
        <v>78.44</v>
      </c>
      <c r="I2813">
        <v>78.45</v>
      </c>
      <c r="J2813">
        <v>-0.01</v>
      </c>
    </row>
    <row r="2814" spans="1:10" x14ac:dyDescent="0.3">
      <c r="A2814" t="str">
        <f>HYPERLINK("https://us2.cloudbeds.com/connect/10074733072513#/reservations/30666738852046?display=YQXY8GKMY&amp;reservation_id=30666738852046", "YQXY8GKMY")</f>
        <v>YQXY8GKMY</v>
      </c>
      <c r="B2814" t="s">
        <v>10</v>
      </c>
      <c r="C2814" t="s">
        <v>14</v>
      </c>
      <c r="D2814" t="str">
        <f>HYPERLINK("https://us2.cloudbeds.com/connect/10074733072513#/reservations/30666738852046?display=James%20Roberts&amp;reservation_id=30666738852046&amp;guest_id=30666738852041", "James Roberts")</f>
        <v>James Roberts</v>
      </c>
      <c r="E2814" t="s">
        <v>2220</v>
      </c>
      <c r="F2814" t="s">
        <v>2209</v>
      </c>
      <c r="G2814">
        <v>64.150000000000006</v>
      </c>
      <c r="H2814">
        <v>69.72</v>
      </c>
      <c r="I2814">
        <v>69.73</v>
      </c>
      <c r="J2814">
        <v>-0.01</v>
      </c>
    </row>
    <row r="2815" spans="1:10" x14ac:dyDescent="0.3">
      <c r="A2815" t="str">
        <f>HYPERLINK("https://us2.cloudbeds.com/connect/10074733072513#/reservations/30666722275546?display=YQXKRHBUF&amp;reservation_id=30666722275546", "YQXKRHBUF")</f>
        <v>YQXKRHBUF</v>
      </c>
      <c r="B2815" t="s">
        <v>10</v>
      </c>
      <c r="C2815" t="s">
        <v>14</v>
      </c>
      <c r="D2815" t="str">
        <f>HYPERLINK("https://us2.cloudbeds.com/connect/10074733072513#/reservations/30666722275546?display=Bronson%20Ohm&amp;reservation_id=30666722275546&amp;guest_id=30661256216828", "Bronson Ohm")</f>
        <v>Bronson Ohm</v>
      </c>
      <c r="E2815" t="s">
        <v>2237</v>
      </c>
      <c r="F2815" t="s">
        <v>2209</v>
      </c>
      <c r="G2815">
        <v>64.150000000000006</v>
      </c>
      <c r="H2815">
        <v>69.72</v>
      </c>
      <c r="I2815">
        <v>69.73</v>
      </c>
      <c r="J2815">
        <v>-0.01</v>
      </c>
    </row>
    <row r="2816" spans="1:10" x14ac:dyDescent="0.3">
      <c r="A2816" t="str">
        <f>HYPERLINK("https://us2.cloudbeds.com/connect/10074733072513#/reservations/30670583836900?display=YQYKGMWV6&amp;reservation_id=30670583836900", "YQYKGMWV6")</f>
        <v>YQYKGMWV6</v>
      </c>
      <c r="B2816" t="s">
        <v>10</v>
      </c>
      <c r="C2816" t="s">
        <v>42</v>
      </c>
      <c r="D2816" t="str">
        <f>HYPERLINK("https://us2.cloudbeds.com/connect/10074733072513#/reservations/30670583836900?display=Mary%20Ann%20Dempsey&amp;reservation_id=30670583836900&amp;guest_id=30670583836897", "Mary Ann Dempsey")</f>
        <v>Mary Ann Dempsey</v>
      </c>
      <c r="E2816" t="s">
        <v>2241</v>
      </c>
      <c r="F2816" t="s">
        <v>2050</v>
      </c>
      <c r="G2816">
        <v>230.2</v>
      </c>
      <c r="H2816">
        <v>250.22</v>
      </c>
      <c r="I2816">
        <v>250.23</v>
      </c>
      <c r="J2816">
        <v>-0.01</v>
      </c>
    </row>
    <row r="2817" spans="1:10" x14ac:dyDescent="0.3">
      <c r="A2817" t="str">
        <f>HYPERLINK("https://us2.cloudbeds.com/connect/10074733072513#/reservations/30666385244387?display=YQXC7AW31&amp;reservation_id=30666385244387", "YQXC7AW31")</f>
        <v>YQXC7AW31</v>
      </c>
      <c r="B2817" t="s">
        <v>10</v>
      </c>
      <c r="C2817" t="s">
        <v>11</v>
      </c>
      <c r="D2817" t="str">
        <f>HYPERLINK("https://us2.cloudbeds.com/connect/10074733072513#/reservations/30666385244387?display=Erin%20Mitzel&amp;reservation_id=30666385244387&amp;guest_id=30666385244376", "Erin Mitzel")</f>
        <v>Erin Mitzel</v>
      </c>
      <c r="E2817" t="s">
        <v>2243</v>
      </c>
      <c r="F2817" t="s">
        <v>2235</v>
      </c>
      <c r="G2817">
        <v>72.17</v>
      </c>
      <c r="H2817">
        <v>78.44</v>
      </c>
      <c r="I2817">
        <v>78.45</v>
      </c>
      <c r="J2817">
        <v>-0.01</v>
      </c>
    </row>
    <row r="2818" spans="1:10" x14ac:dyDescent="0.3">
      <c r="A2818" t="str">
        <f>HYPERLINK("https://us2.cloudbeds.com/connect/10074733072513#/reservations/30667907920011?display=YQJX49YWK&amp;reservation_id=30667907920011", "YQJX49YWK")</f>
        <v>YQJX49YWK</v>
      </c>
      <c r="B2818" t="s">
        <v>10</v>
      </c>
      <c r="C2818" t="s">
        <v>11</v>
      </c>
      <c r="D2818" t="str">
        <f>HYPERLINK("https://us2.cloudbeds.com/connect/10074733072513#/reservations/30667907920011?display=James%20Ellis&amp;reservation_id=30667907920011&amp;guest_id=30667907920009", "James Ellis")</f>
        <v>James Ellis</v>
      </c>
      <c r="E2818" t="s">
        <v>2244</v>
      </c>
      <c r="F2818" t="s">
        <v>2245</v>
      </c>
      <c r="G2818">
        <v>87.2</v>
      </c>
      <c r="H2818">
        <v>94.78</v>
      </c>
      <c r="I2818">
        <v>94.79</v>
      </c>
      <c r="J2818">
        <v>-0.01</v>
      </c>
    </row>
    <row r="2819" spans="1:10" x14ac:dyDescent="0.3">
      <c r="A2819" t="str">
        <f>HYPERLINK("https://us2.cloudbeds.com/connect/10074733072513#/reservations/30667624980630?display=YQJATNF6W&amp;reservation_id=30667624980630", "YQJATNF6W")</f>
        <v>YQJATNF6W</v>
      </c>
      <c r="B2819" t="s">
        <v>10</v>
      </c>
      <c r="C2819" t="s">
        <v>20</v>
      </c>
      <c r="D2819" t="str">
        <f>HYPERLINK("https://us2.cloudbeds.com/connect/10074733072513#/reservations/30667624980630?display=Catherine%20Friesen&amp;reservation_id=30667624980630&amp;guest_id=30667624980613", "Catherine Friesen")</f>
        <v>Catherine Friesen</v>
      </c>
      <c r="E2819" t="s">
        <v>2246</v>
      </c>
      <c r="F2819" t="s">
        <v>2247</v>
      </c>
      <c r="G2819">
        <v>68.16</v>
      </c>
      <c r="H2819">
        <v>74.08</v>
      </c>
      <c r="I2819">
        <v>74.09</v>
      </c>
      <c r="J2819">
        <v>-0.01</v>
      </c>
    </row>
    <row r="2820" spans="1:10" x14ac:dyDescent="0.3">
      <c r="A2820" t="str">
        <f>HYPERLINK("https://us2.cloudbeds.com/connect/10074733072513#/reservations/30667607466175?display=YQJAEV34U&amp;reservation_id=30667607466175", "YQJAEV34U")</f>
        <v>YQJAEV34U</v>
      </c>
      <c r="B2820" t="s">
        <v>10</v>
      </c>
      <c r="C2820" t="s">
        <v>20</v>
      </c>
      <c r="D2820" t="str">
        <f>HYPERLINK("https://us2.cloudbeds.com/connect/10074733072513#/reservations/30667607466175?display=Thomas%20Wilt&amp;reservation_id=30667607466175&amp;guest_id=30667607466126", "Thomas Wilt")</f>
        <v>Thomas Wilt</v>
      </c>
      <c r="E2820" t="s">
        <v>2250</v>
      </c>
      <c r="F2820" t="s">
        <v>2247</v>
      </c>
      <c r="G2820">
        <v>80.19</v>
      </c>
      <c r="H2820">
        <v>87.16</v>
      </c>
      <c r="I2820">
        <v>87.17</v>
      </c>
      <c r="J2820">
        <v>-0.01</v>
      </c>
    </row>
    <row r="2821" spans="1:10" x14ac:dyDescent="0.3">
      <c r="A2821" t="str">
        <f>HYPERLINK("https://us2.cloudbeds.com/connect/10074733072513#/reservations/30666551816342?display=YQXGFQ2Z1&amp;reservation_id=30666551816342", "YQXGFQ2Z1")</f>
        <v>YQXGFQ2Z1</v>
      </c>
      <c r="B2821" t="s">
        <v>10</v>
      </c>
      <c r="C2821" t="s">
        <v>11</v>
      </c>
      <c r="D2821" t="str">
        <f>HYPERLINK("https://us2.cloudbeds.com/connect/10074733072513#/reservations/30666551816342?display=Scott%20Danner&amp;reservation_id=30666551816342&amp;guest_id=30666551816337", "Scott Danner")</f>
        <v>Scott Danner</v>
      </c>
      <c r="E2821" t="s">
        <v>2238</v>
      </c>
      <c r="F2821" t="s">
        <v>2240</v>
      </c>
      <c r="G2821">
        <v>64.150000000000006</v>
      </c>
      <c r="H2821">
        <v>69.72</v>
      </c>
      <c r="I2821">
        <v>69.73</v>
      </c>
      <c r="J2821">
        <v>-0.01</v>
      </c>
    </row>
    <row r="2822" spans="1:10" x14ac:dyDescent="0.3">
      <c r="A2822" t="str">
        <f>HYPERLINK("https://us2.cloudbeds.com/connect/10074733072513#/reservations/30667085742321?display=YQXU40BT5&amp;reservation_id=30667085742321", "YQXU40BT5")</f>
        <v>YQXU40BT5</v>
      </c>
      <c r="B2822" t="s">
        <v>10</v>
      </c>
      <c r="C2822" t="s">
        <v>14</v>
      </c>
      <c r="D2822" t="str">
        <f>HYPERLINK("https://us2.cloudbeds.com/connect/10074733072513#/reservations/30667085742321?display=Casey%20Dudley&amp;reservation_id=30667085742321&amp;guest_id=30667085742316", "Casey Dudley")</f>
        <v>Casey Dudley</v>
      </c>
      <c r="E2822" t="s">
        <v>2251</v>
      </c>
      <c r="F2822" t="s">
        <v>2229</v>
      </c>
      <c r="G2822">
        <v>64.150000000000006</v>
      </c>
      <c r="H2822">
        <v>69.72</v>
      </c>
      <c r="I2822">
        <v>69.73</v>
      </c>
      <c r="J2822">
        <v>-0.01</v>
      </c>
    </row>
    <row r="2823" spans="1:10" x14ac:dyDescent="0.3">
      <c r="A2823" t="str">
        <f>HYPERLINK("https://us2.cloudbeds.com/connect/10074733072513#/reservations/30667171881123?display=YQXWAY9ST&amp;reservation_id=30667171881123", "YQXWAY9ST")</f>
        <v>YQXWAY9ST</v>
      </c>
      <c r="B2823" t="s">
        <v>10</v>
      </c>
      <c r="C2823" t="s">
        <v>20</v>
      </c>
      <c r="D2823" t="str">
        <f>HYPERLINK("https://us2.cloudbeds.com/connect/10074733072513#/reservations/30667171881123?display=Darin%20Broughton&amp;reservation_id=30667171881123&amp;guest_id=30667171881121", "Darin Broughton")</f>
        <v>Darin Broughton</v>
      </c>
      <c r="E2823" t="s">
        <v>2252</v>
      </c>
      <c r="F2823" t="s">
        <v>2235</v>
      </c>
      <c r="G2823">
        <v>160.38</v>
      </c>
      <c r="H2823">
        <v>174.32</v>
      </c>
      <c r="I2823">
        <v>174.33</v>
      </c>
      <c r="J2823">
        <v>-0.01</v>
      </c>
    </row>
    <row r="2824" spans="1:10" x14ac:dyDescent="0.3">
      <c r="A2824" t="str">
        <f>HYPERLINK("https://us2.cloudbeds.com/connect/10074733072513#/reservations/30666522161298?display=YQXFNPT9B&amp;reservation_id=30666522161298", "YQXFNPT9B")</f>
        <v>YQXFNPT9B</v>
      </c>
      <c r="B2824" t="s">
        <v>10</v>
      </c>
      <c r="C2824" t="s">
        <v>11</v>
      </c>
      <c r="D2824" t="str">
        <f>HYPERLINK("https://us2.cloudbeds.com/connect/10074733072513#/reservations/30666522161298?display=Alex%20Mcglothlen&amp;reservation_id=30666522161298&amp;guest_id=30648491585743", "Alex Mcglothlen")</f>
        <v>Alex Mcglothlen</v>
      </c>
      <c r="E2824" t="s">
        <v>583</v>
      </c>
      <c r="F2824" t="s">
        <v>2253</v>
      </c>
      <c r="G2824">
        <v>64.150000000000006</v>
      </c>
      <c r="H2824">
        <v>69.72</v>
      </c>
      <c r="I2824">
        <v>69.73</v>
      </c>
      <c r="J2824">
        <v>-0.01</v>
      </c>
    </row>
    <row r="2825" spans="1:10" x14ac:dyDescent="0.3">
      <c r="A2825" t="str">
        <f>HYPERLINK("https://us2.cloudbeds.com/connect/10074733072513#/reservations/30667164618950?display=YQXW4H771&amp;reservation_id=30667164618950", "YQXW4H771")</f>
        <v>YQXW4H771</v>
      </c>
      <c r="B2825" t="s">
        <v>10</v>
      </c>
      <c r="C2825" t="s">
        <v>20</v>
      </c>
      <c r="D2825" t="str">
        <f>HYPERLINK("https://us2.cloudbeds.com/connect/10074733072513#/reservations/30667164618950?display=Linda%20Longfellow&amp;reservation_id=30667164618950&amp;guest_id=30667159216303", "Linda Longfellow")</f>
        <v>Linda Longfellow</v>
      </c>
      <c r="E2825" t="s">
        <v>2254</v>
      </c>
      <c r="F2825" t="s">
        <v>2235</v>
      </c>
      <c r="G2825">
        <v>68.16</v>
      </c>
      <c r="H2825">
        <v>74.08</v>
      </c>
      <c r="I2825">
        <v>74.09</v>
      </c>
      <c r="J2825">
        <v>-0.01</v>
      </c>
    </row>
    <row r="2826" spans="1:10" x14ac:dyDescent="0.3">
      <c r="A2826" t="str">
        <f>HYPERLINK("https://us2.cloudbeds.com/connect/10074733072513#/reservations/30666769731775?display=YQXM1HTZ0&amp;reservation_id=30666769731775", "YQXM1HTZ0")</f>
        <v>YQXM1HTZ0</v>
      </c>
      <c r="B2826" t="s">
        <v>10</v>
      </c>
      <c r="C2826" t="s">
        <v>42</v>
      </c>
      <c r="D2826" t="str">
        <f>HYPERLINK("https://us2.cloudbeds.com/connect/10074733072513#/reservations/30666769731775?display=Mike%20O'Keefe&amp;reservation_id=30666769731775&amp;guest_id=30666769731765", "Mike O'Keefe")</f>
        <v>Mike O'Keefe</v>
      </c>
      <c r="E2826" t="s">
        <v>2256</v>
      </c>
      <c r="F2826" t="s">
        <v>2229</v>
      </c>
      <c r="G2826">
        <v>80.19</v>
      </c>
      <c r="H2826">
        <v>87.16</v>
      </c>
      <c r="I2826">
        <v>87.17</v>
      </c>
      <c r="J2826">
        <v>-0.01</v>
      </c>
    </row>
    <row r="2827" spans="1:10" x14ac:dyDescent="0.3">
      <c r="A2827" t="str">
        <f>HYPERLINK("https://us2.cloudbeds.com/connect/10074733072513#/reservations/30667603509492?display=YQJABJWRE&amp;reservation_id=30667603509492", "YQJABJWRE")</f>
        <v>YQJABJWRE</v>
      </c>
      <c r="B2827" t="s">
        <v>10</v>
      </c>
      <c r="C2827" t="s">
        <v>14</v>
      </c>
      <c r="D2827" t="str">
        <f>HYPERLINK("https://us2.cloudbeds.com/connect/10074733072513#/reservations/30667603509492?display=Tiffany%20Stundahl&amp;reservation_id=30667603509492&amp;guest_id=30667603509474", "Tiffany Stundahl")</f>
        <v>Tiffany Stundahl</v>
      </c>
      <c r="E2827" t="s">
        <v>2257</v>
      </c>
      <c r="F2827" t="s">
        <v>2247</v>
      </c>
      <c r="G2827">
        <v>64.150000000000006</v>
      </c>
      <c r="H2827">
        <v>69.72</v>
      </c>
      <c r="I2827">
        <v>69.73</v>
      </c>
      <c r="J2827">
        <v>-0.01</v>
      </c>
    </row>
    <row r="2828" spans="1:10" x14ac:dyDescent="0.3">
      <c r="A2828" t="str">
        <f>HYPERLINK("https://us2.cloudbeds.com/connect/10074733072513#/reservations/30667184918671?display=YQXWYY2U3&amp;reservation_id=30667184918671", "YQXWYY2U3")</f>
        <v>YQXWYY2U3</v>
      </c>
      <c r="B2828" t="s">
        <v>10</v>
      </c>
      <c r="C2828" t="s">
        <v>14</v>
      </c>
      <c r="D2828" t="str">
        <f>HYPERLINK("https://us2.cloudbeds.com/connect/10074733072513#/reservations/30667184918671?display=Andrea%20Vetos&amp;reservation_id=30667184918671&amp;guest_id=30667184918669", "Andrea Vetos")</f>
        <v>Andrea Vetos</v>
      </c>
      <c r="E2828" t="s">
        <v>2258</v>
      </c>
      <c r="F2828" t="s">
        <v>2259</v>
      </c>
      <c r="G2828">
        <v>87.2</v>
      </c>
      <c r="H2828">
        <v>94.78</v>
      </c>
      <c r="I2828">
        <v>94.79</v>
      </c>
      <c r="J2828">
        <v>-0.01</v>
      </c>
    </row>
    <row r="2829" spans="1:10" x14ac:dyDescent="0.3">
      <c r="A2829" t="str">
        <f>HYPERLINK("https://us2.cloudbeds.com/connect/10074733072513#/reservations/30667009274007?display=YQXS5HH1H&amp;reservation_id=30667009274007", "YQXS5HH1H")</f>
        <v>YQXS5HH1H</v>
      </c>
      <c r="B2829" t="s">
        <v>10</v>
      </c>
      <c r="C2829" t="s">
        <v>14</v>
      </c>
      <c r="D2829" t="str">
        <f>HYPERLINK("https://us2.cloudbeds.com/connect/10074733072513#/reservations/30667009274007?display=Linda%20Perdaems&amp;reservation_id=30667009274007&amp;guest_id=30667009273986", "Linda Perdaems")</f>
        <v>Linda Perdaems</v>
      </c>
      <c r="E2829" t="s">
        <v>2260</v>
      </c>
      <c r="F2829" t="s">
        <v>2261</v>
      </c>
      <c r="G2829">
        <v>285.60000000000002</v>
      </c>
      <c r="H2829">
        <v>310.44</v>
      </c>
      <c r="I2829">
        <v>310.45</v>
      </c>
      <c r="J2829">
        <v>-0.01</v>
      </c>
    </row>
    <row r="2830" spans="1:10" x14ac:dyDescent="0.3">
      <c r="A2830" t="str">
        <f>HYPERLINK("https://us2.cloudbeds.com/connect/10074733072513#/reservations/30671450800293?display=YQM9YZHJ5&amp;reservation_id=30671450800293", "YQM9YZHJ5")</f>
        <v>YQM9YZHJ5</v>
      </c>
      <c r="B2830" t="s">
        <v>10</v>
      </c>
      <c r="C2830" t="s">
        <v>20</v>
      </c>
      <c r="D2830" t="str">
        <f>HYPERLINK("https://us2.cloudbeds.com/connect/10074733072513#/reservations/30671450800293?display=Brian%20Stout&amp;reservation_id=30671450800293&amp;guest_id=30671440593102", "Brian Stout")</f>
        <v>Brian Stout</v>
      </c>
      <c r="E2830" t="s">
        <v>2262</v>
      </c>
      <c r="F2830" t="s">
        <v>2062</v>
      </c>
      <c r="G2830">
        <v>98.69</v>
      </c>
      <c r="H2830">
        <v>107.27</v>
      </c>
      <c r="I2830">
        <v>107.28</v>
      </c>
      <c r="J2830">
        <v>-0.01</v>
      </c>
    </row>
    <row r="2831" spans="1:10" x14ac:dyDescent="0.3">
      <c r="A2831" t="str">
        <f>HYPERLINK("https://us2.cloudbeds.com/connect/10074733072513#/reservations/30666617966815?display=YQXX5XQVR&amp;reservation_id=30666617966815", "YQXX5XQVR")</f>
        <v>YQXX5XQVR</v>
      </c>
      <c r="B2831" t="s">
        <v>10</v>
      </c>
      <c r="C2831" t="s">
        <v>14</v>
      </c>
      <c r="D2831" t="str">
        <f>HYPERLINK("https://us2.cloudbeds.com/connect/10074733072513#/reservations/30666617966815?display=Tamerlan%20Tsomartov&amp;reservation_id=30666617966815&amp;guest_id=30666617962724", "Tamerlan Tsomartov")</f>
        <v>Tamerlan Tsomartov</v>
      </c>
      <c r="E2831" t="s">
        <v>2263</v>
      </c>
      <c r="F2831" t="s">
        <v>2247</v>
      </c>
      <c r="G2831">
        <v>64.150000000000006</v>
      </c>
      <c r="H2831">
        <v>69.72</v>
      </c>
      <c r="I2831">
        <v>69.73</v>
      </c>
      <c r="J2831">
        <v>-0.01</v>
      </c>
    </row>
    <row r="2832" spans="1:10" x14ac:dyDescent="0.3">
      <c r="A2832" t="str">
        <f>HYPERLINK("https://us2.cloudbeds.com/connect/10074733072513#/reservations/30666652717243?display=YQXJ1SQC3&amp;reservation_id=30666652717243", "YQXJ1SQC3")</f>
        <v>YQXJ1SQC3</v>
      </c>
      <c r="B2832" t="s">
        <v>10</v>
      </c>
      <c r="C2832" t="s">
        <v>14</v>
      </c>
      <c r="D2832" t="str">
        <f>HYPERLINK("https://us2.cloudbeds.com/connect/10074733072513#/reservations/30666652717243?display=Norberto%20Merino&amp;reservation_id=30666652717243&amp;guest_id=30666652717232", "Norberto Merino")</f>
        <v>Norberto Merino</v>
      </c>
      <c r="E2832" t="s">
        <v>2264</v>
      </c>
      <c r="F2832" t="s">
        <v>2247</v>
      </c>
      <c r="G2832">
        <v>64.150000000000006</v>
      </c>
      <c r="H2832">
        <v>69.72</v>
      </c>
      <c r="I2832">
        <v>69.73</v>
      </c>
      <c r="J2832">
        <v>-0.01</v>
      </c>
    </row>
    <row r="2833" spans="1:10" x14ac:dyDescent="0.3">
      <c r="A2833" t="str">
        <f>HYPERLINK("https://us2.cloudbeds.com/connect/10074733072513#/reservations/30667238617340?display=YQJ10UAWG&amp;reservation_id=30667238617340", "YQJ10UAWG")</f>
        <v>YQJ10UAWG</v>
      </c>
      <c r="B2833" t="s">
        <v>10</v>
      </c>
      <c r="C2833" t="s">
        <v>11</v>
      </c>
      <c r="D2833" t="str">
        <f>HYPERLINK("https://us2.cloudbeds.com/connect/10074733072513#/reservations/30667238617340?display=Gary%20Harris&amp;reservation_id=30667238617340&amp;guest_id=30667238617326", "Gary Harris")</f>
        <v>Gary Harris</v>
      </c>
      <c r="E2833" t="s">
        <v>2265</v>
      </c>
      <c r="F2833" t="s">
        <v>2266</v>
      </c>
      <c r="G2833">
        <v>64.150000000000006</v>
      </c>
      <c r="H2833">
        <v>69.72</v>
      </c>
      <c r="I2833">
        <v>69.73</v>
      </c>
      <c r="J2833">
        <v>-0.01</v>
      </c>
    </row>
    <row r="2834" spans="1:10" x14ac:dyDescent="0.3">
      <c r="A2834" t="str">
        <f>HYPERLINK("https://us2.cloudbeds.com/connect/10074733072513#/reservations/30668667216126?display=YQK4HX6JQ&amp;reservation_id=30668667216126", "YQK4HX6JQ")</f>
        <v>YQK4HX6JQ</v>
      </c>
      <c r="B2834" t="s">
        <v>10</v>
      </c>
      <c r="C2834" t="s">
        <v>17</v>
      </c>
      <c r="D2834" t="str">
        <f>HYPERLINK("https://us2.cloudbeds.com/connect/10074733072513#/reservations/30668667216126?display=Brianna%20Glenn&amp;reservation_id=30668667216126&amp;guest_id=30668667216116", "Brianna Glenn")</f>
        <v>Brianna Glenn</v>
      </c>
      <c r="E2834" t="s">
        <v>2267</v>
      </c>
      <c r="F2834" t="s">
        <v>2268</v>
      </c>
      <c r="G2834">
        <v>366.3</v>
      </c>
      <c r="H2834">
        <v>398.16</v>
      </c>
      <c r="I2834">
        <v>398.17</v>
      </c>
      <c r="J2834">
        <v>-0.01</v>
      </c>
    </row>
    <row r="2835" spans="1:10" x14ac:dyDescent="0.3">
      <c r="A2835" t="str">
        <f>HYPERLINK("https://us2.cloudbeds.com/connect/10074733072513#/reservations/30666359034028?display=YQXBX7KQZ&amp;reservation_id=30666359034028", "YQXBX7KQZ")</f>
        <v>YQXBX7KQZ</v>
      </c>
      <c r="B2835" t="s">
        <v>10</v>
      </c>
      <c r="C2835" t="s">
        <v>14</v>
      </c>
      <c r="D2835" t="str">
        <f>HYPERLINK("https://us2.cloudbeds.com/connect/10074733072513#/reservations/30666359034028?display=Lavina%20Schwartz&amp;reservation_id=30666359034028&amp;guest_id=30666359034024", "Lavina Schwartz")</f>
        <v>Lavina Schwartz</v>
      </c>
      <c r="E2835" t="s">
        <v>2269</v>
      </c>
      <c r="F2835" t="s">
        <v>2270</v>
      </c>
      <c r="G2835">
        <v>64.150000000000006</v>
      </c>
      <c r="H2835">
        <v>69.72</v>
      </c>
      <c r="I2835">
        <v>69.73</v>
      </c>
      <c r="J2835">
        <v>-0.01</v>
      </c>
    </row>
    <row r="2836" spans="1:10" x14ac:dyDescent="0.3">
      <c r="A2836" t="str">
        <f>HYPERLINK("https://us2.cloudbeds.com/connect/10074733072513#/reservations/30669615685884?display=YQKSPAPCK&amp;reservation_id=30669615685884", "YQKSPAPCK")</f>
        <v>YQKSPAPCK</v>
      </c>
      <c r="B2836" t="s">
        <v>10</v>
      </c>
      <c r="C2836" t="s">
        <v>14</v>
      </c>
      <c r="D2836" t="str">
        <f>HYPERLINK("https://us2.cloudbeds.com/connect/10074733072513#/reservations/30669615685884?display=Jason%20Renneke&amp;reservation_id=30669615685884&amp;guest_id=30669615685882", "Jason Renneke")</f>
        <v>Jason Renneke</v>
      </c>
      <c r="E2836" t="s">
        <v>2271</v>
      </c>
      <c r="F2836" t="s">
        <v>2272</v>
      </c>
      <c r="G2836">
        <v>302.39999999999998</v>
      </c>
      <c r="H2836">
        <v>328.7</v>
      </c>
      <c r="I2836">
        <v>328.71</v>
      </c>
      <c r="J2836">
        <v>-0.01</v>
      </c>
    </row>
    <row r="2837" spans="1:10" x14ac:dyDescent="0.3">
      <c r="A2837" t="str">
        <f>HYPERLINK("https://us2.cloudbeds.com/connect/10074733072513#/reservations/30667889860766?display=YQJHM24YP&amp;reservation_id=30667889860766", "YQJHM24YP")</f>
        <v>YQJHM24YP</v>
      </c>
      <c r="B2837" t="s">
        <v>10</v>
      </c>
      <c r="C2837" t="s">
        <v>11</v>
      </c>
      <c r="D2837" t="str">
        <f>HYPERLINK("https://us2.cloudbeds.com/connect/10074733072513#/reservations/30667889860766?display=Kari%20Brault&amp;reservation_id=30667889860766&amp;guest_id=30667889860762", "Kari Brault")</f>
        <v>Kari Brault</v>
      </c>
      <c r="E2837" t="s">
        <v>2273</v>
      </c>
      <c r="F2837" t="s">
        <v>2245</v>
      </c>
      <c r="G2837">
        <v>87.2</v>
      </c>
      <c r="H2837">
        <v>94.78</v>
      </c>
      <c r="I2837">
        <v>94.79</v>
      </c>
      <c r="J2837">
        <v>-0.01</v>
      </c>
    </row>
    <row r="2838" spans="1:10" x14ac:dyDescent="0.3">
      <c r="A2838" t="str">
        <f>HYPERLINK("https://us2.cloudbeds.com/connect/10074733072513#/reservations/30667816358096?display=YQJFQ2R34&amp;reservation_id=30667816358096", "YQJFQ2R34")</f>
        <v>YQJFQ2R34</v>
      </c>
      <c r="B2838" t="s">
        <v>10</v>
      </c>
      <c r="C2838" t="s">
        <v>14</v>
      </c>
      <c r="D2838" t="str">
        <f>HYPERLINK("https://us2.cloudbeds.com/connect/10074733072513#/reservations/30667816358096?display=Shawn%20Moten&amp;reservation_id=30667816358096&amp;guest_id=30667816358094", "Shawn Moten")</f>
        <v>Shawn Moten</v>
      </c>
      <c r="E2838" t="s">
        <v>2274</v>
      </c>
      <c r="F2838" t="s">
        <v>2239</v>
      </c>
      <c r="G2838">
        <v>87.2</v>
      </c>
      <c r="H2838">
        <v>94.78</v>
      </c>
      <c r="I2838">
        <v>94.79</v>
      </c>
      <c r="J2838">
        <v>-0.01</v>
      </c>
    </row>
    <row r="2839" spans="1:10" x14ac:dyDescent="0.3">
      <c r="A2839" t="str">
        <f>HYPERLINK("https://us2.cloudbeds.com/connect/10074733072513#/reservations/30668759318710?display=YQK6T72W6&amp;reservation_id=30668759318710", "YQK6T72W6")</f>
        <v>YQK6T72W6</v>
      </c>
      <c r="B2839" t="s">
        <v>10</v>
      </c>
      <c r="C2839" t="s">
        <v>11</v>
      </c>
      <c r="D2839" t="str">
        <f>HYPERLINK("https://us2.cloudbeds.com/connect/10074733072513#/reservations/30668759318710?display=Velma%20Hauck&amp;reservation_id=30668759318710&amp;guest_id=30668752244958", "Velma Hauck")</f>
        <v>Velma Hauck</v>
      </c>
      <c r="E2839" t="s">
        <v>2275</v>
      </c>
      <c r="F2839" t="s">
        <v>2276</v>
      </c>
      <c r="G2839">
        <v>87.2</v>
      </c>
      <c r="H2839">
        <v>94.78</v>
      </c>
      <c r="I2839">
        <v>94.79</v>
      </c>
      <c r="J2839">
        <v>-0.01</v>
      </c>
    </row>
    <row r="2840" spans="1:10" x14ac:dyDescent="0.3">
      <c r="A2840" t="str">
        <f>HYPERLINK("https://us2.cloudbeds.com/connect/10074733072513#/reservations/30666514100438?display=YQXFGWJ6S&amp;reservation_id=30666514100438", "YQXFGWJ6S")</f>
        <v>YQXFGWJ6S</v>
      </c>
      <c r="B2840" t="s">
        <v>10</v>
      </c>
      <c r="C2840" t="s">
        <v>20</v>
      </c>
      <c r="D2840" t="str">
        <f>HYPERLINK("https://us2.cloudbeds.com/connect/10074733072513#/reservations/30666514100438?display=Pavel%20Rulko&amp;reservation_id=30666514100438&amp;guest_id=30666514100433", "Pavel Rulko")</f>
        <v>Pavel Rulko</v>
      </c>
      <c r="E2840" t="s">
        <v>2277</v>
      </c>
      <c r="F2840" t="s">
        <v>2240</v>
      </c>
      <c r="G2840">
        <v>166.78</v>
      </c>
      <c r="H2840">
        <v>181.28</v>
      </c>
      <c r="I2840">
        <v>181.29</v>
      </c>
      <c r="J2840">
        <v>-0.01</v>
      </c>
    </row>
    <row r="2841" spans="1:10" x14ac:dyDescent="0.3">
      <c r="A2841" t="str">
        <f>HYPERLINK("https://us2.cloudbeds.com/connect/10074733072513#/reservations/30667763507439?display=YQJEEH5Z2&amp;reservation_id=30667763507439", "YQJEEH5Z2")</f>
        <v>YQJEEH5Z2</v>
      </c>
      <c r="B2841" t="s">
        <v>10</v>
      </c>
      <c r="C2841" t="s">
        <v>42</v>
      </c>
      <c r="D2841" t="str">
        <f>HYPERLINK("https://us2.cloudbeds.com/connect/10074733072513#/reservations/30667763507439?display=David%20Pedersen&amp;reservation_id=30667763507439&amp;guest_id=30667752439953", "David Pedersen")</f>
        <v>David Pedersen</v>
      </c>
      <c r="E2841" t="s">
        <v>2278</v>
      </c>
      <c r="F2841" t="s">
        <v>2239</v>
      </c>
      <c r="G2841">
        <v>294.3</v>
      </c>
      <c r="H2841">
        <v>319.89</v>
      </c>
      <c r="I2841">
        <v>319.89999999999998</v>
      </c>
      <c r="J2841">
        <v>-0.01</v>
      </c>
    </row>
    <row r="2842" spans="1:10" x14ac:dyDescent="0.3">
      <c r="A2842" t="str">
        <f>HYPERLINK("https://us2.cloudbeds.com/connect/10074733072513#/reservations/30667800219890?display=YQJFCFZQJ&amp;reservation_id=30667800219890", "YQJFCFZQJ")</f>
        <v>YQJFCFZQJ</v>
      </c>
      <c r="B2842" t="s">
        <v>10</v>
      </c>
      <c r="C2842" t="s">
        <v>20</v>
      </c>
      <c r="D2842" t="str">
        <f>HYPERLINK("https://us2.cloudbeds.com/connect/10074733072513#/reservations/30667800219890?display=Pavel%20Rulko&amp;reservation_id=30667800219890&amp;guest_id=30667800219885", "Pavel Rulko")</f>
        <v>Pavel Rulko</v>
      </c>
      <c r="E2842" t="s">
        <v>2281</v>
      </c>
      <c r="F2842" t="s">
        <v>2239</v>
      </c>
      <c r="G2842">
        <v>166.78</v>
      </c>
      <c r="H2842">
        <v>181.28</v>
      </c>
      <c r="I2842">
        <v>181.29</v>
      </c>
      <c r="J2842">
        <v>-0.01</v>
      </c>
    </row>
    <row r="2843" spans="1:10" x14ac:dyDescent="0.3">
      <c r="A2843" t="str">
        <f>HYPERLINK("https://us2.cloudbeds.com/connect/10074733072513#/reservations/30668842524841?display=YQK90CDW3&amp;reservation_id=30668842524841", "YQK90CDW3")</f>
        <v>YQK90CDW3</v>
      </c>
      <c r="B2843" t="s">
        <v>10</v>
      </c>
      <c r="C2843" t="s">
        <v>11</v>
      </c>
      <c r="D2843" t="str">
        <f>HYPERLINK("https://us2.cloudbeds.com/connect/10074733072513#/reservations/30668842524841?display=Don%20J%20Carrington&amp;reservation_id=30668842524841&amp;guest_id=30668835168476", "Don J Carrington")</f>
        <v>Don J Carrington</v>
      </c>
      <c r="E2843" t="s">
        <v>2282</v>
      </c>
      <c r="F2843" t="s">
        <v>2283</v>
      </c>
      <c r="G2843">
        <v>87.2</v>
      </c>
      <c r="H2843">
        <v>94.78</v>
      </c>
      <c r="I2843">
        <v>94.79</v>
      </c>
      <c r="J2843">
        <v>-0.01</v>
      </c>
    </row>
    <row r="2844" spans="1:10" x14ac:dyDescent="0.3">
      <c r="A2844" t="str">
        <f>HYPERLINK("https://us2.cloudbeds.com/connect/10074733072513#/reservations/30667416780940?display=YQJ5J4WUF&amp;reservation_id=30667416780940", "YQJ5J4WUF")</f>
        <v>YQJ5J4WUF</v>
      </c>
      <c r="B2844" t="s">
        <v>10</v>
      </c>
      <c r="C2844" t="s">
        <v>20</v>
      </c>
      <c r="D2844" t="str">
        <f>HYPERLINK("https://us2.cloudbeds.com/connect/10074733072513#/reservations/30667416780940?display=Kris%20Folken&amp;reservation_id=30667416780940&amp;guest_id=30667416780935", "Kris Folken")</f>
        <v>Kris Folken</v>
      </c>
      <c r="E2844" t="s">
        <v>2284</v>
      </c>
      <c r="F2844" t="s">
        <v>2212</v>
      </c>
      <c r="G2844">
        <v>134.1</v>
      </c>
      <c r="H2844">
        <v>145.76</v>
      </c>
      <c r="I2844">
        <v>145.77000000000001</v>
      </c>
      <c r="J2844">
        <v>-0.01</v>
      </c>
    </row>
    <row r="2845" spans="1:10" x14ac:dyDescent="0.3">
      <c r="A2845" t="str">
        <f>HYPERLINK("https://us2.cloudbeds.com/connect/10074733072513#/reservations/30668822614241?display=YQK8GJCJJ&amp;reservation_id=30668822614241", "YQK8GJCJJ")</f>
        <v>YQK8GJCJJ</v>
      </c>
      <c r="B2845" t="s">
        <v>10</v>
      </c>
      <c r="C2845" t="s">
        <v>11</v>
      </c>
      <c r="D2845" t="str">
        <f>HYPERLINK("https://us2.cloudbeds.com/connect/10074733072513#/reservations/30668822614241?display=Lisa%20Steffl&amp;reservation_id=30668822614241&amp;guest_id=30668811985105", "Lisa Steffl")</f>
        <v>Lisa Steffl</v>
      </c>
      <c r="E2845" t="s">
        <v>2285</v>
      </c>
      <c r="F2845" t="s">
        <v>2283</v>
      </c>
      <c r="G2845">
        <v>87.2</v>
      </c>
      <c r="H2845">
        <v>94.78</v>
      </c>
      <c r="I2845">
        <v>94.79</v>
      </c>
      <c r="J2845">
        <v>-0.01</v>
      </c>
    </row>
    <row r="2846" spans="1:10" x14ac:dyDescent="0.3">
      <c r="A2846" t="str">
        <f>HYPERLINK("https://us2.cloudbeds.com/connect/10074733072513#/reservations/30668835164374?display=YQK8R5K1Y&amp;reservation_id=30668835164374", "YQK8R5K1Y")</f>
        <v>YQK8R5K1Y</v>
      </c>
      <c r="B2846" t="s">
        <v>10</v>
      </c>
      <c r="C2846" t="s">
        <v>11</v>
      </c>
      <c r="D2846" t="str">
        <f>HYPERLINK("https://us2.cloudbeds.com/connect/10074733072513#/reservations/30668835164374?display=Christopher%20John%20Ehorn&amp;reservation_id=30668835164374&amp;guest_id=30668825497734", "Christopher John Ehorn")</f>
        <v>Christopher John Ehorn</v>
      </c>
      <c r="E2846" t="s">
        <v>2286</v>
      </c>
      <c r="F2846" t="s">
        <v>2283</v>
      </c>
      <c r="G2846">
        <v>87.2</v>
      </c>
      <c r="H2846">
        <v>94.78</v>
      </c>
      <c r="I2846">
        <v>94.79</v>
      </c>
      <c r="J2846">
        <v>-0.01</v>
      </c>
    </row>
    <row r="2847" spans="1:10" x14ac:dyDescent="0.3">
      <c r="A2847" t="str">
        <f>HYPERLINK("https://us2.cloudbeds.com/connect/10074733072513#/reservations/30667620036799?display=YQJAPHTDU&amp;reservation_id=30667620036799", "YQJAPHTDU")</f>
        <v>YQJAPHTDU</v>
      </c>
      <c r="B2847" t="s">
        <v>10</v>
      </c>
      <c r="C2847" t="s">
        <v>14</v>
      </c>
      <c r="D2847" t="str">
        <f>HYPERLINK("https://us2.cloudbeds.com/connect/10074733072513#/reservations/30667620036799?display=Justin%20Scholl&amp;reservation_id=30667620036799&amp;guest_id=30667620036795", "Justin Scholl")</f>
        <v>Justin Scholl</v>
      </c>
      <c r="E2847" t="s">
        <v>2287</v>
      </c>
      <c r="F2847" t="s">
        <v>2242</v>
      </c>
      <c r="G2847">
        <v>90.07</v>
      </c>
      <c r="H2847">
        <v>97.9</v>
      </c>
      <c r="I2847">
        <v>97.91</v>
      </c>
      <c r="J2847">
        <v>-0.01</v>
      </c>
    </row>
    <row r="2848" spans="1:10" x14ac:dyDescent="0.3">
      <c r="A2848" t="str">
        <f>HYPERLINK("https://us2.cloudbeds.com/connect/10074733072513#/reservations/30668151459985?display=YQJZBYHAR&amp;reservation_id=30668151459985", "YQJZBYHAR")</f>
        <v>YQJZBYHAR</v>
      </c>
      <c r="B2848" t="s">
        <v>10</v>
      </c>
      <c r="C2848" t="s">
        <v>20</v>
      </c>
      <c r="D2848" t="str">
        <f>HYPERLINK("https://us2.cloudbeds.com/connect/10074733072513#/reservations/30668151459985?display=Jerald%20Pitts&amp;reservation_id=30668151459985&amp;guest_id=30668145529028", "Jerald Pitts")</f>
        <v>Jerald Pitts</v>
      </c>
      <c r="E2848" t="s">
        <v>2288</v>
      </c>
      <c r="F2848" t="s">
        <v>2280</v>
      </c>
      <c r="G2848">
        <v>98.69</v>
      </c>
      <c r="H2848">
        <v>107.27</v>
      </c>
      <c r="I2848">
        <v>107.28</v>
      </c>
      <c r="J2848">
        <v>-0.01</v>
      </c>
    </row>
    <row r="2849" spans="1:10" x14ac:dyDescent="0.3">
      <c r="A2849" t="str">
        <f>HYPERLINK("https://us2.cloudbeds.com/connect/10074733072513#/reservations/30666789707954?display=YQXMXCPAP&amp;reservation_id=30666789707954", "YQXMXCPAP")</f>
        <v>YQXMXCPAP</v>
      </c>
      <c r="B2849" t="s">
        <v>10</v>
      </c>
      <c r="C2849" t="s">
        <v>20</v>
      </c>
      <c r="D2849" t="str">
        <f>HYPERLINK("https://us2.cloudbeds.com/connect/10074733072513#/reservations/30666789707954?display=Pavel%20Rulko&amp;reservation_id=30666789707954&amp;guest_id=30666785013918", "Pavel Rulko")</f>
        <v>Pavel Rulko</v>
      </c>
      <c r="E2849" t="s">
        <v>2289</v>
      </c>
      <c r="F2849" t="s">
        <v>2290</v>
      </c>
      <c r="G2849">
        <v>166.78</v>
      </c>
      <c r="H2849">
        <v>181.28</v>
      </c>
      <c r="I2849">
        <v>181.29</v>
      </c>
      <c r="J2849">
        <v>-0.01</v>
      </c>
    </row>
    <row r="2850" spans="1:10" x14ac:dyDescent="0.3">
      <c r="A2850" t="str">
        <f>HYPERLINK("https://us2.cloudbeds.com/connect/10074733072513#/reservations/30667512365310?display=YQJ80ZPHH&amp;reservation_id=30667512365310", "YQJ80ZPHH")</f>
        <v>YQJ80ZPHH</v>
      </c>
      <c r="B2850" t="s">
        <v>10</v>
      </c>
      <c r="C2850" t="s">
        <v>20</v>
      </c>
      <c r="D2850" t="str">
        <f>HYPERLINK("https://us2.cloudbeds.com/connect/10074733072513#/reservations/30667512365310?display=David%20Price&amp;reservation_id=30667512365310&amp;guest_id=30667512365308", "David Price")</f>
        <v>David Price</v>
      </c>
      <c r="E2850" t="s">
        <v>2293</v>
      </c>
      <c r="F2850" t="s">
        <v>2249</v>
      </c>
      <c r="G2850">
        <v>500.4</v>
      </c>
      <c r="H2850">
        <v>543.91999999999996</v>
      </c>
      <c r="I2850">
        <v>543.92999999999995</v>
      </c>
      <c r="J2850">
        <v>-0.01</v>
      </c>
    </row>
    <row r="2851" spans="1:10" x14ac:dyDescent="0.3">
      <c r="A2851" t="str">
        <f>HYPERLINK("https://us2.cloudbeds.com/connect/10074733072513#/reservations/30667442294982?display=YQJ67YVQ8&amp;reservation_id=30667442294982", "YQJ67YVQ8")</f>
        <v>YQJ67YVQ8</v>
      </c>
      <c r="B2851" t="s">
        <v>10</v>
      </c>
      <c r="C2851" t="s">
        <v>20</v>
      </c>
      <c r="D2851" t="str">
        <f>HYPERLINK("https://us2.cloudbeds.com/connect/10074733072513#/reservations/30667442294982?display=Brian%20Brown&amp;reservation_id=30667442294982&amp;guest_id=30667442290935", "Brian Brown")</f>
        <v>Brian Brown</v>
      </c>
      <c r="E2851" t="s">
        <v>2296</v>
      </c>
      <c r="F2851" t="s">
        <v>2212</v>
      </c>
      <c r="G2851">
        <v>220.33</v>
      </c>
      <c r="H2851">
        <v>239.49</v>
      </c>
      <c r="I2851">
        <v>239.5</v>
      </c>
      <c r="J2851">
        <v>-0.01</v>
      </c>
    </row>
    <row r="2852" spans="1:10" x14ac:dyDescent="0.3">
      <c r="A2852" t="str">
        <f>HYPERLINK("https://us2.cloudbeds.com/connect/10074733072513#/reservations/30664586952939?display=YQGW8VSEQ&amp;reservation_id=30664586952939", "YQGW8VSEQ")</f>
        <v>YQGW8VSEQ</v>
      </c>
      <c r="B2852" t="s">
        <v>10</v>
      </c>
      <c r="C2852" t="s">
        <v>20</v>
      </c>
      <c r="D2852" t="str">
        <f>HYPERLINK("https://us2.cloudbeds.com/connect/10074733072513#/reservations/30664586952939?display=Lynn%20Jorgensen&amp;reservation_id=30664586952939&amp;guest_id=30664586952928", "Lynn Jorgensen")</f>
        <v>Lynn Jorgensen</v>
      </c>
      <c r="E2852" t="s">
        <v>2297</v>
      </c>
      <c r="F2852" t="s">
        <v>2298</v>
      </c>
      <c r="G2852">
        <v>250.2</v>
      </c>
      <c r="H2852">
        <v>271.95999999999998</v>
      </c>
      <c r="I2852">
        <v>271.97000000000003</v>
      </c>
      <c r="J2852">
        <v>-0.01</v>
      </c>
    </row>
    <row r="2853" spans="1:10" x14ac:dyDescent="0.3">
      <c r="A2853" t="str">
        <f>HYPERLINK("https://us2.cloudbeds.com/connect/10074733072513#/reservations/30667537912044?display=YQJ8M9YDW&amp;reservation_id=30667537912044", "YQJ8M9YDW")</f>
        <v>YQJ8M9YDW</v>
      </c>
      <c r="B2853" t="s">
        <v>10</v>
      </c>
      <c r="C2853" t="s">
        <v>20</v>
      </c>
      <c r="D2853" t="str">
        <f>HYPERLINK("https://us2.cloudbeds.com/connect/10074733072513#/reservations/30667537912044?display=Darin%20Anderson&amp;reservation_id=30667537912044&amp;guest_id=30667537912029", "Darin Anderson")</f>
        <v>Darin Anderson</v>
      </c>
      <c r="E2853" t="s">
        <v>2299</v>
      </c>
      <c r="F2853" t="s">
        <v>2300</v>
      </c>
      <c r="G2853">
        <v>87.21</v>
      </c>
      <c r="H2853">
        <v>94.79</v>
      </c>
      <c r="I2853">
        <v>94.8</v>
      </c>
      <c r="J2853">
        <v>-0.01</v>
      </c>
    </row>
    <row r="2854" spans="1:10" x14ac:dyDescent="0.3">
      <c r="A2854" t="str">
        <f>HYPERLINK("https://us2.cloudbeds.com/connect/10074733072513#/reservations/30668726079675?display=YQK6165EN&amp;reservation_id=30668726079675", "YQK6165EN")</f>
        <v>YQK6165EN</v>
      </c>
      <c r="B2854" t="s">
        <v>10</v>
      </c>
      <c r="C2854" t="s">
        <v>20</v>
      </c>
      <c r="D2854" t="str">
        <f>HYPERLINK("https://us2.cloudbeds.com/connect/10074733072513#/reservations/30668726079675?display=Debra%20Royce&amp;reservation_id=30668726079675&amp;guest_id=30668726079671", "Debra Royce")</f>
        <v>Debra Royce</v>
      </c>
      <c r="E2854" t="s">
        <v>2301</v>
      </c>
      <c r="F2854" t="s">
        <v>2302</v>
      </c>
      <c r="G2854">
        <v>87.21</v>
      </c>
      <c r="H2854">
        <v>94.79</v>
      </c>
      <c r="I2854">
        <v>94.8</v>
      </c>
      <c r="J2854">
        <v>-0.01</v>
      </c>
    </row>
    <row r="2855" spans="1:10" x14ac:dyDescent="0.3">
      <c r="A2855" t="str">
        <f>HYPERLINK("https://us2.cloudbeds.com/connect/10074733072513#/reservations/30667452399778?display=YQJ6G64P6&amp;reservation_id=30667452399778", "YQJ6G64P6")</f>
        <v>YQJ6G64P6</v>
      </c>
      <c r="B2855" t="s">
        <v>10</v>
      </c>
      <c r="C2855" t="s">
        <v>20</v>
      </c>
      <c r="D2855" t="str">
        <f>HYPERLINK("https://us2.cloudbeds.com/connect/10074733072513#/reservations/30667452399778?display=Tracy%20Campbell&amp;reservation_id=30667452399778&amp;guest_id=30667452399774", "Tracy Campbell")</f>
        <v>Tracy Campbell</v>
      </c>
      <c r="E2855" t="s">
        <v>2303</v>
      </c>
      <c r="F2855" t="s">
        <v>2212</v>
      </c>
      <c r="G2855">
        <v>134.1</v>
      </c>
      <c r="H2855">
        <v>145.76</v>
      </c>
      <c r="I2855">
        <v>145.77000000000001</v>
      </c>
      <c r="J2855">
        <v>-0.01</v>
      </c>
    </row>
    <row r="2856" spans="1:10" x14ac:dyDescent="0.3">
      <c r="A2856" t="str">
        <f>HYPERLINK("https://us2.cloudbeds.com/connect/10074733072513#/reservations/30668434661587?display=YQJVJF0TH&amp;reservation_id=30668434661587", "YQJVJF0TH")</f>
        <v>YQJVJF0TH</v>
      </c>
      <c r="B2856" t="s">
        <v>10</v>
      </c>
      <c r="C2856" t="s">
        <v>11</v>
      </c>
      <c r="D2856" t="str">
        <f>HYPERLINK("https://us2.cloudbeds.com/connect/10074733072513#/reservations/30668434661587?display=Susan%20Cable&amp;reservation_id=30668434661587&amp;guest_id=30668434657502", "Susan Cable")</f>
        <v>Susan Cable</v>
      </c>
      <c r="E2856" t="s">
        <v>2304</v>
      </c>
      <c r="F2856" t="s">
        <v>2259</v>
      </c>
      <c r="G2856">
        <v>107.2</v>
      </c>
      <c r="H2856">
        <v>116.52</v>
      </c>
      <c r="I2856">
        <v>116.53</v>
      </c>
      <c r="J2856">
        <v>-0.01</v>
      </c>
    </row>
    <row r="2857" spans="1:10" x14ac:dyDescent="0.3">
      <c r="A2857" t="str">
        <f>HYPERLINK("https://us2.cloudbeds.com/connect/10074733072513#/reservations/30667422056673?display=YQJ5NJQG5&amp;reservation_id=30667422056673", "YQJ5NJQG5")</f>
        <v>YQJ5NJQG5</v>
      </c>
      <c r="B2857" t="s">
        <v>10</v>
      </c>
      <c r="C2857" t="s">
        <v>20</v>
      </c>
      <c r="D2857" t="str">
        <f>HYPERLINK("https://us2.cloudbeds.com/connect/10074733072513#/reservations/30667422056673?display=Michele%20Walsh&amp;reservation_id=30667422056673&amp;guest_id=30667422056668", "Michele Walsh")</f>
        <v>Michele Walsh</v>
      </c>
      <c r="E2857" t="s">
        <v>2305</v>
      </c>
      <c r="F2857" t="s">
        <v>2212</v>
      </c>
      <c r="G2857">
        <v>98.69</v>
      </c>
      <c r="H2857">
        <v>107.27</v>
      </c>
      <c r="I2857">
        <v>107.28</v>
      </c>
      <c r="J2857">
        <v>-0.01</v>
      </c>
    </row>
    <row r="2858" spans="1:10" x14ac:dyDescent="0.3">
      <c r="A2858" t="str">
        <f>HYPERLINK("https://us2.cloudbeds.com/connect/10074733072513#/reservations/30666405023921?display=YQXCZ0C3S&amp;reservation_id=30666405023921", "YQXCZ0C3S")</f>
        <v>YQXCZ0C3S</v>
      </c>
      <c r="B2858" t="s">
        <v>10</v>
      </c>
      <c r="C2858" t="s">
        <v>42</v>
      </c>
      <c r="D2858" t="str">
        <f>HYPERLINK("https://us2.cloudbeds.com/connect/10074733072513#/reservations/30666405023921?display=Carol%20Hamilton&amp;reservation_id=30666405023921&amp;guest_id=30666405023886", "Carol Hamilton")</f>
        <v>Carol Hamilton</v>
      </c>
      <c r="E2858" t="s">
        <v>2306</v>
      </c>
      <c r="F2858" t="s">
        <v>2307</v>
      </c>
      <c r="G2858">
        <v>93.65</v>
      </c>
      <c r="H2858">
        <v>101.79</v>
      </c>
      <c r="I2858">
        <v>101.8</v>
      </c>
      <c r="J2858">
        <v>-0.01</v>
      </c>
    </row>
    <row r="2859" spans="1:10" x14ac:dyDescent="0.3">
      <c r="A2859" t="str">
        <f>HYPERLINK("https://us2.cloudbeds.com/connect/10074733072513#/reservations/30668412453045?display=YQJV0Z1CE&amp;reservation_id=30668412453045", "YQJV0Z1CE")</f>
        <v>YQJV0Z1CE</v>
      </c>
      <c r="B2859" t="s">
        <v>10</v>
      </c>
      <c r="C2859" t="s">
        <v>14</v>
      </c>
      <c r="D2859" t="str">
        <f>HYPERLINK("https://us2.cloudbeds.com/connect/10074733072513#/reservations/30668412453045?display=Amanda%20Goblish&amp;reservation_id=30668412453045&amp;guest_id=30668412452993", "Amanda Goblish")</f>
        <v>Amanda Goblish</v>
      </c>
      <c r="E2859" t="s">
        <v>2309</v>
      </c>
      <c r="F2859" t="s">
        <v>2295</v>
      </c>
      <c r="G2859">
        <v>127.2</v>
      </c>
      <c r="H2859">
        <v>138.26</v>
      </c>
      <c r="I2859">
        <v>138.27000000000001</v>
      </c>
      <c r="J2859">
        <v>-0.01</v>
      </c>
    </row>
    <row r="2860" spans="1:10" x14ac:dyDescent="0.3">
      <c r="A2860" t="str">
        <f>HYPERLINK("https://us2.cloudbeds.com/connect/10074733072513#/reservations/30666436722906?display=YQXDHZEF5&amp;reservation_id=30666436722906", "YQXDHZEF5")</f>
        <v>YQXDHZEF5</v>
      </c>
      <c r="B2860" t="s">
        <v>10</v>
      </c>
      <c r="C2860" t="s">
        <v>11</v>
      </c>
      <c r="D2860" t="str">
        <f>HYPERLINK("https://us2.cloudbeds.com/connect/10074733072513#/reservations/30666436722906?display=Melanie%20Smart&amp;reservation_id=30666436722906&amp;guest_id=30666430128258", "Melanie Smart")</f>
        <v>Melanie Smart</v>
      </c>
      <c r="E2860" t="s">
        <v>2310</v>
      </c>
      <c r="F2860" t="s">
        <v>2312</v>
      </c>
      <c r="G2860">
        <v>143.19999999999999</v>
      </c>
      <c r="H2860">
        <v>155.65</v>
      </c>
      <c r="I2860">
        <v>155.66</v>
      </c>
      <c r="J2860">
        <v>-0.01</v>
      </c>
    </row>
    <row r="2861" spans="1:10" x14ac:dyDescent="0.3">
      <c r="A2861" t="str">
        <f>HYPERLINK("https://us2.cloudbeds.com/connect/10074733072513#/reservations/30667691966674?display=YQJCK6EZ3&amp;reservation_id=30667691966674", "YQJCK6EZ3")</f>
        <v>YQJCK6EZ3</v>
      </c>
      <c r="B2861" t="s">
        <v>10</v>
      </c>
      <c r="C2861" t="s">
        <v>20</v>
      </c>
      <c r="D2861" t="str">
        <f>HYPERLINK("https://us2.cloudbeds.com/connect/10074733072513#/reservations/30667691966674?display=Lucy%20Nesbitt&amp;reservation_id=30667691966674&amp;guest_id=30667691966661", "Lucy Nesbitt")</f>
        <v>Lucy Nesbitt</v>
      </c>
      <c r="E2861" t="s">
        <v>2313</v>
      </c>
      <c r="F2861" t="s">
        <v>2314</v>
      </c>
      <c r="G2861">
        <v>250.2</v>
      </c>
      <c r="H2861">
        <v>271.95999999999998</v>
      </c>
      <c r="I2861">
        <v>271.97000000000003</v>
      </c>
      <c r="J2861">
        <v>-0.01</v>
      </c>
    </row>
    <row r="2862" spans="1:10" x14ac:dyDescent="0.3">
      <c r="A2862" t="str">
        <f>HYPERLINK("https://us2.cloudbeds.com/connect/10074733072513#/reservations/30668958859492?display=YQKBWFK0X&amp;reservation_id=30668958859492", "YQKBWFK0X")</f>
        <v>YQKBWFK0X</v>
      </c>
      <c r="B2862" t="s">
        <v>10</v>
      </c>
      <c r="C2862" t="s">
        <v>11</v>
      </c>
      <c r="D2862" t="str">
        <f>HYPERLINK("https://us2.cloudbeds.com/connect/10074733072513#/reservations/30668958859492?display=Alexandra%20Berg&amp;reservation_id=30668958859492&amp;guest_id=30668958859490", "Alexandra Berg")</f>
        <v>Alexandra Berg</v>
      </c>
      <c r="E2862" t="s">
        <v>2315</v>
      </c>
      <c r="F2862" t="s">
        <v>2316</v>
      </c>
      <c r="G2862">
        <v>273.60000000000002</v>
      </c>
      <c r="H2862">
        <v>297.39</v>
      </c>
      <c r="I2862">
        <v>297.39999999999998</v>
      </c>
      <c r="J2862">
        <v>-0.01</v>
      </c>
    </row>
    <row r="2863" spans="1:10" x14ac:dyDescent="0.3">
      <c r="A2863" t="str">
        <f>HYPERLINK("https://us2.cloudbeds.com/connect/10074733072513#/reservations/30668195479752?display=YQJPFPEH5&amp;reservation_id=30668195479752", "YQJPFPEH5")</f>
        <v>YQJPFPEH5</v>
      </c>
      <c r="B2863" t="s">
        <v>10</v>
      </c>
      <c r="C2863" t="s">
        <v>20</v>
      </c>
      <c r="D2863" t="str">
        <f>HYPERLINK("https://us2.cloudbeds.com/connect/10074733072513#/reservations/30668195479752?display=Jessica%20Frieze&amp;reservation_id=30668195479752&amp;guest_id=30668195479750", "Jessica Frieze")</f>
        <v>Jessica Frieze</v>
      </c>
      <c r="E2863" t="s">
        <v>2317</v>
      </c>
      <c r="F2863" t="s">
        <v>2318</v>
      </c>
      <c r="G2863">
        <v>87.21</v>
      </c>
      <c r="H2863">
        <v>94.79</v>
      </c>
      <c r="I2863">
        <v>94.8</v>
      </c>
      <c r="J2863">
        <v>-0.01</v>
      </c>
    </row>
    <row r="2864" spans="1:10" x14ac:dyDescent="0.3">
      <c r="A2864" t="str">
        <f>HYPERLINK("https://us2.cloudbeds.com/connect/10074733072513#/reservations/30669088125128?display=YQKF9FK81&amp;reservation_id=30669088125128", "YQKF9FK81")</f>
        <v>YQKF9FK81</v>
      </c>
      <c r="B2864" t="s">
        <v>10</v>
      </c>
      <c r="C2864" t="s">
        <v>20</v>
      </c>
      <c r="D2864" t="str">
        <f>HYPERLINK("https://us2.cloudbeds.com/connect/10074733072513#/reservations/30669088125128?display=Brandon%20White&amp;reservation_id=30669088125128&amp;guest_id=30669088125126", "Brandon White")</f>
        <v>Brandon White</v>
      </c>
      <c r="E2864" t="s">
        <v>2319</v>
      </c>
      <c r="F2864" t="s">
        <v>2320</v>
      </c>
      <c r="G2864">
        <v>267.3</v>
      </c>
      <c r="H2864">
        <v>290.55</v>
      </c>
      <c r="I2864">
        <v>290.56</v>
      </c>
      <c r="J2864">
        <v>-0.01</v>
      </c>
    </row>
    <row r="2865" spans="1:10" x14ac:dyDescent="0.3">
      <c r="A2865" t="str">
        <f>HYPERLINK("https://us2.cloudbeds.com/connect/10074733072513#/reservations/30667193712799?display=YQXWT1QAR&amp;reservation_id=30667193712799", "YQXWT1QAR")</f>
        <v>YQXWT1QAR</v>
      </c>
      <c r="B2865" t="s">
        <v>10</v>
      </c>
      <c r="C2865" t="s">
        <v>11</v>
      </c>
      <c r="D2865" t="str">
        <f>HYPERLINK("https://us2.cloudbeds.com/connect/10074733072513#/reservations/30667193712799?display=Gary%20Tillotson&amp;reservation_id=30667193712799&amp;guest_id=30667193712794", "Gary Tillotson")</f>
        <v>Gary Tillotson</v>
      </c>
      <c r="E2865" t="s">
        <v>2321</v>
      </c>
      <c r="F2865" t="s">
        <v>2316</v>
      </c>
      <c r="G2865">
        <v>84.13</v>
      </c>
      <c r="H2865">
        <v>91.44</v>
      </c>
      <c r="I2865">
        <v>91.45</v>
      </c>
      <c r="J2865">
        <v>-0.01</v>
      </c>
    </row>
    <row r="2866" spans="1:10" x14ac:dyDescent="0.3">
      <c r="A2866" t="str">
        <f>HYPERLINK("https://us2.cloudbeds.com/connect/10074733072513#/reservations/30664711835842?display=YQH2F8U45&amp;reservation_id=30664711835842", "YQH2F8U45")</f>
        <v>YQH2F8U45</v>
      </c>
      <c r="B2866" t="s">
        <v>10</v>
      </c>
      <c r="C2866" t="s">
        <v>11</v>
      </c>
      <c r="D2866" t="str">
        <f>HYPERLINK("https://us2.cloudbeds.com/connect/10074733072513#/reservations/30664711835842?display=Lisa%20Bjerga&amp;reservation_id=30664711835842&amp;guest_id=30664705831067", "Lisa Bjerga")</f>
        <v>Lisa Bjerga</v>
      </c>
      <c r="E2866" t="s">
        <v>2322</v>
      </c>
      <c r="F2866" t="s">
        <v>2323</v>
      </c>
      <c r="G2866">
        <v>262.39999999999998</v>
      </c>
      <c r="H2866">
        <v>285.22000000000003</v>
      </c>
      <c r="I2866">
        <v>285.23</v>
      </c>
      <c r="J2866">
        <v>-0.01</v>
      </c>
    </row>
    <row r="2867" spans="1:10" x14ac:dyDescent="0.3">
      <c r="A2867" t="str">
        <f>HYPERLINK("https://us2.cloudbeds.com/connect/10074733072513#/reservations/30667202678929?display=YQJ03K9MZ&amp;reservation_id=30667202678929", "YQJ03K9MZ")</f>
        <v>YQJ03K9MZ</v>
      </c>
      <c r="B2867" t="s">
        <v>10</v>
      </c>
      <c r="C2867" t="s">
        <v>20</v>
      </c>
      <c r="D2867" t="str">
        <f>HYPERLINK("https://us2.cloudbeds.com/connect/10074733072513#/reservations/30667202678929?display=Tammy%20Kingdollar&amp;reservation_id=30667202678929&amp;guest_id=30667202678926", "Tammy Kingdollar")</f>
        <v>Tammy Kingdollar</v>
      </c>
      <c r="E2867" t="s">
        <v>2324</v>
      </c>
      <c r="F2867" t="s">
        <v>2316</v>
      </c>
      <c r="G2867">
        <v>87.21</v>
      </c>
      <c r="H2867">
        <v>94.79</v>
      </c>
      <c r="I2867">
        <v>94.8</v>
      </c>
      <c r="J2867">
        <v>-0.01</v>
      </c>
    </row>
    <row r="2868" spans="1:10" x14ac:dyDescent="0.3">
      <c r="A2868" t="str">
        <f>HYPERLINK("https://us2.cloudbeds.com/connect/10074733072513#/reservations/30667184959684?display=YQXWYM7XU&amp;reservation_id=30667184959684", "YQXWYM7XU")</f>
        <v>YQXWYM7XU</v>
      </c>
      <c r="B2868" t="s">
        <v>10</v>
      </c>
      <c r="C2868" t="s">
        <v>11</v>
      </c>
      <c r="D2868" t="str">
        <f>HYPERLINK("https://us2.cloudbeds.com/connect/10074733072513#/reservations/30667184959684?display=Kittie%20Masters&amp;reservation_id=30667184959684&amp;guest_id=30667184955647", "Kittie Masters")</f>
        <v>Kittie Masters</v>
      </c>
      <c r="E2868" t="s">
        <v>2325</v>
      </c>
      <c r="F2868" t="s">
        <v>2316</v>
      </c>
      <c r="G2868">
        <v>72.959999999999994</v>
      </c>
      <c r="H2868">
        <v>79.3</v>
      </c>
      <c r="I2868">
        <v>79.31</v>
      </c>
      <c r="J2868">
        <v>-0.01</v>
      </c>
    </row>
    <row r="2869" spans="1:10" x14ac:dyDescent="0.3">
      <c r="A2869" t="str">
        <f>HYPERLINK("https://us2.cloudbeds.com/connect/10074733072513#/reservations/30668946038923?display=YQKBYYS7F&amp;reservation_id=30668946038923", "YQKBYYS7F")</f>
        <v>YQKBYYS7F</v>
      </c>
      <c r="B2869" t="s">
        <v>10</v>
      </c>
      <c r="C2869" t="s">
        <v>20</v>
      </c>
      <c r="D2869" t="str">
        <f>HYPERLINK("https://us2.cloudbeds.com/connect/10074733072513#/reservations/30668946038923?display=Darin%20Anderson&amp;reservation_id=30668946038923&amp;guest_id=30668946038921", "Darin Anderson")</f>
        <v>Darin Anderson</v>
      </c>
      <c r="E2869" t="s">
        <v>2326</v>
      </c>
      <c r="F2869" t="s">
        <v>2316</v>
      </c>
      <c r="G2869">
        <v>87.21</v>
      </c>
      <c r="H2869">
        <v>94.79</v>
      </c>
      <c r="I2869">
        <v>94.8</v>
      </c>
      <c r="J2869">
        <v>-0.01</v>
      </c>
    </row>
    <row r="2870" spans="1:10" x14ac:dyDescent="0.3">
      <c r="A2870" t="str">
        <f>HYPERLINK("https://us2.cloudbeds.com/connect/10074733072513#/reservations/30668325904520?display=YQJSQZN4S&amp;reservation_id=30668325904520", "YQJSQZN4S")</f>
        <v>YQJSQZN4S</v>
      </c>
      <c r="B2870" t="s">
        <v>10</v>
      </c>
      <c r="C2870" t="s">
        <v>11</v>
      </c>
      <c r="D2870" t="str">
        <f>HYPERLINK("https://us2.cloudbeds.com/connect/10074733072513#/reservations/30668325904520?display=Jasmine%20H%20Phan&amp;reservation_id=30668325904520&amp;guest_id=30668325904515", "Jasmine H Phan")</f>
        <v>Jasmine H Phan</v>
      </c>
      <c r="E2870" t="s">
        <v>2327</v>
      </c>
      <c r="F2870" t="s">
        <v>2314</v>
      </c>
      <c r="G2870">
        <v>108.16</v>
      </c>
      <c r="H2870">
        <v>117.56</v>
      </c>
      <c r="I2870">
        <v>117.57</v>
      </c>
      <c r="J2870">
        <v>-0.01</v>
      </c>
    </row>
    <row r="2871" spans="1:10" x14ac:dyDescent="0.3">
      <c r="A2871" t="str">
        <f>HYPERLINK("https://us2.cloudbeds.com/connect/10074733072513#/reservations/30667689160930?display=YQJCHRC9X&amp;reservation_id=30667689160930", "YQJCHRC9X")</f>
        <v>YQJCHRC9X</v>
      </c>
      <c r="B2871" t="s">
        <v>10</v>
      </c>
      <c r="C2871" t="s">
        <v>42</v>
      </c>
      <c r="D2871" t="str">
        <f>HYPERLINK("https://us2.cloudbeds.com/connect/10074733072513#/reservations/30667689160930?display=Karry%20White&amp;reservation_id=30667689160930&amp;guest_id=30667646283936", "Karry White")</f>
        <v>Karry White</v>
      </c>
      <c r="E2871" t="s">
        <v>2328</v>
      </c>
      <c r="F2871" t="s">
        <v>2314</v>
      </c>
      <c r="G2871">
        <v>118.15</v>
      </c>
      <c r="H2871">
        <v>128.41999999999999</v>
      </c>
      <c r="I2871">
        <v>128.43</v>
      </c>
      <c r="J2871">
        <v>-0.01</v>
      </c>
    </row>
    <row r="2872" spans="1:10" x14ac:dyDescent="0.3">
      <c r="A2872" t="str">
        <f>HYPERLINK("https://us2.cloudbeds.com/connect/10074733072513#/reservations/30666895999162?display=YQXP90FZF&amp;reservation_id=30666895999162", "YQXP90FZF")</f>
        <v>YQXP90FZF</v>
      </c>
      <c r="B2872" t="s">
        <v>10</v>
      </c>
      <c r="C2872" t="s">
        <v>20</v>
      </c>
      <c r="D2872" t="str">
        <f>HYPERLINK("https://us2.cloudbeds.com/connect/10074733072513#/reservations/30666895999162?display=Melissa%20Bedard&amp;reservation_id=30666895999162&amp;guest_id=30666895999159", "Melissa Bedard")</f>
        <v>Melissa Bedard</v>
      </c>
      <c r="E2872" t="s">
        <v>2329</v>
      </c>
      <c r="F2872" t="s">
        <v>2268</v>
      </c>
      <c r="G2872">
        <v>87.21</v>
      </c>
      <c r="H2872">
        <v>94.79</v>
      </c>
      <c r="I2872">
        <v>94.8</v>
      </c>
      <c r="J2872">
        <v>-0.01</v>
      </c>
    </row>
    <row r="2873" spans="1:10" x14ac:dyDescent="0.3">
      <c r="A2873" t="str">
        <f>HYPERLINK("https://us2.cloudbeds.com/connect/10074733072513#/reservations/30666699669677?display=YQXK8FAX4&amp;reservation_id=30666699669677", "YQXK8FAX4")</f>
        <v>YQXK8FAX4</v>
      </c>
      <c r="B2873" t="s">
        <v>10</v>
      </c>
      <c r="C2873" t="s">
        <v>11</v>
      </c>
      <c r="D2873" t="str">
        <f>HYPERLINK("https://us2.cloudbeds.com/connect/10074733072513#/reservations/30666699669677?display=Jaime%20Lopez&amp;reservation_id=30666699669677&amp;guest_id=30666691543288", "Jaime Lopez")</f>
        <v>Jaime Lopez</v>
      </c>
      <c r="E2873" t="s">
        <v>2330</v>
      </c>
      <c r="F2873" t="s">
        <v>2331</v>
      </c>
      <c r="G2873">
        <v>152.32</v>
      </c>
      <c r="H2873">
        <v>165.56</v>
      </c>
      <c r="I2873">
        <v>165.57</v>
      </c>
      <c r="J2873">
        <v>-0.01</v>
      </c>
    </row>
    <row r="2874" spans="1:10" x14ac:dyDescent="0.3">
      <c r="A2874" t="str">
        <f>HYPERLINK("https://us2.cloudbeds.com/connect/10074733072513#/reservations/30669184549003?display=YQKHZPZZY&amp;reservation_id=30669184549003", "YQKHZPZZY")</f>
        <v>YQKHZPZZY</v>
      </c>
      <c r="B2874" t="s">
        <v>10</v>
      </c>
      <c r="C2874" t="s">
        <v>14</v>
      </c>
      <c r="D2874" t="str">
        <f>HYPERLINK("https://us2.cloudbeds.com/connect/10074733072513#/reservations/30669184549003?display=Nicole%20Koehlmoos&amp;reservation_id=30669184549003&amp;guest_id=30669184544911", "Nicole Koehlmoos")</f>
        <v>Nicole Koehlmoos</v>
      </c>
      <c r="E2874" t="s">
        <v>2332</v>
      </c>
      <c r="F2874" t="s">
        <v>2333</v>
      </c>
      <c r="G2874">
        <v>405.6</v>
      </c>
      <c r="H2874">
        <v>440.88</v>
      </c>
      <c r="I2874">
        <v>440.89</v>
      </c>
      <c r="J2874">
        <v>-0.01</v>
      </c>
    </row>
    <row r="2875" spans="1:10" x14ac:dyDescent="0.3">
      <c r="A2875" t="str">
        <f>HYPERLINK("https://us2.cloudbeds.com/connect/10074733072513#/reservations/30668735672485?display=YQK69938U&amp;reservation_id=30668735672485", "YQK69938U")</f>
        <v>YQK69938U</v>
      </c>
      <c r="B2875" t="s">
        <v>10</v>
      </c>
      <c r="C2875" t="s">
        <v>20</v>
      </c>
      <c r="D2875" t="str">
        <f>HYPERLINK("https://us2.cloudbeds.com/connect/10074733072513#/reservations/30668735672485?display=Joann%20Martin&amp;reservation_id=30668735672485&amp;guest_id=30668728860876", "Joann Martin")</f>
        <v>Joann Martin</v>
      </c>
      <c r="E2875" t="s">
        <v>2334</v>
      </c>
      <c r="F2875" t="s">
        <v>2268</v>
      </c>
      <c r="G2875">
        <v>189.72</v>
      </c>
      <c r="H2875">
        <v>206.22</v>
      </c>
      <c r="I2875">
        <v>206.23</v>
      </c>
      <c r="J2875">
        <v>-0.01</v>
      </c>
    </row>
    <row r="2876" spans="1:10" x14ac:dyDescent="0.3">
      <c r="A2876" t="str">
        <f>HYPERLINK("https://us2.cloudbeds.com/connect/10074733072513#/reservations/30668577480916?display=YQK27T640&amp;reservation_id=30668577480916", "YQK27T640")</f>
        <v>YQK27T640</v>
      </c>
      <c r="B2876" t="s">
        <v>10</v>
      </c>
      <c r="C2876" t="s">
        <v>23</v>
      </c>
      <c r="D2876" t="str">
        <f>HYPERLINK("https://us2.cloudbeds.com/connect/10074733072513#/reservations/30668577480916?display=Connie%20Sperling&amp;reservation_id=30668577480916&amp;guest_id=30668577480914", "Connie Sperling")</f>
        <v>Connie Sperling</v>
      </c>
      <c r="E2876" t="s">
        <v>2335</v>
      </c>
      <c r="F2876" t="s">
        <v>2336</v>
      </c>
      <c r="G2876">
        <v>384.3</v>
      </c>
      <c r="H2876">
        <v>417.72</v>
      </c>
      <c r="I2876">
        <v>417.73</v>
      </c>
      <c r="J2876">
        <v>-0.01</v>
      </c>
    </row>
    <row r="2877" spans="1:10" x14ac:dyDescent="0.3">
      <c r="A2877" t="str">
        <f>HYPERLINK("https://us2.cloudbeds.com/connect/10074733072513#/reservations/30667961360630?display=YQJJGBZ3A&amp;reservation_id=30667961360630", "YQJJGBZ3A")</f>
        <v>YQJJGBZ3A</v>
      </c>
      <c r="B2877" t="s">
        <v>10</v>
      </c>
      <c r="C2877" t="s">
        <v>11</v>
      </c>
      <c r="D2877" t="str">
        <f>HYPERLINK("https://us2.cloudbeds.com/connect/10074733072513#/reservations/30667961360630?display=Tom%20Keisling&amp;reservation_id=30667961360630&amp;guest_id=30667961360577", "Tom Keisling")</f>
        <v>Tom Keisling</v>
      </c>
      <c r="E2877" t="s">
        <v>2341</v>
      </c>
      <c r="F2877" t="s">
        <v>2302</v>
      </c>
      <c r="G2877">
        <v>72.959999999999994</v>
      </c>
      <c r="H2877">
        <v>79.3</v>
      </c>
      <c r="I2877">
        <v>79.31</v>
      </c>
      <c r="J2877">
        <v>-0.01</v>
      </c>
    </row>
    <row r="2878" spans="1:10" x14ac:dyDescent="0.3">
      <c r="A2878" t="str">
        <f>HYPERLINK("https://us2.cloudbeds.com/connect/10074733072513#/reservations/30670933803251?display=YQYTEQAR4&amp;reservation_id=30670933803251", "YQYTEQAR4")</f>
        <v>YQYTEQAR4</v>
      </c>
      <c r="B2878" t="s">
        <v>10</v>
      </c>
      <c r="C2878" t="s">
        <v>11</v>
      </c>
      <c r="D2878" t="str">
        <f>HYPERLINK("https://us2.cloudbeds.com/connect/10074733072513#/reservations/30670933803251?display=Jeanne%20Duncan&amp;reservation_id=30670933803251&amp;guest_id=30670933803249", "Jeanne Duncan")</f>
        <v>Jeanne Duncan</v>
      </c>
      <c r="E2878" t="s">
        <v>2342</v>
      </c>
      <c r="F2878" t="s">
        <v>2343</v>
      </c>
      <c r="G2878">
        <v>76.16</v>
      </c>
      <c r="H2878">
        <v>82.78</v>
      </c>
      <c r="I2878">
        <v>82.79</v>
      </c>
      <c r="J2878">
        <v>-0.01</v>
      </c>
    </row>
    <row r="2879" spans="1:10" x14ac:dyDescent="0.3">
      <c r="A2879" t="str">
        <f>HYPERLINK("https://us2.cloudbeds.com/connect/10074733072513#/reservations/30670930743514?display=YQYTC764R&amp;reservation_id=30670930743514", "YQYTC764R")</f>
        <v>YQYTC764R</v>
      </c>
      <c r="B2879" t="s">
        <v>10</v>
      </c>
      <c r="C2879" t="s">
        <v>11</v>
      </c>
      <c r="D2879" t="str">
        <f>HYPERLINK("https://us2.cloudbeds.com/connect/10074733072513#/reservations/30670930743514?display=Mark%20S%20Lammert&amp;reservation_id=30670930743514&amp;guest_id=30670930739420", "Mark S Lammert")</f>
        <v>Mark S Lammert</v>
      </c>
      <c r="E2879" t="s">
        <v>2342</v>
      </c>
      <c r="F2879" t="s">
        <v>2343</v>
      </c>
      <c r="G2879">
        <v>76.16</v>
      </c>
      <c r="H2879">
        <v>82.78</v>
      </c>
      <c r="I2879">
        <v>82.79</v>
      </c>
      <c r="J2879">
        <v>-0.01</v>
      </c>
    </row>
    <row r="2880" spans="1:10" x14ac:dyDescent="0.3">
      <c r="A2880" t="str">
        <f>HYPERLINK("https://us2.cloudbeds.com/connect/10074733072513#/reservations/30668640071897?display=YQK3RYSPD&amp;reservation_id=30668640071897", "YQK3RYSPD")</f>
        <v>YQK3RYSPD</v>
      </c>
      <c r="B2880" t="s">
        <v>10</v>
      </c>
      <c r="C2880" t="s">
        <v>14</v>
      </c>
      <c r="D2880" t="str">
        <f>HYPERLINK("https://us2.cloudbeds.com/connect/10074733072513#/reservations/30668640071897?display=Michael%20Rimar&amp;reservation_id=30668640071897&amp;guest_id=30668640071895", "Michael Rimar")</f>
        <v>Michael Rimar</v>
      </c>
      <c r="E2880" t="s">
        <v>1319</v>
      </c>
      <c r="F2880" t="s">
        <v>2331</v>
      </c>
      <c r="G2880">
        <v>152.32</v>
      </c>
      <c r="H2880">
        <v>165.56</v>
      </c>
      <c r="I2880">
        <v>165.57</v>
      </c>
      <c r="J2880">
        <v>-0.01</v>
      </c>
    </row>
    <row r="2881" spans="1:10" x14ac:dyDescent="0.3">
      <c r="A2881" t="str">
        <f>HYPERLINK("https://us2.cloudbeds.com/connect/10074733072513#/reservations/30669082767561?display=YQKF4VHHH&amp;reservation_id=30669082767561", "YQKF4VHHH")</f>
        <v>YQKF4VHHH</v>
      </c>
      <c r="B2881" t="s">
        <v>10</v>
      </c>
      <c r="C2881" t="s">
        <v>20</v>
      </c>
      <c r="D2881" t="str">
        <f>HYPERLINK("https://us2.cloudbeds.com/connect/10074733072513#/reservations/30669082767561?display=Abbie%20Stotesbery&amp;reservation_id=30669082767561&amp;guest_id=30669082767559", "Abbie Stotesbery")</f>
        <v>Abbie Stotesbery</v>
      </c>
      <c r="E2881" t="s">
        <v>2344</v>
      </c>
      <c r="F2881" t="s">
        <v>2345</v>
      </c>
      <c r="G2881">
        <v>134.1</v>
      </c>
      <c r="H2881">
        <v>145.76</v>
      </c>
      <c r="I2881">
        <v>145.77000000000001</v>
      </c>
      <c r="J2881">
        <v>-0.01</v>
      </c>
    </row>
    <row r="2882" spans="1:10" x14ac:dyDescent="0.3">
      <c r="A2882" t="str">
        <f>HYPERLINK("https://us2.cloudbeds.com/connect/10074733072513#/reservations/30669098033395?display=YQKFHRAZX&amp;reservation_id=30669098033395", "YQKFHRAZX")</f>
        <v>YQKFHRAZX</v>
      </c>
      <c r="B2882" t="s">
        <v>10</v>
      </c>
      <c r="C2882" t="s">
        <v>11</v>
      </c>
      <c r="D2882" t="str">
        <f>HYPERLINK("https://us2.cloudbeds.com/connect/10074733072513#/reservations/30669098033395?display=Jordan%20Carman&amp;reservation_id=30669098033395&amp;guest_id=30669091348635", "Jordan Carman")</f>
        <v>Jordan Carman</v>
      </c>
      <c r="E2882" t="s">
        <v>2346</v>
      </c>
      <c r="F2882" t="s">
        <v>2345</v>
      </c>
      <c r="G2882">
        <v>76.16</v>
      </c>
      <c r="H2882">
        <v>82.78</v>
      </c>
      <c r="I2882">
        <v>82.79</v>
      </c>
      <c r="J2882">
        <v>-0.01</v>
      </c>
    </row>
    <row r="2883" spans="1:10" x14ac:dyDescent="0.3">
      <c r="A2883" t="str">
        <f>HYPERLINK("https://us2.cloudbeds.com/connect/10074733072513#/reservations/30669091344535?display=YQKFC66HR&amp;reservation_id=30669091344535", "YQKFC66HR")</f>
        <v>YQKFC66HR</v>
      </c>
      <c r="B2883" t="s">
        <v>10</v>
      </c>
      <c r="C2883" t="s">
        <v>20</v>
      </c>
      <c r="D2883" t="str">
        <f>HYPERLINK("https://us2.cloudbeds.com/connect/10074733072513#/reservations/30669091344535?display=James%20Bird&amp;reservation_id=30669091344535&amp;guest_id=30669082771653", "James Bird")</f>
        <v>James Bird</v>
      </c>
      <c r="E2883" t="s">
        <v>2347</v>
      </c>
      <c r="F2883" t="s">
        <v>2345</v>
      </c>
      <c r="G2883">
        <v>98.69</v>
      </c>
      <c r="H2883">
        <v>107.27</v>
      </c>
      <c r="I2883">
        <v>107.28</v>
      </c>
      <c r="J2883">
        <v>-0.01</v>
      </c>
    </row>
    <row r="2884" spans="1:10" x14ac:dyDescent="0.3">
      <c r="A2884" t="str">
        <f>HYPERLINK("https://us2.cloudbeds.com/connect/10074733072513#/reservations/30668745019590?display=YQK6H56FH&amp;reservation_id=30668745019590", "YQK6H56FH")</f>
        <v>YQK6H56FH</v>
      </c>
      <c r="B2884" t="s">
        <v>10</v>
      </c>
      <c r="C2884" t="s">
        <v>42</v>
      </c>
      <c r="D2884" t="str">
        <f>HYPERLINK("https://us2.cloudbeds.com/connect/10074733072513#/reservations/30668745019590?display=Dennis%20Brinkman&amp;reservation_id=30668745019590&amp;guest_id=30657938403469", "Dennis Brinkman")</f>
        <v>Dennis Brinkman</v>
      </c>
      <c r="E2884" t="s">
        <v>2349</v>
      </c>
      <c r="F2884" t="s">
        <v>2350</v>
      </c>
      <c r="G2884">
        <v>387.3</v>
      </c>
      <c r="H2884">
        <v>420.99</v>
      </c>
      <c r="I2884">
        <v>421</v>
      </c>
      <c r="J2884">
        <v>-0.01</v>
      </c>
    </row>
    <row r="2885" spans="1:10" x14ac:dyDescent="0.3">
      <c r="A2885" t="str">
        <f>HYPERLINK("https://us2.cloudbeds.com/connect/10074733072513#/reservations/30667593838745?display=YQJA3ETEG&amp;reservation_id=30667593838745", "YQJA3ETEG")</f>
        <v>YQJA3ETEG</v>
      </c>
      <c r="B2885" t="s">
        <v>10</v>
      </c>
      <c r="C2885" t="s">
        <v>42</v>
      </c>
      <c r="D2885" t="str">
        <f>HYPERLINK("https://us2.cloudbeds.com/connect/10074733072513#/reservations/30667593838745?display=Kim%20Grabau&amp;reservation_id=30667593838745&amp;guest_id=30667593838743", "Kim Grabau")</f>
        <v>Kim Grabau</v>
      </c>
      <c r="E2885" t="s">
        <v>2351</v>
      </c>
      <c r="F2885" t="s">
        <v>2272</v>
      </c>
      <c r="G2885">
        <v>304.2</v>
      </c>
      <c r="H2885">
        <v>330.66</v>
      </c>
      <c r="I2885">
        <v>330.67</v>
      </c>
      <c r="J2885">
        <v>-0.01</v>
      </c>
    </row>
    <row r="2886" spans="1:10" x14ac:dyDescent="0.3">
      <c r="A2886" t="str">
        <f>HYPERLINK("https://us2.cloudbeds.com/connect/10074733072513#/reservations/30666705522900?display=YQXKDD6DH&amp;reservation_id=30666705522900", "YQXKDD6DH")</f>
        <v>YQXKDD6DH</v>
      </c>
      <c r="B2886" t="s">
        <v>10</v>
      </c>
      <c r="C2886" t="s">
        <v>11</v>
      </c>
      <c r="D2886" t="str">
        <f>HYPERLINK("https://us2.cloudbeds.com/connect/10074733072513#/reservations/30666705522900?display=Lisa%20M%20Keeran&amp;reservation_id=30666705522900&amp;guest_id=30666705522897", "Lisa M Keeran")</f>
        <v>Lisa M Keeran</v>
      </c>
      <c r="E2886" t="s">
        <v>2352</v>
      </c>
      <c r="F2886" t="s">
        <v>2331</v>
      </c>
      <c r="G2886">
        <v>103.2</v>
      </c>
      <c r="H2886">
        <v>112.17</v>
      </c>
      <c r="I2886">
        <v>112.18</v>
      </c>
      <c r="J2886">
        <v>-0.01</v>
      </c>
    </row>
    <row r="2887" spans="1:10" x14ac:dyDescent="0.3">
      <c r="A2887" t="str">
        <f>HYPERLINK("https://us2.cloudbeds.com/connect/10074733072513#/reservations/30668856389887?display=YQK9C27T0&amp;reservation_id=30668856389887", "YQK9C27T0")</f>
        <v>YQK9C27T0</v>
      </c>
      <c r="B2887" t="s">
        <v>10</v>
      </c>
      <c r="C2887" t="s">
        <v>11</v>
      </c>
      <c r="D2887" t="str">
        <f>HYPERLINK("https://us2.cloudbeds.com/connect/10074733072513#/reservations/30668856389887?display=Joseph%20Leander&amp;reservation_id=30668856389887&amp;guest_id=30668856389883", "Joseph Leander")</f>
        <v>Joseph Leander</v>
      </c>
      <c r="E2887" t="s">
        <v>2353</v>
      </c>
      <c r="F2887" t="s">
        <v>2354</v>
      </c>
      <c r="G2887">
        <v>285.60000000000002</v>
      </c>
      <c r="H2887">
        <v>310.44</v>
      </c>
      <c r="I2887">
        <v>310.45</v>
      </c>
      <c r="J2887">
        <v>-0.01</v>
      </c>
    </row>
    <row r="2888" spans="1:10" x14ac:dyDescent="0.3">
      <c r="A2888" t="str">
        <f>HYPERLINK("https://us2.cloudbeds.com/connect/10074733072513#/reservations/30670400041119?display=YQYFQNK42&amp;reservation_id=30670400041119", "YQYFQNK42")</f>
        <v>YQYFQNK42</v>
      </c>
      <c r="B2888" t="s">
        <v>10</v>
      </c>
      <c r="C2888" t="s">
        <v>17</v>
      </c>
      <c r="D2888" t="str">
        <f>HYPERLINK("https://us2.cloudbeds.com/connect/10074733072513#/reservations/30670400041119?display=Austin%20Sechser&amp;reservation_id=30670400041119&amp;guest_id=30670400041116", "Austin Sechser")</f>
        <v>Austin Sechser</v>
      </c>
      <c r="E2888" t="s">
        <v>2356</v>
      </c>
      <c r="F2888" t="s">
        <v>2357</v>
      </c>
      <c r="G2888">
        <v>134.1</v>
      </c>
      <c r="H2888">
        <v>145.76</v>
      </c>
      <c r="I2888">
        <v>145.77000000000001</v>
      </c>
      <c r="J2888">
        <v>-0.01</v>
      </c>
    </row>
    <row r="2889" spans="1:10" x14ac:dyDescent="0.3">
      <c r="A2889" t="str">
        <f>HYPERLINK("https://us2.cloudbeds.com/connect/10074733072513#/reservations/30669854228617?display=YQY1SFXT9&amp;reservation_id=30669854228617", "YQY1SFXT9")</f>
        <v>YQY1SFXT9</v>
      </c>
      <c r="B2889" t="s">
        <v>10</v>
      </c>
      <c r="C2889" t="s">
        <v>11</v>
      </c>
      <c r="D2889" t="str">
        <f>HYPERLINK("https://us2.cloudbeds.com/connect/10074733072513#/reservations/30669854228617?display=Amy%20Williams&amp;reservation_id=30669854228617&amp;guest_id=30669854228612", "Amy Williams")</f>
        <v>Amy Williams</v>
      </c>
      <c r="E2889" t="s">
        <v>2358</v>
      </c>
      <c r="F2889" t="s">
        <v>2359</v>
      </c>
      <c r="G2889">
        <v>489.8</v>
      </c>
      <c r="H2889">
        <v>532.4</v>
      </c>
      <c r="I2889">
        <v>532.41</v>
      </c>
      <c r="J2889">
        <v>-0.01</v>
      </c>
    </row>
    <row r="2890" spans="1:10" x14ac:dyDescent="0.3">
      <c r="A2890" t="str">
        <f>HYPERLINK("https://us2.cloudbeds.com/connect/10074733072513#/reservations/30669582594186?display=YQKRUDV4T&amp;reservation_id=30669582594186", "YQKRUDV4T")</f>
        <v>YQKRUDV4T</v>
      </c>
      <c r="B2890" t="s">
        <v>10</v>
      </c>
      <c r="C2890" t="s">
        <v>11</v>
      </c>
      <c r="D2890" t="str">
        <f>HYPERLINK("https://us2.cloudbeds.com/connect/10074733072513#/reservations/30669582594186?display=Robyn%20Thompson&amp;reservation_id=30669582594186&amp;guest_id=30659499810959", "Robyn Thompson")</f>
        <v>Robyn Thompson</v>
      </c>
      <c r="E2890" t="s">
        <v>2360</v>
      </c>
      <c r="F2890" t="s">
        <v>2361</v>
      </c>
      <c r="G2890">
        <v>272.86</v>
      </c>
      <c r="H2890">
        <v>296.58999999999997</v>
      </c>
      <c r="I2890">
        <v>296.60000000000002</v>
      </c>
      <c r="J2890">
        <v>-0.01</v>
      </c>
    </row>
    <row r="2891" spans="1:10" x14ac:dyDescent="0.3">
      <c r="A2891" t="str">
        <f>HYPERLINK("https://us2.cloudbeds.com/connect/10074733072513#/reservations/30670745837801?display=YQYZY9U3D&amp;reservation_id=30670745837801", "YQYZY9U3D")</f>
        <v>YQYZY9U3D</v>
      </c>
      <c r="B2891" t="s">
        <v>10</v>
      </c>
      <c r="C2891" t="s">
        <v>20</v>
      </c>
      <c r="D2891" t="str">
        <f>HYPERLINK("https://us2.cloudbeds.com/connect/10074733072513#/reservations/30670745837801?display=Dan%20Lueth&amp;reservation_id=30670745837801&amp;guest_id=30670738190475", "Dan Lueth")</f>
        <v>Dan Lueth</v>
      </c>
      <c r="E2891" t="s">
        <v>2362</v>
      </c>
      <c r="F2891" t="s">
        <v>2363</v>
      </c>
      <c r="G2891">
        <v>304.2</v>
      </c>
      <c r="H2891">
        <v>330.66</v>
      </c>
      <c r="I2891">
        <v>330.67</v>
      </c>
      <c r="J2891">
        <v>-0.01</v>
      </c>
    </row>
    <row r="2892" spans="1:10" x14ac:dyDescent="0.3">
      <c r="A2892" t="str">
        <f>HYPERLINK("https://us2.cloudbeds.com/connect/10074733072513#/reservations/30668492816630?display=YQK02G94J&amp;reservation_id=30668492816630", "YQK02G94J")</f>
        <v>YQK02G94J</v>
      </c>
      <c r="B2892" t="s">
        <v>10</v>
      </c>
      <c r="C2892" t="s">
        <v>42</v>
      </c>
      <c r="D2892" t="str">
        <f>HYPERLINK("https://us2.cloudbeds.com/connect/10074733072513#/reservations/30668492816630?display=Ryan%20Baker&amp;reservation_id=30668492816630&amp;guest_id=30668492816628", "Ryan Baker")</f>
        <v>Ryan Baker</v>
      </c>
      <c r="E2892" t="s">
        <v>2365</v>
      </c>
      <c r="F2892" t="s">
        <v>2333</v>
      </c>
      <c r="G2892">
        <v>304.2</v>
      </c>
      <c r="H2892">
        <v>330.66</v>
      </c>
      <c r="I2892">
        <v>330.67</v>
      </c>
      <c r="J2892">
        <v>-0.01</v>
      </c>
    </row>
    <row r="2893" spans="1:10" x14ac:dyDescent="0.3">
      <c r="A2893" t="str">
        <f>HYPERLINK("https://us2.cloudbeds.com/connect/10074733072513#/reservations/30668868559024?display=YQK9MASFZ&amp;reservation_id=30668868559024", "YQK9MASFZ")</f>
        <v>YQK9MASFZ</v>
      </c>
      <c r="B2893" t="s">
        <v>10</v>
      </c>
      <c r="C2893" t="s">
        <v>42</v>
      </c>
      <c r="D2893" t="str">
        <f>HYPERLINK("https://us2.cloudbeds.com/connect/10074733072513#/reservations/30668868559024?display=Melody%20Sand&amp;reservation_id=30668868559024&amp;guest_id=30650826465523", "Melody Sand")</f>
        <v>Melody Sand</v>
      </c>
      <c r="E2893" t="s">
        <v>616</v>
      </c>
      <c r="F2893" t="s">
        <v>2366</v>
      </c>
      <c r="G2893">
        <v>460.8</v>
      </c>
      <c r="H2893">
        <v>500.88</v>
      </c>
      <c r="I2893">
        <v>500.89</v>
      </c>
      <c r="J2893">
        <v>-0.01</v>
      </c>
    </row>
    <row r="2894" spans="1:10" x14ac:dyDescent="0.3">
      <c r="A2894" t="str">
        <f>HYPERLINK("https://us2.cloudbeds.com/connect/10074733072513#/reservations/30670620340360?display=YQYYEFP3Y&amp;reservation_id=30670620340360", "YQYYEFP3Y")</f>
        <v>YQYYEFP3Y</v>
      </c>
      <c r="B2894" t="s">
        <v>10</v>
      </c>
      <c r="C2894" t="s">
        <v>42</v>
      </c>
      <c r="D2894" t="str">
        <f>HYPERLINK("https://us2.cloudbeds.com/connect/10074733072513#/reservations/30670620340360?display=Bethany%20Hempel&amp;reservation_id=30670620340360&amp;guest_id=30670620336279", "Bethany Hempel")</f>
        <v>Bethany Hempel</v>
      </c>
      <c r="E2894" t="s">
        <v>2367</v>
      </c>
      <c r="F2894" t="s">
        <v>2050</v>
      </c>
      <c r="G2894">
        <v>230.2</v>
      </c>
      <c r="H2894">
        <v>250.22</v>
      </c>
      <c r="I2894">
        <v>250.23</v>
      </c>
      <c r="J2894">
        <v>-0.01</v>
      </c>
    </row>
    <row r="2895" spans="1:10" x14ac:dyDescent="0.3">
      <c r="A2895" t="str">
        <f>HYPERLINK("https://us2.cloudbeds.com/connect/10074733072513#/reservations/30670025822345?display=YQY685DT7&amp;reservation_id=30670025822345", "YQY685DT7")</f>
        <v>YQY685DT7</v>
      </c>
      <c r="B2895" t="s">
        <v>10</v>
      </c>
      <c r="C2895" t="s">
        <v>42</v>
      </c>
      <c r="D2895" t="str">
        <f>HYPERLINK("https://us2.cloudbeds.com/connect/10074733072513#/reservations/30670025822345?display=Dana%20Mcclaflin&amp;reservation_id=30670025822345&amp;guest_id=30670025818302", "Dana Mcclaflin")</f>
        <v>Dana Mcclaflin</v>
      </c>
      <c r="E2895" t="s">
        <v>2368</v>
      </c>
      <c r="F2895" t="s">
        <v>2292</v>
      </c>
      <c r="G2895">
        <v>608.4</v>
      </c>
      <c r="H2895">
        <v>661.32</v>
      </c>
      <c r="I2895">
        <v>661.33</v>
      </c>
      <c r="J2895">
        <v>-0.01</v>
      </c>
    </row>
    <row r="2896" spans="1:10" x14ac:dyDescent="0.3">
      <c r="A2896" t="str">
        <f>HYPERLINK("https://us2.cloudbeds.com/connect/10074733072513#/reservations/30668779860218?display=YQK7DHMN4&amp;reservation_id=30668779860218", "YQK7DHMN4")</f>
        <v>YQK7DHMN4</v>
      </c>
      <c r="B2896" t="s">
        <v>10</v>
      </c>
      <c r="C2896" t="s">
        <v>14</v>
      </c>
      <c r="D2896" t="str">
        <f>HYPERLINK("https://us2.cloudbeds.com/connect/10074733072513#/reservations/30668779860218?display=John%20Rogers&amp;reservation_id=30668779860218&amp;guest_id=30668779860213", "John Rogers")</f>
        <v>John Rogers</v>
      </c>
      <c r="E2896" t="s">
        <v>2369</v>
      </c>
      <c r="F2896" t="s">
        <v>2295</v>
      </c>
      <c r="G2896">
        <v>152.15</v>
      </c>
      <c r="H2896">
        <v>165.38</v>
      </c>
      <c r="I2896">
        <v>165.39</v>
      </c>
      <c r="J2896">
        <v>-0.01</v>
      </c>
    </row>
    <row r="2897" spans="1:10" x14ac:dyDescent="0.3">
      <c r="A2897" t="str">
        <f>HYPERLINK("https://us2.cloudbeds.com/connect/10074733072513#/reservations/30668761862290?display=YQK6VBSMC&amp;reservation_id=30668761862290", "YQK6VBSMC")</f>
        <v>YQK6VBSMC</v>
      </c>
      <c r="B2897" t="s">
        <v>10</v>
      </c>
      <c r="C2897" t="s">
        <v>17</v>
      </c>
      <c r="D2897" t="str">
        <f>HYPERLINK("https://us2.cloudbeds.com/connect/10074733072513#/reservations/30668761862290?display=Jacob%20Engler&amp;reservation_id=30668761862290&amp;guest_id=30668761862285", "Jacob Engler")</f>
        <v>Jacob Engler</v>
      </c>
      <c r="E2897" t="s">
        <v>2371</v>
      </c>
      <c r="F2897" t="s">
        <v>2350</v>
      </c>
      <c r="G2897">
        <v>259.2</v>
      </c>
      <c r="H2897">
        <v>281.74</v>
      </c>
      <c r="I2897">
        <v>281.75</v>
      </c>
      <c r="J2897">
        <v>-0.01</v>
      </c>
    </row>
    <row r="2898" spans="1:10" x14ac:dyDescent="0.3">
      <c r="A2898" t="str">
        <f>HYPERLINK("https://us2.cloudbeds.com/connect/10074733072513#/reservations/30670605275329?display=YQYY1PX9X&amp;reservation_id=30670605275329", "YQYY1PX9X")</f>
        <v>YQYY1PX9X</v>
      </c>
      <c r="B2898" t="s">
        <v>10</v>
      </c>
      <c r="C2898" t="s">
        <v>42</v>
      </c>
      <c r="D2898" t="str">
        <f>HYPERLINK("https://us2.cloudbeds.com/connect/10074733072513#/reservations/30670605275329?display=Joyana%20Pilquist&amp;reservation_id=30670605275329&amp;guest_id=30670596554976", "Joyana Pilquist")</f>
        <v>Joyana Pilquist</v>
      </c>
      <c r="E2898" t="s">
        <v>2372</v>
      </c>
      <c r="F2898" t="s">
        <v>2050</v>
      </c>
      <c r="G2898">
        <v>250.2</v>
      </c>
      <c r="H2898">
        <v>271.95999999999998</v>
      </c>
      <c r="I2898">
        <v>271.97000000000003</v>
      </c>
      <c r="J2898">
        <v>-0.01</v>
      </c>
    </row>
    <row r="2899" spans="1:10" x14ac:dyDescent="0.3">
      <c r="A2899" t="str">
        <f>HYPERLINK("https://us2.cloudbeds.com/connect/10074733072513#/reservations/30679252865156?display=YQSB0YG44&amp;reservation_id=30679252865156", "YQSB0YG44")</f>
        <v>YQSB0YG44</v>
      </c>
      <c r="B2899" t="s">
        <v>10</v>
      </c>
      <c r="C2899" t="s">
        <v>42</v>
      </c>
      <c r="D2899" t="str">
        <f>HYPERLINK("https://us2.cloudbeds.com/connect/10074733072513#/reservations/30679252865156?display=Irene%20Hahler&amp;reservation_id=30679252865156&amp;guest_id=30679245115562", "Irene Hahler")</f>
        <v>Irene Hahler</v>
      </c>
      <c r="E2899" t="s">
        <v>2373</v>
      </c>
      <c r="F2899" t="s">
        <v>2374</v>
      </c>
      <c r="G2899">
        <v>464.2</v>
      </c>
      <c r="H2899">
        <v>504.58</v>
      </c>
      <c r="I2899">
        <v>504.59</v>
      </c>
      <c r="J2899">
        <v>-0.01</v>
      </c>
    </row>
    <row r="2900" spans="1:10" x14ac:dyDescent="0.3">
      <c r="A2900" t="str">
        <f>HYPERLINK("https://us2.cloudbeds.com/connect/10074733072513#/reservations/30667492438169?display=YQJ7GV8VP&amp;reservation_id=30667492438169", "YQJ7GV8VP")</f>
        <v>YQJ7GV8VP</v>
      </c>
      <c r="B2900" t="s">
        <v>10</v>
      </c>
      <c r="C2900" t="s">
        <v>42</v>
      </c>
      <c r="D2900" t="str">
        <f>HYPERLINK("https://us2.cloudbeds.com/connect/10074733072513#/reservations/30667492438169?display=Doug%20Russo&amp;reservation_id=30667492438169&amp;guest_id=30667482550412", "Doug Russo")</f>
        <v>Doug Russo</v>
      </c>
      <c r="E2900" t="s">
        <v>2375</v>
      </c>
      <c r="F2900" t="s">
        <v>2272</v>
      </c>
      <c r="G2900">
        <v>129.6</v>
      </c>
      <c r="H2900">
        <v>140.87</v>
      </c>
      <c r="I2900">
        <v>140.88</v>
      </c>
      <c r="J2900">
        <v>-0.01</v>
      </c>
    </row>
    <row r="2901" spans="1:10" x14ac:dyDescent="0.3">
      <c r="A2901" t="str">
        <f>HYPERLINK("https://us2.cloudbeds.com/connect/10074733072513#/reservations/30670640251042?display=YQYYV8QXY&amp;reservation_id=30670640251042", "YQYYV8QXY")</f>
        <v>YQYYV8QXY</v>
      </c>
      <c r="B2901" t="s">
        <v>10</v>
      </c>
      <c r="C2901" t="s">
        <v>42</v>
      </c>
      <c r="D2901" t="str">
        <f>HYPERLINK("https://us2.cloudbeds.com/connect/10074733072513#/reservations/30670640251042?display=Melene%20Rupp&amp;reservation_id=30670640251042&amp;guest_id=30670640251031", "Melene Rupp")</f>
        <v>Melene Rupp</v>
      </c>
      <c r="E2901" t="s">
        <v>2377</v>
      </c>
      <c r="F2901" t="s">
        <v>2050</v>
      </c>
      <c r="G2901">
        <v>230.2</v>
      </c>
      <c r="H2901">
        <v>250.22</v>
      </c>
      <c r="I2901">
        <v>250.23</v>
      </c>
      <c r="J2901">
        <v>-0.01</v>
      </c>
    </row>
    <row r="2902" spans="1:10" x14ac:dyDescent="0.3">
      <c r="A2902" t="str">
        <f>HYPERLINK("https://us2.cloudbeds.com/connect/10074733072513#/reservations/30670635401351?display=YQYYR5S7A&amp;reservation_id=30670635401351", "YQYYR5S7A")</f>
        <v>YQYYR5S7A</v>
      </c>
      <c r="B2902" t="s">
        <v>10</v>
      </c>
      <c r="C2902" t="s">
        <v>42</v>
      </c>
      <c r="D2902" t="str">
        <f>HYPERLINK("https://us2.cloudbeds.com/connect/10074733072513#/reservations/30670635401351?display=Melene%20Rupp&amp;reservation_id=30670635401351&amp;guest_id=30670628122864", "Melene Rupp")</f>
        <v>Melene Rupp</v>
      </c>
      <c r="E2902" t="s">
        <v>2049</v>
      </c>
      <c r="F2902" t="s">
        <v>2050</v>
      </c>
      <c r="G2902">
        <v>230.2</v>
      </c>
      <c r="H2902">
        <v>250.22</v>
      </c>
      <c r="I2902">
        <v>250.23</v>
      </c>
      <c r="J2902">
        <v>-0.01</v>
      </c>
    </row>
    <row r="2903" spans="1:10" x14ac:dyDescent="0.3">
      <c r="A2903" t="str">
        <f>HYPERLINK("https://us2.cloudbeds.com/connect/10074733072513#/reservations/30670615519483?display=YQYYADK7F&amp;reservation_id=30670615519483", "YQYYADK7F")</f>
        <v>YQYYADK7F</v>
      </c>
      <c r="B2903" t="s">
        <v>10</v>
      </c>
      <c r="C2903" t="s">
        <v>42</v>
      </c>
      <c r="D2903" t="str">
        <f>HYPERLINK("https://us2.cloudbeds.com/connect/10074733072513#/reservations/30670615519483?display=Linda%20Vandenover&amp;reservation_id=30670615519483&amp;guest_id=30670615519477", "Linda Vandenover")</f>
        <v>Linda Vandenover</v>
      </c>
      <c r="E2903" t="s">
        <v>2378</v>
      </c>
      <c r="F2903" t="s">
        <v>2050</v>
      </c>
      <c r="G2903">
        <v>230.2</v>
      </c>
      <c r="H2903">
        <v>250.22</v>
      </c>
      <c r="I2903">
        <v>250.23</v>
      </c>
      <c r="J2903">
        <v>-0.01</v>
      </c>
    </row>
    <row r="2904" spans="1:10" x14ac:dyDescent="0.3">
      <c r="A2904" t="str">
        <f>HYPERLINK("https://us2.cloudbeds.com/connect/10074733072513#/reservations/30669606359265?display=YQKSHF7WQ&amp;reservation_id=30669606359265", "YQKSHF7WQ")</f>
        <v>YQKSHF7WQ</v>
      </c>
      <c r="B2904" t="s">
        <v>10</v>
      </c>
      <c r="C2904" t="s">
        <v>20</v>
      </c>
      <c r="D2904" t="str">
        <f>HYPERLINK("https://us2.cloudbeds.com/connect/10074733072513#/reservations/30669606359265?display=Catherine%20Nelson&amp;reservation_id=30669606359265&amp;guest_id=30669606359262", "Catherine Nelson")</f>
        <v>Catherine Nelson</v>
      </c>
      <c r="E2904" t="s">
        <v>2379</v>
      </c>
      <c r="F2904" t="s">
        <v>2361</v>
      </c>
      <c r="G2904">
        <v>110.3</v>
      </c>
      <c r="H2904">
        <v>119.89</v>
      </c>
      <c r="I2904">
        <v>119.9</v>
      </c>
      <c r="J2904">
        <v>-0.01</v>
      </c>
    </row>
    <row r="2905" spans="1:10" x14ac:dyDescent="0.3">
      <c r="A2905" t="str">
        <f>HYPERLINK("https://us2.cloudbeds.com/connect/10074733072513#/reservations/30668898820243?display=YQKAERUXC&amp;reservation_id=30668898820243", "YQKAERUXC")</f>
        <v>YQKAERUXC</v>
      </c>
      <c r="B2905" t="s">
        <v>10</v>
      </c>
      <c r="C2905" t="s">
        <v>42</v>
      </c>
      <c r="D2905" t="str">
        <f>HYPERLINK("https://us2.cloudbeds.com/connect/10074733072513#/reservations/30668898820243?display=Larry%20&amp;amp;%20Renee%20Trautman&amp;reservation_id=30668898820243&amp;guest_id=30655613747426", "Larry &amp;amp; Renee Trautman")</f>
        <v>Larry &amp;amp; Renee Trautman</v>
      </c>
      <c r="E2905" t="s">
        <v>2380</v>
      </c>
      <c r="F2905" t="s">
        <v>2381</v>
      </c>
      <c r="G2905">
        <v>285.60000000000002</v>
      </c>
      <c r="H2905">
        <v>310.44</v>
      </c>
      <c r="I2905">
        <v>310.45</v>
      </c>
      <c r="J2905">
        <v>-0.01</v>
      </c>
    </row>
    <row r="2906" spans="1:10" x14ac:dyDescent="0.3">
      <c r="A2906" t="str">
        <f>HYPERLINK("https://us2.cloudbeds.com/connect/10074733072513#/reservations/30668331483358?display=YQJSVEV1X&amp;reservation_id=30668331483358", "YQJSVEV1X")</f>
        <v>YQJSVEV1X</v>
      </c>
      <c r="B2906" t="s">
        <v>10</v>
      </c>
      <c r="C2906" t="s">
        <v>20</v>
      </c>
      <c r="D2906" t="str">
        <f>HYPERLINK("https://us2.cloudbeds.com/connect/10074733072513#/reservations/30668331483358?display=Katherine%20Paisley&amp;reservation_id=30668331483358&amp;guest_id=30668325904518", "Katherine Paisley")</f>
        <v>Katherine Paisley</v>
      </c>
      <c r="E2906" t="s">
        <v>2382</v>
      </c>
      <c r="F2906" t="s">
        <v>2383</v>
      </c>
      <c r="G2906">
        <v>112.24</v>
      </c>
      <c r="H2906">
        <v>121.99</v>
      </c>
      <c r="I2906">
        <v>122</v>
      </c>
      <c r="J2906">
        <v>-0.01</v>
      </c>
    </row>
    <row r="2907" spans="1:10" x14ac:dyDescent="0.3">
      <c r="A2907" t="str">
        <f>HYPERLINK("https://us2.cloudbeds.com/connect/10074733072513#/reservations/30668714524804?display=YQK5ZEKU3&amp;reservation_id=30668714524804", "YQK5ZEKU3")</f>
        <v>YQK5ZEKU3</v>
      </c>
      <c r="B2907" t="s">
        <v>10</v>
      </c>
      <c r="C2907" t="s">
        <v>20</v>
      </c>
      <c r="D2907" t="str">
        <f>HYPERLINK("https://us2.cloudbeds.com/connect/10074733072513#/reservations/30668714524804?display=Jacob%20Perry&amp;reservation_id=30668714524804&amp;guest_id=30668714520720", "Jacob Perry")</f>
        <v>Jacob Perry</v>
      </c>
      <c r="E2907" t="s">
        <v>2384</v>
      </c>
      <c r="F2907" t="s">
        <v>2385</v>
      </c>
      <c r="G2907">
        <v>112.24</v>
      </c>
      <c r="H2907">
        <v>121.99</v>
      </c>
      <c r="I2907">
        <v>122</v>
      </c>
      <c r="J2907">
        <v>-0.01</v>
      </c>
    </row>
    <row r="2908" spans="1:10" x14ac:dyDescent="0.3">
      <c r="A2908" t="str">
        <f>HYPERLINK("https://us2.cloudbeds.com/connect/10074733072513#/reservations/30668241334416?display=YQJQYEDYE&amp;reservation_id=30668241334416", "YQJQYEDYE")</f>
        <v>YQJQYEDYE</v>
      </c>
      <c r="B2908" t="s">
        <v>10</v>
      </c>
      <c r="C2908" t="s">
        <v>20</v>
      </c>
      <c r="D2908" t="str">
        <f>HYPERLINK("https://us2.cloudbeds.com/connect/10074733072513#/reservations/30668241334416?display=Hannah%20Roehrick&amp;reservation_id=30668241334416&amp;guest_id=30668241330324", "Hannah Roehrick")</f>
        <v>Hannah Roehrick</v>
      </c>
      <c r="E2908" t="s">
        <v>2387</v>
      </c>
      <c r="F2908" t="s">
        <v>2383</v>
      </c>
      <c r="G2908">
        <v>110.3</v>
      </c>
      <c r="H2908">
        <v>119.89</v>
      </c>
      <c r="I2908">
        <v>119.9</v>
      </c>
      <c r="J2908">
        <v>-0.01</v>
      </c>
    </row>
    <row r="2909" spans="1:10" x14ac:dyDescent="0.3">
      <c r="A2909" t="str">
        <f>HYPERLINK("https://us2.cloudbeds.com/connect/10074733072513#/reservations/30669651362026?display=YQKTMDGRR&amp;reservation_id=30669651362026", "YQKTMDGRR")</f>
        <v>YQKTMDGRR</v>
      </c>
      <c r="B2909" t="s">
        <v>10</v>
      </c>
      <c r="C2909" t="s">
        <v>42</v>
      </c>
      <c r="D2909" t="str">
        <f>HYPERLINK("https://us2.cloudbeds.com/connect/10074733072513#/reservations/30669651362026?display=Kelly%20Heinz&amp;reservation_id=30669651362026&amp;guest_id=30669646754037", "Kelly Heinz")</f>
        <v>Kelly Heinz</v>
      </c>
      <c r="E2909" t="s">
        <v>2388</v>
      </c>
      <c r="F2909" t="s">
        <v>2338</v>
      </c>
      <c r="G2909">
        <v>134.1</v>
      </c>
      <c r="H2909">
        <v>145.76</v>
      </c>
      <c r="I2909">
        <v>145.77000000000001</v>
      </c>
      <c r="J2909">
        <v>-0.01</v>
      </c>
    </row>
    <row r="2910" spans="1:10" x14ac:dyDescent="0.3">
      <c r="A2910" t="str">
        <f>HYPERLINK("https://us2.cloudbeds.com/connect/10074733072513#/reservations/30669691629781?display=YQKUNC0YR&amp;reservation_id=30669691629781", "YQKUNC0YR")</f>
        <v>YQKUNC0YR</v>
      </c>
      <c r="B2910" t="s">
        <v>10</v>
      </c>
      <c r="C2910" t="s">
        <v>20</v>
      </c>
      <c r="D2910" t="str">
        <f>HYPERLINK("https://us2.cloudbeds.com/connect/10074733072513#/reservations/30669691629781?display=Christie%20Muklebust&amp;reservation_id=30669691629781&amp;guest_id=30669686853828", "Christie Muklebust")</f>
        <v>Christie Muklebust</v>
      </c>
      <c r="E2910" t="s">
        <v>2389</v>
      </c>
      <c r="F2910" t="s">
        <v>2338</v>
      </c>
      <c r="G2910">
        <v>272.94</v>
      </c>
      <c r="H2910">
        <v>296.68</v>
      </c>
      <c r="I2910">
        <v>296.69</v>
      </c>
      <c r="J2910">
        <v>-0.01</v>
      </c>
    </row>
    <row r="2911" spans="1:10" x14ac:dyDescent="0.3">
      <c r="A2911" t="str">
        <f>HYPERLINK("https://us2.cloudbeds.com/connect/10074733072513#/reservations/30670061162709?display=YQY74VR0B&amp;reservation_id=30670061162709", "YQY74VR0B")</f>
        <v>YQY74VR0B</v>
      </c>
      <c r="B2911" t="s">
        <v>10</v>
      </c>
      <c r="C2911" t="s">
        <v>42</v>
      </c>
      <c r="D2911" t="str">
        <f>HYPERLINK("https://us2.cloudbeds.com/connect/10074733072513#/reservations/30670061162709?display=Becky%20Schumacer&amp;reservation_id=30670061162709&amp;guest_id=30670061158608", "Becky Schumacer")</f>
        <v>Becky Schumacer</v>
      </c>
      <c r="E2911" t="s">
        <v>2394</v>
      </c>
      <c r="F2911" t="s">
        <v>2395</v>
      </c>
      <c r="G2911">
        <v>129.6</v>
      </c>
      <c r="H2911">
        <v>140.87</v>
      </c>
      <c r="I2911">
        <v>140.88</v>
      </c>
      <c r="J2911">
        <v>-0.01</v>
      </c>
    </row>
    <row r="2912" spans="1:10" x14ac:dyDescent="0.3">
      <c r="A2912" t="str">
        <f>HYPERLINK("https://us2.cloudbeds.com/connect/10074733072513#/reservations/30670749704337?display=YQYZZXGY5&amp;reservation_id=30670749704337", "YQYZZXGY5")</f>
        <v>YQYZZXGY5</v>
      </c>
      <c r="B2912" t="s">
        <v>10</v>
      </c>
      <c r="C2912" t="s">
        <v>42</v>
      </c>
      <c r="D2912" t="str">
        <f>HYPERLINK("https://us2.cloudbeds.com/connect/10074733072513#/reservations/30670749704337?display=Linda%20Prosise&amp;reservation_id=30670749704337&amp;guest_id=30670749700238", "Linda Prosise")</f>
        <v>Linda Prosise</v>
      </c>
      <c r="E2912" t="s">
        <v>2397</v>
      </c>
      <c r="F2912" t="s">
        <v>2363</v>
      </c>
      <c r="G2912">
        <v>500.4</v>
      </c>
      <c r="H2912">
        <v>543.91999999999996</v>
      </c>
      <c r="I2912">
        <v>543.92999999999995</v>
      </c>
      <c r="J2912">
        <v>-0.01</v>
      </c>
    </row>
    <row r="2913" spans="1:10" x14ac:dyDescent="0.3">
      <c r="A2913" t="str">
        <f>HYPERLINK("https://us2.cloudbeds.com/connect/10074733072513#/reservations/30669493629138?display=YQKPYDBTB&amp;reservation_id=30669493629138", "YQKPYDBTB")</f>
        <v>YQKPYDBTB</v>
      </c>
      <c r="B2913" t="s">
        <v>10</v>
      </c>
      <c r="C2913" t="s">
        <v>42</v>
      </c>
      <c r="D2913" t="str">
        <f>HYPERLINK("https://us2.cloudbeds.com/connect/10074733072513#/reservations/30669493629138?display=Lane%20Peterson&amp;reservation_id=30669493629138&amp;guest_id=30669493625055", "Lane Peterson")</f>
        <v>Lane Peterson</v>
      </c>
      <c r="E2913" t="s">
        <v>2402</v>
      </c>
      <c r="F2913" t="s">
        <v>2403</v>
      </c>
      <c r="G2913">
        <v>338</v>
      </c>
      <c r="H2913">
        <v>367.4</v>
      </c>
      <c r="I2913">
        <v>367.41</v>
      </c>
      <c r="J2913">
        <v>-0.01</v>
      </c>
    </row>
    <row r="2914" spans="1:10" x14ac:dyDescent="0.3">
      <c r="A2914" t="str">
        <f>HYPERLINK("https://us2.cloudbeds.com/connect/10074733072513#/reservations/30671313764503?display=YQM656A7E&amp;reservation_id=30671313764503", "YQM656A7E")</f>
        <v>YQM656A7E</v>
      </c>
      <c r="B2914" t="s">
        <v>10</v>
      </c>
      <c r="C2914" t="s">
        <v>14</v>
      </c>
      <c r="D2914" t="str">
        <f>HYPERLINK("https://us2.cloudbeds.com/connect/10074733072513#/reservations/30671313764503?display=Jennifer%20Einwalter&amp;reservation_id=30671313764503&amp;guest_id=30671313760411", "Jennifer Einwalter")</f>
        <v>Jennifer Einwalter</v>
      </c>
      <c r="E2914" t="s">
        <v>2404</v>
      </c>
      <c r="F2914" t="s">
        <v>2405</v>
      </c>
      <c r="G2914">
        <v>118.15</v>
      </c>
      <c r="H2914">
        <v>128.41999999999999</v>
      </c>
      <c r="I2914">
        <v>128.43</v>
      </c>
      <c r="J2914">
        <v>-0.01</v>
      </c>
    </row>
    <row r="2915" spans="1:10" x14ac:dyDescent="0.3">
      <c r="A2915" t="str">
        <f>HYPERLINK("https://us2.cloudbeds.com/connect/10074733072513#/reservations/30669225803948?display=YQKXQXZ2G&amp;reservation_id=30669225803948", "YQKXQXZ2G")</f>
        <v>YQKXQXZ2G</v>
      </c>
      <c r="B2915" t="s">
        <v>10</v>
      </c>
      <c r="C2915" t="s">
        <v>20</v>
      </c>
      <c r="D2915" t="str">
        <f>HYPERLINK("https://us2.cloudbeds.com/connect/10074733072513#/reservations/30669225803948?display=Kelly%20Mccurdy&amp;reservation_id=30669225803948&amp;guest_id=30669225803944", "Kelly Mccurdy")</f>
        <v>Kelly Mccurdy</v>
      </c>
      <c r="E2915" t="s">
        <v>2407</v>
      </c>
      <c r="F2915" t="s">
        <v>2393</v>
      </c>
      <c r="G2915">
        <v>112.24</v>
      </c>
      <c r="H2915">
        <v>121.99</v>
      </c>
      <c r="I2915">
        <v>122</v>
      </c>
      <c r="J2915">
        <v>-0.01</v>
      </c>
    </row>
    <row r="2916" spans="1:10" x14ac:dyDescent="0.3">
      <c r="A2916" t="str">
        <f>HYPERLINK("https://us2.cloudbeds.com/connect/10074733072513#/reservations/30669482152097?display=YQKPBNWR7&amp;reservation_id=30669482152097", "YQKPBNWR7")</f>
        <v>YQKPBNWR7</v>
      </c>
      <c r="B2916" t="s">
        <v>10</v>
      </c>
      <c r="C2916" t="s">
        <v>42</v>
      </c>
      <c r="D2916" t="str">
        <f>HYPERLINK("https://us2.cloudbeds.com/connect/10074733072513#/reservations/30669482152097?display=Joe%20Greblo&amp;reservation_id=30669482152097&amp;guest_id=30669474468040", "Joe Greblo")</f>
        <v>Joe Greblo</v>
      </c>
      <c r="E2916" t="s">
        <v>2408</v>
      </c>
      <c r="F2916" t="s">
        <v>2403</v>
      </c>
      <c r="G2916">
        <v>250.2</v>
      </c>
      <c r="H2916">
        <v>271.95999999999998</v>
      </c>
      <c r="I2916">
        <v>271.97000000000003</v>
      </c>
      <c r="J2916">
        <v>-0.01</v>
      </c>
    </row>
    <row r="2917" spans="1:10" x14ac:dyDescent="0.3">
      <c r="A2917" t="str">
        <f>HYPERLINK("https://us2.cloudbeds.com/connect/10074733072513#/reservations/30670696571098?display=YQYNCZWQ0&amp;reservation_id=30670696571098", "YQYNCZWQ0")</f>
        <v>YQYNCZWQ0</v>
      </c>
      <c r="B2917" t="s">
        <v>10</v>
      </c>
      <c r="C2917" t="s">
        <v>14</v>
      </c>
      <c r="D2917" t="str">
        <f>HYPERLINK("https://us2.cloudbeds.com/connect/10074733072513#/reservations/30670696571098?display=John%20Torseth&amp;reservation_id=30670696571098&amp;guest_id=30670689796297", "John Torseth")</f>
        <v>John Torseth</v>
      </c>
      <c r="E2917" t="s">
        <v>2409</v>
      </c>
      <c r="F2917" t="s">
        <v>2410</v>
      </c>
      <c r="G2917">
        <v>100.24</v>
      </c>
      <c r="H2917">
        <v>108.95</v>
      </c>
      <c r="I2917">
        <v>108.96</v>
      </c>
      <c r="J2917">
        <v>-0.01</v>
      </c>
    </row>
    <row r="2918" spans="1:10" x14ac:dyDescent="0.3">
      <c r="A2918" t="str">
        <f>HYPERLINK("https://us2.cloudbeds.com/connect/10074733072513#/reservations/30671029117067?display=YQYVT5XWJ&amp;reservation_id=30671029117067", "YQYVT5XWJ")</f>
        <v>YQYVT5XWJ</v>
      </c>
      <c r="B2918" t="s">
        <v>10</v>
      </c>
      <c r="C2918" t="s">
        <v>42</v>
      </c>
      <c r="D2918" t="str">
        <f>HYPERLINK("https://us2.cloudbeds.com/connect/10074733072513#/reservations/30671029117067?display=Nichole%20Mix&amp;reservation_id=30671029117067&amp;guest_id=30671029117062", "Nichole Mix")</f>
        <v>Nichole Mix</v>
      </c>
      <c r="E2918" t="s">
        <v>2412</v>
      </c>
      <c r="F2918" t="s">
        <v>2413</v>
      </c>
      <c r="G2918">
        <v>250.2</v>
      </c>
      <c r="H2918">
        <v>271.95999999999998</v>
      </c>
      <c r="I2918">
        <v>271.97000000000003</v>
      </c>
      <c r="J2918">
        <v>-0.01</v>
      </c>
    </row>
    <row r="2919" spans="1:10" x14ac:dyDescent="0.3">
      <c r="A2919" t="str">
        <f>HYPERLINK("https://us2.cloudbeds.com/connect/10074733072513#/reservations/30670491537653?display=YQYX4SKWA&amp;reservation_id=30670491537653", "YQYX4SKWA")</f>
        <v>YQYX4SKWA</v>
      </c>
      <c r="B2919" t="s">
        <v>10</v>
      </c>
      <c r="C2919" t="s">
        <v>20</v>
      </c>
      <c r="D2919" t="str">
        <f>HYPERLINK("https://us2.cloudbeds.com/connect/10074733072513#/reservations/30670491537653?display=Vasilisa%20Shvachko&amp;reservation_id=30670491537653&amp;guest_id=30670491537649", "Vasilisa Shvachko")</f>
        <v>Vasilisa Shvachko</v>
      </c>
      <c r="E2919" t="s">
        <v>2414</v>
      </c>
      <c r="F2919" t="s">
        <v>2411</v>
      </c>
      <c r="G2919">
        <v>112.24</v>
      </c>
      <c r="H2919">
        <v>121.99</v>
      </c>
      <c r="I2919">
        <v>122</v>
      </c>
      <c r="J2919">
        <v>-0.01</v>
      </c>
    </row>
    <row r="2920" spans="1:10" x14ac:dyDescent="0.3">
      <c r="A2920" t="str">
        <f>HYPERLINK("https://us2.cloudbeds.com/connect/10074733072513#/reservations/30670478901431?display=YQYHR70FG&amp;reservation_id=30670478901431", "YQYHR70FG")</f>
        <v>YQYHR70FG</v>
      </c>
      <c r="B2920" t="s">
        <v>10</v>
      </c>
      <c r="C2920" t="s">
        <v>42</v>
      </c>
      <c r="D2920" t="str">
        <f>HYPERLINK("https://us2.cloudbeds.com/connect/10074733072513#/reservations/30670478901431?display=Zaven%20Khachatourian&amp;reservation_id=30670478901431&amp;guest_id=30670469550283", "Zaven Khachatourian")</f>
        <v>Zaven Khachatourian</v>
      </c>
      <c r="E2920" t="s">
        <v>2415</v>
      </c>
      <c r="F2920" t="s">
        <v>2411</v>
      </c>
      <c r="G2920">
        <v>250.2</v>
      </c>
      <c r="H2920">
        <v>271.95999999999998</v>
      </c>
      <c r="I2920">
        <v>271.97000000000003</v>
      </c>
      <c r="J2920">
        <v>-0.01</v>
      </c>
    </row>
    <row r="2921" spans="1:10" x14ac:dyDescent="0.3">
      <c r="A2921" t="str">
        <f>HYPERLINK("https://us2.cloudbeds.com/connect/10074733072513#/reservations/30668220535011?display=YQJQ3TY3E&amp;reservation_id=30668220535011", "YQJQ3TY3E")</f>
        <v>YQJQ3TY3E</v>
      </c>
      <c r="B2921" t="s">
        <v>10</v>
      </c>
      <c r="C2921" t="s">
        <v>20</v>
      </c>
      <c r="D2921" t="str">
        <f>HYPERLINK("https://us2.cloudbeds.com/connect/10074733072513#/reservations/30668220535011?display=Christopher%20Hickman&amp;reservation_id=30668220535011&amp;guest_id=30668220535007", "Christopher Hickman")</f>
        <v>Christopher Hickman</v>
      </c>
      <c r="E2921" t="s">
        <v>2416</v>
      </c>
      <c r="F2921" t="s">
        <v>2417</v>
      </c>
      <c r="G2921">
        <v>112.24</v>
      </c>
      <c r="H2921">
        <v>121.99</v>
      </c>
      <c r="I2921">
        <v>122</v>
      </c>
      <c r="J2921">
        <v>-0.01</v>
      </c>
    </row>
    <row r="2922" spans="1:10" x14ac:dyDescent="0.3">
      <c r="A2922" t="str">
        <f>HYPERLINK("https://us2.cloudbeds.com/connect/10074733072513#/reservations/30668457418954?display=YQJW5Y9CZ&amp;reservation_id=30668457418954", "YQJW5Y9CZ")</f>
        <v>YQJW5Y9CZ</v>
      </c>
      <c r="B2922" t="s">
        <v>10</v>
      </c>
      <c r="C2922" t="s">
        <v>20</v>
      </c>
      <c r="D2922" t="str">
        <f>HYPERLINK("https://us2.cloudbeds.com/connect/10074733072513#/reservations/30668457418954?display=Sherri%20Thompson&amp;reservation_id=30668457418954&amp;guest_id=30668457418952", "Sherri Thompson")</f>
        <v>Sherri Thompson</v>
      </c>
      <c r="E2922" t="s">
        <v>2418</v>
      </c>
      <c r="F2922" t="s">
        <v>1588</v>
      </c>
      <c r="G2922">
        <v>352.87</v>
      </c>
      <c r="H2922">
        <v>383.56</v>
      </c>
      <c r="I2922">
        <v>383.57</v>
      </c>
      <c r="J2922">
        <v>-0.01</v>
      </c>
    </row>
    <row r="2923" spans="1:10" x14ac:dyDescent="0.3">
      <c r="A2923" t="str">
        <f>HYPERLINK("https://us2.cloudbeds.com/connect/10074733072513#/reservations/30669007917262?display=YQKD7RNFY&amp;reservation_id=30669007917262", "YQKD7RNFY")</f>
        <v>YQKD7RNFY</v>
      </c>
      <c r="B2923" t="s">
        <v>10</v>
      </c>
      <c r="C2923" t="s">
        <v>11</v>
      </c>
      <c r="D2923" t="str">
        <f>HYPERLINK("https://us2.cloudbeds.com/connect/10074733072513#/reservations/30669007917262?display=Eddie%20Zeyon&amp;reservation_id=30669007917262&amp;guest_id=30669007917260", "Eddie Zeyon")</f>
        <v>Eddie Zeyon</v>
      </c>
      <c r="E2923" t="s">
        <v>2421</v>
      </c>
      <c r="F2923" t="s">
        <v>2422</v>
      </c>
      <c r="G2923">
        <v>169.15</v>
      </c>
      <c r="H2923">
        <v>183.86</v>
      </c>
      <c r="I2923">
        <v>183.87</v>
      </c>
      <c r="J2923">
        <v>-0.01</v>
      </c>
    </row>
    <row r="2924" spans="1:10" x14ac:dyDescent="0.3">
      <c r="A2924" t="str">
        <f>HYPERLINK("https://us2.cloudbeds.com/connect/10074733072513#/reservations/30670262382788?display=YQYC9Y23G&amp;reservation_id=30670262382788", "YQYC9Y23G")</f>
        <v>YQYC9Y23G</v>
      </c>
      <c r="B2924" t="s">
        <v>10</v>
      </c>
      <c r="C2924" t="s">
        <v>42</v>
      </c>
      <c r="D2924" t="str">
        <f>HYPERLINK("https://us2.cloudbeds.com/connect/10074733072513#/reservations/30670262382788?display=Keith%20Dempsey&amp;reservation_id=30670262382788&amp;guest_id=30670262382786", "Keith Dempsey")</f>
        <v>Keith Dempsey</v>
      </c>
      <c r="E2924" t="s">
        <v>2423</v>
      </c>
      <c r="F2924" t="s">
        <v>2050</v>
      </c>
      <c r="G2924">
        <v>230.2</v>
      </c>
      <c r="H2924">
        <v>250.22</v>
      </c>
      <c r="I2924">
        <v>250.23</v>
      </c>
      <c r="J2924">
        <v>-0.01</v>
      </c>
    </row>
    <row r="2925" spans="1:10" x14ac:dyDescent="0.3">
      <c r="A2925" t="str">
        <f>HYPERLINK("https://us2.cloudbeds.com/connect/10074733072513#/reservations/30669399130266?display=YQKN7NQ25&amp;reservation_id=30669399130266", "YQKN7NQ25")</f>
        <v>YQKN7NQ25</v>
      </c>
      <c r="B2925" t="s">
        <v>10</v>
      </c>
      <c r="C2925" t="s">
        <v>17</v>
      </c>
      <c r="D2925" t="str">
        <f>HYPERLINK("https://us2.cloudbeds.com/connect/10074733072513#/reservations/30669399130266?display=Stephanie%20Yarbrough&amp;reservation_id=30669399130266&amp;guest_id=30669399126175", "Stephanie Yarbrough")</f>
        <v>Stephanie Yarbrough</v>
      </c>
      <c r="E2925" t="s">
        <v>2426</v>
      </c>
      <c r="F2925" t="s">
        <v>2427</v>
      </c>
      <c r="G2925">
        <v>134.1</v>
      </c>
      <c r="H2925">
        <v>145.76</v>
      </c>
      <c r="I2925">
        <v>145.77000000000001</v>
      </c>
      <c r="J2925">
        <v>-0.01</v>
      </c>
    </row>
    <row r="2926" spans="1:10" x14ac:dyDescent="0.3">
      <c r="A2926" t="str">
        <f>HYPERLINK("https://us2.cloudbeds.com/connect/10074733072513#/reservations/30668017365202?display=YQJKUJ4KX&amp;reservation_id=30668017365202", "YQJKUJ4KX")</f>
        <v>YQJKUJ4KX</v>
      </c>
      <c r="B2926" t="s">
        <v>10</v>
      </c>
      <c r="C2926" t="s">
        <v>20</v>
      </c>
      <c r="D2926" t="str">
        <f>HYPERLINK("https://us2.cloudbeds.com/connect/10074733072513#/reservations/30668017365202?display=Sandra%20Hall&amp;reservation_id=30668017365202&amp;guest_id=30668017365200", "Sandra Hall")</f>
        <v>Sandra Hall</v>
      </c>
      <c r="E2926" t="s">
        <v>2428</v>
      </c>
      <c r="F2926" t="s">
        <v>2429</v>
      </c>
      <c r="G2926">
        <v>110.3</v>
      </c>
      <c r="H2926">
        <v>119.89</v>
      </c>
      <c r="I2926">
        <v>119.9</v>
      </c>
      <c r="J2926">
        <v>-0.01</v>
      </c>
    </row>
    <row r="2927" spans="1:10" x14ac:dyDescent="0.3">
      <c r="A2927" t="str">
        <f>HYPERLINK("https://us2.cloudbeds.com/connect/10074733072513#/reservations/30671351730352?display=YQM746P8Z&amp;reservation_id=30671351730352", "YQM746P8Z")</f>
        <v>YQM746P8Z</v>
      </c>
      <c r="B2927" t="s">
        <v>10</v>
      </c>
      <c r="C2927" t="s">
        <v>14</v>
      </c>
      <c r="D2927" t="str">
        <f>HYPERLINK("https://us2.cloudbeds.com/connect/10074733072513#/reservations/30671351730352?display=Shawn%20Dougherty&amp;reservation_id=30671351730352&amp;guest_id=30671351730350", "Shawn Dougherty")</f>
        <v>Shawn Dougherty</v>
      </c>
      <c r="E2927" t="s">
        <v>2438</v>
      </c>
      <c r="F2927" t="s">
        <v>2357</v>
      </c>
      <c r="G2927">
        <v>143.65</v>
      </c>
      <c r="H2927">
        <v>156.13999999999999</v>
      </c>
      <c r="I2927">
        <v>156.15</v>
      </c>
      <c r="J2927">
        <v>-0.01</v>
      </c>
    </row>
    <row r="2928" spans="1:10" x14ac:dyDescent="0.3">
      <c r="A2928" t="str">
        <f>HYPERLINK("https://us2.cloudbeds.com/connect/10074733072513#/reservations/30671744590036?display=YQMH5FYVY&amp;reservation_id=30671744590036", "YQMH5FYVY")</f>
        <v>YQMH5FYVY</v>
      </c>
      <c r="B2928" t="s">
        <v>10</v>
      </c>
      <c r="C2928" t="s">
        <v>17</v>
      </c>
      <c r="D2928" t="str">
        <f>HYPERLINK("https://us2.cloudbeds.com/connect/10074733072513#/reservations/30671744590036?display=Brenda%20Biljan&amp;reservation_id=30671744590036&amp;guest_id=30671744590021", "Brenda Biljan")</f>
        <v>Brenda Biljan</v>
      </c>
      <c r="E2928" t="s">
        <v>2439</v>
      </c>
      <c r="F2928" t="s">
        <v>2440</v>
      </c>
      <c r="G2928">
        <v>288.2</v>
      </c>
      <c r="H2928">
        <v>313.26</v>
      </c>
      <c r="I2928">
        <v>313.27</v>
      </c>
      <c r="J2928">
        <v>-0.01</v>
      </c>
    </row>
    <row r="2929" spans="1:10" x14ac:dyDescent="0.3">
      <c r="A2929" t="str">
        <f>HYPERLINK("https://us2.cloudbeds.com/connect/10074733072513#/reservations/30668337852604?display=YQJT3R5P0&amp;reservation_id=30668337852604", "YQJT3R5P0")</f>
        <v>YQJT3R5P0</v>
      </c>
      <c r="B2929" t="s">
        <v>10</v>
      </c>
      <c r="C2929" t="s">
        <v>20</v>
      </c>
      <c r="D2929" t="str">
        <f>HYPERLINK("https://us2.cloudbeds.com/connect/10074733072513#/reservations/30668337852604?display=Julie%20Miskowiec&amp;reservation_id=30668337852604&amp;guest_id=30668337852599", "Julie Miskowiec")</f>
        <v>Julie Miskowiec</v>
      </c>
      <c r="E2929" t="s">
        <v>2442</v>
      </c>
      <c r="F2929" t="s">
        <v>2443</v>
      </c>
      <c r="G2929">
        <v>110.3</v>
      </c>
      <c r="H2929">
        <v>119.89</v>
      </c>
      <c r="I2929">
        <v>119.9</v>
      </c>
      <c r="J2929">
        <v>-0.01</v>
      </c>
    </row>
    <row r="2930" spans="1:10" x14ac:dyDescent="0.3">
      <c r="A2930" t="str">
        <f>HYPERLINK("https://us2.cloudbeds.com/connect/10074733072513#/reservations/30671408877787?display=YQM8JCW86&amp;reservation_id=30671408877787", "YQM8JCW86")</f>
        <v>YQM8JCW86</v>
      </c>
      <c r="B2930" t="s">
        <v>10</v>
      </c>
      <c r="C2930" t="s">
        <v>42</v>
      </c>
      <c r="D2930" t="str">
        <f>HYPERLINK("https://us2.cloudbeds.com/connect/10074733072513#/reservations/30671408877787?display=Diane%20Taylor&amp;reservation_id=30671408877787&amp;guest_id=30671397449934", "Diane Taylor")</f>
        <v>Diane Taylor</v>
      </c>
      <c r="E2930" t="s">
        <v>2447</v>
      </c>
      <c r="F2930" t="s">
        <v>2357</v>
      </c>
      <c r="G2930">
        <v>366.3</v>
      </c>
      <c r="H2930">
        <v>398.16</v>
      </c>
      <c r="I2930">
        <v>398.17</v>
      </c>
      <c r="J2930">
        <v>-0.01</v>
      </c>
    </row>
    <row r="2931" spans="1:10" x14ac:dyDescent="0.3">
      <c r="A2931" t="str">
        <f>HYPERLINK("https://us2.cloudbeds.com/connect/10074733072513#/reservations/30670383468682?display=YQYFCZF30&amp;reservation_id=30670383468682", "YQYFCZF30")</f>
        <v>YQYFCZF30</v>
      </c>
      <c r="B2931" t="s">
        <v>10</v>
      </c>
      <c r="C2931" t="s">
        <v>11</v>
      </c>
      <c r="D2931" t="str">
        <f>HYPERLINK("https://us2.cloudbeds.com/connect/10074733072513#/reservations/30670383468682?display=Morgan%20Deis&amp;reservation_id=30670383468682&amp;guest_id=30670383468680", "Morgan Deis")</f>
        <v>Morgan Deis</v>
      </c>
      <c r="E2931" t="s">
        <v>2449</v>
      </c>
      <c r="F2931" t="s">
        <v>2450</v>
      </c>
      <c r="G2931">
        <v>172.96</v>
      </c>
      <c r="H2931">
        <v>188</v>
      </c>
      <c r="I2931">
        <v>188.01</v>
      </c>
      <c r="J2931">
        <v>-0.01</v>
      </c>
    </row>
    <row r="2932" spans="1:10" x14ac:dyDescent="0.3">
      <c r="A2932" t="str">
        <f>HYPERLINK("https://us2.cloudbeds.com/connect/10074733072513#/reservations/30671430684881?display=YQM94PQ47&amp;reservation_id=30671430684881", "YQM94PQ47")</f>
        <v>YQM94PQ47</v>
      </c>
      <c r="B2932" t="s">
        <v>10</v>
      </c>
      <c r="C2932" t="s">
        <v>42</v>
      </c>
      <c r="D2932" t="str">
        <f>HYPERLINK("https://us2.cloudbeds.com/connect/10074733072513#/reservations/30671430684881?display=Matt%20Herman&amp;reservation_id=30671430684881&amp;guest_id=30671430684871", "Matt Herman")</f>
        <v>Matt Herman</v>
      </c>
      <c r="E2932" t="s">
        <v>2451</v>
      </c>
      <c r="F2932" t="s">
        <v>2363</v>
      </c>
      <c r="G2932">
        <v>345.95</v>
      </c>
      <c r="H2932">
        <v>376.04</v>
      </c>
      <c r="I2932">
        <v>376.05</v>
      </c>
      <c r="J2932">
        <v>-0.01</v>
      </c>
    </row>
    <row r="2933" spans="1:10" x14ac:dyDescent="0.3">
      <c r="A2933" t="str">
        <f>HYPERLINK("https://us2.cloudbeds.com/connect/10074733072513#/reservations/30669015929025?display=YQKDEJYFB&amp;reservation_id=30669015929025", "YQKDEJYFB")</f>
        <v>YQKDEJYFB</v>
      </c>
      <c r="B2933" t="s">
        <v>10</v>
      </c>
      <c r="C2933" t="s">
        <v>17</v>
      </c>
      <c r="D2933" t="str">
        <f>HYPERLINK("https://us2.cloudbeds.com/connect/10074733072513#/reservations/30669015929025?display=Brian%20Vertullo&amp;reservation_id=30669015929025&amp;guest_id=30669015924988", "Brian Vertullo")</f>
        <v>Brian Vertullo</v>
      </c>
      <c r="E2933" t="s">
        <v>2452</v>
      </c>
      <c r="F2933" t="s">
        <v>2453</v>
      </c>
      <c r="G2933">
        <v>134.1</v>
      </c>
      <c r="H2933">
        <v>145.76</v>
      </c>
      <c r="I2933">
        <v>145.77000000000001</v>
      </c>
      <c r="J2933">
        <v>-0.01</v>
      </c>
    </row>
    <row r="2934" spans="1:10" x14ac:dyDescent="0.3">
      <c r="A2934" t="str">
        <f>HYPERLINK("https://us2.cloudbeds.com/connect/10074733072513#/reservations/30670844768453?display=YQYR5NQGV&amp;reservation_id=30670844768453", "YQYR5NQGV")</f>
        <v>YQYR5NQGV</v>
      </c>
      <c r="B2934" t="s">
        <v>10</v>
      </c>
      <c r="C2934" t="s">
        <v>14</v>
      </c>
      <c r="D2934" t="str">
        <f>HYPERLINK("https://us2.cloudbeds.com/connect/10074733072513#/reservations/30670844768453?display=Jason%20Howard&amp;reservation_id=30670844768453&amp;guest_id=30670844768448", "Jason Howard")</f>
        <v>Jason Howard</v>
      </c>
      <c r="E2934" t="s">
        <v>2454</v>
      </c>
      <c r="F2934" t="s">
        <v>2050</v>
      </c>
      <c r="G2934">
        <v>262.82</v>
      </c>
      <c r="H2934">
        <v>285.68</v>
      </c>
      <c r="I2934">
        <v>285.69</v>
      </c>
      <c r="J2934">
        <v>-0.01</v>
      </c>
    </row>
    <row r="2935" spans="1:10" x14ac:dyDescent="0.3">
      <c r="A2935" t="str">
        <f>HYPERLINK("https://us2.cloudbeds.com/connect/10074733072513#/reservations/30670212538525?display=YQYB0K2E9&amp;reservation_id=30670212538525", "YQYB0K2E9")</f>
        <v>YQYB0K2E9</v>
      </c>
      <c r="B2935" t="s">
        <v>10</v>
      </c>
      <c r="C2935" t="s">
        <v>14</v>
      </c>
      <c r="D2935" t="str">
        <f>HYPERLINK("https://us2.cloudbeds.com/connect/10074733072513#/reservations/30670212538525?display=Lori%20Back&amp;reservation_id=30670212538525&amp;guest_id=30670212534429", "Lori Back")</f>
        <v>Lori Back</v>
      </c>
      <c r="E2935" t="s">
        <v>2454</v>
      </c>
      <c r="F2935" t="s">
        <v>2050</v>
      </c>
      <c r="G2935">
        <v>254.4</v>
      </c>
      <c r="H2935">
        <v>276.52</v>
      </c>
      <c r="I2935">
        <v>276.52999999999997</v>
      </c>
      <c r="J2935">
        <v>-0.01</v>
      </c>
    </row>
    <row r="2936" spans="1:10" x14ac:dyDescent="0.3">
      <c r="A2936" t="str">
        <f>HYPERLINK("https://us2.cloudbeds.com/connect/10074733072513#/reservations/30671083782287?display=YQM098NKD&amp;reservation_id=30671083782287", "YQM098NKD")</f>
        <v>YQM098NKD</v>
      </c>
      <c r="B2936" t="s">
        <v>10</v>
      </c>
      <c r="C2936" t="s">
        <v>17</v>
      </c>
      <c r="D2936" t="str">
        <f>HYPERLINK("https://us2.cloudbeds.com/connect/10074733072513#/reservations/30671083782287?display=Jeffrey%20Scudder&amp;reservation_id=30671083782287&amp;guest_id=30671083778197", "Jeffrey Scudder")</f>
        <v>Jeffrey Scudder</v>
      </c>
      <c r="E2936" t="s">
        <v>2463</v>
      </c>
      <c r="F2936" t="s">
        <v>2464</v>
      </c>
      <c r="G2936">
        <v>250.2</v>
      </c>
      <c r="H2936">
        <v>271.95999999999998</v>
      </c>
      <c r="I2936">
        <v>271.97000000000003</v>
      </c>
      <c r="J2936">
        <v>-0.01</v>
      </c>
    </row>
    <row r="2937" spans="1:10" x14ac:dyDescent="0.3">
      <c r="A2937" t="str">
        <f>HYPERLINK("https://us2.cloudbeds.com/connect/10074733072513#/reservations/30670326780060?display=YQYDUV0DW&amp;reservation_id=30670326780060", "YQYDUV0DW")</f>
        <v>YQYDUV0DW</v>
      </c>
      <c r="B2937" t="s">
        <v>10</v>
      </c>
      <c r="C2937" t="s">
        <v>42</v>
      </c>
      <c r="D2937" t="str">
        <f>HYPERLINK("https://us2.cloudbeds.com/connect/10074733072513#/reservations/30670326780060?display=Cindy%20Nelson&amp;reservation_id=30670326780060&amp;guest_id=30670326780058", "Cindy Nelson")</f>
        <v>Cindy Nelson</v>
      </c>
      <c r="E2937" t="s">
        <v>2465</v>
      </c>
      <c r="F2937" t="s">
        <v>2466</v>
      </c>
      <c r="G2937">
        <v>134.1</v>
      </c>
      <c r="H2937">
        <v>145.76</v>
      </c>
      <c r="I2937">
        <v>145.77000000000001</v>
      </c>
      <c r="J2937">
        <v>-0.01</v>
      </c>
    </row>
    <row r="2938" spans="1:10" x14ac:dyDescent="0.3">
      <c r="A2938" t="str">
        <f>HYPERLINK("https://us2.cloudbeds.com/connect/10074733072513#/reservations/30670790103199?display=YQYPPKYS3&amp;reservation_id=30670790103199", "YQYPPKYS3")</f>
        <v>YQYPPKYS3</v>
      </c>
      <c r="B2938" t="s">
        <v>10</v>
      </c>
      <c r="C2938" t="s">
        <v>42</v>
      </c>
      <c r="D2938" t="str">
        <f>HYPERLINK("https://us2.cloudbeds.com/connect/10074733072513#/reservations/30670790103199?display=Tanya%20Smith&amp;reservation_id=30670790103199&amp;guest_id=30670790103194", "Tanya Smith")</f>
        <v>Tanya Smith</v>
      </c>
      <c r="E2938" t="s">
        <v>2467</v>
      </c>
      <c r="F2938" t="s">
        <v>2363</v>
      </c>
      <c r="G2938">
        <v>270.2</v>
      </c>
      <c r="H2938">
        <v>293.7</v>
      </c>
      <c r="I2938">
        <v>293.70999999999998</v>
      </c>
      <c r="J2938">
        <v>-0.01</v>
      </c>
    </row>
    <row r="2939" spans="1:10" x14ac:dyDescent="0.3">
      <c r="A2939" t="str">
        <f>HYPERLINK("https://us2.cloudbeds.com/connect/10074733072513#/reservations/30670596550859?display=YQYKRDPRM&amp;reservation_id=30670596550859", "YQYKRDPRM")</f>
        <v>YQYKRDPRM</v>
      </c>
      <c r="B2939" t="s">
        <v>10</v>
      </c>
      <c r="C2939" t="s">
        <v>42</v>
      </c>
      <c r="D2939" t="str">
        <f>HYPERLINK("https://us2.cloudbeds.com/connect/10074733072513#/reservations/30670596550859?display=Stacie%20Mclaury&amp;reservation_id=30670596550859&amp;guest_id=30670590603450", "Stacie Mclaury")</f>
        <v>Stacie Mclaury</v>
      </c>
      <c r="E2939" t="s">
        <v>2471</v>
      </c>
      <c r="F2939" t="s">
        <v>2050</v>
      </c>
      <c r="G2939">
        <v>270.2</v>
      </c>
      <c r="H2939">
        <v>293.7</v>
      </c>
      <c r="I2939">
        <v>293.70999999999998</v>
      </c>
      <c r="J2939">
        <v>-0.01</v>
      </c>
    </row>
    <row r="2940" spans="1:10" x14ac:dyDescent="0.3">
      <c r="A2940" t="str">
        <f>HYPERLINK("https://us2.cloudbeds.com/connect/10074733072513#/reservations/30670089490609?display=YQY7SS2PX&amp;reservation_id=30670089490609", "YQY7SS2PX")</f>
        <v>YQY7SS2PX</v>
      </c>
      <c r="B2940" t="s">
        <v>10</v>
      </c>
      <c r="C2940" t="s">
        <v>11</v>
      </c>
      <c r="D2940" t="str">
        <f>HYPERLINK("https://us2.cloudbeds.com/connect/10074733072513#/reservations/30670089490609?display=Julie%20Mccarty&amp;reservation_id=30670089490609&amp;guest_id=30670089490590", "Julie Mccarty")</f>
        <v>Julie Mccarty</v>
      </c>
      <c r="E2940" t="s">
        <v>2472</v>
      </c>
      <c r="F2940" t="s">
        <v>2473</v>
      </c>
      <c r="G2940">
        <v>100.24</v>
      </c>
      <c r="H2940">
        <v>108.95</v>
      </c>
      <c r="I2940">
        <v>108.96</v>
      </c>
      <c r="J2940">
        <v>-0.01</v>
      </c>
    </row>
    <row r="2941" spans="1:10" x14ac:dyDescent="0.3">
      <c r="A2941" t="str">
        <f>HYPERLINK("https://us2.cloudbeds.com/connect/10074733072513#/reservations/30671684178123?display=YQMFKHK9K&amp;reservation_id=30671684178123", "YQMFKHK9K")</f>
        <v>YQMFKHK9K</v>
      </c>
      <c r="B2941" t="s">
        <v>10</v>
      </c>
      <c r="C2941" t="s">
        <v>11</v>
      </c>
      <c r="D2941" t="str">
        <f>HYPERLINK("https://us2.cloudbeds.com/connect/10074733072513#/reservations/30671684178123?display=Michael%20Kuemper&amp;reservation_id=30671684178123&amp;guest_id=30671684178119", "Michael Kuemper")</f>
        <v>Michael Kuemper</v>
      </c>
      <c r="E2941" t="s">
        <v>2474</v>
      </c>
      <c r="F2941" t="s">
        <v>2473</v>
      </c>
      <c r="G2941">
        <v>100.24</v>
      </c>
      <c r="H2941">
        <v>108.95</v>
      </c>
      <c r="I2941">
        <v>108.96</v>
      </c>
      <c r="J2941">
        <v>-0.01</v>
      </c>
    </row>
    <row r="2942" spans="1:10" x14ac:dyDescent="0.3">
      <c r="A2942" t="str">
        <f>HYPERLINK("https://us2.cloudbeds.com/connect/10074733072513#/reservations/30670151651502?display=YQY9F8QFW&amp;reservation_id=30670151651502", "YQY9F8QFW")</f>
        <v>YQY9F8QFW</v>
      </c>
      <c r="B2942" t="s">
        <v>10</v>
      </c>
      <c r="C2942" t="s">
        <v>42</v>
      </c>
      <c r="D2942" t="str">
        <f>HYPERLINK("https://us2.cloudbeds.com/connect/10074733072513#/reservations/30670151651502?display=Kay%20Long&amp;reservation_id=30670151651502&amp;guest_id=30670141624534", "Kay Long")</f>
        <v>Kay Long</v>
      </c>
      <c r="E2942" t="s">
        <v>2475</v>
      </c>
      <c r="F2942" t="s">
        <v>2363</v>
      </c>
      <c r="G2942">
        <v>170.1</v>
      </c>
      <c r="H2942">
        <v>184.89</v>
      </c>
      <c r="I2942">
        <v>184.9</v>
      </c>
      <c r="J2942">
        <v>-0.01</v>
      </c>
    </row>
    <row r="2943" spans="1:10" x14ac:dyDescent="0.3">
      <c r="A2943" t="str">
        <f>HYPERLINK("https://us2.cloudbeds.com/connect/10074733072513#/reservations/30670646251772?display=YQYM3APSV&amp;reservation_id=30670646251772", "YQYM3APSV")</f>
        <v>YQYM3APSV</v>
      </c>
      <c r="B2943" t="s">
        <v>10</v>
      </c>
      <c r="C2943" t="s">
        <v>42</v>
      </c>
      <c r="D2943" t="str">
        <f>HYPERLINK("https://us2.cloudbeds.com/connect/10074733072513#/reservations/30670646251772?display=Kelly%20Simon&amp;reservation_id=30670646251772&amp;guest_id=30670646251767", "Kelly Simon")</f>
        <v>Kelly Simon</v>
      </c>
      <c r="E2943" t="s">
        <v>2477</v>
      </c>
      <c r="F2943" t="s">
        <v>2050</v>
      </c>
      <c r="G2943">
        <v>230.2</v>
      </c>
      <c r="H2943">
        <v>250.22</v>
      </c>
      <c r="I2943">
        <v>250.23</v>
      </c>
      <c r="J2943">
        <v>-0.01</v>
      </c>
    </row>
    <row r="2944" spans="1:10" x14ac:dyDescent="0.3">
      <c r="A2944" t="str">
        <f>HYPERLINK("https://us2.cloudbeds.com/connect/10074733072513#/reservations/30672256995583?display=YQMU8X3FF&amp;reservation_id=30672256995583", "YQMU8X3FF")</f>
        <v>YQMU8X3FF</v>
      </c>
      <c r="B2944" t="s">
        <v>10</v>
      </c>
      <c r="C2944" t="s">
        <v>42</v>
      </c>
      <c r="D2944" t="str">
        <f>HYPERLINK("https://us2.cloudbeds.com/connect/10074733072513#/reservations/30672256995583?display=Laura%20Wise&amp;reservation_id=30672256995583&amp;guest_id=30672256995524", "Laura Wise")</f>
        <v>Laura Wise</v>
      </c>
      <c r="E2944" t="s">
        <v>2478</v>
      </c>
      <c r="F2944" t="s">
        <v>2479</v>
      </c>
      <c r="G2944">
        <v>118.15</v>
      </c>
      <c r="H2944">
        <v>128.41999999999999</v>
      </c>
      <c r="I2944">
        <v>128.43</v>
      </c>
      <c r="J2944">
        <v>-0.01</v>
      </c>
    </row>
    <row r="2945" spans="1:10" x14ac:dyDescent="0.3">
      <c r="A2945" t="str">
        <f>HYPERLINK("https://us2.cloudbeds.com/connect/10074733072513#/reservations/30687164498118?display=YR1F5VB5H&amp;reservation_id=30687164498118", "YR1F5VB5H")</f>
        <v>YR1F5VB5H</v>
      </c>
      <c r="B2945" t="s">
        <v>10</v>
      </c>
      <c r="C2945" t="s">
        <v>42</v>
      </c>
      <c r="D2945" t="str">
        <f>HYPERLINK("https://us2.cloudbeds.com/connect/10074733072513#/reservations/30687164498118?display=Janice%20Brtna&amp;reservation_id=30687164498118&amp;guest_id=30687164494069", "Janice Brtna")</f>
        <v>Janice Brtna</v>
      </c>
      <c r="E2945" t="s">
        <v>2480</v>
      </c>
      <c r="F2945" t="s">
        <v>2481</v>
      </c>
      <c r="G2945">
        <v>250.2</v>
      </c>
      <c r="H2945">
        <v>271.95999999999998</v>
      </c>
      <c r="I2945">
        <v>271.97000000000003</v>
      </c>
      <c r="J2945">
        <v>-0.01</v>
      </c>
    </row>
    <row r="2946" spans="1:10" x14ac:dyDescent="0.3">
      <c r="A2946" t="str">
        <f>HYPERLINK("https://us2.cloudbeds.com/connect/10074733072513#/reservations/30669020827863?display=YQKDXNVUW&amp;reservation_id=30669020827863", "YQKDXNVUW")</f>
        <v>YQKDXNVUW</v>
      </c>
      <c r="B2946" t="s">
        <v>10</v>
      </c>
      <c r="C2946" t="s">
        <v>14</v>
      </c>
      <c r="D2946" t="str">
        <f>HYPERLINK("https://us2.cloudbeds.com/connect/10074733072513#/reservations/30669020827863?display=Jean%20Mayberry&amp;reservation_id=30669020827863&amp;guest_id=30669020827858", "Jean Mayberry")</f>
        <v>Jean Mayberry</v>
      </c>
      <c r="E2946" t="s">
        <v>2482</v>
      </c>
      <c r="F2946" t="s">
        <v>2453</v>
      </c>
      <c r="G2946">
        <v>176.64</v>
      </c>
      <c r="H2946">
        <v>192</v>
      </c>
      <c r="I2946">
        <v>192.01</v>
      </c>
      <c r="J2946">
        <v>-0.01</v>
      </c>
    </row>
    <row r="2947" spans="1:10" x14ac:dyDescent="0.3">
      <c r="A2947" t="str">
        <f>HYPERLINK("https://us2.cloudbeds.com/connect/10074733072513#/reservations/30670383464584?display=YQYFCZBAR&amp;reservation_id=30670383464584", "YQYFCZBAR")</f>
        <v>YQYFCZBAR</v>
      </c>
      <c r="B2947" t="s">
        <v>10</v>
      </c>
      <c r="C2947" t="s">
        <v>11</v>
      </c>
      <c r="D2947" t="str">
        <f>HYPERLINK("https://us2.cloudbeds.com/connect/10074733072513#/reservations/30670383464584?display=Sara%20Iverson&amp;reservation_id=30670383464584&amp;guest_id=30670383464582", "Sara Iverson")</f>
        <v>Sara Iverson</v>
      </c>
      <c r="E2947" t="s">
        <v>2483</v>
      </c>
      <c r="F2947" t="s">
        <v>2450</v>
      </c>
      <c r="G2947">
        <v>205.38</v>
      </c>
      <c r="H2947">
        <v>223.24</v>
      </c>
      <c r="I2947">
        <v>223.25</v>
      </c>
      <c r="J2947">
        <v>-0.01</v>
      </c>
    </row>
    <row r="2948" spans="1:10" x14ac:dyDescent="0.3">
      <c r="A2948" t="str">
        <f>HYPERLINK("https://us2.cloudbeds.com/connect/10074733072513#/reservations/30670395597036?display=YQYFMVV7T&amp;reservation_id=30670395597036", "YQYFMVV7T")</f>
        <v>YQYFMVV7T</v>
      </c>
      <c r="B2948" t="s">
        <v>10</v>
      </c>
      <c r="C2948" t="s">
        <v>11</v>
      </c>
      <c r="D2948" t="str">
        <f>HYPERLINK("https://us2.cloudbeds.com/connect/10074733072513#/reservations/30670395597036?display=Emily%20Knutson&amp;reservation_id=30670395597036&amp;guest_id=30670395597034", "Emily Knutson")</f>
        <v>Emily Knutson</v>
      </c>
      <c r="E2948" t="s">
        <v>2483</v>
      </c>
      <c r="F2948" t="s">
        <v>2450</v>
      </c>
      <c r="G2948">
        <v>205.38</v>
      </c>
      <c r="H2948">
        <v>223.24</v>
      </c>
      <c r="I2948">
        <v>223.25</v>
      </c>
      <c r="J2948">
        <v>-0.01</v>
      </c>
    </row>
    <row r="2949" spans="1:10" x14ac:dyDescent="0.3">
      <c r="A2949" t="str">
        <f>HYPERLINK("https://us2.cloudbeds.com/connect/10074733072513#/reservations/30669503086783?display=YQKPTCHJK&amp;reservation_id=30669503086783", "YQKPTCHJK")</f>
        <v>YQKPTCHJK</v>
      </c>
      <c r="B2949" t="s">
        <v>10</v>
      </c>
      <c r="C2949" t="s">
        <v>11</v>
      </c>
      <c r="D2949" t="str">
        <f>HYPERLINK("https://us2.cloudbeds.com/connect/10074733072513#/reservations/30669503086783?display=Kiera%20Clarke&amp;reservation_id=30669503086783&amp;guest_id=30669503086780", "Kiera Clarke")</f>
        <v>Kiera Clarke</v>
      </c>
      <c r="E2949" t="s">
        <v>2484</v>
      </c>
      <c r="F2949" t="s">
        <v>2485</v>
      </c>
      <c r="G2949">
        <v>118.15</v>
      </c>
      <c r="H2949">
        <v>128.41999999999999</v>
      </c>
      <c r="I2949">
        <v>128.43</v>
      </c>
      <c r="J2949">
        <v>-0.01</v>
      </c>
    </row>
    <row r="2950" spans="1:10" x14ac:dyDescent="0.3">
      <c r="A2950" t="str">
        <f>HYPERLINK("https://us2.cloudbeds.com/connect/10074733072513#/reservations/30670660669671?display=YQYMFFWEW&amp;reservation_id=30670660669671", "YQYMFFWEW")</f>
        <v>YQYMFFWEW</v>
      </c>
      <c r="B2950" t="s">
        <v>10</v>
      </c>
      <c r="C2950" t="s">
        <v>14</v>
      </c>
      <c r="D2950" t="str">
        <f>HYPERLINK("https://us2.cloudbeds.com/connect/10074733072513#/reservations/30670660669671?display=Syed%20Sheerazie&amp;reservation_id=30670660669671&amp;guest_id=30670660669669", "Syed Sheerazie")</f>
        <v>Syed Sheerazie</v>
      </c>
      <c r="E2950" t="s">
        <v>2489</v>
      </c>
      <c r="F2950" t="s">
        <v>2468</v>
      </c>
      <c r="G2950">
        <v>205.38</v>
      </c>
      <c r="H2950">
        <v>223.24</v>
      </c>
      <c r="I2950">
        <v>223.25</v>
      </c>
      <c r="J2950">
        <v>-0.01</v>
      </c>
    </row>
    <row r="2951" spans="1:10" x14ac:dyDescent="0.3">
      <c r="A2951" t="str">
        <f>HYPERLINK("https://us2.cloudbeds.com/connect/10074733072513#/reservations/30670241202396?display=YQYBZPMNE&amp;reservation_id=30670241202396", "YQYBZPMNE")</f>
        <v>YQYBZPMNE</v>
      </c>
      <c r="B2951" t="s">
        <v>10</v>
      </c>
      <c r="C2951" t="s">
        <v>42</v>
      </c>
      <c r="D2951" t="str">
        <f>HYPERLINK("https://us2.cloudbeds.com/connect/10074733072513#/reservations/30670241202396?display=Randy%20Witkop&amp;reservation_id=30670241202396&amp;guest_id=30670241198310", "Randy Witkop")</f>
        <v>Randy Witkop</v>
      </c>
      <c r="E2951" t="s">
        <v>2493</v>
      </c>
      <c r="F2951" t="s">
        <v>2494</v>
      </c>
      <c r="G2951">
        <v>460.8</v>
      </c>
      <c r="H2951">
        <v>500.88</v>
      </c>
      <c r="I2951">
        <v>500.89</v>
      </c>
      <c r="J2951">
        <v>-0.01</v>
      </c>
    </row>
    <row r="2952" spans="1:10" x14ac:dyDescent="0.3">
      <c r="A2952" t="str">
        <f>HYPERLINK("https://us2.cloudbeds.com/connect/10074733072513#/reservations/30671182008542?display=YQM2Q306J&amp;reservation_id=30671182008542", "YQM2Q306J")</f>
        <v>YQM2Q306J</v>
      </c>
      <c r="B2952" t="s">
        <v>10</v>
      </c>
      <c r="C2952" t="s">
        <v>42</v>
      </c>
      <c r="D2952" t="str">
        <f>HYPERLINK("https://us2.cloudbeds.com/connect/10074733072513#/reservations/30671182008542?display=Carol%20Brooms&amp;reservation_id=30671182008542&amp;guest_id=30671182008540", "Carol Brooms")</f>
        <v>Carol Brooms</v>
      </c>
      <c r="E2952" t="s">
        <v>2495</v>
      </c>
      <c r="F2952" t="s">
        <v>2496</v>
      </c>
      <c r="G2952">
        <v>357.3</v>
      </c>
      <c r="H2952">
        <v>388.38</v>
      </c>
      <c r="I2952">
        <v>388.39</v>
      </c>
      <c r="J2952">
        <v>-0.01</v>
      </c>
    </row>
    <row r="2953" spans="1:10" x14ac:dyDescent="0.3">
      <c r="A2953" t="str">
        <f>HYPERLINK("https://us2.cloudbeds.com/connect/10074733072513#/reservations/30671039950998?display=YQYW5A1G8&amp;reservation_id=30671039950998", "YQYW5A1G8")</f>
        <v>YQYW5A1G8</v>
      </c>
      <c r="B2953" t="s">
        <v>10</v>
      </c>
      <c r="C2953" t="s">
        <v>23</v>
      </c>
      <c r="D2953" t="str">
        <f>HYPERLINK("https://us2.cloudbeds.com/connect/10074733072513#/reservations/30671039950998?display=Nicole%20Nelson&amp;reservation_id=30671039950998&amp;guest_id=30652518375559", "Nicole Nelson")</f>
        <v>Nicole Nelson</v>
      </c>
      <c r="E2953" t="s">
        <v>1165</v>
      </c>
      <c r="F2953" t="s">
        <v>2464</v>
      </c>
      <c r="G2953">
        <v>504.3</v>
      </c>
      <c r="H2953">
        <v>548.16</v>
      </c>
      <c r="I2953">
        <v>548.16999999999996</v>
      </c>
      <c r="J2953">
        <v>-0.01</v>
      </c>
    </row>
    <row r="2954" spans="1:10" x14ac:dyDescent="0.3">
      <c r="A2954" t="str">
        <f>HYPERLINK("https://us2.cloudbeds.com/connect/10074733072513#/reservations/30670921781458?display=YQYT4YQHC&amp;reservation_id=30670921781458", "YQYT4YQHC")</f>
        <v>YQYT4YQHC</v>
      </c>
      <c r="B2954" t="s">
        <v>10</v>
      </c>
      <c r="C2954" t="s">
        <v>20</v>
      </c>
      <c r="D2954" t="str">
        <f>HYPERLINK("https://us2.cloudbeds.com/connect/10074733072513#/reservations/30670921781458?display=Karla%20Tolley&amp;reservation_id=30670921781458&amp;guest_id=30670921781456", "Karla Tolley")</f>
        <v>Karla Tolley</v>
      </c>
      <c r="E2954" t="s">
        <v>2500</v>
      </c>
      <c r="F2954" t="s">
        <v>2501</v>
      </c>
      <c r="G2954">
        <v>112.24</v>
      </c>
      <c r="H2954">
        <v>121.99</v>
      </c>
      <c r="I2954">
        <v>122</v>
      </c>
      <c r="J2954">
        <v>-0.01</v>
      </c>
    </row>
    <row r="2955" spans="1:10" x14ac:dyDescent="0.3">
      <c r="A2955" t="str">
        <f>HYPERLINK("https://us2.cloudbeds.com/connect/10074733072513#/reservations/30671246237828?display=YQM4E898J&amp;reservation_id=30671246237828", "YQM4E898J")</f>
        <v>YQM4E898J</v>
      </c>
      <c r="B2955" t="s">
        <v>10</v>
      </c>
      <c r="C2955" t="s">
        <v>42</v>
      </c>
      <c r="D2955" t="str">
        <f>HYPERLINK("https://us2.cloudbeds.com/connect/10074733072513#/reservations/30671246237828?display=Cody%20Dunn&amp;reservation_id=30671246237828&amp;guest_id=30671234146478", "Cody Dunn")</f>
        <v>Cody Dunn</v>
      </c>
      <c r="E2955" t="s">
        <v>2502</v>
      </c>
      <c r="F2955" t="s">
        <v>2503</v>
      </c>
      <c r="G2955">
        <v>128</v>
      </c>
      <c r="H2955">
        <v>139.13</v>
      </c>
      <c r="I2955">
        <v>139.13999999999999</v>
      </c>
      <c r="J2955">
        <v>-0.01</v>
      </c>
    </row>
    <row r="2956" spans="1:10" x14ac:dyDescent="0.3">
      <c r="A2956" t="str">
        <f>HYPERLINK("https://us2.cloudbeds.com/connect/10074733072513#/reservations/30670846853317?display=YQYR7FQWY&amp;reservation_id=30670846853317", "YQYR7FQWY")</f>
        <v>YQYR7FQWY</v>
      </c>
      <c r="B2956" t="s">
        <v>10</v>
      </c>
      <c r="C2956" t="s">
        <v>42</v>
      </c>
      <c r="D2956" t="str">
        <f>HYPERLINK("https://us2.cloudbeds.com/connect/10074733072513#/reservations/30670846853317?display=Deanne%20Rentsch&amp;reservation_id=30670846853317&amp;guest_id=30648687493319", "Deanne Rentsch")</f>
        <v>Deanne Rentsch</v>
      </c>
      <c r="E2956" t="s">
        <v>2504</v>
      </c>
      <c r="F2956" t="s">
        <v>2505</v>
      </c>
      <c r="G2956">
        <v>87.2</v>
      </c>
      <c r="H2956">
        <v>94.78</v>
      </c>
      <c r="I2956">
        <v>94.79</v>
      </c>
      <c r="J2956">
        <v>-0.01</v>
      </c>
    </row>
    <row r="2957" spans="1:10" x14ac:dyDescent="0.3">
      <c r="A2957" t="str">
        <f>HYPERLINK("https://us2.cloudbeds.com/connect/10074733072513#/reservations/30672402661561?display=YQN0WCFN0&amp;reservation_id=30672402661561", "YQN0WCFN0")</f>
        <v>YQN0WCFN0</v>
      </c>
      <c r="B2957" t="s">
        <v>10</v>
      </c>
      <c r="C2957" t="s">
        <v>20</v>
      </c>
      <c r="D2957" t="str">
        <f>HYPERLINK("https://us2.cloudbeds.com/connect/10074733072513#/reservations/30672402661561?display=Lauren%20Foley&amp;reservation_id=30672402661561&amp;guest_id=30672402661534", "Lauren Foley")</f>
        <v>Lauren Foley</v>
      </c>
      <c r="E2957" t="s">
        <v>2506</v>
      </c>
      <c r="F2957" t="s">
        <v>2507</v>
      </c>
      <c r="G2957">
        <v>93.19</v>
      </c>
      <c r="H2957">
        <v>101.29</v>
      </c>
      <c r="I2957">
        <v>101.3</v>
      </c>
      <c r="J2957">
        <v>-0.01</v>
      </c>
    </row>
    <row r="2958" spans="1:10" x14ac:dyDescent="0.3">
      <c r="A2958" t="str">
        <f>HYPERLINK("https://us2.cloudbeds.com/connect/10074733072513#/reservations/30671561846914?display=YQMCGCXP9&amp;reservation_id=30671561846914", "YQMCGCXP9")</f>
        <v>YQMCGCXP9</v>
      </c>
      <c r="B2958" t="s">
        <v>10</v>
      </c>
      <c r="C2958" t="s">
        <v>20</v>
      </c>
      <c r="D2958" t="str">
        <f>HYPERLINK("https://us2.cloudbeds.com/connect/10074733072513#/reservations/30671561846914?display=Rebecca%20Fletcher&amp;reservation_id=30671561846914&amp;guest_id=30671556493467", "Rebecca Fletcher")</f>
        <v>Rebecca Fletcher</v>
      </c>
      <c r="E2958" t="s">
        <v>2510</v>
      </c>
      <c r="F2958" t="s">
        <v>2509</v>
      </c>
      <c r="G2958">
        <v>93.19</v>
      </c>
      <c r="H2958">
        <v>101.29</v>
      </c>
      <c r="I2958">
        <v>101.3</v>
      </c>
      <c r="J2958">
        <v>-0.01</v>
      </c>
    </row>
    <row r="2959" spans="1:10" x14ac:dyDescent="0.3">
      <c r="A2959" t="str">
        <f>HYPERLINK("https://us2.cloudbeds.com/connect/10074733072513#/reservations/30672961740997?display=YQNF8QMK3&amp;reservation_id=30672961740997", "YQNF8QMK3")</f>
        <v>YQNF8QMK3</v>
      </c>
      <c r="B2959" t="s">
        <v>10</v>
      </c>
      <c r="C2959" t="s">
        <v>11</v>
      </c>
      <c r="D2959" t="str">
        <f>HYPERLINK("https://us2.cloudbeds.com/connect/10074733072513#/reservations/30672961740997?display=Lindsey%20Luke&amp;reservation_id=30672961740997&amp;guest_id=30672953827501", "Lindsey Luke")</f>
        <v>Lindsey Luke</v>
      </c>
      <c r="E2959" t="s">
        <v>2511</v>
      </c>
      <c r="F2959" t="s">
        <v>2420</v>
      </c>
      <c r="G2959">
        <v>185.4</v>
      </c>
      <c r="H2959">
        <v>201.52</v>
      </c>
      <c r="I2959">
        <v>201.53</v>
      </c>
      <c r="J2959">
        <v>-0.01</v>
      </c>
    </row>
    <row r="2960" spans="1:10" x14ac:dyDescent="0.3">
      <c r="A2960" t="str">
        <f>HYPERLINK("https://us2.cloudbeds.com/connect/10074733072513#/reservations/30671305683137?display=YQM5HM5Y3&amp;reservation_id=30671305683137", "YQM5HM5Y3")</f>
        <v>YQM5HM5Y3</v>
      </c>
      <c r="B2960" t="s">
        <v>10</v>
      </c>
      <c r="C2960" t="s">
        <v>11</v>
      </c>
      <c r="D2960" t="str">
        <f>HYPERLINK("https://us2.cloudbeds.com/connect/10074733072513#/reservations/30671305683137?display=Jesus%20Contraras&amp;reservation_id=30671305683137&amp;guest_id=30671289430155", "Jesus Contraras")</f>
        <v>Jesus Contraras</v>
      </c>
      <c r="E2960" t="s">
        <v>2512</v>
      </c>
      <c r="F2960" t="s">
        <v>2405</v>
      </c>
      <c r="G2960">
        <v>165.88</v>
      </c>
      <c r="H2960">
        <v>180.3</v>
      </c>
      <c r="I2960">
        <v>180.31</v>
      </c>
      <c r="J2960">
        <v>-0.01</v>
      </c>
    </row>
    <row r="2961" spans="1:10" x14ac:dyDescent="0.3">
      <c r="A2961" t="str">
        <f>HYPERLINK("https://us2.cloudbeds.com/connect/10074733072513#/reservations/30671289426056?display=YQM5HM1SP&amp;reservation_id=30671289426056", "YQM5HM1SP")</f>
        <v>YQM5HM1SP</v>
      </c>
      <c r="B2961" t="s">
        <v>10</v>
      </c>
      <c r="C2961" t="s">
        <v>11</v>
      </c>
      <c r="D2961" t="str">
        <f>HYPERLINK("https://us2.cloudbeds.com/connect/10074733072513#/reservations/30671289426056?display=Kim%20Huber&amp;reservation_id=30671289426056&amp;guest_id=30671289426052", "Kim Huber")</f>
        <v>Kim Huber</v>
      </c>
      <c r="E2961" t="s">
        <v>2513</v>
      </c>
      <c r="F2961" t="s">
        <v>2405</v>
      </c>
      <c r="G2961">
        <v>165.88</v>
      </c>
      <c r="H2961">
        <v>180.3</v>
      </c>
      <c r="I2961">
        <v>180.31</v>
      </c>
      <c r="J2961">
        <v>-0.01</v>
      </c>
    </row>
    <row r="2962" spans="1:10" x14ac:dyDescent="0.3">
      <c r="A2962" t="str">
        <f>HYPERLINK("https://us2.cloudbeds.com/connect/10074733072513#/reservations/30671310176501?display=YQM625FF4&amp;reservation_id=30671310176501", "YQM625FF4")</f>
        <v>YQM625FF4</v>
      </c>
      <c r="B2962" t="s">
        <v>10</v>
      </c>
      <c r="C2962" t="s">
        <v>11</v>
      </c>
      <c r="D2962" t="str">
        <f>HYPERLINK("https://us2.cloudbeds.com/connect/10074733072513#/reservations/30671310176501?display=Alex%20Andazola&amp;reservation_id=30671310176501&amp;guest_id=30671310176449", "Alex Andazola")</f>
        <v>Alex Andazola</v>
      </c>
      <c r="E2962" t="s">
        <v>2512</v>
      </c>
      <c r="F2962" t="s">
        <v>2405</v>
      </c>
      <c r="G2962">
        <v>165.88</v>
      </c>
      <c r="H2962">
        <v>180.3</v>
      </c>
      <c r="I2962">
        <v>180.31</v>
      </c>
      <c r="J2962">
        <v>-0.01</v>
      </c>
    </row>
    <row r="2963" spans="1:10" x14ac:dyDescent="0.3">
      <c r="A2963" t="str">
        <f>HYPERLINK("https://us2.cloudbeds.com/connect/10074733072513#/reservations/30670815830165?display=YQYQEAX84&amp;reservation_id=30670815830165", "YQYQEAX84")</f>
        <v>YQYQEAX84</v>
      </c>
      <c r="B2963" t="s">
        <v>10</v>
      </c>
      <c r="C2963" t="s">
        <v>42</v>
      </c>
      <c r="D2963" t="str">
        <f>HYPERLINK("https://us2.cloudbeds.com/connect/10074733072513#/reservations/30670815830165?display=Irene%20Klatt&amp;reservation_id=30670815830165&amp;guest_id=30670815830161", "Irene Klatt")</f>
        <v>Irene Klatt</v>
      </c>
      <c r="E2963" t="s">
        <v>2517</v>
      </c>
      <c r="F2963" t="s">
        <v>2518</v>
      </c>
      <c r="G2963">
        <v>196.2</v>
      </c>
      <c r="H2963">
        <v>213.26</v>
      </c>
      <c r="I2963">
        <v>213.27</v>
      </c>
      <c r="J2963">
        <v>-0.01</v>
      </c>
    </row>
    <row r="2964" spans="1:10" x14ac:dyDescent="0.3">
      <c r="A2964" t="str">
        <f>HYPERLINK("https://us2.cloudbeds.com/connect/10074733072513#/reservations/30669381812376?display=YQKMQ3TGK&amp;reservation_id=30669381812376", "YQKMQ3TGK")</f>
        <v>YQKMQ3TGK</v>
      </c>
      <c r="B2964" t="s">
        <v>10</v>
      </c>
      <c r="C2964" t="s">
        <v>14</v>
      </c>
      <c r="D2964" t="str">
        <f>HYPERLINK("https://us2.cloudbeds.com/connect/10074733072513#/reservations/30669381812376?display=Barry%20Selland&amp;reservation_id=30669381812376&amp;guest_id=30669381808285", "Barry Selland")</f>
        <v>Barry Selland</v>
      </c>
      <c r="E2964" t="s">
        <v>1927</v>
      </c>
      <c r="F2964" t="s">
        <v>2405</v>
      </c>
      <c r="G2964">
        <v>82.94</v>
      </c>
      <c r="H2964">
        <v>90.15</v>
      </c>
      <c r="I2964">
        <v>90.16</v>
      </c>
      <c r="J2964">
        <v>-0.01</v>
      </c>
    </row>
    <row r="2965" spans="1:10" x14ac:dyDescent="0.3">
      <c r="A2965" t="str">
        <f>HYPERLINK("https://us2.cloudbeds.com/connect/10074733072513#/reservations/30672794419392?display=YQNAJDM9K&amp;reservation_id=30672794419392", "YQNAJDM9K")</f>
        <v>YQNAJDM9K</v>
      </c>
      <c r="B2965" t="s">
        <v>10</v>
      </c>
      <c r="C2965" t="s">
        <v>20</v>
      </c>
      <c r="D2965" t="str">
        <f>HYPERLINK("https://us2.cloudbeds.com/connect/10074733072513#/reservations/30672794419392?display=Kat%20Wilson&amp;reservation_id=30672794419392&amp;guest_id=30672778641634", "Kat Wilson")</f>
        <v>Kat Wilson</v>
      </c>
      <c r="E2965" t="s">
        <v>2521</v>
      </c>
      <c r="F2965" t="s">
        <v>2515</v>
      </c>
      <c r="G2965">
        <v>112.24</v>
      </c>
      <c r="H2965">
        <v>121.99</v>
      </c>
      <c r="I2965">
        <v>122</v>
      </c>
      <c r="J2965">
        <v>-0.01</v>
      </c>
    </row>
    <row r="2966" spans="1:10" x14ac:dyDescent="0.3">
      <c r="A2966" t="str">
        <f>HYPERLINK("https://us2.cloudbeds.com/connect/10074733072513#/reservations/30671403049200?display=YQM8EFQ0B&amp;reservation_id=30671403049200", "YQM8EFQ0B")</f>
        <v>YQM8EFQ0B</v>
      </c>
      <c r="B2966" t="s">
        <v>10</v>
      </c>
      <c r="C2966" t="s">
        <v>20</v>
      </c>
      <c r="D2966" t="str">
        <f>HYPERLINK("https://us2.cloudbeds.com/connect/10074733072513#/reservations/30671403049200?display=Kelli%20Berrier&amp;reservation_id=30671403049200&amp;guest_id=30671403049198", "Kelli Berrier")</f>
        <v>Kelli Berrier</v>
      </c>
      <c r="E2966" t="s">
        <v>2522</v>
      </c>
      <c r="F2966" t="s">
        <v>2515</v>
      </c>
      <c r="G2966">
        <v>120.32</v>
      </c>
      <c r="H2966">
        <v>130.78</v>
      </c>
      <c r="I2966">
        <v>130.79</v>
      </c>
      <c r="J2966">
        <v>-0.01</v>
      </c>
    </row>
    <row r="2967" spans="1:10" x14ac:dyDescent="0.3">
      <c r="A2967" t="str">
        <f>HYPERLINK("https://us2.cloudbeds.com/connect/10074733072513#/reservations/30671818379498?display=YQMJ1MVSV&amp;reservation_id=30671818379498", "YQMJ1MVSV")</f>
        <v>YQMJ1MVSV</v>
      </c>
      <c r="B2967" t="s">
        <v>10</v>
      </c>
      <c r="C2967" t="s">
        <v>42</v>
      </c>
      <c r="D2967" t="str">
        <f>HYPERLINK("https://us2.cloudbeds.com/connect/10074733072513#/reservations/30671818379498?display=Joan%20Vanderwall&amp;reservation_id=30671818379498&amp;guest_id=30646543372451", "Joan Vanderwall")</f>
        <v>Joan Vanderwall</v>
      </c>
      <c r="E2967" t="s">
        <v>2527</v>
      </c>
      <c r="F2967" t="s">
        <v>2528</v>
      </c>
      <c r="G2967">
        <v>267.3</v>
      </c>
      <c r="H2967">
        <v>290.55</v>
      </c>
      <c r="I2967">
        <v>290.56</v>
      </c>
      <c r="J2967">
        <v>-0.01</v>
      </c>
    </row>
    <row r="2968" spans="1:10" x14ac:dyDescent="0.3">
      <c r="A2968" t="str">
        <f>HYPERLINK("https://us2.cloudbeds.com/connect/10074733072513#/reservations/30671387791501?display=YQM81K78R&amp;reservation_id=30671387791501", "YQM81K78R")</f>
        <v>YQM81K78R</v>
      </c>
      <c r="B2968" t="s">
        <v>10</v>
      </c>
      <c r="C2968" t="s">
        <v>23</v>
      </c>
      <c r="D2968" t="str">
        <f>HYPERLINK("https://us2.cloudbeds.com/connect/10074733072513#/reservations/30671387791501?display=Phillips%20Sprague&amp;reservation_id=30671387791501&amp;guest_id=30671379919089", "Phillips Sprague")</f>
        <v>Phillips Sprague</v>
      </c>
      <c r="E2968" t="s">
        <v>1818</v>
      </c>
      <c r="F2968" t="s">
        <v>2529</v>
      </c>
      <c r="G2968">
        <v>187.2</v>
      </c>
      <c r="H2968">
        <v>203.48</v>
      </c>
      <c r="I2968">
        <v>203.49</v>
      </c>
      <c r="J2968">
        <v>-0.01</v>
      </c>
    </row>
    <row r="2969" spans="1:10" x14ac:dyDescent="0.3">
      <c r="A2969" t="str">
        <f>HYPERLINK("https://us2.cloudbeds.com/connect/10074733072513#/reservations/30672011911329?display=YQMNWT91T&amp;reservation_id=30672011911329", "YQMNWT91T")</f>
        <v>YQMNWT91T</v>
      </c>
      <c r="B2969" t="s">
        <v>10</v>
      </c>
      <c r="C2969" t="s">
        <v>14</v>
      </c>
      <c r="D2969" t="str">
        <f>HYPERLINK("https://us2.cloudbeds.com/connect/10074733072513#/reservations/30672011911329?display=Savonda%20Petersen&amp;reservation_id=30672011911329&amp;guest_id=30672011911324", "Savonda Petersen")</f>
        <v>Savonda Petersen</v>
      </c>
      <c r="E2969" t="s">
        <v>2532</v>
      </c>
      <c r="F2969" t="s">
        <v>2176</v>
      </c>
      <c r="G2969">
        <v>82.94</v>
      </c>
      <c r="H2969">
        <v>90.15</v>
      </c>
      <c r="I2969">
        <v>90.16</v>
      </c>
      <c r="J2969">
        <v>-0.01</v>
      </c>
    </row>
    <row r="2970" spans="1:10" x14ac:dyDescent="0.3">
      <c r="A2970" t="str">
        <f>HYPERLINK("https://us2.cloudbeds.com/connect/10074733072513#/reservations/30672019566839?display=YQMZ6B9U1&amp;reservation_id=30672019566839", "YQMZ6B9U1")</f>
        <v>YQMZ6B9U1</v>
      </c>
      <c r="B2970" t="s">
        <v>10</v>
      </c>
      <c r="C2970" t="s">
        <v>20</v>
      </c>
      <c r="D2970" t="str">
        <f>HYPERLINK("https://us2.cloudbeds.com/connect/10074733072513#/reservations/30672019566839?display=Jim%20Martinsky&amp;reservation_id=30672019566839&amp;guest_id=30672019566834", "Jim Martinsky")</f>
        <v>Jim Martinsky</v>
      </c>
      <c r="E2970" t="s">
        <v>2533</v>
      </c>
      <c r="F2970" t="s">
        <v>2176</v>
      </c>
      <c r="G2970">
        <v>93.19</v>
      </c>
      <c r="H2970">
        <v>101.29</v>
      </c>
      <c r="I2970">
        <v>101.3</v>
      </c>
      <c r="J2970">
        <v>-0.01</v>
      </c>
    </row>
    <row r="2971" spans="1:10" x14ac:dyDescent="0.3">
      <c r="A2971" t="str">
        <f>HYPERLINK("https://us2.cloudbeds.com/connect/10074733072513#/reservations/30679202021569?display=YQS9NPMQC&amp;reservation_id=30679202021569", "YQS9NPMQC")</f>
        <v>YQS9NPMQC</v>
      </c>
      <c r="B2971" t="s">
        <v>10</v>
      </c>
      <c r="C2971" t="s">
        <v>20</v>
      </c>
      <c r="D2971" t="str">
        <f>HYPERLINK("https://us2.cloudbeds.com/connect/10074733072513#/reservations/30679202021569?display=Tim%20Larson&amp;reservation_id=30679202021569&amp;guest_id=30679194382559", "Tim Larson")</f>
        <v>Tim Larson</v>
      </c>
      <c r="E2971" t="s">
        <v>2534</v>
      </c>
      <c r="F2971" t="s">
        <v>2535</v>
      </c>
      <c r="G2971">
        <v>208.34</v>
      </c>
      <c r="H2971">
        <v>226.46</v>
      </c>
      <c r="I2971">
        <v>226.47</v>
      </c>
      <c r="J2971">
        <v>-0.01</v>
      </c>
    </row>
    <row r="2972" spans="1:10" x14ac:dyDescent="0.3">
      <c r="A2972" t="str">
        <f>HYPERLINK("https://us2.cloudbeds.com/connect/10074733072513#/reservations/30672838586579?display=YQNC3VZ51&amp;reservation_id=30672838586579", "YQNC3VZ51")</f>
        <v>YQNC3VZ51</v>
      </c>
      <c r="B2972" t="s">
        <v>10</v>
      </c>
      <c r="C2972" t="s">
        <v>42</v>
      </c>
      <c r="D2972" t="str">
        <f>HYPERLINK("https://us2.cloudbeds.com/connect/10074733072513#/reservations/30672838586579?display=Jason%20Olson&amp;reservation_id=30672838586579&amp;guest_id=30672838586575", "Jason Olson")</f>
        <v>Jason Olson</v>
      </c>
      <c r="E2972" t="s">
        <v>2537</v>
      </c>
      <c r="F2972" t="s">
        <v>2538</v>
      </c>
      <c r="G2972">
        <v>84.15</v>
      </c>
      <c r="H2972">
        <v>91.46</v>
      </c>
      <c r="I2972">
        <v>91.47</v>
      </c>
      <c r="J2972">
        <v>-0.01</v>
      </c>
    </row>
    <row r="2973" spans="1:10" x14ac:dyDescent="0.3">
      <c r="A2973" t="str">
        <f>HYPERLINK("https://us2.cloudbeds.com/connect/10074733072513#/reservations/30671397449936?display=YQM89ZWBM&amp;reservation_id=30671397449936", "YQM89ZWBM")</f>
        <v>YQM89ZWBM</v>
      </c>
      <c r="B2973" t="s">
        <v>10</v>
      </c>
      <c r="C2973" t="s">
        <v>11</v>
      </c>
      <c r="D2973" t="str">
        <f>HYPERLINK("https://us2.cloudbeds.com/connect/10074733072513#/reservations/30671397449936?display=Daniela%20Romero&amp;reservation_id=30671397449936&amp;guest_id=30671397449931", "Daniela Romero")</f>
        <v>Daniela Romero</v>
      </c>
      <c r="E2973" t="s">
        <v>2540</v>
      </c>
      <c r="F2973" t="s">
        <v>2531</v>
      </c>
      <c r="G2973">
        <v>103.2</v>
      </c>
      <c r="H2973">
        <v>112.17</v>
      </c>
      <c r="I2973">
        <v>112.18</v>
      </c>
      <c r="J2973">
        <v>-0.01</v>
      </c>
    </row>
    <row r="2974" spans="1:10" x14ac:dyDescent="0.3">
      <c r="A2974" t="str">
        <f>HYPERLINK("https://us2.cloudbeds.com/connect/10074733072513#/reservations/30671545839746?display=YQMC2T4QJ&amp;reservation_id=30671545839746", "YQMC2T4QJ")</f>
        <v>YQMC2T4QJ</v>
      </c>
      <c r="B2974" t="s">
        <v>10</v>
      </c>
      <c r="C2974" t="s">
        <v>42</v>
      </c>
      <c r="D2974" t="str">
        <f>HYPERLINK("https://us2.cloudbeds.com/connect/10074733072513#/reservations/30671545839746?display=Tara%20Kelley&amp;reservation_id=30671545839746&amp;guest_id=30671545835665", "Tara Kelley")</f>
        <v>Tara Kelley</v>
      </c>
      <c r="E2974" t="s">
        <v>2541</v>
      </c>
      <c r="F2974" t="s">
        <v>2542</v>
      </c>
      <c r="G2974">
        <v>134.1</v>
      </c>
      <c r="H2974">
        <v>145.76</v>
      </c>
      <c r="I2974">
        <v>145.77000000000001</v>
      </c>
      <c r="J2974">
        <v>-0.01</v>
      </c>
    </row>
    <row r="2975" spans="1:10" x14ac:dyDescent="0.3">
      <c r="A2975" t="str">
        <f>HYPERLINK("https://us2.cloudbeds.com/connect/10074733072513#/reservations/30672574963913?display=YQN5CM1DD&amp;reservation_id=30672574963913", "YQN5CM1DD")</f>
        <v>YQN5CM1DD</v>
      </c>
      <c r="B2975" t="s">
        <v>10</v>
      </c>
      <c r="C2975" t="s">
        <v>42</v>
      </c>
      <c r="D2975" t="str">
        <f>HYPERLINK("https://us2.cloudbeds.com/connect/10074733072513#/reservations/30672574963913?display=Melissa%20Preheim&amp;reservation_id=30672574963913&amp;guest_id=30672574963911", "Melissa Preheim")</f>
        <v>Melissa Preheim</v>
      </c>
      <c r="E2975" t="s">
        <v>2419</v>
      </c>
      <c r="F2975" t="s">
        <v>2420</v>
      </c>
      <c r="G2975">
        <v>312.3</v>
      </c>
      <c r="H2975">
        <v>339.46</v>
      </c>
      <c r="I2975">
        <v>339.47</v>
      </c>
      <c r="J2975">
        <v>-0.01</v>
      </c>
    </row>
    <row r="2976" spans="1:10" x14ac:dyDescent="0.3">
      <c r="A2976" t="str">
        <f>HYPERLINK("https://us2.cloudbeds.com/connect/10074733072513#/reservations/30671430680785?display=YQM94PMC3&amp;reservation_id=30671430680785", "YQM94PMC3")</f>
        <v>YQM94PMC3</v>
      </c>
      <c r="B2976" t="s">
        <v>10</v>
      </c>
      <c r="C2976" t="s">
        <v>14</v>
      </c>
      <c r="D2976" t="str">
        <f>HYPERLINK("https://us2.cloudbeds.com/connect/10074733072513#/reservations/30671430680785?display=Patti%20Manthorne&amp;reservation_id=30671430680785&amp;guest_id=30671430680772", "Patti Manthorne")</f>
        <v>Patti Manthorne</v>
      </c>
      <c r="E2976" t="s">
        <v>2547</v>
      </c>
      <c r="F2976" t="s">
        <v>2548</v>
      </c>
      <c r="G2976">
        <v>82.94</v>
      </c>
      <c r="H2976">
        <v>90.15</v>
      </c>
      <c r="I2976">
        <v>90.16</v>
      </c>
      <c r="J2976">
        <v>-0.01</v>
      </c>
    </row>
    <row r="2977" spans="1:10" x14ac:dyDescent="0.3">
      <c r="A2977" t="str">
        <f>HYPERLINK("https://us2.cloudbeds.com/connect/10074733072513#/reservations/30669474468043?display=YQKP585P3&amp;reservation_id=30669474468043", "YQKP585P3")</f>
        <v>YQKP585P3</v>
      </c>
      <c r="B2977" t="s">
        <v>10</v>
      </c>
      <c r="C2977" t="s">
        <v>20</v>
      </c>
      <c r="D2977" t="str">
        <f>HYPERLINK("https://us2.cloudbeds.com/connect/10074733072513#/reservations/30669474468043?display=Jeremy%20Kuntz&amp;reservation_id=30669474468043&amp;guest_id=30669474468041", "Jeremy Kuntz")</f>
        <v>Jeremy Kuntz</v>
      </c>
      <c r="E2977" t="s">
        <v>2556</v>
      </c>
      <c r="F2977" t="s">
        <v>2557</v>
      </c>
      <c r="G2977">
        <v>112.24</v>
      </c>
      <c r="H2977">
        <v>121.99</v>
      </c>
      <c r="I2977">
        <v>122</v>
      </c>
      <c r="J2977">
        <v>-0.01</v>
      </c>
    </row>
    <row r="2978" spans="1:10" x14ac:dyDescent="0.3">
      <c r="A2978" t="str">
        <f>HYPERLINK("https://us2.cloudbeds.com/connect/10074733072513#/reservations/30671878729911?display=YQMKJJA2B&amp;reservation_id=30671878729911", "YQMKJJA2B")</f>
        <v>YQMKJJA2B</v>
      </c>
      <c r="B2978" t="s">
        <v>10</v>
      </c>
      <c r="C2978" t="s">
        <v>11</v>
      </c>
      <c r="D2978" t="str">
        <f>HYPERLINK("https://us2.cloudbeds.com/connect/10074733072513#/reservations/30671878729911?display=Anna%20Martell&amp;reservation_id=30671878729911&amp;guest_id=30671878729894", "Anna Martell")</f>
        <v>Anna Martell</v>
      </c>
      <c r="E2978" t="s">
        <v>2560</v>
      </c>
      <c r="F2978" t="s">
        <v>2561</v>
      </c>
      <c r="G2978">
        <v>118.15</v>
      </c>
      <c r="H2978">
        <v>128.41999999999999</v>
      </c>
      <c r="I2978">
        <v>128.43</v>
      </c>
      <c r="J2978">
        <v>-0.01</v>
      </c>
    </row>
    <row r="2979" spans="1:10" x14ac:dyDescent="0.3">
      <c r="A2979" t="str">
        <f>HYPERLINK("https://us2.cloudbeds.com/connect/10074733072513#/reservations/30673286299807?display=YQNNXG0DX&amp;reservation_id=30673286299807", "YQNNXG0DX")</f>
        <v>YQNNXG0DX</v>
      </c>
      <c r="B2979" t="s">
        <v>10</v>
      </c>
      <c r="C2979" t="s">
        <v>11</v>
      </c>
      <c r="D2979" t="str">
        <f>HYPERLINK("https://us2.cloudbeds.com/connect/10074733072513#/reservations/30673286299807?display=Tiera%20Lamb&amp;reservation_id=30673286299807&amp;guest_id=30673278042317", "Tiera Lamb")</f>
        <v>Tiera Lamb</v>
      </c>
      <c r="E2979" t="s">
        <v>2562</v>
      </c>
      <c r="F2979" t="s">
        <v>2563</v>
      </c>
      <c r="G2979">
        <v>84.15</v>
      </c>
      <c r="H2979">
        <v>91.46</v>
      </c>
      <c r="I2979">
        <v>91.47</v>
      </c>
      <c r="J2979">
        <v>-0.01</v>
      </c>
    </row>
    <row r="2980" spans="1:10" x14ac:dyDescent="0.3">
      <c r="A2980" t="str">
        <f>HYPERLINK("https://us2.cloudbeds.com/connect/10074733072513#/reservations/30673533047039?display=YQNTSX3TD&amp;reservation_id=30673533047039", "YQNTSX3TD")</f>
        <v>YQNTSX3TD</v>
      </c>
      <c r="B2980" t="s">
        <v>10</v>
      </c>
      <c r="C2980" t="s">
        <v>11</v>
      </c>
      <c r="D2980" t="str">
        <f>HYPERLINK("https://us2.cloudbeds.com/connect/10074733072513#/reservations/30673533047039?display=Tammy%20Jenner&amp;reservation_id=30673533047039&amp;guest_id=30673533046979", "Tammy Jenner")</f>
        <v>Tammy Jenner</v>
      </c>
      <c r="E2980" t="s">
        <v>2564</v>
      </c>
      <c r="F2980" t="s">
        <v>2565</v>
      </c>
      <c r="G2980">
        <v>84.15</v>
      </c>
      <c r="H2980">
        <v>91.46</v>
      </c>
      <c r="I2980">
        <v>91.47</v>
      </c>
      <c r="J2980">
        <v>-0.01</v>
      </c>
    </row>
    <row r="2981" spans="1:10" x14ac:dyDescent="0.3">
      <c r="A2981" t="str">
        <f>HYPERLINK("https://us2.cloudbeds.com/connect/10074733072513#/reservations/30672031518887?display=YQMZGDT5A&amp;reservation_id=30672031518887", "YQMZGDT5A")</f>
        <v>YQMZGDT5A</v>
      </c>
      <c r="B2981" t="s">
        <v>10</v>
      </c>
      <c r="C2981" t="s">
        <v>42</v>
      </c>
      <c r="D2981" t="str">
        <f>HYPERLINK("https://us2.cloudbeds.com/connect/10074733072513#/reservations/30672031518887?display=Scott%20Taverna&amp;reservation_id=30672031518887&amp;guest_id=30672031518881", "Scott Taverna")</f>
        <v>Scott Taverna</v>
      </c>
      <c r="E2981" t="s">
        <v>2566</v>
      </c>
      <c r="F2981" t="s">
        <v>2567</v>
      </c>
      <c r="G2981">
        <v>276.3</v>
      </c>
      <c r="H2981">
        <v>300.33</v>
      </c>
      <c r="I2981">
        <v>300.33999999999997</v>
      </c>
      <c r="J2981">
        <v>-0.01</v>
      </c>
    </row>
    <row r="2982" spans="1:10" x14ac:dyDescent="0.3">
      <c r="A2982" t="str">
        <f>HYPERLINK("https://us2.cloudbeds.com/connect/10074733072513#/reservations/30671699656859?display=YQMG0JB07&amp;reservation_id=30671699656859", "YQMG0JB07")</f>
        <v>YQMG0JB07</v>
      </c>
      <c r="B2982" t="s">
        <v>10</v>
      </c>
      <c r="C2982" t="s">
        <v>42</v>
      </c>
      <c r="D2982" t="str">
        <f>HYPERLINK("https://us2.cloudbeds.com/connect/10074733072513#/reservations/30671699656859?display=Lisa%20Allen&amp;reservation_id=30671699656859&amp;guest_id=30671699656854", "Lisa Allen")</f>
        <v>Lisa Allen</v>
      </c>
      <c r="E2982" t="s">
        <v>2576</v>
      </c>
      <c r="F2982" t="s">
        <v>2577</v>
      </c>
      <c r="G2982">
        <v>250.2</v>
      </c>
      <c r="H2982">
        <v>271.95999999999998</v>
      </c>
      <c r="I2982">
        <v>271.97000000000003</v>
      </c>
      <c r="J2982">
        <v>-0.01</v>
      </c>
    </row>
    <row r="2983" spans="1:10" x14ac:dyDescent="0.3">
      <c r="A2983" t="str">
        <f>HYPERLINK("https://us2.cloudbeds.com/connect/10074733072513#/reservations/30685215641784?display=YQWVCKHZW&amp;reservation_id=30685215641784", "YQWVCKHZW")</f>
        <v>YQWVCKHZW</v>
      </c>
      <c r="B2983" t="s">
        <v>10</v>
      </c>
      <c r="C2983" t="s">
        <v>42</v>
      </c>
      <c r="D2983" t="str">
        <f>HYPERLINK("https://us2.cloudbeds.com/connect/10074733072513#/reservations/30685215641784?display=Conelly%20Lee&amp;reservation_id=30685215641784&amp;guest_id=30685208740060", "Conelly Lee")</f>
        <v>Conelly Lee</v>
      </c>
      <c r="E2983" t="s">
        <v>2580</v>
      </c>
      <c r="F2983" t="s">
        <v>2581</v>
      </c>
      <c r="G2983">
        <v>270.2</v>
      </c>
      <c r="H2983">
        <v>293.7</v>
      </c>
      <c r="I2983">
        <v>293.70999999999998</v>
      </c>
      <c r="J2983">
        <v>-0.01</v>
      </c>
    </row>
    <row r="2984" spans="1:10" x14ac:dyDescent="0.3">
      <c r="A2984" t="str">
        <f>HYPERLINK("https://us2.cloudbeds.com/connect/10074733072513#/reservations/30672225587371?display=YQMTF244F&amp;reservation_id=30672225587371", "YQMTF244F")</f>
        <v>YQMTF244F</v>
      </c>
      <c r="B2984" t="s">
        <v>10</v>
      </c>
      <c r="C2984" t="s">
        <v>42</v>
      </c>
      <c r="D2984" t="str">
        <f>HYPERLINK("https://us2.cloudbeds.com/connect/10074733072513#/reservations/30672225587371?display=Rhonda%20Karst&amp;reservation_id=30672225587371&amp;guest_id=30672225587369", "Rhonda Karst")</f>
        <v>Rhonda Karst</v>
      </c>
      <c r="E2984" t="s">
        <v>2582</v>
      </c>
      <c r="F2984" t="s">
        <v>2557</v>
      </c>
      <c r="G2984">
        <v>384.3</v>
      </c>
      <c r="H2984">
        <v>417.72</v>
      </c>
      <c r="I2984">
        <v>417.73</v>
      </c>
      <c r="J2984">
        <v>-0.01</v>
      </c>
    </row>
    <row r="2985" spans="1:10" x14ac:dyDescent="0.3">
      <c r="A2985" t="str">
        <f>HYPERLINK("https://us2.cloudbeds.com/connect/10074733072513#/reservations/30670981562555?display=YQYUM29UP&amp;reservation_id=30670981562555", "YQYUM29UP")</f>
        <v>YQYUM29UP</v>
      </c>
      <c r="B2985" t="s">
        <v>10</v>
      </c>
      <c r="C2985" t="s">
        <v>42</v>
      </c>
      <c r="D2985" t="str">
        <f>HYPERLINK("https://us2.cloudbeds.com/connect/10074733072513#/reservations/30670981562555?display=Clinton%20Harris&amp;reservation_id=30670981562555&amp;guest_id=30670981562550", "Clinton Harris")</f>
        <v>Clinton Harris</v>
      </c>
      <c r="E2985" t="s">
        <v>2583</v>
      </c>
      <c r="F2985" t="s">
        <v>2584</v>
      </c>
      <c r="G2985">
        <v>712.8</v>
      </c>
      <c r="H2985">
        <v>774.8</v>
      </c>
      <c r="I2985">
        <v>774.81</v>
      </c>
      <c r="J2985">
        <v>-0.01</v>
      </c>
    </row>
    <row r="2986" spans="1:10" x14ac:dyDescent="0.3">
      <c r="A2986" t="str">
        <f>HYPERLINK("https://us2.cloudbeds.com/connect/10074733072513#/reservations/30672276041929?display=YQMUZK37F&amp;reservation_id=30672276041929", "YQMUZK37F")</f>
        <v>YQMUZK37F</v>
      </c>
      <c r="B2986" t="s">
        <v>10</v>
      </c>
      <c r="C2986" t="s">
        <v>14</v>
      </c>
      <c r="D2986" t="str">
        <f>HYPERLINK("https://us2.cloudbeds.com/connect/10074733072513#/reservations/30672276041929?display=Jerry%20Payne&amp;reservation_id=30672276041929&amp;guest_id=30671048466582", "Jerry Payne")</f>
        <v>Jerry Payne</v>
      </c>
      <c r="E2986" t="s">
        <v>567</v>
      </c>
      <c r="F2986" t="s">
        <v>2586</v>
      </c>
      <c r="G2986">
        <v>82.94</v>
      </c>
      <c r="H2986">
        <v>90.15</v>
      </c>
      <c r="I2986">
        <v>90.16</v>
      </c>
      <c r="J2986">
        <v>-0.01</v>
      </c>
    </row>
    <row r="2987" spans="1:10" x14ac:dyDescent="0.3">
      <c r="A2987" t="str">
        <f>HYPERLINK("https://us2.cloudbeds.com/connect/10074733072513#/reservations/30672382763195?display=YQN0FJPX7&amp;reservation_id=30672382763195", "YQN0FJPX7")</f>
        <v>YQN0FJPX7</v>
      </c>
      <c r="B2987" t="s">
        <v>10</v>
      </c>
      <c r="C2987" t="s">
        <v>42</v>
      </c>
      <c r="D2987" t="str">
        <f>HYPERLINK("https://us2.cloudbeds.com/connect/10074733072513#/reservations/30672382763195?display=Harvey%20Gehrke&amp;reservation_id=30672382763195&amp;guest_id=30672382763193", "Harvey Gehrke")</f>
        <v>Harvey Gehrke</v>
      </c>
      <c r="E2987" t="s">
        <v>2587</v>
      </c>
      <c r="F2987" t="s">
        <v>2588</v>
      </c>
      <c r="G2987">
        <v>250.2</v>
      </c>
      <c r="H2987">
        <v>271.95999999999998</v>
      </c>
      <c r="I2987">
        <v>271.97000000000003</v>
      </c>
      <c r="J2987">
        <v>-0.01</v>
      </c>
    </row>
    <row r="2988" spans="1:10" x14ac:dyDescent="0.3">
      <c r="A2988" t="str">
        <f>HYPERLINK("https://us2.cloudbeds.com/connect/10074733072513#/reservations/30672262324377?display=YQMUD1CP2&amp;reservation_id=30672262324377", "YQMUD1CP2")</f>
        <v>YQMUD1CP2</v>
      </c>
      <c r="B2988" t="s">
        <v>10</v>
      </c>
      <c r="C2988" t="s">
        <v>14</v>
      </c>
      <c r="D2988" t="str">
        <f>HYPERLINK("https://us2.cloudbeds.com/connect/10074733072513#/reservations/30672262324377?display=John%20Fehr&amp;reservation_id=30672262324377&amp;guest_id=30672262324374", "John Fehr")</f>
        <v>John Fehr</v>
      </c>
      <c r="E2988" t="s">
        <v>2589</v>
      </c>
      <c r="F2988" t="s">
        <v>2586</v>
      </c>
      <c r="G2988">
        <v>82.94</v>
      </c>
      <c r="H2988">
        <v>90.15</v>
      </c>
      <c r="I2988">
        <v>90.16</v>
      </c>
      <c r="J2988">
        <v>-0.01</v>
      </c>
    </row>
    <row r="2989" spans="1:10" x14ac:dyDescent="0.3">
      <c r="A2989" t="str">
        <f>HYPERLINK("https://us2.cloudbeds.com/connect/10074733072513#/reservations/30674308206720?display=YQZGM5VTH&amp;reservation_id=30674308206720", "YQZGM5VTH")</f>
        <v>YQZGM5VTH</v>
      </c>
      <c r="B2989" t="s">
        <v>10</v>
      </c>
      <c r="C2989" t="s">
        <v>42</v>
      </c>
      <c r="D2989" t="str">
        <f>HYPERLINK("https://us2.cloudbeds.com/connect/10074733072513#/reservations/30674308206720?display=Scott%20Kraft&amp;reservation_id=30674308206720&amp;guest_id=30674308202635", "Scott Kraft")</f>
        <v>Scott Kraft</v>
      </c>
      <c r="E2989" t="s">
        <v>2591</v>
      </c>
      <c r="F2989" t="s">
        <v>2592</v>
      </c>
      <c r="G2989">
        <v>268.2</v>
      </c>
      <c r="H2989">
        <v>291.52</v>
      </c>
      <c r="I2989">
        <v>291.52999999999997</v>
      </c>
      <c r="J2989">
        <v>-0.01</v>
      </c>
    </row>
    <row r="2990" spans="1:10" x14ac:dyDescent="0.3">
      <c r="A2990" t="str">
        <f>HYPERLINK("https://us2.cloudbeds.com/connect/10074733072513#/reservations/30672196276465?display=YQMSNBGN6&amp;reservation_id=30672196276465", "YQMSNBGN6")</f>
        <v>YQMSNBGN6</v>
      </c>
      <c r="B2990" t="s">
        <v>10</v>
      </c>
      <c r="C2990" t="s">
        <v>20</v>
      </c>
      <c r="D2990" t="str">
        <f>HYPERLINK("https://us2.cloudbeds.com/connect/10074733072513#/reservations/30672196276465?display=Adrienne%20Steffes&amp;reservation_id=30672196276465&amp;guest_id=30672196276462", "Adrienne Steffes")</f>
        <v>Adrienne Steffes</v>
      </c>
      <c r="E2990" t="s">
        <v>2595</v>
      </c>
      <c r="F2990" t="s">
        <v>2557</v>
      </c>
      <c r="G2990">
        <v>120.32</v>
      </c>
      <c r="H2990">
        <v>130.78</v>
      </c>
      <c r="I2990">
        <v>130.79</v>
      </c>
      <c r="J2990">
        <v>-0.01</v>
      </c>
    </row>
    <row r="2991" spans="1:10" x14ac:dyDescent="0.3">
      <c r="A2991" t="str">
        <f>HYPERLINK("https://us2.cloudbeds.com/connect/10074733072513#/reservations/30672262344910?display=YQMUD1VK9&amp;reservation_id=30672262344910", "YQMUD1VK9")</f>
        <v>YQMUD1VK9</v>
      </c>
      <c r="B2991" t="s">
        <v>10</v>
      </c>
      <c r="C2991" t="s">
        <v>20</v>
      </c>
      <c r="D2991" t="str">
        <f>HYPERLINK("https://us2.cloudbeds.com/connect/10074733072513#/reservations/30672262344910?display=Zimmer%20Brittany&amp;reservation_id=30672262344910&amp;guest_id=30672262344905", "Zimmer Brittany")</f>
        <v>Zimmer Brittany</v>
      </c>
      <c r="E2991" t="s">
        <v>2596</v>
      </c>
      <c r="F2991" t="s">
        <v>2597</v>
      </c>
      <c r="G2991">
        <v>339.45</v>
      </c>
      <c r="H2991">
        <v>368.97</v>
      </c>
      <c r="I2991">
        <v>368.98</v>
      </c>
      <c r="J2991">
        <v>-0.01</v>
      </c>
    </row>
    <row r="2992" spans="1:10" x14ac:dyDescent="0.3">
      <c r="A2992" t="str">
        <f>HYPERLINK("https://us2.cloudbeds.com/connect/10074733072513#/reservations/30671895511243?display=YQMY0Z8UX&amp;reservation_id=30671895511243", "YQMY0Z8UX")</f>
        <v>YQMY0Z8UX</v>
      </c>
      <c r="B2992" t="s">
        <v>10</v>
      </c>
      <c r="C2992" t="s">
        <v>11</v>
      </c>
      <c r="D2992" t="str">
        <f>HYPERLINK("https://us2.cloudbeds.com/connect/10074733072513#/reservations/30671895511243?display=Dayton%20Saugstad&amp;reservation_id=30671895511243&amp;guest_id=30671895511239", "Dayton Saugstad")</f>
        <v>Dayton Saugstad</v>
      </c>
      <c r="E2992" t="s">
        <v>2598</v>
      </c>
      <c r="F2992" t="s">
        <v>2599</v>
      </c>
      <c r="G2992">
        <v>84.15</v>
      </c>
      <c r="H2992">
        <v>91.46</v>
      </c>
      <c r="I2992">
        <v>91.47</v>
      </c>
      <c r="J2992">
        <v>-0.01</v>
      </c>
    </row>
    <row r="2993" spans="1:10" x14ac:dyDescent="0.3">
      <c r="A2993" t="str">
        <f>HYPERLINK("https://us2.cloudbeds.com/connect/10074733072513#/reservations/30674722562251?display=YQZR8J4BU&amp;reservation_id=30674722562251", "YQZR8J4BU")</f>
        <v>YQZR8J4BU</v>
      </c>
      <c r="B2993" t="s">
        <v>10</v>
      </c>
      <c r="C2993" t="s">
        <v>42</v>
      </c>
      <c r="D2993" t="str">
        <f>HYPERLINK("https://us2.cloudbeds.com/connect/10074733072513#/reservations/30674722562251?display=Sandy%20Forthman&amp;reservation_id=30674722562251&amp;guest_id=30674722562245", "Sandy Forthman")</f>
        <v>Sandy Forthman</v>
      </c>
      <c r="E2993" t="s">
        <v>2600</v>
      </c>
      <c r="F2993" t="s">
        <v>2601</v>
      </c>
      <c r="G2993">
        <v>196.2</v>
      </c>
      <c r="H2993">
        <v>213.26</v>
      </c>
      <c r="I2993">
        <v>213.27</v>
      </c>
      <c r="J2993">
        <v>-0.01</v>
      </c>
    </row>
    <row r="2994" spans="1:10" x14ac:dyDescent="0.3">
      <c r="A2994" t="str">
        <f>HYPERLINK("https://us2.cloudbeds.com/connect/10074733072513#/reservations/30669434200211?display=YQKZ49YSP&amp;reservation_id=30669434200211", "YQKZ49YSP")</f>
        <v>YQKZ49YSP</v>
      </c>
      <c r="B2994" t="s">
        <v>10</v>
      </c>
      <c r="C2994" t="s">
        <v>42</v>
      </c>
      <c r="D2994" t="str">
        <f>HYPERLINK("https://us2.cloudbeds.com/connect/10074733072513#/reservations/30669434200211?display=Dwaine%20Trease&amp;reservation_id=30669434200211&amp;guest_id=30669434200208", "Dwaine Trease")</f>
        <v>Dwaine Trease</v>
      </c>
      <c r="E2994" t="s">
        <v>2602</v>
      </c>
      <c r="F2994" t="s">
        <v>2603</v>
      </c>
      <c r="G2994">
        <v>356.4</v>
      </c>
      <c r="H2994">
        <v>387.4</v>
      </c>
      <c r="I2994">
        <v>387.41</v>
      </c>
      <c r="J2994">
        <v>-0.01</v>
      </c>
    </row>
    <row r="2995" spans="1:10" x14ac:dyDescent="0.3">
      <c r="A2995" t="str">
        <f>HYPERLINK("https://us2.cloudbeds.com/connect/10074733072513#/reservations/30671083778199?display=YQM098JSH&amp;reservation_id=30671083778199", "YQM098JSH")</f>
        <v>YQM098JSH</v>
      </c>
      <c r="B2995" t="s">
        <v>10</v>
      </c>
      <c r="C2995" t="s">
        <v>42</v>
      </c>
      <c r="D2995" t="str">
        <f>HYPERLINK("https://us2.cloudbeds.com/connect/10074733072513#/reservations/30671083778199?display=Jeremy%20Grannan&amp;reservation_id=30671083778199&amp;guest_id=30671079543036", "Jeremy Grannan")</f>
        <v>Jeremy Grannan</v>
      </c>
      <c r="E2995" t="s">
        <v>2604</v>
      </c>
      <c r="F2995" t="s">
        <v>2605</v>
      </c>
      <c r="G2995">
        <v>666</v>
      </c>
      <c r="H2995">
        <v>723.93</v>
      </c>
      <c r="I2995">
        <v>723.94</v>
      </c>
      <c r="J2995">
        <v>-0.01</v>
      </c>
    </row>
    <row r="2996" spans="1:10" x14ac:dyDescent="0.3">
      <c r="A2996" t="str">
        <f>HYPERLINK("https://us2.cloudbeds.com/connect/10074733072513#/reservations/30671104348357?display=YQM0QJWTY&amp;reservation_id=30671104348357", "YQM0QJWTY")</f>
        <v>YQM0QJWTY</v>
      </c>
      <c r="B2996" t="s">
        <v>10</v>
      </c>
      <c r="C2996" t="s">
        <v>20</v>
      </c>
      <c r="D2996" t="str">
        <f>HYPERLINK("https://us2.cloudbeds.com/connect/10074733072513#/reservations/30671104348357?display=Matthew%20Thornton&amp;reservation_id=30671104348357&amp;guest_id=30671104348354", "Matthew Thornton")</f>
        <v>Matthew Thornton</v>
      </c>
      <c r="E2996" t="s">
        <v>2606</v>
      </c>
      <c r="F2996" t="s">
        <v>2607</v>
      </c>
      <c r="G2996">
        <v>212.55</v>
      </c>
      <c r="H2996">
        <v>231.03</v>
      </c>
      <c r="I2996">
        <v>231.04</v>
      </c>
      <c r="J2996">
        <v>-0.01</v>
      </c>
    </row>
    <row r="2997" spans="1:10" x14ac:dyDescent="0.3">
      <c r="A2997" t="str">
        <f>HYPERLINK("https://us2.cloudbeds.com/connect/10074733072513#/reservations/30681601482993?display=YQU5127WK&amp;reservation_id=30681601482993", "YQU5127WK")</f>
        <v>YQU5127WK</v>
      </c>
      <c r="B2997" t="s">
        <v>10</v>
      </c>
      <c r="C2997" t="s">
        <v>17</v>
      </c>
      <c r="D2997" t="str">
        <f>HYPERLINK("https://us2.cloudbeds.com/connect/10074733072513#/reservations/30681601482993?display=Robert%20Jacobson&amp;reservation_id=30681601482993&amp;guest_id=30681601482987", "Robert Jacobson")</f>
        <v>Robert Jacobson</v>
      </c>
      <c r="E2997" t="s">
        <v>2608</v>
      </c>
      <c r="F2997" t="s">
        <v>2609</v>
      </c>
      <c r="G2997">
        <v>134.1</v>
      </c>
      <c r="H2997">
        <v>145.76</v>
      </c>
      <c r="I2997">
        <v>145.77000000000001</v>
      </c>
      <c r="J2997">
        <v>-0.01</v>
      </c>
    </row>
    <row r="2998" spans="1:10" x14ac:dyDescent="0.3">
      <c r="A2998" t="str">
        <f>HYPERLINK("https://us2.cloudbeds.com/connect/10074733072513#/reservations/30670065463426?display=YQY78JG83&amp;reservation_id=30670065463426", "YQY78JG83")</f>
        <v>YQY78JG83</v>
      </c>
      <c r="B2998" t="s">
        <v>10</v>
      </c>
      <c r="C2998" t="s">
        <v>23</v>
      </c>
      <c r="D2998" t="str">
        <f>HYPERLINK("https://us2.cloudbeds.com/connect/10074733072513#/reservations/30670065463426?display=Chad%20Berg&amp;reservation_id=30670065463426&amp;guest_id=30670059561121", "Chad Berg")</f>
        <v>Chad Berg</v>
      </c>
      <c r="E2998" t="s">
        <v>2610</v>
      </c>
      <c r="F2998" t="s">
        <v>2611</v>
      </c>
      <c r="G2998">
        <v>250.2</v>
      </c>
      <c r="H2998">
        <v>271.95999999999998</v>
      </c>
      <c r="I2998">
        <v>271.97000000000003</v>
      </c>
      <c r="J2998">
        <v>-0.01</v>
      </c>
    </row>
    <row r="2999" spans="1:10" x14ac:dyDescent="0.3">
      <c r="A2999" t="str">
        <f>HYPERLINK("https://us2.cloudbeds.com/connect/10074733072513#/reservations/30677290160274?display=YQQQSYAVK&amp;reservation_id=30677290160274", "YQQQSYAVK")</f>
        <v>YQQQSYAVK</v>
      </c>
      <c r="B2999" t="s">
        <v>10</v>
      </c>
      <c r="C2999" t="s">
        <v>42</v>
      </c>
      <c r="D2999" t="str">
        <f>HYPERLINK("https://us2.cloudbeds.com/connect/10074733072513#/reservations/30677290160274?display=John%20Lafave&amp;reservation_id=30677290160274&amp;guest_id=30677290160269", "John Lafave")</f>
        <v>John Lafave</v>
      </c>
      <c r="E2999" t="s">
        <v>2612</v>
      </c>
      <c r="F2999" t="s">
        <v>2613</v>
      </c>
      <c r="G2999">
        <v>270.2</v>
      </c>
      <c r="H2999">
        <v>293.7</v>
      </c>
      <c r="I2999">
        <v>293.70999999999998</v>
      </c>
      <c r="J2999">
        <v>-0.01</v>
      </c>
    </row>
    <row r="3000" spans="1:10" x14ac:dyDescent="0.3">
      <c r="A3000" t="str">
        <f>HYPERLINK("https://us2.cloudbeds.com/connect/10074733072513#/reservations/30671110541471?display=YQM0VRASP&amp;reservation_id=30671110541471", "YQM0VRASP")</f>
        <v>YQM0VRASP</v>
      </c>
      <c r="B3000" t="s">
        <v>10</v>
      </c>
      <c r="C3000" t="s">
        <v>14</v>
      </c>
      <c r="D3000" t="str">
        <f>HYPERLINK("https://us2.cloudbeds.com/connect/10074733072513#/reservations/30671110541471?display=Alexander%20Gardner&amp;reservation_id=30671110541471&amp;guest_id=30671110541460", "Alexander Gardner")</f>
        <v>Alexander Gardner</v>
      </c>
      <c r="E3000" t="s">
        <v>2614</v>
      </c>
      <c r="F3000" t="s">
        <v>2607</v>
      </c>
      <c r="G3000">
        <v>82.94</v>
      </c>
      <c r="H3000">
        <v>90.15</v>
      </c>
      <c r="I3000">
        <v>90.16</v>
      </c>
      <c r="J3000">
        <v>-0.01</v>
      </c>
    </row>
    <row r="3001" spans="1:10" x14ac:dyDescent="0.3">
      <c r="A3001" t="str">
        <f>HYPERLINK("https://us2.cloudbeds.com/connect/10074733072513#/reservations/30673161130143?display=YQNKBUWDE&amp;reservation_id=30673161130143", "YQNKBUWDE")</f>
        <v>YQNKBUWDE</v>
      </c>
      <c r="B3001" t="s">
        <v>10</v>
      </c>
      <c r="C3001" t="s">
        <v>14</v>
      </c>
      <c r="D3001" t="str">
        <f>HYPERLINK("https://us2.cloudbeds.com/connect/10074733072513#/reservations/30673161130143?display=Jerry%20Payne&amp;reservation_id=30673161130143&amp;guest_id=30671048466582", "Jerry Payne")</f>
        <v>Jerry Payne</v>
      </c>
      <c r="E3001" t="s">
        <v>567</v>
      </c>
      <c r="F3001" t="s">
        <v>2616</v>
      </c>
      <c r="G3001">
        <v>74.12</v>
      </c>
      <c r="H3001">
        <v>80.56</v>
      </c>
      <c r="I3001">
        <v>80.569999999999993</v>
      </c>
      <c r="J3001">
        <v>-0.01</v>
      </c>
    </row>
    <row r="3002" spans="1:10" x14ac:dyDescent="0.3">
      <c r="A3002" t="str">
        <f>HYPERLINK("https://us2.cloudbeds.com/connect/10074733072513#/reservations/30672613990638?display=YQN6CJ0KE&amp;reservation_id=30672613990638", "YQN6CJ0KE")</f>
        <v>YQN6CJ0KE</v>
      </c>
      <c r="B3002" t="s">
        <v>10</v>
      </c>
      <c r="C3002" t="s">
        <v>14</v>
      </c>
      <c r="D3002" t="str">
        <f>HYPERLINK("https://us2.cloudbeds.com/connect/10074733072513#/reservations/30672613990638?display=Paul%20Schaub&amp;reservation_id=30672613990638&amp;guest_id=30672613990626", "Paul Schaub")</f>
        <v>Paul Schaub</v>
      </c>
      <c r="E3002" t="s">
        <v>2617</v>
      </c>
      <c r="F3002" t="s">
        <v>2618</v>
      </c>
      <c r="G3002">
        <v>74.12</v>
      </c>
      <c r="H3002">
        <v>80.56</v>
      </c>
      <c r="I3002">
        <v>80.569999999999993</v>
      </c>
      <c r="J3002">
        <v>-0.01</v>
      </c>
    </row>
    <row r="3003" spans="1:10" x14ac:dyDescent="0.3">
      <c r="A3003" t="str">
        <f>HYPERLINK("https://us2.cloudbeds.com/connect/10074733072513#/reservations/30674026061962?display=YQZ9F8WGX&amp;reservation_id=30674026061962", "YQZ9F8WGX")</f>
        <v>YQZ9F8WGX</v>
      </c>
      <c r="B3003" t="s">
        <v>10</v>
      </c>
      <c r="C3003" t="s">
        <v>11</v>
      </c>
      <c r="D3003" t="str">
        <f>HYPERLINK("https://us2.cloudbeds.com/connect/10074733072513#/reservations/30674026061962?display=Trevor%20Holbrook&amp;reservation_id=30674026061962&amp;guest_id=30674026057881", "Trevor Holbrook")</f>
        <v>Trevor Holbrook</v>
      </c>
      <c r="E3003" t="s">
        <v>2619</v>
      </c>
      <c r="F3003" t="s">
        <v>2554</v>
      </c>
      <c r="G3003">
        <v>118.15</v>
      </c>
      <c r="H3003">
        <v>128.41999999999999</v>
      </c>
      <c r="I3003">
        <v>128.43</v>
      </c>
      <c r="J3003">
        <v>-0.01</v>
      </c>
    </row>
    <row r="3004" spans="1:10" x14ac:dyDescent="0.3">
      <c r="A3004" t="str">
        <f>HYPERLINK("https://us2.cloudbeds.com/connect/10074733072513#/reservations/30674202935450?display=YQZDWDZP7&amp;reservation_id=30674202935450", "YQZDWDZP7")</f>
        <v>YQZDWDZP7</v>
      </c>
      <c r="B3004" t="s">
        <v>10</v>
      </c>
      <c r="C3004" t="s">
        <v>14</v>
      </c>
      <c r="D3004" t="str">
        <f>HYPERLINK("https://us2.cloudbeds.com/connect/10074733072513#/reservations/30674202935450?display=Brenda%20Mix-Osbeck&amp;reservation_id=30674202935450&amp;guest_id=30674202935445", "Brenda Mix-Osbeck")</f>
        <v>Brenda Mix-Osbeck</v>
      </c>
      <c r="E3004" t="s">
        <v>1504</v>
      </c>
      <c r="F3004" t="s">
        <v>2622</v>
      </c>
      <c r="G3004">
        <v>84.15</v>
      </c>
      <c r="H3004">
        <v>91.46</v>
      </c>
      <c r="I3004">
        <v>91.47</v>
      </c>
      <c r="J3004">
        <v>-0.01</v>
      </c>
    </row>
    <row r="3005" spans="1:10" x14ac:dyDescent="0.3">
      <c r="A3005" t="str">
        <f>HYPERLINK("https://us2.cloudbeds.com/connect/10074733072513#/reservations/30672951890102?display=YQNF0GXQ4&amp;reservation_id=30672951890102", "YQNF0GXQ4")</f>
        <v>YQNF0GXQ4</v>
      </c>
      <c r="B3005" t="s">
        <v>10</v>
      </c>
      <c r="C3005" t="s">
        <v>11</v>
      </c>
      <c r="D3005" t="str">
        <f>HYPERLINK("https://us2.cloudbeds.com/connect/10074733072513#/reservations/30672951890102?display=Dawn%20Richter&amp;reservation_id=30672951890102&amp;guest_id=30672951890100", "Dawn Richter")</f>
        <v>Dawn Richter</v>
      </c>
      <c r="E3005" t="s">
        <v>1933</v>
      </c>
      <c r="F3005" t="s">
        <v>2601</v>
      </c>
      <c r="G3005">
        <v>76.16</v>
      </c>
      <c r="H3005">
        <v>82.78</v>
      </c>
      <c r="I3005">
        <v>82.79</v>
      </c>
      <c r="J3005">
        <v>-0.01</v>
      </c>
    </row>
    <row r="3006" spans="1:10" x14ac:dyDescent="0.3">
      <c r="A3006" t="str">
        <f>HYPERLINK("https://us2.cloudbeds.com/connect/10074733072513#/reservations/30672217948364?display=YQMT8KXED&amp;reservation_id=30672217948364", "YQMT8KXED")</f>
        <v>YQMT8KXED</v>
      </c>
      <c r="B3006" t="s">
        <v>10</v>
      </c>
      <c r="C3006" t="s">
        <v>23</v>
      </c>
      <c r="D3006" t="str">
        <f>HYPERLINK("https://us2.cloudbeds.com/connect/10074733072513#/reservations/30672217948364?display=Jessica%20Lewis&amp;reservation_id=30672217948364&amp;guest_id=30672217948359", "Jessica Lewis")</f>
        <v>Jessica Lewis</v>
      </c>
      <c r="E3006" t="s">
        <v>2627</v>
      </c>
      <c r="F3006" t="s">
        <v>2628</v>
      </c>
      <c r="G3006">
        <v>268.2</v>
      </c>
      <c r="H3006">
        <v>291.52</v>
      </c>
      <c r="I3006">
        <v>291.52999999999997</v>
      </c>
      <c r="J3006">
        <v>-0.01</v>
      </c>
    </row>
    <row r="3007" spans="1:10" x14ac:dyDescent="0.3">
      <c r="A3007" t="str">
        <f>HYPERLINK("https://us2.cloudbeds.com/connect/10074733072513#/reservations/30674636824790?display=YQZP29BU1&amp;reservation_id=30674636824790", "YQZP29BU1")</f>
        <v>YQZP29BU1</v>
      </c>
      <c r="B3007" t="s">
        <v>10</v>
      </c>
      <c r="C3007" t="s">
        <v>42</v>
      </c>
      <c r="D3007" t="str">
        <f>HYPERLINK("https://us2.cloudbeds.com/connect/10074733072513#/reservations/30674636824790?display=David%20Groebner&amp;reservation_id=30674636824790&amp;guest_id=30674636820705", "David Groebner")</f>
        <v>David Groebner</v>
      </c>
      <c r="E3007" t="s">
        <v>2629</v>
      </c>
      <c r="F3007" t="s">
        <v>2630</v>
      </c>
      <c r="G3007">
        <v>268.2</v>
      </c>
      <c r="H3007">
        <v>291.52</v>
      </c>
      <c r="I3007">
        <v>291.52999999999997</v>
      </c>
      <c r="J3007">
        <v>-0.01</v>
      </c>
    </row>
    <row r="3008" spans="1:10" x14ac:dyDescent="0.3">
      <c r="A3008" t="str">
        <f>HYPERLINK("https://us2.cloudbeds.com/connect/10074733072513#/reservations/30677301072083?display=YQQR4RVWG&amp;reservation_id=30677301072083", "YQQR4RVWG")</f>
        <v>YQQR4RVWG</v>
      </c>
      <c r="B3008" t="s">
        <v>10</v>
      </c>
      <c r="C3008" t="s">
        <v>42</v>
      </c>
      <c r="D3008" t="str">
        <f>HYPERLINK("https://us2.cloudbeds.com/connect/10074733072513#/reservations/30677301072083?display=Joann%20Dyk&amp;reservation_id=30677301072083&amp;guest_id=30677301072081", "Joann Dyk")</f>
        <v>Joann Dyk</v>
      </c>
      <c r="E3008" t="s">
        <v>2631</v>
      </c>
      <c r="F3008" t="s">
        <v>2613</v>
      </c>
      <c r="G3008">
        <v>270.2</v>
      </c>
      <c r="H3008">
        <v>293.7</v>
      </c>
      <c r="I3008">
        <v>293.70999999999998</v>
      </c>
      <c r="J3008">
        <v>-0.01</v>
      </c>
    </row>
    <row r="3009" spans="1:10" x14ac:dyDescent="0.3">
      <c r="A3009" t="str">
        <f>HYPERLINK("https://us2.cloudbeds.com/connect/10074733072513#/reservations/30681976275138?display=YQUEK3CZB&amp;reservation_id=30681976275138", "YQUEK3CZB")</f>
        <v>YQUEK3CZB</v>
      </c>
      <c r="B3009" t="s">
        <v>10</v>
      </c>
      <c r="C3009" t="s">
        <v>11</v>
      </c>
      <c r="D3009" t="str">
        <f>HYPERLINK("https://us2.cloudbeds.com/connect/10074733072513#/reservations/30681976275138?display=Michelle%20A%20Bode&amp;reservation_id=30681976275138&amp;guest_id=30681976271047", "Michelle A Bode")</f>
        <v>Michelle A Bode</v>
      </c>
      <c r="E3009" t="s">
        <v>2632</v>
      </c>
      <c r="F3009" t="s">
        <v>2633</v>
      </c>
      <c r="G3009">
        <v>196.2</v>
      </c>
      <c r="H3009">
        <v>213.26</v>
      </c>
      <c r="I3009">
        <v>213.27</v>
      </c>
      <c r="J3009">
        <v>-0.01</v>
      </c>
    </row>
    <row r="3010" spans="1:10" x14ac:dyDescent="0.3">
      <c r="A3010" t="str">
        <f>HYPERLINK("https://us2.cloudbeds.com/connect/10074733072513#/reservations/30685473398989?display=YR04VW0DC&amp;reservation_id=30685473398989", "YR04VW0DC")</f>
        <v>YR04VW0DC</v>
      </c>
      <c r="B3010" t="s">
        <v>10</v>
      </c>
      <c r="C3010" t="s">
        <v>42</v>
      </c>
      <c r="D3010" t="str">
        <f>HYPERLINK("https://us2.cloudbeds.com/connect/10074733072513#/reservations/30685473398989?display=Robert%20Seivert&amp;reservation_id=30685473398989&amp;guest_id=30685473394893", "Robert Seivert")</f>
        <v>Robert Seivert</v>
      </c>
      <c r="E3010" t="s">
        <v>2634</v>
      </c>
      <c r="F3010" t="s">
        <v>2635</v>
      </c>
      <c r="G3010">
        <v>318</v>
      </c>
      <c r="H3010">
        <v>345.66</v>
      </c>
      <c r="I3010">
        <v>345.67</v>
      </c>
      <c r="J3010">
        <v>-0.01</v>
      </c>
    </row>
    <row r="3011" spans="1:10" x14ac:dyDescent="0.3">
      <c r="A3011" t="str">
        <f>HYPERLINK("https://us2.cloudbeds.com/connect/10074733072513#/reservations/30685984600272?display=YR0X10V2B&amp;reservation_id=30685984600272", "YR0X10V2B")</f>
        <v>YR0X10V2B</v>
      </c>
      <c r="B3011" t="s">
        <v>10</v>
      </c>
      <c r="C3011" t="s">
        <v>17</v>
      </c>
      <c r="D3011" t="str">
        <f>HYPERLINK("https://us2.cloudbeds.com/connect/10074733072513#/reservations/30685984600272?display=Robert%20Houser&amp;reservation_id=30685984600272&amp;guest_id=30685973610651", "Robert Houser")</f>
        <v>Robert Houser</v>
      </c>
      <c r="E3011" t="s">
        <v>2638</v>
      </c>
      <c r="F3011" t="s">
        <v>2639</v>
      </c>
      <c r="G3011">
        <v>366.3</v>
      </c>
      <c r="H3011">
        <v>398.16</v>
      </c>
      <c r="I3011">
        <v>398.17</v>
      </c>
      <c r="J3011">
        <v>-0.01</v>
      </c>
    </row>
    <row r="3012" spans="1:10" x14ac:dyDescent="0.3">
      <c r="A3012" t="str">
        <f>HYPERLINK("https://us2.cloudbeds.com/connect/10074733072513#/reservations/30672502980860?display=YQN3HW08P&amp;reservation_id=30672502980860", "YQN3HW08P")</f>
        <v>YQN3HW08P</v>
      </c>
      <c r="B3012" t="s">
        <v>10</v>
      </c>
      <c r="C3012" t="s">
        <v>20</v>
      </c>
      <c r="D3012" t="str">
        <f>HYPERLINK("https://us2.cloudbeds.com/connect/10074733072513#/reservations/30672502980860?display=Sandra%20Hall&amp;reservation_id=30672502980860&amp;guest_id=30672502980801", "Sandra Hall")</f>
        <v>Sandra Hall</v>
      </c>
      <c r="E3012" t="s">
        <v>2640</v>
      </c>
      <c r="F3012" t="s">
        <v>2641</v>
      </c>
      <c r="G3012">
        <v>296.69</v>
      </c>
      <c r="H3012">
        <v>322.49</v>
      </c>
      <c r="I3012">
        <v>322.5</v>
      </c>
      <c r="J3012">
        <v>-0.01</v>
      </c>
    </row>
    <row r="3013" spans="1:10" x14ac:dyDescent="0.3">
      <c r="A3013" t="str">
        <f>HYPERLINK("https://us2.cloudbeds.com/connect/10074733072513#/reservations/30668299362503?display=YQJS4C4AA&amp;reservation_id=30668299362503", "YQJS4C4AA")</f>
        <v>YQJS4C4AA</v>
      </c>
      <c r="B3013" t="s">
        <v>10</v>
      </c>
      <c r="C3013" t="s">
        <v>20</v>
      </c>
      <c r="D3013" t="str">
        <f>HYPERLINK("https://us2.cloudbeds.com/connect/10074733072513#/reservations/30668299362503?display=Michael%20Henry&amp;reservation_id=30668299362503&amp;guest_id=30668299362501", "Michael Henry")</f>
        <v>Michael Henry</v>
      </c>
      <c r="E3013" t="s">
        <v>2642</v>
      </c>
      <c r="F3013" t="s">
        <v>2624</v>
      </c>
      <c r="G3013">
        <v>93.2</v>
      </c>
      <c r="H3013">
        <v>101.3</v>
      </c>
      <c r="I3013">
        <v>101.31</v>
      </c>
      <c r="J3013">
        <v>-0.01</v>
      </c>
    </row>
    <row r="3014" spans="1:10" x14ac:dyDescent="0.3">
      <c r="A3014" t="str">
        <f>HYPERLINK("https://us2.cloudbeds.com/connect/10074733072513#/reservations/30672686203115?display=YQN87FEEA&amp;reservation_id=30672686203115", "YQN87FEEA")</f>
        <v>YQN87FEEA</v>
      </c>
      <c r="B3014" t="s">
        <v>10</v>
      </c>
      <c r="C3014" t="s">
        <v>17</v>
      </c>
      <c r="D3014" t="str">
        <f>HYPERLINK("https://us2.cloudbeds.com/connect/10074733072513#/reservations/30672686203115?display=Susan%20Johnson&amp;reservation_id=30672686203115&amp;guest_id=30652336455821", "Susan Johnson")</f>
        <v>Susan Johnson</v>
      </c>
      <c r="E3014" t="s">
        <v>2643</v>
      </c>
      <c r="F3014" t="s">
        <v>2611</v>
      </c>
      <c r="G3014">
        <v>250.2</v>
      </c>
      <c r="H3014">
        <v>271.95999999999998</v>
      </c>
      <c r="I3014">
        <v>271.97000000000003</v>
      </c>
      <c r="J3014">
        <v>-0.01</v>
      </c>
    </row>
    <row r="3015" spans="1:10" x14ac:dyDescent="0.3">
      <c r="A3015" t="str">
        <f>HYPERLINK("https://us2.cloudbeds.com/connect/10074733072513#/reservations/30673692610809?display=YQZ0V3735&amp;reservation_id=30673692610809", "YQZ0V3735")</f>
        <v>YQZ0V3735</v>
      </c>
      <c r="B3015" t="s">
        <v>10</v>
      </c>
      <c r="C3015" t="s">
        <v>11</v>
      </c>
      <c r="D3015" t="str">
        <f>HYPERLINK("https://us2.cloudbeds.com/connect/10074733072513#/reservations/30673692610809?display=Delynn%20Hanson&amp;reservation_id=30673692610809&amp;guest_id=30673692610807", "Delynn Hanson")</f>
        <v>Delynn Hanson</v>
      </c>
      <c r="E3015" t="s">
        <v>2644</v>
      </c>
      <c r="F3015" t="s">
        <v>2645</v>
      </c>
      <c r="G3015">
        <v>84.15</v>
      </c>
      <c r="H3015">
        <v>91.46</v>
      </c>
      <c r="I3015">
        <v>91.47</v>
      </c>
      <c r="J3015">
        <v>-0.01</v>
      </c>
    </row>
    <row r="3016" spans="1:10" x14ac:dyDescent="0.3">
      <c r="A3016" t="str">
        <f>HYPERLINK("https://us2.cloudbeds.com/connect/10074733072513#/reservations/30672057397470?display=YQMP57WPQ&amp;reservation_id=30672057397470", "YQMP57WPQ")</f>
        <v>YQMP57WPQ</v>
      </c>
      <c r="B3016" t="s">
        <v>10</v>
      </c>
      <c r="C3016" t="s">
        <v>42</v>
      </c>
      <c r="D3016" t="str">
        <f>HYPERLINK("https://us2.cloudbeds.com/connect/10074733072513#/reservations/30672057397470?display=Carol%20Brooms&amp;reservation_id=30672057397470&amp;guest_id=30671182008540", "Carol Brooms")</f>
        <v>Carol Brooms</v>
      </c>
      <c r="E3016" t="s">
        <v>2495</v>
      </c>
      <c r="F3016" t="s">
        <v>2646</v>
      </c>
      <c r="G3016">
        <v>267.3</v>
      </c>
      <c r="H3016">
        <v>290.55</v>
      </c>
      <c r="I3016">
        <v>290.56</v>
      </c>
      <c r="J3016">
        <v>-0.01</v>
      </c>
    </row>
    <row r="3017" spans="1:10" x14ac:dyDescent="0.3">
      <c r="A3017" t="str">
        <f>HYPERLINK("https://us2.cloudbeds.com/connect/10074733072513#/reservations/30682579587264?display=YQUTQQCEB&amp;reservation_id=30682579587264", "YQUTQQCEB")</f>
        <v>YQUTQQCEB</v>
      </c>
      <c r="B3017" t="s">
        <v>10</v>
      </c>
      <c r="C3017" t="s">
        <v>17</v>
      </c>
      <c r="D3017" t="str">
        <f>HYPERLINK("https://us2.cloudbeds.com/connect/10074733072513#/reservations/30682579587264?display=Steven%20Evans&amp;reservation_id=30682579587264&amp;guest_id=30682571247777", "Steven Evans")</f>
        <v>Steven Evans</v>
      </c>
      <c r="E3017" t="s">
        <v>2647</v>
      </c>
      <c r="F3017" t="s">
        <v>2633</v>
      </c>
      <c r="G3017">
        <v>196.2</v>
      </c>
      <c r="H3017">
        <v>213.26</v>
      </c>
      <c r="I3017">
        <v>213.27</v>
      </c>
      <c r="J3017">
        <v>-0.01</v>
      </c>
    </row>
    <row r="3018" spans="1:10" x14ac:dyDescent="0.3">
      <c r="A3018" t="str">
        <f>HYPERLINK("https://us2.cloudbeds.com/connect/10074733072513#/reservations/30672910950554?display=YQNDVWC2P&amp;reservation_id=30672910950554", "YQNDVWC2P")</f>
        <v>YQNDVWC2P</v>
      </c>
      <c r="B3018" t="s">
        <v>10</v>
      </c>
      <c r="C3018" t="s">
        <v>14</v>
      </c>
      <c r="D3018" t="str">
        <f>HYPERLINK("https://us2.cloudbeds.com/connect/10074733072513#/reservations/30672910950554?display=Michael%20Brekke&amp;reservation_id=30672910950554&amp;guest_id=30672910950551", "Michael Brekke")</f>
        <v>Michael Brekke</v>
      </c>
      <c r="E3018" t="s">
        <v>2648</v>
      </c>
      <c r="F3018" t="s">
        <v>2649</v>
      </c>
      <c r="G3018">
        <v>118.15</v>
      </c>
      <c r="H3018">
        <v>128.41999999999999</v>
      </c>
      <c r="I3018">
        <v>128.43</v>
      </c>
      <c r="J3018">
        <v>-0.01</v>
      </c>
    </row>
    <row r="3019" spans="1:10" x14ac:dyDescent="0.3">
      <c r="A3019" t="str">
        <f>HYPERLINK("https://us2.cloudbeds.com/connect/10074733072513#/reservations/30672437285088?display=YQN1SXUXQ&amp;reservation_id=30672437285088", "YQN1SXUXQ")</f>
        <v>YQN1SXUXQ</v>
      </c>
      <c r="B3019" t="s">
        <v>10</v>
      </c>
      <c r="C3019" t="s">
        <v>20</v>
      </c>
      <c r="D3019" t="str">
        <f>HYPERLINK("https://us2.cloudbeds.com/connect/10074733072513#/reservations/30672437285088?display=Philip%20Timmer&amp;reservation_id=30672437285088&amp;guest_id=30672437280996", "Philip Timmer")</f>
        <v>Philip Timmer</v>
      </c>
      <c r="E3019" t="s">
        <v>2652</v>
      </c>
      <c r="F3019" t="s">
        <v>2624</v>
      </c>
      <c r="G3019">
        <v>112.24</v>
      </c>
      <c r="H3019">
        <v>121.99</v>
      </c>
      <c r="I3019">
        <v>122</v>
      </c>
      <c r="J3019">
        <v>-0.01</v>
      </c>
    </row>
    <row r="3020" spans="1:10" x14ac:dyDescent="0.3">
      <c r="A3020" t="str">
        <f>HYPERLINK("https://us2.cloudbeds.com/connect/10074733072513#/reservations/30676985704606?display=YQQJ2UDB9&amp;reservation_id=30676985704606", "YQQJ2UDB9")</f>
        <v>YQQJ2UDB9</v>
      </c>
      <c r="B3020" t="s">
        <v>10</v>
      </c>
      <c r="C3020" t="s">
        <v>42</v>
      </c>
      <c r="D3020" t="str">
        <f>HYPERLINK("https://us2.cloudbeds.com/connect/10074733072513#/reservations/30676985704606?display=Shannon%20Schaap&amp;reservation_id=30676985704606&amp;guest_id=30676985700526", "Shannon Schaap")</f>
        <v>Shannon Schaap</v>
      </c>
      <c r="E3020" t="s">
        <v>2654</v>
      </c>
      <c r="F3020" t="s">
        <v>2655</v>
      </c>
      <c r="G3020">
        <v>149.97999999999999</v>
      </c>
      <c r="H3020">
        <v>163.02000000000001</v>
      </c>
      <c r="I3020">
        <v>163.03</v>
      </c>
      <c r="J3020">
        <v>-0.01</v>
      </c>
    </row>
    <row r="3021" spans="1:10" x14ac:dyDescent="0.3">
      <c r="A3021" t="str">
        <f>HYPERLINK("https://us2.cloudbeds.com/connect/10074733072513#/reservations/30668305453203?display=YQJS9GK7W&amp;reservation_id=30668305453203", "YQJS9GK7W")</f>
        <v>YQJS9GK7W</v>
      </c>
      <c r="B3021" t="s">
        <v>10</v>
      </c>
      <c r="C3021" t="s">
        <v>20</v>
      </c>
      <c r="D3021" t="str">
        <f>HYPERLINK("https://us2.cloudbeds.com/connect/10074733072513#/reservations/30668305453203?display=Mike%20Vanoort&amp;reservation_id=30668305453203&amp;guest_id=30668305449119", "Mike Vanoort")</f>
        <v>Mike Vanoort</v>
      </c>
      <c r="E3021" t="s">
        <v>2656</v>
      </c>
      <c r="F3021" t="s">
        <v>2624</v>
      </c>
      <c r="G3021">
        <v>110.3</v>
      </c>
      <c r="H3021">
        <v>119.89</v>
      </c>
      <c r="I3021">
        <v>119.9</v>
      </c>
      <c r="J3021">
        <v>-0.01</v>
      </c>
    </row>
    <row r="3022" spans="1:10" x14ac:dyDescent="0.3">
      <c r="A3022" t="str">
        <f>HYPERLINK("https://us2.cloudbeds.com/connect/10074733072513#/reservations/30682972557471?display=YQV726DX2&amp;reservation_id=30682972557471", "YQV726DX2")</f>
        <v>YQV726DX2</v>
      </c>
      <c r="B3022" t="s">
        <v>10</v>
      </c>
      <c r="C3022" t="s">
        <v>11</v>
      </c>
      <c r="D3022" t="str">
        <f>HYPERLINK("https://us2.cloudbeds.com/connect/10074733072513#/reservations/30682972557471?display=Jennifer%20Bohm&amp;reservation_id=30682972557471&amp;guest_id=30682964697312", "Jennifer Bohm")</f>
        <v>Jennifer Bohm</v>
      </c>
      <c r="E3022" t="s">
        <v>2658</v>
      </c>
      <c r="F3022" t="s">
        <v>2659</v>
      </c>
      <c r="G3022">
        <v>196.2</v>
      </c>
      <c r="H3022">
        <v>213.26</v>
      </c>
      <c r="I3022">
        <v>213.27</v>
      </c>
      <c r="J3022">
        <v>-0.01</v>
      </c>
    </row>
    <row r="3023" spans="1:10" x14ac:dyDescent="0.3">
      <c r="A3023" t="str">
        <f>HYPERLINK("https://us2.cloudbeds.com/connect/10074733072513#/reservations/30674383868128?display=YQZXJWFFY&amp;reservation_id=30674383868128", "YQZXJWFFY")</f>
        <v>YQZXJWFFY</v>
      </c>
      <c r="B3023" t="s">
        <v>10</v>
      </c>
      <c r="C3023" t="s">
        <v>42</v>
      </c>
      <c r="D3023" t="str">
        <f>HYPERLINK("https://us2.cloudbeds.com/connect/10074733072513#/reservations/30674383868128?display=Jerry%20Payne&amp;reservation_id=30674383868128&amp;guest_id=30671048466582", "Jerry Payne")</f>
        <v>Jerry Payne</v>
      </c>
      <c r="E3023" t="s">
        <v>567</v>
      </c>
      <c r="F3023" t="s">
        <v>2660</v>
      </c>
      <c r="G3023">
        <v>350.88</v>
      </c>
      <c r="H3023">
        <v>381.4</v>
      </c>
      <c r="I3023">
        <v>381.41</v>
      </c>
      <c r="J3023">
        <v>-0.01</v>
      </c>
    </row>
    <row r="3024" spans="1:10" x14ac:dyDescent="0.3">
      <c r="A3024" t="str">
        <f>HYPERLINK("https://us2.cloudbeds.com/connect/10074733072513#/reservations/30674397884627?display=YQZXVQGF1&amp;reservation_id=30674397884627", "YQZXVQGF1")</f>
        <v>YQZXVQGF1</v>
      </c>
      <c r="B3024" t="s">
        <v>10</v>
      </c>
      <c r="C3024" t="s">
        <v>17</v>
      </c>
      <c r="D3024" t="str">
        <f>HYPERLINK("https://us2.cloudbeds.com/connect/10074733072513#/reservations/30674397884627?display=Lorena%20Freis&amp;reservation_id=30674397884627&amp;guest_id=30674165760137", "Lorena Freis")</f>
        <v>Lorena Freis</v>
      </c>
      <c r="E3024" t="s">
        <v>2661</v>
      </c>
      <c r="F3024" t="s">
        <v>2662</v>
      </c>
      <c r="G3024">
        <v>196.2</v>
      </c>
      <c r="H3024">
        <v>213.26</v>
      </c>
      <c r="I3024">
        <v>213.27</v>
      </c>
      <c r="J3024">
        <v>-0.01</v>
      </c>
    </row>
    <row r="3025" spans="1:10" x14ac:dyDescent="0.3">
      <c r="A3025" t="str">
        <f>HYPERLINK("https://us2.cloudbeds.com/connect/10074733072513#/reservations/30674341658819?display=YQZHHCUPM&amp;reservation_id=30674341658819", "YQZHHCUPM")</f>
        <v>YQZHHCUPM</v>
      </c>
      <c r="B3025" t="s">
        <v>10</v>
      </c>
      <c r="C3025" t="s">
        <v>11</v>
      </c>
      <c r="D3025" t="str">
        <f>HYPERLINK("https://us2.cloudbeds.com/connect/10074733072513#/reservations/30674341658819?display=Antoinette%20Brady&amp;reservation_id=30674341658819&amp;guest_id=30674335649955", "Antoinette Brady")</f>
        <v>Antoinette Brady</v>
      </c>
      <c r="E3025" t="s">
        <v>2663</v>
      </c>
      <c r="F3025" t="s">
        <v>2664</v>
      </c>
      <c r="G3025">
        <v>75.239999999999995</v>
      </c>
      <c r="H3025">
        <v>81.78</v>
      </c>
      <c r="I3025">
        <v>81.790000000000006</v>
      </c>
      <c r="J3025">
        <v>-0.01</v>
      </c>
    </row>
    <row r="3026" spans="1:10" x14ac:dyDescent="0.3">
      <c r="A3026" t="str">
        <f>HYPERLINK("https://us2.cloudbeds.com/connect/10074733072513#/reservations/30673394352336?display=YQNQAJZ6K&amp;reservation_id=30673394352336", "YQNQAJZ6K")</f>
        <v>YQNQAJZ6K</v>
      </c>
      <c r="B3026" t="s">
        <v>10</v>
      </c>
      <c r="C3026" t="s">
        <v>14</v>
      </c>
      <c r="D3026" t="str">
        <f>HYPERLINK("https://us2.cloudbeds.com/connect/10074733072513#/reservations/30673394352336?display=Jerry%20Payne&amp;reservation_id=30673394352336&amp;guest_id=30673394348252", "Jerry Payne")</f>
        <v>Jerry Payne</v>
      </c>
      <c r="E3026" t="s">
        <v>2666</v>
      </c>
      <c r="F3026" t="s">
        <v>2667</v>
      </c>
      <c r="G3026">
        <v>350.88</v>
      </c>
      <c r="H3026">
        <v>381.4</v>
      </c>
      <c r="I3026">
        <v>381.41</v>
      </c>
      <c r="J3026">
        <v>-0.01</v>
      </c>
    </row>
    <row r="3027" spans="1:10" x14ac:dyDescent="0.3">
      <c r="A3027" t="str">
        <f>HYPERLINK("https://us2.cloudbeds.com/connect/10074733072513#/reservations/30672316018834?display=YQMVPAGVR&amp;reservation_id=30672316018834", "YQMVPAGVR")</f>
        <v>YQMVPAGVR</v>
      </c>
      <c r="B3027" t="s">
        <v>10</v>
      </c>
      <c r="C3027" t="s">
        <v>42</v>
      </c>
      <c r="D3027" t="str">
        <f>HYPERLINK("https://us2.cloudbeds.com/connect/10074733072513#/reservations/30672316018834?display=Amanda%20Marquardt&amp;reservation_id=30672316018834&amp;guest_id=30672312602873", "Amanda Marquardt")</f>
        <v>Amanda Marquardt</v>
      </c>
      <c r="E3027" t="s">
        <v>2668</v>
      </c>
      <c r="F3027" t="s">
        <v>2601</v>
      </c>
      <c r="G3027">
        <v>196.2</v>
      </c>
      <c r="H3027">
        <v>213.26</v>
      </c>
      <c r="I3027">
        <v>213.27</v>
      </c>
      <c r="J3027">
        <v>-0.01</v>
      </c>
    </row>
    <row r="3028" spans="1:10" x14ac:dyDescent="0.3">
      <c r="A3028" t="str">
        <f>HYPERLINK("https://us2.cloudbeds.com/connect/10074733072513#/reservations/30674675769479?display=YQZQ241Q4&amp;reservation_id=30674675769479", "YQZQ241Q4")</f>
        <v>YQZQ241Q4</v>
      </c>
      <c r="B3028" t="s">
        <v>10</v>
      </c>
      <c r="C3028" t="s">
        <v>11</v>
      </c>
      <c r="D3028" t="str">
        <f>HYPERLINK("https://us2.cloudbeds.com/connect/10074733072513#/reservations/30674675769479?display=Jennifer%20Hoffman&amp;reservation_id=30674675769479&amp;guest_id=30674669990112", "Jennifer Hoffman")</f>
        <v>Jennifer Hoffman</v>
      </c>
      <c r="E3028" t="s">
        <v>1319</v>
      </c>
      <c r="F3028" t="s">
        <v>2669</v>
      </c>
      <c r="G3028">
        <v>76.16</v>
      </c>
      <c r="H3028">
        <v>82.78</v>
      </c>
      <c r="I3028">
        <v>82.79</v>
      </c>
      <c r="J3028">
        <v>-0.01</v>
      </c>
    </row>
    <row r="3029" spans="1:10" x14ac:dyDescent="0.3">
      <c r="A3029" t="str">
        <f>HYPERLINK("https://us2.cloudbeds.com/connect/10074733072513#/reservations/30672145064119?display=YQMRD5EZU&amp;reservation_id=30672145064119", "YQMRD5EZU")</f>
        <v>YQMRD5EZU</v>
      </c>
      <c r="B3029" t="s">
        <v>10</v>
      </c>
      <c r="C3029" t="s">
        <v>42</v>
      </c>
      <c r="D3029" t="str">
        <f>HYPERLINK("https://us2.cloudbeds.com/connect/10074733072513#/reservations/30672145064119?display=Kayleen%20Otten&amp;reservation_id=30672145064119&amp;guest_id=30672139321568", "Kayleen Otten")</f>
        <v>Kayleen Otten</v>
      </c>
      <c r="E3029" t="s">
        <v>2670</v>
      </c>
      <c r="F3029" t="s">
        <v>2671</v>
      </c>
      <c r="G3029">
        <v>196.2</v>
      </c>
      <c r="H3029">
        <v>213.26</v>
      </c>
      <c r="I3029">
        <v>213.27</v>
      </c>
      <c r="J3029">
        <v>-0.01</v>
      </c>
    </row>
    <row r="3030" spans="1:10" x14ac:dyDescent="0.3">
      <c r="A3030" t="str">
        <f>HYPERLINK("https://us2.cloudbeds.com/connect/10074733072513#/reservations/30673426698482?display=YQNR4SQQS&amp;reservation_id=30673426698482", "YQNR4SQQS")</f>
        <v>YQNR4SQQS</v>
      </c>
      <c r="B3030" t="s">
        <v>10</v>
      </c>
      <c r="C3030" t="s">
        <v>11</v>
      </c>
      <c r="D3030" t="str">
        <f>HYPERLINK("https://us2.cloudbeds.com/connect/10074733072513#/reservations/30673426698482?display=Christeena%20Gallo&amp;reservation_id=30673426698482&amp;guest_id=30673426698478", "Christeena Gallo")</f>
        <v>Christeena Gallo</v>
      </c>
      <c r="E3030" t="s">
        <v>2674</v>
      </c>
      <c r="F3030" t="s">
        <v>2667</v>
      </c>
      <c r="G3030">
        <v>75.239999999999995</v>
      </c>
      <c r="H3030">
        <v>81.78</v>
      </c>
      <c r="I3030">
        <v>81.790000000000006</v>
      </c>
      <c r="J3030">
        <v>-0.01</v>
      </c>
    </row>
    <row r="3031" spans="1:10" x14ac:dyDescent="0.3">
      <c r="A3031" t="str">
        <f>HYPERLINK("https://us2.cloudbeds.com/connect/10074733072513#/reservations/30674282160331?display=YQZG079T6&amp;reservation_id=30674282160331", "YQZG079T6")</f>
        <v>YQZG079T6</v>
      </c>
      <c r="B3031" t="s">
        <v>10</v>
      </c>
      <c r="C3031" t="s">
        <v>23</v>
      </c>
      <c r="D3031" t="str">
        <f>HYPERLINK("https://us2.cloudbeds.com/connect/10074733072513#/reservations/30674282160331?display=Brian%20Latzke&amp;reservation_id=30674282160331&amp;guest_id=30674274377982", "Brian Latzke")</f>
        <v>Brian Latzke</v>
      </c>
      <c r="E3031" t="s">
        <v>2675</v>
      </c>
      <c r="F3031" t="s">
        <v>2676</v>
      </c>
      <c r="G3031">
        <v>196.2</v>
      </c>
      <c r="H3031">
        <v>213.26</v>
      </c>
      <c r="I3031">
        <v>213.27</v>
      </c>
      <c r="J3031">
        <v>-0.01</v>
      </c>
    </row>
    <row r="3032" spans="1:10" x14ac:dyDescent="0.3">
      <c r="A3032" t="str">
        <f>HYPERLINK("https://us2.cloudbeds.com/connect/10074733072513#/reservations/30672738218128?display=YQN9XARER&amp;reservation_id=30672738218128", "YQN9XARER")</f>
        <v>YQN9XARER</v>
      </c>
      <c r="B3032" t="s">
        <v>10</v>
      </c>
      <c r="C3032" t="s">
        <v>20</v>
      </c>
      <c r="D3032" t="str">
        <f>HYPERLINK("https://us2.cloudbeds.com/connect/10074733072513#/reservations/30672738218128?display=Hector%20Sanchez&amp;reservation_id=30672738218128&amp;guest_id=30672738218126", "Hector Sanchez")</f>
        <v>Hector Sanchez</v>
      </c>
      <c r="E3032" t="s">
        <v>2677</v>
      </c>
      <c r="F3032" t="s">
        <v>2611</v>
      </c>
      <c r="G3032">
        <v>112.24</v>
      </c>
      <c r="H3032">
        <v>121.99</v>
      </c>
      <c r="I3032">
        <v>122</v>
      </c>
      <c r="J3032">
        <v>-0.01</v>
      </c>
    </row>
    <row r="3033" spans="1:10" x14ac:dyDescent="0.3">
      <c r="A3033" t="str">
        <f>HYPERLINK("https://us2.cloudbeds.com/connect/10074733072513#/reservations/30674465206427?display=YQZKMXR9X&amp;reservation_id=30674465206427", "YQZKMXR9X")</f>
        <v>YQZKMXR9X</v>
      </c>
      <c r="B3033" t="s">
        <v>10</v>
      </c>
      <c r="C3033" t="s">
        <v>14</v>
      </c>
      <c r="D3033" t="str">
        <f>HYPERLINK("https://us2.cloudbeds.com/connect/10074733072513#/reservations/30674465206427?display=John%20Svoboda&amp;reservation_id=30674465206427&amp;guest_id=30674465202345", "John Svoboda")</f>
        <v>John Svoboda</v>
      </c>
      <c r="E3033" t="s">
        <v>2678</v>
      </c>
      <c r="F3033" t="s">
        <v>2651</v>
      </c>
      <c r="G3033">
        <v>74.12</v>
      </c>
      <c r="H3033">
        <v>80.56</v>
      </c>
      <c r="I3033">
        <v>80.569999999999993</v>
      </c>
      <c r="J3033">
        <v>-0.01</v>
      </c>
    </row>
    <row r="3034" spans="1:10" x14ac:dyDescent="0.3">
      <c r="A3034" t="str">
        <f>HYPERLINK("https://us2.cloudbeds.com/connect/10074733072513#/reservations/30671911104764?display=YQMYDT61G&amp;reservation_id=30671911104764", "YQMYDT61G")</f>
        <v>YQMYDT61G</v>
      </c>
      <c r="B3034" t="s">
        <v>10</v>
      </c>
      <c r="C3034" t="s">
        <v>14</v>
      </c>
      <c r="D3034" t="str">
        <f>HYPERLINK("https://us2.cloudbeds.com/connect/10074733072513#/reservations/30671911104764?display=Jerry%20Payne&amp;reservation_id=30671911104764&amp;guest_id=30671911104762", "Jerry Payne")</f>
        <v>Jerry Payne</v>
      </c>
      <c r="E3034" t="s">
        <v>2666</v>
      </c>
      <c r="F3034" t="s">
        <v>2683</v>
      </c>
      <c r="G3034">
        <v>350.88</v>
      </c>
      <c r="H3034">
        <v>381.4</v>
      </c>
      <c r="I3034">
        <v>381.41</v>
      </c>
      <c r="J3034">
        <v>-0.01</v>
      </c>
    </row>
    <row r="3035" spans="1:10" x14ac:dyDescent="0.3">
      <c r="A3035" t="str">
        <f>HYPERLINK("https://us2.cloudbeds.com/connect/10074733072513#/reservations/30672943595738?display=YQNEQGP9Z&amp;reservation_id=30672943595738", "YQNEQGP9Z")</f>
        <v>YQNEQGP9Z</v>
      </c>
      <c r="B3035" t="s">
        <v>10</v>
      </c>
      <c r="C3035" t="s">
        <v>14</v>
      </c>
      <c r="D3035" t="str">
        <f>HYPERLINK("https://us2.cloudbeds.com/connect/10074733072513#/reservations/30672943595738?display=Sam%20Richison&amp;reservation_id=30672943595738&amp;guest_id=30672011911327", "Sam Richison")</f>
        <v>Sam Richison</v>
      </c>
      <c r="E3035" t="s">
        <v>2684</v>
      </c>
      <c r="F3035" t="s">
        <v>2685</v>
      </c>
      <c r="G3035">
        <v>74.12</v>
      </c>
      <c r="H3035">
        <v>80.56</v>
      </c>
      <c r="I3035">
        <v>80.569999999999993</v>
      </c>
      <c r="J3035">
        <v>-0.01</v>
      </c>
    </row>
    <row r="3036" spans="1:10" x14ac:dyDescent="0.3">
      <c r="A3036" t="str">
        <f>HYPERLINK("https://us2.cloudbeds.com/connect/10074733072513#/reservations/30672910954631?display=YQNDVWFR9&amp;reservation_id=30672910954631", "YQNDVWFR9")</f>
        <v>YQNDVWFR9</v>
      </c>
      <c r="B3036" t="s">
        <v>10</v>
      </c>
      <c r="C3036" t="s">
        <v>42</v>
      </c>
      <c r="D3036" t="str">
        <f>HYPERLINK("https://us2.cloudbeds.com/connect/10074733072513#/reservations/30672910954631?display=Daniel%20Waling&amp;reservation_id=30672910954631&amp;guest_id=30672910950552", "Daniel Waling")</f>
        <v>Daniel Waling</v>
      </c>
      <c r="E3036" t="s">
        <v>2688</v>
      </c>
      <c r="F3036" t="s">
        <v>2685</v>
      </c>
      <c r="G3036">
        <v>87.2</v>
      </c>
      <c r="H3036">
        <v>94.78</v>
      </c>
      <c r="I3036">
        <v>94.79</v>
      </c>
      <c r="J3036">
        <v>-0.01</v>
      </c>
    </row>
    <row r="3037" spans="1:10" x14ac:dyDescent="0.3">
      <c r="A3037" t="str">
        <f>HYPERLINK("https://us2.cloudbeds.com/connect/10074733072513#/reservations/30674598658211?display=YQZZ33AX1&amp;reservation_id=30674598658211", "YQZZ33AX1")</f>
        <v>YQZZ33AX1</v>
      </c>
      <c r="B3037" t="s">
        <v>10</v>
      </c>
      <c r="C3037" t="s">
        <v>20</v>
      </c>
      <c r="D3037" t="str">
        <f>HYPERLINK("https://us2.cloudbeds.com/connect/10074733072513#/reservations/30674598658211?display=Kristine%20Braulick&amp;reservation_id=30674598658211&amp;guest_id=30674598658209", "Kristine Braulick")</f>
        <v>Kristine Braulick</v>
      </c>
      <c r="E3037" t="s">
        <v>2689</v>
      </c>
      <c r="F3037" t="s">
        <v>2630</v>
      </c>
      <c r="G3037">
        <v>93.19</v>
      </c>
      <c r="H3037">
        <v>101.29</v>
      </c>
      <c r="I3037">
        <v>101.3</v>
      </c>
      <c r="J3037">
        <v>-0.01</v>
      </c>
    </row>
    <row r="3038" spans="1:10" x14ac:dyDescent="0.3">
      <c r="A3038" t="str">
        <f>HYPERLINK("https://us2.cloudbeds.com/connect/10074733072513#/reservations/30673654522009?display=YQNWVWB53&amp;reservation_id=30673654522009", "YQNWVWB53")</f>
        <v>YQNWVWB53</v>
      </c>
      <c r="B3038" t="s">
        <v>10</v>
      </c>
      <c r="C3038" t="s">
        <v>11</v>
      </c>
      <c r="D3038" t="str">
        <f>HYPERLINK("https://us2.cloudbeds.com/connect/10074733072513#/reservations/30673654522009?display=Austin%20Husby&amp;reservation_id=30673654522009&amp;guest_id=30673654522007", "Austin Husby")</f>
        <v>Austin Husby</v>
      </c>
      <c r="E3038" t="s">
        <v>2690</v>
      </c>
      <c r="F3038" t="s">
        <v>2691</v>
      </c>
      <c r="G3038">
        <v>74.12</v>
      </c>
      <c r="H3038">
        <v>80.56</v>
      </c>
      <c r="I3038">
        <v>80.569999999999993</v>
      </c>
      <c r="J3038">
        <v>-0.01</v>
      </c>
    </row>
    <row r="3039" spans="1:10" x14ac:dyDescent="0.3">
      <c r="A3039" t="str">
        <f>HYPERLINK("https://us2.cloudbeds.com/connect/10074733072513#/reservations/30673613906066?display=YQNVUZ4JV&amp;reservation_id=30673613906066", "YQNVUZ4JV")</f>
        <v>YQNVUZ4JV</v>
      </c>
      <c r="B3039" t="s">
        <v>10</v>
      </c>
      <c r="C3039" t="s">
        <v>42</v>
      </c>
      <c r="D3039" t="str">
        <f>HYPERLINK("https://us2.cloudbeds.com/connect/10074733072513#/reservations/30673613906066?display=Becky%20Hovfs&amp;reservation_id=30673613906066&amp;guest_id=30671965544682", "Becky Hovfs")</f>
        <v>Becky Hovfs</v>
      </c>
      <c r="E3039" t="s">
        <v>2692</v>
      </c>
      <c r="F3039" t="s">
        <v>2691</v>
      </c>
      <c r="G3039">
        <v>196.2</v>
      </c>
      <c r="H3039">
        <v>213.26</v>
      </c>
      <c r="I3039">
        <v>213.27</v>
      </c>
      <c r="J3039">
        <v>-0.01</v>
      </c>
    </row>
    <row r="3040" spans="1:10" x14ac:dyDescent="0.3">
      <c r="A3040" t="str">
        <f>HYPERLINK("https://us2.cloudbeds.com/connect/10074733072513#/reservations/30671965544687?display=YQMMQQ1Q4&amp;reservation_id=30671965544687", "YQMMQQ1Q4")</f>
        <v>YQMMQQ1Q4</v>
      </c>
      <c r="B3040" t="s">
        <v>10</v>
      </c>
      <c r="C3040" t="s">
        <v>42</v>
      </c>
      <c r="D3040" t="str">
        <f>HYPERLINK("https://us2.cloudbeds.com/connect/10074733072513#/reservations/30671965544687?display=Becky%20Hovfs&amp;reservation_id=30671965544687&amp;guest_id=30671965544682", "Becky Hovfs")</f>
        <v>Becky Hovfs</v>
      </c>
      <c r="E3040" t="s">
        <v>2692</v>
      </c>
      <c r="F3040" t="s">
        <v>2691</v>
      </c>
      <c r="G3040">
        <v>196.2</v>
      </c>
      <c r="H3040">
        <v>213.26</v>
      </c>
      <c r="I3040">
        <v>213.27</v>
      </c>
      <c r="J3040">
        <v>-0.01</v>
      </c>
    </row>
    <row r="3041" spans="1:10" x14ac:dyDescent="0.3">
      <c r="A3041" t="str">
        <f>HYPERLINK("https://us2.cloudbeds.com/connect/10074733072513#/reservations/30673439809764?display=YQNRFUYXE&amp;reservation_id=30673439809764", "YQNRFUYXE")</f>
        <v>YQNRFUYXE</v>
      </c>
      <c r="B3041" t="s">
        <v>10</v>
      </c>
      <c r="C3041" t="s">
        <v>42</v>
      </c>
      <c r="D3041" t="str">
        <f>HYPERLINK("https://us2.cloudbeds.com/connect/10074733072513#/reservations/30673439809764?display=Becky%20Hovfs&amp;reservation_id=30673439809764&amp;guest_id=30671965544682", "Becky Hovfs")</f>
        <v>Becky Hovfs</v>
      </c>
      <c r="E3041" t="s">
        <v>2692</v>
      </c>
      <c r="F3041" t="s">
        <v>2680</v>
      </c>
      <c r="G3041">
        <v>196.2</v>
      </c>
      <c r="H3041">
        <v>213.26</v>
      </c>
      <c r="I3041">
        <v>213.27</v>
      </c>
      <c r="J3041">
        <v>-0.01</v>
      </c>
    </row>
    <row r="3042" spans="1:10" x14ac:dyDescent="0.3">
      <c r="A3042" t="str">
        <f>HYPERLINK("https://us2.cloudbeds.com/connect/10074733072513#/reservations/30673451020484?display=YQNRPCK27&amp;reservation_id=30673451020484", "YQNRPCK27")</f>
        <v>YQNRPCK27</v>
      </c>
      <c r="B3042" t="s">
        <v>10</v>
      </c>
      <c r="C3042" t="s">
        <v>14</v>
      </c>
      <c r="D3042" t="str">
        <f>HYPERLINK("https://us2.cloudbeds.com/connect/10074733072513#/reservations/30673451020484?display=Daisy%20Rodriguez&amp;reservation_id=30673451020484&amp;guest_id=30673439813845", "Daisy Rodriguez")</f>
        <v>Daisy Rodriguez</v>
      </c>
      <c r="E3042" t="s">
        <v>2693</v>
      </c>
      <c r="F3042" t="s">
        <v>2680</v>
      </c>
      <c r="G3042">
        <v>74.12</v>
      </c>
      <c r="H3042">
        <v>80.56</v>
      </c>
      <c r="I3042">
        <v>80.569999999999993</v>
      </c>
      <c r="J3042">
        <v>-0.01</v>
      </c>
    </row>
    <row r="3043" spans="1:10" x14ac:dyDescent="0.3">
      <c r="A3043" t="str">
        <f>HYPERLINK("https://us2.cloudbeds.com/connect/10074733072513#/reservations/30673457598620?display=YQNRUUYJM&amp;reservation_id=30673457598620", "YQNRUUYJM")</f>
        <v>YQNRUUYJM</v>
      </c>
      <c r="B3043" t="s">
        <v>10</v>
      </c>
      <c r="C3043" t="s">
        <v>14</v>
      </c>
      <c r="D3043" t="str">
        <f>HYPERLINK("https://us2.cloudbeds.com/connect/10074733072513#/reservations/30673457598620?display=Robert%20Frerich&amp;reservation_id=30673457598620&amp;guest_id=30673457598608", "Robert Frerich")</f>
        <v>Robert Frerich</v>
      </c>
      <c r="E3043" t="s">
        <v>2696</v>
      </c>
      <c r="F3043" t="s">
        <v>2680</v>
      </c>
      <c r="G3043">
        <v>74.12</v>
      </c>
      <c r="H3043">
        <v>80.56</v>
      </c>
      <c r="I3043">
        <v>80.569999999999993</v>
      </c>
      <c r="J3043">
        <v>-0.01</v>
      </c>
    </row>
    <row r="3044" spans="1:10" x14ac:dyDescent="0.3">
      <c r="A3044" t="str">
        <f>HYPERLINK("https://us2.cloudbeds.com/connect/10074733072513#/reservations/30673504809125?display=YQNT4ZBP1&amp;reservation_id=30673504809125", "YQNT4ZBP1")</f>
        <v>YQNT4ZBP1</v>
      </c>
      <c r="B3044" t="s">
        <v>10</v>
      </c>
      <c r="C3044" t="s">
        <v>14</v>
      </c>
      <c r="D3044" t="str">
        <f>HYPERLINK("https://us2.cloudbeds.com/connect/10074733072513#/reservations/30673504809125?display=Olman%20Valdex&amp;reservation_id=30673504809125&amp;guest_id=30673504809122", "Olman Valdex")</f>
        <v>Olman Valdex</v>
      </c>
      <c r="E3044" t="s">
        <v>2693</v>
      </c>
      <c r="F3044" t="s">
        <v>2680</v>
      </c>
      <c r="G3044">
        <v>74.12</v>
      </c>
      <c r="H3044">
        <v>80.56</v>
      </c>
      <c r="I3044">
        <v>80.569999999999993</v>
      </c>
      <c r="J3044">
        <v>-0.01</v>
      </c>
    </row>
    <row r="3045" spans="1:10" x14ac:dyDescent="0.3">
      <c r="A3045" t="str">
        <f>HYPERLINK("https://us2.cloudbeds.com/connect/10074733072513#/reservations/30674410750166?display=YQZJ9YGHS&amp;reservation_id=30674410750166", "YQZJ9YGHS")</f>
        <v>YQZJ9YGHS</v>
      </c>
      <c r="B3045" t="s">
        <v>10</v>
      </c>
      <c r="C3045" t="s">
        <v>42</v>
      </c>
      <c r="D3045" t="str">
        <f>HYPERLINK("https://us2.cloudbeds.com/connect/10074733072513#/reservations/30674410750166?display=Matt%20Vezay&amp;reservation_id=30674410750166&amp;guest_id=30674410750164", "Matt Vezay")</f>
        <v>Matt Vezay</v>
      </c>
      <c r="E3045" t="s">
        <v>2700</v>
      </c>
      <c r="F3045" t="s">
        <v>2701</v>
      </c>
      <c r="G3045">
        <v>174.4</v>
      </c>
      <c r="H3045">
        <v>189.56</v>
      </c>
      <c r="I3045">
        <v>189.57</v>
      </c>
      <c r="J3045">
        <v>-0.01</v>
      </c>
    </row>
    <row r="3046" spans="1:10" x14ac:dyDescent="0.3">
      <c r="A3046" t="str">
        <f>HYPERLINK("https://us2.cloudbeds.com/connect/10074733072513#/reservations/30672756355201?display=YQNA0KH83&amp;reservation_id=30672756355201", "YQNA0KH83")</f>
        <v>YQNA0KH83</v>
      </c>
      <c r="B3046" t="s">
        <v>10</v>
      </c>
      <c r="C3046" t="s">
        <v>14</v>
      </c>
      <c r="D3046" t="str">
        <f>HYPERLINK("https://us2.cloudbeds.com/connect/10074733072513#/reservations/30672756355201?display=Jerry%20Payne&amp;reservation_id=30672756355201&amp;guest_id=30671911104762", "Jerry Payne")</f>
        <v>Jerry Payne</v>
      </c>
      <c r="E3046" t="s">
        <v>2666</v>
      </c>
      <c r="F3046" t="s">
        <v>2687</v>
      </c>
      <c r="G3046">
        <v>350.88</v>
      </c>
      <c r="H3046">
        <v>381.4</v>
      </c>
      <c r="I3046">
        <v>381.41</v>
      </c>
      <c r="J3046">
        <v>-0.01</v>
      </c>
    </row>
    <row r="3047" spans="1:10" x14ac:dyDescent="0.3">
      <c r="A3047" t="str">
        <f>HYPERLINK("https://us2.cloudbeds.com/connect/10074733072513#/reservations/30672692392189?display=YQN8CMYN0&amp;reservation_id=30672692392189", "YQN8CMYN0")</f>
        <v>YQN8CMYN0</v>
      </c>
      <c r="B3047" t="s">
        <v>10</v>
      </c>
      <c r="C3047" t="s">
        <v>42</v>
      </c>
      <c r="D3047" t="str">
        <f>HYPERLINK("https://us2.cloudbeds.com/connect/10074733072513#/reservations/30672692392189?display=Marvin%20Cordes&amp;reservation_id=30672692392189&amp;guest_id=30672692392140", "Marvin Cordes")</f>
        <v>Marvin Cordes</v>
      </c>
      <c r="E3047" t="s">
        <v>2702</v>
      </c>
      <c r="F3047" t="s">
        <v>2703</v>
      </c>
      <c r="G3047">
        <v>187.2</v>
      </c>
      <c r="H3047">
        <v>203.48</v>
      </c>
      <c r="I3047">
        <v>203.49</v>
      </c>
      <c r="J3047">
        <v>-0.01</v>
      </c>
    </row>
    <row r="3048" spans="1:10" x14ac:dyDescent="0.3">
      <c r="A3048" t="str">
        <f>HYPERLINK("https://us2.cloudbeds.com/connect/10074733072513#/reservations/30674523508905?display=YQZM5Z5UB&amp;reservation_id=30674523508905", "YQZM5Z5UB")</f>
        <v>YQZM5Z5UB</v>
      </c>
      <c r="B3048" t="s">
        <v>10</v>
      </c>
      <c r="C3048" t="s">
        <v>11</v>
      </c>
      <c r="D3048" t="str">
        <f>HYPERLINK("https://us2.cloudbeds.com/connect/10074733072513#/reservations/30674523508905?display=Charlene%20Hora&amp;reservation_id=30674523508905&amp;guest_id=30674515730635", "Charlene Hora")</f>
        <v>Charlene Hora</v>
      </c>
      <c r="E3048" t="s">
        <v>2704</v>
      </c>
      <c r="F3048" t="s">
        <v>2673</v>
      </c>
      <c r="G3048">
        <v>299.55</v>
      </c>
      <c r="H3048">
        <v>325.60000000000002</v>
      </c>
      <c r="I3048">
        <v>325.61</v>
      </c>
      <c r="J3048">
        <v>-0.01</v>
      </c>
    </row>
    <row r="3049" spans="1:10" x14ac:dyDescent="0.3">
      <c r="A3049" t="str">
        <f>HYPERLINK("https://us2.cloudbeds.com/connect/10074733072513#/reservations/30679185461385?display=YQS99QT0K&amp;reservation_id=30679185461385", "YQS99QT0K")</f>
        <v>YQS99QT0K</v>
      </c>
      <c r="B3049" t="s">
        <v>10</v>
      </c>
      <c r="C3049" t="s">
        <v>17</v>
      </c>
      <c r="D3049" t="str">
        <f>HYPERLINK("https://us2.cloudbeds.com/connect/10074733072513#/reservations/30679185461385?display=Gena%20Gesing&amp;reservation_id=30679185461385&amp;guest_id=30679185461383", "Gena Gesing")</f>
        <v>Gena Gesing</v>
      </c>
      <c r="E3049" t="s">
        <v>2705</v>
      </c>
      <c r="F3049" t="s">
        <v>2535</v>
      </c>
      <c r="G3049">
        <v>196.2</v>
      </c>
      <c r="H3049">
        <v>213.26</v>
      </c>
      <c r="I3049">
        <v>213.27</v>
      </c>
      <c r="J3049">
        <v>-0.01</v>
      </c>
    </row>
    <row r="3050" spans="1:10" x14ac:dyDescent="0.3">
      <c r="A3050" t="str">
        <f>HYPERLINK("https://us2.cloudbeds.com/connect/10074733072513#/reservations/30674087346342?display=YQZB0VAAV&amp;reservation_id=30674087346342", "YQZB0VAAV")</f>
        <v>YQZB0VAAV</v>
      </c>
      <c r="B3050" t="s">
        <v>10</v>
      </c>
      <c r="C3050" t="s">
        <v>42</v>
      </c>
      <c r="D3050" t="str">
        <f>HYPERLINK("https://us2.cloudbeds.com/connect/10074733072513#/reservations/30674087346342?display=Cameron%20Wyly&amp;reservation_id=30674087346342&amp;guest_id=30670036390088", "Cameron Wyly")</f>
        <v>Cameron Wyly</v>
      </c>
      <c r="E3050" t="s">
        <v>2708</v>
      </c>
      <c r="F3050" t="s">
        <v>2673</v>
      </c>
      <c r="G3050">
        <v>370.5</v>
      </c>
      <c r="H3050">
        <v>402.72</v>
      </c>
      <c r="I3050">
        <v>402.73</v>
      </c>
      <c r="J3050">
        <v>-0.01</v>
      </c>
    </row>
    <row r="3051" spans="1:10" x14ac:dyDescent="0.3">
      <c r="A3051" t="str">
        <f>HYPERLINK("https://us2.cloudbeds.com/connect/10074733072513#/reservations/30674478522605?display=YQZY0QC64&amp;reservation_id=30674478522605", "YQZY0QC64")</f>
        <v>YQZY0QC64</v>
      </c>
      <c r="B3051" t="s">
        <v>10</v>
      </c>
      <c r="C3051" t="s">
        <v>14</v>
      </c>
      <c r="D3051" t="str">
        <f>HYPERLINK("https://us2.cloudbeds.com/connect/10074733072513#/reservations/30674478522605?display=Wipada%20Khlathong&amp;reservation_id=30674478522605&amp;guest_id=30674469953750", "Wipada Khlathong")</f>
        <v>Wipada Khlathong</v>
      </c>
      <c r="E3051" t="s">
        <v>2709</v>
      </c>
      <c r="F3051" t="s">
        <v>2710</v>
      </c>
      <c r="G3051">
        <v>74.12</v>
      </c>
      <c r="H3051">
        <v>80.56</v>
      </c>
      <c r="I3051">
        <v>80.569999999999993</v>
      </c>
      <c r="J3051">
        <v>-0.01</v>
      </c>
    </row>
    <row r="3052" spans="1:10" x14ac:dyDescent="0.3">
      <c r="A3052" t="str">
        <f>HYPERLINK("https://us2.cloudbeds.com/connect/10074733072513#/reservations/30674560458952?display=YQZN3TC5Z&amp;reservation_id=30674560458952", "YQZN3TC5Z")</f>
        <v>YQZN3TC5Z</v>
      </c>
      <c r="B3052" t="s">
        <v>10</v>
      </c>
      <c r="C3052" t="s">
        <v>20</v>
      </c>
      <c r="D3052" t="str">
        <f>HYPERLINK("https://us2.cloudbeds.com/connect/10074733072513#/reservations/30674560458952?display=Michael%20Sutton&amp;reservation_id=30674560458952&amp;guest_id=30674552135868", "Michael Sutton")</f>
        <v>Michael Sutton</v>
      </c>
      <c r="E3052" t="s">
        <v>2711</v>
      </c>
      <c r="F3052" t="s">
        <v>2712</v>
      </c>
      <c r="G3052">
        <v>208.34</v>
      </c>
      <c r="H3052">
        <v>226.46</v>
      </c>
      <c r="I3052">
        <v>226.47</v>
      </c>
      <c r="J3052">
        <v>-0.01</v>
      </c>
    </row>
    <row r="3053" spans="1:10" x14ac:dyDescent="0.3">
      <c r="A3053" t="str">
        <f>HYPERLINK("https://us2.cloudbeds.com/connect/10074733072513#/reservations/30672679297156?display=YQN81Y8SR&amp;reservation_id=30672679297156", "YQN81Y8SR")</f>
        <v>YQN81Y8SR</v>
      </c>
      <c r="B3053" t="s">
        <v>10</v>
      </c>
      <c r="C3053" t="s">
        <v>14</v>
      </c>
      <c r="D3053" t="str">
        <f>HYPERLINK("https://us2.cloudbeds.com/connect/10074733072513#/reservations/30672679297156?display=Alexander%20Gardner&amp;reservation_id=30672679297156&amp;guest_id=30667870572749", "Alexander Gardner")</f>
        <v>Alexander Gardner</v>
      </c>
      <c r="E3053" t="s">
        <v>2614</v>
      </c>
      <c r="F3053" t="s">
        <v>2703</v>
      </c>
      <c r="G3053">
        <v>108.12</v>
      </c>
      <c r="H3053">
        <v>117.52</v>
      </c>
      <c r="I3053">
        <v>117.53</v>
      </c>
      <c r="J3053">
        <v>-0.01</v>
      </c>
    </row>
    <row r="3054" spans="1:10" x14ac:dyDescent="0.3">
      <c r="A3054" t="str">
        <f>HYPERLINK("https://us2.cloudbeds.com/connect/10074733072513#/reservations/30676872155296?display=YQQG65Z03&amp;reservation_id=30676872155296", "YQQG65Z03")</f>
        <v>YQQG65Z03</v>
      </c>
      <c r="B3054" t="s">
        <v>10</v>
      </c>
      <c r="C3054" t="s">
        <v>17</v>
      </c>
      <c r="D3054" t="str">
        <f>HYPERLINK("https://us2.cloudbeds.com/connect/10074733072513#/reservations/30676872155296?display=Virginia%20Manley&amp;reservation_id=30676872155296&amp;guest_id=30676872151200", "Virginia Manley")</f>
        <v>Virginia Manley</v>
      </c>
      <c r="E3054" t="s">
        <v>2716</v>
      </c>
      <c r="F3054" t="s">
        <v>2717</v>
      </c>
      <c r="G3054">
        <v>134.1</v>
      </c>
      <c r="H3054">
        <v>145.76</v>
      </c>
      <c r="I3054">
        <v>145.77000000000001</v>
      </c>
      <c r="J3054">
        <v>-0.01</v>
      </c>
    </row>
    <row r="3055" spans="1:10" x14ac:dyDescent="0.3">
      <c r="A3055" t="str">
        <f>HYPERLINK("https://us2.cloudbeds.com/connect/10074733072513#/reservations/30674033168564?display=YQZ9Y8ZA4&amp;reservation_id=30674033168564", "YQZ9Y8ZA4")</f>
        <v>YQZ9Y8ZA4</v>
      </c>
      <c r="B3055" t="s">
        <v>10</v>
      </c>
      <c r="C3055" t="s">
        <v>42</v>
      </c>
      <c r="D3055" t="str">
        <f>HYPERLINK("https://us2.cloudbeds.com/connect/10074733072513#/reservations/30674033168564?display=Greg%20Pearson&amp;reservation_id=30674033168564&amp;guest_id=30674033168561", "Greg Pearson")</f>
        <v>Greg Pearson</v>
      </c>
      <c r="E3055" t="s">
        <v>2719</v>
      </c>
      <c r="F3055" t="s">
        <v>2673</v>
      </c>
      <c r="G3055">
        <v>118.15</v>
      </c>
      <c r="H3055">
        <v>128.41999999999999</v>
      </c>
      <c r="I3055">
        <v>128.43</v>
      </c>
      <c r="J3055">
        <v>-0.01</v>
      </c>
    </row>
    <row r="3056" spans="1:10" x14ac:dyDescent="0.3">
      <c r="A3056" t="str">
        <f>HYPERLINK("https://us2.cloudbeds.com/connect/10074733072513#/reservations/30674552135870?display=YQZMTSPA4&amp;reservation_id=30674552135870", "YQZMTSPA4")</f>
        <v>YQZMTSPA4</v>
      </c>
      <c r="B3056" t="s">
        <v>10</v>
      </c>
      <c r="C3056" t="s">
        <v>17</v>
      </c>
      <c r="D3056" t="str">
        <f>HYPERLINK("https://us2.cloudbeds.com/connect/10074733072513#/reservations/30674552135870?display=Holly%20Moritz&amp;reservation_id=30674552135870&amp;guest_id=30674552135867", "Holly Moritz")</f>
        <v>Holly Moritz</v>
      </c>
      <c r="E3056" t="s">
        <v>2721</v>
      </c>
      <c r="F3056" t="s">
        <v>2722</v>
      </c>
      <c r="G3056">
        <v>268.2</v>
      </c>
      <c r="H3056">
        <v>291.52</v>
      </c>
      <c r="I3056">
        <v>291.52999999999997</v>
      </c>
      <c r="J3056">
        <v>-0.01</v>
      </c>
    </row>
    <row r="3057" spans="1:10" x14ac:dyDescent="0.3">
      <c r="A3057" t="str">
        <f>HYPERLINK("https://us2.cloudbeds.com/connect/10074733072513#/reservations/30673325023450?display=YQNZX4XA9&amp;reservation_id=30673325023450", "YQNZX4XA9")</f>
        <v>YQNZX4XA9</v>
      </c>
      <c r="B3057" t="s">
        <v>10</v>
      </c>
      <c r="C3057" t="s">
        <v>11</v>
      </c>
      <c r="D3057" t="str">
        <f>HYPERLINK("https://us2.cloudbeds.com/connect/10074733072513#/reservations/30673325023450?display=Kevin%20Lindblad&amp;reservation_id=30673325023450&amp;guest_id=30673325023445", "Kevin Lindblad")</f>
        <v>Kevin Lindblad</v>
      </c>
      <c r="E3057" t="s">
        <v>2525</v>
      </c>
      <c r="F3057" t="s">
        <v>2726</v>
      </c>
      <c r="G3057">
        <v>438.6</v>
      </c>
      <c r="H3057">
        <v>476.75</v>
      </c>
      <c r="I3057">
        <v>476.76</v>
      </c>
      <c r="J3057">
        <v>-0.01</v>
      </c>
    </row>
    <row r="3058" spans="1:10" x14ac:dyDescent="0.3">
      <c r="A3058" t="str">
        <f>HYPERLINK("https://us2.cloudbeds.com/connect/10074733072513#/reservations/30673346805901?display=YQNP3GMXX&amp;reservation_id=30673346805901", "YQNP3GMXX")</f>
        <v>YQNP3GMXX</v>
      </c>
      <c r="B3058" t="s">
        <v>10</v>
      </c>
      <c r="C3058" t="s">
        <v>14</v>
      </c>
      <c r="D3058" t="str">
        <f>HYPERLINK("https://us2.cloudbeds.com/connect/10074733072513#/reservations/30673346805901?display=Michael%20Schmidt%20Jr&amp;reservation_id=30673346805901&amp;guest_id=30673346805896", "Michael Schmidt Jr")</f>
        <v>Michael Schmidt Jr</v>
      </c>
      <c r="E3058" t="s">
        <v>1229</v>
      </c>
      <c r="F3058" t="s">
        <v>2726</v>
      </c>
      <c r="G3058">
        <v>282.88</v>
      </c>
      <c r="H3058">
        <v>307.48</v>
      </c>
      <c r="I3058">
        <v>307.49</v>
      </c>
      <c r="J3058">
        <v>-0.01</v>
      </c>
    </row>
    <row r="3059" spans="1:10" x14ac:dyDescent="0.3">
      <c r="A3059" t="str">
        <f>HYPERLINK("https://us2.cloudbeds.com/connect/10074733072513#/reservations/30674398138543?display=YQZXW0XKF&amp;reservation_id=30674398138543", "YQZXW0XKF")</f>
        <v>YQZXW0XKF</v>
      </c>
      <c r="B3059" t="s">
        <v>10</v>
      </c>
      <c r="C3059" t="s">
        <v>14</v>
      </c>
      <c r="D3059" t="str">
        <f>HYPERLINK("https://us2.cloudbeds.com/connect/10074733072513#/reservations/30674398138543?display=Jerry%20Payne&amp;reservation_id=30674398138543&amp;guest_id=30674398138541", "Jerry Payne")</f>
        <v>Jerry Payne</v>
      </c>
      <c r="E3059" t="s">
        <v>2666</v>
      </c>
      <c r="F3059" t="s">
        <v>2726</v>
      </c>
      <c r="G3059">
        <v>350.88</v>
      </c>
      <c r="H3059">
        <v>381.4</v>
      </c>
      <c r="I3059">
        <v>381.41</v>
      </c>
      <c r="J3059">
        <v>-0.01</v>
      </c>
    </row>
    <row r="3060" spans="1:10" x14ac:dyDescent="0.3">
      <c r="A3060" t="str">
        <f>HYPERLINK("https://us2.cloudbeds.com/connect/10074733072513#/reservations/30673313308818?display=YQNZ88J2E&amp;reservation_id=30673313308818", "YQNZ88J2E")</f>
        <v>YQNZ88J2E</v>
      </c>
      <c r="B3060" t="s">
        <v>10</v>
      </c>
      <c r="C3060" t="s">
        <v>14</v>
      </c>
      <c r="D3060" t="str">
        <f>HYPERLINK("https://us2.cloudbeds.com/connect/10074733072513#/reservations/30673313308818?display=Jason%20Schoenecker&amp;reservation_id=30673313308818&amp;guest_id=30673313308801", "Jason Schoenecker")</f>
        <v>Jason Schoenecker</v>
      </c>
      <c r="E3060" t="s">
        <v>1229</v>
      </c>
      <c r="F3060" t="s">
        <v>2726</v>
      </c>
      <c r="G3060">
        <v>282.88</v>
      </c>
      <c r="H3060">
        <v>307.48</v>
      </c>
      <c r="I3060">
        <v>307.49</v>
      </c>
      <c r="J3060">
        <v>-0.01</v>
      </c>
    </row>
    <row r="3061" spans="1:10" x14ac:dyDescent="0.3">
      <c r="A3061" t="str">
        <f>HYPERLINK("https://us2.cloudbeds.com/connect/10074733072513#/reservations/30673342722274?display=YQNP021M9&amp;reservation_id=30673342722274", "YQNP021M9")</f>
        <v>YQNP021M9</v>
      </c>
      <c r="B3061" t="s">
        <v>10</v>
      </c>
      <c r="C3061" t="s">
        <v>14</v>
      </c>
      <c r="D3061" t="str">
        <f>HYPERLINK("https://us2.cloudbeds.com/connect/10074733072513#/reservations/30673342722274?display=Benjamin%20Witeli&amp;reservation_id=30673342722274&amp;guest_id=30673342722253", "Benjamin Witeli")</f>
        <v>Benjamin Witeli</v>
      </c>
      <c r="E3061" t="s">
        <v>1229</v>
      </c>
      <c r="F3061" t="s">
        <v>2726</v>
      </c>
      <c r="G3061">
        <v>282.88</v>
      </c>
      <c r="H3061">
        <v>307.48</v>
      </c>
      <c r="I3061">
        <v>307.49</v>
      </c>
      <c r="J3061">
        <v>-0.01</v>
      </c>
    </row>
    <row r="3062" spans="1:10" x14ac:dyDescent="0.3">
      <c r="A3062" t="str">
        <f>HYPERLINK("https://us2.cloudbeds.com/connect/10074733072513#/reservations/30673291100342?display=YQNNMHJKA&amp;reservation_id=30673291100342", "YQNNMHJKA")</f>
        <v>YQNNMHJKA</v>
      </c>
      <c r="B3062" t="s">
        <v>10</v>
      </c>
      <c r="C3062" t="s">
        <v>14</v>
      </c>
      <c r="D3062" t="str">
        <f>HYPERLINK("https://us2.cloudbeds.com/connect/10074733072513#/reservations/30673291100342?display=David%20Schoenbeck&amp;reservation_id=30673291100342&amp;guest_id=30673291100327", "David Schoenbeck")</f>
        <v>David Schoenbeck</v>
      </c>
      <c r="E3062" t="s">
        <v>2727</v>
      </c>
      <c r="F3062" t="s">
        <v>2728</v>
      </c>
      <c r="G3062">
        <v>74.12</v>
      </c>
      <c r="H3062">
        <v>80.56</v>
      </c>
      <c r="I3062">
        <v>80.569999999999993</v>
      </c>
      <c r="J3062">
        <v>-0.01</v>
      </c>
    </row>
    <row r="3063" spans="1:10" x14ac:dyDescent="0.3">
      <c r="A3063" t="str">
        <f>HYPERLINK("https://us2.cloudbeds.com/connect/10074733072513#/reservations/30674416435340?display=YQZJEEN2S&amp;reservation_id=30674416435340", "YQZJEEN2S")</f>
        <v>YQZJEEN2S</v>
      </c>
      <c r="B3063" t="s">
        <v>10</v>
      </c>
      <c r="C3063" t="s">
        <v>14</v>
      </c>
      <c r="D3063" t="str">
        <f>HYPERLINK("https://us2.cloudbeds.com/connect/10074733072513#/reservations/30674416435340?display=Jeanne%20Hevener&amp;reservation_id=30674416435340&amp;guest_id=30674416435338", "Jeanne Hevener")</f>
        <v>Jeanne Hevener</v>
      </c>
      <c r="E3063" t="s">
        <v>2732</v>
      </c>
      <c r="F3063" t="s">
        <v>2726</v>
      </c>
      <c r="G3063">
        <v>74.12</v>
      </c>
      <c r="H3063">
        <v>80.56</v>
      </c>
      <c r="I3063">
        <v>80.569999999999993</v>
      </c>
      <c r="J3063">
        <v>-0.01</v>
      </c>
    </row>
    <row r="3064" spans="1:10" x14ac:dyDescent="0.3">
      <c r="A3064" t="str">
        <f>HYPERLINK("https://us2.cloudbeds.com/connect/10074733072513#/reservations/30674429317355?display=YQZJPA59V&amp;reservation_id=30674429317355", "YQZJPA59V")</f>
        <v>YQZJPA59V</v>
      </c>
      <c r="B3064" t="s">
        <v>10</v>
      </c>
      <c r="C3064" t="s">
        <v>11</v>
      </c>
      <c r="D3064" t="str">
        <f>HYPERLINK("https://us2.cloudbeds.com/connect/10074733072513#/reservations/30674429317355?display=William%20Franklin%20Stoddard&amp;reservation_id=30674429317355&amp;guest_id=30674416439434", "William Franklin Stoddard")</f>
        <v>William Franklin Stoddard</v>
      </c>
      <c r="E3064" t="s">
        <v>2733</v>
      </c>
      <c r="F3064" t="s">
        <v>2726</v>
      </c>
      <c r="G3064">
        <v>74.12</v>
      </c>
      <c r="H3064">
        <v>80.56</v>
      </c>
      <c r="I3064">
        <v>80.569999999999993</v>
      </c>
      <c r="J3064">
        <v>-0.01</v>
      </c>
    </row>
    <row r="3065" spans="1:10" x14ac:dyDescent="0.3">
      <c r="A3065" t="str">
        <f>HYPERLINK("https://us2.cloudbeds.com/connect/10074733072513#/reservations/30672353980662?display=YQMWZASA8&amp;reservation_id=30672353980662", "YQMWZASA8")</f>
        <v>YQMWZASA8</v>
      </c>
      <c r="B3065" t="s">
        <v>10</v>
      </c>
      <c r="C3065" t="s">
        <v>20</v>
      </c>
      <c r="D3065" t="str">
        <f>HYPERLINK("https://us2.cloudbeds.com/connect/10074733072513#/reservations/30672353980662?display=Sheldon%20Monson&amp;reservation_id=30672353980662&amp;guest_id=30672353980657", "Sheldon Monson")</f>
        <v>Sheldon Monson</v>
      </c>
      <c r="E3065" t="s">
        <v>2734</v>
      </c>
      <c r="F3065" t="s">
        <v>2712</v>
      </c>
      <c r="G3065">
        <v>220.6</v>
      </c>
      <c r="H3065">
        <v>239.78</v>
      </c>
      <c r="I3065">
        <v>239.79</v>
      </c>
      <c r="J3065">
        <v>-0.01</v>
      </c>
    </row>
    <row r="3066" spans="1:10" x14ac:dyDescent="0.3">
      <c r="A3066" t="str">
        <f>HYPERLINK("https://us2.cloudbeds.com/connect/10074733072513#/reservations/30678306771171?display=YQRJRT0VD&amp;reservation_id=30678306771171", "YQRJRT0VD")</f>
        <v>YQRJRT0VD</v>
      </c>
      <c r="B3066" t="s">
        <v>10</v>
      </c>
      <c r="C3066" t="s">
        <v>11</v>
      </c>
      <c r="D3066" t="str">
        <f>HYPERLINK("https://us2.cloudbeds.com/connect/10074733072513#/reservations/30678306771171?display=Jerry%20V%20Anderson&amp;reservation_id=30678306771171&amp;guest_id=30678306771168", "Jerry V Anderson")</f>
        <v>Jerry V Anderson</v>
      </c>
      <c r="E3066" t="s">
        <v>2735</v>
      </c>
      <c r="F3066" t="s">
        <v>2736</v>
      </c>
      <c r="G3066">
        <v>256.36</v>
      </c>
      <c r="H3066">
        <v>278.64999999999998</v>
      </c>
      <c r="I3066">
        <v>278.66000000000003</v>
      </c>
      <c r="J3066">
        <v>-0.01</v>
      </c>
    </row>
    <row r="3067" spans="1:10" x14ac:dyDescent="0.3">
      <c r="A3067" t="str">
        <f>HYPERLINK("https://us2.cloudbeds.com/connect/10074733072513#/reservations/30674487165174?display=YQZY82SE5&amp;reservation_id=30674487165174", "YQZY82SE5")</f>
        <v>YQZY82SE5</v>
      </c>
      <c r="B3067" t="s">
        <v>10</v>
      </c>
      <c r="C3067" t="s">
        <v>42</v>
      </c>
      <c r="D3067" t="str">
        <f>HYPERLINK("https://us2.cloudbeds.com/connect/10074733072513#/reservations/30674487165174?display=Jeanne%20Hevener&amp;reservation_id=30674487165174&amp;guest_id=30674487165161", "Jeanne Hevener")</f>
        <v>Jeanne Hevener</v>
      </c>
      <c r="E3067" t="s">
        <v>2732</v>
      </c>
      <c r="F3067" t="s">
        <v>2737</v>
      </c>
      <c r="G3067">
        <v>118.15</v>
      </c>
      <c r="H3067">
        <v>128.41999999999999</v>
      </c>
      <c r="I3067">
        <v>128.43</v>
      </c>
      <c r="J3067">
        <v>-0.01</v>
      </c>
    </row>
    <row r="3068" spans="1:10" x14ac:dyDescent="0.3">
      <c r="A3068" t="str">
        <f>HYPERLINK("https://us2.cloudbeds.com/connect/10074733072513#/reservations/30688457425111?display=YR2F75UVC&amp;reservation_id=30688457425111", "YR2F75UVC")</f>
        <v>YR2F75UVC</v>
      </c>
      <c r="B3068" t="s">
        <v>10</v>
      </c>
      <c r="C3068" t="s">
        <v>11</v>
      </c>
      <c r="D3068" t="str">
        <f>HYPERLINK("https://us2.cloudbeds.com/connect/10074733072513#/reservations/30688457425111?display=Robert%20Santoni&amp;reservation_id=30688457425111&amp;guest_id=30688457425100", "Robert Santoni")</f>
        <v>Robert Santoni</v>
      </c>
      <c r="E3068" t="s">
        <v>2739</v>
      </c>
      <c r="F3068" t="s">
        <v>2740</v>
      </c>
      <c r="G3068">
        <v>103.2</v>
      </c>
      <c r="H3068">
        <v>112.17</v>
      </c>
      <c r="I3068">
        <v>112.18</v>
      </c>
      <c r="J3068">
        <v>-0.01</v>
      </c>
    </row>
    <row r="3069" spans="1:10" x14ac:dyDescent="0.3">
      <c r="A3069" t="str">
        <f>HYPERLINK("https://us2.cloudbeds.com/connect/10074733072513#/reservations/30677964230818?display=YQRB31B5Z&amp;reservation_id=30677964230818", "YQRB31B5Z")</f>
        <v>YQRB31B5Z</v>
      </c>
      <c r="B3069" t="s">
        <v>10</v>
      </c>
      <c r="C3069" t="s">
        <v>14</v>
      </c>
      <c r="D3069" t="str">
        <f>HYPERLINK("https://us2.cloudbeds.com/connect/10074733072513#/reservations/30677964230818?display=Allen%20Weihe&amp;reservation_id=30677964230818&amp;guest_id=30650976784579", "Allen Weihe")</f>
        <v>Allen Weihe</v>
      </c>
      <c r="E3069" t="s">
        <v>678</v>
      </c>
      <c r="F3069" t="s">
        <v>2741</v>
      </c>
      <c r="G3069">
        <v>168.64</v>
      </c>
      <c r="H3069">
        <v>183.3</v>
      </c>
      <c r="I3069">
        <v>183.31</v>
      </c>
      <c r="J3069">
        <v>-0.01</v>
      </c>
    </row>
    <row r="3070" spans="1:10" x14ac:dyDescent="0.3">
      <c r="A3070" t="str">
        <f>HYPERLINK("https://us2.cloudbeds.com/connect/10074733072513#/reservations/30672966983899?display=YQNFD7J0T&amp;reservation_id=30672966983899", "YQNFD7J0T")</f>
        <v>YQNFD7J0T</v>
      </c>
      <c r="B3070" t="s">
        <v>10</v>
      </c>
      <c r="C3070" t="s">
        <v>20</v>
      </c>
      <c r="D3070" t="str">
        <f>HYPERLINK("https://us2.cloudbeds.com/connect/10074733072513#/reservations/30672966983899?display=Deb%20Christensen&amp;reservation_id=30672966983899&amp;guest_id=30672960831689", "Deb Christensen")</f>
        <v>Deb Christensen</v>
      </c>
      <c r="E3070" t="s">
        <v>2743</v>
      </c>
      <c r="F3070" t="s">
        <v>2601</v>
      </c>
      <c r="G3070">
        <v>112.24</v>
      </c>
      <c r="H3070">
        <v>121.99</v>
      </c>
      <c r="I3070">
        <v>122</v>
      </c>
      <c r="J3070">
        <v>-0.01</v>
      </c>
    </row>
    <row r="3071" spans="1:10" x14ac:dyDescent="0.3">
      <c r="A3071" t="str">
        <f>HYPERLINK("https://us2.cloudbeds.com/connect/10074733072513#/reservations/30672990654611?display=YQNG06877&amp;reservation_id=30672990654611", "YQNG06877")</f>
        <v>YQNG06877</v>
      </c>
      <c r="B3071" t="s">
        <v>10</v>
      </c>
      <c r="C3071" t="s">
        <v>14</v>
      </c>
      <c r="D3071" t="str">
        <f>HYPERLINK("https://us2.cloudbeds.com/connect/10074733072513#/reservations/30672990654611?display=Jerry%20Payne&amp;reservation_id=30672990654611&amp;guest_id=30671911104762", "Jerry Payne")</f>
        <v>Jerry Payne</v>
      </c>
      <c r="E3071" t="s">
        <v>2666</v>
      </c>
      <c r="F3071" t="s">
        <v>2744</v>
      </c>
      <c r="G3071">
        <v>350.88</v>
      </c>
      <c r="H3071">
        <v>381.4</v>
      </c>
      <c r="I3071">
        <v>381.41</v>
      </c>
      <c r="J3071">
        <v>-0.01</v>
      </c>
    </row>
    <row r="3072" spans="1:10" x14ac:dyDescent="0.3">
      <c r="A3072" t="str">
        <f>HYPERLINK("https://us2.cloudbeds.com/connect/10074733072513#/reservations/30677310824635?display=YQQRD2BGC&amp;reservation_id=30677310824635", "YQQRD2BGC")</f>
        <v>YQQRD2BGC</v>
      </c>
      <c r="B3072" t="s">
        <v>10</v>
      </c>
      <c r="C3072" t="s">
        <v>42</v>
      </c>
      <c r="D3072" t="str">
        <f>HYPERLINK("https://us2.cloudbeds.com/connect/10074733072513#/reservations/30677310824635?display=Betty%20Dyk&amp;reservation_id=30677310824635&amp;guest_id=30677301076181", "Betty Dyk")</f>
        <v>Betty Dyk</v>
      </c>
      <c r="E3072" t="s">
        <v>2745</v>
      </c>
      <c r="F3072" t="s">
        <v>2613</v>
      </c>
      <c r="G3072">
        <v>270.2</v>
      </c>
      <c r="H3072">
        <v>293.7</v>
      </c>
      <c r="I3072">
        <v>293.70999999999998</v>
      </c>
      <c r="J3072">
        <v>-0.01</v>
      </c>
    </row>
    <row r="3073" spans="1:10" x14ac:dyDescent="0.3">
      <c r="A3073" t="str">
        <f>HYPERLINK("https://us2.cloudbeds.com/connect/10074733072513#/reservations/30678066966733?display=YQRDNM3S9&amp;reservation_id=30678066966733", "YQRDNM3S9")</f>
        <v>YQRDNM3S9</v>
      </c>
      <c r="B3073" t="s">
        <v>10</v>
      </c>
      <c r="C3073" t="s">
        <v>14</v>
      </c>
      <c r="D3073" t="str">
        <f>HYPERLINK("https://us2.cloudbeds.com/connect/10074733072513#/reservations/30678066966733?display=Bob%20Hosier&amp;reservation_id=30678066966733&amp;guest_id=30672767443129", "Bob Hosier")</f>
        <v>Bob Hosier</v>
      </c>
      <c r="E3073" t="s">
        <v>2751</v>
      </c>
      <c r="F3073" t="s">
        <v>2752</v>
      </c>
      <c r="G3073">
        <v>216.24</v>
      </c>
      <c r="H3073">
        <v>235.04</v>
      </c>
      <c r="I3073">
        <v>235.05</v>
      </c>
      <c r="J3073">
        <v>-0.01</v>
      </c>
    </row>
    <row r="3074" spans="1:10" x14ac:dyDescent="0.3">
      <c r="A3074" t="str">
        <f>HYPERLINK("https://us2.cloudbeds.com/connect/10074733072513#/reservations/30672961749192?display=YQNF8QU4E&amp;reservation_id=30672961749192", "YQNF8QU4E")</f>
        <v>YQNF8QU4E</v>
      </c>
      <c r="B3074" t="s">
        <v>10</v>
      </c>
      <c r="C3074" t="s">
        <v>42</v>
      </c>
      <c r="D3074" t="str">
        <f>HYPERLINK("https://us2.cloudbeds.com/connect/10074733072513#/reservations/30672961749192?display=Sheila%20Hayes&amp;reservation_id=30672961749192&amp;guest_id=30672353980660", "Sheila Hayes")</f>
        <v>Sheila Hayes</v>
      </c>
      <c r="E3074" t="s">
        <v>2753</v>
      </c>
      <c r="F3074" t="s">
        <v>2744</v>
      </c>
      <c r="G3074">
        <v>196.2</v>
      </c>
      <c r="H3074">
        <v>213.26</v>
      </c>
      <c r="I3074">
        <v>213.27</v>
      </c>
      <c r="J3074">
        <v>-0.01</v>
      </c>
    </row>
    <row r="3075" spans="1:10" x14ac:dyDescent="0.3">
      <c r="A3075" t="str">
        <f>HYPERLINK("https://us2.cloudbeds.com/connect/10074733072513#/reservations/30673123438741?display=YQNJD55CZ&amp;reservation_id=30673123438741", "YQNJD55CZ")</f>
        <v>YQNJD55CZ</v>
      </c>
      <c r="B3075" t="s">
        <v>10</v>
      </c>
      <c r="C3075" t="s">
        <v>42</v>
      </c>
      <c r="D3075" t="str">
        <f>HYPERLINK("https://us2.cloudbeds.com/connect/10074733072513#/reservations/30673123438741?display=Daniel%20Drageset&amp;reservation_id=30673123438741&amp;guest_id=30673123438738", "Daniel Drageset")</f>
        <v>Daniel Drageset</v>
      </c>
      <c r="E3075" t="s">
        <v>2754</v>
      </c>
      <c r="F3075" t="s">
        <v>2755</v>
      </c>
      <c r="G3075">
        <v>87.2</v>
      </c>
      <c r="H3075">
        <v>94.78</v>
      </c>
      <c r="I3075">
        <v>94.79</v>
      </c>
      <c r="J3075">
        <v>-0.01</v>
      </c>
    </row>
    <row r="3076" spans="1:10" x14ac:dyDescent="0.3">
      <c r="A3076" t="str">
        <f>HYPERLINK("https://us2.cloudbeds.com/connect/10074733072513#/reservations/30673141977298?display=YQNJSQ0S6&amp;reservation_id=30673141977298", "YQNJSQ0S6")</f>
        <v>YQNJSQ0S6</v>
      </c>
      <c r="B3076" t="s">
        <v>10</v>
      </c>
      <c r="C3076" t="s">
        <v>42</v>
      </c>
      <c r="D3076" t="str">
        <f>HYPERLINK("https://us2.cloudbeds.com/connect/10074733072513#/reservations/30673141977298?display=Torry%20Beiningen&amp;reservation_id=30673141977298&amp;guest_id=30673135734970", "Torry Beiningen")</f>
        <v>Torry Beiningen</v>
      </c>
      <c r="E3076" t="s">
        <v>2756</v>
      </c>
      <c r="F3076" t="s">
        <v>2755</v>
      </c>
      <c r="G3076">
        <v>250.2</v>
      </c>
      <c r="H3076">
        <v>271.95999999999998</v>
      </c>
      <c r="I3076">
        <v>271.97000000000003</v>
      </c>
      <c r="J3076">
        <v>-0.01</v>
      </c>
    </row>
    <row r="3077" spans="1:10" x14ac:dyDescent="0.3">
      <c r="A3077" t="str">
        <f>HYPERLINK("https://us2.cloudbeds.com/connect/10074733072513#/reservations/30679991636215?display=YQSTTJT3U&amp;reservation_id=30679991636215", "YQSTTJT3U")</f>
        <v>YQSTTJT3U</v>
      </c>
      <c r="B3077" t="s">
        <v>10</v>
      </c>
      <c r="C3077" t="s">
        <v>17</v>
      </c>
      <c r="D3077" t="str">
        <f>HYPERLINK("https://us2.cloudbeds.com/connect/10074733072513#/reservations/30679991636215?display=Sherry%20Staller&amp;reservation_id=30679991636215&amp;guest_id=30679991636202", "Sherry Staller")</f>
        <v>Sherry Staller</v>
      </c>
      <c r="E3077" t="s">
        <v>2757</v>
      </c>
      <c r="F3077" t="s">
        <v>2653</v>
      </c>
      <c r="G3077">
        <v>134.1</v>
      </c>
      <c r="H3077">
        <v>145.76</v>
      </c>
      <c r="I3077">
        <v>145.77000000000001</v>
      </c>
      <c r="J3077">
        <v>-0.01</v>
      </c>
    </row>
    <row r="3078" spans="1:10" x14ac:dyDescent="0.3">
      <c r="A3078" t="str">
        <f>HYPERLINK("https://us2.cloudbeds.com/connect/10074733072513#/reservations/30688187928718?display=YR28AUQH0&amp;reservation_id=30688187928718", "YR28AUQH0")</f>
        <v>YR28AUQH0</v>
      </c>
      <c r="B3078" t="s">
        <v>10</v>
      </c>
      <c r="C3078" t="s">
        <v>11</v>
      </c>
      <c r="D3078" t="str">
        <f>HYPERLINK("https://us2.cloudbeds.com/connect/10074733072513#/reservations/30688187928718?display=Kristen%20Marie%20Puttmann&amp;reservation_id=30688187928718&amp;guest_id=30688187924631", "Kristen Marie Puttmann")</f>
        <v>Kristen Marie Puttmann</v>
      </c>
      <c r="E3078" t="s">
        <v>2758</v>
      </c>
      <c r="F3078" t="s">
        <v>2759</v>
      </c>
      <c r="G3078">
        <v>250.2</v>
      </c>
      <c r="H3078">
        <v>271.95999999999998</v>
      </c>
      <c r="I3078">
        <v>271.97000000000003</v>
      </c>
      <c r="J3078">
        <v>-0.01</v>
      </c>
    </row>
    <row r="3079" spans="1:10" x14ac:dyDescent="0.3">
      <c r="A3079" t="str">
        <f>HYPERLINK("https://us2.cloudbeds.com/connect/10074733072513#/reservations/30673557967054?display=YQNUGXX9C&amp;reservation_id=30673557967054", "YQNUGXX9C")</f>
        <v>YQNUGXX9C</v>
      </c>
      <c r="B3079" t="s">
        <v>10</v>
      </c>
      <c r="C3079" t="s">
        <v>20</v>
      </c>
      <c r="D3079" t="str">
        <f>HYPERLINK("https://us2.cloudbeds.com/connect/10074733072513#/reservations/30673557967054?display=Sue%20And%20Ernie%20Jensen&amp;reservation_id=30673557967054&amp;guest_id=30673557967052", "Sue And Ernie Jensen")</f>
        <v>Sue And Ernie Jensen</v>
      </c>
      <c r="E3079" t="s">
        <v>2760</v>
      </c>
      <c r="F3079" t="s">
        <v>2761</v>
      </c>
      <c r="G3079">
        <v>169.28</v>
      </c>
      <c r="H3079">
        <v>184</v>
      </c>
      <c r="I3079">
        <v>184.01</v>
      </c>
      <c r="J3079">
        <v>-0.01</v>
      </c>
    </row>
    <row r="3080" spans="1:10" x14ac:dyDescent="0.3">
      <c r="A3080" t="str">
        <f>HYPERLINK("https://us2.cloudbeds.com/connect/10074733072513#/reservations/30674109849808?display=YQZBJUGM6&amp;reservation_id=30674109849808", "YQZBJUGM6")</f>
        <v>YQZBJUGM6</v>
      </c>
      <c r="B3080" t="s">
        <v>10</v>
      </c>
      <c r="C3080" t="s">
        <v>42</v>
      </c>
      <c r="D3080" t="str">
        <f>HYPERLINK("https://us2.cloudbeds.com/connect/10074733072513#/reservations/30674109849808?display=Mike%20Davies&amp;reservation_id=30674109849808&amp;guest_id=30674109845724", "Mike Davies")</f>
        <v>Mike Davies</v>
      </c>
      <c r="E3080" t="s">
        <v>533</v>
      </c>
      <c r="F3080" t="s">
        <v>2722</v>
      </c>
      <c r="G3080">
        <v>267.3</v>
      </c>
      <c r="H3080">
        <v>290.55</v>
      </c>
      <c r="I3080">
        <v>290.56</v>
      </c>
      <c r="J3080">
        <v>-0.01</v>
      </c>
    </row>
    <row r="3081" spans="1:10" x14ac:dyDescent="0.3">
      <c r="A3081" t="str">
        <f>HYPERLINK("https://us2.cloudbeds.com/connect/10074733072513#/reservations/30673557971152?display=YQNUGXM1X&amp;reservation_id=30673557971152", "YQNUGXM1X")</f>
        <v>YQNUGXM1X</v>
      </c>
      <c r="B3081" t="s">
        <v>10</v>
      </c>
      <c r="C3081" t="s">
        <v>20</v>
      </c>
      <c r="D3081" t="str">
        <f>HYPERLINK("https://us2.cloudbeds.com/connect/10074733072513#/reservations/30673557971152?display=Shelly%20Franklin&amp;reservation_id=30673557971152&amp;guest_id=30673557971150", "Shelly Franklin")</f>
        <v>Shelly Franklin</v>
      </c>
      <c r="E3081" t="s">
        <v>2762</v>
      </c>
      <c r="F3081" t="s">
        <v>2761</v>
      </c>
      <c r="G3081">
        <v>169.28</v>
      </c>
      <c r="H3081">
        <v>184</v>
      </c>
      <c r="I3081">
        <v>184.01</v>
      </c>
      <c r="J3081">
        <v>-0.01</v>
      </c>
    </row>
    <row r="3082" spans="1:10" x14ac:dyDescent="0.3">
      <c r="A3082" t="str">
        <f>HYPERLINK("https://us2.cloudbeds.com/connect/10074733072513#/reservations/30674107789440?display=YQZBC84EB&amp;reservation_id=30674107789440", "YQZBC84EB")</f>
        <v>YQZBC84EB</v>
      </c>
      <c r="B3082" t="s">
        <v>10</v>
      </c>
      <c r="C3082" t="s">
        <v>42</v>
      </c>
      <c r="D3082" t="str">
        <f>HYPERLINK("https://us2.cloudbeds.com/connect/10074733072513#/reservations/30674107789440?display=James%20Braun&amp;reservation_id=30674107789440&amp;guest_id=30667431293087", "James Braun")</f>
        <v>James Braun</v>
      </c>
      <c r="E3082" t="s">
        <v>2763</v>
      </c>
      <c r="F3082" t="s">
        <v>2722</v>
      </c>
      <c r="G3082">
        <v>267.3</v>
      </c>
      <c r="H3082">
        <v>290.55</v>
      </c>
      <c r="I3082">
        <v>290.56</v>
      </c>
      <c r="J3082">
        <v>-0.01</v>
      </c>
    </row>
    <row r="3083" spans="1:10" x14ac:dyDescent="0.3">
      <c r="A3083" t="str">
        <f>HYPERLINK("https://us2.cloudbeds.com/connect/10074733072513#/reservations/30688509636817?display=YR2GX6QJ9&amp;reservation_id=30688509636817", "YR2GX6QJ9")</f>
        <v>YR2GX6QJ9</v>
      </c>
      <c r="B3083" t="s">
        <v>10</v>
      </c>
      <c r="C3083" t="s">
        <v>23</v>
      </c>
      <c r="D3083" t="str">
        <f>HYPERLINK("https://us2.cloudbeds.com/connect/10074733072513#/reservations/30688509636817?display=Michael%20Gregory%20Lemay&amp;reservation_id=30688509636817&amp;guest_id=30688500408452", "Michael Gregory Lemay")</f>
        <v>Michael Gregory Lemay</v>
      </c>
      <c r="E3083" t="s">
        <v>2764</v>
      </c>
      <c r="F3083" t="s">
        <v>2765</v>
      </c>
      <c r="G3083">
        <v>250.2</v>
      </c>
      <c r="H3083">
        <v>271.95999999999998</v>
      </c>
      <c r="I3083">
        <v>271.97000000000003</v>
      </c>
      <c r="J3083">
        <v>-0.01</v>
      </c>
    </row>
    <row r="3084" spans="1:10" x14ac:dyDescent="0.3">
      <c r="A3084" t="str">
        <f>HYPERLINK("https://us2.cloudbeds.com/connect/10074733072513#/reservations/30673581203650?display=YQNV354RY&amp;reservation_id=30673581203650", "YQNV354RY")</f>
        <v>YQNV354RY</v>
      </c>
      <c r="B3084" t="s">
        <v>10</v>
      </c>
      <c r="C3084" t="s">
        <v>14</v>
      </c>
      <c r="D3084" t="str">
        <f>HYPERLINK("https://us2.cloudbeds.com/connect/10074733072513#/reservations/30673581203650?display=Lee%20Healy&amp;reservation_id=30673581203650&amp;guest_id=30651494379673", "Lee Healy")</f>
        <v>Lee Healy</v>
      </c>
      <c r="E3084" t="s">
        <v>2768</v>
      </c>
      <c r="F3084" t="s">
        <v>2761</v>
      </c>
      <c r="G3084">
        <v>74.12</v>
      </c>
      <c r="H3084">
        <v>80.56</v>
      </c>
      <c r="I3084">
        <v>80.569999999999993</v>
      </c>
      <c r="J3084">
        <v>-0.01</v>
      </c>
    </row>
    <row r="3085" spans="1:10" x14ac:dyDescent="0.3">
      <c r="A3085" t="str">
        <f>HYPERLINK("https://us2.cloudbeds.com/connect/10074733072513#/reservations/30672995655842?display=YQNG4DDNM&amp;reservation_id=30672995655842", "YQNG4DDNM")</f>
        <v>YQNG4DDNM</v>
      </c>
      <c r="B3085" t="s">
        <v>10</v>
      </c>
      <c r="C3085" t="s">
        <v>42</v>
      </c>
      <c r="D3085" t="str">
        <f>HYPERLINK("https://us2.cloudbeds.com/connect/10074733072513#/reservations/30672995655842?display=Cory%20Glick&amp;reservation_id=30672995655842&amp;guest_id=30669423403138", "Cory Glick")</f>
        <v>Cory Glick</v>
      </c>
      <c r="E3085" t="s">
        <v>2769</v>
      </c>
      <c r="F3085" t="s">
        <v>2601</v>
      </c>
      <c r="G3085">
        <v>218</v>
      </c>
      <c r="H3085">
        <v>236.96</v>
      </c>
      <c r="I3085">
        <v>236.97</v>
      </c>
      <c r="J3085">
        <v>-0.01</v>
      </c>
    </row>
    <row r="3086" spans="1:10" x14ac:dyDescent="0.3">
      <c r="A3086" t="str">
        <f>HYPERLINK("https://us2.cloudbeds.com/connect/10074733072513#/reservations/30678811619488?display=YQRWZJ5S9&amp;reservation_id=30678811619488", "YQRWZJ5S9")</f>
        <v>YQRWZJ5S9</v>
      </c>
      <c r="B3086" t="s">
        <v>10</v>
      </c>
      <c r="C3086" t="s">
        <v>42</v>
      </c>
      <c r="D3086" t="str">
        <f>HYPERLINK("https://us2.cloudbeds.com/connect/10074733072513#/reservations/30678811619488?display=Tom%20Hartwick&amp;reservation_id=30678811619488&amp;guest_id=30678811619484", "Tom Hartwick")</f>
        <v>Tom Hartwick</v>
      </c>
      <c r="E3086" t="s">
        <v>2774</v>
      </c>
      <c r="F3086" t="s">
        <v>2771</v>
      </c>
      <c r="G3086">
        <v>134.1</v>
      </c>
      <c r="H3086">
        <v>145.76</v>
      </c>
      <c r="I3086">
        <v>145.77000000000001</v>
      </c>
      <c r="J3086">
        <v>-0.01</v>
      </c>
    </row>
    <row r="3087" spans="1:10" x14ac:dyDescent="0.3">
      <c r="A3087" t="str">
        <f>HYPERLINK("https://us2.cloudbeds.com/connect/10074733072513#/reservations/30679643259041?display=YQSKWRPHS&amp;reservation_id=30679643259041", "YQSKWRPHS")</f>
        <v>YQSKWRPHS</v>
      </c>
      <c r="B3087" t="s">
        <v>10</v>
      </c>
      <c r="C3087" t="s">
        <v>42</v>
      </c>
      <c r="D3087" t="str">
        <f>HYPERLINK("https://us2.cloudbeds.com/connect/10074733072513#/reservations/30679643259041?display=David%20Bade&amp;reservation_id=30679643259041&amp;guest_id=30679634190549", "David Bade")</f>
        <v>David Bade</v>
      </c>
      <c r="E3087" t="s">
        <v>2775</v>
      </c>
      <c r="F3087" t="s">
        <v>2773</v>
      </c>
      <c r="G3087">
        <v>267.3</v>
      </c>
      <c r="H3087">
        <v>290.55</v>
      </c>
      <c r="I3087">
        <v>290.56</v>
      </c>
      <c r="J3087">
        <v>-0.01</v>
      </c>
    </row>
    <row r="3088" spans="1:10" x14ac:dyDescent="0.3">
      <c r="A3088" t="str">
        <f>HYPERLINK("https://us2.cloudbeds.com/connect/10074733072513#/reservations/30674293067981?display=YQZG9DR31&amp;reservation_id=30674293067981", "YQZG9DR31")</f>
        <v>YQZG9DR31</v>
      </c>
      <c r="B3088" t="s">
        <v>10</v>
      </c>
      <c r="C3088" t="s">
        <v>14</v>
      </c>
      <c r="D3088" t="str">
        <f>HYPERLINK("https://us2.cloudbeds.com/connect/10074733072513#/reservations/30674293067981?display=Kelly%20Kerkman&amp;reservation_id=30674293067981&amp;guest_id=30663291097278", "Kelly Kerkman")</f>
        <v>Kelly Kerkman</v>
      </c>
      <c r="E3088" t="s">
        <v>1856</v>
      </c>
      <c r="F3088" t="s">
        <v>2776</v>
      </c>
      <c r="G3088">
        <v>74.12</v>
      </c>
      <c r="H3088">
        <v>80.56</v>
      </c>
      <c r="I3088">
        <v>80.569999999999993</v>
      </c>
      <c r="J3088">
        <v>-0.01</v>
      </c>
    </row>
    <row r="3089" spans="1:10" x14ac:dyDescent="0.3">
      <c r="A3089" t="str">
        <f>HYPERLINK("https://us2.cloudbeds.com/connect/10074733072513#/reservations/30680150196389?display=YQT0VA1ZM&amp;reservation_id=30680150196389", "YQT0VA1ZM")</f>
        <v>YQT0VA1ZM</v>
      </c>
      <c r="B3089" t="s">
        <v>10</v>
      </c>
      <c r="C3089" t="s">
        <v>20</v>
      </c>
      <c r="D3089" t="str">
        <f>HYPERLINK("https://us2.cloudbeds.com/connect/10074733072513#/reservations/30680150196389?display=Jauwanda%20Stone&amp;reservation_id=30680150196389&amp;guest_id=30680150196387", "Jauwanda Stone")</f>
        <v>Jauwanda Stone</v>
      </c>
      <c r="E3089" t="s">
        <v>2778</v>
      </c>
      <c r="F3089" t="s">
        <v>2771</v>
      </c>
      <c r="G3089">
        <v>208.34</v>
      </c>
      <c r="H3089">
        <v>226.46</v>
      </c>
      <c r="I3089">
        <v>226.47</v>
      </c>
      <c r="J3089">
        <v>-0.01</v>
      </c>
    </row>
    <row r="3090" spans="1:10" x14ac:dyDescent="0.3">
      <c r="A3090" t="str">
        <f>HYPERLINK("https://us2.cloudbeds.com/connect/10074733072513#/reservations/30679891677410?display=YQSRBACJ7&amp;reservation_id=30679891677410", "YQSRBACJ7")</f>
        <v>YQSRBACJ7</v>
      </c>
      <c r="B3090" t="s">
        <v>10</v>
      </c>
      <c r="C3090" t="s">
        <v>42</v>
      </c>
      <c r="D3090" t="str">
        <f>HYPERLINK("https://us2.cloudbeds.com/connect/10074733072513#/reservations/30679891677410?display=Joni%20Ymker&amp;reservation_id=30679891677410&amp;guest_id=30679891673326", "Joni Ymker")</f>
        <v>Joni Ymker</v>
      </c>
      <c r="E3090" t="s">
        <v>2779</v>
      </c>
      <c r="F3090" t="s">
        <v>2780</v>
      </c>
      <c r="G3090">
        <v>103.2</v>
      </c>
      <c r="H3090">
        <v>112.17</v>
      </c>
      <c r="I3090">
        <v>112.18</v>
      </c>
      <c r="J3090">
        <v>-0.01</v>
      </c>
    </row>
    <row r="3091" spans="1:10" x14ac:dyDescent="0.3">
      <c r="A3091" t="str">
        <f>HYPERLINK("https://us2.cloudbeds.com/connect/10074733072513#/reservations/30679959363769?display=YQST2CS60&amp;reservation_id=30679959363769", "YQST2CS60")</f>
        <v>YQST2CS60</v>
      </c>
      <c r="B3091" t="s">
        <v>10</v>
      </c>
      <c r="C3091" t="s">
        <v>42</v>
      </c>
      <c r="D3091" t="str">
        <f>HYPERLINK("https://us2.cloudbeds.com/connect/10074733072513#/reservations/30679959363769?display=Kraig%20Johnson&amp;reservation_id=30679959363769&amp;guest_id=30679950315724", "Kraig Johnson")</f>
        <v>Kraig Johnson</v>
      </c>
      <c r="E3091" t="s">
        <v>2781</v>
      </c>
      <c r="F3091" t="s">
        <v>2782</v>
      </c>
      <c r="G3091">
        <v>134.1</v>
      </c>
      <c r="H3091">
        <v>145.76</v>
      </c>
      <c r="I3091">
        <v>145.77000000000001</v>
      </c>
      <c r="J3091">
        <v>-0.01</v>
      </c>
    </row>
    <row r="3092" spans="1:10" x14ac:dyDescent="0.3">
      <c r="A3092" t="str">
        <f>HYPERLINK("https://us2.cloudbeds.com/connect/10074733072513#/reservations/30686538088640?display=YR0W5ZF4V&amp;reservation_id=30686538088640", "YR0W5ZF4V")</f>
        <v>YR0W5ZF4V</v>
      </c>
      <c r="B3092" t="s">
        <v>10</v>
      </c>
      <c r="C3092" t="s">
        <v>23</v>
      </c>
      <c r="D3092" t="str">
        <f>HYPERLINK("https://us2.cloudbeds.com/connect/10074733072513#/reservations/30686538088640?display=Kerry%20Bell&amp;reservation_id=30686538088640&amp;guest_id=30686538084548", "Kerry Bell")</f>
        <v>Kerry Bell</v>
      </c>
      <c r="E3092" t="s">
        <v>2785</v>
      </c>
      <c r="F3092" t="s">
        <v>2786</v>
      </c>
      <c r="G3092">
        <v>304.2</v>
      </c>
      <c r="H3092">
        <v>330.66</v>
      </c>
      <c r="I3092">
        <v>330.67</v>
      </c>
      <c r="J3092">
        <v>-0.01</v>
      </c>
    </row>
    <row r="3093" spans="1:10" x14ac:dyDescent="0.3">
      <c r="A3093" t="str">
        <f>HYPERLINK("https://us2.cloudbeds.com/connect/10074733072513#/reservations/30683276579066?display=YQVERX8XM&amp;reservation_id=30683276579066", "YQVERX8XM")</f>
        <v>YQVERX8XM</v>
      </c>
      <c r="B3093" t="s">
        <v>10</v>
      </c>
      <c r="C3093" t="s">
        <v>11</v>
      </c>
      <c r="D3093" t="str">
        <f>HYPERLINK("https://us2.cloudbeds.com/connect/10074733072513#/reservations/30683276579066?display=Justin%20Kindem&amp;reservation_id=30683276579066&amp;guest_id=30683276579012", "Justin Kindem")</f>
        <v>Justin Kindem</v>
      </c>
      <c r="E3093" t="s">
        <v>2787</v>
      </c>
      <c r="F3093" t="s">
        <v>2788</v>
      </c>
      <c r="G3093">
        <v>222.4</v>
      </c>
      <c r="H3093">
        <v>241.74</v>
      </c>
      <c r="I3093">
        <v>241.75</v>
      </c>
      <c r="J3093">
        <v>-0.01</v>
      </c>
    </row>
    <row r="3094" spans="1:10" x14ac:dyDescent="0.3">
      <c r="A3094" t="str">
        <f>HYPERLINK("https://us2.cloudbeds.com/connect/10074733072513#/reservations/30687132238015?display=YR1EBZYXY&amp;reservation_id=30687132238015", "YR1EBZYXY")</f>
        <v>YR1EBZYXY</v>
      </c>
      <c r="B3094" t="s">
        <v>10</v>
      </c>
      <c r="C3094" t="s">
        <v>42</v>
      </c>
      <c r="D3094" t="str">
        <f>HYPERLINK("https://us2.cloudbeds.com/connect/10074733072513#/reservations/30687132238015?display=Melanie%20Janke&amp;reservation_id=30687132238015&amp;guest_id=30687132237997", "Melanie Janke")</f>
        <v>Melanie Janke</v>
      </c>
      <c r="E3094" t="s">
        <v>2792</v>
      </c>
      <c r="F3094" t="s">
        <v>2724</v>
      </c>
      <c r="G3094">
        <v>270.2</v>
      </c>
      <c r="H3094">
        <v>293.7</v>
      </c>
      <c r="I3094">
        <v>293.70999999999998</v>
      </c>
      <c r="J3094">
        <v>-0.01</v>
      </c>
    </row>
    <row r="3095" spans="1:10" x14ac:dyDescent="0.3">
      <c r="A3095" t="str">
        <f>HYPERLINK("https://us2.cloudbeds.com/connect/10074733072513#/reservations/30678242209959?display=YQRX6EH32&amp;reservation_id=30678242209959", "YQRX6EH32")</f>
        <v>YQRX6EH32</v>
      </c>
      <c r="B3095" t="s">
        <v>10</v>
      </c>
      <c r="C3095" t="s">
        <v>17</v>
      </c>
      <c r="D3095" t="str">
        <f>HYPERLINK("https://us2.cloudbeds.com/connect/10074733072513#/reservations/30678242209959?display=Neil%20Halvorson&amp;reservation_id=30678242209959&amp;guest_id=30678235037899", "Neil Halvorson")</f>
        <v>Neil Halvorson</v>
      </c>
      <c r="E3095" t="s">
        <v>2794</v>
      </c>
      <c r="F3095" t="s">
        <v>2795</v>
      </c>
      <c r="G3095">
        <v>250.2</v>
      </c>
      <c r="H3095">
        <v>271.95999999999998</v>
      </c>
      <c r="I3095">
        <v>271.97000000000003</v>
      </c>
      <c r="J3095">
        <v>-0.01</v>
      </c>
    </row>
    <row r="3096" spans="1:10" x14ac:dyDescent="0.3">
      <c r="A3096" t="str">
        <f>HYPERLINK("https://us2.cloudbeds.com/connect/10074733072513#/reservations/30687164494023?display=YR1F5V7DE&amp;reservation_id=30687164494023", "YR1F5V7DE")</f>
        <v>YR1F5V7DE</v>
      </c>
      <c r="B3096" t="s">
        <v>10</v>
      </c>
      <c r="C3096" t="s">
        <v>42</v>
      </c>
      <c r="D3096" t="str">
        <f>HYPERLINK("https://us2.cloudbeds.com/connect/10074733072513#/reservations/30687164494023?display=Mary%20Johnson&amp;reservation_id=30687164494023&amp;guest_id=30687164494019", "Mary Johnson")</f>
        <v>Mary Johnson</v>
      </c>
      <c r="E3096" t="s">
        <v>2796</v>
      </c>
      <c r="F3096" t="s">
        <v>2724</v>
      </c>
      <c r="G3096">
        <v>270.2</v>
      </c>
      <c r="H3096">
        <v>293.7</v>
      </c>
      <c r="I3096">
        <v>293.70999999999998</v>
      </c>
      <c r="J3096">
        <v>-0.01</v>
      </c>
    </row>
    <row r="3097" spans="1:10" x14ac:dyDescent="0.3">
      <c r="A3097" t="str">
        <f>HYPERLINK("https://us2.cloudbeds.com/connect/10074733072513#/reservations/30679872225435?display=YQSQRU3BD&amp;reservation_id=30679872225435", "YQSQRU3BD")</f>
        <v>YQSQRU3BD</v>
      </c>
      <c r="B3097" t="s">
        <v>10</v>
      </c>
      <c r="C3097" t="s">
        <v>42</v>
      </c>
      <c r="D3097" t="str">
        <f>HYPERLINK("https://us2.cloudbeds.com/connect/10074733072513#/reservations/30679872225435?display=Lori%20Ehresmann&amp;reservation_id=30679872225435&amp;guest_id=30679872225422", "Lori Ehresmann")</f>
        <v>Lori Ehresmann</v>
      </c>
      <c r="E3097" t="s">
        <v>2797</v>
      </c>
      <c r="F3097" t="s">
        <v>2535</v>
      </c>
      <c r="G3097">
        <v>270.2</v>
      </c>
      <c r="H3097">
        <v>293.7</v>
      </c>
      <c r="I3097">
        <v>293.70999999999998</v>
      </c>
      <c r="J3097">
        <v>-0.01</v>
      </c>
    </row>
    <row r="3098" spans="1:10" x14ac:dyDescent="0.3">
      <c r="A3098" t="str">
        <f>HYPERLINK("https://us2.cloudbeds.com/connect/10074733072513#/reservations/30680071954666?display=YQSVVASEC&amp;reservation_id=30680071954666", "YQSVVASEC")</f>
        <v>YQSVVASEC</v>
      </c>
      <c r="B3098" t="s">
        <v>10</v>
      </c>
      <c r="C3098" t="s">
        <v>11</v>
      </c>
      <c r="D3098" t="str">
        <f>HYPERLINK("https://us2.cloudbeds.com/connect/10074733072513#/reservations/30680071954666?display=Betty%20Bruner&amp;reservation_id=30680071954666&amp;guest_id=30680071954663", "Betty Bruner")</f>
        <v>Betty Bruner</v>
      </c>
      <c r="E3098" t="s">
        <v>709</v>
      </c>
      <c r="F3098" t="s">
        <v>2800</v>
      </c>
      <c r="G3098">
        <v>75.239999999999995</v>
      </c>
      <c r="H3098">
        <v>81.78</v>
      </c>
      <c r="I3098">
        <v>81.790000000000006</v>
      </c>
      <c r="J3098">
        <v>-0.01</v>
      </c>
    </row>
    <row r="3099" spans="1:10" x14ac:dyDescent="0.3">
      <c r="A3099" t="str">
        <f>HYPERLINK("https://us2.cloudbeds.com/connect/10074733072513#/reservations/30680024514778?display=YQSUZAPY0&amp;reservation_id=30680024514778", "YQSUZAPY0")</f>
        <v>YQSUZAPY0</v>
      </c>
      <c r="B3099" t="s">
        <v>10</v>
      </c>
      <c r="C3099" t="s">
        <v>11</v>
      </c>
      <c r="D3099" t="str">
        <f>HYPERLINK("https://us2.cloudbeds.com/connect/10074733072513#/reservations/30680024514778?display=Tyler%20Jeffery%20Mcgregor&amp;reservation_id=30680024514778&amp;guest_id=30680015663245", "Tyler Jeffery Mcgregor")</f>
        <v>Tyler Jeffery Mcgregor</v>
      </c>
      <c r="E3099" t="s">
        <v>2802</v>
      </c>
      <c r="F3099" t="s">
        <v>2803</v>
      </c>
      <c r="G3099">
        <v>419.84</v>
      </c>
      <c r="H3099">
        <v>456.36</v>
      </c>
      <c r="I3099">
        <v>456.37</v>
      </c>
      <c r="J3099">
        <v>-0.01</v>
      </c>
    </row>
    <row r="3100" spans="1:10" x14ac:dyDescent="0.3">
      <c r="A3100" t="str">
        <f>HYPERLINK("https://us2.cloudbeds.com/connect/10074733072513#/reservations/30679469179132?display=YQSGX1ZX3&amp;reservation_id=30679469179132", "YQSGX1ZX3")</f>
        <v>YQSGX1ZX3</v>
      </c>
      <c r="B3100" t="s">
        <v>10</v>
      </c>
      <c r="C3100" t="s">
        <v>11</v>
      </c>
      <c r="D3100" t="str">
        <f>HYPERLINK("https://us2.cloudbeds.com/connect/10074733072513#/reservations/30679469179132?display=Barrand%20Reece&amp;reservation_id=30679469179132&amp;guest_id=30679469179127", "Barrand Reece")</f>
        <v>Barrand Reece</v>
      </c>
      <c r="E3100" t="s">
        <v>2809</v>
      </c>
      <c r="F3100" t="s">
        <v>2810</v>
      </c>
      <c r="G3100">
        <v>74.12</v>
      </c>
      <c r="H3100">
        <v>80.56</v>
      </c>
      <c r="I3100">
        <v>80.569999999999993</v>
      </c>
      <c r="J3100">
        <v>-0.01</v>
      </c>
    </row>
    <row r="3101" spans="1:10" x14ac:dyDescent="0.3">
      <c r="A3101" t="str">
        <f>HYPERLINK("https://us2.cloudbeds.com/connect/10074733072513#/reservations/30687172587682?display=YR1FCPEJR&amp;reservation_id=30687172587682", "YR1FCPEJR")</f>
        <v>YR1FCPEJR</v>
      </c>
      <c r="B3101" t="s">
        <v>10</v>
      </c>
      <c r="C3101" t="s">
        <v>42</v>
      </c>
      <c r="D3101" t="str">
        <f>HYPERLINK("https://us2.cloudbeds.com/connect/10074733072513#/reservations/30687172587682?display=Melanie%20Janke&amp;reservation_id=30687172587682&amp;guest_id=30687132237997", "Melanie Janke")</f>
        <v>Melanie Janke</v>
      </c>
      <c r="E3101" t="s">
        <v>2792</v>
      </c>
      <c r="F3101" t="s">
        <v>2724</v>
      </c>
      <c r="G3101">
        <v>270.2</v>
      </c>
      <c r="H3101">
        <v>293.7</v>
      </c>
      <c r="I3101">
        <v>293.70999999999998</v>
      </c>
      <c r="J3101">
        <v>-0.01</v>
      </c>
    </row>
    <row r="3102" spans="1:10" x14ac:dyDescent="0.3">
      <c r="A3102" t="str">
        <f>HYPERLINK("https://us2.cloudbeds.com/connect/10074733072513#/reservations/30676856697040?display=YQQFQ4J33&amp;reservation_id=30676856697040", "YQQFQ4J33")</f>
        <v>YQQFQ4J33</v>
      </c>
      <c r="B3102" t="s">
        <v>10</v>
      </c>
      <c r="C3102" t="s">
        <v>11</v>
      </c>
      <c r="D3102" t="str">
        <f>HYPERLINK("https://us2.cloudbeds.com/connect/10074733072513#/reservations/30676856697040?display=Gregory%20James%20Pasquarette&amp;reservation_id=30676856697040&amp;guest_id=30676856697038", "Gregory James Pasquarette")</f>
        <v>Gregory James Pasquarette</v>
      </c>
      <c r="E3102" t="s">
        <v>2811</v>
      </c>
      <c r="F3102" t="s">
        <v>2812</v>
      </c>
      <c r="G3102">
        <v>134.1</v>
      </c>
      <c r="H3102">
        <v>145.76</v>
      </c>
      <c r="I3102">
        <v>145.77000000000001</v>
      </c>
      <c r="J3102">
        <v>-0.01</v>
      </c>
    </row>
    <row r="3103" spans="1:10" x14ac:dyDescent="0.3">
      <c r="A3103" t="str">
        <f>HYPERLINK("https://us2.cloudbeds.com/connect/10074733072513#/reservations/30680004329626?display=YQSU7A34Z&amp;reservation_id=30680004329626", "YQSU7A34Z")</f>
        <v>YQSU7A34Z</v>
      </c>
      <c r="B3103" t="s">
        <v>10</v>
      </c>
      <c r="C3103" t="s">
        <v>42</v>
      </c>
      <c r="D3103" t="str">
        <f>HYPERLINK("https://us2.cloudbeds.com/connect/10074733072513#/reservations/30680004329626?display=Wendwe%20Bergmeier&amp;reservation_id=30680004329626&amp;guest_id=30679997546690", "Wendwe Bergmeier")</f>
        <v>Wendwe Bergmeier</v>
      </c>
      <c r="E3103" t="s">
        <v>2813</v>
      </c>
      <c r="F3103" t="s">
        <v>2653</v>
      </c>
      <c r="G3103">
        <v>277.2</v>
      </c>
      <c r="H3103">
        <v>301.31</v>
      </c>
      <c r="I3103">
        <v>301.32</v>
      </c>
      <c r="J3103">
        <v>-0.01</v>
      </c>
    </row>
    <row r="3104" spans="1:10" x14ac:dyDescent="0.3">
      <c r="A3104" t="str">
        <f>HYPERLINK("https://us2.cloudbeds.com/connect/10074733072513#/reservations/30679301030102?display=YQSC88ZNV&amp;reservation_id=30679301030102", "YQSC88ZNV")</f>
        <v>YQSC88ZNV</v>
      </c>
      <c r="B3104" t="s">
        <v>10</v>
      </c>
      <c r="C3104" t="s">
        <v>14</v>
      </c>
      <c r="D3104" t="str">
        <f>HYPERLINK("https://us2.cloudbeds.com/connect/10074733072513#/reservations/30679301030102?display=Allen%20Parry&amp;reservation_id=30679301030102&amp;guest_id=30679301030087", "Allen Parry")</f>
        <v>Allen Parry</v>
      </c>
      <c r="E3104" t="s">
        <v>2816</v>
      </c>
      <c r="F3104" t="s">
        <v>2817</v>
      </c>
      <c r="G3104">
        <v>84.15</v>
      </c>
      <c r="H3104">
        <v>91.46</v>
      </c>
      <c r="I3104">
        <v>91.47</v>
      </c>
      <c r="J3104">
        <v>-0.01</v>
      </c>
    </row>
    <row r="3105" spans="1:10" x14ac:dyDescent="0.3">
      <c r="A3105" t="str">
        <f>HYPERLINK("https://us2.cloudbeds.com/connect/10074733072513#/reservations/30678102655191?display=YQREKP6KN&amp;reservation_id=30678102655191", "YQREKP6KN")</f>
        <v>YQREKP6KN</v>
      </c>
      <c r="B3105" t="s">
        <v>10</v>
      </c>
      <c r="C3105" t="s">
        <v>11</v>
      </c>
      <c r="D3105" t="str">
        <f>HYPERLINK("https://us2.cloudbeds.com/connect/10074733072513#/reservations/30678102655191?display=Lindsey%20Pittelkow&amp;reservation_id=30678102655191&amp;guest_id=30678092792058", "Lindsey Pittelkow")</f>
        <v>Lindsey Pittelkow</v>
      </c>
      <c r="E3105" t="s">
        <v>2820</v>
      </c>
      <c r="F3105" t="s">
        <v>2752</v>
      </c>
      <c r="G3105">
        <v>74.12</v>
      </c>
      <c r="H3105">
        <v>80.56</v>
      </c>
      <c r="I3105">
        <v>80.569999999999993</v>
      </c>
      <c r="J3105">
        <v>-0.01</v>
      </c>
    </row>
    <row r="3106" spans="1:10" x14ac:dyDescent="0.3">
      <c r="A3106" t="str">
        <f>HYPERLINK("https://us2.cloudbeds.com/connect/10074733072513#/reservations/30677516706026?display=YQQWYM9VD&amp;reservation_id=30677516706026", "YQQWYM9VD")</f>
        <v>YQQWYM9VD</v>
      </c>
      <c r="B3106" t="s">
        <v>10</v>
      </c>
      <c r="C3106" t="s">
        <v>42</v>
      </c>
      <c r="D3106" t="str">
        <f>HYPERLINK("https://us2.cloudbeds.com/connect/10074733072513#/reservations/30677516706026?display=Linda%20Heiman&amp;reservation_id=30677516706026&amp;guest_id=30677516706023", "Linda Heiman")</f>
        <v>Linda Heiman</v>
      </c>
      <c r="E3106" t="s">
        <v>2821</v>
      </c>
      <c r="F3106" t="s">
        <v>2752</v>
      </c>
      <c r="G3106">
        <v>324.3</v>
      </c>
      <c r="H3106">
        <v>352.5</v>
      </c>
      <c r="I3106">
        <v>352.51</v>
      </c>
      <c r="J3106">
        <v>-0.01</v>
      </c>
    </row>
    <row r="3107" spans="1:10" x14ac:dyDescent="0.3">
      <c r="A3107" t="str">
        <f>HYPERLINK("https://us2.cloudbeds.com/connect/10074733072513#/reservations/30680026185873?display=YQSUPZ958&amp;reservation_id=30680026185873", "YQSUPZ958")</f>
        <v>YQSUPZ958</v>
      </c>
      <c r="B3107" t="s">
        <v>10</v>
      </c>
      <c r="C3107" t="s">
        <v>23</v>
      </c>
      <c r="D3107" t="str">
        <f>HYPERLINK("https://us2.cloudbeds.com/connect/10074733072513#/reservations/30680026185873?display=Mary%20Scott&amp;reservation_id=30680026185873&amp;guest_id=30672923803860", "Mary Scott")</f>
        <v>Mary Scott</v>
      </c>
      <c r="E3107" t="s">
        <v>2822</v>
      </c>
      <c r="F3107" t="s">
        <v>2653</v>
      </c>
      <c r="G3107">
        <v>134.1</v>
      </c>
      <c r="H3107">
        <v>145.76</v>
      </c>
      <c r="I3107">
        <v>145.77000000000001</v>
      </c>
      <c r="J3107">
        <v>-0.01</v>
      </c>
    </row>
    <row r="3108" spans="1:10" x14ac:dyDescent="0.3">
      <c r="A3108" t="str">
        <f>HYPERLINK("https://us2.cloudbeds.com/connect/10074733072513#/reservations/30679475003604?display=YQSGMVR08&amp;reservation_id=30679475003604", "YQSGMVR08")</f>
        <v>YQSGMVR08</v>
      </c>
      <c r="B3108" t="s">
        <v>10</v>
      </c>
      <c r="C3108" t="s">
        <v>11</v>
      </c>
      <c r="D3108" t="str">
        <f>HYPERLINK("https://us2.cloudbeds.com/connect/10074733072513#/reservations/30679475003604?display=Joan%20Dawson&amp;reservation_id=30679475003604&amp;guest_id=30679469179130", "Joan Dawson")</f>
        <v>Joan Dawson</v>
      </c>
      <c r="E3108" t="s">
        <v>2823</v>
      </c>
      <c r="F3108" t="s">
        <v>2653</v>
      </c>
      <c r="G3108">
        <v>216.24</v>
      </c>
      <c r="H3108">
        <v>235.04</v>
      </c>
      <c r="I3108">
        <v>235.05</v>
      </c>
      <c r="J3108">
        <v>-0.01</v>
      </c>
    </row>
    <row r="3109" spans="1:10" x14ac:dyDescent="0.3">
      <c r="A3109" t="str">
        <f>HYPERLINK("https://us2.cloudbeds.com/connect/10074733072513#/reservations/30679315411152?display=YQSCKCUFB&amp;reservation_id=30679315411152", "YQSCKCUFB")</f>
        <v>YQSCKCUFB</v>
      </c>
      <c r="B3109" t="s">
        <v>10</v>
      </c>
      <c r="C3109" t="s">
        <v>20</v>
      </c>
      <c r="D3109" t="str">
        <f>HYPERLINK("https://us2.cloudbeds.com/connect/10074733072513#/reservations/30679315411152?display=Colton%20Rabey&amp;reservation_id=30679315411152&amp;guest_id=30679315411150", "Colton Rabey")</f>
        <v>Colton Rabey</v>
      </c>
      <c r="E3109" t="s">
        <v>2824</v>
      </c>
      <c r="F3109" t="s">
        <v>2817</v>
      </c>
      <c r="G3109">
        <v>93.19</v>
      </c>
      <c r="H3109">
        <v>101.29</v>
      </c>
      <c r="I3109">
        <v>101.3</v>
      </c>
      <c r="J3109">
        <v>-0.01</v>
      </c>
    </row>
    <row r="3110" spans="1:10" x14ac:dyDescent="0.3">
      <c r="A3110" t="str">
        <f>HYPERLINK("https://us2.cloudbeds.com/connect/10074733072513#/reservations/30678599913622?display=YQRRB24V0&amp;reservation_id=30678599913622", "YQRRB24V0")</f>
        <v>YQRRB24V0</v>
      </c>
      <c r="B3110" t="s">
        <v>10</v>
      </c>
      <c r="C3110" t="s">
        <v>42</v>
      </c>
      <c r="D3110" t="str">
        <f>HYPERLINK("https://us2.cloudbeds.com/connect/10074733072513#/reservations/30678599913622?display=Mike%20Geelan&amp;reservation_id=30678599913622&amp;guest_id=30678595604639", "Mike Geelan")</f>
        <v>Mike Geelan</v>
      </c>
      <c r="E3110" t="s">
        <v>2826</v>
      </c>
      <c r="F3110" t="s">
        <v>2752</v>
      </c>
      <c r="G3110">
        <v>216.2</v>
      </c>
      <c r="H3110">
        <v>235</v>
      </c>
      <c r="I3110">
        <v>235.01</v>
      </c>
      <c r="J3110">
        <v>-0.01</v>
      </c>
    </row>
    <row r="3111" spans="1:10" x14ac:dyDescent="0.3">
      <c r="A3111" t="str">
        <f>HYPERLINK("https://us2.cloudbeds.com/connect/10074733072513#/reservations/30678154113245?display=YQRFV536Y&amp;reservation_id=30678154113245", "YQRFV536Y")</f>
        <v>YQRFV536Y</v>
      </c>
      <c r="B3111" t="s">
        <v>10</v>
      </c>
      <c r="C3111" t="s">
        <v>11</v>
      </c>
      <c r="D3111" t="str">
        <f>HYPERLINK("https://us2.cloudbeds.com/connect/10074733072513#/reservations/30678154113245?display=Robert%20O%20Lemp&amp;reservation_id=30678154113245&amp;guest_id=30678154113230", "Robert O Lemp")</f>
        <v>Robert O Lemp</v>
      </c>
      <c r="E3111" t="s">
        <v>2828</v>
      </c>
      <c r="F3111" t="s">
        <v>2573</v>
      </c>
      <c r="G3111">
        <v>174.4</v>
      </c>
      <c r="H3111">
        <v>189.56</v>
      </c>
      <c r="I3111">
        <v>189.57</v>
      </c>
      <c r="J3111">
        <v>-0.01</v>
      </c>
    </row>
    <row r="3112" spans="1:10" x14ac:dyDescent="0.3">
      <c r="A3112" t="str">
        <f>HYPERLINK("https://us2.cloudbeds.com/connect/10074733072513#/reservations/30679574990985?display=YQSJ893PT&amp;reservation_id=30679574990985", "YQSJ893PT")</f>
        <v>YQSJ893PT</v>
      </c>
      <c r="B3112" t="s">
        <v>10</v>
      </c>
      <c r="C3112" t="s">
        <v>11</v>
      </c>
      <c r="D3112" t="str">
        <f>HYPERLINK("https://us2.cloudbeds.com/connect/10074733072513#/reservations/30679574990985?display=Robert%20Mann&amp;reservation_id=30679574990985&amp;guest_id=30679574990983", "Robert Mann")</f>
        <v>Robert Mann</v>
      </c>
      <c r="E3112" t="s">
        <v>2832</v>
      </c>
      <c r="F3112" t="s">
        <v>2833</v>
      </c>
      <c r="G3112">
        <v>75.239999999999995</v>
      </c>
      <c r="H3112">
        <v>81.78</v>
      </c>
      <c r="I3112">
        <v>81.790000000000006</v>
      </c>
      <c r="J3112">
        <v>-0.01</v>
      </c>
    </row>
    <row r="3113" spans="1:10" x14ac:dyDescent="0.3">
      <c r="A3113" t="str">
        <f>HYPERLINK("https://us2.cloudbeds.com/connect/10074733072513#/reservations/30678050316416?display=YQRD9KMK1&amp;reservation_id=30678050316416", "YQRD9KMK1")</f>
        <v>YQRD9KMK1</v>
      </c>
      <c r="B3113" t="s">
        <v>10</v>
      </c>
      <c r="C3113" t="s">
        <v>23</v>
      </c>
      <c r="D3113" t="str">
        <f>HYPERLINK("https://us2.cloudbeds.com/connect/10074733072513#/reservations/30678050316416?display=Jessica%20Gifford&amp;reservation_id=30678050316416&amp;guest_id=30678050312379", "Jessica Gifford")</f>
        <v>Jessica Gifford</v>
      </c>
      <c r="E3113" t="s">
        <v>2838</v>
      </c>
      <c r="F3113" t="s">
        <v>2752</v>
      </c>
      <c r="G3113">
        <v>268.2</v>
      </c>
      <c r="H3113">
        <v>291.52</v>
      </c>
      <c r="I3113">
        <v>291.52999999999997</v>
      </c>
      <c r="J3113">
        <v>-0.01</v>
      </c>
    </row>
    <row r="3114" spans="1:10" x14ac:dyDescent="0.3">
      <c r="A3114" t="str">
        <f>HYPERLINK("https://us2.cloudbeds.com/connect/10074733072513#/reservations/30687498780804?display=YR1NNR84T&amp;reservation_id=30687498780804", "YR1NNR84T")</f>
        <v>YR1NNR84T</v>
      </c>
      <c r="B3114" t="s">
        <v>10</v>
      </c>
      <c r="C3114" t="s">
        <v>11</v>
      </c>
      <c r="D3114" t="str">
        <f>HYPERLINK("https://us2.cloudbeds.com/connect/10074733072513#/reservations/30687498780804?display=Jacklyn%20Karli&amp;reservation_id=30687498780804&amp;guest_id=30687498780800", "Jacklyn Karli")</f>
        <v>Jacklyn Karli</v>
      </c>
      <c r="E3114" t="s">
        <v>2839</v>
      </c>
      <c r="F3114" t="s">
        <v>2840</v>
      </c>
      <c r="G3114">
        <v>250.2</v>
      </c>
      <c r="H3114">
        <v>271.95999999999998</v>
      </c>
      <c r="I3114">
        <v>271.97000000000003</v>
      </c>
      <c r="J3114">
        <v>-0.01</v>
      </c>
    </row>
    <row r="3115" spans="1:10" x14ac:dyDescent="0.3">
      <c r="A3115" t="str">
        <f>HYPERLINK("https://us2.cloudbeds.com/connect/10074733072513#/reservations/30678682738934?display=YQRTETT7V&amp;reservation_id=30678682738934", "YQRTETT7V")</f>
        <v>YQRTETT7V</v>
      </c>
      <c r="B3115" t="s">
        <v>10</v>
      </c>
      <c r="C3115" t="s">
        <v>20</v>
      </c>
      <c r="D3115" t="str">
        <f>HYPERLINK("https://us2.cloudbeds.com/connect/10074733072513#/reservations/30678682738934?display=Holly%20Davidson&amp;reservation_id=30678682738934&amp;guest_id=30678682738922", "Holly Davidson")</f>
        <v>Holly Davidson</v>
      </c>
      <c r="E3115" t="s">
        <v>2841</v>
      </c>
      <c r="F3115" t="s">
        <v>2707</v>
      </c>
      <c r="G3115">
        <v>120.32</v>
      </c>
      <c r="H3115">
        <v>130.78</v>
      </c>
      <c r="I3115">
        <v>130.79</v>
      </c>
      <c r="J3115">
        <v>-0.01</v>
      </c>
    </row>
    <row r="3116" spans="1:10" x14ac:dyDescent="0.3">
      <c r="A3116" t="str">
        <f>HYPERLINK("https://us2.cloudbeds.com/connect/10074733072513#/reservations/30678304202972?display=YQRJPNXY7&amp;reservation_id=30678304202972", "YQRJPNXY7")</f>
        <v>YQRJPNXY7</v>
      </c>
      <c r="B3116" t="s">
        <v>10</v>
      </c>
      <c r="C3116" t="s">
        <v>11</v>
      </c>
      <c r="D3116" t="str">
        <f>HYPERLINK("https://us2.cloudbeds.com/connect/10074733072513#/reservations/30678304202972?display=Todd%20Oehm&amp;reservation_id=30678304202972&amp;guest_id=30678304198865", "Todd Oehm")</f>
        <v>Todd Oehm</v>
      </c>
      <c r="E3116" t="s">
        <v>2842</v>
      </c>
      <c r="F3116" t="s">
        <v>2843</v>
      </c>
      <c r="G3116">
        <v>200.16</v>
      </c>
      <c r="H3116">
        <v>217.56</v>
      </c>
      <c r="I3116">
        <v>217.57</v>
      </c>
      <c r="J3116">
        <v>-0.01</v>
      </c>
    </row>
    <row r="3117" spans="1:10" x14ac:dyDescent="0.3">
      <c r="A3117" t="str">
        <f>HYPERLINK("https://us2.cloudbeds.com/connect/10074733072513#/reservations/30679869042858?display=YQSQP7HSN&amp;reservation_id=30679869042858", "YQSQP7HSN")</f>
        <v>YQSQP7HSN</v>
      </c>
      <c r="B3117" t="s">
        <v>10</v>
      </c>
      <c r="C3117" t="s">
        <v>11</v>
      </c>
      <c r="D3117" t="str">
        <f>HYPERLINK("https://us2.cloudbeds.com/connect/10074733072513#/reservations/30679869042858?display=Garrett%20Good&amp;reservation_id=30679869042858&amp;guest_id=30679869042856", "Garrett Good")</f>
        <v>Garrett Good</v>
      </c>
      <c r="E3117" t="s">
        <v>2844</v>
      </c>
      <c r="F3117" t="s">
        <v>2845</v>
      </c>
      <c r="G3117">
        <v>350.88</v>
      </c>
      <c r="H3117">
        <v>381.4</v>
      </c>
      <c r="I3117">
        <v>381.41</v>
      </c>
      <c r="J3117">
        <v>-0.01</v>
      </c>
    </row>
    <row r="3118" spans="1:10" x14ac:dyDescent="0.3">
      <c r="A3118" t="str">
        <f>HYPERLINK("https://us2.cloudbeds.com/connect/10074733072513#/reservations/30677635481737?display=YQR2MRDXC&amp;reservation_id=30677635481737", "YQR2MRDXC")</f>
        <v>YQR2MRDXC</v>
      </c>
      <c r="B3118" t="s">
        <v>10</v>
      </c>
      <c r="C3118" t="s">
        <v>11</v>
      </c>
      <c r="D3118" t="str">
        <f>HYPERLINK("https://us2.cloudbeds.com/connect/10074733072513#/reservations/30677635481737?display=John%20C%20Kirts&amp;reservation_id=30677635481737&amp;guest_id=30677628428446", "John C Kirts")</f>
        <v>John C Kirts</v>
      </c>
      <c r="E3118" t="s">
        <v>2846</v>
      </c>
      <c r="F3118" t="s">
        <v>2847</v>
      </c>
      <c r="G3118">
        <v>250.2</v>
      </c>
      <c r="H3118">
        <v>271.95999999999998</v>
      </c>
      <c r="I3118">
        <v>271.97000000000003</v>
      </c>
      <c r="J3118">
        <v>-0.01</v>
      </c>
    </row>
    <row r="3119" spans="1:10" x14ac:dyDescent="0.3">
      <c r="A3119" t="str">
        <f>HYPERLINK("https://us2.cloudbeds.com/connect/10074733072513#/reservations/30688517304497?display=YR2GZM5K7&amp;reservation_id=30688517304497", "YR2GZM5K7")</f>
        <v>YR2GZM5K7</v>
      </c>
      <c r="B3119" t="s">
        <v>10</v>
      </c>
      <c r="C3119" t="s">
        <v>42</v>
      </c>
      <c r="D3119" t="str">
        <f>HYPERLINK("https://us2.cloudbeds.com/connect/10074733072513#/reservations/30688517304497?display=Cinda%20Rippentrop&amp;reservation_id=30688517304497&amp;guest_id=30688509640926", "Cinda Rippentrop")</f>
        <v>Cinda Rippentrop</v>
      </c>
      <c r="E3119" t="s">
        <v>2848</v>
      </c>
      <c r="F3119" t="s">
        <v>2765</v>
      </c>
      <c r="G3119">
        <v>366.3</v>
      </c>
      <c r="H3119">
        <v>398.16</v>
      </c>
      <c r="I3119">
        <v>398.17</v>
      </c>
      <c r="J3119">
        <v>-0.01</v>
      </c>
    </row>
    <row r="3120" spans="1:10" x14ac:dyDescent="0.3">
      <c r="A3120" t="str">
        <f>HYPERLINK("https://us2.cloudbeds.com/connect/10074733072513#/reservations/30676878037244?display=YQQGB4D7V&amp;reservation_id=30676878037244", "YQQGB4D7V")</f>
        <v>YQQGB4D7V</v>
      </c>
      <c r="B3120" t="s">
        <v>10</v>
      </c>
      <c r="C3120" t="s">
        <v>11</v>
      </c>
      <c r="D3120" t="str">
        <f>HYPERLINK("https://us2.cloudbeds.com/connect/10074733072513#/reservations/30676878037244?display=Jessica%20Kewley&amp;reservation_id=30676878037244&amp;guest_id=30676878037239", "Jessica Kewley")</f>
        <v>Jessica Kewley</v>
      </c>
      <c r="E3120" t="s">
        <v>2850</v>
      </c>
      <c r="F3120" t="s">
        <v>2851</v>
      </c>
      <c r="G3120">
        <v>100.08</v>
      </c>
      <c r="H3120">
        <v>108.78</v>
      </c>
      <c r="I3120">
        <v>108.79</v>
      </c>
      <c r="J3120">
        <v>-0.01</v>
      </c>
    </row>
    <row r="3121" spans="1:10" x14ac:dyDescent="0.3">
      <c r="A3121" t="str">
        <f>HYPERLINK("https://us2.cloudbeds.com/connect/10074733072513#/reservations/30687537844373?display=YR1ZNP86D&amp;reservation_id=30687537844373", "YR1ZNP86D")</f>
        <v>YR1ZNP86D</v>
      </c>
      <c r="B3121" t="s">
        <v>10</v>
      </c>
      <c r="C3121" t="s">
        <v>14</v>
      </c>
      <c r="D3121" t="str">
        <f>HYPERLINK("https://us2.cloudbeds.com/connect/10074733072513#/reservations/30687537844373?display=Michael%20Hughes&amp;reservation_id=30687537844373&amp;guest_id=30687533068537", "Michael Hughes")</f>
        <v>Michael Hughes</v>
      </c>
      <c r="E3121" t="s">
        <v>2852</v>
      </c>
      <c r="F3121" t="s">
        <v>2840</v>
      </c>
      <c r="G3121">
        <v>100.08</v>
      </c>
      <c r="H3121">
        <v>108.78</v>
      </c>
      <c r="I3121">
        <v>108.79</v>
      </c>
      <c r="J3121">
        <v>-0.01</v>
      </c>
    </row>
    <row r="3122" spans="1:10" x14ac:dyDescent="0.3">
      <c r="A3122" t="str">
        <f>HYPERLINK("https://us2.cloudbeds.com/connect/10074733072513#/reservations/30678391726243?display=YQRM0H0VX&amp;reservation_id=30678391726243", "YQRM0H0VX")</f>
        <v>YQRM0H0VX</v>
      </c>
      <c r="B3122" t="s">
        <v>10</v>
      </c>
      <c r="C3122" t="s">
        <v>17</v>
      </c>
      <c r="D3122" t="str">
        <f>HYPERLINK("https://us2.cloudbeds.com/connect/10074733072513#/reservations/30678391726243?display=Bobby%20Mcgill&amp;reservation_id=30678391726243&amp;guest_id=30678391726238", "Bobby Mcgill")</f>
        <v>Bobby Mcgill</v>
      </c>
      <c r="E3122" t="s">
        <v>2853</v>
      </c>
      <c r="F3122" t="s">
        <v>2854</v>
      </c>
      <c r="G3122">
        <v>375.3</v>
      </c>
      <c r="H3122">
        <v>407.94</v>
      </c>
      <c r="I3122">
        <v>407.95</v>
      </c>
      <c r="J3122">
        <v>-0.01</v>
      </c>
    </row>
    <row r="3123" spans="1:10" x14ac:dyDescent="0.3">
      <c r="A3123" t="str">
        <f>HYPERLINK("https://us2.cloudbeds.com/connect/10074733072513#/reservations/30686710354076?display=YR13J03YS&amp;reservation_id=30686710354076", "YR13J03YS")</f>
        <v>YR13J03YS</v>
      </c>
      <c r="B3123" t="s">
        <v>10</v>
      </c>
      <c r="C3123" t="s">
        <v>23</v>
      </c>
      <c r="D3123" t="str">
        <f>HYPERLINK("https://us2.cloudbeds.com/connect/10074733072513#/reservations/30686710354076?display=Steven%20Piper&amp;reservation_id=30686710354076&amp;guest_id=30686710349990", "Steven Piper")</f>
        <v>Steven Piper</v>
      </c>
      <c r="E3123" t="s">
        <v>2855</v>
      </c>
      <c r="F3123" t="s">
        <v>2840</v>
      </c>
      <c r="G3123">
        <v>259.2</v>
      </c>
      <c r="H3123">
        <v>281.74</v>
      </c>
      <c r="I3123">
        <v>281.75</v>
      </c>
      <c r="J3123">
        <v>-0.01</v>
      </c>
    </row>
    <row r="3124" spans="1:10" x14ac:dyDescent="0.3">
      <c r="A3124" t="str">
        <f>HYPERLINK("https://us2.cloudbeds.com/connect/10074733072513#/reservations/30685640442076?display=YR097R7M3&amp;reservation_id=30685640442076", "YR097R7M3")</f>
        <v>YR097R7M3</v>
      </c>
      <c r="B3124" t="s">
        <v>10</v>
      </c>
      <c r="C3124" t="s">
        <v>20</v>
      </c>
      <c r="D3124" t="str">
        <f>HYPERLINK("https://us2.cloudbeds.com/connect/10074733072513#/reservations/30685640442076?display=Tom%20Glass&amp;reservation_id=30685640442076&amp;guest_id=30685640442074", "Tom Glass")</f>
        <v>Tom Glass</v>
      </c>
      <c r="E3124" t="s">
        <v>2858</v>
      </c>
      <c r="F3124" t="s">
        <v>2859</v>
      </c>
      <c r="G3124">
        <v>118.15</v>
      </c>
      <c r="H3124">
        <v>128.41999999999999</v>
      </c>
      <c r="I3124">
        <v>128.43</v>
      </c>
      <c r="J3124">
        <v>-0.01</v>
      </c>
    </row>
    <row r="3125" spans="1:10" x14ac:dyDescent="0.3">
      <c r="A3125" t="str">
        <f>HYPERLINK("https://us2.cloudbeds.com/connect/10074733072513#/reservations/30679219011725?display=YQSA53FDJ&amp;reservation_id=30679219011725", "YQSA53FDJ")</f>
        <v>YQSA53FDJ</v>
      </c>
      <c r="B3125" t="s">
        <v>10</v>
      </c>
      <c r="C3125" t="s">
        <v>42</v>
      </c>
      <c r="D3125" t="str">
        <f>HYPERLINK("https://us2.cloudbeds.com/connect/10074733072513#/reservations/30679219011725?display=John%20Montgomery&amp;reservation_id=30679219011725&amp;guest_id=30679219007644", "John Montgomery")</f>
        <v>John Montgomery</v>
      </c>
      <c r="E3125" t="s">
        <v>2860</v>
      </c>
      <c r="F3125" t="s">
        <v>2861</v>
      </c>
      <c r="G3125">
        <v>250.2</v>
      </c>
      <c r="H3125">
        <v>271.95999999999998</v>
      </c>
      <c r="I3125">
        <v>271.97000000000003</v>
      </c>
      <c r="J3125">
        <v>-0.01</v>
      </c>
    </row>
    <row r="3126" spans="1:10" x14ac:dyDescent="0.3">
      <c r="A3126" t="str">
        <f>HYPERLINK("https://us2.cloudbeds.com/connect/10074733072513#/reservations/30678411010241?display=YQRMGPKV4&amp;reservation_id=30678411010241", "YQRMGPKV4")</f>
        <v>YQRMGPKV4</v>
      </c>
      <c r="B3126" t="s">
        <v>10</v>
      </c>
      <c r="C3126" t="s">
        <v>17</v>
      </c>
      <c r="D3126" t="str">
        <f>HYPERLINK("https://us2.cloudbeds.com/connect/10074733072513#/reservations/30678411010241?display=Matt%20Stokke&amp;reservation_id=30678411010241&amp;guest_id=30678411006204", "Matt Stokke")</f>
        <v>Matt Stokke</v>
      </c>
      <c r="E3126" t="s">
        <v>2862</v>
      </c>
      <c r="F3126" t="s">
        <v>2863</v>
      </c>
      <c r="G3126">
        <v>134.1</v>
      </c>
      <c r="H3126">
        <v>145.76</v>
      </c>
      <c r="I3126">
        <v>145.77000000000001</v>
      </c>
      <c r="J3126">
        <v>-0.01</v>
      </c>
    </row>
    <row r="3127" spans="1:10" x14ac:dyDescent="0.3">
      <c r="A3127" t="str">
        <f>HYPERLINK("https://us2.cloudbeds.com/connect/10074733072513#/reservations/30678433972394?display=YQRN34JFV&amp;reservation_id=30678433972394", "YQRN34JFV")</f>
        <v>YQRN34JFV</v>
      </c>
      <c r="B3127" t="s">
        <v>10</v>
      </c>
      <c r="C3127" t="s">
        <v>14</v>
      </c>
      <c r="D3127" t="str">
        <f>HYPERLINK("https://us2.cloudbeds.com/connect/10074733072513#/reservations/30678433972394?display=Erin%20Flanigan&amp;reservation_id=30678433972394&amp;guest_id=30678433972392", "Erin Flanigan")</f>
        <v>Erin Flanigan</v>
      </c>
      <c r="E3127" t="s">
        <v>2865</v>
      </c>
      <c r="F3127" t="s">
        <v>2795</v>
      </c>
      <c r="G3127">
        <v>118.15</v>
      </c>
      <c r="H3127">
        <v>128.41999999999999</v>
      </c>
      <c r="I3127">
        <v>128.43</v>
      </c>
      <c r="J3127">
        <v>-0.01</v>
      </c>
    </row>
    <row r="3128" spans="1:10" x14ac:dyDescent="0.3">
      <c r="A3128" t="str">
        <f>HYPERLINK("https://us2.cloudbeds.com/connect/10074733072513#/reservations/30688444702882?display=YR2ETEUF9&amp;reservation_id=30688444702882", "YR2ETEUF9")</f>
        <v>YR2ETEUF9</v>
      </c>
      <c r="B3128" t="s">
        <v>10</v>
      </c>
      <c r="C3128" t="s">
        <v>20</v>
      </c>
      <c r="D3128" t="str">
        <f>HYPERLINK("https://us2.cloudbeds.com/connect/10074733072513#/reservations/30688444702882?display=Marjorie%20Hill&amp;reservation_id=30688444702882&amp;guest_id=30688444698801", "Marjorie Hill")</f>
        <v>Marjorie Hill</v>
      </c>
      <c r="E3128" t="s">
        <v>2866</v>
      </c>
      <c r="F3128" t="s">
        <v>2867</v>
      </c>
      <c r="G3128">
        <v>118.15</v>
      </c>
      <c r="H3128">
        <v>128.41999999999999</v>
      </c>
      <c r="I3128">
        <v>128.43</v>
      </c>
      <c r="J3128">
        <v>-0.01</v>
      </c>
    </row>
    <row r="3129" spans="1:10" x14ac:dyDescent="0.3">
      <c r="A3129" t="str">
        <f>HYPERLINK("https://us2.cloudbeds.com/connect/10074733072513#/reservations/30679997546692?display=YQSU1JBX9&amp;reservation_id=30679997546692", "YQSU1JBX9")</f>
        <v>YQSU1JBX9</v>
      </c>
      <c r="B3129" t="s">
        <v>10</v>
      </c>
      <c r="C3129" t="s">
        <v>20</v>
      </c>
      <c r="D3129" t="str">
        <f>HYPERLINK("https://us2.cloudbeds.com/connect/10074733072513#/reservations/30679997546692?display=Alana%20George&amp;reservation_id=30679997546692&amp;guest_id=30679997546689", "Alana George")</f>
        <v>Alana George</v>
      </c>
      <c r="E3129" t="s">
        <v>2869</v>
      </c>
      <c r="F3129" t="s">
        <v>2870</v>
      </c>
      <c r="G3129">
        <v>112.24</v>
      </c>
      <c r="H3129">
        <v>121.99</v>
      </c>
      <c r="I3129">
        <v>122</v>
      </c>
      <c r="J3129">
        <v>-0.01</v>
      </c>
    </row>
    <row r="3130" spans="1:10" x14ac:dyDescent="0.3">
      <c r="A3130" t="str">
        <f>HYPERLINK("https://us2.cloudbeds.com/connect/10074733072513#/reservations/30686967873728?display=YR1A54SFG&amp;reservation_id=30686967873728", "YR1A54SFG")</f>
        <v>YR1A54SFG</v>
      </c>
      <c r="B3130" t="s">
        <v>10</v>
      </c>
      <c r="C3130" t="s">
        <v>14</v>
      </c>
      <c r="D3130" t="str">
        <f>HYPERLINK("https://us2.cloudbeds.com/connect/10074733072513#/reservations/30686967873728?display=Sharon%20Simonson&amp;reservation_id=30686967873728&amp;guest_id=30686967869680", "Sharon Simonson")</f>
        <v>Sharon Simonson</v>
      </c>
      <c r="E3130" t="s">
        <v>2871</v>
      </c>
      <c r="F3130" t="s">
        <v>2872</v>
      </c>
      <c r="G3130">
        <v>366.3</v>
      </c>
      <c r="H3130">
        <v>398.16</v>
      </c>
      <c r="I3130">
        <v>398.17</v>
      </c>
      <c r="J3130">
        <v>-0.01</v>
      </c>
    </row>
    <row r="3131" spans="1:10" x14ac:dyDescent="0.3">
      <c r="A3131" t="str">
        <f>HYPERLINK("https://us2.cloudbeds.com/connect/10074733072513#/reservations/30679637283067?display=YQSKRQFVZ&amp;reservation_id=30679637283067", "YQSKRQFVZ")</f>
        <v>YQSKRQFVZ</v>
      </c>
      <c r="B3131" t="s">
        <v>10</v>
      </c>
      <c r="C3131" t="s">
        <v>42</v>
      </c>
      <c r="D3131" t="str">
        <f>HYPERLINK("https://us2.cloudbeds.com/connect/10074733072513#/reservations/30679637283067?display=Dennis%20Brinkman&amp;reservation_id=30679637283067&amp;guest_id=30657938403469", "Dennis Brinkman")</f>
        <v>Dennis Brinkman</v>
      </c>
      <c r="E3131" t="s">
        <v>2349</v>
      </c>
      <c r="F3131" t="s">
        <v>2854</v>
      </c>
      <c r="G3131">
        <v>302.14999999999998</v>
      </c>
      <c r="H3131">
        <v>328.43</v>
      </c>
      <c r="I3131">
        <v>328.44</v>
      </c>
      <c r="J3131">
        <v>-0.01</v>
      </c>
    </row>
    <row r="3132" spans="1:10" x14ac:dyDescent="0.3">
      <c r="A3132" t="str">
        <f>HYPERLINK("https://us2.cloudbeds.com/connect/10074733072513#/reservations/30679946363110?display=YQSSZE30Y&amp;reservation_id=30679946363110", "YQSSZE30Y")</f>
        <v>YQSSZE30Y</v>
      </c>
      <c r="B3132" t="s">
        <v>10</v>
      </c>
      <c r="C3132" t="s">
        <v>42</v>
      </c>
      <c r="D3132" t="str">
        <f>HYPERLINK("https://us2.cloudbeds.com/connect/10074733072513#/reservations/30679946363110?display=Jesse%20Hurst&amp;reservation_id=30679946363110&amp;guest_id=30679719784658", "Jesse Hurst")</f>
        <v>Jesse Hurst</v>
      </c>
      <c r="E3132" t="s">
        <v>2873</v>
      </c>
      <c r="F3132" t="s">
        <v>2874</v>
      </c>
      <c r="G3132">
        <v>74.12</v>
      </c>
      <c r="H3132">
        <v>80.56</v>
      </c>
      <c r="I3132">
        <v>80.569999999999993</v>
      </c>
      <c r="J3132">
        <v>-0.01</v>
      </c>
    </row>
    <row r="3133" spans="1:10" x14ac:dyDescent="0.3">
      <c r="A3133" t="str">
        <f>HYPERLINK("https://us2.cloudbeds.com/connect/10074733072513#/reservations/30679715811530?display=YQSMS0YJ4&amp;reservation_id=30679715811530", "YQSMS0YJ4")</f>
        <v>YQSMS0YJ4</v>
      </c>
      <c r="B3133" t="s">
        <v>10</v>
      </c>
      <c r="C3133" t="s">
        <v>121</v>
      </c>
      <c r="D3133" t="str">
        <f>HYPERLINK("https://us2.cloudbeds.com/connect/10074733072513#/reservations/30679715811530?display=Craig%20Kulla&amp;reservation_id=30679715811530&amp;guest_id=30674282164441", "Craig Kulla")</f>
        <v>Craig Kulla</v>
      </c>
      <c r="E3133" t="s">
        <v>2877</v>
      </c>
      <c r="F3133" t="s">
        <v>2878</v>
      </c>
      <c r="G3133">
        <v>268.2</v>
      </c>
      <c r="H3133">
        <v>291.52</v>
      </c>
      <c r="I3133">
        <v>291.52999999999997</v>
      </c>
      <c r="J3133">
        <v>-0.01</v>
      </c>
    </row>
    <row r="3134" spans="1:10" x14ac:dyDescent="0.3">
      <c r="A3134" t="str">
        <f>HYPERLINK("https://us2.cloudbeds.com/connect/10074733072513#/reservations/30678945263787?display=YQS3590TH&amp;reservation_id=30678945263787", "YQS3590TH")</f>
        <v>YQS3590TH</v>
      </c>
      <c r="B3134" t="s">
        <v>10</v>
      </c>
      <c r="C3134" t="s">
        <v>42</v>
      </c>
      <c r="D3134" t="str">
        <f>HYPERLINK("https://us2.cloudbeds.com/connect/10074733072513#/reservations/30678945263787?display=Justin%20Brock&amp;reservation_id=30678945263787&amp;guest_id=30678945263762", "Justin Brock")</f>
        <v>Justin Brock</v>
      </c>
      <c r="E3134" t="s">
        <v>2879</v>
      </c>
      <c r="F3134" t="s">
        <v>2876</v>
      </c>
      <c r="G3134">
        <v>456</v>
      </c>
      <c r="H3134">
        <v>495.66</v>
      </c>
      <c r="I3134">
        <v>495.67</v>
      </c>
      <c r="J3134">
        <v>-0.01</v>
      </c>
    </row>
    <row r="3135" spans="1:10" x14ac:dyDescent="0.3">
      <c r="A3135" t="str">
        <f>HYPERLINK("https://us2.cloudbeds.com/connect/10074733072513#/reservations/30678314422410?display=YQRK1AUT5&amp;reservation_id=30678314422410", "YQRK1AUT5")</f>
        <v>YQRK1AUT5</v>
      </c>
      <c r="B3135" t="s">
        <v>10</v>
      </c>
      <c r="C3135" t="s">
        <v>11</v>
      </c>
      <c r="D3135" t="str">
        <f>HYPERLINK("https://us2.cloudbeds.com/connect/10074733072513#/reservations/30678314422410?display=Odelia%20K%20Paleafei&amp;reservation_id=30678314422410&amp;guest_id=30678314422408", "Odelia K Paleafei")</f>
        <v>Odelia K Paleafei</v>
      </c>
      <c r="E3135" t="s">
        <v>547</v>
      </c>
      <c r="F3135" t="s">
        <v>2876</v>
      </c>
      <c r="G3135">
        <v>69.760000000000005</v>
      </c>
      <c r="H3135">
        <v>75.819999999999993</v>
      </c>
      <c r="I3135">
        <v>75.83</v>
      </c>
      <c r="J3135">
        <v>-0.01</v>
      </c>
    </row>
    <row r="3136" spans="1:10" x14ac:dyDescent="0.3">
      <c r="A3136" t="str">
        <f>HYPERLINK("https://us2.cloudbeds.com/connect/10074733072513#/reservations/30679143985351?display=YQS87RZM3&amp;reservation_id=30679143985351", "YQS87RZM3")</f>
        <v>YQS87RZM3</v>
      </c>
      <c r="B3136" t="s">
        <v>10</v>
      </c>
      <c r="C3136" t="s">
        <v>14</v>
      </c>
      <c r="D3136" t="str">
        <f>HYPERLINK("https://us2.cloudbeds.com/connect/10074733072513#/reservations/30679143985351?display=Paula%20Baker&amp;reservation_id=30679143985351&amp;guest_id=30679143985349", "Paula Baker")</f>
        <v>Paula Baker</v>
      </c>
      <c r="E3136" t="s">
        <v>2880</v>
      </c>
      <c r="F3136" t="s">
        <v>2767</v>
      </c>
      <c r="G3136">
        <v>118.15</v>
      </c>
      <c r="H3136">
        <v>128.41999999999999</v>
      </c>
      <c r="I3136">
        <v>128.43</v>
      </c>
      <c r="J3136">
        <v>-0.01</v>
      </c>
    </row>
    <row r="3137" spans="1:10" x14ac:dyDescent="0.3">
      <c r="A3137" t="str">
        <f>HYPERLINK("https://us2.cloudbeds.com/connect/10074733072513#/reservations/30679708918000?display=YQSMM6RE9&amp;reservation_id=30679708918000", "YQSMM6RE9")</f>
        <v>YQSMM6RE9</v>
      </c>
      <c r="B3137" t="s">
        <v>10</v>
      </c>
      <c r="C3137" t="s">
        <v>14</v>
      </c>
      <c r="D3137" t="str">
        <f>HYPERLINK("https://us2.cloudbeds.com/connect/10074733072513#/reservations/30679708918000?display=Howard%20Green&amp;reservation_id=30679708918000&amp;guest_id=30679708917998", "Howard Green")</f>
        <v>Howard Green</v>
      </c>
      <c r="E3137" t="s">
        <v>2881</v>
      </c>
      <c r="F3137" t="s">
        <v>2878</v>
      </c>
      <c r="G3137">
        <v>74.12</v>
      </c>
      <c r="H3137">
        <v>80.56</v>
      </c>
      <c r="I3137">
        <v>80.569999999999993</v>
      </c>
      <c r="J3137">
        <v>-0.01</v>
      </c>
    </row>
    <row r="3138" spans="1:10" x14ac:dyDescent="0.3">
      <c r="A3138" t="str">
        <f>HYPERLINK("https://us2.cloudbeds.com/connect/10074733072513#/reservations/30678318571736?display=YQRK4RD3A&amp;reservation_id=30678318571736", "YQRK4RD3A")</f>
        <v>YQRK4RD3A</v>
      </c>
      <c r="B3138" t="s">
        <v>10</v>
      </c>
      <c r="C3138" t="s">
        <v>11</v>
      </c>
      <c r="D3138" t="str">
        <f>HYPERLINK("https://us2.cloudbeds.com/connect/10074733072513#/reservations/30678318571736?display=Candice%20Cacaro&amp;reservation_id=30678318571736&amp;guest_id=30678318571733", "Candice Cacaro")</f>
        <v>Candice Cacaro</v>
      </c>
      <c r="E3138" t="s">
        <v>2885</v>
      </c>
      <c r="F3138" t="s">
        <v>2843</v>
      </c>
      <c r="G3138">
        <v>268.2</v>
      </c>
      <c r="H3138">
        <v>291.52</v>
      </c>
      <c r="I3138">
        <v>291.52999999999997</v>
      </c>
      <c r="J3138">
        <v>-0.01</v>
      </c>
    </row>
    <row r="3139" spans="1:10" x14ac:dyDescent="0.3">
      <c r="A3139" t="str">
        <f>HYPERLINK("https://us2.cloudbeds.com/connect/10074733072513#/reservations/30678281093346?display=YQRJ67GMH&amp;reservation_id=30678281093346", "YQRJ67GMH")</f>
        <v>YQRJ67GMH</v>
      </c>
      <c r="B3139" t="s">
        <v>10</v>
      </c>
      <c r="C3139" t="s">
        <v>121</v>
      </c>
      <c r="D3139" t="str">
        <f>HYPERLINK("https://us2.cloudbeds.com/connect/10074733072513#/reservations/30678281093346?display=Donnie%20Thompson&amp;reservation_id=30678281093346&amp;guest_id=30678281089256", "Donnie Thompson")</f>
        <v>Donnie Thompson</v>
      </c>
      <c r="E3139" t="s">
        <v>2886</v>
      </c>
      <c r="F3139" t="s">
        <v>2876</v>
      </c>
      <c r="G3139">
        <v>134.1</v>
      </c>
      <c r="H3139">
        <v>145.76</v>
      </c>
      <c r="I3139">
        <v>145.77000000000001</v>
      </c>
      <c r="J3139">
        <v>-0.01</v>
      </c>
    </row>
    <row r="3140" spans="1:10" x14ac:dyDescent="0.3">
      <c r="A3140" t="str">
        <f>HYPERLINK("https://us2.cloudbeds.com/connect/10074733072513#/reservations/30678070509715?display=YQRDQYN9C&amp;reservation_id=30678070509715", "YQRDQYN9C")</f>
        <v>YQRDQYN9C</v>
      </c>
      <c r="B3140" t="s">
        <v>10</v>
      </c>
      <c r="C3140" t="s">
        <v>20</v>
      </c>
      <c r="D3140" t="str">
        <f>HYPERLINK("https://us2.cloudbeds.com/connect/10074733072513#/reservations/30678070509715?display=Dennis%20Nielsen&amp;reservation_id=30678070509715&amp;guest_id=30678057861332", "Dennis Nielsen")</f>
        <v>Dennis Nielsen</v>
      </c>
      <c r="E3140" t="s">
        <v>2888</v>
      </c>
      <c r="F3140" t="s">
        <v>2889</v>
      </c>
      <c r="G3140">
        <v>345.95</v>
      </c>
      <c r="H3140">
        <v>376.04</v>
      </c>
      <c r="I3140">
        <v>376.05</v>
      </c>
      <c r="J3140">
        <v>-0.01</v>
      </c>
    </row>
    <row r="3141" spans="1:10" x14ac:dyDescent="0.3">
      <c r="A3141" t="str">
        <f>HYPERLINK("https://us2.cloudbeds.com/connect/10074733072513#/reservations/30687099228372?display=YR1DGU3ME&amp;reservation_id=30687099228372", "YR1DGU3ME")</f>
        <v>YR1DGU3ME</v>
      </c>
      <c r="B3141" t="s">
        <v>10</v>
      </c>
      <c r="C3141" t="s">
        <v>42</v>
      </c>
      <c r="D3141" t="str">
        <f>HYPERLINK("https://us2.cloudbeds.com/connect/10074733072513#/reservations/30687099228372?display=Chad%20Lennon&amp;reservation_id=30687099228372&amp;guest_id=30687099228370", "Chad Lennon")</f>
        <v>Chad Lennon</v>
      </c>
      <c r="E3141" t="s">
        <v>2891</v>
      </c>
      <c r="F3141" t="s">
        <v>2724</v>
      </c>
      <c r="G3141">
        <v>270.2</v>
      </c>
      <c r="H3141">
        <v>293.7</v>
      </c>
      <c r="I3141">
        <v>293.70999999999998</v>
      </c>
      <c r="J3141">
        <v>-0.01</v>
      </c>
    </row>
    <row r="3142" spans="1:10" x14ac:dyDescent="0.3">
      <c r="A3142" t="str">
        <f>HYPERLINK("https://us2.cloudbeds.com/connect/10074733072513#/reservations/30688396480668?display=YR2DYQ292&amp;reservation_id=30688396480668", "YR2DYQ292")</f>
        <v>YR2DYQ292</v>
      </c>
      <c r="B3142" t="s">
        <v>10</v>
      </c>
      <c r="C3142" t="s">
        <v>17</v>
      </c>
      <c r="D3142" t="str">
        <f>HYPERLINK("https://us2.cloudbeds.com/connect/10074733072513#/reservations/30688396480668?display=Donald%20Duncan&amp;reservation_id=30688396480668&amp;guest_id=30688396476576", "Donald Duncan")</f>
        <v>Donald Duncan</v>
      </c>
      <c r="E3142" t="s">
        <v>2892</v>
      </c>
      <c r="F3142" t="s">
        <v>2893</v>
      </c>
      <c r="G3142">
        <v>268.2</v>
      </c>
      <c r="H3142">
        <v>291.52</v>
      </c>
      <c r="I3142">
        <v>291.52999999999997</v>
      </c>
      <c r="J3142">
        <v>-0.01</v>
      </c>
    </row>
    <row r="3143" spans="1:10" x14ac:dyDescent="0.3">
      <c r="A3143" t="str">
        <f>HYPERLINK("https://us2.cloudbeds.com/connect/10074733072513#/reservations/30678522622122?display=YQRPBTD6B&amp;reservation_id=30678522622122", "YQRPBTD6B")</f>
        <v>YQRPBTD6B</v>
      </c>
      <c r="B3143" t="s">
        <v>10</v>
      </c>
      <c r="C3143" t="s">
        <v>42</v>
      </c>
      <c r="D3143" t="str">
        <f>HYPERLINK("https://us2.cloudbeds.com/connect/10074733072513#/reservations/30678522622122?display=James%20Ortego&amp;reservation_id=30678522622122&amp;guest_id=30678519001267", "James Ortego")</f>
        <v>James Ortego</v>
      </c>
      <c r="E3143" t="s">
        <v>2894</v>
      </c>
      <c r="F3143" t="s">
        <v>2895</v>
      </c>
      <c r="G3143">
        <v>134.1</v>
      </c>
      <c r="H3143">
        <v>145.76</v>
      </c>
      <c r="I3143">
        <v>145.77000000000001</v>
      </c>
      <c r="J3143">
        <v>-0.01</v>
      </c>
    </row>
    <row r="3144" spans="1:10" x14ac:dyDescent="0.3">
      <c r="A3144" t="str">
        <f>HYPERLINK("https://us2.cloudbeds.com/connect/10074733072513#/reservations/30676875161792?display=YQQG317Q5&amp;reservation_id=30676875161792", "YQQG317Q5")</f>
        <v>YQQG317Q5</v>
      </c>
      <c r="B3144" t="s">
        <v>10</v>
      </c>
      <c r="C3144" t="s">
        <v>20</v>
      </c>
      <c r="D3144" t="str">
        <f>HYPERLINK("https://us2.cloudbeds.com/connect/10074733072513#/reservations/30676875161792?display=Julie%20Tumblin&amp;reservation_id=30676875161792&amp;guest_id=30676868436118", "Julie Tumblin")</f>
        <v>Julie Tumblin</v>
      </c>
      <c r="E3144" t="s">
        <v>2896</v>
      </c>
      <c r="F3144" t="s">
        <v>2812</v>
      </c>
      <c r="G3144">
        <v>118.15</v>
      </c>
      <c r="H3144">
        <v>128.41999999999999</v>
      </c>
      <c r="I3144">
        <v>128.43</v>
      </c>
      <c r="J3144">
        <v>-0.01</v>
      </c>
    </row>
    <row r="3145" spans="1:10" x14ac:dyDescent="0.3">
      <c r="A3145" t="str">
        <f>HYPERLINK("https://us2.cloudbeds.com/connect/10074733072513#/reservations/30686361968814?display=YR0RM7PYN&amp;reservation_id=30686361968814", "YR0RM7PYN")</f>
        <v>YR0RM7PYN</v>
      </c>
      <c r="B3145" t="s">
        <v>10</v>
      </c>
      <c r="C3145" t="s">
        <v>17</v>
      </c>
      <c r="D3145" t="str">
        <f>HYPERLINK("https://us2.cloudbeds.com/connect/10074733072513#/reservations/30686361968814?display=Tracy%20Lohse&amp;reservation_id=30686361968814&amp;guest_id=30686348673249", "Tracy Lohse")</f>
        <v>Tracy Lohse</v>
      </c>
      <c r="E3145" t="s">
        <v>2897</v>
      </c>
      <c r="F3145" t="s">
        <v>2724</v>
      </c>
      <c r="G3145">
        <v>268.2</v>
      </c>
      <c r="H3145">
        <v>291.52</v>
      </c>
      <c r="I3145">
        <v>291.52999999999997</v>
      </c>
      <c r="J3145">
        <v>-0.01</v>
      </c>
    </row>
    <row r="3146" spans="1:10" x14ac:dyDescent="0.3">
      <c r="A3146" t="str">
        <f>HYPERLINK("https://us2.cloudbeds.com/connect/10074733072513#/reservations/30679160582392?display=YQS8YRJ9Z&amp;reservation_id=30679160582392", "YQS8YRJ9Z")</f>
        <v>YQS8YRJ9Z</v>
      </c>
      <c r="B3146" t="s">
        <v>10</v>
      </c>
      <c r="C3146" t="s">
        <v>23</v>
      </c>
      <c r="D3146" t="str">
        <f>HYPERLINK("https://us2.cloudbeds.com/connect/10074733072513#/reservations/30679160582392?display=Vince%20Hughes&amp;reservation_id=30679160582392&amp;guest_id=30679160582378", "Vince Hughes")</f>
        <v>Vince Hughes</v>
      </c>
      <c r="E3146" t="s">
        <v>2898</v>
      </c>
      <c r="F3146" t="s">
        <v>2767</v>
      </c>
      <c r="G3146">
        <v>134.1</v>
      </c>
      <c r="H3146">
        <v>145.76</v>
      </c>
      <c r="I3146">
        <v>145.77000000000001</v>
      </c>
      <c r="J3146">
        <v>-0.01</v>
      </c>
    </row>
    <row r="3147" spans="1:10" x14ac:dyDescent="0.3">
      <c r="A3147" t="str">
        <f>HYPERLINK("https://us2.cloudbeds.com/connect/10074733072513#/reservations/30679134908670?display=YQS8065Q5&amp;reservation_id=30679134908670", "YQS8065Q5")</f>
        <v>YQS8065Q5</v>
      </c>
      <c r="B3147" t="s">
        <v>10</v>
      </c>
      <c r="C3147" t="s">
        <v>121</v>
      </c>
      <c r="D3147" t="str">
        <f>HYPERLINK("https://us2.cloudbeds.com/connect/10074733072513#/reservations/30679134908670?display=Doug%20Pierson&amp;reservation_id=30679134908670&amp;guest_id=30679134908621", "Doug Pierson")</f>
        <v>Doug Pierson</v>
      </c>
      <c r="E3147" t="s">
        <v>2899</v>
      </c>
      <c r="F3147" t="s">
        <v>2900</v>
      </c>
      <c r="G3147">
        <v>134.1</v>
      </c>
      <c r="H3147">
        <v>145.76</v>
      </c>
      <c r="I3147">
        <v>145.77000000000001</v>
      </c>
      <c r="J3147">
        <v>-0.01</v>
      </c>
    </row>
    <row r="3148" spans="1:10" x14ac:dyDescent="0.3">
      <c r="A3148" t="str">
        <f>HYPERLINK("https://us2.cloudbeds.com/connect/10074733072513#/reservations/30688409165972?display=YR2DWG1S7&amp;reservation_id=30688409165972", "YR2DWG1S7")</f>
        <v>YR2DWG1S7</v>
      </c>
      <c r="B3148" t="s">
        <v>10</v>
      </c>
      <c r="C3148" t="s">
        <v>20</v>
      </c>
      <c r="D3148" t="str">
        <f>HYPERLINK("https://us2.cloudbeds.com/connect/10074733072513#/reservations/30688409165972?display=Lori%20Ross&amp;reservation_id=30688409165972&amp;guest_id=30688409161878", "Lori Ross")</f>
        <v>Lori Ross</v>
      </c>
      <c r="E3148" t="s">
        <v>2901</v>
      </c>
      <c r="F3148" t="s">
        <v>2867</v>
      </c>
      <c r="G3148">
        <v>134.1</v>
      </c>
      <c r="H3148">
        <v>145.76</v>
      </c>
      <c r="I3148">
        <v>145.77000000000001</v>
      </c>
      <c r="J3148">
        <v>-0.01</v>
      </c>
    </row>
    <row r="3149" spans="1:10" x14ac:dyDescent="0.3">
      <c r="A3149" t="str">
        <f>HYPERLINK("https://us2.cloudbeds.com/connect/10074733072513#/reservations/30678343082138?display=YQRKPGEBP&amp;reservation_id=30678343082138", "YQRKPGEBP")</f>
        <v>YQRKPGEBP</v>
      </c>
      <c r="B3149" t="s">
        <v>10</v>
      </c>
      <c r="C3149" t="s">
        <v>14</v>
      </c>
      <c r="D3149" t="str">
        <f>HYPERLINK("https://us2.cloudbeds.com/connect/10074733072513#/reservations/30678343082138?display=Robin%20Norton&amp;reservation_id=30678343082138&amp;guest_id=30661461368994", "Robin Norton")</f>
        <v>Robin Norton</v>
      </c>
      <c r="E3149" t="s">
        <v>1757</v>
      </c>
      <c r="F3149" t="s">
        <v>2736</v>
      </c>
      <c r="G3149">
        <v>74.12</v>
      </c>
      <c r="H3149">
        <v>80.56</v>
      </c>
      <c r="I3149">
        <v>80.569999999999993</v>
      </c>
      <c r="J3149">
        <v>-0.01</v>
      </c>
    </row>
    <row r="3150" spans="1:10" x14ac:dyDescent="0.3">
      <c r="A3150" t="str">
        <f>HYPERLINK("https://us2.cloudbeds.com/connect/10074733072513#/reservations/30679024365789?display=YQS55W55T&amp;reservation_id=30679024365789", "YQS55W55T")</f>
        <v>YQS55W55T</v>
      </c>
      <c r="B3150" t="s">
        <v>10</v>
      </c>
      <c r="C3150" t="s">
        <v>11</v>
      </c>
      <c r="D3150" t="str">
        <f>HYPERLINK("https://us2.cloudbeds.com/connect/10074733072513#/reservations/30679024365789?display=Erika%20Smyth&amp;reservation_id=30679024365789&amp;guest_id=30679024365786", "Erika Smyth")</f>
        <v>Erika Smyth</v>
      </c>
      <c r="E3150" t="s">
        <v>2902</v>
      </c>
      <c r="F3150" t="s">
        <v>2903</v>
      </c>
      <c r="G3150">
        <v>189.04</v>
      </c>
      <c r="H3150">
        <v>205.48</v>
      </c>
      <c r="I3150">
        <v>205.49</v>
      </c>
      <c r="J3150">
        <v>-0.01</v>
      </c>
    </row>
    <row r="3151" spans="1:10" x14ac:dyDescent="0.3">
      <c r="A3151" t="str">
        <f>HYPERLINK("https://us2.cloudbeds.com/connect/10074733072513#/reservations/30676537442434?display=YQQ7KUS03&amp;reservation_id=30676537442434", "YQQ7KUS03")</f>
        <v>YQQ7KUS03</v>
      </c>
      <c r="B3151" t="s">
        <v>10</v>
      </c>
      <c r="C3151" t="s">
        <v>23</v>
      </c>
      <c r="D3151" t="str">
        <f>HYPERLINK("https://us2.cloudbeds.com/connect/10074733072513#/reservations/30676537442434?display=Lacy%20Schmidt&amp;reservation_id=30676537442434&amp;guest_id=30676528120041", "Lacy Schmidt")</f>
        <v>Lacy Schmidt</v>
      </c>
      <c r="E3151" t="s">
        <v>2904</v>
      </c>
      <c r="F3151" t="s">
        <v>2905</v>
      </c>
      <c r="G3151">
        <v>134.1</v>
      </c>
      <c r="H3151">
        <v>145.76</v>
      </c>
      <c r="I3151">
        <v>145.77000000000001</v>
      </c>
      <c r="J3151">
        <v>-0.01</v>
      </c>
    </row>
    <row r="3152" spans="1:10" x14ac:dyDescent="0.3">
      <c r="A3152" t="str">
        <f>HYPERLINK("https://us2.cloudbeds.com/connect/10074733072513#/reservations/30679185457288?display=YQS99QP8F&amp;reservation_id=30679185457288", "YQS99QP8F")</f>
        <v>YQS99QP8F</v>
      </c>
      <c r="B3152" t="s">
        <v>10</v>
      </c>
      <c r="C3152" t="s">
        <v>42</v>
      </c>
      <c r="D3152" t="str">
        <f>HYPERLINK("https://us2.cloudbeds.com/connect/10074733072513#/reservations/30679185457288?display=Paul%20Dysart&amp;reservation_id=30679185457288&amp;guest_id=30679185457286", "Paul Dysart")</f>
        <v>Paul Dysart</v>
      </c>
      <c r="E3152" t="s">
        <v>2906</v>
      </c>
      <c r="F3152" t="s">
        <v>2767</v>
      </c>
      <c r="G3152">
        <v>124</v>
      </c>
      <c r="H3152">
        <v>134.78</v>
      </c>
      <c r="I3152">
        <v>134.79</v>
      </c>
      <c r="J3152">
        <v>-0.01</v>
      </c>
    </row>
    <row r="3153" spans="1:10" x14ac:dyDescent="0.3">
      <c r="A3153" t="str">
        <f>HYPERLINK("https://us2.cloudbeds.com/connect/10074733072513#/reservations/30677280264325?display=YQQQK9VPC&amp;reservation_id=30677280264325", "YQQQK9VPC")</f>
        <v>YQQQK9VPC</v>
      </c>
      <c r="B3153" t="s">
        <v>10</v>
      </c>
      <c r="C3153" t="s">
        <v>42</v>
      </c>
      <c r="D3153" t="str">
        <f>HYPERLINK("https://us2.cloudbeds.com/connect/10074733072513#/reservations/30677280264325?display=Joshua%20Thomas&amp;reservation_id=30677280264325&amp;guest_id=30677280264320", "Joshua Thomas")</f>
        <v>Joshua Thomas</v>
      </c>
      <c r="E3153" t="s">
        <v>2909</v>
      </c>
      <c r="F3153" t="s">
        <v>2910</v>
      </c>
      <c r="G3153">
        <v>493.2</v>
      </c>
      <c r="H3153">
        <v>536.1</v>
      </c>
      <c r="I3153">
        <v>536.11</v>
      </c>
      <c r="J3153">
        <v>-0.01</v>
      </c>
    </row>
    <row r="3154" spans="1:10" x14ac:dyDescent="0.3">
      <c r="A3154" t="str">
        <f>HYPERLINK("https://us2.cloudbeds.com/connect/10074733072513#/reservations/30679685185754?display=YQSM26EZA&amp;reservation_id=30679685185754", "YQSM26EZA")</f>
        <v>YQSM26EZA</v>
      </c>
      <c r="B3154" t="s">
        <v>10</v>
      </c>
      <c r="C3154" t="s">
        <v>42</v>
      </c>
      <c r="D3154" t="str">
        <f>HYPERLINK("https://us2.cloudbeds.com/connect/10074733072513#/reservations/30679685185754?display=Stanley%20Johnson&amp;reservation_id=30679685185754&amp;guest_id=30674491388110", "Stanley Johnson")</f>
        <v>Stanley Johnson</v>
      </c>
      <c r="E3154" t="s">
        <v>2911</v>
      </c>
      <c r="F3154" t="s">
        <v>2767</v>
      </c>
      <c r="G3154">
        <v>134.1</v>
      </c>
      <c r="H3154">
        <v>145.76</v>
      </c>
      <c r="I3154">
        <v>145.77000000000001</v>
      </c>
      <c r="J3154">
        <v>-0.01</v>
      </c>
    </row>
    <row r="3155" spans="1:10" x14ac:dyDescent="0.3">
      <c r="A3155" t="str">
        <f>HYPERLINK("https://us2.cloudbeds.com/connect/10074733072513#/reservations/30687127920785?display=YR1E83H5G&amp;reservation_id=30687127920785", "YR1E83H5G")</f>
        <v>YR1E83H5G</v>
      </c>
      <c r="B3155" t="s">
        <v>10</v>
      </c>
      <c r="C3155" t="s">
        <v>42</v>
      </c>
      <c r="D3155" t="str">
        <f>HYPERLINK("https://us2.cloudbeds.com/connect/10074733072513#/reservations/30687127920785?display=Johnson%20Todd&amp;reservation_id=30687127920785&amp;guest_id=30687127920780", "Johnson Todd")</f>
        <v>Johnson Todd</v>
      </c>
      <c r="E3155" t="s">
        <v>2912</v>
      </c>
      <c r="F3155" t="s">
        <v>2724</v>
      </c>
      <c r="G3155">
        <v>270.2</v>
      </c>
      <c r="H3155">
        <v>293.7</v>
      </c>
      <c r="I3155">
        <v>293.70999999999998</v>
      </c>
      <c r="J3155">
        <v>-0.01</v>
      </c>
    </row>
    <row r="3156" spans="1:10" x14ac:dyDescent="0.3">
      <c r="A3156" t="str">
        <f>HYPERLINK("https://us2.cloudbeds.com/connect/10074733072513#/reservations/30679176835210?display=YQS92HRRC&amp;reservation_id=30679176835210", "YQS92HRRC")</f>
        <v>YQS92HRRC</v>
      </c>
      <c r="B3156" t="s">
        <v>10</v>
      </c>
      <c r="C3156" t="s">
        <v>20</v>
      </c>
      <c r="D3156" t="str">
        <f>HYPERLINK("https://us2.cloudbeds.com/connect/10074733072513#/reservations/30679176835210?display=Mark%20Vanstrien&amp;reservation_id=30679176835210&amp;guest_id=30679176835205", "Mark Vanstrien")</f>
        <v>Mark Vanstrien</v>
      </c>
      <c r="E3156" t="s">
        <v>2913</v>
      </c>
      <c r="F3156" t="s">
        <v>2767</v>
      </c>
      <c r="G3156">
        <v>134.1</v>
      </c>
      <c r="H3156">
        <v>145.76</v>
      </c>
      <c r="I3156">
        <v>145.77000000000001</v>
      </c>
      <c r="J3156">
        <v>-0.01</v>
      </c>
    </row>
    <row r="3157" spans="1:10" x14ac:dyDescent="0.3">
      <c r="A3157" t="str">
        <f>HYPERLINK("https://us2.cloudbeds.com/connect/10074733072513#/reservations/30677192044743?display=YQQZBU41N&amp;reservation_id=30677192044743", "YQQZBU41N")</f>
        <v>YQQZBU41N</v>
      </c>
      <c r="B3157" t="s">
        <v>10</v>
      </c>
      <c r="C3157" t="s">
        <v>11</v>
      </c>
      <c r="D3157" t="str">
        <f>HYPERLINK("https://us2.cloudbeds.com/connect/10074733072513#/reservations/30677192044743?display=Cyrus%20Hartman&amp;reservation_id=30677192044743&amp;guest_id=30677192044740", "Cyrus Hartman")</f>
        <v>Cyrus Hartman</v>
      </c>
      <c r="E3157" t="s">
        <v>2914</v>
      </c>
      <c r="F3157" t="s">
        <v>2843</v>
      </c>
      <c r="G3157">
        <v>108.16</v>
      </c>
      <c r="H3157">
        <v>117.56</v>
      </c>
      <c r="I3157">
        <v>117.57</v>
      </c>
      <c r="J3157">
        <v>-0.01</v>
      </c>
    </row>
    <row r="3158" spans="1:10" x14ac:dyDescent="0.3">
      <c r="A3158" t="str">
        <f>HYPERLINK("https://us2.cloudbeds.com/connect/10074733072513#/reservations/30678371422440?display=YQRYGD1GQ&amp;reservation_id=30678371422440", "YQRYGD1GQ")</f>
        <v>YQRYGD1GQ</v>
      </c>
      <c r="B3158" t="s">
        <v>10</v>
      </c>
      <c r="C3158" t="s">
        <v>11</v>
      </c>
      <c r="D3158" t="str">
        <f>HYPERLINK("https://us2.cloudbeds.com/connect/10074733072513#/reservations/30678371422440?display=Christine%20Woyczik&amp;reservation_id=30678371422440&amp;guest_id=30678363181207", "Christine Woyczik")</f>
        <v>Christine Woyczik</v>
      </c>
      <c r="E3158" t="s">
        <v>2916</v>
      </c>
      <c r="F3158" t="s">
        <v>2843</v>
      </c>
      <c r="G3158">
        <v>134.1</v>
      </c>
      <c r="H3158">
        <v>145.76</v>
      </c>
      <c r="I3158">
        <v>145.77000000000001</v>
      </c>
      <c r="J3158">
        <v>-0.01</v>
      </c>
    </row>
    <row r="3159" spans="1:10" x14ac:dyDescent="0.3">
      <c r="A3159" t="str">
        <f>HYPERLINK("https://us2.cloudbeds.com/connect/10074733072513#/reservations/30678703354005?display=YQRTW9HH2&amp;reservation_id=30678703354005", "YQRTW9HH2")</f>
        <v>YQRTW9HH2</v>
      </c>
      <c r="B3159" t="s">
        <v>10</v>
      </c>
      <c r="C3159" t="s">
        <v>11</v>
      </c>
      <c r="D3159" t="str">
        <f>HYPERLINK("https://us2.cloudbeds.com/connect/10074733072513#/reservations/30678703354005?display=Anne%20Kruse&amp;reservation_id=30678703354005&amp;guest_id=30678703354003", "Anne Kruse")</f>
        <v>Anne Kruse</v>
      </c>
      <c r="E3159" t="s">
        <v>2917</v>
      </c>
      <c r="F3159" t="s">
        <v>2918</v>
      </c>
      <c r="G3159">
        <v>118.15</v>
      </c>
      <c r="H3159">
        <v>128.41999999999999</v>
      </c>
      <c r="I3159">
        <v>128.43</v>
      </c>
      <c r="J3159">
        <v>-0.01</v>
      </c>
    </row>
    <row r="3160" spans="1:10" x14ac:dyDescent="0.3">
      <c r="A3160" t="str">
        <f>HYPERLINK("https://us2.cloudbeds.com/connect/10074733072513#/reservations/30678484455555?display=YQRZCNBRN&amp;reservation_id=30678484455555", "YQRZCNBRN")</f>
        <v>YQRZCNBRN</v>
      </c>
      <c r="B3160" t="s">
        <v>10</v>
      </c>
      <c r="C3160" t="s">
        <v>20</v>
      </c>
      <c r="D3160" t="str">
        <f>HYPERLINK("https://us2.cloudbeds.com/connect/10074733072513#/reservations/30678484455555?display=Brenda%20Longfellow&amp;reservation_id=30678484455555&amp;guest_id=30678484451518", "Brenda Longfellow")</f>
        <v>Brenda Longfellow</v>
      </c>
      <c r="E3160" t="s">
        <v>2919</v>
      </c>
      <c r="F3160" t="s">
        <v>2920</v>
      </c>
      <c r="G3160">
        <v>118.15</v>
      </c>
      <c r="H3160">
        <v>128.41999999999999</v>
      </c>
      <c r="I3160">
        <v>128.43</v>
      </c>
      <c r="J3160">
        <v>-0.01</v>
      </c>
    </row>
    <row r="3161" spans="1:10" x14ac:dyDescent="0.3">
      <c r="A3161" t="str">
        <f>HYPERLINK("https://us2.cloudbeds.com/connect/10074733072513#/reservations/30678930743437?display=YQS2Q0W7U&amp;reservation_id=30678930743437", "YQS2Q0W7U")</f>
        <v>YQS2Q0W7U</v>
      </c>
      <c r="B3161" t="s">
        <v>10</v>
      </c>
      <c r="C3161" t="s">
        <v>11</v>
      </c>
      <c r="D3161" t="str">
        <f>HYPERLINK("https://us2.cloudbeds.com/connect/10074733072513#/reservations/30678930743437?display=James%20Giedd&amp;reservation_id=30678930743437&amp;guest_id=30678930743433", "James Giedd")</f>
        <v>James Giedd</v>
      </c>
      <c r="E3161" t="s">
        <v>2921</v>
      </c>
      <c r="F3161" t="s">
        <v>2910</v>
      </c>
      <c r="G3161">
        <v>74.12</v>
      </c>
      <c r="H3161">
        <v>80.56</v>
      </c>
      <c r="I3161">
        <v>80.569999999999993</v>
      </c>
      <c r="J3161">
        <v>-0.01</v>
      </c>
    </row>
    <row r="3162" spans="1:10" x14ac:dyDescent="0.3">
      <c r="A3162" t="str">
        <f>HYPERLINK("https://us2.cloudbeds.com/connect/10074733072513#/reservations/30678870339785?display=YQS183557&amp;reservation_id=30678870339785", "YQS183557")</f>
        <v>YQS183557</v>
      </c>
      <c r="B3162" t="s">
        <v>10</v>
      </c>
      <c r="C3162" t="s">
        <v>20</v>
      </c>
      <c r="D3162" t="str">
        <f>HYPERLINK("https://us2.cloudbeds.com/connect/10074733072513#/reservations/30678870339785?display=Diana%20Schwichtenberg&amp;reservation_id=30678870339785&amp;guest_id=30678870339782", "Diana Schwichtenberg")</f>
        <v>Diana Schwichtenberg</v>
      </c>
      <c r="E3162" t="s">
        <v>2922</v>
      </c>
      <c r="F3162" t="s">
        <v>2830</v>
      </c>
      <c r="G3162">
        <v>250.2</v>
      </c>
      <c r="H3162">
        <v>271.95999999999998</v>
      </c>
      <c r="I3162">
        <v>271.97000000000003</v>
      </c>
      <c r="J3162">
        <v>-0.01</v>
      </c>
    </row>
    <row r="3163" spans="1:10" x14ac:dyDescent="0.3">
      <c r="A3163" t="str">
        <f>HYPERLINK("https://us2.cloudbeds.com/connect/10074733072513#/reservations/30677800779999?display=YQR6U72JK&amp;reservation_id=30677800779999", "YQR6U72JK")</f>
        <v>YQR6U72JK</v>
      </c>
      <c r="B3163" t="s">
        <v>10</v>
      </c>
      <c r="C3163" t="s">
        <v>20</v>
      </c>
      <c r="D3163" t="str">
        <f>HYPERLINK("https://us2.cloudbeds.com/connect/10074733072513#/reservations/30677800779999?display=Sarah%20Chapinski&amp;reservation_id=30677800779999&amp;guest_id=30677800779986", "Sarah Chapinski")</f>
        <v>Sarah Chapinski</v>
      </c>
      <c r="E3163" t="s">
        <v>2925</v>
      </c>
      <c r="F3163" t="s">
        <v>2847</v>
      </c>
      <c r="G3163">
        <v>134.1</v>
      </c>
      <c r="H3163">
        <v>145.76</v>
      </c>
      <c r="I3163">
        <v>145.77000000000001</v>
      </c>
      <c r="J3163">
        <v>-0.01</v>
      </c>
    </row>
    <row r="3164" spans="1:10" x14ac:dyDescent="0.3">
      <c r="A3164" t="str">
        <f>HYPERLINK("https://us2.cloudbeds.com/connect/10074733072513#/reservations/30687138259114?display=YR1EGR6J6&amp;reservation_id=30687138259114", "YR1EGR6J6")</f>
        <v>YR1EGR6J6</v>
      </c>
      <c r="B3164" t="s">
        <v>10</v>
      </c>
      <c r="C3164" t="s">
        <v>42</v>
      </c>
      <c r="D3164" t="str">
        <f>HYPERLINK("https://us2.cloudbeds.com/connect/10074733072513#/reservations/30687138259114?display=Susan%20Boettcher&amp;reservation_id=30687138259114&amp;guest_id=30687138259109", "Susan Boettcher")</f>
        <v>Susan Boettcher</v>
      </c>
      <c r="E3164" t="s">
        <v>2926</v>
      </c>
      <c r="F3164" t="s">
        <v>2724</v>
      </c>
      <c r="G3164">
        <v>270.2</v>
      </c>
      <c r="H3164">
        <v>293.7</v>
      </c>
      <c r="I3164">
        <v>293.70999999999998</v>
      </c>
      <c r="J3164">
        <v>-0.01</v>
      </c>
    </row>
    <row r="3165" spans="1:10" x14ac:dyDescent="0.3">
      <c r="A3165" t="str">
        <f>HYPERLINK("https://us2.cloudbeds.com/connect/10074733072513#/reservations/30685950165198?display=YR0H4WZ88&amp;reservation_id=30685950165198", "YR0H4WZ88")</f>
        <v>YR0H4WZ88</v>
      </c>
      <c r="B3165" t="s">
        <v>10</v>
      </c>
      <c r="C3165" t="s">
        <v>20</v>
      </c>
      <c r="D3165" t="str">
        <f>HYPERLINK("https://us2.cloudbeds.com/connect/10074733072513#/reservations/30685950165198?display=Don%20Deangelo&amp;reservation_id=30685950165198&amp;guest_id=30685950165195", "Don Deangelo")</f>
        <v>Don Deangelo</v>
      </c>
      <c r="E3165" t="s">
        <v>2927</v>
      </c>
      <c r="F3165" t="s">
        <v>2928</v>
      </c>
      <c r="G3165">
        <v>118.15</v>
      </c>
      <c r="H3165">
        <v>128.41999999999999</v>
      </c>
      <c r="I3165">
        <v>128.43</v>
      </c>
      <c r="J3165">
        <v>-0.01</v>
      </c>
    </row>
    <row r="3166" spans="1:10" x14ac:dyDescent="0.3">
      <c r="A3166" t="str">
        <f>HYPERLINK("https://us2.cloudbeds.com/connect/10074733072513#/reservations/30678252789985?display=YQRXFBUEU&amp;reservation_id=30678252789985", "YQRXFBUEU")</f>
        <v>YQRXFBUEU</v>
      </c>
      <c r="B3166" t="s">
        <v>10</v>
      </c>
      <c r="C3166" t="s">
        <v>42</v>
      </c>
      <c r="D3166" t="str">
        <f>HYPERLINK("https://us2.cloudbeds.com/connect/10074733072513#/reservations/30678252789985?display=Billie%20Jo%20Lafave&amp;reservation_id=30678252789985&amp;guest_id=30678252785904", "Billie Jo Lafave")</f>
        <v>Billie Jo Lafave</v>
      </c>
      <c r="E3166" t="s">
        <v>2930</v>
      </c>
      <c r="F3166" t="s">
        <v>2843</v>
      </c>
      <c r="G3166">
        <v>270.2</v>
      </c>
      <c r="H3166">
        <v>293.7</v>
      </c>
      <c r="I3166">
        <v>293.70999999999998</v>
      </c>
      <c r="J3166">
        <v>-0.01</v>
      </c>
    </row>
    <row r="3167" spans="1:10" x14ac:dyDescent="0.3">
      <c r="A3167" t="str">
        <f>HYPERLINK("https://us2.cloudbeds.com/connect/10074733072513#/reservations/30686616703137?display=YR11614FK&amp;reservation_id=30686616703137", "YR11614FK")</f>
        <v>YR11614FK</v>
      </c>
      <c r="B3167" t="s">
        <v>10</v>
      </c>
      <c r="C3167" t="s">
        <v>11</v>
      </c>
      <c r="D3167" t="str">
        <f>HYPERLINK("https://us2.cloudbeds.com/connect/10074733072513#/reservations/30686616703137?display=Donna%20Quartararo&amp;reservation_id=30686616703137&amp;guest_id=30686616703135", "Donna Quartararo")</f>
        <v>Donna Quartararo</v>
      </c>
      <c r="E3167" t="s">
        <v>2931</v>
      </c>
      <c r="F3167" t="s">
        <v>2481</v>
      </c>
      <c r="G3167">
        <v>134.1</v>
      </c>
      <c r="H3167">
        <v>145.76</v>
      </c>
      <c r="I3167">
        <v>145.77000000000001</v>
      </c>
      <c r="J3167">
        <v>-0.01</v>
      </c>
    </row>
    <row r="3168" spans="1:10" x14ac:dyDescent="0.3">
      <c r="A3168" t="str">
        <f>HYPERLINK("https://us2.cloudbeds.com/connect/10074733072513#/reservations/30686616699044?display=YR11610NJ&amp;reservation_id=30686616699044", "YR11610NJ")</f>
        <v>YR11610NJ</v>
      </c>
      <c r="B3168" t="s">
        <v>10</v>
      </c>
      <c r="C3168" t="s">
        <v>11</v>
      </c>
      <c r="D3168" t="str">
        <f>HYPERLINK("https://us2.cloudbeds.com/connect/10074733072513#/reservations/30686616699044?display=Stephanie%20Herz&amp;reservation_id=30686616699044&amp;guest_id=30686616699039", "Stephanie Herz")</f>
        <v>Stephanie Herz</v>
      </c>
      <c r="E3168" t="s">
        <v>2932</v>
      </c>
      <c r="F3168" t="s">
        <v>2481</v>
      </c>
      <c r="G3168">
        <v>134.1</v>
      </c>
      <c r="H3168">
        <v>145.76</v>
      </c>
      <c r="I3168">
        <v>145.77000000000001</v>
      </c>
      <c r="J3168">
        <v>-0.01</v>
      </c>
    </row>
    <row r="3169" spans="1:10" x14ac:dyDescent="0.3">
      <c r="A3169" t="str">
        <f>HYPERLINK("https://us2.cloudbeds.com/connect/10074733072513#/reservations/30678051012787?display=YQRDA75PC&amp;reservation_id=30678051012787", "YQRDA75PC")</f>
        <v>YQRDA75PC</v>
      </c>
      <c r="B3169" t="s">
        <v>10</v>
      </c>
      <c r="C3169" t="s">
        <v>20</v>
      </c>
      <c r="D3169" t="str">
        <f>HYPERLINK("https://us2.cloudbeds.com/connect/10074733072513#/reservations/30678051012787?display=Nicole%20Annis&amp;reservation_id=30678051012787&amp;guest_id=30678051012785", "Nicole Annis")</f>
        <v>Nicole Annis</v>
      </c>
      <c r="E3169" t="s">
        <v>2933</v>
      </c>
      <c r="F3169" t="s">
        <v>2889</v>
      </c>
      <c r="G3169">
        <v>134.1</v>
      </c>
      <c r="H3169">
        <v>145.76</v>
      </c>
      <c r="I3169">
        <v>145.77000000000001</v>
      </c>
      <c r="J3169">
        <v>-0.01</v>
      </c>
    </row>
    <row r="3170" spans="1:10" x14ac:dyDescent="0.3">
      <c r="A3170" t="str">
        <f>HYPERLINK("https://us2.cloudbeds.com/connect/10074733072513#/reservations/30678693515427?display=YQRTNWP0B&amp;reservation_id=30678693515427", "YQRTNWP0B")</f>
        <v>YQRTNWP0B</v>
      </c>
      <c r="B3170" t="s">
        <v>10</v>
      </c>
      <c r="C3170" t="s">
        <v>20</v>
      </c>
      <c r="D3170" t="str">
        <f>HYPERLINK("https://us2.cloudbeds.com/connect/10074733072513#/reservations/30678693515427?display=Alexis%20Richter&amp;reservation_id=30678693515427&amp;guest_id=30678686585035", "Alexis Richter")</f>
        <v>Alexis Richter</v>
      </c>
      <c r="E3170" t="s">
        <v>2934</v>
      </c>
      <c r="F3170" t="s">
        <v>2918</v>
      </c>
      <c r="G3170">
        <v>118.15</v>
      </c>
      <c r="H3170">
        <v>128.41999999999999</v>
      </c>
      <c r="I3170">
        <v>128.43</v>
      </c>
      <c r="J3170">
        <v>-0.01</v>
      </c>
    </row>
    <row r="3171" spans="1:10" x14ac:dyDescent="0.3">
      <c r="A3171" t="str">
        <f>HYPERLINK("https://us2.cloudbeds.com/connect/10074733072513#/reservations/30679324860569?display=YQSCSBSK9&amp;reservation_id=30679324860569", "YQSCSBSK9")</f>
        <v>YQSCSBSK9</v>
      </c>
      <c r="B3171" t="s">
        <v>10</v>
      </c>
      <c r="C3171" t="s">
        <v>14</v>
      </c>
      <c r="D3171" t="str">
        <f>HYPERLINK("https://us2.cloudbeds.com/connect/10074733072513#/reservations/30679324860569?display=Thomas%20Lebeau&amp;reservation_id=30679324860569&amp;guest_id=30648606036146", "Thomas Lebeau")</f>
        <v>Thomas Lebeau</v>
      </c>
      <c r="E3171" t="s">
        <v>570</v>
      </c>
      <c r="F3171" t="s">
        <v>2908</v>
      </c>
      <c r="G3171">
        <v>74.12</v>
      </c>
      <c r="H3171">
        <v>80.56</v>
      </c>
      <c r="I3171">
        <v>80.569999999999993</v>
      </c>
      <c r="J3171">
        <v>-0.01</v>
      </c>
    </row>
    <row r="3172" spans="1:10" x14ac:dyDescent="0.3">
      <c r="A3172" t="str">
        <f>HYPERLINK("https://us2.cloudbeds.com/connect/10074733072513#/reservations/30678039036033?display=YQRD03TRE&amp;reservation_id=30678039036033", "YQRD03TRE")</f>
        <v>YQRD03TRE</v>
      </c>
      <c r="B3172" t="s">
        <v>10</v>
      </c>
      <c r="C3172" t="s">
        <v>42</v>
      </c>
      <c r="D3172" t="str">
        <f>HYPERLINK("https://us2.cloudbeds.com/connect/10074733072513#/reservations/30678039036033?display=Alexa%20Gloe&amp;reservation_id=30678039036033&amp;guest_id=30678026694815", "Alexa Gloe")</f>
        <v>Alexa Gloe</v>
      </c>
      <c r="E3172" t="s">
        <v>2937</v>
      </c>
      <c r="F3172" t="s">
        <v>2938</v>
      </c>
      <c r="G3172">
        <v>270.2</v>
      </c>
      <c r="H3172">
        <v>293.7</v>
      </c>
      <c r="I3172">
        <v>293.70999999999998</v>
      </c>
      <c r="J3172">
        <v>-0.01</v>
      </c>
    </row>
    <row r="3173" spans="1:10" x14ac:dyDescent="0.3">
      <c r="A3173" t="str">
        <f>HYPERLINK("https://us2.cloudbeds.com/connect/10074733072513#/reservations/30677422026892?display=YQQU7RNJZ&amp;reservation_id=30677422026892", "YQQU7RNJZ")</f>
        <v>YQQU7RNJZ</v>
      </c>
      <c r="B3173" t="s">
        <v>10</v>
      </c>
      <c r="C3173" t="s">
        <v>42</v>
      </c>
      <c r="D3173" t="str">
        <f>HYPERLINK("https://us2.cloudbeds.com/connect/10074733072513#/reservations/30677422026892?display=Patty%20Reinert&amp;reservation_id=30677422026892&amp;guest_id=30677422022808", "Patty Reinert")</f>
        <v>Patty Reinert</v>
      </c>
      <c r="E3173" t="s">
        <v>2939</v>
      </c>
      <c r="F3173" t="s">
        <v>2843</v>
      </c>
      <c r="G3173">
        <v>134.1</v>
      </c>
      <c r="H3173">
        <v>145.76</v>
      </c>
      <c r="I3173">
        <v>145.77000000000001</v>
      </c>
      <c r="J3173">
        <v>-0.01</v>
      </c>
    </row>
    <row r="3174" spans="1:10" x14ac:dyDescent="0.3">
      <c r="A3174" t="str">
        <f>HYPERLINK("https://us2.cloudbeds.com/connect/10074733072513#/reservations/30676648022227?display=YQQAF5TGU&amp;reservation_id=30676648022227", "YQQAF5TGU")</f>
        <v>YQQAF5TGU</v>
      </c>
      <c r="B3174" t="s">
        <v>10</v>
      </c>
      <c r="C3174" t="s">
        <v>42</v>
      </c>
      <c r="D3174" t="str">
        <f>HYPERLINK("https://us2.cloudbeds.com/connect/10074733072513#/reservations/30676648022227?display=Stephanie%20Mccoy&amp;reservation_id=30676648022227&amp;guest_id=30676648022216", "Stephanie Mccoy")</f>
        <v>Stephanie Mccoy</v>
      </c>
      <c r="E3174" t="s">
        <v>2940</v>
      </c>
      <c r="F3174" t="s">
        <v>2851</v>
      </c>
      <c r="G3174">
        <v>134.1</v>
      </c>
      <c r="H3174">
        <v>145.76</v>
      </c>
      <c r="I3174">
        <v>145.77000000000001</v>
      </c>
      <c r="J3174">
        <v>-0.01</v>
      </c>
    </row>
    <row r="3175" spans="1:10" x14ac:dyDescent="0.3">
      <c r="A3175" t="str">
        <f>HYPERLINK("https://us2.cloudbeds.com/connect/10074733072513#/reservations/30677777342613?display=YQR6AETYQ&amp;reservation_id=30677777342613", "YQR6AETYQ")</f>
        <v>YQR6AETYQ</v>
      </c>
      <c r="B3175" t="s">
        <v>10</v>
      </c>
      <c r="C3175" t="s">
        <v>42</v>
      </c>
      <c r="D3175" t="str">
        <f>HYPERLINK("https://us2.cloudbeds.com/connect/10074733072513#/reservations/30677777342613?display=Bill%20Weber&amp;reservation_id=30677777342613&amp;guest_id=30677777342611", "Bill Weber")</f>
        <v>Bill Weber</v>
      </c>
      <c r="E3175" t="s">
        <v>2941</v>
      </c>
      <c r="F3175" t="s">
        <v>2741</v>
      </c>
      <c r="G3175">
        <v>268.2</v>
      </c>
      <c r="H3175">
        <v>291.52</v>
      </c>
      <c r="I3175">
        <v>291.52999999999997</v>
      </c>
      <c r="J3175">
        <v>-0.01</v>
      </c>
    </row>
    <row r="3176" spans="1:10" x14ac:dyDescent="0.3">
      <c r="A3176" t="str">
        <f>HYPERLINK("https://us2.cloudbeds.com/connect/10074733072513#/reservations/30677808402615?display=YQR73Y67W&amp;reservation_id=30677808402615", "YQR73Y67W")</f>
        <v>YQR73Y67W</v>
      </c>
      <c r="B3176" t="s">
        <v>10</v>
      </c>
      <c r="C3176" t="s">
        <v>11</v>
      </c>
      <c r="D3176" t="str">
        <f>HYPERLINK("https://us2.cloudbeds.com/connect/10074733072513#/reservations/30677808402615?display=Jason%20William%20Ortman&amp;reservation_id=30677808402615&amp;guest_id=30677808402596", "Jason William Ortman")</f>
        <v>Jason William Ortman</v>
      </c>
      <c r="E3176" t="s">
        <v>2942</v>
      </c>
      <c r="F3176" t="s">
        <v>2847</v>
      </c>
      <c r="G3176">
        <v>134.1</v>
      </c>
      <c r="H3176">
        <v>145.76</v>
      </c>
      <c r="I3176">
        <v>145.77000000000001</v>
      </c>
      <c r="J3176">
        <v>-0.01</v>
      </c>
    </row>
    <row r="3177" spans="1:10" x14ac:dyDescent="0.3">
      <c r="A3177" t="str">
        <f>HYPERLINK("https://us2.cloudbeds.com/connect/10074733072513#/reservations/30686318452949?display=YR0QXHT64&amp;reservation_id=30686318452949", "YR0QXHT64")</f>
        <v>YR0QXHT64</v>
      </c>
      <c r="B3177" t="s">
        <v>10</v>
      </c>
      <c r="C3177" t="s">
        <v>23</v>
      </c>
      <c r="D3177" t="str">
        <f>HYPERLINK("https://us2.cloudbeds.com/connect/10074733072513#/reservations/30686318452949?display=Kyle%20Deatley&amp;reservation_id=30686318452949&amp;guest_id=30686318452938", "Kyle Deatley")</f>
        <v>Kyle Deatley</v>
      </c>
      <c r="E3177" t="s">
        <v>2943</v>
      </c>
      <c r="F3177" t="s">
        <v>2724</v>
      </c>
      <c r="G3177">
        <v>134.1</v>
      </c>
      <c r="H3177">
        <v>145.76</v>
      </c>
      <c r="I3177">
        <v>145.77000000000001</v>
      </c>
      <c r="J3177">
        <v>-0.01</v>
      </c>
    </row>
    <row r="3178" spans="1:10" x14ac:dyDescent="0.3">
      <c r="A3178" t="str">
        <f>HYPERLINK("https://us2.cloudbeds.com/connect/10074733072513#/reservations/30688010793196?display=YR23QXZKU&amp;reservation_id=30688010793196", "YR23QXZKU")</f>
        <v>YR23QXZKU</v>
      </c>
      <c r="B3178" t="s">
        <v>10</v>
      </c>
      <c r="C3178" t="s">
        <v>20</v>
      </c>
      <c r="D3178" t="str">
        <f>HYPERLINK("https://us2.cloudbeds.com/connect/10074733072513#/reservations/30688010793196?display=David%20Detar&amp;reservation_id=30688010793196&amp;guest_id=30688010793191", "David Detar")</f>
        <v>David Detar</v>
      </c>
      <c r="E3178" t="s">
        <v>2944</v>
      </c>
      <c r="F3178" t="s">
        <v>2945</v>
      </c>
      <c r="G3178">
        <v>118.15</v>
      </c>
      <c r="H3178">
        <v>128.41999999999999</v>
      </c>
      <c r="I3178">
        <v>128.43</v>
      </c>
      <c r="J3178">
        <v>-0.01</v>
      </c>
    </row>
    <row r="3179" spans="1:10" x14ac:dyDescent="0.3">
      <c r="A3179" t="str">
        <f>HYPERLINK("https://us2.cloudbeds.com/connect/10074733072513#/reservations/30679038505175?display=YQS5HTK04&amp;reservation_id=30679038505175", "YQS5HTK04")</f>
        <v>YQS5HTK04</v>
      </c>
      <c r="B3179" t="s">
        <v>10</v>
      </c>
      <c r="C3179" t="s">
        <v>11</v>
      </c>
      <c r="D3179" t="str">
        <f>HYPERLINK("https://us2.cloudbeds.com/connect/10074733072513#/reservations/30679038505175?display=James%20Giedd&amp;reservation_id=30679038505175&amp;guest_id=30678930743433", "James Giedd")</f>
        <v>James Giedd</v>
      </c>
      <c r="E3179" t="s">
        <v>2921</v>
      </c>
      <c r="F3179" t="s">
        <v>2903</v>
      </c>
      <c r="G3179">
        <v>74.12</v>
      </c>
      <c r="H3179">
        <v>80.56</v>
      </c>
      <c r="I3179">
        <v>80.569999999999993</v>
      </c>
      <c r="J3179">
        <v>-0.01</v>
      </c>
    </row>
    <row r="3180" spans="1:10" x14ac:dyDescent="0.3">
      <c r="A3180" t="str">
        <f>HYPERLINK("https://us2.cloudbeds.com/connect/10074733072513#/reservations/30678380556438?display=YQRYZ370K&amp;reservation_id=30678380556438", "YQRYZ370K")</f>
        <v>YQRYZ370K</v>
      </c>
      <c r="B3180" t="s">
        <v>10</v>
      </c>
      <c r="C3180" t="s">
        <v>20</v>
      </c>
      <c r="D3180" t="str">
        <f>HYPERLINK("https://us2.cloudbeds.com/connect/10074733072513#/reservations/30678380556438?display=Jonathan%20Boye&amp;reservation_id=30678380556438&amp;guest_id=30678371733693", "Jonathan Boye")</f>
        <v>Jonathan Boye</v>
      </c>
      <c r="E3180" t="s">
        <v>2948</v>
      </c>
      <c r="F3180" t="s">
        <v>2936</v>
      </c>
      <c r="G3180">
        <v>294.3</v>
      </c>
      <c r="H3180">
        <v>319.89</v>
      </c>
      <c r="I3180">
        <v>319.89999999999998</v>
      </c>
      <c r="J3180">
        <v>-0.01</v>
      </c>
    </row>
    <row r="3181" spans="1:10" x14ac:dyDescent="0.3">
      <c r="A3181" t="str">
        <f>HYPERLINK("https://us2.cloudbeds.com/connect/10074733072513#/reservations/30678072615094?display=YQRDSE9JZ&amp;reservation_id=30678072615094", "YQRDSE9JZ")</f>
        <v>YQRDSE9JZ</v>
      </c>
      <c r="B3181" t="s">
        <v>10</v>
      </c>
      <c r="C3181" t="s">
        <v>11</v>
      </c>
      <c r="D3181" t="str">
        <f>HYPERLINK("https://us2.cloudbeds.com/connect/10074733072513#/reservations/30678072615094?display=Rita%20During&amp;reservation_id=30678072615094&amp;guest_id=30678072615092", "Rita During")</f>
        <v>Rita During</v>
      </c>
      <c r="E3181" t="s">
        <v>709</v>
      </c>
      <c r="F3181" t="s">
        <v>2889</v>
      </c>
      <c r="G3181">
        <v>287.27999999999997</v>
      </c>
      <c r="H3181">
        <v>312.26</v>
      </c>
      <c r="I3181">
        <v>312.27</v>
      </c>
      <c r="J3181">
        <v>-0.01</v>
      </c>
    </row>
    <row r="3182" spans="1:10" x14ac:dyDescent="0.3">
      <c r="A3182" t="str">
        <f>HYPERLINK("https://us2.cloudbeds.com/connect/10074733072513#/reservations/30679053463757?display=YQS5UGS2G&amp;reservation_id=30679053463757", "YQS5UGS2G")</f>
        <v>YQS5UGS2G</v>
      </c>
      <c r="B3182" t="s">
        <v>10</v>
      </c>
      <c r="C3182" t="s">
        <v>14</v>
      </c>
      <c r="D3182" t="str">
        <f>HYPERLINK("https://us2.cloudbeds.com/connect/10074733072513#/reservations/30679053463757?display=Ed%20Reichling&amp;reservation_id=30679053463757&amp;guest_id=30653708218581", "Ed Reichling")</f>
        <v>Ed Reichling</v>
      </c>
      <c r="E3182" t="s">
        <v>978</v>
      </c>
      <c r="F3182" t="s">
        <v>2903</v>
      </c>
      <c r="G3182">
        <v>74.12</v>
      </c>
      <c r="H3182">
        <v>80.56</v>
      </c>
      <c r="I3182">
        <v>80.569999999999993</v>
      </c>
      <c r="J3182">
        <v>-0.01</v>
      </c>
    </row>
    <row r="3183" spans="1:10" x14ac:dyDescent="0.3">
      <c r="A3183" t="str">
        <f>HYPERLINK("https://us2.cloudbeds.com/connect/10074733072513#/reservations/30678026694817?display=YQRCMNG76&amp;reservation_id=30678026694817", "YQRCMNG76")</f>
        <v>YQRCMNG76</v>
      </c>
      <c r="B3183" t="s">
        <v>10</v>
      </c>
      <c r="C3183" t="s">
        <v>23</v>
      </c>
      <c r="D3183" t="str">
        <f>HYPERLINK("https://us2.cloudbeds.com/connect/10074733072513#/reservations/30678026694817?display=Lorna%20Hofer&amp;reservation_id=30678026694817&amp;guest_id=30678026694812", "Lorna Hofer")</f>
        <v>Lorna Hofer</v>
      </c>
      <c r="E3183" t="s">
        <v>2952</v>
      </c>
      <c r="F3183" t="s">
        <v>2752</v>
      </c>
      <c r="G3183">
        <v>366.3</v>
      </c>
      <c r="H3183">
        <v>398.16</v>
      </c>
      <c r="I3183">
        <v>398.17</v>
      </c>
      <c r="J3183">
        <v>-0.01</v>
      </c>
    </row>
    <row r="3184" spans="1:10" x14ac:dyDescent="0.3">
      <c r="A3184" t="str">
        <f>HYPERLINK("https://us2.cloudbeds.com/connect/10074733072513#/reservations/30688483213487?display=YR2FSUHZA&amp;reservation_id=30688483213487", "YR2FSUHZA")</f>
        <v>YR2FSUHZA</v>
      </c>
      <c r="B3184" t="s">
        <v>10</v>
      </c>
      <c r="C3184" t="s">
        <v>23</v>
      </c>
      <c r="D3184" t="str">
        <f>HYPERLINK("https://us2.cloudbeds.com/connect/10074733072513#/reservations/30688483213487?display=Neal%20Goldblatt&amp;reservation_id=30688483213487&amp;guest_id=30688474984663", "Neal Goldblatt")</f>
        <v>Neal Goldblatt</v>
      </c>
      <c r="E3184" t="s">
        <v>2953</v>
      </c>
      <c r="F3184" t="s">
        <v>2765</v>
      </c>
      <c r="G3184">
        <v>268.2</v>
      </c>
      <c r="H3184">
        <v>291.52</v>
      </c>
      <c r="I3184">
        <v>291.52999999999997</v>
      </c>
      <c r="J3184">
        <v>-0.01</v>
      </c>
    </row>
    <row r="3185" spans="1:10" x14ac:dyDescent="0.3">
      <c r="A3185" t="str">
        <f>HYPERLINK("https://us2.cloudbeds.com/connect/10074733072513#/reservations/30677557940378?display=YQR0NENC7&amp;reservation_id=30677557940378", "YQR0NENC7")</f>
        <v>YQR0NENC7</v>
      </c>
      <c r="B3185" t="s">
        <v>10</v>
      </c>
      <c r="C3185" t="s">
        <v>42</v>
      </c>
      <c r="D3185" t="str">
        <f>HYPERLINK("https://us2.cloudbeds.com/connect/10074733072513#/reservations/30677557940378?display=Pam%20Poppens&amp;reservation_id=30677557940378&amp;guest_id=30648987484301", "Pam Poppens")</f>
        <v>Pam Poppens</v>
      </c>
      <c r="E3185" t="s">
        <v>2954</v>
      </c>
      <c r="F3185" t="s">
        <v>2830</v>
      </c>
      <c r="G3185">
        <v>134.1</v>
      </c>
      <c r="H3185">
        <v>145.76</v>
      </c>
      <c r="I3185">
        <v>145.77000000000001</v>
      </c>
      <c r="J3185">
        <v>-0.01</v>
      </c>
    </row>
    <row r="3186" spans="1:10" x14ac:dyDescent="0.3">
      <c r="A3186" t="str">
        <f>HYPERLINK("https://us2.cloudbeds.com/connect/10074733072513#/reservations/30688486588553?display=YR2FVPEW0&amp;reservation_id=30688486588553", "YR2FVPEW0")</f>
        <v>YR2FVPEW0</v>
      </c>
      <c r="B3186" t="s">
        <v>10</v>
      </c>
      <c r="C3186" t="s">
        <v>23</v>
      </c>
      <c r="D3186" t="str">
        <f>HYPERLINK("https://us2.cloudbeds.com/connect/10074733072513#/reservations/30688486588553?display=James%20Hayward&amp;reservation_id=30688486588553&amp;guest_id=30688486584460", "James Hayward")</f>
        <v>James Hayward</v>
      </c>
      <c r="E3186" t="s">
        <v>2953</v>
      </c>
      <c r="F3186" t="s">
        <v>2765</v>
      </c>
      <c r="G3186">
        <v>134.1</v>
      </c>
      <c r="H3186">
        <v>145.76</v>
      </c>
      <c r="I3186">
        <v>145.77000000000001</v>
      </c>
      <c r="J3186">
        <v>-0.01</v>
      </c>
    </row>
    <row r="3187" spans="1:10" x14ac:dyDescent="0.3">
      <c r="A3187" t="str">
        <f>HYPERLINK("https://us2.cloudbeds.com/connect/10074733072513#/reservations/30678010093718?display=YQRC8NHSJ&amp;reservation_id=30678010093718", "YQRC8NHSJ")</f>
        <v>YQRC8NHSJ</v>
      </c>
      <c r="B3187" t="s">
        <v>10</v>
      </c>
      <c r="C3187" t="s">
        <v>11</v>
      </c>
      <c r="D3187" t="str">
        <f>HYPERLINK("https://us2.cloudbeds.com/connect/10074733072513#/reservations/30678010093718?display=Richard%20Elliott%20Benesch&amp;reservation_id=30678010093718&amp;guest_id=30678010093702", "Richard Elliott Benesch")</f>
        <v>Richard Elliott Benesch</v>
      </c>
      <c r="E3187" t="s">
        <v>2956</v>
      </c>
      <c r="F3187" t="s">
        <v>2863</v>
      </c>
      <c r="G3187">
        <v>74.12</v>
      </c>
      <c r="H3187">
        <v>80.56</v>
      </c>
      <c r="I3187">
        <v>80.569999999999993</v>
      </c>
      <c r="J3187">
        <v>-0.01</v>
      </c>
    </row>
    <row r="3188" spans="1:10" x14ac:dyDescent="0.3">
      <c r="A3188" t="str">
        <f>HYPERLINK("https://us2.cloudbeds.com/connect/10074733072513#/reservations/30678003249400?display=YQRC2V2U0&amp;reservation_id=30678003249400", "YQRC2V2U0")</f>
        <v>YQRC2V2U0</v>
      </c>
      <c r="B3188" t="s">
        <v>10</v>
      </c>
      <c r="C3188" t="s">
        <v>11</v>
      </c>
      <c r="D3188" t="str">
        <f>HYPERLINK("https://us2.cloudbeds.com/connect/10074733072513#/reservations/30678003249400?display=Michele%20Baker&amp;reservation_id=30678003249400&amp;guest_id=30678003249398", "Michele Baker")</f>
        <v>Michele Baker</v>
      </c>
      <c r="E3188" t="s">
        <v>2957</v>
      </c>
      <c r="F3188" t="s">
        <v>2863</v>
      </c>
      <c r="G3188">
        <v>74.12</v>
      </c>
      <c r="H3188">
        <v>80.56</v>
      </c>
      <c r="I3188">
        <v>80.569999999999993</v>
      </c>
      <c r="J3188">
        <v>-0.01</v>
      </c>
    </row>
    <row r="3189" spans="1:10" x14ac:dyDescent="0.3">
      <c r="A3189" t="str">
        <f>HYPERLINK("https://us2.cloudbeds.com/connect/10074733072513#/reservations/30677990473928?display=YQRBP5JHG&amp;reservation_id=30677990473928", "YQRBP5JHG")</f>
        <v>YQRBP5JHG</v>
      </c>
      <c r="B3189" t="s">
        <v>10</v>
      </c>
      <c r="C3189" t="s">
        <v>14</v>
      </c>
      <c r="D3189" t="str">
        <f>HYPERLINK("https://us2.cloudbeds.com/connect/10074733072513#/reservations/30677990473928?display=Thomas%20Lebeau&amp;reservation_id=30677990473928&amp;guest_id=30648606036146", "Thomas Lebeau")</f>
        <v>Thomas Lebeau</v>
      </c>
      <c r="E3189" t="s">
        <v>570</v>
      </c>
      <c r="F3189" t="s">
        <v>2863</v>
      </c>
      <c r="G3189">
        <v>74.12</v>
      </c>
      <c r="H3189">
        <v>80.56</v>
      </c>
      <c r="I3189">
        <v>80.569999999999993</v>
      </c>
      <c r="J3189">
        <v>-0.01</v>
      </c>
    </row>
    <row r="3190" spans="1:10" x14ac:dyDescent="0.3">
      <c r="A3190" t="str">
        <f>HYPERLINK("https://us2.cloudbeds.com/connect/10074733072513#/reservations/30677982466194?display=YQRBXDP7T&amp;reservation_id=30677982466194", "YQRBXDP7T")</f>
        <v>YQRBXDP7T</v>
      </c>
      <c r="B3190" t="s">
        <v>10</v>
      </c>
      <c r="C3190" t="s">
        <v>17</v>
      </c>
      <c r="D3190" t="str">
        <f>HYPERLINK("https://us2.cloudbeds.com/connect/10074733072513#/reservations/30677982466194?display=Dawn%20Matlock&amp;reservation_id=30677982466194&amp;guest_id=30677982462098", "Dawn Matlock")</f>
        <v>Dawn Matlock</v>
      </c>
      <c r="E3190" t="s">
        <v>2960</v>
      </c>
      <c r="F3190" t="s">
        <v>2889</v>
      </c>
      <c r="G3190">
        <v>268.2</v>
      </c>
      <c r="H3190">
        <v>291.52</v>
      </c>
      <c r="I3190">
        <v>291.52999999999997</v>
      </c>
      <c r="J3190">
        <v>-0.01</v>
      </c>
    </row>
    <row r="3191" spans="1:10" x14ac:dyDescent="0.3">
      <c r="A3191" t="str">
        <f>HYPERLINK("https://us2.cloudbeds.com/connect/10074733072513#/reservations/30678022463616?display=YQRCDV77J&amp;reservation_id=30678022463616", "YQRCDV77J")</f>
        <v>YQRCDV77J</v>
      </c>
      <c r="B3191" t="s">
        <v>10</v>
      </c>
      <c r="C3191" t="s">
        <v>14</v>
      </c>
      <c r="D3191" t="str">
        <f>HYPERLINK("https://us2.cloudbeds.com/connect/10074733072513#/reservations/30678022463616?display=Lee%20Healy&amp;reservation_id=30678022463616&amp;guest_id=30651494379673", "Lee Healy")</f>
        <v>Lee Healy</v>
      </c>
      <c r="E3191" t="s">
        <v>2768</v>
      </c>
      <c r="F3191" t="s">
        <v>2863</v>
      </c>
      <c r="G3191">
        <v>74.12</v>
      </c>
      <c r="H3191">
        <v>80.56</v>
      </c>
      <c r="I3191">
        <v>80.569999999999993</v>
      </c>
      <c r="J3191">
        <v>-0.01</v>
      </c>
    </row>
    <row r="3192" spans="1:10" x14ac:dyDescent="0.3">
      <c r="A3192" t="str">
        <f>HYPERLINK("https://us2.cloudbeds.com/connect/10074733072513#/reservations/30678349930726?display=YQRKV907Z&amp;reservation_id=30678349930726", "YQRKV907Z")</f>
        <v>YQRKV907Z</v>
      </c>
      <c r="B3192" t="s">
        <v>10</v>
      </c>
      <c r="C3192" t="s">
        <v>14</v>
      </c>
      <c r="D3192" t="str">
        <f>HYPERLINK("https://us2.cloudbeds.com/connect/10074733072513#/reservations/30678349930726?display=Kristi%20Renville&amp;reservation_id=30678349930726&amp;guest_id=30678349930708", "Kristi Renville")</f>
        <v>Kristi Renville</v>
      </c>
      <c r="E3192" t="s">
        <v>2962</v>
      </c>
      <c r="F3192" t="s">
        <v>2936</v>
      </c>
      <c r="G3192">
        <v>74.12</v>
      </c>
      <c r="H3192">
        <v>80.56</v>
      </c>
      <c r="I3192">
        <v>80.569999999999993</v>
      </c>
      <c r="J3192">
        <v>-0.01</v>
      </c>
    </row>
    <row r="3193" spans="1:10" x14ac:dyDescent="0.3">
      <c r="A3193" t="str">
        <f>HYPERLINK("https://us2.cloudbeds.com/connect/10074733072513#/reservations/30678444081281?display=YQRNBYT6S&amp;reservation_id=30678444081281", "YQRNBYT6S")</f>
        <v>YQRNBYT6S</v>
      </c>
      <c r="B3193" t="s">
        <v>10</v>
      </c>
      <c r="C3193" t="s">
        <v>14</v>
      </c>
      <c r="D3193" t="str">
        <f>HYPERLINK("https://us2.cloudbeds.com/connect/10074733072513#/reservations/30678444081281?display=Mark%20Baker&amp;reservation_id=30678444081281&amp;guest_id=30678437343465", "Mark Baker")</f>
        <v>Mark Baker</v>
      </c>
      <c r="E3193" t="s">
        <v>2963</v>
      </c>
      <c r="F3193" t="s">
        <v>2936</v>
      </c>
      <c r="G3193">
        <v>74.12</v>
      </c>
      <c r="H3193">
        <v>80.56</v>
      </c>
      <c r="I3193">
        <v>80.569999999999993</v>
      </c>
      <c r="J3193">
        <v>-0.01</v>
      </c>
    </row>
    <row r="3194" spans="1:10" x14ac:dyDescent="0.3">
      <c r="A3194" t="str">
        <f>HYPERLINK("https://us2.cloudbeds.com/connect/10074733072513#/reservations/30678022467720?display=YQRCJ4SJB&amp;reservation_id=30678022467720", "YQRCJ4SJB")</f>
        <v>YQRCJ4SJB</v>
      </c>
      <c r="B3194" t="s">
        <v>10</v>
      </c>
      <c r="C3194" t="s">
        <v>11</v>
      </c>
      <c r="D3194" t="str">
        <f>HYPERLINK("https://us2.cloudbeds.com/connect/10074733072513#/reservations/30678022467720?display=Eugene%20C%20Colucci&amp;reservation_id=30678022467720&amp;guest_id=30678022467718", "Eugene C Colucci")</f>
        <v>Eugene C Colucci</v>
      </c>
      <c r="E3194" t="s">
        <v>2964</v>
      </c>
      <c r="F3194" t="s">
        <v>2863</v>
      </c>
      <c r="G3194">
        <v>74.12</v>
      </c>
      <c r="H3194">
        <v>80.56</v>
      </c>
      <c r="I3194">
        <v>80.569999999999993</v>
      </c>
      <c r="J3194">
        <v>-0.01</v>
      </c>
    </row>
    <row r="3195" spans="1:10" x14ac:dyDescent="0.3">
      <c r="A3195" t="str">
        <f>HYPERLINK("https://us2.cloudbeds.com/connect/10074733072513#/reservations/30677543239899?display=YQR0B1YA5&amp;reservation_id=30677543239899", "YQR0B1YA5")</f>
        <v>YQR0B1YA5</v>
      </c>
      <c r="B3195" t="s">
        <v>10</v>
      </c>
      <c r="C3195" t="s">
        <v>42</v>
      </c>
      <c r="D3195" t="str">
        <f>HYPERLINK("https://us2.cloudbeds.com/connect/10074733072513#/reservations/30677543239899?display=Jay%20Ringenberg&amp;reservation_id=30677543239899&amp;guest_id=30677543239887", "Jay Ringenberg")</f>
        <v>Jay Ringenberg</v>
      </c>
      <c r="E3195" t="s">
        <v>2966</v>
      </c>
      <c r="F3195" t="s">
        <v>2830</v>
      </c>
      <c r="G3195">
        <v>134.1</v>
      </c>
      <c r="H3195">
        <v>145.76</v>
      </c>
      <c r="I3195">
        <v>145.77000000000001</v>
      </c>
      <c r="J3195">
        <v>-0.01</v>
      </c>
    </row>
    <row r="3196" spans="1:10" x14ac:dyDescent="0.3">
      <c r="A3196" t="str">
        <f>HYPERLINK("https://us2.cloudbeds.com/connect/10074733072513#/reservations/30677995606173?display=YQRBTGDB2&amp;reservation_id=30677995606173", "YQRBTGDB2")</f>
        <v>YQRBTGDB2</v>
      </c>
      <c r="B3196" t="s">
        <v>10</v>
      </c>
      <c r="C3196" t="s">
        <v>23</v>
      </c>
      <c r="D3196" t="str">
        <f>HYPERLINK("https://us2.cloudbeds.com/connect/10074733072513#/reservations/30677995606173?display=Bob%20Jorgensen&amp;reservation_id=30677995606173&amp;guest_id=30677995606171", "Bob Jorgensen")</f>
        <v>Bob Jorgensen</v>
      </c>
      <c r="E3196" t="s">
        <v>2967</v>
      </c>
      <c r="F3196" t="s">
        <v>2968</v>
      </c>
      <c r="G3196">
        <v>196.2</v>
      </c>
      <c r="H3196">
        <v>213.26</v>
      </c>
      <c r="I3196">
        <v>213.27</v>
      </c>
      <c r="J3196">
        <v>-0.01</v>
      </c>
    </row>
    <row r="3197" spans="1:10" x14ac:dyDescent="0.3">
      <c r="A3197" t="str">
        <f>HYPERLINK("https://us2.cloudbeds.com/connect/10074733072513#/reservations/30677577662696?display=YQR172GS7&amp;reservation_id=30677577662696", "YQR172GS7")</f>
        <v>YQR172GS7</v>
      </c>
      <c r="B3197" t="s">
        <v>10</v>
      </c>
      <c r="C3197" t="s">
        <v>42</v>
      </c>
      <c r="D3197" t="str">
        <f>HYPERLINK("https://us2.cloudbeds.com/connect/10074733072513#/reservations/30677577662696?display=Jacob%20Krueger&amp;reservation_id=30677577662696&amp;guest_id=30677570474187", "Jacob Krueger")</f>
        <v>Jacob Krueger</v>
      </c>
      <c r="E3197" t="s">
        <v>2969</v>
      </c>
      <c r="F3197" t="s">
        <v>2830</v>
      </c>
      <c r="G3197">
        <v>124.1</v>
      </c>
      <c r="H3197">
        <v>134.88999999999999</v>
      </c>
      <c r="I3197">
        <v>134.9</v>
      </c>
      <c r="J3197">
        <v>-0.01</v>
      </c>
    </row>
    <row r="3198" spans="1:10" x14ac:dyDescent="0.3">
      <c r="A3198" t="str">
        <f>HYPERLINK("https://us2.cloudbeds.com/connect/10074733072513#/reservations/30678246453446?display=YQRXA0JPJ&amp;reservation_id=30678246453446", "YQRXA0JPJ")</f>
        <v>YQRXA0JPJ</v>
      </c>
      <c r="B3198" t="s">
        <v>10</v>
      </c>
      <c r="C3198" t="s">
        <v>42</v>
      </c>
      <c r="D3198" t="str">
        <f>HYPERLINK("https://us2.cloudbeds.com/connect/10074733072513#/reservations/30678246453446?display=John%20Teupel&amp;reservation_id=30678246453446&amp;guest_id=30676634038498", "John Teupel")</f>
        <v>John Teupel</v>
      </c>
      <c r="E3198" t="s">
        <v>2970</v>
      </c>
      <c r="F3198" t="s">
        <v>2830</v>
      </c>
      <c r="G3198">
        <v>74.12</v>
      </c>
      <c r="H3198">
        <v>80.56</v>
      </c>
      <c r="I3198">
        <v>80.569999999999993</v>
      </c>
      <c r="J3198">
        <v>-0.01</v>
      </c>
    </row>
    <row r="3199" spans="1:10" x14ac:dyDescent="0.3">
      <c r="A3199" t="str">
        <f>HYPERLINK("https://us2.cloudbeds.com/connect/10074733072513#/reservations/30677955731673?display=YQRASSRKT&amp;reservation_id=30677955731673", "YQRASSRKT")</f>
        <v>YQRASSRKT</v>
      </c>
      <c r="B3199" t="s">
        <v>10</v>
      </c>
      <c r="C3199" t="s">
        <v>42</v>
      </c>
      <c r="D3199" t="str">
        <f>HYPERLINK("https://us2.cloudbeds.com/connect/10074733072513#/reservations/30677955731673?display=Pam%20Poppens&amp;reservation_id=30677955731673&amp;guest_id=30648987484301", "Pam Poppens")</f>
        <v>Pam Poppens</v>
      </c>
      <c r="E3199" t="s">
        <v>2954</v>
      </c>
      <c r="F3199" t="s">
        <v>2889</v>
      </c>
      <c r="G3199">
        <v>134.1</v>
      </c>
      <c r="H3199">
        <v>145.76</v>
      </c>
      <c r="I3199">
        <v>145.77000000000001</v>
      </c>
      <c r="J3199">
        <v>-0.01</v>
      </c>
    </row>
    <row r="3200" spans="1:10" x14ac:dyDescent="0.3">
      <c r="A3200" t="str">
        <f>HYPERLINK("https://us2.cloudbeds.com/connect/10074733072513#/reservations/30678036123790?display=YQRCUYSJY&amp;reservation_id=30678036123790", "YQRCUYSJY")</f>
        <v>YQRCUYSJY</v>
      </c>
      <c r="B3200" t="s">
        <v>10</v>
      </c>
      <c r="C3200" t="s">
        <v>17</v>
      </c>
      <c r="D3200" t="str">
        <f>HYPERLINK("https://us2.cloudbeds.com/connect/10074733072513#/reservations/30678036123790?display=Richard%20Ferris&amp;reservation_id=30678036123790&amp;guest_id=30678036123788", "Richard Ferris")</f>
        <v>Richard Ferris</v>
      </c>
      <c r="E3200" t="s">
        <v>2971</v>
      </c>
      <c r="F3200" t="s">
        <v>2889</v>
      </c>
      <c r="G3200">
        <v>268.2</v>
      </c>
      <c r="H3200">
        <v>291.52</v>
      </c>
      <c r="I3200">
        <v>291.52999999999997</v>
      </c>
      <c r="J3200">
        <v>-0.01</v>
      </c>
    </row>
    <row r="3201" spans="1:10" x14ac:dyDescent="0.3">
      <c r="A3201" t="str">
        <f>HYPERLINK("https://us2.cloudbeds.com/connect/10074733072513#/reservations/30678327824591?display=YQRKCKSZS&amp;reservation_id=30678327824591", "YQRKCKSZS")</f>
        <v>YQRKCKSZS</v>
      </c>
      <c r="B3201" t="s">
        <v>10</v>
      </c>
      <c r="C3201" t="s">
        <v>11</v>
      </c>
      <c r="D3201" t="str">
        <f>HYPERLINK("https://us2.cloudbeds.com/connect/10074733072513#/reservations/30678327824591?display=Jeff%20Miller&amp;reservation_id=30678327824591&amp;guest_id=30678327824586", "Jeff Miller")</f>
        <v>Jeff Miller</v>
      </c>
      <c r="E3201" t="s">
        <v>2972</v>
      </c>
      <c r="F3201" t="s">
        <v>2731</v>
      </c>
      <c r="G3201">
        <v>74.12</v>
      </c>
      <c r="H3201">
        <v>80.56</v>
      </c>
      <c r="I3201">
        <v>80.569999999999993</v>
      </c>
      <c r="J3201">
        <v>-0.01</v>
      </c>
    </row>
    <row r="3202" spans="1:10" x14ac:dyDescent="0.3">
      <c r="A3202" t="str">
        <f>HYPERLINK("https://us2.cloudbeds.com/connect/10074733072513#/reservations/30676469563601?display=YQQ5TN0YP&amp;reservation_id=30676469563601", "YQQ5TN0YP")</f>
        <v>YQQ5TN0YP</v>
      </c>
      <c r="B3202" t="s">
        <v>10</v>
      </c>
      <c r="C3202" t="s">
        <v>42</v>
      </c>
      <c r="D3202" t="str">
        <f>HYPERLINK("https://us2.cloudbeds.com/connect/10074733072513#/reservations/30676469563601?display=Corrin%20Bertalot&amp;reservation_id=30676469563601&amp;guest_id=30676460621953", "Corrin Bertalot")</f>
        <v>Corrin Bertalot</v>
      </c>
      <c r="E3202" t="s">
        <v>2974</v>
      </c>
      <c r="F3202" t="s">
        <v>2905</v>
      </c>
      <c r="G3202">
        <v>540.4</v>
      </c>
      <c r="H3202">
        <v>587.4</v>
      </c>
      <c r="I3202">
        <v>587.41</v>
      </c>
      <c r="J3202">
        <v>-0.01</v>
      </c>
    </row>
    <row r="3203" spans="1:10" x14ac:dyDescent="0.3">
      <c r="A3203" t="str">
        <f>HYPERLINK("https://us2.cloudbeds.com/connect/10074733072513#/reservations/30678290604255?display=YQRJE859T&amp;reservation_id=30678290604255", "YQRJE859T")</f>
        <v>YQRJE859T</v>
      </c>
      <c r="B3203" t="s">
        <v>10</v>
      </c>
      <c r="C3203" t="s">
        <v>42</v>
      </c>
      <c r="D3203" t="str">
        <f>HYPERLINK("https://us2.cloudbeds.com/connect/10074733072513#/reservations/30678290604255?display=Haley%20Simpson&amp;reservation_id=30678290604255&amp;guest_id=30678290604251", "Haley Simpson")</f>
        <v>Haley Simpson</v>
      </c>
      <c r="E3203" t="s">
        <v>2975</v>
      </c>
      <c r="F3203" t="s">
        <v>2731</v>
      </c>
      <c r="G3203">
        <v>109</v>
      </c>
      <c r="H3203">
        <v>118.47</v>
      </c>
      <c r="I3203">
        <v>118.48</v>
      </c>
      <c r="J3203">
        <v>-0.01</v>
      </c>
    </row>
    <row r="3204" spans="1:10" x14ac:dyDescent="0.3">
      <c r="A3204" t="str">
        <f>HYPERLINK("https://us2.cloudbeds.com/connect/10074733072513#/reservations/30676949426332?display=YQQX5ATVY&amp;reservation_id=30676949426332", "YQQX5ATVY")</f>
        <v>YQQX5ATVY</v>
      </c>
      <c r="B3204" t="s">
        <v>10</v>
      </c>
      <c r="C3204" t="s">
        <v>14</v>
      </c>
      <c r="D3204" t="str">
        <f>HYPERLINK("https://us2.cloudbeds.com/connect/10074733072513#/reservations/30676949426332?display=Thomas%20Lebeau&amp;reservation_id=30676949426332&amp;guest_id=30648606036146", "Thomas Lebeau")</f>
        <v>Thomas Lebeau</v>
      </c>
      <c r="E3204" t="s">
        <v>570</v>
      </c>
      <c r="F3204" t="s">
        <v>2976</v>
      </c>
      <c r="G3204">
        <v>74.12</v>
      </c>
      <c r="H3204">
        <v>80.56</v>
      </c>
      <c r="I3204">
        <v>80.569999999999993</v>
      </c>
      <c r="J3204">
        <v>-0.01</v>
      </c>
    </row>
    <row r="3205" spans="1:10" x14ac:dyDescent="0.3">
      <c r="A3205" t="str">
        <f>HYPERLINK("https://us2.cloudbeds.com/connect/10074733072513#/reservations/30677882491012?display=YQR903QYU&amp;reservation_id=30677882491012", "YQR903QYU")</f>
        <v>YQR903QYU</v>
      </c>
      <c r="B3205" t="s">
        <v>10</v>
      </c>
      <c r="C3205" t="s">
        <v>20</v>
      </c>
      <c r="D3205" t="str">
        <f>HYPERLINK("https://us2.cloudbeds.com/connect/10074733072513#/reservations/30677882491012?display=Benton%20Amanda&amp;reservation_id=30677882491012&amp;guest_id=30677882486921", "Benton Amanda")</f>
        <v>Benton Amanda</v>
      </c>
      <c r="E3205" t="s">
        <v>2977</v>
      </c>
      <c r="F3205" t="s">
        <v>2978</v>
      </c>
      <c r="G3205">
        <v>98.69</v>
      </c>
      <c r="H3205">
        <v>107.27</v>
      </c>
      <c r="I3205">
        <v>107.28</v>
      </c>
      <c r="J3205">
        <v>-0.01</v>
      </c>
    </row>
    <row r="3206" spans="1:10" x14ac:dyDescent="0.3">
      <c r="A3206" t="str">
        <f>HYPERLINK("https://us2.cloudbeds.com/connect/10074733072513#/reservations/30677673644235?display=YQR3M0B5N&amp;reservation_id=30677673644235", "YQR3M0B5N")</f>
        <v>YQR3M0B5N</v>
      </c>
      <c r="B3206" t="s">
        <v>10</v>
      </c>
      <c r="C3206" t="s">
        <v>20</v>
      </c>
      <c r="D3206" t="str">
        <f>HYPERLINK("https://us2.cloudbeds.com/connect/10074733072513#/reservations/30677673644235?display=Katelyn%20Nelson&amp;reservation_id=30677673644235&amp;guest_id=30677673644232", "Katelyn Nelson")</f>
        <v>Katelyn Nelson</v>
      </c>
      <c r="E3206" t="s">
        <v>2979</v>
      </c>
      <c r="F3206" t="s">
        <v>2980</v>
      </c>
      <c r="G3206">
        <v>118.15</v>
      </c>
      <c r="H3206">
        <v>128.41999999999999</v>
      </c>
      <c r="I3206">
        <v>128.43</v>
      </c>
      <c r="J3206">
        <v>-0.01</v>
      </c>
    </row>
    <row r="3207" spans="1:10" x14ac:dyDescent="0.3">
      <c r="A3207" t="str">
        <f>HYPERLINK("https://us2.cloudbeds.com/connect/10074733072513#/reservations/30677192048833?display=YQQZBU7QY&amp;reservation_id=30677192048833", "YQQZBU7QY")</f>
        <v>YQQZBU7QY</v>
      </c>
      <c r="B3207" t="s">
        <v>10</v>
      </c>
      <c r="C3207" t="s">
        <v>20</v>
      </c>
      <c r="D3207" t="str">
        <f>HYPERLINK("https://us2.cloudbeds.com/connect/10074733072513#/reservations/30677192048833?display=Daisy%20Soto&amp;reservation_id=30677192048833&amp;guest_id=30677192044741", "Daisy Soto")</f>
        <v>Daisy Soto</v>
      </c>
      <c r="E3207" t="s">
        <v>2981</v>
      </c>
      <c r="F3207" t="s">
        <v>2613</v>
      </c>
      <c r="G3207">
        <v>134.1</v>
      </c>
      <c r="H3207">
        <v>145.76</v>
      </c>
      <c r="I3207">
        <v>145.77000000000001</v>
      </c>
      <c r="J3207">
        <v>-0.01</v>
      </c>
    </row>
    <row r="3208" spans="1:10" x14ac:dyDescent="0.3">
      <c r="A3208" t="str">
        <f>HYPERLINK("https://us2.cloudbeds.com/connect/10074733072513#/reservations/30678539018395?display=YQRPPNYF3&amp;reservation_id=30678539018395", "YQRPPNYF3")</f>
        <v>YQRPPNYF3</v>
      </c>
      <c r="B3208" t="s">
        <v>10</v>
      </c>
      <c r="C3208" t="s">
        <v>11</v>
      </c>
      <c r="D3208" t="str">
        <f>HYPERLINK("https://us2.cloudbeds.com/connect/10074733072513#/reservations/30678539018395?display=Lexi%20Binger&amp;reservation_id=30678539018395&amp;guest_id=30678539014284", "Lexi Binger")</f>
        <v>Lexi Binger</v>
      </c>
      <c r="E3208" t="s">
        <v>2982</v>
      </c>
      <c r="F3208" t="s">
        <v>2978</v>
      </c>
      <c r="G3208">
        <v>74.12</v>
      </c>
      <c r="H3208">
        <v>80.56</v>
      </c>
      <c r="I3208">
        <v>80.569999999999993</v>
      </c>
      <c r="J3208">
        <v>-0.01</v>
      </c>
    </row>
    <row r="3209" spans="1:10" x14ac:dyDescent="0.3">
      <c r="A3209" t="str">
        <f>HYPERLINK("https://us2.cloudbeds.com/connect/10074733072513#/reservations/30677683253397?display=YQR3U3Z0E&amp;reservation_id=30677683253397", "YQR3U3Z0E")</f>
        <v>YQR3U3Z0E</v>
      </c>
      <c r="B3209" t="s">
        <v>10</v>
      </c>
      <c r="C3209" t="s">
        <v>42</v>
      </c>
      <c r="D3209" t="str">
        <f>HYPERLINK("https://us2.cloudbeds.com/connect/10074733072513#/reservations/30677683253397?display=Peggy%20Sourile&amp;reservation_id=30677683253397&amp;guest_id=30677683253392", "Peggy Sourile")</f>
        <v>Peggy Sourile</v>
      </c>
      <c r="E3209" t="s">
        <v>2984</v>
      </c>
      <c r="F3209" t="s">
        <v>2985</v>
      </c>
      <c r="G3209">
        <v>196.2</v>
      </c>
      <c r="H3209">
        <v>213.26</v>
      </c>
      <c r="I3209">
        <v>213.27</v>
      </c>
      <c r="J3209">
        <v>-0.01</v>
      </c>
    </row>
    <row r="3210" spans="1:10" x14ac:dyDescent="0.3">
      <c r="A3210" t="str">
        <f>HYPERLINK("https://us2.cloudbeds.com/connect/10074733072513#/reservations/30688110522614?display=YR26BYSHG&amp;reservation_id=30688110522614", "YR26BYSHG")</f>
        <v>YR26BYSHG</v>
      </c>
      <c r="B3210" t="s">
        <v>10</v>
      </c>
      <c r="C3210" t="s">
        <v>11</v>
      </c>
      <c r="D3210" t="str">
        <f>HYPERLINK("https://us2.cloudbeds.com/connect/10074733072513#/reservations/30688110522614?display=Melanie%20R%20Smart&amp;reservation_id=30688110522614&amp;guest_id=30686227595510", "Melanie R Smart")</f>
        <v>Melanie R Smart</v>
      </c>
      <c r="E3210" t="s">
        <v>2986</v>
      </c>
      <c r="F3210" t="s">
        <v>2857</v>
      </c>
      <c r="G3210">
        <v>456.3</v>
      </c>
      <c r="H3210">
        <v>495.99</v>
      </c>
      <c r="I3210">
        <v>496</v>
      </c>
      <c r="J3210">
        <v>-0.01</v>
      </c>
    </row>
    <row r="3211" spans="1:10" x14ac:dyDescent="0.3">
      <c r="A3211" t="str">
        <f>HYPERLINK("https://us2.cloudbeds.com/connect/10074733072513#/reservations/30677607162088?display=YQR1VVCC6&amp;reservation_id=30677607162088", "YQR1VVCC6")</f>
        <v>YQR1VVCC6</v>
      </c>
      <c r="B3211" t="s">
        <v>10</v>
      </c>
      <c r="C3211" t="s">
        <v>11</v>
      </c>
      <c r="D3211" t="str">
        <f>HYPERLINK("https://us2.cloudbeds.com/connect/10074733072513#/reservations/30677607162088?display=Aaron%20Jonathan%20Moss&amp;reservation_id=30677607162088&amp;guest_id=30677607162084", "Aaron Jonathan Moss")</f>
        <v>Aaron Jonathan Moss</v>
      </c>
      <c r="E3211" t="s">
        <v>2987</v>
      </c>
      <c r="F3211" t="s">
        <v>2741</v>
      </c>
      <c r="G3211">
        <v>118.15</v>
      </c>
      <c r="H3211">
        <v>128.41999999999999</v>
      </c>
      <c r="I3211">
        <v>128.43</v>
      </c>
      <c r="J3211">
        <v>-0.01</v>
      </c>
    </row>
    <row r="3212" spans="1:10" x14ac:dyDescent="0.3">
      <c r="A3212" t="str">
        <f>HYPERLINK("https://us2.cloudbeds.com/connect/10074733072513#/reservations/30678177144972?display=YQRGHXWKQ&amp;reservation_id=30678177144972", "YQRGHXWKQ")</f>
        <v>YQRGHXWKQ</v>
      </c>
      <c r="B3212" t="s">
        <v>10</v>
      </c>
      <c r="C3212" t="s">
        <v>11</v>
      </c>
      <c r="D3212" t="str">
        <f>HYPERLINK("https://us2.cloudbeds.com/connect/10074733072513#/reservations/30678177144972?display=Tim%20W%20Charles&amp;reservation_id=30678177144972&amp;guest_id=30678171685104", "Tim W Charles")</f>
        <v>Tim W Charles</v>
      </c>
      <c r="E3212" t="s">
        <v>2988</v>
      </c>
      <c r="F3212" t="s">
        <v>2573</v>
      </c>
      <c r="G3212">
        <v>74.12</v>
      </c>
      <c r="H3212">
        <v>80.56</v>
      </c>
      <c r="I3212">
        <v>80.569999999999993</v>
      </c>
      <c r="J3212">
        <v>-0.01</v>
      </c>
    </row>
    <row r="3213" spans="1:10" x14ac:dyDescent="0.3">
      <c r="A3213" t="str">
        <f>HYPERLINK("https://us2.cloudbeds.com/connect/10074733072513#/reservations/30677888467105?display=YQR9553BY&amp;reservation_id=30677888467105", "YQR9553BY")</f>
        <v>YQR9553BY</v>
      </c>
      <c r="B3213" t="s">
        <v>10</v>
      </c>
      <c r="C3213" t="s">
        <v>11</v>
      </c>
      <c r="D3213" t="str">
        <f>HYPERLINK("https://us2.cloudbeds.com/connect/10074733072513#/reservations/30677888467105?display=Jennifer%20Ann%20Pontillo&amp;reservation_id=30677888467105&amp;guest_id=30677888467098", "Jennifer Ann Pontillo")</f>
        <v>Jennifer Ann Pontillo</v>
      </c>
      <c r="E3213" t="s">
        <v>2989</v>
      </c>
      <c r="F3213" t="s">
        <v>2837</v>
      </c>
      <c r="G3213">
        <v>76.16</v>
      </c>
      <c r="H3213">
        <v>82.78</v>
      </c>
      <c r="I3213">
        <v>82.79</v>
      </c>
      <c r="J3213">
        <v>-0.01</v>
      </c>
    </row>
    <row r="3214" spans="1:10" x14ac:dyDescent="0.3">
      <c r="A3214" t="str">
        <f>HYPERLINK("https://us2.cloudbeds.com/connect/10074733072513#/reservations/30677607182529?display=YQR1VVV4K&amp;reservation_id=30677607182529", "YQR1VVV4K")</f>
        <v>YQR1VVV4K</v>
      </c>
      <c r="B3214" t="s">
        <v>10</v>
      </c>
      <c r="C3214" t="s">
        <v>17</v>
      </c>
      <c r="D3214" t="str">
        <f>HYPERLINK("https://us2.cloudbeds.com/connect/10074733072513#/reservations/30677607182529?display=Tammy%20Preslar&amp;reservation_id=30677607182529&amp;guest_id=30677607178438", "Tammy Preslar")</f>
        <v>Tammy Preslar</v>
      </c>
      <c r="E3214" t="s">
        <v>2990</v>
      </c>
      <c r="F3214" t="s">
        <v>2847</v>
      </c>
      <c r="G3214">
        <v>134.1</v>
      </c>
      <c r="H3214">
        <v>145.76</v>
      </c>
      <c r="I3214">
        <v>145.77000000000001</v>
      </c>
      <c r="J3214">
        <v>-0.01</v>
      </c>
    </row>
    <row r="3215" spans="1:10" x14ac:dyDescent="0.3">
      <c r="A3215" t="str">
        <f>HYPERLINK("https://us2.cloudbeds.com/connect/10074733072513#/reservations/30686638629000?display=YR11ZH8DN&amp;reservation_id=30686638629000", "YR11ZH8DN")</f>
        <v>YR11ZH8DN</v>
      </c>
      <c r="B3215" t="s">
        <v>10</v>
      </c>
      <c r="C3215" t="s">
        <v>14</v>
      </c>
      <c r="D3215" t="str">
        <f>HYPERLINK("https://us2.cloudbeds.com/connect/10074733072513#/reservations/30686638629000?display=Colten%20Lesmeister&amp;reservation_id=30686638629000&amp;guest_id=30686638628996", "Colten Lesmeister")</f>
        <v>Colten Lesmeister</v>
      </c>
      <c r="E3215" t="s">
        <v>2991</v>
      </c>
      <c r="F3215" t="s">
        <v>2481</v>
      </c>
      <c r="G3215">
        <v>170.1</v>
      </c>
      <c r="H3215">
        <v>184.89</v>
      </c>
      <c r="I3215">
        <v>184.9</v>
      </c>
      <c r="J3215">
        <v>-0.01</v>
      </c>
    </row>
    <row r="3216" spans="1:10" x14ac:dyDescent="0.3">
      <c r="A3216" t="str">
        <f>HYPERLINK("https://us2.cloudbeds.com/connect/10074733072513#/reservations/30677823717514?display=YQR7GXBGR&amp;reservation_id=30677823717514", "YQR7GXBGR")</f>
        <v>YQR7GXBGR</v>
      </c>
      <c r="B3216" t="s">
        <v>10</v>
      </c>
      <c r="C3216" t="s">
        <v>20</v>
      </c>
      <c r="D3216" t="str">
        <f>HYPERLINK("https://us2.cloudbeds.com/connect/10074733072513#/reservations/30677823717514?display=Richard%20Caughey&amp;reservation_id=30677823717514&amp;guest_id=30677823717512", "Richard Caughey")</f>
        <v>Richard Caughey</v>
      </c>
      <c r="E3216" t="s">
        <v>2993</v>
      </c>
      <c r="F3216" t="s">
        <v>2847</v>
      </c>
      <c r="G3216">
        <v>134.1</v>
      </c>
      <c r="H3216">
        <v>145.76</v>
      </c>
      <c r="I3216">
        <v>145.77000000000001</v>
      </c>
      <c r="J3216">
        <v>-0.01</v>
      </c>
    </row>
    <row r="3217" spans="1:10" x14ac:dyDescent="0.3">
      <c r="A3217" t="str">
        <f>HYPERLINK("https://us2.cloudbeds.com/connect/10074733072513#/reservations/30688086974673?display=YR25ZQK2H&amp;reservation_id=30688086974673", "YR25ZQK2H")</f>
        <v>YR25ZQK2H</v>
      </c>
      <c r="B3217" t="s">
        <v>10</v>
      </c>
      <c r="C3217" t="s">
        <v>20</v>
      </c>
      <c r="D3217" t="str">
        <f>HYPERLINK("https://us2.cloudbeds.com/connect/10074733072513#/reservations/30688086974673?display=Don%20Moyer&amp;reservation_id=30688086974673&amp;guest_id=30688086974671", "Don Moyer")</f>
        <v>Don Moyer</v>
      </c>
      <c r="E3217" t="s">
        <v>2994</v>
      </c>
      <c r="F3217" t="s">
        <v>2995</v>
      </c>
      <c r="G3217">
        <v>118.15</v>
      </c>
      <c r="H3217">
        <v>128.41999999999999</v>
      </c>
      <c r="I3217">
        <v>128.43</v>
      </c>
      <c r="J3217">
        <v>-0.01</v>
      </c>
    </row>
    <row r="3218" spans="1:10" x14ac:dyDescent="0.3">
      <c r="A3218" t="str">
        <f>HYPERLINK("https://us2.cloudbeds.com/connect/10074733072513#/reservations/30687756054690?display=YR1U9P8W8&amp;reservation_id=30687756054690", "YR1U9P8W8")</f>
        <v>YR1U9P8W8</v>
      </c>
      <c r="B3218" t="s">
        <v>10</v>
      </c>
      <c r="C3218" t="s">
        <v>20</v>
      </c>
      <c r="D3218" t="str">
        <f>HYPERLINK("https://us2.cloudbeds.com/connect/10074733072513#/reservations/30687756054690?display=Steve%20Shoop&amp;reservation_id=30687756054690&amp;guest_id=30687756050594", "Steve Shoop")</f>
        <v>Steve Shoop</v>
      </c>
      <c r="E3218" t="s">
        <v>2997</v>
      </c>
      <c r="F3218" t="s">
        <v>2998</v>
      </c>
      <c r="G3218">
        <v>259.2</v>
      </c>
      <c r="H3218">
        <v>281.74</v>
      </c>
      <c r="I3218">
        <v>281.75</v>
      </c>
      <c r="J3218">
        <v>-0.01</v>
      </c>
    </row>
    <row r="3219" spans="1:10" x14ac:dyDescent="0.3">
      <c r="A3219" t="str">
        <f>HYPERLINK("https://us2.cloudbeds.com/connect/10074733072513#/reservations/30678219387095?display=YQRHK6EF4&amp;reservation_id=30678219387095", "YQRHK6EF4")</f>
        <v>YQRHK6EF4</v>
      </c>
      <c r="B3219" t="s">
        <v>10</v>
      </c>
      <c r="C3219" t="s">
        <v>20</v>
      </c>
      <c r="D3219" t="str">
        <f>HYPERLINK("https://us2.cloudbeds.com/connect/10074733072513#/reservations/30678219387095?display=Ju%20Yunran&amp;reservation_id=30678219387095&amp;guest_id=30678219387091", "Ju Yunran")</f>
        <v>Ju Yunran</v>
      </c>
      <c r="E3219" t="s">
        <v>2999</v>
      </c>
      <c r="F3219" t="s">
        <v>2655</v>
      </c>
      <c r="G3219">
        <v>134.1</v>
      </c>
      <c r="H3219">
        <v>145.76</v>
      </c>
      <c r="I3219">
        <v>145.77000000000001</v>
      </c>
      <c r="J3219">
        <v>-0.01</v>
      </c>
    </row>
    <row r="3220" spans="1:10" x14ac:dyDescent="0.3">
      <c r="A3220" t="str">
        <f>HYPERLINK("https://us2.cloudbeds.com/connect/10074733072513#/reservations/30677916774538?display=YQR9T0QAY&amp;reservation_id=30677916774538", "YQR9T0QAY")</f>
        <v>YQR9T0QAY</v>
      </c>
      <c r="B3220" t="s">
        <v>10</v>
      </c>
      <c r="C3220" t="s">
        <v>42</v>
      </c>
      <c r="D3220" t="str">
        <f>HYPERLINK("https://us2.cloudbeds.com/connect/10074733072513#/reservations/30677916774538?display=Brenda%20Gettinger&amp;reservation_id=30677916774538&amp;guest_id=30677910294781", "Brenda Gettinger")</f>
        <v>Brenda Gettinger</v>
      </c>
      <c r="E3220" t="s">
        <v>3000</v>
      </c>
      <c r="F3220" t="s">
        <v>2741</v>
      </c>
      <c r="G3220">
        <v>134.1</v>
      </c>
      <c r="H3220">
        <v>145.76</v>
      </c>
      <c r="I3220">
        <v>145.77000000000001</v>
      </c>
      <c r="J3220">
        <v>-0.01</v>
      </c>
    </row>
    <row r="3221" spans="1:10" x14ac:dyDescent="0.3">
      <c r="A3221" t="str">
        <f>HYPERLINK("https://us2.cloudbeds.com/connect/10074733072513#/reservations/30676907061439?display=YQQH2K1D0&amp;reservation_id=30676907061439", "YQQH2K1D0")</f>
        <v>YQQH2K1D0</v>
      </c>
      <c r="B3221" t="s">
        <v>10</v>
      </c>
      <c r="C3221" t="s">
        <v>42</v>
      </c>
      <c r="D3221" t="str">
        <f>HYPERLINK("https://us2.cloudbeds.com/connect/10074733072513#/reservations/30676907061439?display=Lynette%20Medellin&amp;reservation_id=30676907061439&amp;guest_id=30676907061434", "Lynette Medellin")</f>
        <v>Lynette Medellin</v>
      </c>
      <c r="E3221" t="s">
        <v>3001</v>
      </c>
      <c r="F3221" t="s">
        <v>2847</v>
      </c>
      <c r="G3221">
        <v>134.1</v>
      </c>
      <c r="H3221">
        <v>145.76</v>
      </c>
      <c r="I3221">
        <v>145.77000000000001</v>
      </c>
      <c r="J3221">
        <v>-0.01</v>
      </c>
    </row>
    <row r="3222" spans="1:10" x14ac:dyDescent="0.3">
      <c r="A3222" t="str">
        <f>HYPERLINK("https://us2.cloudbeds.com/connect/10074733072513#/reservations/30677897449682?display=YQR9CZ1QV&amp;reservation_id=30677897449682", "YQR9CZ1QV")</f>
        <v>YQR9CZ1QV</v>
      </c>
      <c r="B3222" t="s">
        <v>10</v>
      </c>
      <c r="C3222" t="s">
        <v>14</v>
      </c>
      <c r="D3222" t="str">
        <f>HYPERLINK("https://us2.cloudbeds.com/connect/10074733072513#/reservations/30677897449682?display=Fredrik%20Larsson&amp;reservation_id=30677897449682&amp;guest_id=30677897449677", "Fredrik Larsson")</f>
        <v>Fredrik Larsson</v>
      </c>
      <c r="E3222" t="s">
        <v>3002</v>
      </c>
      <c r="F3222" t="s">
        <v>2837</v>
      </c>
      <c r="G3222">
        <v>74.12</v>
      </c>
      <c r="H3222">
        <v>80.56</v>
      </c>
      <c r="I3222">
        <v>80.569999999999993</v>
      </c>
      <c r="J3222">
        <v>-0.01</v>
      </c>
    </row>
    <row r="3223" spans="1:10" x14ac:dyDescent="0.3">
      <c r="A3223" t="str">
        <f>HYPERLINK("https://us2.cloudbeds.com/connect/10074733072513#/reservations/30688123609311?display=YR26MN0N2&amp;reservation_id=30688123609311", "YR26MN0N2")</f>
        <v>YR26MN0N2</v>
      </c>
      <c r="B3223" t="s">
        <v>10</v>
      </c>
      <c r="C3223" t="s">
        <v>11</v>
      </c>
      <c r="D3223" t="str">
        <f>HYPERLINK("https://us2.cloudbeds.com/connect/10074733072513#/reservations/30688123609311?display=Doug%20Espenson&amp;reservation_id=30688123609311&amp;guest_id=30688123609309", "Doug Espenson")</f>
        <v>Doug Espenson</v>
      </c>
      <c r="E3223" t="s">
        <v>709</v>
      </c>
      <c r="F3223" t="s">
        <v>2857</v>
      </c>
      <c r="G3223">
        <v>405.6</v>
      </c>
      <c r="H3223">
        <v>440.88</v>
      </c>
      <c r="I3223">
        <v>440.89</v>
      </c>
      <c r="J3223">
        <v>-0.01</v>
      </c>
    </row>
    <row r="3224" spans="1:10" x14ac:dyDescent="0.3">
      <c r="A3224" t="str">
        <f>HYPERLINK("https://us2.cloudbeds.com/connect/10074733072513#/reservations/30676502229153?display=YQQ6Z7WXW&amp;reservation_id=30676502229153", "YQQ6Z7WXW")</f>
        <v>YQQ6Z7WXW</v>
      </c>
      <c r="B3224" t="s">
        <v>10</v>
      </c>
      <c r="C3224" t="s">
        <v>11</v>
      </c>
      <c r="D3224" t="str">
        <f>HYPERLINK("https://us2.cloudbeds.com/connect/10074733072513#/reservations/30676502229153?display=Julie%20Guddeck&amp;reservation_id=30676502229153&amp;guest_id=30676502229143", "Julie Guddeck")</f>
        <v>Julie Guddeck</v>
      </c>
      <c r="E3224" t="s">
        <v>1319</v>
      </c>
      <c r="F3224" t="s">
        <v>3003</v>
      </c>
      <c r="G3224">
        <v>94.16</v>
      </c>
      <c r="H3224">
        <v>102.34</v>
      </c>
      <c r="I3224">
        <v>102.35</v>
      </c>
      <c r="J3224">
        <v>-0.01</v>
      </c>
    </row>
    <row r="3225" spans="1:10" x14ac:dyDescent="0.3">
      <c r="A3225" t="str">
        <f>HYPERLINK("https://us2.cloudbeds.com/connect/10074733072513#/reservations/30684849483917?display=YQWM0SYY1&amp;reservation_id=30684849483917", "YQWM0SYY1")</f>
        <v>YQWM0SYY1</v>
      </c>
      <c r="B3225" t="s">
        <v>10</v>
      </c>
      <c r="C3225" t="s">
        <v>42</v>
      </c>
      <c r="D3225" t="str">
        <f>HYPERLINK("https://us2.cloudbeds.com/connect/10074733072513#/reservations/30684849483917?display=Alexandra%20Grimes&amp;reservation_id=30684849483917&amp;guest_id=30684849483913", "Alexandra Grimes")</f>
        <v>Alexandra Grimes</v>
      </c>
      <c r="E3225" t="s">
        <v>3004</v>
      </c>
      <c r="F3225" t="s">
        <v>3005</v>
      </c>
      <c r="G3225">
        <v>250.2</v>
      </c>
      <c r="H3225">
        <v>271.95999999999998</v>
      </c>
      <c r="I3225">
        <v>271.97000000000003</v>
      </c>
      <c r="J3225">
        <v>-0.01</v>
      </c>
    </row>
    <row r="3226" spans="1:10" x14ac:dyDescent="0.3">
      <c r="A3226" t="str">
        <f>HYPERLINK("https://us2.cloudbeds.com/connect/10074733072513#/reservations/30676789465283?display=YQQE2EZV4&amp;reservation_id=30676789465283", "YQQE2EZV4")</f>
        <v>YQQE2EZV4</v>
      </c>
      <c r="B3226" t="s">
        <v>10</v>
      </c>
      <c r="C3226" t="s">
        <v>11</v>
      </c>
      <c r="D3226" t="str">
        <f>HYPERLINK("https://us2.cloudbeds.com/connect/10074733072513#/reservations/30676789465283?display=Victoria%20Sermiagina&amp;reservation_id=30676789465283&amp;guest_id=30676789461202", "Victoria Sermiagina")</f>
        <v>Victoria Sermiagina</v>
      </c>
      <c r="E3226" t="s">
        <v>1319</v>
      </c>
      <c r="F3226" t="s">
        <v>2851</v>
      </c>
      <c r="G3226">
        <v>94.16</v>
      </c>
      <c r="H3226">
        <v>102.34</v>
      </c>
      <c r="I3226">
        <v>102.35</v>
      </c>
      <c r="J3226">
        <v>-0.01</v>
      </c>
    </row>
    <row r="3227" spans="1:10" x14ac:dyDescent="0.3">
      <c r="A3227" t="str">
        <f>HYPERLINK("https://us2.cloudbeds.com/connect/10074733072513#/reservations/30678252785906?display=YQRXFBQNA&amp;reservation_id=30678252785906", "YQRXFBQNA")</f>
        <v>YQRXFBQNA</v>
      </c>
      <c r="B3227" t="s">
        <v>10</v>
      </c>
      <c r="C3227" t="s">
        <v>14</v>
      </c>
      <c r="D3227" t="str">
        <f>HYPERLINK("https://us2.cloudbeds.com/connect/10074733072513#/reservations/30678252785906?display=Deborah%20Kanos&amp;reservation_id=30678252785906&amp;guest_id=30678252785903", "Deborah Kanos")</f>
        <v>Deborah Kanos</v>
      </c>
      <c r="E3227" t="s">
        <v>3006</v>
      </c>
      <c r="F3227" t="s">
        <v>2655</v>
      </c>
      <c r="G3227">
        <v>134.1</v>
      </c>
      <c r="H3227">
        <v>145.76</v>
      </c>
      <c r="I3227">
        <v>145.77000000000001</v>
      </c>
      <c r="J3227">
        <v>-0.01</v>
      </c>
    </row>
    <row r="3228" spans="1:10" x14ac:dyDescent="0.3">
      <c r="A3228" t="str">
        <f>HYPERLINK("https://us2.cloudbeds.com/connect/10074733072513#/reservations/30678246428875?display=YQRX9WU70&amp;reservation_id=30678246428875", "YQRX9WU70")</f>
        <v>YQRX9WU70</v>
      </c>
      <c r="B3228" t="s">
        <v>10</v>
      </c>
      <c r="C3228" t="s">
        <v>14</v>
      </c>
      <c r="D3228" t="str">
        <f>HYPERLINK("https://us2.cloudbeds.com/connect/10074733072513#/reservations/30678246428875?display=Stephanie%20Kanos&amp;reservation_id=30678246428875&amp;guest_id=30678246424789", "Stephanie Kanos")</f>
        <v>Stephanie Kanos</v>
      </c>
      <c r="E3228" t="s">
        <v>3006</v>
      </c>
      <c r="F3228" t="s">
        <v>2655</v>
      </c>
      <c r="G3228">
        <v>134.1</v>
      </c>
      <c r="H3228">
        <v>145.76</v>
      </c>
      <c r="I3228">
        <v>145.77000000000001</v>
      </c>
      <c r="J3228">
        <v>-0.01</v>
      </c>
    </row>
    <row r="3229" spans="1:10" x14ac:dyDescent="0.3">
      <c r="A3229" t="str">
        <f>HYPERLINK("https://us2.cloudbeds.com/connect/10074733072513#/reservations/30678448333013?display=YQRNF86F7&amp;reservation_id=30678448333013", "YQRNF86F7")</f>
        <v>YQRNF86F7</v>
      </c>
      <c r="B3229" t="s">
        <v>10</v>
      </c>
      <c r="C3229" t="s">
        <v>11</v>
      </c>
      <c r="D3229" t="str">
        <f>HYPERLINK("https://us2.cloudbeds.com/connect/10074733072513#/reservations/30678448333013?display=Traven%20Covey&amp;reservation_id=30678448333013&amp;guest_id=30678448333002", "Traven Covey")</f>
        <v>Traven Covey</v>
      </c>
      <c r="E3229" t="s">
        <v>3007</v>
      </c>
      <c r="F3229" t="s">
        <v>3008</v>
      </c>
      <c r="G3229">
        <v>73.19</v>
      </c>
      <c r="H3229">
        <v>79.55</v>
      </c>
      <c r="I3229">
        <v>79.56</v>
      </c>
      <c r="J3229">
        <v>-0.01</v>
      </c>
    </row>
    <row r="3230" spans="1:10" x14ac:dyDescent="0.3">
      <c r="A3230" t="str">
        <f>HYPERLINK("https://us2.cloudbeds.com/connect/10074733072513#/reservations/30678455034033?display=YQRNKTYRE&amp;reservation_id=30678455034033", "YQRNKTYRE")</f>
        <v>YQRNKTYRE</v>
      </c>
      <c r="B3230" t="s">
        <v>10</v>
      </c>
      <c r="C3230" t="s">
        <v>20</v>
      </c>
      <c r="D3230" t="str">
        <f>HYPERLINK("https://us2.cloudbeds.com/connect/10074733072513#/reservations/30678455034033?display=Ragazzo%20Nick&amp;reservation_id=30678455034033&amp;guest_id=30678455034030", "Ragazzo Nick")</f>
        <v>Ragazzo Nick</v>
      </c>
      <c r="E3230" t="s">
        <v>3009</v>
      </c>
      <c r="F3230" t="s">
        <v>3008</v>
      </c>
      <c r="G3230">
        <v>93.19</v>
      </c>
      <c r="H3230">
        <v>101.29</v>
      </c>
      <c r="I3230">
        <v>101.3</v>
      </c>
      <c r="J3230">
        <v>-0.01</v>
      </c>
    </row>
    <row r="3231" spans="1:10" x14ac:dyDescent="0.3">
      <c r="A3231" t="str">
        <f>HYPERLINK("https://us2.cloudbeds.com/connect/10074733072513#/reservations/30678536958175?display=YQRPNWAK6&amp;reservation_id=30678536958175", "YQRPNWAK6")</f>
        <v>YQRPNWAK6</v>
      </c>
      <c r="B3231" t="s">
        <v>10</v>
      </c>
      <c r="C3231" t="s">
        <v>11</v>
      </c>
      <c r="D3231" t="str">
        <f>HYPERLINK("https://us2.cloudbeds.com/connect/10074733072513#/reservations/30678536958175?display=Tacasa%20Cerney&amp;reservation_id=30678536958175&amp;guest_id=30678536954078", "Tacasa Cerney")</f>
        <v>Tacasa Cerney</v>
      </c>
      <c r="E3231" t="s">
        <v>3010</v>
      </c>
      <c r="F3231" t="s">
        <v>2920</v>
      </c>
      <c r="G3231">
        <v>73.19</v>
      </c>
      <c r="H3231">
        <v>79.55</v>
      </c>
      <c r="I3231">
        <v>79.56</v>
      </c>
      <c r="J3231">
        <v>-0.01</v>
      </c>
    </row>
    <row r="3232" spans="1:10" x14ac:dyDescent="0.3">
      <c r="A3232" t="str">
        <f>HYPERLINK("https://us2.cloudbeds.com/connect/10074733072513#/reservations/30676424077523?display=YQQ4ZB9WP&amp;reservation_id=30676424077523", "YQQ4ZB9WP")</f>
        <v>YQQ4ZB9WP</v>
      </c>
      <c r="B3232" t="s">
        <v>10</v>
      </c>
      <c r="C3232" t="s">
        <v>11</v>
      </c>
      <c r="D3232" t="str">
        <f>HYPERLINK("https://us2.cloudbeds.com/connect/10074733072513#/reservations/30676424077523?display=Royce%20Fertig&amp;reservation_id=30676424077523&amp;guest_id=30676417040519", "Royce Fertig")</f>
        <v>Royce Fertig</v>
      </c>
      <c r="E3232" t="s">
        <v>3014</v>
      </c>
      <c r="F3232" t="s">
        <v>3015</v>
      </c>
      <c r="G3232">
        <v>456.3</v>
      </c>
      <c r="H3232">
        <v>495.99</v>
      </c>
      <c r="I3232">
        <v>496</v>
      </c>
      <c r="J3232">
        <v>-0.01</v>
      </c>
    </row>
    <row r="3233" spans="1:10" x14ac:dyDescent="0.3">
      <c r="A3233" t="str">
        <f>HYPERLINK("https://us2.cloudbeds.com/connect/10074733072513#/reservations/30677261901965?display=YQQQ4R037&amp;reservation_id=30677261901965", "YQQQ4R037")</f>
        <v>YQQQ4R037</v>
      </c>
      <c r="B3233" t="s">
        <v>10</v>
      </c>
      <c r="C3233" t="s">
        <v>42</v>
      </c>
      <c r="D3233" t="str">
        <f>HYPERLINK("https://us2.cloudbeds.com/connect/10074733072513#/reservations/30677261901965?display=Mike%20Jones&amp;reservation_id=30677261901965&amp;guest_id=30677261901961", "Mike Jones")</f>
        <v>Mike Jones</v>
      </c>
      <c r="E3233" t="s">
        <v>3016</v>
      </c>
      <c r="F3233" t="s">
        <v>2613</v>
      </c>
      <c r="G3233">
        <v>497.25</v>
      </c>
      <c r="H3233">
        <v>540.5</v>
      </c>
      <c r="I3233">
        <v>540.51</v>
      </c>
      <c r="J3233">
        <v>-0.01</v>
      </c>
    </row>
    <row r="3234" spans="1:10" x14ac:dyDescent="0.3">
      <c r="A3234" t="str">
        <f>HYPERLINK("https://us2.cloudbeds.com/connect/10074733072513#/reservations/30677547958488?display=YQR0F0V8N&amp;reservation_id=30677547958488", "YQR0F0V8N")</f>
        <v>YQR0F0V8N</v>
      </c>
      <c r="B3234" t="s">
        <v>10</v>
      </c>
      <c r="C3234" t="s">
        <v>14</v>
      </c>
      <c r="D3234" t="str">
        <f>HYPERLINK("https://us2.cloudbeds.com/connect/10074733072513#/reservations/30677547958488?display=Tyler%20Helton&amp;reservation_id=30677547958488&amp;guest_id=30677547958486", "Tyler Helton")</f>
        <v>Tyler Helton</v>
      </c>
      <c r="E3234" t="s">
        <v>3022</v>
      </c>
      <c r="F3234" t="s">
        <v>3023</v>
      </c>
      <c r="G3234">
        <v>73.19</v>
      </c>
      <c r="H3234">
        <v>79.55</v>
      </c>
      <c r="I3234">
        <v>79.56</v>
      </c>
      <c r="J3234">
        <v>-0.01</v>
      </c>
    </row>
    <row r="3235" spans="1:10" x14ac:dyDescent="0.3">
      <c r="A3235" t="str">
        <f>HYPERLINK("https://us2.cloudbeds.com/connect/10074733072513#/reservations/30676586242294?display=YQQ8T2PKZ&amp;reservation_id=30676586242294", "YQQ8T2PKZ")</f>
        <v>YQQ8T2PKZ</v>
      </c>
      <c r="B3235" t="s">
        <v>10</v>
      </c>
      <c r="C3235" t="s">
        <v>14</v>
      </c>
      <c r="D3235" t="str">
        <f>HYPERLINK("https://us2.cloudbeds.com/connect/10074733072513#/reservations/30676586242294?display=Alisha%20Siebrandt&amp;reservation_id=30676586242294&amp;guest_id=30676579430558", "Alisha Siebrandt")</f>
        <v>Alisha Siebrandt</v>
      </c>
      <c r="E3235" t="s">
        <v>3039</v>
      </c>
      <c r="F3235" t="s">
        <v>2905</v>
      </c>
      <c r="G3235">
        <v>275.24</v>
      </c>
      <c r="H3235">
        <v>299.18</v>
      </c>
      <c r="I3235">
        <v>299.19</v>
      </c>
      <c r="J3235">
        <v>-0.01</v>
      </c>
    </row>
    <row r="3236" spans="1:10" x14ac:dyDescent="0.3">
      <c r="A3236" t="str">
        <f>HYPERLINK("https://us2.cloudbeds.com/connect/10074733072513#/reservations/30677547954383?display=YQR0F0RG9&amp;reservation_id=30677547954383", "YQR0F0RG9")</f>
        <v>YQR0F0RG9</v>
      </c>
      <c r="B3236" t="s">
        <v>10</v>
      </c>
      <c r="C3236" t="s">
        <v>14</v>
      </c>
      <c r="D3236" t="str">
        <f>HYPERLINK("https://us2.cloudbeds.com/connect/10074733072513#/reservations/30677547954383?display=Linda%20Leslie&amp;reservation_id=30677547954383&amp;guest_id=30677540028545", "Linda Leslie")</f>
        <v>Linda Leslie</v>
      </c>
      <c r="E3236" t="s">
        <v>3041</v>
      </c>
      <c r="F3236" t="s">
        <v>2920</v>
      </c>
      <c r="G3236">
        <v>73.19</v>
      </c>
      <c r="H3236">
        <v>79.55</v>
      </c>
      <c r="I3236">
        <v>79.56</v>
      </c>
      <c r="J3236">
        <v>-0.01</v>
      </c>
    </row>
    <row r="3237" spans="1:10" x14ac:dyDescent="0.3">
      <c r="A3237" t="str">
        <f>HYPERLINK("https://us2.cloudbeds.com/connect/10074733072513#/reservations/30676856692943?display=YQQFQ4FAV&amp;reservation_id=30676856692943", "YQQFQ4FAV")</f>
        <v>YQQFQ4FAV</v>
      </c>
      <c r="B3237" t="s">
        <v>10</v>
      </c>
      <c r="C3237" t="s">
        <v>20</v>
      </c>
      <c r="D3237" t="str">
        <f>HYPERLINK("https://us2.cloudbeds.com/connect/10074733072513#/reservations/30676856692943?display=Marie%20Thomas&amp;reservation_id=30676856692943&amp;guest_id=30676856692941", "Marie Thomas")</f>
        <v>Marie Thomas</v>
      </c>
      <c r="E3237" t="s">
        <v>3042</v>
      </c>
      <c r="F3237" t="s">
        <v>2812</v>
      </c>
      <c r="G3237">
        <v>93.19</v>
      </c>
      <c r="H3237">
        <v>101.29</v>
      </c>
      <c r="I3237">
        <v>101.3</v>
      </c>
      <c r="J3237">
        <v>-0.01</v>
      </c>
    </row>
    <row r="3238" spans="1:10" x14ac:dyDescent="0.3">
      <c r="A3238" t="str">
        <f>HYPERLINK("https://us2.cloudbeds.com/connect/10074733072513#/reservations/30678231105675?display=YQRHU2HAK&amp;reservation_id=30678231105675", "YQRHU2HAK")</f>
        <v>YQRHU2HAK</v>
      </c>
      <c r="B3238" t="s">
        <v>10</v>
      </c>
      <c r="C3238" t="s">
        <v>17</v>
      </c>
      <c r="D3238" t="str">
        <f>HYPERLINK("https://us2.cloudbeds.com/connect/10074733072513#/reservations/30678231105675?display=Tammy%20Thuringer&amp;reservation_id=30678231105675&amp;guest_id=30678226911390", "Tammy Thuringer")</f>
        <v>Tammy Thuringer</v>
      </c>
      <c r="E3238" t="s">
        <v>3043</v>
      </c>
      <c r="F3238" t="s">
        <v>2655</v>
      </c>
      <c r="G3238">
        <v>134.1</v>
      </c>
      <c r="H3238">
        <v>145.76</v>
      </c>
      <c r="I3238">
        <v>145.77000000000001</v>
      </c>
      <c r="J3238">
        <v>-0.01</v>
      </c>
    </row>
    <row r="3239" spans="1:10" x14ac:dyDescent="0.3">
      <c r="A3239" t="str">
        <f>HYPERLINK("https://us2.cloudbeds.com/connect/10074733072513#/reservations/30677540024451?display=YQR08B5YB&amp;reservation_id=30677540024451", "YQR08B5YB")</f>
        <v>YQR08B5YB</v>
      </c>
      <c r="B3239" t="s">
        <v>10</v>
      </c>
      <c r="C3239" t="s">
        <v>14</v>
      </c>
      <c r="D3239" t="str">
        <f>HYPERLINK("https://us2.cloudbeds.com/connect/10074733072513#/reservations/30677540024451?display=Beverly%20Leslie&amp;reservation_id=30677540024451&amp;guest_id=30677535400144", "Beverly Leslie")</f>
        <v>Beverly Leslie</v>
      </c>
      <c r="E3239" t="s">
        <v>3041</v>
      </c>
      <c r="F3239" t="s">
        <v>2920</v>
      </c>
      <c r="G3239">
        <v>73.19</v>
      </c>
      <c r="H3239">
        <v>79.55</v>
      </c>
      <c r="I3239">
        <v>79.56</v>
      </c>
      <c r="J3239">
        <v>-0.01</v>
      </c>
    </row>
    <row r="3240" spans="1:10" x14ac:dyDescent="0.3">
      <c r="A3240" t="str">
        <f>HYPERLINK("https://us2.cloudbeds.com/connect/10074733072513#/reservations/30677612118166?display=YQR2349DC&amp;reservation_id=30677612118166", "YQR2349DC")</f>
        <v>YQR2349DC</v>
      </c>
      <c r="B3240" t="s">
        <v>10</v>
      </c>
      <c r="C3240" t="s">
        <v>14</v>
      </c>
      <c r="D3240" t="str">
        <f>HYPERLINK("https://us2.cloudbeds.com/connect/10074733072513#/reservations/30677612118166?display=Richard%20Johnson&amp;reservation_id=30677612118166&amp;guest_id=30677612118149", "Richard Johnson")</f>
        <v>Richard Johnson</v>
      </c>
      <c r="E3240" t="s">
        <v>3044</v>
      </c>
      <c r="F3240" t="s">
        <v>2847</v>
      </c>
      <c r="G3240">
        <v>366.3</v>
      </c>
      <c r="H3240">
        <v>398.16</v>
      </c>
      <c r="I3240">
        <v>398.17</v>
      </c>
      <c r="J3240">
        <v>-0.01</v>
      </c>
    </row>
    <row r="3241" spans="1:10" x14ac:dyDescent="0.3">
      <c r="A3241" t="str">
        <f>HYPERLINK("https://us2.cloudbeds.com/connect/10074733072513#/reservations/30677621924033?display=YQR2BD4SS&amp;reservation_id=30677621924033", "YQR2BD4SS")</f>
        <v>YQR2BD4SS</v>
      </c>
      <c r="B3241" t="s">
        <v>10</v>
      </c>
      <c r="C3241" t="s">
        <v>14</v>
      </c>
      <c r="D3241" t="str">
        <f>HYPERLINK("https://us2.cloudbeds.com/connect/10074733072513#/reservations/30677621924033?display=Yo%20Sherman&amp;reservation_id=30677621924033&amp;guest_id=30677621919952", "Yo Sherman")</f>
        <v>Yo Sherman</v>
      </c>
      <c r="E3241" t="s">
        <v>3044</v>
      </c>
      <c r="F3241" t="s">
        <v>2847</v>
      </c>
      <c r="G3241">
        <v>289.38</v>
      </c>
      <c r="H3241">
        <v>314.55</v>
      </c>
      <c r="I3241">
        <v>314.56</v>
      </c>
      <c r="J3241">
        <v>-0.01</v>
      </c>
    </row>
    <row r="3242" spans="1:10" x14ac:dyDescent="0.3">
      <c r="A3242" t="str">
        <f>HYPERLINK("https://us2.cloudbeds.com/connect/10074733072513#/reservations/30676508688632?display=YQQ6TMZ4P&amp;reservation_id=30676508688632", "YQQ6TMZ4P")</f>
        <v>YQQ6TMZ4P</v>
      </c>
      <c r="B3242" t="s">
        <v>10</v>
      </c>
      <c r="C3242" t="s">
        <v>20</v>
      </c>
      <c r="D3242" t="str">
        <f>HYPERLINK("https://us2.cloudbeds.com/connect/10074733072513#/reservations/30676508688632?display=Michelle%20De%20Leon&amp;reservation_id=30676508688632&amp;guest_id=30676508688630", "Michelle De Leon")</f>
        <v>Michelle De Leon</v>
      </c>
      <c r="E3242" t="s">
        <v>3046</v>
      </c>
      <c r="F3242" t="s">
        <v>3003</v>
      </c>
      <c r="G3242">
        <v>134.1</v>
      </c>
      <c r="H3242">
        <v>145.76</v>
      </c>
      <c r="I3242">
        <v>145.77000000000001</v>
      </c>
      <c r="J3242">
        <v>-0.01</v>
      </c>
    </row>
    <row r="3243" spans="1:10" x14ac:dyDescent="0.3">
      <c r="A3243" t="str">
        <f>HYPERLINK("https://us2.cloudbeds.com/connect/10074733072513#/reservations/30685537079443?display=YR06JM0G3&amp;reservation_id=30685537079443", "YR06JM0G3")</f>
        <v>YR06JM0G3</v>
      </c>
      <c r="B3243" t="s">
        <v>10</v>
      </c>
      <c r="C3243" t="s">
        <v>17</v>
      </c>
      <c r="D3243" t="str">
        <f>HYPERLINK("https://us2.cloudbeds.com/connect/10074733072513#/reservations/30685537079443?display=Laura%20Kirstein&amp;reservation_id=30685537079443&amp;guest_id=30685532197114", "Laura Kirstein")</f>
        <v>Laura Kirstein</v>
      </c>
      <c r="E3243" t="s">
        <v>3047</v>
      </c>
      <c r="F3243" t="s">
        <v>3048</v>
      </c>
      <c r="G3243">
        <v>268.2</v>
      </c>
      <c r="H3243">
        <v>291.52</v>
      </c>
      <c r="I3243">
        <v>291.52999999999997</v>
      </c>
      <c r="J3243">
        <v>-0.01</v>
      </c>
    </row>
    <row r="3244" spans="1:10" x14ac:dyDescent="0.3">
      <c r="A3244" t="str">
        <f>HYPERLINK("https://us2.cloudbeds.com/connect/10074733072513#/reservations/30676513005778?display=YQQ70ASFC&amp;reservation_id=30676513005778", "YQQ70ASFC")</f>
        <v>YQQ70ASFC</v>
      </c>
      <c r="B3244" t="s">
        <v>10</v>
      </c>
      <c r="C3244" t="s">
        <v>20</v>
      </c>
      <c r="D3244" t="str">
        <f>HYPERLINK("https://us2.cloudbeds.com/connect/10074733072513#/reservations/30676513005778?display=Mitch%20Powlas&amp;reservation_id=30676513005778&amp;guest_id=30676513001682", "Mitch Powlas")</f>
        <v>Mitch Powlas</v>
      </c>
      <c r="E3244" t="s">
        <v>3049</v>
      </c>
      <c r="F3244" t="s">
        <v>3003</v>
      </c>
      <c r="G3244">
        <v>143.65</v>
      </c>
      <c r="H3244">
        <v>156.13999999999999</v>
      </c>
      <c r="I3244">
        <v>156.15</v>
      </c>
      <c r="J3244">
        <v>-0.01</v>
      </c>
    </row>
    <row r="3245" spans="1:10" x14ac:dyDescent="0.3">
      <c r="A3245" t="str">
        <f>HYPERLINK("https://us2.cloudbeds.com/connect/10074733072513#/reservations/30678196625539?display=YQRH10240&amp;reservation_id=30678196625539", "YQRH10240")</f>
        <v>YQRH10240</v>
      </c>
      <c r="B3245" t="s">
        <v>10</v>
      </c>
      <c r="C3245" t="s">
        <v>42</v>
      </c>
      <c r="D3245" t="str">
        <f>HYPERLINK("https://us2.cloudbeds.com/connect/10074733072513#/reservations/30678196625539?display=Marko%20Mada&amp;reservation_id=30678196625539&amp;guest_id=30678196621503", "Marko Mada")</f>
        <v>Marko Mada</v>
      </c>
      <c r="E3245" t="s">
        <v>3050</v>
      </c>
      <c r="F3245" t="s">
        <v>2655</v>
      </c>
      <c r="G3245">
        <v>143.65</v>
      </c>
      <c r="H3245">
        <v>156.13999999999999</v>
      </c>
      <c r="I3245">
        <v>156.15</v>
      </c>
      <c r="J3245">
        <v>-0.01</v>
      </c>
    </row>
    <row r="3246" spans="1:10" x14ac:dyDescent="0.3">
      <c r="A3246" t="str">
        <f>HYPERLINK("https://us2.cloudbeds.com/connect/10074733072513#/reservations/30687143977155?display=YR1EYYAA5&amp;reservation_id=30687143977155", "YR1EYYAA5")</f>
        <v>YR1EYYAA5</v>
      </c>
      <c r="B3246" t="s">
        <v>10</v>
      </c>
      <c r="C3246" t="s">
        <v>42</v>
      </c>
      <c r="D3246" t="str">
        <f>HYPERLINK("https://us2.cloudbeds.com/connect/10074733072513#/reservations/30687143977155?display=Muranda%20Smith&amp;reservation_id=30687143977155&amp;guest_id=30687143973118", "Muranda Smith")</f>
        <v>Muranda Smith</v>
      </c>
      <c r="E3246" t="s">
        <v>3051</v>
      </c>
      <c r="F3246" t="s">
        <v>2724</v>
      </c>
      <c r="G3246">
        <v>270.2</v>
      </c>
      <c r="H3246">
        <v>293.7</v>
      </c>
      <c r="I3246">
        <v>293.70999999999998</v>
      </c>
      <c r="J3246">
        <v>-0.01</v>
      </c>
    </row>
    <row r="3247" spans="1:10" x14ac:dyDescent="0.3">
      <c r="A3247" t="str">
        <f>HYPERLINK("https://us2.cloudbeds.com/connect/10074733072513#/reservations/30677025317019?display=YQQK3AMCE&amp;reservation_id=30677025317019", "YQQK3AMCE")</f>
        <v>YQQK3AMCE</v>
      </c>
      <c r="B3247" t="s">
        <v>10</v>
      </c>
      <c r="C3247" t="s">
        <v>20</v>
      </c>
      <c r="D3247" t="str">
        <f>HYPERLINK("https://us2.cloudbeds.com/connect/10074733072513#/reservations/30677025317019?display=An-Kuo%20Meng&amp;reservation_id=30677025317019&amp;guest_id=30677025317014", "An-Kuo Meng")</f>
        <v>An-Kuo Meng</v>
      </c>
      <c r="E3247" t="s">
        <v>3052</v>
      </c>
      <c r="F3247" t="s">
        <v>3053</v>
      </c>
      <c r="G3247">
        <v>93.19</v>
      </c>
      <c r="H3247">
        <v>101.29</v>
      </c>
      <c r="I3247">
        <v>101.3</v>
      </c>
      <c r="J3247">
        <v>-0.01</v>
      </c>
    </row>
    <row r="3248" spans="1:10" x14ac:dyDescent="0.3">
      <c r="A3248" t="str">
        <f>HYPERLINK("https://us2.cloudbeds.com/connect/10074733072513#/reservations/30688089981071?display=YR25RB8PG&amp;reservation_id=30688089981071", "YR25RB8PG")</f>
        <v>YR25RB8PG</v>
      </c>
      <c r="B3248" t="s">
        <v>10</v>
      </c>
      <c r="C3248" t="s">
        <v>23</v>
      </c>
      <c r="D3248" t="str">
        <f>HYPERLINK("https://us2.cloudbeds.com/connect/10074733072513#/reservations/30688089981071?display=Julie--Mellissa%20Blair--%20Rens&amp;reservation_id=30688089981071&amp;guest_id=30688089981069", "Julie--Mellissa Blair-- Rens")</f>
        <v>Julie--Mellissa Blair-- Rens</v>
      </c>
      <c r="E3248" t="s">
        <v>3055</v>
      </c>
      <c r="F3248" t="s">
        <v>2857</v>
      </c>
      <c r="G3248">
        <v>268.2</v>
      </c>
      <c r="H3248">
        <v>291.52</v>
      </c>
      <c r="I3248">
        <v>291.52999999999997</v>
      </c>
      <c r="J3248">
        <v>-0.01</v>
      </c>
    </row>
    <row r="3249" spans="1:10" x14ac:dyDescent="0.3">
      <c r="A3249" t="str">
        <f>HYPERLINK("https://us2.cloudbeds.com/connect/10074733072513#/reservations/30685313482911?display=YR00T43MK&amp;reservation_id=30685313482911", "YR00T43MK")</f>
        <v>YR00T43MK</v>
      </c>
      <c r="B3249" t="s">
        <v>10</v>
      </c>
      <c r="C3249" t="s">
        <v>17</v>
      </c>
      <c r="D3249" t="str">
        <f>HYPERLINK("https://us2.cloudbeds.com/connect/10074733072513#/reservations/30685313482911?display=Laura%20Mccann&amp;reservation_id=30685313482911&amp;guest_id=30685300981970", "Laura Mccann")</f>
        <v>Laura Mccann</v>
      </c>
      <c r="E3249" t="s">
        <v>3056</v>
      </c>
      <c r="F3249" t="s">
        <v>2581</v>
      </c>
      <c r="G3249">
        <v>134.1</v>
      </c>
      <c r="H3249">
        <v>145.76</v>
      </c>
      <c r="I3249">
        <v>145.77000000000001</v>
      </c>
      <c r="J3249">
        <v>-0.01</v>
      </c>
    </row>
    <row r="3250" spans="1:10" x14ac:dyDescent="0.3">
      <c r="A3250" t="str">
        <f>HYPERLINK("https://us2.cloudbeds.com/connect/10074733072513#/reservations/30676601159840?display=YQQ98YT0J&amp;reservation_id=30676601159840", "YQQ98YT0J")</f>
        <v>YQQ98YT0J</v>
      </c>
      <c r="B3250" t="s">
        <v>10</v>
      </c>
      <c r="C3250" t="s">
        <v>17</v>
      </c>
      <c r="D3250" t="str">
        <f>HYPERLINK("https://us2.cloudbeds.com/connect/10074733072513#/reservations/30676601159840?display=Dan%20Bilka&amp;reservation_id=30676601159840&amp;guest_id=30676601159809", "Dan Bilka")</f>
        <v>Dan Bilka</v>
      </c>
      <c r="E3250" t="s">
        <v>3062</v>
      </c>
      <c r="F3250" t="s">
        <v>2905</v>
      </c>
      <c r="G3250">
        <v>304.2</v>
      </c>
      <c r="H3250">
        <v>330.66</v>
      </c>
      <c r="I3250">
        <v>330.67</v>
      </c>
      <c r="J3250">
        <v>-0.01</v>
      </c>
    </row>
    <row r="3251" spans="1:10" x14ac:dyDescent="0.3">
      <c r="A3251" t="str">
        <f>HYPERLINK("https://us2.cloudbeds.com/connect/10074733072513#/reservations/30677868613787?display=YQR8YDYXV&amp;reservation_id=30677868613787", "YQR8YDYXV")</f>
        <v>YQR8YDYXV</v>
      </c>
      <c r="B3251" t="s">
        <v>10</v>
      </c>
      <c r="C3251" t="s">
        <v>20</v>
      </c>
      <c r="D3251" t="str">
        <f>HYPERLINK("https://us2.cloudbeds.com/connect/10074733072513#/reservations/30677868613787?display=David%20Healy&amp;reservation_id=30677868613787&amp;guest_id=30677868613782", "David Healy")</f>
        <v>David Healy</v>
      </c>
      <c r="E3251" t="s">
        <v>3063</v>
      </c>
      <c r="F3251" t="s">
        <v>3013</v>
      </c>
      <c r="G3251">
        <v>112.24</v>
      </c>
      <c r="H3251">
        <v>121.99</v>
      </c>
      <c r="I3251">
        <v>122</v>
      </c>
      <c r="J3251">
        <v>-0.01</v>
      </c>
    </row>
    <row r="3252" spans="1:10" x14ac:dyDescent="0.3">
      <c r="A3252" t="str">
        <f>HYPERLINK("https://us2.cloudbeds.com/connect/10074733072513#/reservations/30677097504920?display=YQQYV6DKJ&amp;reservation_id=30677097504920", "YQQYV6DKJ")</f>
        <v>YQQYV6DKJ</v>
      </c>
      <c r="B3252" t="s">
        <v>10</v>
      </c>
      <c r="C3252" t="s">
        <v>20</v>
      </c>
      <c r="D3252" t="str">
        <f>HYPERLINK("https://us2.cloudbeds.com/connect/10074733072513#/reservations/30677097504920?display=Heidi%20Fodness&amp;reservation_id=30677097504920&amp;guest_id=30677083685091", "Heidi Fodness")</f>
        <v>Heidi Fodness</v>
      </c>
      <c r="E3252" t="s">
        <v>3064</v>
      </c>
      <c r="F3252" t="s">
        <v>2847</v>
      </c>
      <c r="G3252">
        <v>465.3</v>
      </c>
      <c r="H3252">
        <v>505.77</v>
      </c>
      <c r="I3252">
        <v>505.78</v>
      </c>
      <c r="J3252">
        <v>-0.01</v>
      </c>
    </row>
    <row r="3253" spans="1:10" x14ac:dyDescent="0.3">
      <c r="A3253" t="str">
        <f>HYPERLINK("https://us2.cloudbeds.com/connect/10074733072513#/reservations/30677508481154?display=YQQWEZE8S&amp;reservation_id=30677508481154", "YQQWEZE8S")</f>
        <v>YQQWEZE8S</v>
      </c>
      <c r="B3253" t="s">
        <v>10</v>
      </c>
      <c r="C3253" t="s">
        <v>42</v>
      </c>
      <c r="D3253" t="str">
        <f>HYPERLINK("https://us2.cloudbeds.com/connect/10074733072513#/reservations/30677508481154?display=Anthony%20Zullo&amp;reservation_id=30677508481154&amp;guest_id=30677508481152", "Anthony Zullo")</f>
        <v>Anthony Zullo</v>
      </c>
      <c r="E3253" t="s">
        <v>3065</v>
      </c>
      <c r="F3253" t="s">
        <v>3023</v>
      </c>
      <c r="G3253">
        <v>134.1</v>
      </c>
      <c r="H3253">
        <v>145.76</v>
      </c>
      <c r="I3253">
        <v>145.77000000000001</v>
      </c>
      <c r="J3253">
        <v>-0.01</v>
      </c>
    </row>
    <row r="3254" spans="1:10" x14ac:dyDescent="0.3">
      <c r="A3254" t="str">
        <f>HYPERLINK("https://us2.cloudbeds.com/connect/10074733072513#/reservations/30677853466839?display=YQR88Y5HH&amp;reservation_id=30677853466839", "YQR88Y5HH")</f>
        <v>YQR88Y5HH</v>
      </c>
      <c r="B3254" t="s">
        <v>10</v>
      </c>
      <c r="C3254" t="s">
        <v>121</v>
      </c>
      <c r="D3254" t="str">
        <f>HYPERLINK("https://us2.cloudbeds.com/connect/10074733072513#/reservations/30677853466839?display=John%20Flueger&amp;reservation_id=30677853466839&amp;guest_id=30677853466837", "John Flueger")</f>
        <v>John Flueger</v>
      </c>
      <c r="E3254" t="s">
        <v>3066</v>
      </c>
      <c r="F3254" t="s">
        <v>3013</v>
      </c>
      <c r="G3254">
        <v>134.1</v>
      </c>
      <c r="H3254">
        <v>145.76</v>
      </c>
      <c r="I3254">
        <v>145.77000000000001</v>
      </c>
      <c r="J3254">
        <v>-0.01</v>
      </c>
    </row>
    <row r="3255" spans="1:10" x14ac:dyDescent="0.3">
      <c r="A3255" t="str">
        <f>HYPERLINK("https://us2.cloudbeds.com/connect/10074733072513#/reservations/30677812969657?display=YQR77G915&amp;reservation_id=30677812969657", "YQR77G915")</f>
        <v>YQR77G915</v>
      </c>
      <c r="B3255" t="s">
        <v>10</v>
      </c>
      <c r="C3255" t="s">
        <v>14</v>
      </c>
      <c r="D3255" t="str">
        <f>HYPERLINK("https://us2.cloudbeds.com/connect/10074733072513#/reservations/30677812969657?display=Trevor%20Wenbourne&amp;reservation_id=30677812969657&amp;guest_id=30677812969609", "Trevor Wenbourne")</f>
        <v>Trevor Wenbourne</v>
      </c>
      <c r="E3255" t="s">
        <v>3071</v>
      </c>
      <c r="F3255" t="s">
        <v>3072</v>
      </c>
      <c r="G3255">
        <v>104.32</v>
      </c>
      <c r="H3255">
        <v>113.39</v>
      </c>
      <c r="I3255">
        <v>113.4</v>
      </c>
      <c r="J3255">
        <v>-0.01</v>
      </c>
    </row>
    <row r="3256" spans="1:10" x14ac:dyDescent="0.3">
      <c r="A3256" t="str">
        <f>HYPERLINK("https://us2.cloudbeds.com/connect/10074733072513#/reservations/30677818323169?display=YQR7C080R&amp;reservation_id=30677818323169", "YQR7C080R")</f>
        <v>YQR7C080R</v>
      </c>
      <c r="B3256" t="s">
        <v>10</v>
      </c>
      <c r="C3256" t="s">
        <v>11</v>
      </c>
      <c r="D3256" t="str">
        <f>HYPERLINK("https://us2.cloudbeds.com/connect/10074733072513#/reservations/30677818323169?display=Barry%20Selland&amp;reservation_id=30677818323169&amp;guest_id=30677818323165", "Barry Selland")</f>
        <v>Barry Selland</v>
      </c>
      <c r="E3256" t="s">
        <v>709</v>
      </c>
      <c r="F3256" t="s">
        <v>3072</v>
      </c>
      <c r="G3256">
        <v>104.32</v>
      </c>
      <c r="H3256">
        <v>113.39</v>
      </c>
      <c r="I3256">
        <v>113.4</v>
      </c>
      <c r="J3256">
        <v>-0.01</v>
      </c>
    </row>
    <row r="3257" spans="1:10" x14ac:dyDescent="0.3">
      <c r="A3257" t="str">
        <f>HYPERLINK("https://us2.cloudbeds.com/connect/10074733072513#/reservations/30685479518386?display=YR05449MY&amp;reservation_id=30685479518386", "YR05449MY")</f>
        <v>YR05449MY</v>
      </c>
      <c r="B3257" t="s">
        <v>10</v>
      </c>
      <c r="C3257" t="s">
        <v>42</v>
      </c>
      <c r="D3257" t="str">
        <f>HYPERLINK("https://us2.cloudbeds.com/connect/10074733072513#/reservations/30685479518386?display=Rebecca%20Bass&amp;reservation_id=30685479518386&amp;guest_id=30685479518381", "Rebecca Bass")</f>
        <v>Rebecca Bass</v>
      </c>
      <c r="E3257" t="s">
        <v>3075</v>
      </c>
      <c r="F3257" t="s">
        <v>3048</v>
      </c>
      <c r="G3257">
        <v>250.2</v>
      </c>
      <c r="H3257">
        <v>271.95999999999998</v>
      </c>
      <c r="I3257">
        <v>271.97000000000003</v>
      </c>
      <c r="J3257">
        <v>-0.01</v>
      </c>
    </row>
    <row r="3258" spans="1:10" x14ac:dyDescent="0.3">
      <c r="A3258" t="str">
        <f>HYPERLINK("https://us2.cloudbeds.com/connect/10074733072513#/reservations/30676894306437?display=YQQGZS3QQ&amp;reservation_id=30676894306437", "YQQGZS3QQ")</f>
        <v>YQQGZS3QQ</v>
      </c>
      <c r="B3258" t="s">
        <v>10</v>
      </c>
      <c r="C3258" t="s">
        <v>17</v>
      </c>
      <c r="D3258" t="str">
        <f>HYPERLINK("https://us2.cloudbeds.com/connect/10074733072513#/reservations/30676894306437?display=Holly%20Moritz&amp;reservation_id=30676894306437&amp;guest_id=30676894306433", "Holly Moritz")</f>
        <v>Holly Moritz</v>
      </c>
      <c r="E3258" t="s">
        <v>2721</v>
      </c>
      <c r="F3258" t="s">
        <v>2717</v>
      </c>
      <c r="G3258">
        <v>268.2</v>
      </c>
      <c r="H3258">
        <v>291.52</v>
      </c>
      <c r="I3258">
        <v>291.52999999999997</v>
      </c>
      <c r="J3258">
        <v>-0.01</v>
      </c>
    </row>
    <row r="3259" spans="1:10" x14ac:dyDescent="0.3">
      <c r="A3259" t="str">
        <f>HYPERLINK("https://us2.cloudbeds.com/connect/10074733072513#/reservations/30677642252459?display=YQR2SHQUP&amp;reservation_id=30677642252459", "YQR2SHQUP")</f>
        <v>YQR2SHQUP</v>
      </c>
      <c r="B3259" t="s">
        <v>10</v>
      </c>
      <c r="C3259" t="s">
        <v>42</v>
      </c>
      <c r="D3259" t="str">
        <f>HYPERLINK("https://us2.cloudbeds.com/connect/10074733072513#/reservations/30677642252459?display=James%20Braun&amp;reservation_id=30677642252459&amp;guest_id=30667431293087", "James Braun")</f>
        <v>James Braun</v>
      </c>
      <c r="E3259" t="s">
        <v>2763</v>
      </c>
      <c r="F3259" t="s">
        <v>2980</v>
      </c>
      <c r="G3259">
        <v>118.15</v>
      </c>
      <c r="H3259">
        <v>128.41999999999999</v>
      </c>
      <c r="I3259">
        <v>128.43</v>
      </c>
      <c r="J3259">
        <v>-0.01</v>
      </c>
    </row>
    <row r="3260" spans="1:10" x14ac:dyDescent="0.3">
      <c r="A3260" t="str">
        <f>HYPERLINK("https://us2.cloudbeds.com/connect/10074733072513#/reservations/30676476575873?display=YQQ62K4RS&amp;reservation_id=30676476575873", "YQQ62K4RS")</f>
        <v>YQQ62K4RS</v>
      </c>
      <c r="B3260" t="s">
        <v>10</v>
      </c>
      <c r="C3260" t="s">
        <v>42</v>
      </c>
      <c r="D3260" t="str">
        <f>HYPERLINK("https://us2.cloudbeds.com/connect/10074733072513#/reservations/30676476575873?display=Linda%20Schultz&amp;reservation_id=30676476575873&amp;guest_id=30676476571835", "Linda Schultz")</f>
        <v>Linda Schultz</v>
      </c>
      <c r="E3260" t="s">
        <v>3077</v>
      </c>
      <c r="F3260" t="s">
        <v>3003</v>
      </c>
      <c r="G3260">
        <v>170.1</v>
      </c>
      <c r="H3260">
        <v>184.89</v>
      </c>
      <c r="I3260">
        <v>184.9</v>
      </c>
      <c r="J3260">
        <v>-0.01</v>
      </c>
    </row>
    <row r="3261" spans="1:10" x14ac:dyDescent="0.3">
      <c r="A3261" t="str">
        <f>HYPERLINK("https://us2.cloudbeds.com/connect/10074733072513#/reservations/30688123605188?display=YR26MMTU4&amp;reservation_id=30688123605188", "YR26MMTU4")</f>
        <v>YR26MMTU4</v>
      </c>
      <c r="B3261" t="s">
        <v>10</v>
      </c>
      <c r="C3261" t="s">
        <v>42</v>
      </c>
      <c r="D3261" t="str">
        <f>HYPERLINK("https://us2.cloudbeds.com/connect/10074733072513#/reservations/30688123605188?display=Janet%20Ringstmeyer&amp;reservation_id=30688123605188&amp;guest_id=30678113292427", "Janet Ringstmeyer")</f>
        <v>Janet Ringstmeyer</v>
      </c>
      <c r="E3261" t="s">
        <v>3078</v>
      </c>
      <c r="F3261" t="s">
        <v>2765</v>
      </c>
      <c r="G3261">
        <v>304.2</v>
      </c>
      <c r="H3261">
        <v>330.66</v>
      </c>
      <c r="I3261">
        <v>330.67</v>
      </c>
      <c r="J3261">
        <v>-0.01</v>
      </c>
    </row>
    <row r="3262" spans="1:10" x14ac:dyDescent="0.3">
      <c r="A3262" t="str">
        <f>HYPERLINK("https://us2.cloudbeds.com/connect/10074733072513#/reservations/30676797067400?display=YQQE8S9PA&amp;reservation_id=30676797067400", "YQQE8S9PA")</f>
        <v>YQQE8S9PA</v>
      </c>
      <c r="B3262" t="s">
        <v>10</v>
      </c>
      <c r="C3262" t="s">
        <v>20</v>
      </c>
      <c r="D3262" t="str">
        <f>HYPERLINK("https://us2.cloudbeds.com/connect/10074733072513#/reservations/30676797067400?display=Raymond%20Summers&amp;reservation_id=30676797067400&amp;guest_id=30676797067398", "Raymond Summers")</f>
        <v>Raymond Summers</v>
      </c>
      <c r="E3262" t="s">
        <v>3081</v>
      </c>
      <c r="F3262" t="s">
        <v>2851</v>
      </c>
      <c r="G3262">
        <v>170.1</v>
      </c>
      <c r="H3262">
        <v>184.89</v>
      </c>
      <c r="I3262">
        <v>184.9</v>
      </c>
      <c r="J3262">
        <v>-0.01</v>
      </c>
    </row>
    <row r="3263" spans="1:10" x14ac:dyDescent="0.3">
      <c r="A3263" t="str">
        <f>HYPERLINK("https://us2.cloudbeds.com/connect/10074733072513#/reservations/30685956944004?display=YR0HANC1K&amp;reservation_id=30685956944004", "YR0HANC1K")</f>
        <v>YR0HANC1K</v>
      </c>
      <c r="B3263" t="s">
        <v>10</v>
      </c>
      <c r="C3263" t="s">
        <v>11</v>
      </c>
      <c r="D3263" t="str">
        <f>HYPERLINK("https://us2.cloudbeds.com/connect/10074733072513#/reservations/30685956944004?display=Kirk%20Torgensen&amp;reservation_id=30685956944004&amp;guest_id=30685952524515", "Kirk Torgensen")</f>
        <v>Kirk Torgensen</v>
      </c>
      <c r="E3263" t="s">
        <v>3082</v>
      </c>
      <c r="F3263" t="s">
        <v>3083</v>
      </c>
      <c r="G3263">
        <v>118.15</v>
      </c>
      <c r="H3263">
        <v>128.41999999999999</v>
      </c>
      <c r="I3263">
        <v>128.43</v>
      </c>
      <c r="J3263">
        <v>-0.01</v>
      </c>
    </row>
    <row r="3264" spans="1:10" x14ac:dyDescent="0.3">
      <c r="A3264" t="str">
        <f>HYPERLINK("https://us2.cloudbeds.com/connect/10074733072513#/reservations/30685525397659?display=YR069QVDY&amp;reservation_id=30685525397659", "YR069QVDY")</f>
        <v>YR069QVDY</v>
      </c>
      <c r="B3264" t="s">
        <v>10</v>
      </c>
      <c r="C3264" t="s">
        <v>17</v>
      </c>
      <c r="D3264" t="str">
        <f>HYPERLINK("https://us2.cloudbeds.com/connect/10074733072513#/reservations/30685525397659?display=Gage%20Thom&amp;reservation_id=30685525397659&amp;guest_id=30685525393568", "Gage Thom")</f>
        <v>Gage Thom</v>
      </c>
      <c r="E3264" t="s">
        <v>3084</v>
      </c>
      <c r="F3264" t="s">
        <v>3048</v>
      </c>
      <c r="G3264">
        <v>304.2</v>
      </c>
      <c r="H3264">
        <v>330.66</v>
      </c>
      <c r="I3264">
        <v>330.67</v>
      </c>
      <c r="J3264">
        <v>-0.01</v>
      </c>
    </row>
    <row r="3265" spans="1:10" x14ac:dyDescent="0.3">
      <c r="A3265" t="str">
        <f>HYPERLINK("https://us2.cloudbeds.com/connect/10074733072513#/reservations/30677321945340?display=YQQRMEQBE&amp;reservation_id=30677321945340", "YQQRMEQBE")</f>
        <v>YQQRMEQBE</v>
      </c>
      <c r="B3265" t="s">
        <v>10</v>
      </c>
      <c r="C3265" t="s">
        <v>20</v>
      </c>
      <c r="D3265" t="str">
        <f>HYPERLINK("https://us2.cloudbeds.com/connect/10074733072513#/reservations/30677321945340?display=Gregory%20Pavek&amp;reservation_id=30677321945340&amp;guest_id=30677321945338", "Gregory Pavek")</f>
        <v>Gregory Pavek</v>
      </c>
      <c r="E3265" t="s">
        <v>3085</v>
      </c>
      <c r="F3265" t="s">
        <v>2613</v>
      </c>
      <c r="G3265">
        <v>177.65</v>
      </c>
      <c r="H3265">
        <v>193.1</v>
      </c>
      <c r="I3265">
        <v>193.11</v>
      </c>
      <c r="J3265">
        <v>-0.01</v>
      </c>
    </row>
    <row r="3266" spans="1:10" x14ac:dyDescent="0.3">
      <c r="A3266" t="str">
        <f>HYPERLINK("https://us2.cloudbeds.com/connect/10074733072513#/reservations/30677164540110?display=YQQNYNP8W&amp;reservation_id=30677164540110", "YQQNYNP8W")</f>
        <v>YQQNYNP8W</v>
      </c>
      <c r="B3266" t="s">
        <v>10</v>
      </c>
      <c r="C3266" t="s">
        <v>20</v>
      </c>
      <c r="D3266" t="str">
        <f>HYPERLINK("https://us2.cloudbeds.com/connect/10074733072513#/reservations/30677164540110?display=Melinda%20Ree&amp;reservation_id=30677164540110&amp;guest_id=30677164540107", "Melinda Ree")</f>
        <v>Melinda Ree</v>
      </c>
      <c r="E3266" t="s">
        <v>3089</v>
      </c>
      <c r="F3266" t="s">
        <v>3053</v>
      </c>
      <c r="G3266">
        <v>112.24</v>
      </c>
      <c r="H3266">
        <v>121.99</v>
      </c>
      <c r="I3266">
        <v>122</v>
      </c>
      <c r="J3266">
        <v>-0.01</v>
      </c>
    </row>
    <row r="3267" spans="1:10" x14ac:dyDescent="0.3">
      <c r="A3267" t="str">
        <f>HYPERLINK("https://us2.cloudbeds.com/connect/10074733072513#/reservations/30676879671448?display=YQQGCGST9&amp;reservation_id=30676879671448", "YQQGCGST9")</f>
        <v>YQQGCGST9</v>
      </c>
      <c r="B3267" t="s">
        <v>10</v>
      </c>
      <c r="C3267" t="s">
        <v>11</v>
      </c>
      <c r="D3267" t="str">
        <f>HYPERLINK("https://us2.cloudbeds.com/connect/10074733072513#/reservations/30676879671448?display=Melony%20Gravenish&amp;reservation_id=30676879671448&amp;guest_id=30676879671439", "Melony Gravenish")</f>
        <v>Melony Gravenish</v>
      </c>
      <c r="E3267" t="s">
        <v>3090</v>
      </c>
      <c r="F3267" t="s">
        <v>2812</v>
      </c>
      <c r="G3267">
        <v>118.15</v>
      </c>
      <c r="H3267">
        <v>128.41999999999999</v>
      </c>
      <c r="I3267">
        <v>128.43</v>
      </c>
      <c r="J3267">
        <v>-0.01</v>
      </c>
    </row>
    <row r="3268" spans="1:10" x14ac:dyDescent="0.3">
      <c r="A3268" t="str">
        <f>HYPERLINK("https://us2.cloudbeds.com/connect/10074733072513#/reservations/30676797071493?display=YQQE8SDHB&amp;reservation_id=30676797071493", "YQQE8SDHB")</f>
        <v>YQQE8SDHB</v>
      </c>
      <c r="B3268" t="s">
        <v>10</v>
      </c>
      <c r="C3268" t="s">
        <v>11</v>
      </c>
      <c r="D3268" t="str">
        <f>HYPERLINK("https://us2.cloudbeds.com/connect/10074733072513#/reservations/30676797071493?display=Michael%20Whisler&amp;reservation_id=30676797071493&amp;guest_id=30676797071491", "Michael Whisler")</f>
        <v>Michael Whisler</v>
      </c>
      <c r="E3268" t="s">
        <v>3095</v>
      </c>
      <c r="F3268" t="s">
        <v>2851</v>
      </c>
      <c r="G3268">
        <v>141.49</v>
      </c>
      <c r="H3268">
        <v>153.79</v>
      </c>
      <c r="I3268">
        <v>153.80000000000001</v>
      </c>
      <c r="J3268">
        <v>-0.01</v>
      </c>
    </row>
    <row r="3269" spans="1:10" x14ac:dyDescent="0.3">
      <c r="A3269" t="str">
        <f>HYPERLINK("https://us2.cloudbeds.com/connect/10074733072513#/reservations/30677181571292?display=YQQZ32MXD&amp;reservation_id=30677181571292", "YQQZ32MXD")</f>
        <v>YQQZ32MXD</v>
      </c>
      <c r="B3269" t="s">
        <v>10</v>
      </c>
      <c r="C3269" t="s">
        <v>20</v>
      </c>
      <c r="D3269" t="str">
        <f>HYPERLINK("https://us2.cloudbeds.com/connect/10074733072513#/reservations/30677181571292?display=Alin%20Pasca&amp;reservation_id=30677181571292&amp;guest_id=30677176701110", "Alin Pasca")</f>
        <v>Alin Pasca</v>
      </c>
      <c r="E3269" t="s">
        <v>3097</v>
      </c>
      <c r="F3269" t="s">
        <v>2947</v>
      </c>
      <c r="G3269">
        <v>208.34</v>
      </c>
      <c r="H3269">
        <v>226.46</v>
      </c>
      <c r="I3269">
        <v>226.47</v>
      </c>
      <c r="J3269">
        <v>-0.01</v>
      </c>
    </row>
    <row r="3270" spans="1:10" x14ac:dyDescent="0.3">
      <c r="A3270" t="str">
        <f>HYPERLINK("https://us2.cloudbeds.com/connect/10074733072513#/reservations/30676612178107?display=YQQ9HVFQF&amp;reservation_id=30676612178107", "YQQ9HVFQF")</f>
        <v>YQQ9HVFQF</v>
      </c>
      <c r="B3270" t="s">
        <v>10</v>
      </c>
      <c r="C3270" t="s">
        <v>14</v>
      </c>
      <c r="D3270" t="str">
        <f>HYPERLINK("https://us2.cloudbeds.com/connect/10074733072513#/reservations/30676612178107?display=Brandyn%20Johnson&amp;reservation_id=30676612178107&amp;guest_id=30676601163938", "Brandyn Johnson")</f>
        <v>Brandyn Johnson</v>
      </c>
      <c r="E3270" t="s">
        <v>1881</v>
      </c>
      <c r="F3270" t="s">
        <v>3098</v>
      </c>
      <c r="G3270">
        <v>118.15</v>
      </c>
      <c r="H3270">
        <v>128.41999999999999</v>
      </c>
      <c r="I3270">
        <v>128.43</v>
      </c>
      <c r="J3270">
        <v>-0.01</v>
      </c>
    </row>
    <row r="3271" spans="1:10" x14ac:dyDescent="0.3">
      <c r="A3271" t="str">
        <f>HYPERLINK("https://us2.cloudbeds.com/connect/10074733072513#/reservations/30676626432225?display=YQQ9TW3WE&amp;reservation_id=30676626432225", "YQQ9TW3WE")</f>
        <v>YQQ9TW3WE</v>
      </c>
      <c r="B3271" t="s">
        <v>10</v>
      </c>
      <c r="C3271" t="s">
        <v>11</v>
      </c>
      <c r="D3271" t="str">
        <f>HYPERLINK("https://us2.cloudbeds.com/connect/10074733072513#/reservations/30676626432225?display=Scott%20Malone&amp;reservation_id=30676626432225&amp;guest_id=30676614242515", "Scott Malone")</f>
        <v>Scott Malone</v>
      </c>
      <c r="E3271" t="s">
        <v>3099</v>
      </c>
      <c r="F3271" t="s">
        <v>2847</v>
      </c>
      <c r="G3271">
        <v>170.1</v>
      </c>
      <c r="H3271">
        <v>184.89</v>
      </c>
      <c r="I3271">
        <v>184.9</v>
      </c>
      <c r="J3271">
        <v>-0.01</v>
      </c>
    </row>
    <row r="3272" spans="1:10" x14ac:dyDescent="0.3">
      <c r="A3272" t="str">
        <f>HYPERLINK("https://us2.cloudbeds.com/connect/10074733072513#/reservations/30677943148722?display=YQRAX8N1B&amp;reservation_id=30677943148722", "YQRAX8N1B")</f>
        <v>YQRAX8N1B</v>
      </c>
      <c r="B3272" t="s">
        <v>10</v>
      </c>
      <c r="C3272" t="s">
        <v>20</v>
      </c>
      <c r="D3272" t="str">
        <f>HYPERLINK("https://us2.cloudbeds.com/connect/10074733072513#/reservations/30677943148722?display=Delores%20Reuter&amp;reservation_id=30677943148722&amp;guest_id=30677933736160", "Delores Reuter")</f>
        <v>Delores Reuter</v>
      </c>
      <c r="E3272" t="s">
        <v>3100</v>
      </c>
      <c r="F3272" t="s">
        <v>3101</v>
      </c>
      <c r="G3272">
        <v>112.24</v>
      </c>
      <c r="H3272">
        <v>121.99</v>
      </c>
      <c r="I3272">
        <v>122</v>
      </c>
      <c r="J3272">
        <v>-0.01</v>
      </c>
    </row>
    <row r="3273" spans="1:10" x14ac:dyDescent="0.3">
      <c r="A3273" t="str">
        <f>HYPERLINK("https://us2.cloudbeds.com/connect/10074733072513#/reservations/30676900200612?display=YQQGTR495&amp;reservation_id=30676900200612", "YQQGTR495")</f>
        <v>YQQGTR495</v>
      </c>
      <c r="B3273" t="s">
        <v>10</v>
      </c>
      <c r="C3273" t="s">
        <v>20</v>
      </c>
      <c r="D3273" t="str">
        <f>HYPERLINK("https://us2.cloudbeds.com/connect/10074733072513#/reservations/30676900200612?display=Sandra%20Hall&amp;reservation_id=30676900200612&amp;guest_id=30676900200607", "Sandra Hall")</f>
        <v>Sandra Hall</v>
      </c>
      <c r="E3273" t="s">
        <v>3102</v>
      </c>
      <c r="F3273" t="s">
        <v>3103</v>
      </c>
      <c r="G3273">
        <v>208.34</v>
      </c>
      <c r="H3273">
        <v>226.46</v>
      </c>
      <c r="I3273">
        <v>226.47</v>
      </c>
      <c r="J3273">
        <v>-0.01</v>
      </c>
    </row>
    <row r="3274" spans="1:10" x14ac:dyDescent="0.3">
      <c r="A3274" t="str">
        <f>HYPERLINK("https://us2.cloudbeds.com/connect/10074733072513#/reservations/30677435998390?display=YQQUJKG8F&amp;reservation_id=30677435998390", "YQQUJKG8F")</f>
        <v>YQQUJKG8F</v>
      </c>
      <c r="B3274" t="s">
        <v>10</v>
      </c>
      <c r="C3274" t="s">
        <v>42</v>
      </c>
      <c r="D3274" t="str">
        <f>HYPERLINK("https://us2.cloudbeds.com/connect/10074733072513#/reservations/30677435998390?display=Christian%20Dellamaestra&amp;reservation_id=30677435998390&amp;guest_id=30677435998337", "Christian Dellamaestra")</f>
        <v>Christian Dellamaestra</v>
      </c>
      <c r="E3274" t="s">
        <v>3104</v>
      </c>
      <c r="F3274" t="s">
        <v>3103</v>
      </c>
      <c r="G3274">
        <v>268.2</v>
      </c>
      <c r="H3274">
        <v>291.52</v>
      </c>
      <c r="I3274">
        <v>291.52999999999997</v>
      </c>
      <c r="J3274">
        <v>-0.01</v>
      </c>
    </row>
    <row r="3275" spans="1:10" x14ac:dyDescent="0.3">
      <c r="A3275" t="str">
        <f>HYPERLINK("https://us2.cloudbeds.com/connect/10074733072513#/reservations/30677123375279?display=YQQMK09MS&amp;reservation_id=30677123375279", "YQQMK09MS")</f>
        <v>YQQMK09MS</v>
      </c>
      <c r="B3275" t="s">
        <v>10</v>
      </c>
      <c r="C3275" t="s">
        <v>11</v>
      </c>
      <c r="D3275" t="str">
        <f>HYPERLINK("https://us2.cloudbeds.com/connect/10074733072513#/reservations/30677123375279?display=Allison%20Duncan&amp;reservation_id=30677123375279&amp;guest_id=30677112283362", "Allison Duncan")</f>
        <v>Allison Duncan</v>
      </c>
      <c r="E3275" t="s">
        <v>3105</v>
      </c>
      <c r="F3275" t="s">
        <v>3101</v>
      </c>
      <c r="G3275">
        <v>104.32</v>
      </c>
      <c r="H3275">
        <v>113.39</v>
      </c>
      <c r="I3275">
        <v>113.4</v>
      </c>
      <c r="J3275">
        <v>-0.01</v>
      </c>
    </row>
    <row r="3276" spans="1:10" x14ac:dyDescent="0.3">
      <c r="A3276" t="str">
        <f>HYPERLINK("https://us2.cloudbeds.com/connect/10074733072513#/reservations/30685508640983?display=YR05SMM6J&amp;reservation_id=30685508640983", "YR05SMM6J")</f>
        <v>YR05SMM6J</v>
      </c>
      <c r="B3276" t="s">
        <v>10</v>
      </c>
      <c r="C3276" t="s">
        <v>23</v>
      </c>
      <c r="D3276" t="str">
        <f>HYPERLINK("https://us2.cloudbeds.com/connect/10074733072513#/reservations/30685508640983?display=Jodi%20Schrank&amp;reservation_id=30685508640983&amp;guest_id=30685502115968", "Jodi Schrank")</f>
        <v>Jodi Schrank</v>
      </c>
      <c r="E3276" t="s">
        <v>3106</v>
      </c>
      <c r="F3276" t="s">
        <v>3048</v>
      </c>
      <c r="G3276">
        <v>170.1</v>
      </c>
      <c r="H3276">
        <v>184.89</v>
      </c>
      <c r="I3276">
        <v>184.9</v>
      </c>
      <c r="J3276">
        <v>-0.01</v>
      </c>
    </row>
    <row r="3277" spans="1:10" x14ac:dyDescent="0.3">
      <c r="A3277" t="str">
        <f>HYPERLINK("https://us2.cloudbeds.com/connect/10074733072513#/reservations/30677363675346?display=YQQSZKWU2&amp;reservation_id=30677363675346", "YQQSZKWU2")</f>
        <v>YQQSZKWU2</v>
      </c>
      <c r="B3277" t="s">
        <v>10</v>
      </c>
      <c r="C3277" t="s">
        <v>20</v>
      </c>
      <c r="D3277" t="str">
        <f>HYPERLINK("https://us2.cloudbeds.com/connect/10074733072513#/reservations/30677363675346?display=Linfei%20Yu&amp;reservation_id=30677363675346&amp;guest_id=30677363675344", "Linfei Yu")</f>
        <v>Linfei Yu</v>
      </c>
      <c r="E3277" t="s">
        <v>3107</v>
      </c>
      <c r="F3277" t="s">
        <v>3053</v>
      </c>
      <c r="G3277">
        <v>112.24</v>
      </c>
      <c r="H3277">
        <v>121.99</v>
      </c>
      <c r="I3277">
        <v>122</v>
      </c>
      <c r="J3277">
        <v>-0.01</v>
      </c>
    </row>
    <row r="3278" spans="1:10" x14ac:dyDescent="0.3">
      <c r="A3278" t="str">
        <f>HYPERLINK("https://us2.cloudbeds.com/connect/10074733072513#/reservations/30676916797658?display=YQQHAQVTV&amp;reservation_id=30676916797658", "YQQHAQVTV")</f>
        <v>YQQHAQVTV</v>
      </c>
      <c r="B3278" t="s">
        <v>10</v>
      </c>
      <c r="C3278" t="s">
        <v>20</v>
      </c>
      <c r="D3278" t="str">
        <f>HYPERLINK("https://us2.cloudbeds.com/connect/10074733072513#/reservations/30676916797658?display=Kate%20Lindberg&amp;reservation_id=30676916797658&amp;guest_id=30676916793567", "Kate Lindberg")</f>
        <v>Kate Lindberg</v>
      </c>
      <c r="E3278" t="s">
        <v>3108</v>
      </c>
      <c r="F3278" t="s">
        <v>2812</v>
      </c>
      <c r="G3278">
        <v>254.8</v>
      </c>
      <c r="H3278">
        <v>276.95999999999998</v>
      </c>
      <c r="I3278">
        <v>276.97000000000003</v>
      </c>
      <c r="J3278">
        <v>-0.01</v>
      </c>
    </row>
    <row r="3279" spans="1:10" x14ac:dyDescent="0.3">
      <c r="A3279" t="str">
        <f>HYPERLINK("https://us2.cloudbeds.com/connect/10074733072513#/reservations/30677084168347?display=YQQYJVA00&amp;reservation_id=30677084168347", "YQQYJVA00")</f>
        <v>YQQYJVA00</v>
      </c>
      <c r="B3279" t="s">
        <v>10</v>
      </c>
      <c r="C3279" t="s">
        <v>11</v>
      </c>
      <c r="D3279" t="str">
        <f>HYPERLINK("https://us2.cloudbeds.com/connect/10074733072513#/reservations/30677084168347?display=Yan%20Ye&amp;reservation_id=30677084168347&amp;guest_id=30677084168344", "Yan Ye")</f>
        <v>Yan Ye</v>
      </c>
      <c r="E3279" t="s">
        <v>3109</v>
      </c>
      <c r="F3279" t="s">
        <v>3110</v>
      </c>
      <c r="G3279">
        <v>94.16</v>
      </c>
      <c r="H3279">
        <v>102.34</v>
      </c>
      <c r="I3279">
        <v>102.35</v>
      </c>
      <c r="J3279">
        <v>-0.01</v>
      </c>
    </row>
    <row r="3280" spans="1:10" x14ac:dyDescent="0.3">
      <c r="A3280" t="str">
        <f>HYPERLINK("https://us2.cloudbeds.com/connect/10074733072513#/reservations/30688471249025?display=YR2FXRK2S&amp;reservation_id=30688471249025", "YR2FXRK2S")</f>
        <v>YR2FXRK2S</v>
      </c>
      <c r="B3280" t="s">
        <v>10</v>
      </c>
      <c r="C3280" t="s">
        <v>11</v>
      </c>
      <c r="D3280" t="str">
        <f>HYPERLINK("https://us2.cloudbeds.com/connect/10074733072513#/reservations/30688471249025?display=Steve%20Kloos&amp;reservation_id=30688471249025&amp;guest_id=30688471244988", "Steve Kloos")</f>
        <v>Steve Kloos</v>
      </c>
      <c r="E3280" t="s">
        <v>709</v>
      </c>
      <c r="F3280" t="s">
        <v>2740</v>
      </c>
      <c r="G3280">
        <v>104.32</v>
      </c>
      <c r="H3280">
        <v>113.39</v>
      </c>
      <c r="I3280">
        <v>113.4</v>
      </c>
      <c r="J3280">
        <v>-0.01</v>
      </c>
    </row>
    <row r="3281" spans="1:10" x14ac:dyDescent="0.3">
      <c r="A3281" t="str">
        <f>HYPERLINK("https://us2.cloudbeds.com/connect/10074733072513#/reservations/30687547293824?display=YR1ZVZ2M7&amp;reservation_id=30687547293824", "YR1ZVZ2M7")</f>
        <v>YR1ZVZ2M7</v>
      </c>
      <c r="B3281" t="s">
        <v>10</v>
      </c>
      <c r="C3281" t="s">
        <v>42</v>
      </c>
      <c r="D3281" t="str">
        <f>HYPERLINK("https://us2.cloudbeds.com/connect/10074733072513#/reservations/30687547293824?display=Tara%20Mcgovern&amp;reservation_id=30687547293824&amp;guest_id=30687547289740", "Tara Mcgovern")</f>
        <v>Tara Mcgovern</v>
      </c>
      <c r="E3281" t="s">
        <v>3111</v>
      </c>
      <c r="F3281" t="s">
        <v>2840</v>
      </c>
      <c r="G3281">
        <v>736</v>
      </c>
      <c r="H3281">
        <v>800.02</v>
      </c>
      <c r="I3281">
        <v>800.03</v>
      </c>
      <c r="J3281">
        <v>-0.01</v>
      </c>
    </row>
    <row r="3282" spans="1:10" x14ac:dyDescent="0.3">
      <c r="A3282" t="str">
        <f>HYPERLINK("https://us2.cloudbeds.com/connect/10074733072513#/reservations/30688437018752?display=YR2EG06WD&amp;reservation_id=30688437018752", "YR2EG06WD")</f>
        <v>YR2EG06WD</v>
      </c>
      <c r="B3282" t="s">
        <v>10</v>
      </c>
      <c r="C3282" t="s">
        <v>42</v>
      </c>
      <c r="D3282" t="str">
        <f>HYPERLINK("https://us2.cloudbeds.com/connect/10074733072513#/reservations/30688437018752?display=Jim%20Jeffers&amp;reservation_id=30688437018752&amp;guest_id=30688428753136", "Jim Jeffers")</f>
        <v>Jim Jeffers</v>
      </c>
      <c r="E3282" t="s">
        <v>3112</v>
      </c>
      <c r="F3282" t="s">
        <v>2740</v>
      </c>
      <c r="G3282">
        <v>134.1</v>
      </c>
      <c r="H3282">
        <v>145.76</v>
      </c>
      <c r="I3282">
        <v>145.77000000000001</v>
      </c>
      <c r="J3282">
        <v>-0.01</v>
      </c>
    </row>
    <row r="3283" spans="1:10" x14ac:dyDescent="0.3">
      <c r="A3283" t="str">
        <f>HYPERLINK("https://us2.cloudbeds.com/connect/10074733072513#/reservations/30676929814682?display=YQQHYQ637&amp;reservation_id=30676929814682", "YQQHYQ637")</f>
        <v>YQQHYQ637</v>
      </c>
      <c r="B3283" t="s">
        <v>10</v>
      </c>
      <c r="C3283" t="s">
        <v>11</v>
      </c>
      <c r="D3283" t="str">
        <f>HYPERLINK("https://us2.cloudbeds.com/connect/10074733072513#/reservations/30676929814682?display=Chloette%20Mccutcheon&amp;reservation_id=30676929814682&amp;guest_id=30676929814677", "Chloette Mccutcheon")</f>
        <v>Chloette Mccutcheon</v>
      </c>
      <c r="E3283" t="s">
        <v>3113</v>
      </c>
      <c r="F3283" t="s">
        <v>2812</v>
      </c>
      <c r="G3283">
        <v>94.16</v>
      </c>
      <c r="H3283">
        <v>102.34</v>
      </c>
      <c r="I3283">
        <v>102.35</v>
      </c>
      <c r="J3283">
        <v>-0.01</v>
      </c>
    </row>
    <row r="3284" spans="1:10" x14ac:dyDescent="0.3">
      <c r="A3284" t="str">
        <f>HYPERLINK("https://us2.cloudbeds.com/connect/10074733072513#/reservations/30685234651276?display=YQWVSYGM6&amp;reservation_id=30685234651276", "YQWVSYGM6")</f>
        <v>YQWVSYGM6</v>
      </c>
      <c r="B3284" t="s">
        <v>10</v>
      </c>
      <c r="C3284" t="s">
        <v>42</v>
      </c>
      <c r="D3284" t="str">
        <f>HYPERLINK("https://us2.cloudbeds.com/connect/10074733072513#/reservations/30685234651276?display=Tim%20Schwasinger&amp;reservation_id=30685234651276&amp;guest_id=30685234651271", "Tim Schwasinger")</f>
        <v>Tim Schwasinger</v>
      </c>
      <c r="E3284" t="s">
        <v>3114</v>
      </c>
      <c r="F3284" t="s">
        <v>2581</v>
      </c>
      <c r="G3284">
        <v>270.2</v>
      </c>
      <c r="H3284">
        <v>293.7</v>
      </c>
      <c r="I3284">
        <v>293.70999999999998</v>
      </c>
      <c r="J3284">
        <v>-0.01</v>
      </c>
    </row>
    <row r="3285" spans="1:10" x14ac:dyDescent="0.3">
      <c r="A3285" t="str">
        <f>HYPERLINK("https://us2.cloudbeds.com/connect/10074733072513#/reservations/30676647006387?display=YQQAEAKMS&amp;reservation_id=30676647006387", "YQQAEAKMS")</f>
        <v>YQQAEAKMS</v>
      </c>
      <c r="B3285" t="s">
        <v>10</v>
      </c>
      <c r="C3285" t="s">
        <v>20</v>
      </c>
      <c r="D3285" t="str">
        <f>HYPERLINK("https://us2.cloudbeds.com/connect/10074733072513#/reservations/30676647006387?display=Timothy%20Russell&amp;reservation_id=30676647006387&amp;guest_id=30676634038499", "Timothy Russell")</f>
        <v>Timothy Russell</v>
      </c>
      <c r="E3285" t="s">
        <v>3115</v>
      </c>
      <c r="F3285" t="s">
        <v>3116</v>
      </c>
      <c r="G3285">
        <v>120.32</v>
      </c>
      <c r="H3285">
        <v>130.78</v>
      </c>
      <c r="I3285">
        <v>130.79</v>
      </c>
      <c r="J3285">
        <v>-0.01</v>
      </c>
    </row>
    <row r="3286" spans="1:10" x14ac:dyDescent="0.3">
      <c r="A3286" t="str">
        <f>HYPERLINK("https://us2.cloudbeds.com/connect/10074733072513#/reservations/30676808732830?display=YQQEXMTR6&amp;reservation_id=30676808732830", "YQQEXMTR6")</f>
        <v>YQQEXMTR6</v>
      </c>
      <c r="B3286" t="s">
        <v>10</v>
      </c>
      <c r="C3286" t="s">
        <v>42</v>
      </c>
      <c r="D3286" t="str">
        <f>HYPERLINK("https://us2.cloudbeds.com/connect/10074733072513#/reservations/30676808732830?display=Gary%20Wellm&amp;reservation_id=30676808732830&amp;guest_id=30676808732828", "Gary Wellm")</f>
        <v>Gary Wellm</v>
      </c>
      <c r="E3286" t="s">
        <v>3117</v>
      </c>
      <c r="F3286" t="s">
        <v>2851</v>
      </c>
      <c r="G3286">
        <v>134.1</v>
      </c>
      <c r="H3286">
        <v>145.76</v>
      </c>
      <c r="I3286">
        <v>145.77000000000001</v>
      </c>
      <c r="J3286">
        <v>-0.01</v>
      </c>
    </row>
    <row r="3287" spans="1:10" x14ac:dyDescent="0.3">
      <c r="A3287" t="str">
        <f>HYPERLINK("https://us2.cloudbeds.com/connect/10074733072513#/reservations/30688135585936?display=YR26WQ9H1&amp;reservation_id=30688135585936", "YR26WQ9H1")</f>
        <v>YR26WQ9H1</v>
      </c>
      <c r="B3287" t="s">
        <v>10</v>
      </c>
      <c r="C3287" t="s">
        <v>14</v>
      </c>
      <c r="D3287" t="str">
        <f>HYPERLINK("https://us2.cloudbeds.com/connect/10074733072513#/reservations/30688135585936?display=Meagan%20Schaeffer&amp;reservation_id=30688135585936&amp;guest_id=30688135581848", "Meagan Schaeffer")</f>
        <v>Meagan Schaeffer</v>
      </c>
      <c r="E3287" t="s">
        <v>3118</v>
      </c>
      <c r="F3287" t="s">
        <v>2857</v>
      </c>
      <c r="G3287">
        <v>555.29999999999995</v>
      </c>
      <c r="H3287">
        <v>603.6</v>
      </c>
      <c r="I3287">
        <v>603.61</v>
      </c>
      <c r="J3287">
        <v>-0.01</v>
      </c>
    </row>
    <row r="3288" spans="1:10" x14ac:dyDescent="0.3">
      <c r="A3288" t="str">
        <f>HYPERLINK("https://us2.cloudbeds.com/connect/10074733072513#/reservations/30676883402956?display=YQQGFYNE8&amp;reservation_id=30676883402956", "YQQGFYNE8")</f>
        <v>YQQGFYNE8</v>
      </c>
      <c r="B3288" t="s">
        <v>10</v>
      </c>
      <c r="C3288" t="s">
        <v>20</v>
      </c>
      <c r="D3288" t="str">
        <f>HYPERLINK("https://us2.cloudbeds.com/connect/10074733072513#/reservations/30676883402956?display=Eugene%20Delorme&amp;reservation_id=30676883402956&amp;guest_id=30676878037242", "Eugene Delorme")</f>
        <v>Eugene Delorme</v>
      </c>
      <c r="E3288" t="s">
        <v>3119</v>
      </c>
      <c r="F3288" t="s">
        <v>2717</v>
      </c>
      <c r="G3288">
        <v>120.32</v>
      </c>
      <c r="H3288">
        <v>130.78</v>
      </c>
      <c r="I3288">
        <v>130.79</v>
      </c>
      <c r="J3288">
        <v>-0.01</v>
      </c>
    </row>
    <row r="3289" spans="1:10" x14ac:dyDescent="0.3">
      <c r="A3289" t="str">
        <f>HYPERLINK("https://us2.cloudbeds.com/connect/10074733072513#/reservations/30677266223234?display=YQQQ8F86P&amp;reservation_id=30677266223234", "YQQQ8F86P")</f>
        <v>YQQQ8F86P</v>
      </c>
      <c r="B3289" t="s">
        <v>10</v>
      </c>
      <c r="C3289" t="s">
        <v>42</v>
      </c>
      <c r="D3289" t="str">
        <f>HYPERLINK("https://us2.cloudbeds.com/connect/10074733072513#/reservations/30677266223234?display=Audie%20Murry&amp;reservation_id=30677266223234&amp;guest_id=30677255962849", "Audie Murry")</f>
        <v>Audie Murry</v>
      </c>
      <c r="E3289" t="s">
        <v>3120</v>
      </c>
      <c r="F3289" t="s">
        <v>2924</v>
      </c>
      <c r="G3289">
        <v>250.2</v>
      </c>
      <c r="H3289">
        <v>271.95999999999998</v>
      </c>
      <c r="I3289">
        <v>271.97000000000003</v>
      </c>
      <c r="J3289">
        <v>-0.01</v>
      </c>
    </row>
    <row r="3290" spans="1:10" x14ac:dyDescent="0.3">
      <c r="A3290" t="str">
        <f>HYPERLINK("https://us2.cloudbeds.com/connect/10074733072513#/reservations/30687595909306?display=YR1Q6NWMR&amp;reservation_id=30687595909306", "YR1Q6NWMR")</f>
        <v>YR1Q6NWMR</v>
      </c>
      <c r="B3290" t="s">
        <v>10</v>
      </c>
      <c r="C3290" t="s">
        <v>20</v>
      </c>
      <c r="D3290" t="str">
        <f>HYPERLINK("https://us2.cloudbeds.com/connect/10074733072513#/reservations/30687595909306?display=Janel%20Finnigan&amp;reservation_id=30687595909306&amp;guest_id=30687589200098", "Janel Finnigan")</f>
        <v>Janel Finnigan</v>
      </c>
      <c r="E3290" t="s">
        <v>3121</v>
      </c>
      <c r="F3290" t="s">
        <v>2893</v>
      </c>
      <c r="G3290">
        <v>170.1</v>
      </c>
      <c r="H3290">
        <v>184.89</v>
      </c>
      <c r="I3290">
        <v>184.9</v>
      </c>
      <c r="J3290">
        <v>-0.01</v>
      </c>
    </row>
    <row r="3291" spans="1:10" x14ac:dyDescent="0.3">
      <c r="A3291" t="str">
        <f>HYPERLINK("https://us2.cloudbeds.com/connect/10074733072513#/reservations/30677293768834?display=YQQQVMZJT&amp;reservation_id=30677293768834", "YQQQVMZJT")</f>
        <v>YQQQVMZJT</v>
      </c>
      <c r="B3291" t="s">
        <v>10</v>
      </c>
      <c r="C3291" t="s">
        <v>20</v>
      </c>
      <c r="D3291" t="str">
        <f>HYPERLINK("https://us2.cloudbeds.com/connect/10074733072513#/reservations/30677293768834?display=Vincil%20Stockdale&amp;reservation_id=30677293768834&amp;guest_id=30677293764790", "Vincil Stockdale")</f>
        <v>Vincil Stockdale</v>
      </c>
      <c r="E3291" t="s">
        <v>3125</v>
      </c>
      <c r="F3291" t="s">
        <v>2924</v>
      </c>
      <c r="G3291">
        <v>112.24</v>
      </c>
      <c r="H3291">
        <v>121.99</v>
      </c>
      <c r="I3291">
        <v>122</v>
      </c>
      <c r="J3291">
        <v>-0.01</v>
      </c>
    </row>
    <row r="3292" spans="1:10" x14ac:dyDescent="0.3">
      <c r="A3292" t="str">
        <f>HYPERLINK("https://us2.cloudbeds.com/connect/10074733072513#/reservations/30676629143753?display=YQQ9W8XTV&amp;reservation_id=30676629143753", "YQQ9W8XTV")</f>
        <v>YQQ9W8XTV</v>
      </c>
      <c r="B3292" t="s">
        <v>10</v>
      </c>
      <c r="C3292" t="s">
        <v>121</v>
      </c>
      <c r="D3292" t="str">
        <f>HYPERLINK("https://us2.cloudbeds.com/connect/10074733072513#/reservations/30676629143753?display=Thomas%20Baker&amp;reservation_id=30676629143753&amp;guest_id=30676629139709", "Thomas Baker")</f>
        <v>Thomas Baker</v>
      </c>
      <c r="E3292" t="s">
        <v>3126</v>
      </c>
      <c r="F3292" t="s">
        <v>3127</v>
      </c>
      <c r="G3292">
        <v>375.3</v>
      </c>
      <c r="H3292">
        <v>407.94</v>
      </c>
      <c r="I3292">
        <v>407.95</v>
      </c>
      <c r="J3292">
        <v>-0.01</v>
      </c>
    </row>
    <row r="3293" spans="1:10" x14ac:dyDescent="0.3">
      <c r="A3293" t="str">
        <f>HYPERLINK("https://us2.cloudbeds.com/connect/10074733072513#/reservations/30676575449309?display=YQQ8JWENJ&amp;reservation_id=30676575449309", "YQQ8JWENJ")</f>
        <v>YQQ8JWENJ</v>
      </c>
      <c r="B3293" t="s">
        <v>10</v>
      </c>
      <c r="C3293" t="s">
        <v>20</v>
      </c>
      <c r="D3293" t="str">
        <f>HYPERLINK("https://us2.cloudbeds.com/connect/10074733072513#/reservations/30676575449309?display=Sarah%20Mccreight&amp;reservation_id=30676575449309&amp;guest_id=30676575449304", "Sarah Mccreight")</f>
        <v>Sarah Mccreight</v>
      </c>
      <c r="E3293" t="s">
        <v>3129</v>
      </c>
      <c r="F3293" t="s">
        <v>3127</v>
      </c>
      <c r="G3293">
        <v>112.24</v>
      </c>
      <c r="H3293">
        <v>121.99</v>
      </c>
      <c r="I3293">
        <v>122</v>
      </c>
      <c r="J3293">
        <v>-0.01</v>
      </c>
    </row>
    <row r="3294" spans="1:10" x14ac:dyDescent="0.3">
      <c r="A3294" t="str">
        <f>HYPERLINK("https://us2.cloudbeds.com/connect/10074733072513#/reservations/30688409161880?display=YR2DWFV37&amp;reservation_id=30688409161880", "YR2DWFV37")</f>
        <v>YR2DWFV37</v>
      </c>
      <c r="B3294" t="s">
        <v>10</v>
      </c>
      <c r="C3294" t="s">
        <v>11</v>
      </c>
      <c r="D3294" t="str">
        <f>HYPERLINK("https://us2.cloudbeds.com/connect/10074733072513#/reservations/30688409161880?display=Gary%20Ward&amp;reservation_id=30688409161880&amp;guest_id=30688409161877", "Gary Ward")</f>
        <v>Gary Ward</v>
      </c>
      <c r="E3294" t="s">
        <v>3130</v>
      </c>
      <c r="F3294" t="s">
        <v>3131</v>
      </c>
      <c r="G3294">
        <v>152.15</v>
      </c>
      <c r="H3294">
        <v>165.38</v>
      </c>
      <c r="I3294">
        <v>165.39</v>
      </c>
      <c r="J3294">
        <v>-0.01</v>
      </c>
    </row>
    <row r="3295" spans="1:10" x14ac:dyDescent="0.3">
      <c r="A3295" t="str">
        <f>HYPERLINK("https://us2.cloudbeds.com/connect/10074733072513#/reservations/30676745421015?display=YQQCVA58B&amp;reservation_id=30676745421015", "YQQCVA58B")</f>
        <v>YQQCVA58B</v>
      </c>
      <c r="B3295" t="s">
        <v>10</v>
      </c>
      <c r="C3295" t="s">
        <v>20</v>
      </c>
      <c r="D3295" t="str">
        <f>HYPERLINK("https://us2.cloudbeds.com/connect/10074733072513#/reservations/30676745421015?display=Sandra%20Holmes&amp;reservation_id=30676745421015&amp;guest_id=30676745421010", "Sandra Holmes")</f>
        <v>Sandra Holmes</v>
      </c>
      <c r="E3295" t="s">
        <v>3132</v>
      </c>
      <c r="F3295" t="s">
        <v>3110</v>
      </c>
      <c r="G3295">
        <v>112.24</v>
      </c>
      <c r="H3295">
        <v>121.99</v>
      </c>
      <c r="I3295">
        <v>122</v>
      </c>
      <c r="J3295">
        <v>-0.01</v>
      </c>
    </row>
    <row r="3296" spans="1:10" x14ac:dyDescent="0.3">
      <c r="A3296" t="str">
        <f>HYPERLINK("https://us2.cloudbeds.com/connect/10074733072513#/reservations/30676625051813?display=YQQ9SQNCP&amp;reservation_id=30676625051813", "YQQ9SQNCP")</f>
        <v>YQQ9SQNCP</v>
      </c>
      <c r="B3296" t="s">
        <v>10</v>
      </c>
      <c r="C3296" t="s">
        <v>121</v>
      </c>
      <c r="D3296" t="str">
        <f>HYPERLINK("https://us2.cloudbeds.com/connect/10074733072513#/reservations/30676625051813?display=Andrew%20Cotton&amp;reservation_id=30676625051813&amp;guest_id=30676616007880", "Andrew Cotton")</f>
        <v>Andrew Cotton</v>
      </c>
      <c r="E3296" t="s">
        <v>3133</v>
      </c>
      <c r="F3296" t="s">
        <v>3127</v>
      </c>
      <c r="G3296">
        <v>375.3</v>
      </c>
      <c r="H3296">
        <v>407.94</v>
      </c>
      <c r="I3296">
        <v>407.95</v>
      </c>
      <c r="J3296">
        <v>-0.01</v>
      </c>
    </row>
    <row r="3297" spans="1:10" x14ac:dyDescent="0.3">
      <c r="A3297" t="str">
        <f>HYPERLINK("https://us2.cloudbeds.com/connect/10074733072513#/reservations/30688539492535?display=YR2HACJA0&amp;reservation_id=30688539492535", "YR2HACJA0")</f>
        <v>YR2HACJA0</v>
      </c>
      <c r="B3297" t="s">
        <v>10</v>
      </c>
      <c r="C3297" t="s">
        <v>20</v>
      </c>
      <c r="D3297" t="str">
        <f>HYPERLINK("https://us2.cloudbeds.com/connect/10074733072513#/reservations/30688539492535?display=Matthew%20Jansen&amp;reservation_id=30688539492535&amp;guest_id=30688539492530", "Matthew Jansen")</f>
        <v>Matthew Jansen</v>
      </c>
      <c r="E3297" t="s">
        <v>3134</v>
      </c>
      <c r="F3297" t="s">
        <v>3135</v>
      </c>
      <c r="G3297">
        <v>120.32</v>
      </c>
      <c r="H3297">
        <v>130.78</v>
      </c>
      <c r="I3297">
        <v>130.79</v>
      </c>
      <c r="J3297">
        <v>-0.01</v>
      </c>
    </row>
    <row r="3298" spans="1:10" x14ac:dyDescent="0.3">
      <c r="A3298" t="str">
        <f>HYPERLINK("https://us2.cloudbeds.com/connect/10074733072513#/reservations/30676661821569?display=YQQAQQT2Q&amp;reservation_id=30676661821569", "YQQAQQT2Q")</f>
        <v>YQQAQQT2Q</v>
      </c>
      <c r="B3298" t="s">
        <v>10</v>
      </c>
      <c r="C3298" t="s">
        <v>11</v>
      </c>
      <c r="D3298" t="str">
        <f>HYPERLINK("https://us2.cloudbeds.com/connect/10074733072513#/reservations/30676661821569?display=Brandy%20Hanna&amp;reservation_id=30676661821569&amp;guest_id=30676655415513", "Brandy Hanna")</f>
        <v>Brandy Hanna</v>
      </c>
      <c r="E3298" t="s">
        <v>3137</v>
      </c>
      <c r="F3298" t="s">
        <v>3116</v>
      </c>
      <c r="G3298">
        <v>120.2</v>
      </c>
      <c r="H3298">
        <v>130.65</v>
      </c>
      <c r="I3298">
        <v>130.66</v>
      </c>
      <c r="J3298">
        <v>-0.01</v>
      </c>
    </row>
    <row r="3299" spans="1:10" x14ac:dyDescent="0.3">
      <c r="A3299" t="str">
        <f>HYPERLINK("https://us2.cloudbeds.com/connect/10074733072513#/reservations/30676707025058?display=YQQBVUZ8F&amp;reservation_id=30676707025058", "YQQBVUZ8F")</f>
        <v>YQQBVUZ8F</v>
      </c>
      <c r="B3299" t="s">
        <v>10</v>
      </c>
      <c r="C3299" t="s">
        <v>11</v>
      </c>
      <c r="D3299" t="str">
        <f>HYPERLINK("https://us2.cloudbeds.com/connect/10074733072513#/reservations/30676707025058?display=Robert%20Farley&amp;reservation_id=30676707025058&amp;guest_id=30676700733653", "Robert Farley")</f>
        <v>Robert Farley</v>
      </c>
      <c r="E3299" t="s">
        <v>3138</v>
      </c>
      <c r="F3299" t="s">
        <v>3116</v>
      </c>
      <c r="G3299">
        <v>104.32</v>
      </c>
      <c r="H3299">
        <v>113.39</v>
      </c>
      <c r="I3299">
        <v>113.4</v>
      </c>
      <c r="J3299">
        <v>-0.01</v>
      </c>
    </row>
    <row r="3300" spans="1:10" x14ac:dyDescent="0.3">
      <c r="A3300" t="str">
        <f>HYPERLINK("https://us2.cloudbeds.com/connect/10074733072513#/reservations/30676978983113?display=YQQXU8C5M&amp;reservation_id=30676978983113", "YQQXU8C5M")</f>
        <v>YQQXU8C5M</v>
      </c>
      <c r="B3300" t="s">
        <v>10</v>
      </c>
      <c r="C3300" t="s">
        <v>11</v>
      </c>
      <c r="D3300" t="str">
        <f>HYPERLINK("https://us2.cloudbeds.com/connect/10074733072513#/reservations/30676978983113?display=Steven%20Erickson&amp;reservation_id=30676978983113&amp;guest_id=30676978979032", "Steven Erickson")</f>
        <v>Steven Erickson</v>
      </c>
      <c r="E3300" t="s">
        <v>3139</v>
      </c>
      <c r="F3300" t="s">
        <v>2717</v>
      </c>
      <c r="G3300">
        <v>118.15</v>
      </c>
      <c r="H3300">
        <v>128.41999999999999</v>
      </c>
      <c r="I3300">
        <v>128.43</v>
      </c>
      <c r="J3300">
        <v>-0.01</v>
      </c>
    </row>
    <row r="3301" spans="1:10" x14ac:dyDescent="0.3">
      <c r="A3301" t="str">
        <f>HYPERLINK("https://us2.cloudbeds.com/connect/10074733072513#/reservations/30687886119085?display=YR20KEGMX&amp;reservation_id=30687886119085", "YR20KEGMX")</f>
        <v>YR20KEGMX</v>
      </c>
      <c r="B3301" t="s">
        <v>10</v>
      </c>
      <c r="C3301" t="s">
        <v>42</v>
      </c>
      <c r="D3301" t="str">
        <f>HYPERLINK("https://us2.cloudbeds.com/connect/10074733072513#/reservations/30687886119085?display=Melody%20Stiefel&amp;reservation_id=30687886119085&amp;guest_id=30660853453042", "Melody Stiefel")</f>
        <v>Melody Stiefel</v>
      </c>
      <c r="E3301" t="s">
        <v>606</v>
      </c>
      <c r="F3301" t="s">
        <v>2840</v>
      </c>
      <c r="G3301">
        <v>608.4</v>
      </c>
      <c r="H3301">
        <v>661.32</v>
      </c>
      <c r="I3301">
        <v>661.33</v>
      </c>
      <c r="J3301">
        <v>-0.01</v>
      </c>
    </row>
    <row r="3302" spans="1:10" x14ac:dyDescent="0.3">
      <c r="A3302" t="str">
        <f>HYPERLINK("https://us2.cloudbeds.com/connect/10074733072513#/reservations/30676792234131?display=YQQE4PQGK&amp;reservation_id=30676792234131", "YQQE4PQGK")</f>
        <v>YQQE4PQGK</v>
      </c>
      <c r="B3302" t="s">
        <v>10</v>
      </c>
      <c r="C3302" t="s">
        <v>11</v>
      </c>
      <c r="D3302" t="str">
        <f>HYPERLINK("https://us2.cloudbeds.com/connect/10074733072513#/reservations/30676792234131?display=Rebecca%20Ann%20Dodds&amp;reservation_id=30676792234131&amp;guest_id=30676792230041", "Rebecca Ann Dodds")</f>
        <v>Rebecca Ann Dodds</v>
      </c>
      <c r="E3302" t="s">
        <v>3142</v>
      </c>
      <c r="F3302" t="s">
        <v>2717</v>
      </c>
      <c r="G3302">
        <v>104.32</v>
      </c>
      <c r="H3302">
        <v>113.39</v>
      </c>
      <c r="I3302">
        <v>113.4</v>
      </c>
      <c r="J3302">
        <v>-0.01</v>
      </c>
    </row>
    <row r="3303" spans="1:10" x14ac:dyDescent="0.3">
      <c r="A3303" t="str">
        <f>HYPERLINK("https://us2.cloudbeds.com/connect/10074733072513#/reservations/30676773601410?display=YQQDM2AXN&amp;reservation_id=30676773601410", "YQQDM2AXN")</f>
        <v>YQQDM2AXN</v>
      </c>
      <c r="B3303" t="s">
        <v>10</v>
      </c>
      <c r="C3303" t="s">
        <v>14</v>
      </c>
      <c r="D3303" t="str">
        <f>HYPERLINK("https://us2.cloudbeds.com/connect/10074733072513#/reservations/30676773601410?display=Thomas%20Casey&amp;reservation_id=30676773601410&amp;guest_id=30676763406551", "Thomas Casey")</f>
        <v>Thomas Casey</v>
      </c>
      <c r="E3303" t="s">
        <v>3143</v>
      </c>
      <c r="F3303" t="s">
        <v>2717</v>
      </c>
      <c r="G3303">
        <v>120.2</v>
      </c>
      <c r="H3303">
        <v>130.65</v>
      </c>
      <c r="I3303">
        <v>130.66</v>
      </c>
      <c r="J3303">
        <v>-0.01</v>
      </c>
    </row>
    <row r="3304" spans="1:10" x14ac:dyDescent="0.3">
      <c r="A3304" t="str">
        <f>HYPERLINK("https://us2.cloudbeds.com/connect/10074733072513#/reservations/30676460617861?display=YQQ5M530Z&amp;reservation_id=30676460617861", "YQQ5M530Z")</f>
        <v>YQQ5M530Z</v>
      </c>
      <c r="B3304" t="s">
        <v>10</v>
      </c>
      <c r="C3304" t="s">
        <v>20</v>
      </c>
      <c r="D3304" t="str">
        <f>HYPERLINK("https://us2.cloudbeds.com/connect/10074733072513#/reservations/30676460617861?display=Mackenzie%20Smith&amp;reservation_id=30676460617861&amp;guest_id=30676455653539", "Mackenzie Smith")</f>
        <v>Mackenzie Smith</v>
      </c>
      <c r="E3304" t="s">
        <v>3144</v>
      </c>
      <c r="F3304" t="s">
        <v>3015</v>
      </c>
      <c r="G3304">
        <v>120.32</v>
      </c>
      <c r="H3304">
        <v>130.78</v>
      </c>
      <c r="I3304">
        <v>130.79</v>
      </c>
      <c r="J3304">
        <v>-0.01</v>
      </c>
    </row>
    <row r="3305" spans="1:10" x14ac:dyDescent="0.3">
      <c r="A3305" t="str">
        <f>HYPERLINK("https://us2.cloudbeds.com/connect/10074733072513#/reservations/30674747035779?display=YQZRT74ZW&amp;reservation_id=30674747035779", "YQZRT74ZW")</f>
        <v>YQZRT74ZW</v>
      </c>
      <c r="B3305" t="s">
        <v>10</v>
      </c>
      <c r="C3305" t="s">
        <v>20</v>
      </c>
      <c r="D3305" t="str">
        <f>HYPERLINK("https://us2.cloudbeds.com/connect/10074733072513#/reservations/30674747035779?display=Carla%20Lien&amp;reservation_id=30674747035779&amp;guest_id=30674747031698", "Carla Lien")</f>
        <v>Carla Lien</v>
      </c>
      <c r="E3305" t="s">
        <v>3145</v>
      </c>
      <c r="F3305" t="s">
        <v>3015</v>
      </c>
      <c r="G3305">
        <v>112.24</v>
      </c>
      <c r="H3305">
        <v>121.99</v>
      </c>
      <c r="I3305">
        <v>122</v>
      </c>
      <c r="J3305">
        <v>-0.01</v>
      </c>
    </row>
    <row r="3306" spans="1:10" x14ac:dyDescent="0.3">
      <c r="A3306" t="str">
        <f>HYPERLINK("https://us2.cloudbeds.com/connect/10074733072513#/reservations/30676757926101?display=YQQD8S4BB&amp;reservation_id=30676757926101", "YQQD8S4BB")</f>
        <v>YQQD8S4BB</v>
      </c>
      <c r="B3306" t="s">
        <v>10</v>
      </c>
      <c r="C3306" t="s">
        <v>14</v>
      </c>
      <c r="D3306" t="str">
        <f>HYPERLINK("https://us2.cloudbeds.com/connect/10074733072513#/reservations/30676757926101?display=Bill%20Ckark&amp;reservation_id=30676757926101&amp;guest_id=30676757926099", "Bill Ckark")</f>
        <v>Bill Ckark</v>
      </c>
      <c r="E3306" t="s">
        <v>3146</v>
      </c>
      <c r="F3306" t="s">
        <v>3147</v>
      </c>
      <c r="G3306">
        <v>106.77</v>
      </c>
      <c r="H3306">
        <v>116.05</v>
      </c>
      <c r="I3306">
        <v>116.06</v>
      </c>
      <c r="J3306">
        <v>-0.01</v>
      </c>
    </row>
    <row r="3307" spans="1:10" x14ac:dyDescent="0.3">
      <c r="A3307" t="str">
        <f>HYPERLINK("https://us2.cloudbeds.com/connect/10074733072513#/reservations/30676455649449?display=YQQ5HVRYQ&amp;reservation_id=30676455649449", "YQQ5HVRYQ")</f>
        <v>YQQ5HVRYQ</v>
      </c>
      <c r="B3307" t="s">
        <v>10</v>
      </c>
      <c r="C3307" t="s">
        <v>121</v>
      </c>
      <c r="D3307" t="str">
        <f>HYPERLINK("https://us2.cloudbeds.com/connect/10074733072513#/reservations/30676455649449?display=Kristen%20Brus&amp;reservation_id=30676455649449&amp;guest_id=30676446986449", "Kristen Brus")</f>
        <v>Kristen Brus</v>
      </c>
      <c r="E3307" t="s">
        <v>3148</v>
      </c>
      <c r="F3307" t="s">
        <v>3015</v>
      </c>
      <c r="G3307">
        <v>134.1</v>
      </c>
      <c r="H3307">
        <v>145.76</v>
      </c>
      <c r="I3307">
        <v>145.77000000000001</v>
      </c>
      <c r="J3307">
        <v>-0.01</v>
      </c>
    </row>
    <row r="3308" spans="1:10" x14ac:dyDescent="0.3">
      <c r="A3308" t="str">
        <f>HYPERLINK("https://us2.cloudbeds.com/connect/10074733072513#/reservations/30676734656687?display=YQQCM7KYJ&amp;reservation_id=30676734656687", "YQQCM7KYJ")</f>
        <v>YQQCM7KYJ</v>
      </c>
      <c r="B3308" t="s">
        <v>10</v>
      </c>
      <c r="C3308" t="s">
        <v>20</v>
      </c>
      <c r="D3308" t="str">
        <f>HYPERLINK("https://us2.cloudbeds.com/connect/10074733072513#/reservations/30676734656687?display=Jessyca%20Klotz&amp;reservation_id=30676734656687&amp;guest_id=30676734656682", "Jessyca Klotz")</f>
        <v>Jessyca Klotz</v>
      </c>
      <c r="E3308" t="s">
        <v>3149</v>
      </c>
      <c r="F3308" t="s">
        <v>3147</v>
      </c>
      <c r="G3308">
        <v>112.24</v>
      </c>
      <c r="H3308">
        <v>121.99</v>
      </c>
      <c r="I3308">
        <v>122</v>
      </c>
      <c r="J3308">
        <v>-0.01</v>
      </c>
    </row>
    <row r="3309" spans="1:10" x14ac:dyDescent="0.3">
      <c r="A3309" t="str">
        <f>HYPERLINK("https://us2.cloudbeds.com/connect/10074733072513#/reservations/30676409381109?display=YQQ4BVBYS&amp;reservation_id=30676409381109", "YQQ4BVBYS")</f>
        <v>YQQ4BVBYS</v>
      </c>
      <c r="B3309" t="s">
        <v>10</v>
      </c>
      <c r="C3309" t="s">
        <v>20</v>
      </c>
      <c r="D3309" t="str">
        <f>HYPERLINK("https://us2.cloudbeds.com/connect/10074733072513#/reservations/30676409381109?display=Constance%20Patterson&amp;reservation_id=30676409381109&amp;guest_id=30676409381104", "Constance Patterson")</f>
        <v>Constance Patterson</v>
      </c>
      <c r="E3309" t="s">
        <v>3151</v>
      </c>
      <c r="F3309" t="s">
        <v>3147</v>
      </c>
      <c r="G3309">
        <v>110.3</v>
      </c>
      <c r="H3309">
        <v>119.89</v>
      </c>
      <c r="I3309">
        <v>119.9</v>
      </c>
      <c r="J3309">
        <v>-0.01</v>
      </c>
    </row>
    <row r="3310" spans="1:10" x14ac:dyDescent="0.3">
      <c r="A3310" t="str">
        <f>HYPERLINK("https://us2.cloudbeds.com/connect/10074733072513#/reservations/30688519090394?display=YR2GQ5SX9&amp;reservation_id=30688519090394", "YR2GQ5SX9")</f>
        <v>YR2GQ5SX9</v>
      </c>
      <c r="B3310" t="s">
        <v>10</v>
      </c>
      <c r="C3310" t="s">
        <v>17</v>
      </c>
      <c r="D3310" t="str">
        <f>HYPERLINK("https://us2.cloudbeds.com/connect/10074733072513#/reservations/30688519090394?display=Linda%20Gilligan&amp;reservation_id=30688519090394&amp;guest_id=30688519090390", "Linda Gilligan")</f>
        <v>Linda Gilligan</v>
      </c>
      <c r="E3310" t="s">
        <v>3152</v>
      </c>
      <c r="F3310" t="s">
        <v>3135</v>
      </c>
      <c r="G3310">
        <v>268.2</v>
      </c>
      <c r="H3310">
        <v>291.52</v>
      </c>
      <c r="I3310">
        <v>291.52999999999997</v>
      </c>
      <c r="J3310">
        <v>-0.01</v>
      </c>
    </row>
    <row r="3311" spans="1:10" x14ac:dyDescent="0.3">
      <c r="A3311" t="str">
        <f>HYPERLINK("https://us2.cloudbeds.com/connect/10074733072513#/reservations/30688369955010?display=YR2CWDVF7&amp;reservation_id=30688369955010", "YR2CWDVF7")</f>
        <v>YR2CWDVF7</v>
      </c>
      <c r="B3311" t="s">
        <v>10</v>
      </c>
      <c r="C3311" t="s">
        <v>20</v>
      </c>
      <c r="D3311" t="str">
        <f>HYPERLINK("https://us2.cloudbeds.com/connect/10074733072513#/reservations/30688369955010?display=Lee%20Seunghyeon&amp;reservation_id=30688369955010&amp;guest_id=30688361218223", "Lee Seunghyeon")</f>
        <v>Lee Seunghyeon</v>
      </c>
      <c r="E3311" t="s">
        <v>3153</v>
      </c>
      <c r="F3311" t="s">
        <v>3154</v>
      </c>
      <c r="G3311">
        <v>169.15</v>
      </c>
      <c r="H3311">
        <v>183.86</v>
      </c>
      <c r="I3311">
        <v>183.87</v>
      </c>
      <c r="J3311">
        <v>-0.01</v>
      </c>
    </row>
    <row r="3312" spans="1:10" x14ac:dyDescent="0.3">
      <c r="A3312" t="str">
        <f>HYPERLINK("https://us2.cloudbeds.com/connect/10074733072513#/reservations/30676713378006?display=YQQC49H02&amp;reservation_id=30676713378006", "YQQC49H02")</f>
        <v>YQQC49H02</v>
      </c>
      <c r="B3312" t="s">
        <v>10</v>
      </c>
      <c r="C3312" t="s">
        <v>121</v>
      </c>
      <c r="D3312" t="str">
        <f>HYPERLINK("https://us2.cloudbeds.com/connect/10074733072513#/reservations/30676713378006?display=Mason%20Pitts&amp;reservation_id=30676713378006&amp;guest_id=30676545921243", "Mason Pitts")</f>
        <v>Mason Pitts</v>
      </c>
      <c r="E3312" t="s">
        <v>3156</v>
      </c>
      <c r="F3312" t="s">
        <v>3147</v>
      </c>
      <c r="G3312">
        <v>134.1</v>
      </c>
      <c r="H3312">
        <v>145.76</v>
      </c>
      <c r="I3312">
        <v>145.77000000000001</v>
      </c>
      <c r="J3312">
        <v>-0.01</v>
      </c>
    </row>
    <row r="3313" spans="1:10" x14ac:dyDescent="0.3">
      <c r="A3313" t="str">
        <f>HYPERLINK("https://us2.cloudbeds.com/connect/10074733072513#/reservations/30676572692677?display=YQQ8HYZC9&amp;reservation_id=30676572692677", "YQQ8HYZC9")</f>
        <v>YQQ8HYZC9</v>
      </c>
      <c r="B3313" t="s">
        <v>10</v>
      </c>
      <c r="C3313" t="s">
        <v>23</v>
      </c>
      <c r="D3313" t="str">
        <f>HYPERLINK("https://us2.cloudbeds.com/connect/10074733072513#/reservations/30676572692677?display=Joyce%20Nischbach&amp;reservation_id=30676572692677&amp;guest_id=30676572692672", "Joyce Nischbach")</f>
        <v>Joyce Nischbach</v>
      </c>
      <c r="E3313" t="s">
        <v>3157</v>
      </c>
      <c r="F3313" t="s">
        <v>3098</v>
      </c>
      <c r="G3313">
        <v>134.1</v>
      </c>
      <c r="H3313">
        <v>145.76</v>
      </c>
      <c r="I3313">
        <v>145.77000000000001</v>
      </c>
      <c r="J3313">
        <v>-0.01</v>
      </c>
    </row>
    <row r="3314" spans="1:10" x14ac:dyDescent="0.3">
      <c r="A3314" t="str">
        <f>HYPERLINK("https://us2.cloudbeds.com/connect/10074733072513#/reservations/30688443990163?display=YR2ESS2WZ&amp;reservation_id=30688443990163", "YR2ESS2WZ")</f>
        <v>YR2ESS2WZ</v>
      </c>
      <c r="B3314" t="s">
        <v>10</v>
      </c>
      <c r="C3314" t="s">
        <v>11</v>
      </c>
      <c r="D3314" t="str">
        <f>HYPERLINK("https://us2.cloudbeds.com/connect/10074733072513#/reservations/30688443990163?display=Christopher%20Ring&amp;reservation_id=30688443990163&amp;guest_id=30688443986079", "Christopher Ring")</f>
        <v>Christopher Ring</v>
      </c>
      <c r="E3314" t="s">
        <v>3158</v>
      </c>
      <c r="F3314" t="s">
        <v>2740</v>
      </c>
      <c r="G3314">
        <v>375.3</v>
      </c>
      <c r="H3314">
        <v>407.94</v>
      </c>
      <c r="I3314">
        <v>407.95</v>
      </c>
      <c r="J3314">
        <v>-0.01</v>
      </c>
    </row>
    <row r="3315" spans="1:10" x14ac:dyDescent="0.3">
      <c r="A3315" t="str">
        <f>HYPERLINK("https://us2.cloudbeds.com/connect/10074733072513#/reservations/30685590864081?display=YR07W0YGK&amp;reservation_id=30685590864081", "YR07W0YGK")</f>
        <v>YR07W0YGK</v>
      </c>
      <c r="B3315" t="s">
        <v>10</v>
      </c>
      <c r="C3315" t="s">
        <v>42</v>
      </c>
      <c r="D3315" t="str">
        <f>HYPERLINK("https://us2.cloudbeds.com/connect/10074733072513#/reservations/30685590864081?display=Victoria%20Benney&amp;reservation_id=30685590864081&amp;guest_id=30685584400577", "Victoria Benney")</f>
        <v>Victoria Benney</v>
      </c>
      <c r="E3315" t="s">
        <v>3159</v>
      </c>
      <c r="F3315" t="s">
        <v>3160</v>
      </c>
      <c r="G3315">
        <v>288.2</v>
      </c>
      <c r="H3315">
        <v>313.26</v>
      </c>
      <c r="I3315">
        <v>313.27</v>
      </c>
      <c r="J3315">
        <v>-0.01</v>
      </c>
    </row>
    <row r="3316" spans="1:10" x14ac:dyDescent="0.3">
      <c r="A3316" t="str">
        <f>HYPERLINK("https://us2.cloudbeds.com/connect/10074733072513#/reservations/30687398113473?display=YR1Y4V0WN&amp;reservation_id=30687398113473", "YR1Y4V0WN")</f>
        <v>YR1Y4V0WN</v>
      </c>
      <c r="B3316" t="s">
        <v>10</v>
      </c>
      <c r="C3316" t="s">
        <v>17</v>
      </c>
      <c r="D3316" t="str">
        <f>HYPERLINK("https://us2.cloudbeds.com/connect/10074733072513#/reservations/30687398113473?display=Jill%20Peters&amp;reservation_id=30687398113473&amp;guest_id=30687398109435", "Jill Peters")</f>
        <v>Jill Peters</v>
      </c>
      <c r="E3316" t="s">
        <v>3161</v>
      </c>
      <c r="F3316" t="s">
        <v>3162</v>
      </c>
      <c r="G3316">
        <v>268.2</v>
      </c>
      <c r="H3316">
        <v>291.52</v>
      </c>
      <c r="I3316">
        <v>291.52999999999997</v>
      </c>
      <c r="J3316">
        <v>-0.01</v>
      </c>
    </row>
    <row r="3317" spans="1:10" x14ac:dyDescent="0.3">
      <c r="A3317" t="str">
        <f>HYPERLINK("https://us2.cloudbeds.com/connect/10074733072513#/reservations/30687386488981?display=YR1KS4XHC&amp;reservation_id=30687386488981", "YR1KS4XHC")</f>
        <v>YR1KS4XHC</v>
      </c>
      <c r="B3317" t="s">
        <v>10</v>
      </c>
      <c r="C3317" t="s">
        <v>17</v>
      </c>
      <c r="D3317" t="str">
        <f>HYPERLINK("https://us2.cloudbeds.com/connect/10074733072513#/reservations/30687386488981?display=Jill%20Peters&amp;reservation_id=30687386488981&amp;guest_id=30687386488970", "Jill Peters")</f>
        <v>Jill Peters</v>
      </c>
      <c r="E3317" t="s">
        <v>3161</v>
      </c>
      <c r="F3317" t="s">
        <v>3162</v>
      </c>
      <c r="G3317">
        <v>268.2</v>
      </c>
      <c r="H3317">
        <v>291.52</v>
      </c>
      <c r="I3317">
        <v>291.52999999999997</v>
      </c>
      <c r="J3317">
        <v>-0.01</v>
      </c>
    </row>
    <row r="3318" spans="1:10" x14ac:dyDescent="0.3">
      <c r="A3318" t="str">
        <f>HYPERLINK("https://us2.cloudbeds.com/connect/10074733072513#/reservations/30676666462407?display=YQQAUZ0Y8&amp;reservation_id=30676666462407", "YQQAUZ0Y8")</f>
        <v>YQQAUZ0Y8</v>
      </c>
      <c r="B3318" t="s">
        <v>10</v>
      </c>
      <c r="C3318" t="s">
        <v>11</v>
      </c>
      <c r="D3318" t="str">
        <f>HYPERLINK("https://us2.cloudbeds.com/connect/10074733072513#/reservations/30676666462407?display=Derek%20Noland&amp;reservation_id=30676666462407&amp;guest_id=30676663681205", "Derek Noland")</f>
        <v>Derek Noland</v>
      </c>
      <c r="E3318" t="s">
        <v>3163</v>
      </c>
      <c r="F3318" t="s">
        <v>3098</v>
      </c>
      <c r="G3318">
        <v>94.16</v>
      </c>
      <c r="H3318">
        <v>102.34</v>
      </c>
      <c r="I3318">
        <v>102.35</v>
      </c>
      <c r="J3318">
        <v>-0.01</v>
      </c>
    </row>
    <row r="3319" spans="1:10" x14ac:dyDescent="0.3">
      <c r="A3319" t="str">
        <f>HYPERLINK("https://us2.cloudbeds.com/connect/10074733072513#/reservations/30688477225175?display=YR2FNSTRA&amp;reservation_id=30688477225175", "YR2FNSTRA")</f>
        <v>YR2FNSTRA</v>
      </c>
      <c r="B3319" t="s">
        <v>10</v>
      </c>
      <c r="C3319" t="s">
        <v>20</v>
      </c>
      <c r="D3319" t="str">
        <f>HYPERLINK("https://us2.cloudbeds.com/connect/10074733072513#/reservations/30688477225175?display=Kayla%20Santiago&amp;reservation_id=30688477225175&amp;guest_id=30688471244991", "Kayla Santiago")</f>
        <v>Kayla Santiago</v>
      </c>
      <c r="E3319" t="s">
        <v>3164</v>
      </c>
      <c r="F3319" t="s">
        <v>3165</v>
      </c>
      <c r="G3319">
        <v>112.24</v>
      </c>
      <c r="H3319">
        <v>121.99</v>
      </c>
      <c r="I3319">
        <v>122</v>
      </c>
      <c r="J3319">
        <v>-0.01</v>
      </c>
    </row>
    <row r="3320" spans="1:10" x14ac:dyDescent="0.3">
      <c r="A3320" t="str">
        <f>HYPERLINK("https://us2.cloudbeds.com/connect/10074733072513#/reservations/30685936644315?display=YR0GQJGCH&amp;reservation_id=30685936644315", "YR0GQJGCH")</f>
        <v>YR0GQJGCH</v>
      </c>
      <c r="B3320" t="s">
        <v>10</v>
      </c>
      <c r="C3320" t="s">
        <v>42</v>
      </c>
      <c r="D3320" t="str">
        <f>HYPERLINK("https://us2.cloudbeds.com/connect/10074733072513#/reservations/30685936644315?display=Rita%20Rissenberger&amp;reservation_id=30685936644315&amp;guest_id=30685936640209", "Rita Rissenberger")</f>
        <v>Rita Rissenberger</v>
      </c>
      <c r="E3320" t="s">
        <v>3166</v>
      </c>
      <c r="F3320" t="s">
        <v>2893</v>
      </c>
      <c r="G3320">
        <v>170.1</v>
      </c>
      <c r="H3320">
        <v>184.89</v>
      </c>
      <c r="I3320">
        <v>184.9</v>
      </c>
      <c r="J3320">
        <v>-0.01</v>
      </c>
    </row>
    <row r="3321" spans="1:10" x14ac:dyDescent="0.3">
      <c r="A3321" t="str">
        <f>HYPERLINK("https://us2.cloudbeds.com/connect/10074733072513#/reservations/30687355977865?display=YR1K2DHW3&amp;reservation_id=30687355977865", "YR1K2DHW3")</f>
        <v>YR1K2DHW3</v>
      </c>
      <c r="B3321" t="s">
        <v>10</v>
      </c>
      <c r="C3321" t="s">
        <v>20</v>
      </c>
      <c r="D3321" t="str">
        <f>HYPERLINK("https://us2.cloudbeds.com/connect/10074733072513#/reservations/30687355977865?display=Michael%20Oja&amp;reservation_id=30687355977865&amp;guest_id=30687346946233", "Michael Oja")</f>
        <v>Michael Oja</v>
      </c>
      <c r="E3321" t="s">
        <v>3167</v>
      </c>
      <c r="F3321" t="s">
        <v>3168</v>
      </c>
      <c r="G3321">
        <v>120.32</v>
      </c>
      <c r="H3321">
        <v>130.78</v>
      </c>
      <c r="I3321">
        <v>130.79</v>
      </c>
      <c r="J3321">
        <v>-0.01</v>
      </c>
    </row>
    <row r="3322" spans="1:10" x14ac:dyDescent="0.3">
      <c r="A3322" t="str">
        <f>HYPERLINK("https://us2.cloudbeds.com/connect/10074733072513#/reservations/30688579784912?display=YR2XBBPZ4&amp;reservation_id=30688579784912", "YR2XBBPZ4")</f>
        <v>YR2XBBPZ4</v>
      </c>
      <c r="B3322" t="s">
        <v>10</v>
      </c>
      <c r="C3322" t="s">
        <v>20</v>
      </c>
      <c r="D3322" t="str">
        <f>HYPERLINK("https://us2.cloudbeds.com/connect/10074733072513#/reservations/30688579784912?display=Linda%20Waterman&amp;reservation_id=30688579784912&amp;guest_id=30688579784906", "Linda Waterman")</f>
        <v>Linda Waterman</v>
      </c>
      <c r="E3322" t="s">
        <v>3169</v>
      </c>
      <c r="F3322" t="s">
        <v>2740</v>
      </c>
      <c r="G3322">
        <v>112.24</v>
      </c>
      <c r="H3322">
        <v>121.99</v>
      </c>
      <c r="I3322">
        <v>122</v>
      </c>
      <c r="J3322">
        <v>-0.01</v>
      </c>
    </row>
    <row r="3323" spans="1:10" x14ac:dyDescent="0.3">
      <c r="A3323" t="str">
        <f>HYPERLINK("https://us2.cloudbeds.com/connect/10074733072513#/reservations/30682643239099?display=YQUVYGY5F&amp;reservation_id=30682643239099", "YQUVYGY5F")</f>
        <v>YQUVYGY5F</v>
      </c>
      <c r="B3323" t="s">
        <v>10</v>
      </c>
      <c r="C3323" t="s">
        <v>14</v>
      </c>
      <c r="D3323" t="str">
        <f>HYPERLINK("https://us2.cloudbeds.com/connect/10074733072513#/reservations/30682643239099?display=Allen%20Weihe&amp;reservation_id=30682643239099&amp;guest_id=30650976784579", "Allen Weihe")</f>
        <v>Allen Weihe</v>
      </c>
      <c r="E3323" t="s">
        <v>678</v>
      </c>
      <c r="F3323" t="s">
        <v>3171</v>
      </c>
      <c r="G3323">
        <v>324.22000000000003</v>
      </c>
      <c r="H3323">
        <v>352.42</v>
      </c>
      <c r="I3323">
        <v>352.43</v>
      </c>
      <c r="J3323">
        <v>-0.01</v>
      </c>
    </row>
    <row r="3324" spans="1:10" x14ac:dyDescent="0.3">
      <c r="A3324" t="str">
        <f>HYPERLINK("https://us2.cloudbeds.com/connect/10074733072513#/reservations/30688382013635?display=YR2D9JGJ4&amp;reservation_id=30688382013635", "YR2D9JGJ4")</f>
        <v>YR2D9JGJ4</v>
      </c>
      <c r="B3324" t="s">
        <v>10</v>
      </c>
      <c r="C3324" t="s">
        <v>11</v>
      </c>
      <c r="D3324" t="str">
        <f>HYPERLINK("https://us2.cloudbeds.com/connect/10074733072513#/reservations/30688382013635?display=Sandra%20R%20Mount&amp;reservation_id=30688382013635&amp;guest_id=30688377475234", "Sandra R Mount")</f>
        <v>Sandra R Mount</v>
      </c>
      <c r="E3324" t="s">
        <v>3172</v>
      </c>
      <c r="F3324" t="s">
        <v>3154</v>
      </c>
      <c r="G3324">
        <v>170.1</v>
      </c>
      <c r="H3324">
        <v>184.89</v>
      </c>
      <c r="I3324">
        <v>184.9</v>
      </c>
      <c r="J3324">
        <v>-0.01</v>
      </c>
    </row>
    <row r="3325" spans="1:10" x14ac:dyDescent="0.3">
      <c r="A3325" t="str">
        <f>HYPERLINK("https://us2.cloudbeds.com/connect/10074733072513#/reservations/30687628108012?display=YR1R0SVU6&amp;reservation_id=30687628108012", "YR1R0SVU6")</f>
        <v>YR1R0SVU6</v>
      </c>
      <c r="B3325" t="s">
        <v>10</v>
      </c>
      <c r="C3325" t="s">
        <v>17</v>
      </c>
      <c r="D3325" t="str">
        <f>HYPERLINK("https://us2.cloudbeds.com/connect/10074733072513#/reservations/30687628108012?display=Ben%20Endres&amp;reservation_id=30687628108012&amp;guest_id=30687621144734", "Ben Endres")</f>
        <v>Ben Endres</v>
      </c>
      <c r="E3325" t="s">
        <v>3180</v>
      </c>
      <c r="F3325" t="s">
        <v>2893</v>
      </c>
      <c r="G3325">
        <v>170.1</v>
      </c>
      <c r="H3325">
        <v>184.89</v>
      </c>
      <c r="I3325">
        <v>184.9</v>
      </c>
      <c r="J3325">
        <v>-0.01</v>
      </c>
    </row>
    <row r="3326" spans="1:10" x14ac:dyDescent="0.3">
      <c r="A3326" t="str">
        <f>HYPERLINK("https://us2.cloudbeds.com/connect/10074733072513#/reservations/30688316289156?display=YR2BK5KH8&amp;reservation_id=30688316289156", "YR2BK5KH8")</f>
        <v>YR2BK5KH8</v>
      </c>
      <c r="B3326" t="s">
        <v>10</v>
      </c>
      <c r="C3326" t="s">
        <v>42</v>
      </c>
      <c r="D3326" t="str">
        <f>HYPERLINK("https://us2.cloudbeds.com/connect/10074733072513#/reservations/30688316289156?display=James%20Lavarre&amp;reservation_id=30688316289156&amp;guest_id=30688307454115", "James Lavarre")</f>
        <v>James Lavarre</v>
      </c>
      <c r="E3326" t="s">
        <v>3188</v>
      </c>
      <c r="F3326" t="s">
        <v>2893</v>
      </c>
      <c r="G3326">
        <v>170.1</v>
      </c>
      <c r="H3326">
        <v>184.89</v>
      </c>
      <c r="I3326">
        <v>184.9</v>
      </c>
      <c r="J3326">
        <v>-0.01</v>
      </c>
    </row>
    <row r="3327" spans="1:10" x14ac:dyDescent="0.3">
      <c r="A3327" t="str">
        <f>HYPERLINK("https://us2.cloudbeds.com/connect/10074733072513#/reservations/30688546656467?display=YR2HGDUZS&amp;reservation_id=30688546656467", "YR2HGDUZS")</f>
        <v>YR2HGDUZS</v>
      </c>
      <c r="B3327" t="s">
        <v>10</v>
      </c>
      <c r="C3327" t="s">
        <v>11</v>
      </c>
      <c r="D3327" t="str">
        <f>HYPERLINK("https://us2.cloudbeds.com/connect/10074733072513#/reservations/30688546656467?display=Chance%20Jepson&amp;reservation_id=30688546656467&amp;guest_id=30688546656465", "Chance Jepson")</f>
        <v>Chance Jepson</v>
      </c>
      <c r="E3327" t="s">
        <v>3192</v>
      </c>
      <c r="F3327" t="s">
        <v>3135</v>
      </c>
      <c r="G3327">
        <v>143.65</v>
      </c>
      <c r="H3327">
        <v>156.13999999999999</v>
      </c>
      <c r="I3327">
        <v>156.15</v>
      </c>
      <c r="J3327">
        <v>-0.01</v>
      </c>
    </row>
    <row r="3328" spans="1:10" x14ac:dyDescent="0.3">
      <c r="A3328" t="str">
        <f>HYPERLINK("https://us2.cloudbeds.com/connect/10074733072513#/reservations/30688327311522?display=YR2BTFB2B&amp;reservation_id=30688327311522", "YR2BTFB2B")</f>
        <v>YR2BTFB2B</v>
      </c>
      <c r="B3328" t="s">
        <v>10</v>
      </c>
      <c r="C3328" t="s">
        <v>121</v>
      </c>
      <c r="D3328" t="str">
        <f>HYPERLINK("https://us2.cloudbeds.com/connect/10074733072513#/reservations/30688327311522?display=Greg%20Robertson&amp;reservation_id=30688327311522&amp;guest_id=30688327307436", "Greg Robertson")</f>
        <v>Greg Robertson</v>
      </c>
      <c r="E3328" t="s">
        <v>3193</v>
      </c>
      <c r="F3328" t="s">
        <v>2893</v>
      </c>
      <c r="G3328">
        <v>170.1</v>
      </c>
      <c r="H3328">
        <v>184.89</v>
      </c>
      <c r="I3328">
        <v>184.9</v>
      </c>
      <c r="J3328">
        <v>-0.01</v>
      </c>
    </row>
    <row r="3329" spans="1:10" x14ac:dyDescent="0.3">
      <c r="A3329" t="str">
        <f>HYPERLINK("https://us2.cloudbeds.com/connect/10074733072513#/reservations/30688320639129?display=YR2BNRYWK&amp;reservation_id=30688320639129", "YR2BNRYWK")</f>
        <v>YR2BNRYWK</v>
      </c>
      <c r="B3329" t="s">
        <v>10</v>
      </c>
      <c r="C3329" t="s">
        <v>121</v>
      </c>
      <c r="D3329" t="str">
        <f>HYPERLINK("https://us2.cloudbeds.com/connect/10074733072513#/reservations/30688320639129?display=Shelah%20Alexandrea&amp;reservation_id=30688320639129&amp;guest_id=30688320639124", "Shelah Alexandrea")</f>
        <v>Shelah Alexandrea</v>
      </c>
      <c r="E3329" t="s">
        <v>3194</v>
      </c>
      <c r="F3329" t="s">
        <v>2893</v>
      </c>
      <c r="G3329">
        <v>170.1</v>
      </c>
      <c r="H3329">
        <v>184.89</v>
      </c>
      <c r="I3329">
        <v>184.9</v>
      </c>
      <c r="J3329">
        <v>-0.01</v>
      </c>
    </row>
    <row r="3330" spans="1:10" x14ac:dyDescent="0.3">
      <c r="A3330" t="str">
        <f>HYPERLINK("https://us2.cloudbeds.com/connect/10074733072513#/reservations/30684732059805?display=YQWJ0S55K&amp;reservation_id=30684732059805", "YQWJ0S55K")</f>
        <v>YQWJ0S55K</v>
      </c>
      <c r="B3330" t="s">
        <v>10</v>
      </c>
      <c r="C3330" t="s">
        <v>14</v>
      </c>
      <c r="D3330" t="str">
        <f>HYPERLINK("https://us2.cloudbeds.com/connect/10074733072513#/reservations/30684732059805?display=Mary%20Ann%20Kinsey%20Dustin&amp;reservation_id=30684732059805&amp;guest_id=30684732055724", "Mary Ann Kinsey Dustin")</f>
        <v>Mary Ann Kinsey Dustin</v>
      </c>
      <c r="E3330" t="s">
        <v>3195</v>
      </c>
      <c r="F3330" t="s">
        <v>3196</v>
      </c>
      <c r="G3330">
        <v>268.2</v>
      </c>
      <c r="H3330">
        <v>291.52</v>
      </c>
      <c r="I3330">
        <v>291.52999999999997</v>
      </c>
      <c r="J3330">
        <v>-0.01</v>
      </c>
    </row>
    <row r="3331" spans="1:10" x14ac:dyDescent="0.3">
      <c r="A3331" t="str">
        <f>HYPERLINK("https://us2.cloudbeds.com/connect/10074733072513#/reservations/30687723118762?display=YR1TEWPPQ&amp;reservation_id=30687723118762", "YR1TEWPPQ")</f>
        <v>YR1TEWPPQ</v>
      </c>
      <c r="B3331" t="s">
        <v>10</v>
      </c>
      <c r="C3331" t="s">
        <v>42</v>
      </c>
      <c r="D3331" t="str">
        <f>HYPERLINK("https://us2.cloudbeds.com/connect/10074733072513#/reservations/30687723118762?display=Cameron%20Wyly&amp;reservation_id=30687723118762&amp;guest_id=30670036390088", "Cameron Wyly")</f>
        <v>Cameron Wyly</v>
      </c>
      <c r="E3331" t="s">
        <v>2708</v>
      </c>
      <c r="F3331" t="s">
        <v>3198</v>
      </c>
      <c r="G3331">
        <v>184</v>
      </c>
      <c r="H3331">
        <v>200</v>
      </c>
      <c r="I3331">
        <v>200.01</v>
      </c>
      <c r="J3331">
        <v>-0.01</v>
      </c>
    </row>
    <row r="3332" spans="1:10" x14ac:dyDescent="0.3">
      <c r="A3332" t="str">
        <f>HYPERLINK("https://us2.cloudbeds.com/connect/10074733072513#/reservations/30688350159062?display=YR2CFZ3C1&amp;reservation_id=30688350159062", "YR2CFZ3C1")</f>
        <v>YR2CFZ3C1</v>
      </c>
      <c r="B3332" t="s">
        <v>10</v>
      </c>
      <c r="C3332" t="s">
        <v>11</v>
      </c>
      <c r="D3332" t="str">
        <f>HYPERLINK("https://us2.cloudbeds.com/connect/10074733072513#/reservations/30688350159062?display=Barbara%20Jilek&amp;reservation_id=30688350159062&amp;guest_id=30688350159059", "Barbara Jilek")</f>
        <v>Barbara Jilek</v>
      </c>
      <c r="E3332" t="s">
        <v>3201</v>
      </c>
      <c r="F3332" t="s">
        <v>3202</v>
      </c>
      <c r="G3332">
        <v>226.96</v>
      </c>
      <c r="H3332">
        <v>246.7</v>
      </c>
      <c r="I3332">
        <v>246.71</v>
      </c>
      <c r="J3332">
        <v>-0.01</v>
      </c>
    </row>
    <row r="3333" spans="1:10" x14ac:dyDescent="0.3">
      <c r="A3333" t="str">
        <f>HYPERLINK("https://us2.cloudbeds.com/connect/10074733072513#/reservations/30688233423057?display=YR29G9ZPB&amp;reservation_id=30688233423057", "YR29G9ZPB")</f>
        <v>YR29G9ZPB</v>
      </c>
      <c r="B3333" t="s">
        <v>10</v>
      </c>
      <c r="C3333" t="s">
        <v>11</v>
      </c>
      <c r="D3333" t="str">
        <f>HYPERLINK("https://us2.cloudbeds.com/connect/10074733072513#/reservations/30688233423057?display=James%20Carl%20Wilson&amp;reservation_id=30688233423057&amp;guest_id=30688233423052", "James Carl Wilson")</f>
        <v>James Carl Wilson</v>
      </c>
      <c r="E3333" t="s">
        <v>3203</v>
      </c>
      <c r="F3333" t="s">
        <v>3204</v>
      </c>
      <c r="G3333">
        <v>143.65</v>
      </c>
      <c r="H3333">
        <v>156.13999999999999</v>
      </c>
      <c r="I3333">
        <v>156.15</v>
      </c>
      <c r="J3333">
        <v>-0.01</v>
      </c>
    </row>
    <row r="3334" spans="1:10" x14ac:dyDescent="0.3">
      <c r="A3334" t="str">
        <f>HYPERLINK("https://us2.cloudbeds.com/connect/10074733072513#/reservations/30688254832857?display=YR2A1BGR5&amp;reservation_id=30688254832857", "YR2A1BGR5")</f>
        <v>YR2A1BGR5</v>
      </c>
      <c r="B3334" t="s">
        <v>10</v>
      </c>
      <c r="C3334" t="s">
        <v>20</v>
      </c>
      <c r="D3334" t="str">
        <f>HYPERLINK("https://us2.cloudbeds.com/connect/10074733072513#/reservations/30688254832857?display=Kelli%20Glick&amp;reservation_id=30688254832857&amp;guest_id=30688254832852", "Kelli Glick")</f>
        <v>Kelli Glick</v>
      </c>
      <c r="E3334" t="s">
        <v>3206</v>
      </c>
      <c r="F3334" t="s">
        <v>3204</v>
      </c>
      <c r="G3334">
        <v>112.24</v>
      </c>
      <c r="H3334">
        <v>121.99</v>
      </c>
      <c r="I3334">
        <v>122</v>
      </c>
      <c r="J3334">
        <v>-0.01</v>
      </c>
    </row>
    <row r="3335" spans="1:10" x14ac:dyDescent="0.3">
      <c r="A3335" t="str">
        <f>HYPERLINK("https://us2.cloudbeds.com/connect/10074733072513#/reservations/30688553091249?display=YR2HYRWY8&amp;reservation_id=30688553091249", "YR2HYRWY8")</f>
        <v>YR2HYRWY8</v>
      </c>
      <c r="B3335" t="s">
        <v>10</v>
      </c>
      <c r="C3335" t="s">
        <v>20</v>
      </c>
      <c r="D3335" t="str">
        <f>HYPERLINK("https://us2.cloudbeds.com/connect/10074733072513#/reservations/30688553091249?display=Carriann%20Willis&amp;reservation_id=30688553091249&amp;guest_id=30688553091246", "Carriann Willis")</f>
        <v>Carriann Willis</v>
      </c>
      <c r="E3335" t="s">
        <v>3210</v>
      </c>
      <c r="F3335" t="s">
        <v>3135</v>
      </c>
      <c r="G3335">
        <v>112.24</v>
      </c>
      <c r="H3335">
        <v>121.99</v>
      </c>
      <c r="I3335">
        <v>122</v>
      </c>
      <c r="J3335">
        <v>-0.01</v>
      </c>
    </row>
    <row r="3336" spans="1:10" x14ac:dyDescent="0.3">
      <c r="A3336" t="str">
        <f>HYPERLINK("https://us2.cloudbeds.com/connect/10074733072513#/reservations/30688249766019?display=YR29U2H2K&amp;reservation_id=30688249766019", "YR29U2H2K")</f>
        <v>YR29U2H2K</v>
      </c>
      <c r="B3336" t="s">
        <v>10</v>
      </c>
      <c r="C3336" t="s">
        <v>11</v>
      </c>
      <c r="D3336" t="str">
        <f>HYPERLINK("https://us2.cloudbeds.com/connect/10074733072513#/reservations/30688249766019?display=Phil%20Dimick&amp;reservation_id=30688249766019&amp;guest_id=30688249766017", "Phil Dimick")</f>
        <v>Phil Dimick</v>
      </c>
      <c r="E3336" t="s">
        <v>3214</v>
      </c>
      <c r="F3336" t="s">
        <v>3204</v>
      </c>
      <c r="G3336">
        <v>104.32</v>
      </c>
      <c r="H3336">
        <v>113.39</v>
      </c>
      <c r="I3336">
        <v>113.4</v>
      </c>
      <c r="J3336">
        <v>-0.01</v>
      </c>
    </row>
    <row r="3337" spans="1:10" x14ac:dyDescent="0.3">
      <c r="A3337" t="str">
        <f>HYPERLINK("https://us2.cloudbeds.com/connect/10074733072513#/reservations/30687373537443?display=YR1KH75FH&amp;reservation_id=30687373537443", "YR1KH75FH")</f>
        <v>YR1KH75FH</v>
      </c>
      <c r="B3337" t="s">
        <v>10</v>
      </c>
      <c r="C3337" t="s">
        <v>20</v>
      </c>
      <c r="D3337" t="str">
        <f>HYPERLINK("https://us2.cloudbeds.com/connect/10074733072513#/reservations/30687373537443?display=Joan%20Oordt&amp;reservation_id=30687373537443&amp;guest_id=30687373537441", "Joan Oordt")</f>
        <v>Joan Oordt</v>
      </c>
      <c r="E3337" t="s">
        <v>3216</v>
      </c>
      <c r="F3337" t="s">
        <v>3168</v>
      </c>
      <c r="G3337">
        <v>112.24</v>
      </c>
      <c r="H3337">
        <v>121.99</v>
      </c>
      <c r="I3337">
        <v>122</v>
      </c>
      <c r="J3337">
        <v>-0.01</v>
      </c>
    </row>
    <row r="3338" spans="1:10" x14ac:dyDescent="0.3">
      <c r="A3338" t="str">
        <f>HYPERLINK("https://us2.cloudbeds.com/connect/10074733072513#/reservations/30687533146272?display=YR1ZJQH1M&amp;reservation_id=30687533146272", "YR1ZJQH1M")</f>
        <v>YR1ZJQH1M</v>
      </c>
      <c r="B3338" t="s">
        <v>10</v>
      </c>
      <c r="C3338" t="s">
        <v>20</v>
      </c>
      <c r="D3338" t="str">
        <f>HYPERLINK("https://us2.cloudbeds.com/connect/10074733072513#/reservations/30687533146272?display=Megan%20Schmidt&amp;reservation_id=30687533146272&amp;guest_id=30687526305992", "Megan Schmidt")</f>
        <v>Megan Schmidt</v>
      </c>
      <c r="E3338" t="s">
        <v>3221</v>
      </c>
      <c r="F3338" t="s">
        <v>3204</v>
      </c>
      <c r="G3338">
        <v>112.24</v>
      </c>
      <c r="H3338">
        <v>121.99</v>
      </c>
      <c r="I3338">
        <v>122</v>
      </c>
      <c r="J3338">
        <v>-0.01</v>
      </c>
    </row>
    <row r="3339" spans="1:10" x14ac:dyDescent="0.3">
      <c r="A3339" t="str">
        <f>HYPERLINK("https://us2.cloudbeds.com/connect/10074733072513#/reservations/30687367061710?display=YR1KBZVW6&amp;reservation_id=30687367061710", "YR1KBZVW6")</f>
        <v>YR1KBZVW6</v>
      </c>
      <c r="B3339" t="s">
        <v>10</v>
      </c>
      <c r="C3339" t="s">
        <v>11</v>
      </c>
      <c r="D3339" t="str">
        <f>HYPERLINK("https://us2.cloudbeds.com/connect/10074733072513#/reservations/30687367061710?display=Gaurav%20Singh&amp;reservation_id=30687367061710&amp;guest_id=30687367061705", "Gaurav Singh")</f>
        <v>Gaurav Singh</v>
      </c>
      <c r="E3339" t="s">
        <v>3223</v>
      </c>
      <c r="F3339" t="s">
        <v>3168</v>
      </c>
      <c r="G3339">
        <v>118.15</v>
      </c>
      <c r="H3339">
        <v>128.41999999999999</v>
      </c>
      <c r="I3339">
        <v>128.43</v>
      </c>
      <c r="J3339">
        <v>-0.01</v>
      </c>
    </row>
    <row r="3340" spans="1:10" x14ac:dyDescent="0.3">
      <c r="A3340" t="str">
        <f>HYPERLINK("https://us2.cloudbeds.com/connect/10074733072513#/reservations/30687395012778?display=YR1Y2AZN8&amp;reservation_id=30687395012778", "YR1Y2AZN8")</f>
        <v>YR1Y2AZN8</v>
      </c>
      <c r="B3340" t="s">
        <v>10</v>
      </c>
      <c r="C3340" t="s">
        <v>11</v>
      </c>
      <c r="D3340" t="str">
        <f>HYPERLINK("https://us2.cloudbeds.com/connect/10074733072513#/reservations/30687395012778?display=Vicki%20Malacina&amp;reservation_id=30687395012778&amp;guest_id=30687395012768", "Vicki Malacina")</f>
        <v>Vicki Malacina</v>
      </c>
      <c r="E3340" t="s">
        <v>3225</v>
      </c>
      <c r="F3340" t="s">
        <v>3168</v>
      </c>
      <c r="G3340">
        <v>118.15</v>
      </c>
      <c r="H3340">
        <v>128.41999999999999</v>
      </c>
      <c r="I3340">
        <v>128.43</v>
      </c>
      <c r="J3340">
        <v>-0.01</v>
      </c>
    </row>
    <row r="3341" spans="1:10" x14ac:dyDescent="0.3">
      <c r="A3341" t="str">
        <f>HYPERLINK("https://us2.cloudbeds.com/connect/10074733072513#/reservations/30688232026287?display=YR29F3T4W&amp;reservation_id=30688232026287", "YR29F3T4W")</f>
        <v>YR29F3T4W</v>
      </c>
      <c r="B3341" t="s">
        <v>10</v>
      </c>
      <c r="C3341" t="s">
        <v>14</v>
      </c>
      <c r="D3341" t="str">
        <f>HYPERLINK("https://us2.cloudbeds.com/connect/10074733072513#/reservations/30688232026287?display=Emily%20Delbridge&amp;reservation_id=30688232026287&amp;guest_id=30688223469790", "Emily Delbridge")</f>
        <v>Emily Delbridge</v>
      </c>
      <c r="E3341" t="s">
        <v>3246</v>
      </c>
      <c r="F3341" t="s">
        <v>2759</v>
      </c>
      <c r="G3341">
        <v>141.49</v>
      </c>
      <c r="H3341">
        <v>153.79</v>
      </c>
      <c r="I3341">
        <v>153.80000000000001</v>
      </c>
      <c r="J3341">
        <v>-0.01</v>
      </c>
    </row>
    <row r="3342" spans="1:10" x14ac:dyDescent="0.3">
      <c r="A3342" t="str">
        <f>HYPERLINK("https://us2.cloudbeds.com/connect/10074733072513#/reservations/30688248647837?display=YR29T4D9A&amp;reservation_id=30688248647837", "YR29T4D9A")</f>
        <v>YR29T4D9A</v>
      </c>
      <c r="B3342" t="s">
        <v>10</v>
      </c>
      <c r="C3342" t="s">
        <v>14</v>
      </c>
      <c r="D3342" t="str">
        <f>HYPERLINK("https://us2.cloudbeds.com/connect/10074733072513#/reservations/30688248647837?display=Lisa%20Koenig&amp;reservation_id=30688248647837&amp;guest_id=30688248647832", "Lisa Koenig")</f>
        <v>Lisa Koenig</v>
      </c>
      <c r="E3342" t="s">
        <v>3247</v>
      </c>
      <c r="F3342" t="s">
        <v>2759</v>
      </c>
      <c r="G3342">
        <v>205.48</v>
      </c>
      <c r="H3342">
        <v>223.35</v>
      </c>
      <c r="I3342">
        <v>223.36</v>
      </c>
      <c r="J3342">
        <v>-0.01</v>
      </c>
    </row>
    <row r="3343" spans="1:10" x14ac:dyDescent="0.3">
      <c r="A3343" t="str">
        <f>HYPERLINK("https://us2.cloudbeds.com/connect/10074733072513#/reservations/30687906865350?display=YR214UQE8&amp;reservation_id=30687906865350", "YR214UQE8")</f>
        <v>YR214UQE8</v>
      </c>
      <c r="B3343" t="s">
        <v>10</v>
      </c>
      <c r="C3343" t="s">
        <v>42</v>
      </c>
      <c r="D3343" t="str">
        <f>HYPERLINK("https://us2.cloudbeds.com/connect/10074733072513#/reservations/30687906865350?display=Kirstin%20Cannon&amp;reservation_id=30687906865350&amp;guest_id=30687906861266", "Kirstin Cannon")</f>
        <v>Kirstin Cannon</v>
      </c>
      <c r="E3343" t="s">
        <v>3260</v>
      </c>
      <c r="F3343" t="s">
        <v>2867</v>
      </c>
      <c r="G3343">
        <v>170.1</v>
      </c>
      <c r="H3343">
        <v>184.89</v>
      </c>
      <c r="I3343">
        <v>184.9</v>
      </c>
      <c r="J3343">
        <v>-0.01</v>
      </c>
    </row>
    <row r="3344" spans="1:10" x14ac:dyDescent="0.3">
      <c r="A3344" t="str">
        <f>HYPERLINK("https://us2.cloudbeds.com/connect/10074733072513#/reservations/30687922032772?display=YR21HNS93&amp;reservation_id=30687922032772", "YR21HNS93")</f>
        <v>YR21HNS93</v>
      </c>
      <c r="B3344" t="s">
        <v>10</v>
      </c>
      <c r="C3344" t="s">
        <v>20</v>
      </c>
      <c r="D3344" t="str">
        <f>HYPERLINK("https://us2.cloudbeds.com/connect/10074733072513#/reservations/30687922032772?display=Kathryn%20Holmes&amp;reservation_id=30687922032772&amp;guest_id=30687922028728", "Kathryn Holmes")</f>
        <v>Kathryn Holmes</v>
      </c>
      <c r="E3344" t="s">
        <v>3265</v>
      </c>
      <c r="F3344" t="s">
        <v>2805</v>
      </c>
      <c r="G3344">
        <v>112.24</v>
      </c>
      <c r="H3344">
        <v>121.99</v>
      </c>
      <c r="I3344">
        <v>122</v>
      </c>
      <c r="J3344">
        <v>-0.01</v>
      </c>
    </row>
    <row r="3345" spans="1:10" x14ac:dyDescent="0.3">
      <c r="A3345" t="str">
        <f>HYPERLINK("https://us2.cloudbeds.com/connect/10074733072513#/reservations/30687930921119?display=YR21P766V&amp;reservation_id=30687930921119", "YR21P766V")</f>
        <v>YR21P766V</v>
      </c>
      <c r="B3345" t="s">
        <v>10</v>
      </c>
      <c r="C3345" t="s">
        <v>20</v>
      </c>
      <c r="D3345" t="str">
        <f>HYPERLINK("https://us2.cloudbeds.com/connect/10074733072513#/reservations/30687930921119?display=Justin%20Lucas&amp;reservation_id=30687930921119&amp;guest_id=30687930921114", "Justin Lucas")</f>
        <v>Justin Lucas</v>
      </c>
      <c r="E3345" t="s">
        <v>3266</v>
      </c>
      <c r="F3345" t="s">
        <v>2805</v>
      </c>
      <c r="G3345">
        <v>120.32</v>
      </c>
      <c r="H3345">
        <v>130.78</v>
      </c>
      <c r="I3345">
        <v>130.79</v>
      </c>
      <c r="J3345">
        <v>-0.01</v>
      </c>
    </row>
    <row r="3346" spans="1:10" x14ac:dyDescent="0.3">
      <c r="A3346" t="str">
        <f>HYPERLINK("https://us2.cloudbeds.com/connect/10074733072513#/reservations/30687916519614?display=YR21D2EMN&amp;reservation_id=30687916519614", "YR21D2EMN")</f>
        <v>YR21D2EMN</v>
      </c>
      <c r="B3346" t="s">
        <v>10</v>
      </c>
      <c r="C3346" t="s">
        <v>42</v>
      </c>
      <c r="D3346" t="str">
        <f>HYPERLINK("https://us2.cloudbeds.com/connect/10074733072513#/reservations/30687916519614?display=Carol%20Peterson&amp;reservation_id=30687916519614&amp;guest_id=30687916519612", "Carol Peterson")</f>
        <v>Carol Peterson</v>
      </c>
      <c r="E3346" t="s">
        <v>3278</v>
      </c>
      <c r="F3346" t="s">
        <v>2867</v>
      </c>
      <c r="G3346">
        <v>170.1</v>
      </c>
      <c r="H3346">
        <v>184.89</v>
      </c>
      <c r="I3346">
        <v>184.9</v>
      </c>
      <c r="J3346">
        <v>-0.01</v>
      </c>
    </row>
    <row r="3347" spans="1:10" x14ac:dyDescent="0.3">
      <c r="A3347" t="str">
        <f>HYPERLINK("https://us2.cloudbeds.com/connect/10074733072513#/reservations/30687103590602?display=YR1DKJGD7&amp;reservation_id=30687103590602", "YR1DKJGD7")</f>
        <v>YR1DKJGD7</v>
      </c>
      <c r="B3347" t="s">
        <v>10</v>
      </c>
      <c r="C3347" t="s">
        <v>11</v>
      </c>
      <c r="D3347" t="str">
        <f>HYPERLINK("https://us2.cloudbeds.com/connect/10074733072513#/reservations/30687103590602?display=Patrick%20Curry&amp;reservation_id=30687103590602&amp;guest_id=30687103586521", "Patrick Curry")</f>
        <v>Patrick Curry</v>
      </c>
      <c r="E3347" t="s">
        <v>3280</v>
      </c>
      <c r="F3347" t="s">
        <v>3202</v>
      </c>
      <c r="G3347">
        <v>120.2</v>
      </c>
      <c r="H3347">
        <v>130.65</v>
      </c>
      <c r="I3347">
        <v>130.66</v>
      </c>
      <c r="J3347">
        <v>-0.01</v>
      </c>
    </row>
    <row r="3348" spans="1:10" x14ac:dyDescent="0.3">
      <c r="A3348" t="str">
        <f>HYPERLINK("https://us2.cloudbeds.com/connect/10074733072513#/reservations/30686410481889?display=YR0SU4NUT&amp;reservation_id=30686410481889", "YR0SU4NUT")</f>
        <v>YR0SU4NUT</v>
      </c>
      <c r="B3348" t="s">
        <v>10</v>
      </c>
      <c r="C3348" t="s">
        <v>11</v>
      </c>
      <c r="D3348" t="str">
        <f>HYPERLINK("https://us2.cloudbeds.com/connect/10074733072513#/reservations/30686410481889?display=Chelsie%20Bohlman&amp;reservation_id=30686410481889&amp;guest_id=30686410481887", "Chelsie Bohlman")</f>
        <v>Chelsie Bohlman</v>
      </c>
      <c r="E3348" t="s">
        <v>3284</v>
      </c>
      <c r="F3348" t="s">
        <v>3244</v>
      </c>
      <c r="G3348">
        <v>143.65</v>
      </c>
      <c r="H3348">
        <v>156.13999999999999</v>
      </c>
      <c r="I3348">
        <v>156.15</v>
      </c>
      <c r="J3348">
        <v>-0.01</v>
      </c>
    </row>
    <row r="3349" spans="1:10" x14ac:dyDescent="0.3">
      <c r="A3349" t="str">
        <f>HYPERLINK("https://us2.cloudbeds.com/connect/10074733072513#/reservations/30687006335139?display=YR1B4J78W&amp;reservation_id=30687006335139", "YR1B4J78W")</f>
        <v>YR1B4J78W</v>
      </c>
      <c r="B3349" t="s">
        <v>10</v>
      </c>
      <c r="C3349" t="s">
        <v>11</v>
      </c>
      <c r="D3349" t="str">
        <f>HYPERLINK("https://us2.cloudbeds.com/connect/10074733072513#/reservations/30687006335139?display=Erick%20Paul%20Matzke&amp;reservation_id=30687006335139&amp;guest_id=30686997455052", "Erick Paul Matzke")</f>
        <v>Erick Paul Matzke</v>
      </c>
      <c r="E3349" t="s">
        <v>3287</v>
      </c>
      <c r="F3349" t="s">
        <v>2872</v>
      </c>
      <c r="G3349">
        <v>152.15</v>
      </c>
      <c r="H3349">
        <v>165.38</v>
      </c>
      <c r="I3349">
        <v>165.39</v>
      </c>
      <c r="J3349">
        <v>-0.01</v>
      </c>
    </row>
    <row r="3350" spans="1:10" x14ac:dyDescent="0.3">
      <c r="A3350" t="str">
        <f>HYPERLINK("https://us2.cloudbeds.com/connect/10074733072513#/reservations/30688493289700?display=YR2G4DUF3&amp;reservation_id=30688493289700", "YR2G4DUF3")</f>
        <v>YR2G4DUF3</v>
      </c>
      <c r="B3350" t="s">
        <v>10</v>
      </c>
      <c r="C3350" t="s">
        <v>11</v>
      </c>
      <c r="D3350" t="str">
        <f>HYPERLINK("https://us2.cloudbeds.com/connect/10074733072513#/reservations/30688493289700?display=Sara%20Lorraine&amp;reservation_id=30688493289700&amp;guest_id=30688493289687", "Sara Lorraine")</f>
        <v>Sara Lorraine</v>
      </c>
      <c r="E3350" t="s">
        <v>3296</v>
      </c>
      <c r="F3350" t="s">
        <v>2867</v>
      </c>
      <c r="G3350">
        <v>170.1</v>
      </c>
      <c r="H3350">
        <v>184.89</v>
      </c>
      <c r="I3350">
        <v>184.9</v>
      </c>
      <c r="J3350">
        <v>-0.01</v>
      </c>
    </row>
    <row r="3351" spans="1:10" x14ac:dyDescent="0.3">
      <c r="A3351" t="str">
        <f>HYPERLINK("https://us2.cloudbeds.com/connect/10074733072513#/reservations/30688207630478?display=YR28RX141&amp;reservation_id=30688207630478", "YR28RX141")</f>
        <v>YR28RX141</v>
      </c>
      <c r="B3351" t="s">
        <v>10</v>
      </c>
      <c r="C3351" t="s">
        <v>11</v>
      </c>
      <c r="D3351" t="str">
        <f>HYPERLINK("https://us2.cloudbeds.com/connect/10074733072513#/reservations/30688207630478?display=Astrid%20Martinez&amp;reservation_id=30688207630478&amp;guest_id=30688207630476", "Astrid Martinez")</f>
        <v>Astrid Martinez</v>
      </c>
      <c r="E3351" t="s">
        <v>3298</v>
      </c>
      <c r="F3351" t="s">
        <v>2867</v>
      </c>
      <c r="G3351">
        <v>170.1</v>
      </c>
      <c r="H3351">
        <v>184.89</v>
      </c>
      <c r="I3351">
        <v>184.9</v>
      </c>
      <c r="J3351">
        <v>-0.01</v>
      </c>
    </row>
    <row r="3352" spans="1:10" x14ac:dyDescent="0.3">
      <c r="A3352" t="str">
        <f>HYPERLINK("https://us2.cloudbeds.com/connect/10074733072513#/reservations/30686726303973?display=YR13WEV12&amp;reservation_id=30686726303973", "YR13WEV12")</f>
        <v>YR13WEV12</v>
      </c>
      <c r="B3352" t="s">
        <v>10</v>
      </c>
      <c r="C3352" t="s">
        <v>11</v>
      </c>
      <c r="D3352" t="str">
        <f>HYPERLINK("https://us2.cloudbeds.com/connect/10074733072513#/reservations/30686726303973?display=Joni%20Laska&amp;reservation_id=30686726303973&amp;guest_id=30686726303970", "Joni Laska")</f>
        <v>Joni Laska</v>
      </c>
      <c r="E3352" t="s">
        <v>3300</v>
      </c>
      <c r="F3352" t="s">
        <v>2945</v>
      </c>
      <c r="G3352">
        <v>120.2</v>
      </c>
      <c r="H3352">
        <v>130.65</v>
      </c>
      <c r="I3352">
        <v>130.66</v>
      </c>
      <c r="J3352">
        <v>-0.01</v>
      </c>
    </row>
    <row r="3353" spans="1:10" x14ac:dyDescent="0.3">
      <c r="A3353" t="str">
        <f>HYPERLINK("https://us2.cloudbeds.com/connect/10074733072513#/reservations/30687693742295?display=YR1SN7B4S&amp;reservation_id=30687693742295", "YR1SN7B4S")</f>
        <v>YR1SN7B4S</v>
      </c>
      <c r="B3353" t="s">
        <v>10</v>
      </c>
      <c r="C3353" t="s">
        <v>11</v>
      </c>
      <c r="D3353" t="str">
        <f>HYPERLINK("https://us2.cloudbeds.com/connect/10074733072513#/reservations/30687693742295?display=Richard%20J%20Shangreaux&amp;reservation_id=30687693742295&amp;guest_id=30687693742285", "Richard J Shangreaux")</f>
        <v>Richard J Shangreaux</v>
      </c>
      <c r="E3353" t="s">
        <v>3312</v>
      </c>
      <c r="F3353" t="s">
        <v>2945</v>
      </c>
      <c r="G3353">
        <v>133.63</v>
      </c>
      <c r="H3353">
        <v>145.25</v>
      </c>
      <c r="I3353">
        <v>145.26</v>
      </c>
      <c r="J3353">
        <v>-0.01</v>
      </c>
    </row>
    <row r="3354" spans="1:10" x14ac:dyDescent="0.3">
      <c r="A3354" t="str">
        <f>HYPERLINK("https://us2.cloudbeds.com/connect/10074733072513#/reservations/30688392532164?display=YR2DXF6FE&amp;reservation_id=30688392532164", "YR2DXF6FE")</f>
        <v>YR2DXF6FE</v>
      </c>
      <c r="B3354" t="s">
        <v>10</v>
      </c>
      <c r="C3354" t="s">
        <v>42</v>
      </c>
      <c r="D3354" t="str">
        <f>HYPERLINK("https://us2.cloudbeds.com/connect/10074733072513#/reservations/30688392532164?display=Barb%20Medinwald&amp;reservation_id=30688392532164&amp;guest_id=30688381526179", "Barb Medinwald")</f>
        <v>Barb Medinwald</v>
      </c>
      <c r="E3354" t="s">
        <v>3313</v>
      </c>
      <c r="F3354" t="s">
        <v>3131</v>
      </c>
      <c r="G3354">
        <v>268.2</v>
      </c>
      <c r="H3354">
        <v>291.52</v>
      </c>
      <c r="I3354">
        <v>291.52999999999997</v>
      </c>
      <c r="J3354">
        <v>-0.01</v>
      </c>
    </row>
    <row r="3355" spans="1:10" x14ac:dyDescent="0.3">
      <c r="A3355" t="str">
        <f>HYPERLINK("https://us2.cloudbeds.com/connect/10074733072513#/reservations/30687087984800?display=YR1D7E804&amp;reservation_id=30687087984800", "YR1D7E804")</f>
        <v>YR1D7E804</v>
      </c>
      <c r="B3355" t="s">
        <v>10</v>
      </c>
      <c r="C3355" t="s">
        <v>20</v>
      </c>
      <c r="D3355" t="str">
        <f>HYPERLINK("https://us2.cloudbeds.com/connect/10074733072513#/reservations/30687087984800?display=Ashton%20Shold&amp;reservation_id=30687087984800&amp;guest_id=30687087980708", "Ashton Shold")</f>
        <v>Ashton Shold</v>
      </c>
      <c r="E3355" t="s">
        <v>3317</v>
      </c>
      <c r="F3355" t="s">
        <v>3185</v>
      </c>
      <c r="G3355">
        <v>304.2</v>
      </c>
      <c r="H3355">
        <v>330.66</v>
      </c>
      <c r="I3355">
        <v>330.67</v>
      </c>
      <c r="J3355">
        <v>-0.01</v>
      </c>
    </row>
    <row r="3356" spans="1:10" x14ac:dyDescent="0.3">
      <c r="A3356" t="str">
        <f>HYPERLINK("https://us2.cloudbeds.com/connect/10074733072513#/reservations/30687082180793?display=YR1D2HZB4&amp;reservation_id=30687082180793", "YR1D2HZB4")</f>
        <v>YR1D2HZB4</v>
      </c>
      <c r="B3356" t="s">
        <v>10</v>
      </c>
      <c r="C3356" t="s">
        <v>20</v>
      </c>
      <c r="D3356" t="str">
        <f>HYPERLINK("https://us2.cloudbeds.com/connect/10074733072513#/reservations/30687082180793?display=Wally%20Shold&amp;reservation_id=30687082180793&amp;guest_id=30687082180745", "Wally Shold")</f>
        <v>Wally Shold</v>
      </c>
      <c r="E3356" t="s">
        <v>3318</v>
      </c>
      <c r="F3356" t="s">
        <v>3185</v>
      </c>
      <c r="G3356">
        <v>304.2</v>
      </c>
      <c r="H3356">
        <v>330.66</v>
      </c>
      <c r="I3356">
        <v>330.67</v>
      </c>
      <c r="J3356">
        <v>-0.01</v>
      </c>
    </row>
    <row r="3357" spans="1:10" x14ac:dyDescent="0.3">
      <c r="A3357" t="str">
        <f>HYPERLINK("https://us2.cloudbeds.com/connect/10074733072513#/reservations/30686933672077?display=YR199A8N0&amp;reservation_id=30686933672077", "YR199A8N0")</f>
        <v>YR199A8N0</v>
      </c>
      <c r="B3357" t="s">
        <v>10</v>
      </c>
      <c r="C3357" t="s">
        <v>42</v>
      </c>
      <c r="D3357" t="str">
        <f>HYPERLINK("https://us2.cloudbeds.com/connect/10074733072513#/reservations/30686933672077?display=Dorothy%20Rezac&amp;reservation_id=30686933672077&amp;guest_id=30686928097526", "Dorothy Rezac")</f>
        <v>Dorothy Rezac</v>
      </c>
      <c r="E3357" t="s">
        <v>3319</v>
      </c>
      <c r="F3357" t="s">
        <v>2872</v>
      </c>
      <c r="G3357">
        <v>134.1</v>
      </c>
      <c r="H3357">
        <v>145.76</v>
      </c>
      <c r="I3357">
        <v>145.77000000000001</v>
      </c>
      <c r="J3357">
        <v>-0.01</v>
      </c>
    </row>
    <row r="3358" spans="1:10" x14ac:dyDescent="0.3">
      <c r="A3358" t="str">
        <f>HYPERLINK("https://us2.cloudbeds.com/connect/10074733072513#/reservations/30687306059937?display=YR1XQAGYK&amp;reservation_id=30687306059937", "YR1XQAGYK")</f>
        <v>YR1XQAGYK</v>
      </c>
      <c r="B3358" t="s">
        <v>10</v>
      </c>
      <c r="C3358" t="s">
        <v>42</v>
      </c>
      <c r="D3358" t="str">
        <f>HYPERLINK("https://us2.cloudbeds.com/connect/10074733072513#/reservations/30687306059937?display=Darrell%20Rafcake&amp;reservation_id=30687306059937&amp;guest_id=30687306055835", "Darrell Rafcake")</f>
        <v>Darrell Rafcake</v>
      </c>
      <c r="E3358" t="s">
        <v>3325</v>
      </c>
      <c r="F3358" t="s">
        <v>3162</v>
      </c>
      <c r="G3358">
        <v>143.19999999999999</v>
      </c>
      <c r="H3358">
        <v>155.65</v>
      </c>
      <c r="I3358">
        <v>155.66</v>
      </c>
      <c r="J3358">
        <v>-0.01</v>
      </c>
    </row>
    <row r="3359" spans="1:10" x14ac:dyDescent="0.3">
      <c r="A3359" t="str">
        <f>HYPERLINK("https://us2.cloudbeds.com/connect/10074733072513#/reservations/30686887653527?display=YR183GZ2G&amp;reservation_id=30686887653527", "YR183GZ2G")</f>
        <v>YR183GZ2G</v>
      </c>
      <c r="B3359" t="s">
        <v>10</v>
      </c>
      <c r="C3359" t="s">
        <v>20</v>
      </c>
      <c r="D3359" t="str">
        <f>HYPERLINK("https://us2.cloudbeds.com/connect/10074733072513#/reservations/30686887653527?display=Joseph%20Petkewich&amp;reservation_id=30686887653527&amp;guest_id=30686881337478", "Joseph Petkewich")</f>
        <v>Joseph Petkewich</v>
      </c>
      <c r="E3359" t="s">
        <v>3330</v>
      </c>
      <c r="F3359" t="s">
        <v>3191</v>
      </c>
      <c r="G3359">
        <v>120.32</v>
      </c>
      <c r="H3359">
        <v>130.78</v>
      </c>
      <c r="I3359">
        <v>130.79</v>
      </c>
      <c r="J3359">
        <v>-0.01</v>
      </c>
    </row>
    <row r="3360" spans="1:10" x14ac:dyDescent="0.3">
      <c r="A3360" t="str">
        <f>HYPERLINK("https://us2.cloudbeds.com/connect/10074733072513#/reservations/31676883804316?display=MH8QQFWHZ&amp;reservation_id=31676883804316", "MH8QQFWHZ")</f>
        <v>MH8QQFWHZ</v>
      </c>
      <c r="B3360" t="s">
        <v>10</v>
      </c>
      <c r="C3360" t="s">
        <v>20</v>
      </c>
      <c r="D3360" t="str">
        <f>HYPERLINK("https://us2.cloudbeds.com/connect/10074733072513#/reservations/31676883804316?display=Spalding%20Mary&amp;reservation_id=31676883804316&amp;guest_id=31676883804314", "Spalding Mary")</f>
        <v>Spalding Mary</v>
      </c>
      <c r="E3360" t="s">
        <v>3333</v>
      </c>
      <c r="F3360" t="s">
        <v>3334</v>
      </c>
      <c r="G3360">
        <v>134.1</v>
      </c>
      <c r="H3360">
        <v>145.76</v>
      </c>
      <c r="I3360">
        <v>145.77000000000001</v>
      </c>
      <c r="J3360">
        <v>-0.01</v>
      </c>
    </row>
    <row r="3361" spans="1:10" x14ac:dyDescent="0.3">
      <c r="A3361" t="str">
        <f>HYPERLINK("https://us2.cloudbeds.com/connect/10074733072513#/reservations/30686434783448?display=YR0THKVDP&amp;reservation_id=30686434783448", "YR0THKVDP")</f>
        <v>YR0THKVDP</v>
      </c>
      <c r="B3361" t="s">
        <v>10</v>
      </c>
      <c r="C3361" t="s">
        <v>11</v>
      </c>
      <c r="D3361" t="str">
        <f>HYPERLINK("https://us2.cloudbeds.com/connect/10074733072513#/reservations/30686434783448?display=Julie%20Paul&amp;reservation_id=30686434783448&amp;guest_id=30686434783445", "Julie Paul")</f>
        <v>Julie Paul</v>
      </c>
      <c r="E3361" t="s">
        <v>3335</v>
      </c>
      <c r="F3361" t="s">
        <v>3244</v>
      </c>
      <c r="G3361">
        <v>120.2</v>
      </c>
      <c r="H3361">
        <v>130.65</v>
      </c>
      <c r="I3361">
        <v>130.66</v>
      </c>
      <c r="J3361">
        <v>-0.01</v>
      </c>
    </row>
    <row r="3362" spans="1:10" x14ac:dyDescent="0.3">
      <c r="A3362" t="str">
        <f>HYPERLINK("https://us2.cloudbeds.com/connect/10074733072513#/reservations/30688436707480?display=YR2EMNEGC&amp;reservation_id=30688436707480", "YR2EMNEGC")</f>
        <v>YR2EMNEGC</v>
      </c>
      <c r="B3362" t="s">
        <v>10</v>
      </c>
      <c r="C3362" t="s">
        <v>11</v>
      </c>
      <c r="D3362" t="str">
        <f>HYPERLINK("https://us2.cloudbeds.com/connect/10074733072513#/reservations/30688436707480?display=Mason%20Pitts&amp;reservation_id=30688436707480&amp;guest_id=30684238549236", "Mason Pitts")</f>
        <v>Mason Pitts</v>
      </c>
      <c r="E3362" t="s">
        <v>2955</v>
      </c>
      <c r="F3362" t="s">
        <v>3131</v>
      </c>
      <c r="G3362">
        <v>94.16</v>
      </c>
      <c r="H3362">
        <v>102.34</v>
      </c>
      <c r="I3362">
        <v>102.35</v>
      </c>
      <c r="J3362">
        <v>-0.01</v>
      </c>
    </row>
    <row r="3363" spans="1:10" x14ac:dyDescent="0.3">
      <c r="A3363" t="str">
        <f>HYPERLINK("https://us2.cloudbeds.com/connect/10074733072513#/reservations/30688073580755?display=YR25DGTQ7&amp;reservation_id=30688073580755", "YR25DGTQ7")</f>
        <v>YR25DGTQ7</v>
      </c>
      <c r="B3363" t="s">
        <v>10</v>
      </c>
      <c r="C3363" t="s">
        <v>11</v>
      </c>
      <c r="D3363" t="str">
        <f>HYPERLINK("https://us2.cloudbeds.com/connect/10074733072513#/reservations/30688073580755?display=Deborah%20Taylor&amp;reservation_id=30688073580755&amp;guest_id=30688073576663", "Deborah Taylor")</f>
        <v>Deborah Taylor</v>
      </c>
      <c r="E3363" t="s">
        <v>3346</v>
      </c>
      <c r="F3363" t="s">
        <v>3309</v>
      </c>
      <c r="G3363">
        <v>232.55</v>
      </c>
      <c r="H3363">
        <v>252.77</v>
      </c>
      <c r="I3363">
        <v>252.78</v>
      </c>
      <c r="J3363">
        <v>-0.01</v>
      </c>
    </row>
    <row r="3364" spans="1:10" x14ac:dyDescent="0.3">
      <c r="A3364" t="str">
        <f>HYPERLINK("https://us2.cloudbeds.com/connect/10074733072513#/reservations/30688381522089?display=YR2D95R6Q&amp;reservation_id=30688381522089", "YR2D95R6Q")</f>
        <v>YR2D95R6Q</v>
      </c>
      <c r="B3364" t="s">
        <v>10</v>
      </c>
      <c r="C3364" t="s">
        <v>121</v>
      </c>
      <c r="D3364" t="str">
        <f>HYPERLINK("https://us2.cloudbeds.com/connect/10074733072513#/reservations/30688381522089?display=Thomas%20Kammerdiener&amp;reservation_id=30688381522089&amp;guest_id=30688381522087", "Thomas Kammerdiener")</f>
        <v>Thomas Kammerdiener</v>
      </c>
      <c r="E3364" t="s">
        <v>3351</v>
      </c>
      <c r="F3364" t="s">
        <v>3131</v>
      </c>
      <c r="G3364">
        <v>124.1</v>
      </c>
      <c r="H3364">
        <v>134.88999999999999</v>
      </c>
      <c r="I3364">
        <v>134.9</v>
      </c>
      <c r="J3364">
        <v>-0.01</v>
      </c>
    </row>
    <row r="3365" spans="1:10" x14ac:dyDescent="0.3">
      <c r="A3365" t="str">
        <f>HYPERLINK("https://us2.cloudbeds.com/connect/10074733072513#/reservations/30688086970570?display=YR25ZQGA6&amp;reservation_id=30688086970570", "YR25ZQGA6")</f>
        <v>YR25ZQGA6</v>
      </c>
      <c r="B3365" t="s">
        <v>10</v>
      </c>
      <c r="C3365" t="s">
        <v>11</v>
      </c>
      <c r="D3365" t="str">
        <f>HYPERLINK("https://us2.cloudbeds.com/connect/10074733072513#/reservations/30688086970570?display=Forrest%20A%20Fox&amp;reservation_id=30688086970570&amp;guest_id=30688081690784", "Forrest A Fox")</f>
        <v>Forrest A Fox</v>
      </c>
      <c r="E3365" t="s">
        <v>3352</v>
      </c>
      <c r="F3365" t="s">
        <v>3309</v>
      </c>
      <c r="G3365">
        <v>453.6</v>
      </c>
      <c r="H3365">
        <v>493.05</v>
      </c>
      <c r="I3365">
        <v>493.06</v>
      </c>
      <c r="J3365">
        <v>-0.01</v>
      </c>
    </row>
    <row r="3366" spans="1:10" x14ac:dyDescent="0.3">
      <c r="A3366" t="str">
        <f>HYPERLINK("https://us2.cloudbeds.com/connect/10074733072513#/reservations/30687776805019?display=YR1UR8MF3&amp;reservation_id=30687776805019", "YR1UR8MF3")</f>
        <v>YR1UR8MF3</v>
      </c>
      <c r="B3366" t="s">
        <v>10</v>
      </c>
      <c r="C3366" t="s">
        <v>11</v>
      </c>
      <c r="D3366" t="str">
        <f>HYPERLINK("https://us2.cloudbeds.com/connect/10074733072513#/reservations/30687776805019?display=Derek%20Eno&amp;reservation_id=30687776805019&amp;guest_id=30687771222208", "Derek Eno")</f>
        <v>Derek Eno</v>
      </c>
      <c r="E3366" t="s">
        <v>3359</v>
      </c>
      <c r="F3366" t="s">
        <v>3162</v>
      </c>
      <c r="G3366">
        <v>200.1</v>
      </c>
      <c r="H3366">
        <v>217.5</v>
      </c>
      <c r="I3366">
        <v>217.51</v>
      </c>
      <c r="J3366">
        <v>-0.01</v>
      </c>
    </row>
    <row r="3367" spans="1:10" x14ac:dyDescent="0.3">
      <c r="A3367" t="str">
        <f>HYPERLINK("https://us2.cloudbeds.com/connect/10074733072513#/reservations/30681993519254?display=YQUF1Y7XA&amp;reservation_id=30681993519254", "YQUF1Y7XA")</f>
        <v>YQUF1Y7XA</v>
      </c>
      <c r="B3367" t="s">
        <v>10</v>
      </c>
      <c r="C3367" t="s">
        <v>20</v>
      </c>
      <c r="D3367" t="str">
        <f>HYPERLINK("https://us2.cloudbeds.com/connect/10074733072513#/reservations/30681993519254?display=Evans%20Jessica&amp;reservation_id=30681993519254&amp;guest_id=30681993519250", "Evans Jessica")</f>
        <v>Evans Jessica</v>
      </c>
      <c r="E3367" t="s">
        <v>3363</v>
      </c>
      <c r="F3367" t="s">
        <v>2633</v>
      </c>
      <c r="G3367">
        <v>376.2</v>
      </c>
      <c r="H3367">
        <v>408.92</v>
      </c>
      <c r="I3367">
        <v>408.93</v>
      </c>
      <c r="J3367">
        <v>-0.01</v>
      </c>
    </row>
    <row r="3368" spans="1:10" x14ac:dyDescent="0.3">
      <c r="A3368" t="str">
        <f>HYPERLINK("https://us2.cloudbeds.com/connect/10074733072513#/reservations/30687236092113?display=YR1H0AX1H&amp;reservation_id=30687236092113", "YR1H0AX1H")</f>
        <v>YR1H0AX1H</v>
      </c>
      <c r="B3368" t="s">
        <v>10</v>
      </c>
      <c r="C3368" t="s">
        <v>11</v>
      </c>
      <c r="D3368" t="str">
        <f>HYPERLINK("https://us2.cloudbeds.com/connect/10074733072513#/reservations/30687236092113?display=Tracy%20C%20Bruce&amp;reservation_id=30687236092113&amp;guest_id=30687229239482", "Tracy C Bruce")</f>
        <v>Tracy C Bruce</v>
      </c>
      <c r="E3368" t="s">
        <v>3366</v>
      </c>
      <c r="F3368" t="s">
        <v>3141</v>
      </c>
      <c r="G3368">
        <v>120.2</v>
      </c>
      <c r="H3368">
        <v>130.65</v>
      </c>
      <c r="I3368">
        <v>130.66</v>
      </c>
      <c r="J3368">
        <v>-0.01</v>
      </c>
    </row>
    <row r="3369" spans="1:10" x14ac:dyDescent="0.3">
      <c r="A3369" t="str">
        <f>HYPERLINK("https://us2.cloudbeds.com/connect/10074733072513#/reservations/30687607013530?display=YR1QG2WDF&amp;reservation_id=30687607013530", "YR1QG2WDF")</f>
        <v>YR1QG2WDF</v>
      </c>
      <c r="B3369" t="s">
        <v>10</v>
      </c>
      <c r="C3369" t="s">
        <v>42</v>
      </c>
      <c r="D3369" t="str">
        <f>HYPERLINK("https://us2.cloudbeds.com/connect/10074733072513#/reservations/30687607013530?display=Clemente%20Hernabndez&amp;reservation_id=30687607013530&amp;guest_id=30687607009430", "Clemente Hernabndez")</f>
        <v>Clemente Hernabndez</v>
      </c>
      <c r="E3369" t="s">
        <v>3377</v>
      </c>
      <c r="F3369" t="s">
        <v>3068</v>
      </c>
      <c r="G3369">
        <v>170.1</v>
      </c>
      <c r="H3369">
        <v>184.89</v>
      </c>
      <c r="I3369">
        <v>184.9</v>
      </c>
      <c r="J3369">
        <v>-0.01</v>
      </c>
    </row>
    <row r="3370" spans="1:10" x14ac:dyDescent="0.3">
      <c r="A3370" t="str">
        <f>HYPERLINK("https://us2.cloudbeds.com/connect/10074733072513#/reservations/30685151359216?display=YQWTZDPPC&amp;reservation_id=30685151359216", "YQWTZDPPC")</f>
        <v>YQWTZDPPC</v>
      </c>
      <c r="B3370" t="s">
        <v>10</v>
      </c>
      <c r="C3370" t="s">
        <v>20</v>
      </c>
      <c r="D3370" t="str">
        <f>HYPERLINK("https://us2.cloudbeds.com/connect/10074733072513#/reservations/30685151359216?display=Brenda%20Schwartz&amp;reservation_id=30685151359216&amp;guest_id=30685151359211", "Brenda Schwartz")</f>
        <v>Brenda Schwartz</v>
      </c>
      <c r="E3370" t="s">
        <v>3378</v>
      </c>
      <c r="F3370" t="s">
        <v>3379</v>
      </c>
      <c r="G3370">
        <v>112.24</v>
      </c>
      <c r="H3370">
        <v>121.99</v>
      </c>
      <c r="I3370">
        <v>122</v>
      </c>
      <c r="J3370">
        <v>-0.01</v>
      </c>
    </row>
    <row r="3371" spans="1:10" x14ac:dyDescent="0.3">
      <c r="A3371" t="str">
        <f>HYPERLINK("https://us2.cloudbeds.com/connect/10074733072513#/reservations/30686813970594?display=YR167CCWB&amp;reservation_id=30686813970594", "YR167CCWB")</f>
        <v>YR167CCWB</v>
      </c>
      <c r="B3371" t="s">
        <v>10</v>
      </c>
      <c r="C3371" t="s">
        <v>42</v>
      </c>
      <c r="D3371" t="str">
        <f>HYPERLINK("https://us2.cloudbeds.com/connect/10074733072513#/reservations/30686813970594?display=Jacob%20Marcy&amp;reservation_id=30686813970594&amp;guest_id=30686813966499", "Jacob Marcy")</f>
        <v>Jacob Marcy</v>
      </c>
      <c r="E3371" t="s">
        <v>3387</v>
      </c>
      <c r="F3371" t="s">
        <v>3191</v>
      </c>
      <c r="G3371">
        <v>254.4</v>
      </c>
      <c r="H3371">
        <v>276.52</v>
      </c>
      <c r="I3371">
        <v>276.52999999999997</v>
      </c>
      <c r="J3371">
        <v>-0.01</v>
      </c>
    </row>
    <row r="3372" spans="1:10" x14ac:dyDescent="0.3">
      <c r="A3372" t="str">
        <f>HYPERLINK("https://us2.cloudbeds.com/connect/10074733072513#/reservations/30684212093060?display=YQW5ZDADJ&amp;reservation_id=30684212093060", "YQW5ZDADJ")</f>
        <v>YQW5ZDADJ</v>
      </c>
      <c r="B3372" t="s">
        <v>10</v>
      </c>
      <c r="C3372" t="s">
        <v>20</v>
      </c>
      <c r="D3372" t="str">
        <f>HYPERLINK("https://us2.cloudbeds.com/connect/10074733072513#/reservations/30684212093060?display=Kevin%20Riley&amp;reservation_id=30684212093060&amp;guest_id=30684212093058", "Kevin Riley")</f>
        <v>Kevin Riley</v>
      </c>
      <c r="E3372" t="s">
        <v>3389</v>
      </c>
      <c r="F3372" t="s">
        <v>3251</v>
      </c>
      <c r="G3372">
        <v>537.29999999999995</v>
      </c>
      <c r="H3372">
        <v>584.04</v>
      </c>
      <c r="I3372">
        <v>584.04999999999995</v>
      </c>
      <c r="J3372">
        <v>-0.01</v>
      </c>
    </row>
    <row r="3373" spans="1:10" x14ac:dyDescent="0.3">
      <c r="A3373" t="str">
        <f>HYPERLINK("https://us2.cloudbeds.com/connect/10074733072513#/reservations/30686852292829?display=YR176MP96&amp;reservation_id=30686852292829", "YR176MP96")</f>
        <v>YR176MP96</v>
      </c>
      <c r="B3373" t="s">
        <v>10</v>
      </c>
      <c r="C3373" t="s">
        <v>11</v>
      </c>
      <c r="D3373" t="str">
        <f>HYPERLINK("https://us2.cloudbeds.com/connect/10074733072513#/reservations/30686852292829?display=Jeff%20Cardon&amp;reservation_id=30686852292829&amp;guest_id=30686846271621", "Jeff Cardon")</f>
        <v>Jeff Cardon</v>
      </c>
      <c r="E3373" t="s">
        <v>3391</v>
      </c>
      <c r="F3373" t="s">
        <v>3191</v>
      </c>
      <c r="G3373">
        <v>152.15</v>
      </c>
      <c r="H3373">
        <v>165.38</v>
      </c>
      <c r="I3373">
        <v>165.39</v>
      </c>
      <c r="J3373">
        <v>-0.01</v>
      </c>
    </row>
    <row r="3374" spans="1:10" x14ac:dyDescent="0.3">
      <c r="A3374" t="str">
        <f>HYPERLINK("https://us2.cloudbeds.com/connect/10074733072513#/reservations/30686608740549?display=YR10WAXY2&amp;reservation_id=30686608740549", "YR10WAXY2")</f>
        <v>YR10WAXY2</v>
      </c>
      <c r="B3374" t="s">
        <v>10</v>
      </c>
      <c r="C3374" t="s">
        <v>20</v>
      </c>
      <c r="D3374" t="str">
        <f>HYPERLINK("https://us2.cloudbeds.com/connect/10074733072513#/reservations/30686608740549?display=Shawn%20Lynes&amp;reservation_id=30686608740549&amp;guest_id=30686608740547", "Shawn Lynes")</f>
        <v>Shawn Lynes</v>
      </c>
      <c r="E3374" t="s">
        <v>3393</v>
      </c>
      <c r="F3374" t="s">
        <v>2481</v>
      </c>
      <c r="G3374">
        <v>537.29999999999995</v>
      </c>
      <c r="H3374">
        <v>584.04</v>
      </c>
      <c r="I3374">
        <v>584.04999999999995</v>
      </c>
      <c r="J3374">
        <v>-0.01</v>
      </c>
    </row>
    <row r="3375" spans="1:10" x14ac:dyDescent="0.3">
      <c r="A3375" t="str">
        <f>HYPERLINK("https://us2.cloudbeds.com/connect/10074733072513#/reservations/30684284215453?display=YQW7J77GY&amp;reservation_id=30684284215453", "YQW7J77GY")</f>
        <v>YQW7J77GY</v>
      </c>
      <c r="B3375" t="s">
        <v>10</v>
      </c>
      <c r="C3375" t="s">
        <v>42</v>
      </c>
      <c r="D3375" t="str">
        <f>HYPERLINK("https://us2.cloudbeds.com/connect/10074733072513#/reservations/30684284215453?display=Cameron%20Wyly&amp;reservation_id=30684284215453&amp;guest_id=30670036390088", "Cameron Wyly")</f>
        <v>Cameron Wyly</v>
      </c>
      <c r="E3375" t="s">
        <v>2708</v>
      </c>
      <c r="F3375" t="s">
        <v>3191</v>
      </c>
      <c r="G3375">
        <v>184</v>
      </c>
      <c r="H3375">
        <v>200</v>
      </c>
      <c r="I3375">
        <v>200.01</v>
      </c>
      <c r="J3375">
        <v>-0.01</v>
      </c>
    </row>
    <row r="3376" spans="1:10" x14ac:dyDescent="0.3">
      <c r="A3376" t="str">
        <f>HYPERLINK("https://us2.cloudbeds.com/connect/10074733072513#/reservations/30686450942098?display=YR0TV8JFR&amp;reservation_id=30686450942098", "YR0TV8JFR")</f>
        <v>YR0TV8JFR</v>
      </c>
      <c r="B3376" t="s">
        <v>10</v>
      </c>
      <c r="C3376" t="s">
        <v>11</v>
      </c>
      <c r="D3376" t="str">
        <f>HYPERLINK("https://us2.cloudbeds.com/connect/10074733072513#/reservations/30686450942098?display=Cole%20Levisay&amp;reservation_id=30686450942098&amp;guest_id=30686450942093", "Cole Levisay")</f>
        <v>Cole Levisay</v>
      </c>
      <c r="E3376" t="s">
        <v>3396</v>
      </c>
      <c r="F3376" t="s">
        <v>3244</v>
      </c>
      <c r="G3376">
        <v>169.15</v>
      </c>
      <c r="H3376">
        <v>183.86</v>
      </c>
      <c r="I3376">
        <v>183.87</v>
      </c>
      <c r="J3376">
        <v>-0.01</v>
      </c>
    </row>
    <row r="3377" spans="1:10" x14ac:dyDescent="0.3">
      <c r="A3377" t="str">
        <f>HYPERLINK("https://us2.cloudbeds.com/connect/10074733072513#/reservations/30686434787541?display=YR0THY25Q&amp;reservation_id=30686434787541", "YR0THY25Q")</f>
        <v>YR0THY25Q</v>
      </c>
      <c r="B3377" t="s">
        <v>10</v>
      </c>
      <c r="C3377" t="s">
        <v>20</v>
      </c>
      <c r="D3377" t="str">
        <f>HYPERLINK("https://us2.cloudbeds.com/connect/10074733072513#/reservations/30686434787541?display=Erin%20Sardiello&amp;reservation_id=30686434787541&amp;guest_id=30686434783446", "Erin Sardiello")</f>
        <v>Erin Sardiello</v>
      </c>
      <c r="E3377" t="s">
        <v>3397</v>
      </c>
      <c r="F3377" t="s">
        <v>3398</v>
      </c>
      <c r="G3377">
        <v>272.94</v>
      </c>
      <c r="H3377">
        <v>296.68</v>
      </c>
      <c r="I3377">
        <v>296.69</v>
      </c>
      <c r="J3377">
        <v>-0.01</v>
      </c>
    </row>
    <row r="3378" spans="1:10" x14ac:dyDescent="0.3">
      <c r="A3378" t="str">
        <f>HYPERLINK("https://us2.cloudbeds.com/connect/10074733072513#/reservations/30684231082138?display=YQW67DNJ6&amp;reservation_id=30684231082138", "YQW67DNJ6")</f>
        <v>YQW67DNJ6</v>
      </c>
      <c r="B3378" t="s">
        <v>10</v>
      </c>
      <c r="C3378" t="s">
        <v>11</v>
      </c>
      <c r="D3378" t="str">
        <f>HYPERLINK("https://us2.cloudbeds.com/connect/10074733072513#/reservations/30684231082138?display=Jennifer%20Ann%20Ellsworth&amp;reservation_id=30684231082138&amp;guest_id=30684231078046", "Jennifer Ann Ellsworth")</f>
        <v>Jennifer Ann Ellsworth</v>
      </c>
      <c r="E3378" t="s">
        <v>3413</v>
      </c>
      <c r="F3378" t="s">
        <v>3309</v>
      </c>
      <c r="G3378">
        <v>141.49</v>
      </c>
      <c r="H3378">
        <v>153.79</v>
      </c>
      <c r="I3378">
        <v>153.80000000000001</v>
      </c>
      <c r="J3378">
        <v>-0.01</v>
      </c>
    </row>
    <row r="3379" spans="1:10" x14ac:dyDescent="0.3">
      <c r="A3379" t="str">
        <f>HYPERLINK("https://us2.cloudbeds.com/connect/10074733072513#/reservations/30688121929961?display=YR26Y99JM&amp;reservation_id=30688121929961", "YR26Y99JM")</f>
        <v>YR26Y99JM</v>
      </c>
      <c r="B3379" t="s">
        <v>10</v>
      </c>
      <c r="C3379" t="s">
        <v>11</v>
      </c>
      <c r="D3379" t="str">
        <f>HYPERLINK("https://us2.cloudbeds.com/connect/10074733072513#/reservations/30688121929961?display=Lana%20Christensen&amp;reservation_id=30688121929961&amp;guest_id=30688121929957", "Lana Christensen")</f>
        <v>Lana Christensen</v>
      </c>
      <c r="E3379" t="s">
        <v>3414</v>
      </c>
      <c r="F3379" t="s">
        <v>3309</v>
      </c>
      <c r="G3379">
        <v>148.6</v>
      </c>
      <c r="H3379">
        <v>161.52000000000001</v>
      </c>
      <c r="I3379">
        <v>161.53</v>
      </c>
      <c r="J3379">
        <v>-0.01</v>
      </c>
    </row>
    <row r="3380" spans="1:10" x14ac:dyDescent="0.3">
      <c r="A3380" t="str">
        <f>HYPERLINK("https://us2.cloudbeds.com/connect/10074733072513#/reservations/30687069671581?display=YR1CZWYF3&amp;reservation_id=30687069671581", "YR1CZWYF3")</f>
        <v>YR1CZWYF3</v>
      </c>
      <c r="B3380" t="s">
        <v>10</v>
      </c>
      <c r="C3380" t="s">
        <v>42</v>
      </c>
      <c r="D3380" t="str">
        <f>HYPERLINK("https://us2.cloudbeds.com/connect/10074733072513#/reservations/30687069671581?display=Cameron%20Wyly&amp;reservation_id=30687069671581&amp;guest_id=30670036390088", "Cameron Wyly")</f>
        <v>Cameron Wyly</v>
      </c>
      <c r="E3380" t="s">
        <v>2708</v>
      </c>
      <c r="F3380" t="s">
        <v>3309</v>
      </c>
      <c r="G3380">
        <v>184</v>
      </c>
      <c r="H3380">
        <v>200</v>
      </c>
      <c r="I3380">
        <v>200.01</v>
      </c>
      <c r="J3380">
        <v>-0.01</v>
      </c>
    </row>
    <row r="3381" spans="1:10" x14ac:dyDescent="0.3">
      <c r="A3381" t="str">
        <f>HYPERLINK("https://us2.cloudbeds.com/connect/10074733072513#/reservations/30686656155902?display=YR1269VTV&amp;reservation_id=30686656155902", "YR1269VTV")</f>
        <v>YR1269VTV</v>
      </c>
      <c r="B3381" t="s">
        <v>10</v>
      </c>
      <c r="C3381" t="s">
        <v>11</v>
      </c>
      <c r="D3381" t="str">
        <f>HYPERLINK("https://us2.cloudbeds.com/connect/10074733072513#/reservations/30686656155902?display=Stephanie%20Anderson&amp;reservation_id=30686656155902&amp;guest_id=30686656155897", "Stephanie Anderson")</f>
        <v>Stephanie Anderson</v>
      </c>
      <c r="E3381" t="s">
        <v>3424</v>
      </c>
      <c r="F3381" t="s">
        <v>3383</v>
      </c>
      <c r="G3381">
        <v>114.15</v>
      </c>
      <c r="H3381">
        <v>124.07</v>
      </c>
      <c r="I3381">
        <v>124.08</v>
      </c>
      <c r="J3381">
        <v>-0.01</v>
      </c>
    </row>
    <row r="3382" spans="1:10" x14ac:dyDescent="0.3">
      <c r="A3382" t="str">
        <f>HYPERLINK("https://us2.cloudbeds.com/connect/10074733072513#/reservations/30687830634638?display=YR1W6YXPY&amp;reservation_id=30687830634638", "YR1W6YXPY")</f>
        <v>YR1W6YXPY</v>
      </c>
      <c r="B3382" t="s">
        <v>10</v>
      </c>
      <c r="C3382" t="s">
        <v>20</v>
      </c>
      <c r="D3382" t="str">
        <f>HYPERLINK("https://us2.cloudbeds.com/connect/10074733072513#/reservations/30687830634638?display=Randall%20Boshart&amp;reservation_id=30687830634638&amp;guest_id=30687824490748", "Randall Boshart")</f>
        <v>Randall Boshart</v>
      </c>
      <c r="E3382" t="s">
        <v>3429</v>
      </c>
      <c r="F3382" t="s">
        <v>3302</v>
      </c>
      <c r="G3382">
        <v>186.15</v>
      </c>
      <c r="H3382">
        <v>202.34</v>
      </c>
      <c r="I3382">
        <v>202.35</v>
      </c>
      <c r="J3382">
        <v>-0.01</v>
      </c>
    </row>
    <row r="3383" spans="1:10" x14ac:dyDescent="0.3">
      <c r="A3383" t="str">
        <f>HYPERLINK("https://us2.cloudbeds.com/connect/10074733072513#/reservations/30687037444349?display=YR1BUQT1A&amp;reservation_id=30687037444349", "YR1BUQT1A")</f>
        <v>YR1BUQT1A</v>
      </c>
      <c r="B3383" t="s">
        <v>10</v>
      </c>
      <c r="C3383" t="s">
        <v>11</v>
      </c>
      <c r="D3383" t="str">
        <f>HYPERLINK("https://us2.cloudbeds.com/connect/10074733072513#/reservations/30687037444349?display=Morgan%20Howell&amp;reservation_id=30687037444349&amp;guest_id=30687037444347", "Morgan Howell")</f>
        <v>Morgan Howell</v>
      </c>
      <c r="E3383" t="s">
        <v>3431</v>
      </c>
      <c r="F3383" t="s">
        <v>3418</v>
      </c>
      <c r="G3383">
        <v>240.32</v>
      </c>
      <c r="H3383">
        <v>261.22000000000003</v>
      </c>
      <c r="I3383">
        <v>261.23</v>
      </c>
      <c r="J3383">
        <v>-0.01</v>
      </c>
    </row>
    <row r="3384" spans="1:10" x14ac:dyDescent="0.3">
      <c r="A3384" t="str">
        <f>HYPERLINK("https://us2.cloudbeds.com/connect/10074733072513#/reservations/30686555897999?display=YR0WKP4NY&amp;reservation_id=30686555897999", "YR0WKP4NY")</f>
        <v>YR0WKP4NY</v>
      </c>
      <c r="B3384" t="s">
        <v>10</v>
      </c>
      <c r="C3384" t="s">
        <v>11</v>
      </c>
      <c r="D3384" t="str">
        <f>HYPERLINK("https://us2.cloudbeds.com/connect/10074733072513#/reservations/30686555897999?display=Erika%20Moratilla&amp;reservation_id=30686555897999&amp;guest_id=30686555893906", "Erika Moratilla")</f>
        <v>Erika Moratilla</v>
      </c>
      <c r="E3384" t="s">
        <v>3434</v>
      </c>
      <c r="F3384" t="s">
        <v>3383</v>
      </c>
      <c r="G3384">
        <v>114.15</v>
      </c>
      <c r="H3384">
        <v>124.07</v>
      </c>
      <c r="I3384">
        <v>124.08</v>
      </c>
      <c r="J3384">
        <v>-0.01</v>
      </c>
    </row>
    <row r="3385" spans="1:10" x14ac:dyDescent="0.3">
      <c r="A3385" t="str">
        <f>HYPERLINK("https://us2.cloudbeds.com/connect/10074733072513#/reservations/30687706931358?display=YR1T1BBAE&amp;reservation_id=30687706931358", "YR1T1BBAE")</f>
        <v>YR1T1BBAE</v>
      </c>
      <c r="B3385" t="s">
        <v>10</v>
      </c>
      <c r="C3385" t="s">
        <v>42</v>
      </c>
      <c r="D3385" t="str">
        <f>HYPERLINK("https://us2.cloudbeds.com/connect/10074733072513#/reservations/30687706931358?display=Dave%20Lamerts&amp;reservation_id=30687706931358&amp;guest_id=30687706931353", "Dave Lamerts")</f>
        <v>Dave Lamerts</v>
      </c>
      <c r="E3385" t="s">
        <v>3435</v>
      </c>
      <c r="F3385" t="s">
        <v>3383</v>
      </c>
      <c r="G3385">
        <v>143.65</v>
      </c>
      <c r="H3385">
        <v>156.13999999999999</v>
      </c>
      <c r="I3385">
        <v>156.15</v>
      </c>
      <c r="J3385">
        <v>-0.01</v>
      </c>
    </row>
    <row r="3386" spans="1:10" x14ac:dyDescent="0.3">
      <c r="A3386" t="str">
        <f>HYPERLINK("https://us2.cloudbeds.com/connect/10074733072513#/reservations/30686030078164?display=YR0J6CE79&amp;reservation_id=30686030078164", "YR0J6CE79")</f>
        <v>YR0J6CE79</v>
      </c>
      <c r="B3386" t="s">
        <v>10</v>
      </c>
      <c r="C3386" t="s">
        <v>42</v>
      </c>
      <c r="D3386" t="str">
        <f>HYPERLINK("https://us2.cloudbeds.com/connect/10074733072513#/reservations/30686030078164?display=Lisa%20Green&amp;reservation_id=30686030078164&amp;guest_id=30686030078157", "Lisa Green")</f>
        <v>Lisa Green</v>
      </c>
      <c r="E3386" t="s">
        <v>3436</v>
      </c>
      <c r="F3386" t="s">
        <v>2581</v>
      </c>
      <c r="G3386">
        <v>270.2</v>
      </c>
      <c r="H3386">
        <v>293.7</v>
      </c>
      <c r="I3386">
        <v>293.70999999999998</v>
      </c>
      <c r="J3386">
        <v>-0.01</v>
      </c>
    </row>
    <row r="3387" spans="1:10" x14ac:dyDescent="0.3">
      <c r="A3387" t="str">
        <f>HYPERLINK("https://us2.cloudbeds.com/connect/10074733072513#/reservations/30685159727338?display=YQWTVFKWQ&amp;reservation_id=30685159727338", "YQWTVFKWQ")</f>
        <v>YQWTVFKWQ</v>
      </c>
      <c r="B3387" t="s">
        <v>10</v>
      </c>
      <c r="C3387" t="s">
        <v>42</v>
      </c>
      <c r="D3387" t="str">
        <f>HYPERLINK("https://us2.cloudbeds.com/connect/10074733072513#/reservations/30685159727338?display=Harriet%20Shumski&amp;reservation_id=30685159727338&amp;guest_id=30684803989686", "Harriet Shumski")</f>
        <v>Harriet Shumski</v>
      </c>
      <c r="E3387" t="s">
        <v>3438</v>
      </c>
      <c r="F3387" t="s">
        <v>3439</v>
      </c>
      <c r="G3387">
        <v>143.19999999999999</v>
      </c>
      <c r="H3387">
        <v>155.65</v>
      </c>
      <c r="I3387">
        <v>155.66</v>
      </c>
      <c r="J3387">
        <v>-0.01</v>
      </c>
    </row>
    <row r="3388" spans="1:10" x14ac:dyDescent="0.3">
      <c r="A3388" t="str">
        <f>HYPERLINK("https://us2.cloudbeds.com/connect/10074733072513#/reservations/30684803993730?display=YQWKSGR6H&amp;reservation_id=30684803993730", "YQWKSGR6H")</f>
        <v>YQWKSGR6H</v>
      </c>
      <c r="B3388" t="s">
        <v>10</v>
      </c>
      <c r="C3388" t="s">
        <v>42</v>
      </c>
      <c r="D3388" t="str">
        <f>HYPERLINK("https://us2.cloudbeds.com/connect/10074733072513#/reservations/30684803993730?display=Harriet%20Shumski&amp;reservation_id=30684803993730&amp;guest_id=30684803989686", "Harriet Shumski")</f>
        <v>Harriet Shumski</v>
      </c>
      <c r="E3388" t="s">
        <v>3438</v>
      </c>
      <c r="F3388" t="s">
        <v>3005</v>
      </c>
      <c r="G3388">
        <v>167.2</v>
      </c>
      <c r="H3388">
        <v>181.74</v>
      </c>
      <c r="I3388">
        <v>181.75</v>
      </c>
      <c r="J3388">
        <v>-0.01</v>
      </c>
    </row>
    <row r="3389" spans="1:10" x14ac:dyDescent="0.3">
      <c r="A3389" t="str">
        <f>HYPERLINK("https://us2.cloudbeds.com/connect/10074733072513#/reservations/30686590058663?display=YR10GXNXA&amp;reservation_id=30686590058663", "YR10GXNXA")</f>
        <v>YR10GXNXA</v>
      </c>
      <c r="B3389" t="s">
        <v>10</v>
      </c>
      <c r="C3389" t="s">
        <v>20</v>
      </c>
      <c r="D3389" t="str">
        <f>HYPERLINK("https://us2.cloudbeds.com/connect/10074733072513#/reservations/30686590058663?display=Cyndi%20Wiles&amp;reservation_id=30686590058663&amp;guest_id=30686580670605", "Cyndi Wiles")</f>
        <v>Cyndi Wiles</v>
      </c>
      <c r="E3389" t="s">
        <v>3444</v>
      </c>
      <c r="F3389" t="s">
        <v>2481</v>
      </c>
      <c r="G3389">
        <v>372.3</v>
      </c>
      <c r="H3389">
        <v>404.68</v>
      </c>
      <c r="I3389">
        <v>404.69</v>
      </c>
      <c r="J3389">
        <v>-0.01</v>
      </c>
    </row>
    <row r="3390" spans="1:10" x14ac:dyDescent="0.3">
      <c r="A3390" t="str">
        <f>HYPERLINK("https://us2.cloudbeds.com/connect/10074733072513#/reservations/30686885613729?display=YR181PVWD&amp;reservation_id=30686885613729", "YR181PVWD")</f>
        <v>YR181PVWD</v>
      </c>
      <c r="B3390" t="s">
        <v>10</v>
      </c>
      <c r="C3390" t="s">
        <v>121</v>
      </c>
      <c r="D3390" t="str">
        <f>HYPERLINK("https://us2.cloudbeds.com/connect/10074733072513#/reservations/30686885613729?display=Christina%20Garrison&amp;reservation_id=30686885613729&amp;guest_id=30686885609643", "Christina Garrison")</f>
        <v>Christina Garrison</v>
      </c>
      <c r="E3390" t="s">
        <v>3446</v>
      </c>
      <c r="F3390" t="s">
        <v>3302</v>
      </c>
      <c r="G3390">
        <v>224.1</v>
      </c>
      <c r="H3390">
        <v>243.59</v>
      </c>
      <c r="I3390">
        <v>243.6</v>
      </c>
      <c r="J3390">
        <v>-0.01</v>
      </c>
    </row>
    <row r="3391" spans="1:10" x14ac:dyDescent="0.3">
      <c r="A3391" t="str">
        <f>HYPERLINK("https://us2.cloudbeds.com/connect/10074733072513#/reservations/30687440220319?display=YR1M7ENJZ&amp;reservation_id=30687440220319", "YR1M7ENJZ")</f>
        <v>YR1M7ENJZ</v>
      </c>
      <c r="B3391" t="s">
        <v>10</v>
      </c>
      <c r="C3391" t="s">
        <v>42</v>
      </c>
      <c r="D3391" t="str">
        <f>HYPERLINK("https://us2.cloudbeds.com/connect/10074733072513#/reservations/30687440220319?display=Lori%20James&amp;reservation_id=30687440220319&amp;guest_id=30687430107334", "Lori James")</f>
        <v>Lori James</v>
      </c>
      <c r="E3391" t="s">
        <v>3448</v>
      </c>
      <c r="F3391" t="s">
        <v>3449</v>
      </c>
      <c r="G3391">
        <v>456.3</v>
      </c>
      <c r="H3391">
        <v>495.99</v>
      </c>
      <c r="I3391">
        <v>496</v>
      </c>
      <c r="J3391">
        <v>-0.01</v>
      </c>
    </row>
    <row r="3392" spans="1:10" x14ac:dyDescent="0.3">
      <c r="A3392" t="str">
        <f>HYPERLINK("https://us2.cloudbeds.com/connect/10074733072513#/reservations/30685785874564?display=YR0CVF3G6&amp;reservation_id=30685785874564", "YR0CVF3G6")</f>
        <v>YR0CVF3G6</v>
      </c>
      <c r="B3392" t="s">
        <v>10</v>
      </c>
      <c r="C3392" t="s">
        <v>20</v>
      </c>
      <c r="D3392" t="str">
        <f>HYPERLINK("https://us2.cloudbeds.com/connect/10074733072513#/reservations/30685785874564?display=Larry%20Clayton&amp;reservation_id=30685785874564&amp;guest_id=30685774328043", "Larry Clayton")</f>
        <v>Larry Clayton</v>
      </c>
      <c r="E3392" t="s">
        <v>3453</v>
      </c>
      <c r="F3392" t="s">
        <v>3454</v>
      </c>
      <c r="G3392">
        <v>254.8</v>
      </c>
      <c r="H3392">
        <v>276.95999999999998</v>
      </c>
      <c r="I3392">
        <v>276.97000000000003</v>
      </c>
      <c r="J3392">
        <v>-0.01</v>
      </c>
    </row>
    <row r="3393" spans="1:10" x14ac:dyDescent="0.3">
      <c r="A3393" t="str">
        <f>HYPERLINK("https://us2.cloudbeds.com/connect/10074733072513#/reservations/30686837641452?display=YR16RB2A2&amp;reservation_id=30686837641452", "YR16RB2A2")</f>
        <v>YR16RB2A2</v>
      </c>
      <c r="B3393" t="s">
        <v>10</v>
      </c>
      <c r="C3393" t="s">
        <v>20</v>
      </c>
      <c r="D3393" t="str">
        <f>HYPERLINK("https://us2.cloudbeds.com/connect/10074733072513#/reservations/30686837641452?display=Simona%20Pedersen&amp;reservation_id=30686837641452&amp;guest_id=30686837641449", "Simona Pedersen")</f>
        <v>Simona Pedersen</v>
      </c>
      <c r="E3393" t="s">
        <v>3455</v>
      </c>
      <c r="F3393" t="s">
        <v>3449</v>
      </c>
      <c r="G3393">
        <v>186.15</v>
      </c>
      <c r="H3393">
        <v>202.34</v>
      </c>
      <c r="I3393">
        <v>202.35</v>
      </c>
      <c r="J3393">
        <v>-0.01</v>
      </c>
    </row>
    <row r="3394" spans="1:10" x14ac:dyDescent="0.3">
      <c r="A3394" t="str">
        <f>HYPERLINK("https://us2.cloudbeds.com/connect/10074733072513#/reservations/30686299377821?display=YR0Q2F2WV&amp;reservation_id=30686299377821", "YR0Q2F2WV")</f>
        <v>YR0Q2F2WV</v>
      </c>
      <c r="B3394" t="s">
        <v>10</v>
      </c>
      <c r="C3394" t="s">
        <v>42</v>
      </c>
      <c r="D3394" t="str">
        <f>HYPERLINK("https://us2.cloudbeds.com/connect/10074733072513#/reservations/30686299377821?display=Larry%20Richert&amp;reservation_id=30686299377821&amp;guest_id=30686299377808", "Larry Richert")</f>
        <v>Larry Richert</v>
      </c>
      <c r="E3394" t="s">
        <v>3461</v>
      </c>
      <c r="F3394" t="s">
        <v>3244</v>
      </c>
      <c r="G3394">
        <v>268.2</v>
      </c>
      <c r="H3394">
        <v>291.52</v>
      </c>
      <c r="I3394">
        <v>291.52999999999997</v>
      </c>
      <c r="J3394">
        <v>-0.01</v>
      </c>
    </row>
    <row r="3395" spans="1:10" x14ac:dyDescent="0.3">
      <c r="A3395" t="str">
        <f>HYPERLINK("https://us2.cloudbeds.com/connect/10074733072513#/reservations/30686503485594?display=YR0V9XMPW&amp;reservation_id=30686503485594", "YR0V9XMPW")</f>
        <v>YR0V9XMPW</v>
      </c>
      <c r="B3395" t="s">
        <v>10</v>
      </c>
      <c r="C3395" t="s">
        <v>42</v>
      </c>
      <c r="D3395" t="str">
        <f>HYPERLINK("https://us2.cloudbeds.com/connect/10074733072513#/reservations/30686503485594?display=James%20Erickson&amp;reservation_id=30686503485594&amp;guest_id=30686494630088", "James Erickson")</f>
        <v>James Erickson</v>
      </c>
      <c r="E3395" t="s">
        <v>3465</v>
      </c>
      <c r="F3395" t="s">
        <v>3466</v>
      </c>
      <c r="G3395">
        <v>134.1</v>
      </c>
      <c r="H3395">
        <v>145.76</v>
      </c>
      <c r="I3395">
        <v>145.77000000000001</v>
      </c>
      <c r="J3395">
        <v>-0.01</v>
      </c>
    </row>
    <row r="3396" spans="1:10" x14ac:dyDescent="0.3">
      <c r="A3396" t="str">
        <f>HYPERLINK("https://us2.cloudbeds.com/connect/10074733072513#/reservations/30686525743337?display=YR0VSB1G1&amp;reservation_id=30686525743337", "YR0VSB1G1")</f>
        <v>YR0VSB1G1</v>
      </c>
      <c r="B3396" t="s">
        <v>10</v>
      </c>
      <c r="C3396" t="s">
        <v>42</v>
      </c>
      <c r="D3396" t="str">
        <f>HYPERLINK("https://us2.cloudbeds.com/connect/10074733072513#/reservations/30686525743337?display=Deonna%20Randle&amp;reservation_id=30686525743337&amp;guest_id=30686525743334", "Deonna Randle")</f>
        <v>Deonna Randle</v>
      </c>
      <c r="E3396" t="s">
        <v>3468</v>
      </c>
      <c r="F3396" t="s">
        <v>3466</v>
      </c>
      <c r="G3396">
        <v>134.1</v>
      </c>
      <c r="H3396">
        <v>145.76</v>
      </c>
      <c r="I3396">
        <v>145.77000000000001</v>
      </c>
      <c r="J3396">
        <v>-0.01</v>
      </c>
    </row>
    <row r="3397" spans="1:10" x14ac:dyDescent="0.3">
      <c r="A3397" t="str">
        <f>HYPERLINK("https://us2.cloudbeds.com/connect/10074733072513#/reservations/30686583726280?display=YR10B7GMU&amp;reservation_id=30686583726280", "YR10B7GMU")</f>
        <v>YR10B7GMU</v>
      </c>
      <c r="B3397" t="s">
        <v>10</v>
      </c>
      <c r="C3397" t="s">
        <v>20</v>
      </c>
      <c r="D3397" t="str">
        <f>HYPERLINK("https://us2.cloudbeds.com/connect/10074733072513#/reservations/30686583726280?display=Carolyn%20Carter&amp;reservation_id=30686583726280&amp;guest_id=30686583726276", "Carolyn Carter")</f>
        <v>Carolyn Carter</v>
      </c>
      <c r="E3397" t="s">
        <v>3469</v>
      </c>
      <c r="F3397" t="s">
        <v>3466</v>
      </c>
      <c r="G3397">
        <v>120.32</v>
      </c>
      <c r="H3397">
        <v>130.78</v>
      </c>
      <c r="I3397">
        <v>130.79</v>
      </c>
      <c r="J3397">
        <v>-0.01</v>
      </c>
    </row>
    <row r="3398" spans="1:10" x14ac:dyDescent="0.3">
      <c r="A3398" t="str">
        <f>HYPERLINK("https://us2.cloudbeds.com/connect/10074733072513#/reservations/30686543786138?display=YR0WAX3NJ&amp;reservation_id=30686543786138", "YR0WAX3NJ")</f>
        <v>YR0WAX3NJ</v>
      </c>
      <c r="B3398" t="s">
        <v>10</v>
      </c>
      <c r="C3398" t="s">
        <v>11</v>
      </c>
      <c r="D3398" t="str">
        <f>HYPERLINK("https://us2.cloudbeds.com/connect/10074733072513#/reservations/30686543786138?display=Steven%20Reimer&amp;reservation_id=30686543786138&amp;guest_id=30682599047310", "Steven Reimer")</f>
        <v>Steven Reimer</v>
      </c>
      <c r="E3398" t="s">
        <v>3473</v>
      </c>
      <c r="F3398" t="s">
        <v>2786</v>
      </c>
      <c r="G3398">
        <v>228.62</v>
      </c>
      <c r="H3398">
        <v>248.5</v>
      </c>
      <c r="I3398">
        <v>248.51</v>
      </c>
      <c r="J3398">
        <v>-0.01</v>
      </c>
    </row>
    <row r="3399" spans="1:10" x14ac:dyDescent="0.3">
      <c r="A3399" t="str">
        <f>HYPERLINK("https://us2.cloudbeds.com/connect/10074733072513#/reservations/30681922330845?display=YQUD7KA3Q&amp;reservation_id=30681922330845", "YQUD7KA3Q")</f>
        <v>YQUD7KA3Q</v>
      </c>
      <c r="B3399" t="s">
        <v>10</v>
      </c>
      <c r="C3399" t="s">
        <v>42</v>
      </c>
      <c r="D3399" t="str">
        <f>HYPERLINK("https://us2.cloudbeds.com/connect/10074733072513#/reservations/30681922330845?display=Tammy%20Earley&amp;reservation_id=30681922330845&amp;guest_id=30681922330843", "Tammy Earley")</f>
        <v>Tammy Earley</v>
      </c>
      <c r="E3399" t="s">
        <v>3476</v>
      </c>
      <c r="F3399" t="s">
        <v>3343</v>
      </c>
      <c r="G3399">
        <v>210.2</v>
      </c>
      <c r="H3399">
        <v>228.48</v>
      </c>
      <c r="I3399">
        <v>228.49</v>
      </c>
      <c r="J3399">
        <v>-0.01</v>
      </c>
    </row>
    <row r="3400" spans="1:10" x14ac:dyDescent="0.3">
      <c r="A3400" t="str">
        <f>HYPERLINK("https://us2.cloudbeds.com/connect/10074733072513#/reservations/30684248526999?display=YQW6M44ZB&amp;reservation_id=30684248526999", "YQW6M44ZB")</f>
        <v>YQW6M44ZB</v>
      </c>
      <c r="B3400" t="s">
        <v>10</v>
      </c>
      <c r="C3400" t="s">
        <v>42</v>
      </c>
      <c r="D3400" t="str">
        <f>HYPERLINK("https://us2.cloudbeds.com/connect/10074733072513#/reservations/30684248526999?display=Larry%20Hennessey&amp;reservation_id=30684248526999&amp;guest_id=30684248526997", "Larry Hennessey")</f>
        <v>Larry Hennessey</v>
      </c>
      <c r="E3400" t="s">
        <v>3477</v>
      </c>
      <c r="F3400" t="s">
        <v>2581</v>
      </c>
      <c r="G3400">
        <v>270.2</v>
      </c>
      <c r="H3400">
        <v>293.7</v>
      </c>
      <c r="I3400">
        <v>293.70999999999998</v>
      </c>
      <c r="J3400">
        <v>-0.01</v>
      </c>
    </row>
    <row r="3401" spans="1:10" x14ac:dyDescent="0.3">
      <c r="A3401" t="str">
        <f>HYPERLINK("https://us2.cloudbeds.com/connect/10074733072513#/reservations/30686034407641?display=YR0JA0TSX&amp;reservation_id=30686034407641", "YR0JA0TSX")</f>
        <v>YR0JA0TSX</v>
      </c>
      <c r="B3401" t="s">
        <v>10</v>
      </c>
      <c r="C3401" t="s">
        <v>14</v>
      </c>
      <c r="D3401" t="str">
        <f>HYPERLINK("https://us2.cloudbeds.com/connect/10074733072513#/reservations/30686034407641?display=Alan%20Thompson&amp;reservation_id=30686034407641&amp;guest_id=30686034407628", "Alan Thompson")</f>
        <v>Alan Thompson</v>
      </c>
      <c r="E3401" t="s">
        <v>3481</v>
      </c>
      <c r="F3401" t="s">
        <v>3482</v>
      </c>
      <c r="G3401">
        <v>382.17</v>
      </c>
      <c r="H3401">
        <v>415.41</v>
      </c>
      <c r="I3401">
        <v>415.42</v>
      </c>
      <c r="J3401">
        <v>-0.01</v>
      </c>
    </row>
    <row r="3402" spans="1:10" x14ac:dyDescent="0.3">
      <c r="A3402" t="str">
        <f>HYPERLINK("https://us2.cloudbeds.com/connect/10074733072513#/reservations/30686271729806?display=YR0PC4ZXA&amp;reservation_id=30686271729806", "YR0PC4ZXA")</f>
        <v>YR0PC4ZXA</v>
      </c>
      <c r="B3402" t="s">
        <v>10</v>
      </c>
      <c r="C3402" t="s">
        <v>121</v>
      </c>
      <c r="D3402" t="str">
        <f>HYPERLINK("https://us2.cloudbeds.com/connect/10074733072513#/reservations/30686271729806?display=Janice%20Cercone&amp;reservation_id=30686271729806&amp;guest_id=30686262305007", "Janice Cercone")</f>
        <v>Janice Cercone</v>
      </c>
      <c r="E3402" t="s">
        <v>3484</v>
      </c>
      <c r="F3402" t="s">
        <v>3244</v>
      </c>
      <c r="G3402">
        <v>304.2</v>
      </c>
      <c r="H3402">
        <v>330.66</v>
      </c>
      <c r="I3402">
        <v>330.67</v>
      </c>
      <c r="J3402">
        <v>-0.01</v>
      </c>
    </row>
    <row r="3403" spans="1:10" x14ac:dyDescent="0.3">
      <c r="A3403" t="str">
        <f>HYPERLINK("https://us2.cloudbeds.com/connect/10074733072513#/reservations/30686441959571?display=YR0TNMY21&amp;reservation_id=30686441959571", "YR0TNMY21")</f>
        <v>YR0TNMY21</v>
      </c>
      <c r="B3403" t="s">
        <v>10</v>
      </c>
      <c r="C3403" t="s">
        <v>42</v>
      </c>
      <c r="D3403" t="str">
        <f>HYPERLINK("https://us2.cloudbeds.com/connect/10074733072513#/reservations/30686441959571?display=Cara%20Spirazza&amp;reservation_id=30686441959571&amp;guest_id=30686430814405", "Cara Spirazza")</f>
        <v>Cara Spirazza</v>
      </c>
      <c r="E3403" t="s">
        <v>3487</v>
      </c>
      <c r="F3403" t="s">
        <v>3450</v>
      </c>
      <c r="G3403">
        <v>134.1</v>
      </c>
      <c r="H3403">
        <v>145.76</v>
      </c>
      <c r="I3403">
        <v>145.77000000000001</v>
      </c>
      <c r="J3403">
        <v>-0.01</v>
      </c>
    </row>
    <row r="3404" spans="1:10" x14ac:dyDescent="0.3">
      <c r="A3404" t="str">
        <f>HYPERLINK("https://us2.cloudbeds.com/connect/10074733072513#/reservations/30686246613172?display=YR0ZNVRK6&amp;reservation_id=30686246613172", "YR0ZNVRK6")</f>
        <v>YR0ZNVRK6</v>
      </c>
      <c r="B3404" t="s">
        <v>10</v>
      </c>
      <c r="C3404" t="s">
        <v>42</v>
      </c>
      <c r="D3404" t="str">
        <f>HYPERLINK("https://us2.cloudbeds.com/connect/10074733072513#/reservations/30686246613172?display=Christopher%20Jacobs&amp;reservation_id=30686246613172&amp;guest_id=30686246613167", "Christopher Jacobs")</f>
        <v>Christopher Jacobs</v>
      </c>
      <c r="E3404" t="s">
        <v>3500</v>
      </c>
      <c r="F3404" t="s">
        <v>3244</v>
      </c>
      <c r="G3404">
        <v>170.1</v>
      </c>
      <c r="H3404">
        <v>184.89</v>
      </c>
      <c r="I3404">
        <v>184.9</v>
      </c>
      <c r="J3404">
        <v>-0.01</v>
      </c>
    </row>
    <row r="3405" spans="1:10" x14ac:dyDescent="0.3">
      <c r="A3405" t="str">
        <f>HYPERLINK("https://us2.cloudbeds.com/connect/10074733072513#/reservations/30686569365660?display=YR0WW3TNK&amp;reservation_id=30686569365660", "YR0WW3TNK")</f>
        <v>YR0WW3TNK</v>
      </c>
      <c r="B3405" t="s">
        <v>10</v>
      </c>
      <c r="C3405" t="s">
        <v>14</v>
      </c>
      <c r="D3405" t="str">
        <f>HYPERLINK("https://us2.cloudbeds.com/connect/10074733072513#/reservations/30686569365660?display=Nate%20Simonson&amp;reservation_id=30686569365660&amp;guest_id=30686569365657", "Nate Simonson")</f>
        <v>Nate Simonson</v>
      </c>
      <c r="E3405" t="s">
        <v>3502</v>
      </c>
      <c r="F3405" t="s">
        <v>2786</v>
      </c>
      <c r="G3405">
        <v>114.15</v>
      </c>
      <c r="H3405">
        <v>124.07</v>
      </c>
      <c r="I3405">
        <v>124.08</v>
      </c>
      <c r="J3405">
        <v>-0.01</v>
      </c>
    </row>
    <row r="3406" spans="1:10" x14ac:dyDescent="0.3">
      <c r="A3406" t="str">
        <f>HYPERLINK("https://us2.cloudbeds.com/connect/10074733072513#/reservations/30686188445938?display=YR0N7U85Z&amp;reservation_id=30686188445938", "YR0N7U85Z")</f>
        <v>YR0N7U85Z</v>
      </c>
      <c r="B3406" t="s">
        <v>10</v>
      </c>
      <c r="C3406" t="s">
        <v>11</v>
      </c>
      <c r="D3406" t="str">
        <f>HYPERLINK("https://us2.cloudbeds.com/connect/10074733072513#/reservations/30686188445938?display=Mustafa%20Jaffal&amp;reservation_id=30686188445938&amp;guest_id=30686178541702", "Mustafa Jaffal")</f>
        <v>Mustafa Jaffal</v>
      </c>
      <c r="E3406" t="s">
        <v>2091</v>
      </c>
      <c r="F3406" t="s">
        <v>2786</v>
      </c>
      <c r="G3406">
        <v>127.66</v>
      </c>
      <c r="H3406">
        <v>138.76</v>
      </c>
      <c r="I3406">
        <v>138.77000000000001</v>
      </c>
      <c r="J3406">
        <v>-0.01</v>
      </c>
    </row>
    <row r="3407" spans="1:10" x14ac:dyDescent="0.3">
      <c r="A3407" t="str">
        <f>HYPERLINK("https://us2.cloudbeds.com/connect/10074733072513#/reservations/30687415824519?display=YR1YJSSJ2&amp;reservation_id=30687415824519", "YR1YJSSJ2")</f>
        <v>YR1YJSSJ2</v>
      </c>
      <c r="B3407" t="s">
        <v>10</v>
      </c>
      <c r="C3407" t="s">
        <v>20</v>
      </c>
      <c r="D3407" t="str">
        <f>HYPERLINK("https://us2.cloudbeds.com/connect/10074733072513#/reservations/30687415824519?display=Sjurseth%20Brian&amp;reservation_id=30687415824519&amp;guest_id=30687415824517", "Sjurseth Brian")</f>
        <v>Sjurseth Brian</v>
      </c>
      <c r="E3407" t="s">
        <v>3511</v>
      </c>
      <c r="F3407" t="s">
        <v>3449</v>
      </c>
      <c r="G3407">
        <v>169.15</v>
      </c>
      <c r="H3407">
        <v>183.86</v>
      </c>
      <c r="I3407">
        <v>183.87</v>
      </c>
      <c r="J3407">
        <v>-0.01</v>
      </c>
    </row>
    <row r="3408" spans="1:10" x14ac:dyDescent="0.3">
      <c r="A3408" t="str">
        <f>HYPERLINK("https://us2.cloudbeds.com/connect/10074733072513#/reservations/30686576877745?display=YR105EUSX&amp;reservation_id=30686576877745", "YR105EUSX")</f>
        <v>YR105EUSX</v>
      </c>
      <c r="B3408" t="s">
        <v>10</v>
      </c>
      <c r="C3408" t="s">
        <v>11</v>
      </c>
      <c r="D3408" t="str">
        <f>HYPERLINK("https://us2.cloudbeds.com/connect/10074733072513#/reservations/30686576877745?display=Tennille%20Taylor&amp;reservation_id=30686576877745&amp;guest_id=30685468455138", "Tennille Taylor")</f>
        <v>Tennille Taylor</v>
      </c>
      <c r="E3408" t="s">
        <v>1319</v>
      </c>
      <c r="F3408" t="s">
        <v>2786</v>
      </c>
      <c r="G3408">
        <v>107.47</v>
      </c>
      <c r="H3408">
        <v>116.81</v>
      </c>
      <c r="I3408">
        <v>116.82</v>
      </c>
      <c r="J3408">
        <v>-0.01</v>
      </c>
    </row>
    <row r="3409" spans="1:10" x14ac:dyDescent="0.3">
      <c r="A3409" t="str">
        <f>HYPERLINK("https://us2.cloudbeds.com/connect/10074733072513#/reservations/31682294857964?display=MHD027HGD&amp;reservation_id=31682294857964", "MHD027HGD")</f>
        <v>MHD027HGD</v>
      </c>
      <c r="B3409" t="s">
        <v>10</v>
      </c>
      <c r="C3409" t="s">
        <v>20</v>
      </c>
      <c r="D3409" t="str">
        <f>HYPERLINK("https://us2.cloudbeds.com/connect/10074733072513#/reservations/31682294857964?display=Tom%20Cook&amp;reservation_id=31682294857964&amp;guest_id=31682294857959", "Tom Cook")</f>
        <v>Tom Cook</v>
      </c>
      <c r="E3409" t="s">
        <v>3530</v>
      </c>
      <c r="F3409" t="s">
        <v>3531</v>
      </c>
      <c r="G3409">
        <v>134.1</v>
      </c>
      <c r="H3409">
        <v>145.76</v>
      </c>
      <c r="I3409">
        <v>145.77000000000001</v>
      </c>
      <c r="J3409">
        <v>-0.01</v>
      </c>
    </row>
    <row r="3410" spans="1:10" x14ac:dyDescent="0.3">
      <c r="A3410" t="str">
        <f>HYPERLINK("https://us2.cloudbeds.com/connect/10074733072513#/reservations/30687556477057?display=YR1P6FZ36&amp;reservation_id=30687556477057", "YR1P6FZ36")</f>
        <v>YR1P6FZ36</v>
      </c>
      <c r="B3410" t="s">
        <v>10</v>
      </c>
      <c r="C3410" t="s">
        <v>20</v>
      </c>
      <c r="D3410" t="str">
        <f>HYPERLINK("https://us2.cloudbeds.com/connect/10074733072513#/reservations/30687556477057?display=Billy%20Cobb&amp;reservation_id=30687556477057&amp;guest_id=30687556473023", "Billy Cobb")</f>
        <v>Billy Cobb</v>
      </c>
      <c r="E3410" t="s">
        <v>3532</v>
      </c>
      <c r="F3410" t="s">
        <v>2835</v>
      </c>
      <c r="G3410">
        <v>254.78</v>
      </c>
      <c r="H3410">
        <v>276.94</v>
      </c>
      <c r="I3410">
        <v>276.95</v>
      </c>
      <c r="J3410">
        <v>-0.01</v>
      </c>
    </row>
    <row r="3411" spans="1:10" x14ac:dyDescent="0.3">
      <c r="A3411" t="str">
        <f>HYPERLINK("https://us2.cloudbeds.com/connect/10074733072513#/reservations/30686146326672?display=YR0M5D75B&amp;reservation_id=30686146326672", "YR0M5D75B")</f>
        <v>YR0M5D75B</v>
      </c>
      <c r="B3411" t="s">
        <v>10</v>
      </c>
      <c r="C3411" t="s">
        <v>42</v>
      </c>
      <c r="D3411" t="str">
        <f>HYPERLINK("https://us2.cloudbeds.com/connect/10074733072513#/reservations/30686146326672?display=Curt%20Rusnak&amp;reservation_id=30686146326672&amp;guest_id=30686146322566", "Curt Rusnak")</f>
        <v>Curt Rusnak</v>
      </c>
      <c r="E3411" t="s">
        <v>3535</v>
      </c>
      <c r="F3411" t="s">
        <v>3398</v>
      </c>
      <c r="G3411">
        <v>177.65</v>
      </c>
      <c r="H3411">
        <v>193.1</v>
      </c>
      <c r="I3411">
        <v>193.11</v>
      </c>
      <c r="J3411">
        <v>-0.01</v>
      </c>
    </row>
    <row r="3412" spans="1:10" x14ac:dyDescent="0.3">
      <c r="A3412" t="str">
        <f>HYPERLINK("https://us2.cloudbeds.com/connect/10074733072513#/reservations/30684457808084?display=YQWC0JN1D&amp;reservation_id=30684457808084", "YQWC0JN1D")</f>
        <v>YQWC0JN1D</v>
      </c>
      <c r="B3412" t="s">
        <v>10</v>
      </c>
      <c r="C3412" t="s">
        <v>14</v>
      </c>
      <c r="D3412" t="str">
        <f>HYPERLINK("https://us2.cloudbeds.com/connect/10074733072513#/reservations/30684457808084?display=Jared%20Felix&amp;reservation_id=30684457808084&amp;guest_id=30684457808082", "Jared Felix")</f>
        <v>Jared Felix</v>
      </c>
      <c r="E3412" t="s">
        <v>3536</v>
      </c>
      <c r="F3412" t="s">
        <v>3179</v>
      </c>
      <c r="G3412">
        <v>340.55</v>
      </c>
      <c r="H3412">
        <v>370.17</v>
      </c>
      <c r="I3412">
        <v>370.18</v>
      </c>
      <c r="J3412">
        <v>-0.01</v>
      </c>
    </row>
    <row r="3413" spans="1:10" x14ac:dyDescent="0.3">
      <c r="A3413" t="str">
        <f>HYPERLINK("https://us2.cloudbeds.com/connect/10074733072513#/reservations/30686125764810?display=YR0YY21ZK&amp;reservation_id=30686125764810", "YR0YY21ZK")</f>
        <v>YR0YY21ZK</v>
      </c>
      <c r="B3413" t="s">
        <v>10</v>
      </c>
      <c r="C3413" t="s">
        <v>42</v>
      </c>
      <c r="D3413" t="str">
        <f>HYPERLINK("https://us2.cloudbeds.com/connect/10074733072513#/reservations/30686125764810?display=Chris%20Tratt&amp;reservation_id=30686125764810&amp;guest_id=30686125764807", "Chris Tratt")</f>
        <v>Chris Tratt</v>
      </c>
      <c r="E3413" t="s">
        <v>3539</v>
      </c>
      <c r="F3413" t="s">
        <v>3398</v>
      </c>
      <c r="G3413">
        <v>134.1</v>
      </c>
      <c r="H3413">
        <v>145.76</v>
      </c>
      <c r="I3413">
        <v>145.77000000000001</v>
      </c>
      <c r="J3413">
        <v>-0.01</v>
      </c>
    </row>
    <row r="3414" spans="1:10" x14ac:dyDescent="0.3">
      <c r="A3414" t="str">
        <f>HYPERLINK("https://us2.cloudbeds.com/connect/10074733072513#/reservations/30686470533265?display=YR0UEPZHX&amp;reservation_id=30686470533265", "YR0UEPZHX")</f>
        <v>YR0UEPZHX</v>
      </c>
      <c r="B3414" t="s">
        <v>10</v>
      </c>
      <c r="C3414" t="s">
        <v>11</v>
      </c>
      <c r="D3414" t="str">
        <f>HYPERLINK("https://us2.cloudbeds.com/connect/10074733072513#/reservations/30686470533265?display=Jessica%20Nei&amp;reservation_id=30686470533265&amp;guest_id=30686466769082", "Jessica Nei")</f>
        <v>Jessica Nei</v>
      </c>
      <c r="E3414" t="s">
        <v>1319</v>
      </c>
      <c r="F3414" t="s">
        <v>3398</v>
      </c>
      <c r="G3414">
        <v>94.16</v>
      </c>
      <c r="H3414">
        <v>102.34</v>
      </c>
      <c r="I3414">
        <v>102.35</v>
      </c>
      <c r="J3414">
        <v>-0.01</v>
      </c>
    </row>
    <row r="3415" spans="1:10" x14ac:dyDescent="0.3">
      <c r="A3415" t="str">
        <f>HYPERLINK("https://us2.cloudbeds.com/connect/10074733072513#/reservations/31671746949313?display=MH4RHVDVU&amp;reservation_id=31671746949313", "MH4RHVDVU")</f>
        <v>MH4RHVDVU</v>
      </c>
      <c r="B3415" t="s">
        <v>10</v>
      </c>
      <c r="C3415" t="s">
        <v>23</v>
      </c>
      <c r="D3415" t="str">
        <f>HYPERLINK("https://us2.cloudbeds.com/connect/10074733072513#/reservations/31671746949313?display=Peggy%20Freidel&amp;reservation_id=31671746949313&amp;guest_id=31671746945276", "Peggy Freidel")</f>
        <v>Peggy Freidel</v>
      </c>
      <c r="E3415" t="s">
        <v>3544</v>
      </c>
      <c r="F3415" t="s">
        <v>3545</v>
      </c>
      <c r="G3415">
        <v>250.2</v>
      </c>
      <c r="H3415">
        <v>271.95999999999998</v>
      </c>
      <c r="I3415">
        <v>271.97000000000003</v>
      </c>
      <c r="J3415">
        <v>-0.01</v>
      </c>
    </row>
    <row r="3416" spans="1:10" x14ac:dyDescent="0.3">
      <c r="A3416" t="str">
        <f>HYPERLINK("https://us2.cloudbeds.com/connect/10074733072513#/reservations/30686127984784?display=YR0YMUR9X&amp;reservation_id=30686127984784", "YR0YMUR9X")</f>
        <v>YR0YMUR9X</v>
      </c>
      <c r="B3416" t="s">
        <v>10</v>
      </c>
      <c r="C3416" t="s">
        <v>20</v>
      </c>
      <c r="D3416" t="str">
        <f>HYPERLINK("https://us2.cloudbeds.com/connect/10074733072513#/reservations/30686127984784?display=Philipp%20Stute&amp;reservation_id=30686127984784&amp;guest_id=30686122168575", "Philipp Stute")</f>
        <v>Philipp Stute</v>
      </c>
      <c r="E3416" t="s">
        <v>3551</v>
      </c>
      <c r="F3416" t="s">
        <v>3516</v>
      </c>
      <c r="G3416">
        <v>120.32</v>
      </c>
      <c r="H3416">
        <v>130.78</v>
      </c>
      <c r="I3416">
        <v>130.79</v>
      </c>
      <c r="J3416">
        <v>-0.01</v>
      </c>
    </row>
    <row r="3417" spans="1:10" x14ac:dyDescent="0.3">
      <c r="A3417" t="str">
        <f>HYPERLINK("https://us2.cloudbeds.com/connect/10074733072513#/reservations/30686262108291?display=YR0P410C8&amp;reservation_id=30686262108291", "YR0P410C8")</f>
        <v>YR0P410C8</v>
      </c>
      <c r="B3417" t="s">
        <v>10</v>
      </c>
      <c r="C3417" t="s">
        <v>42</v>
      </c>
      <c r="D3417" t="str">
        <f>HYPERLINK("https://us2.cloudbeds.com/connect/10074733072513#/reservations/30686262108291?display=Daniel%20Zucchi&amp;reservation_id=30686262108291&amp;guest_id=30686262104254", "Daniel Zucchi")</f>
        <v>Daniel Zucchi</v>
      </c>
      <c r="E3417" t="s">
        <v>3552</v>
      </c>
      <c r="F3417" t="s">
        <v>3174</v>
      </c>
      <c r="G3417">
        <v>304.2</v>
      </c>
      <c r="H3417">
        <v>330.66</v>
      </c>
      <c r="I3417">
        <v>330.67</v>
      </c>
      <c r="J3417">
        <v>-0.01</v>
      </c>
    </row>
    <row r="3418" spans="1:10" x14ac:dyDescent="0.3">
      <c r="A3418" t="str">
        <f>HYPERLINK("https://us2.cloudbeds.com/connect/10074733072513#/reservations/30686168068320?display=YR0MNZ6V5&amp;reservation_id=30686168068320", "YR0MNZ6V5")</f>
        <v>YR0MNZ6V5</v>
      </c>
      <c r="B3418" t="s">
        <v>10</v>
      </c>
      <c r="C3418" t="s">
        <v>42</v>
      </c>
      <c r="D3418" t="str">
        <f>HYPERLINK("https://us2.cloudbeds.com/connect/10074733072513#/reservations/30686168068320?display=Dennis%20Vincent&amp;reservation_id=30686168068320&amp;guest_id=30686162067591", "Dennis Vincent")</f>
        <v>Dennis Vincent</v>
      </c>
      <c r="E3418" t="s">
        <v>3554</v>
      </c>
      <c r="F3418" t="s">
        <v>3398</v>
      </c>
      <c r="G3418">
        <v>134.1</v>
      </c>
      <c r="H3418">
        <v>145.76</v>
      </c>
      <c r="I3418">
        <v>145.77000000000001</v>
      </c>
      <c r="J3418">
        <v>-0.01</v>
      </c>
    </row>
    <row r="3419" spans="1:10" x14ac:dyDescent="0.3">
      <c r="A3419" t="str">
        <f>HYPERLINK("https://us2.cloudbeds.com/connect/10074733072513#/reservations/30683598393490?display=YQVN1U78U&amp;reservation_id=30683598393490", "YQVN1U78U")</f>
        <v>YQVN1U78U</v>
      </c>
      <c r="B3419" t="s">
        <v>10</v>
      </c>
      <c r="C3419" t="s">
        <v>20</v>
      </c>
      <c r="D3419" t="str">
        <f>HYPERLINK("https://us2.cloudbeds.com/connect/10074733072513#/reservations/30683598393490?display=Claire%20Martinson&amp;reservation_id=30683598393490&amp;guest_id=30683598393487", "Claire Martinson")</f>
        <v>Claire Martinson</v>
      </c>
      <c r="E3419" t="s">
        <v>3556</v>
      </c>
      <c r="F3419" t="s">
        <v>3557</v>
      </c>
      <c r="G3419">
        <v>110.3</v>
      </c>
      <c r="H3419">
        <v>119.89</v>
      </c>
      <c r="I3419">
        <v>119.9</v>
      </c>
      <c r="J3419">
        <v>-0.01</v>
      </c>
    </row>
    <row r="3420" spans="1:10" x14ac:dyDescent="0.3">
      <c r="A3420" t="str">
        <f>HYPERLINK("https://us2.cloudbeds.com/connect/10074733072513#/reservations/30686050443419?display=YR0JNX437&amp;reservation_id=30686050443419", "YR0JNX437")</f>
        <v>YR0JNX437</v>
      </c>
      <c r="B3420" t="s">
        <v>10</v>
      </c>
      <c r="C3420" t="s">
        <v>42</v>
      </c>
      <c r="D3420" t="str">
        <f>HYPERLINK("https://us2.cloudbeds.com/connect/10074733072513#/reservations/30686050443419?display=Mark%20Slear&amp;reservation_id=30686050443419&amp;guest_id=30686050439322", "Mark Slear")</f>
        <v>Mark Slear</v>
      </c>
      <c r="E3420" t="s">
        <v>3562</v>
      </c>
      <c r="F3420" t="s">
        <v>3516</v>
      </c>
      <c r="G3420">
        <v>304.2</v>
      </c>
      <c r="H3420">
        <v>330.66</v>
      </c>
      <c r="I3420">
        <v>330.67</v>
      </c>
      <c r="J3420">
        <v>-0.01</v>
      </c>
    </row>
    <row r="3421" spans="1:10" x14ac:dyDescent="0.3">
      <c r="A3421" t="str">
        <f>HYPERLINK("https://us2.cloudbeds.com/connect/10074733072513#/reservations/30686760906905?display=YR14SKQWP&amp;reservation_id=30686760906905", "YR14SKQWP")</f>
        <v>YR14SKQWP</v>
      </c>
      <c r="B3421" t="s">
        <v>10</v>
      </c>
      <c r="C3421" t="s">
        <v>20</v>
      </c>
      <c r="D3421" t="str">
        <f>HYPERLINK("https://us2.cloudbeds.com/connect/10074733072513#/reservations/30686760906905?display=Alaina%20Hammer&amp;reservation_id=30686760906905&amp;guest_id=30686760902814", "Alaina Hammer")</f>
        <v>Alaina Hammer</v>
      </c>
      <c r="E3421" t="s">
        <v>3563</v>
      </c>
      <c r="F3421" t="s">
        <v>2639</v>
      </c>
      <c r="G3421">
        <v>224.1</v>
      </c>
      <c r="H3421">
        <v>243.59</v>
      </c>
      <c r="I3421">
        <v>243.6</v>
      </c>
      <c r="J3421">
        <v>-0.01</v>
      </c>
    </row>
    <row r="3422" spans="1:10" x14ac:dyDescent="0.3">
      <c r="A3422" t="str">
        <f>HYPERLINK("https://us2.cloudbeds.com/connect/10074733072513#/reservations/30682712195237?display=YQV0DYEPD&amp;reservation_id=30682712195237", "YQV0DYEPD")</f>
        <v>YQV0DYEPD</v>
      </c>
      <c r="B3422" t="s">
        <v>10</v>
      </c>
      <c r="C3422" t="s">
        <v>42</v>
      </c>
      <c r="D3422" t="str">
        <f>HYPERLINK("https://us2.cloudbeds.com/connect/10074733072513#/reservations/30682712195237?display=Terri%20Walker%20John%20Mcinerery&amp;reservation_id=30682712195237&amp;guest_id=30682712195225", "Terri Walker John Mcinerery")</f>
        <v>Terri Walker John Mcinerery</v>
      </c>
      <c r="E3422" t="s">
        <v>933</v>
      </c>
      <c r="F3422" t="s">
        <v>3572</v>
      </c>
      <c r="G3422">
        <v>500.4</v>
      </c>
      <c r="H3422">
        <v>543.91999999999996</v>
      </c>
      <c r="I3422">
        <v>543.92999999999995</v>
      </c>
      <c r="J3422">
        <v>-0.01</v>
      </c>
    </row>
    <row r="3423" spans="1:10" x14ac:dyDescent="0.3">
      <c r="A3423" t="str">
        <f>HYPERLINK("https://us2.cloudbeds.com/connect/10074733072513#/reservations/30684473159828?display=YQWCDHT4P&amp;reservation_id=30684473159828", "YQWCDHT4P")</f>
        <v>YQWCDHT4P</v>
      </c>
      <c r="B3423" t="s">
        <v>10</v>
      </c>
      <c r="C3423" t="s">
        <v>11</v>
      </c>
      <c r="D3423" t="str">
        <f>HYPERLINK("https://us2.cloudbeds.com/connect/10074733072513#/reservations/30684473159828?display=Joseph%20Stubbs&amp;reservation_id=30684473159828&amp;guest_id=30684473159818", "Joseph Stubbs")</f>
        <v>Joseph Stubbs</v>
      </c>
      <c r="E3423" t="s">
        <v>3575</v>
      </c>
      <c r="F3423" t="s">
        <v>3179</v>
      </c>
      <c r="G3423">
        <v>157.21</v>
      </c>
      <c r="H3423">
        <v>170.88</v>
      </c>
      <c r="I3423">
        <v>170.89</v>
      </c>
      <c r="J3423">
        <v>-0.01</v>
      </c>
    </row>
    <row r="3424" spans="1:10" x14ac:dyDescent="0.3">
      <c r="A3424" t="str">
        <f>HYPERLINK("https://us2.cloudbeds.com/connect/10074733072513#/reservations/30687387250826?display=YR1KSPP3X&amp;reservation_id=30687387250826", "YR1KSPP3X")</f>
        <v>YR1KSPP3X</v>
      </c>
      <c r="B3424" t="s">
        <v>10</v>
      </c>
      <c r="C3424" t="s">
        <v>20</v>
      </c>
      <c r="D3424" t="str">
        <f>HYPERLINK("https://us2.cloudbeds.com/connect/10074733072513#/reservations/30687387250826?display=Sergey%20Andreev&amp;reservation_id=30687387250826&amp;guest_id=30687387246739", "Sergey Andreev")</f>
        <v>Sergey Andreev</v>
      </c>
      <c r="E3424" t="s">
        <v>3581</v>
      </c>
      <c r="F3424" t="s">
        <v>3492</v>
      </c>
      <c r="G3424">
        <v>120.32</v>
      </c>
      <c r="H3424">
        <v>130.78</v>
      </c>
      <c r="I3424">
        <v>130.79</v>
      </c>
      <c r="J3424">
        <v>-0.01</v>
      </c>
    </row>
    <row r="3425" spans="1:10" x14ac:dyDescent="0.3">
      <c r="A3425" t="str">
        <f>HYPERLINK("https://us2.cloudbeds.com/connect/10074733072513#/reservations/30686194212992?display=YR0NCPK6P&amp;reservation_id=30686194212992", "YR0NCPK6P")</f>
        <v>YR0NCPK6P</v>
      </c>
      <c r="B3425" t="s">
        <v>10</v>
      </c>
      <c r="C3425" t="s">
        <v>11</v>
      </c>
      <c r="D3425" t="str">
        <f>HYPERLINK("https://us2.cloudbeds.com/connect/10074733072513#/reservations/30686194212992?display=Laurie%20Kubal&amp;reservation_id=30686194212992&amp;guest_id=30656060219608", "Laurie Kubal")</f>
        <v>Laurie Kubal</v>
      </c>
      <c r="E3425" t="s">
        <v>3582</v>
      </c>
      <c r="F3425" t="s">
        <v>3583</v>
      </c>
      <c r="G3425">
        <v>352.5</v>
      </c>
      <c r="H3425">
        <v>383.16</v>
      </c>
      <c r="I3425">
        <v>383.17</v>
      </c>
      <c r="J3425">
        <v>-0.01</v>
      </c>
    </row>
    <row r="3426" spans="1:10" x14ac:dyDescent="0.3">
      <c r="A3426" t="str">
        <f>HYPERLINK("https://us2.cloudbeds.com/connect/10074733072513#/reservations/30685956948135?display=YR0HANFRQ&amp;reservation_id=30685956948135", "YR0HANFRQ")</f>
        <v>YR0HANFRQ</v>
      </c>
      <c r="B3426" t="s">
        <v>10</v>
      </c>
      <c r="C3426" t="s">
        <v>42</v>
      </c>
      <c r="D3426" t="str">
        <f>HYPERLINK("https://us2.cloudbeds.com/connect/10074733072513#/reservations/30685956948135?display=Tyrel%20Tennant&amp;reservation_id=30685956948135&amp;guest_id=30685956944002", "Tyrel Tennant")</f>
        <v>Tyrel Tennant</v>
      </c>
      <c r="E3426" t="s">
        <v>3587</v>
      </c>
      <c r="F3426" t="s">
        <v>2639</v>
      </c>
      <c r="G3426">
        <v>376.2</v>
      </c>
      <c r="H3426">
        <v>408.92</v>
      </c>
      <c r="I3426">
        <v>408.93</v>
      </c>
      <c r="J3426">
        <v>-0.01</v>
      </c>
    </row>
    <row r="3427" spans="1:10" x14ac:dyDescent="0.3">
      <c r="A3427" t="str">
        <f>HYPERLINK("https://us2.cloudbeds.com/connect/10074733072513#/reservations/30684741107892?display=YQWJ8FUQ2&amp;reservation_id=30684741107892", "YQWJ8FUQ2")</f>
        <v>YQWJ8FUQ2</v>
      </c>
      <c r="B3427" t="s">
        <v>10</v>
      </c>
      <c r="C3427" t="s">
        <v>11</v>
      </c>
      <c r="D3427" t="str">
        <f>HYPERLINK("https://us2.cloudbeds.com/connect/10074733072513#/reservations/30684741107892?display=Kathryn%20B%20Clement&amp;reservation_id=30684741107892&amp;guest_id=30684741107843", "Kathryn B Clement")</f>
        <v>Kathryn B Clement</v>
      </c>
      <c r="E3427" t="s">
        <v>3588</v>
      </c>
      <c r="F3427" t="s">
        <v>3589</v>
      </c>
      <c r="G3427">
        <v>110.29</v>
      </c>
      <c r="H3427">
        <v>119.88</v>
      </c>
      <c r="I3427">
        <v>119.89</v>
      </c>
      <c r="J3427">
        <v>-0.01</v>
      </c>
    </row>
    <row r="3428" spans="1:10" x14ac:dyDescent="0.3">
      <c r="A3428" t="str">
        <f>HYPERLINK("https://us2.cloudbeds.com/connect/10074733072513#/reservations/30686784131271?display=YR15F72AE&amp;reservation_id=30686784131271", "YR15F72AE")</f>
        <v>YR15F72AE</v>
      </c>
      <c r="B3428" t="s">
        <v>10</v>
      </c>
      <c r="C3428" t="s">
        <v>20</v>
      </c>
      <c r="D3428" t="str">
        <f>HYPERLINK("https://us2.cloudbeds.com/connect/10074733072513#/reservations/30686784131271?display=Sandra%20Topping&amp;reservation_id=30686784131271&amp;guest_id=30686784131269", "Sandra Topping")</f>
        <v>Sandra Topping</v>
      </c>
      <c r="E3428" t="s">
        <v>3592</v>
      </c>
      <c r="F3428" t="s">
        <v>2639</v>
      </c>
      <c r="G3428">
        <v>169.15</v>
      </c>
      <c r="H3428">
        <v>183.86</v>
      </c>
      <c r="I3428">
        <v>183.87</v>
      </c>
      <c r="J3428">
        <v>-0.01</v>
      </c>
    </row>
    <row r="3429" spans="1:10" x14ac:dyDescent="0.3">
      <c r="A3429" t="str">
        <f>HYPERLINK("https://us2.cloudbeds.com/connect/10074733072513#/reservations/30685911826638?display=YR0G5YTVN&amp;reservation_id=30685911826638", "YR0G5YTVN")</f>
        <v>YR0G5YTVN</v>
      </c>
      <c r="B3429" t="s">
        <v>10</v>
      </c>
      <c r="C3429" t="s">
        <v>42</v>
      </c>
      <c r="D3429" t="str">
        <f>HYPERLINK("https://us2.cloudbeds.com/connect/10074733072513#/reservations/30685911826638?display=Kalee%20Burton&amp;reservation_id=30685911826638&amp;guest_id=30685905035511", "Kalee Burton")</f>
        <v>Kalee Burton</v>
      </c>
      <c r="E3429" t="s">
        <v>3594</v>
      </c>
      <c r="F3429" t="s">
        <v>2639</v>
      </c>
      <c r="G3429">
        <v>170.1</v>
      </c>
      <c r="H3429">
        <v>184.89</v>
      </c>
      <c r="I3429">
        <v>184.9</v>
      </c>
      <c r="J3429">
        <v>-0.01</v>
      </c>
    </row>
    <row r="3430" spans="1:10" x14ac:dyDescent="0.3">
      <c r="A3430" t="str">
        <f>HYPERLINK("https://us2.cloudbeds.com/connect/10074733072513#/reservations/30685887922336?display=YR0FXGZ8U&amp;reservation_id=30685887922336", "YR0FXGZ8U")</f>
        <v>YR0FXGZ8U</v>
      </c>
      <c r="B3430" t="s">
        <v>10</v>
      </c>
      <c r="C3430" t="s">
        <v>42</v>
      </c>
      <c r="D3430" t="str">
        <f>HYPERLINK("https://us2.cloudbeds.com/connect/10074733072513#/reservations/30685887922336?display=Sahr%20Meland&amp;reservation_id=30685887922336&amp;guest_id=30685887922334", "Sahr Meland")</f>
        <v>Sahr Meland</v>
      </c>
      <c r="E3430" t="s">
        <v>3595</v>
      </c>
      <c r="F3430" t="s">
        <v>2639</v>
      </c>
      <c r="G3430">
        <v>169.15</v>
      </c>
      <c r="H3430">
        <v>183.86</v>
      </c>
      <c r="I3430">
        <v>183.87</v>
      </c>
      <c r="J3430">
        <v>-0.01</v>
      </c>
    </row>
    <row r="3431" spans="1:10" x14ac:dyDescent="0.3">
      <c r="A3431" t="str">
        <f>HYPERLINK("https://us2.cloudbeds.com/connect/10074733072513#/reservations/30686793375904?display=YR15N0ADR&amp;reservation_id=30686793375904", "YR15N0ADR")</f>
        <v>YR15N0ADR</v>
      </c>
      <c r="B3431" t="s">
        <v>10</v>
      </c>
      <c r="C3431" t="s">
        <v>20</v>
      </c>
      <c r="D3431" t="str">
        <f>HYPERLINK("https://us2.cloudbeds.com/connect/10074733072513#/reservations/30686793375904?display=Matthew%20Bugger&amp;reservation_id=30686793375904&amp;guest_id=30686793375902", "Matthew Bugger")</f>
        <v>Matthew Bugger</v>
      </c>
      <c r="E3431" t="s">
        <v>3596</v>
      </c>
      <c r="F3431" t="s">
        <v>2639</v>
      </c>
      <c r="G3431">
        <v>170.1</v>
      </c>
      <c r="H3431">
        <v>184.89</v>
      </c>
      <c r="I3431">
        <v>184.9</v>
      </c>
      <c r="J3431">
        <v>-0.01</v>
      </c>
    </row>
    <row r="3432" spans="1:10" x14ac:dyDescent="0.3">
      <c r="A3432" t="str">
        <f>HYPERLINK("https://us2.cloudbeds.com/connect/10074733072513#/reservations/30686997450960?display=YR1AU305E&amp;reservation_id=30686997450960", "YR1AU305E")</f>
        <v>YR1AU305E</v>
      </c>
      <c r="B3432" t="s">
        <v>10</v>
      </c>
      <c r="C3432" t="s">
        <v>42</v>
      </c>
      <c r="D3432" t="str">
        <f>HYPERLINK("https://us2.cloudbeds.com/connect/10074733072513#/reservations/30686997450960?display=Sean%20Jiampa&amp;reservation_id=30686997450960&amp;guest_id=30686992453850", "Sean Jiampa")</f>
        <v>Sean Jiampa</v>
      </c>
      <c r="E3432" t="s">
        <v>3597</v>
      </c>
      <c r="F3432" t="s">
        <v>3306</v>
      </c>
      <c r="G3432">
        <v>134.1</v>
      </c>
      <c r="H3432">
        <v>145.76</v>
      </c>
      <c r="I3432">
        <v>145.77000000000001</v>
      </c>
      <c r="J3432">
        <v>-0.01</v>
      </c>
    </row>
    <row r="3433" spans="1:10" x14ac:dyDescent="0.3">
      <c r="A3433" t="str">
        <f>HYPERLINK("https://us2.cloudbeds.com/connect/10074733072513#/reservations/30686865674391?display=YR17HW472&amp;reservation_id=30686865674391", "YR17HW472")</f>
        <v>YR17HW472</v>
      </c>
      <c r="B3433" t="s">
        <v>10</v>
      </c>
      <c r="C3433" t="s">
        <v>42</v>
      </c>
      <c r="D3433" t="str">
        <f>HYPERLINK("https://us2.cloudbeds.com/connect/10074733072513#/reservations/30686865674391?display=Debra%20Kinghorn&amp;reservation_id=30686865674391&amp;guest_id=30686865674386", "Debra Kinghorn")</f>
        <v>Debra Kinghorn</v>
      </c>
      <c r="E3433" t="s">
        <v>3598</v>
      </c>
      <c r="F3433" t="s">
        <v>3092</v>
      </c>
      <c r="G3433">
        <v>304.2</v>
      </c>
      <c r="H3433">
        <v>330.66</v>
      </c>
      <c r="I3433">
        <v>330.67</v>
      </c>
      <c r="J3433">
        <v>-0.01</v>
      </c>
    </row>
    <row r="3434" spans="1:10" x14ac:dyDescent="0.3">
      <c r="A3434" t="str">
        <f>HYPERLINK("https://us2.cloudbeds.com/connect/10074733072513#/reservations/30686972190883?display=YR1A8Q3GX&amp;reservation_id=30686972190883", "YR1A8Q3GX")</f>
        <v>YR1A8Q3GX</v>
      </c>
      <c r="B3434" t="s">
        <v>10</v>
      </c>
      <c r="C3434" t="s">
        <v>42</v>
      </c>
      <c r="D3434" t="str">
        <f>HYPERLINK("https://us2.cloudbeds.com/connect/10074733072513#/reservations/30686972190883?display=Bob%20Caswell&amp;reservation_id=30686972190883&amp;guest_id=30686972190863", "Bob Caswell")</f>
        <v>Bob Caswell</v>
      </c>
      <c r="E3434" t="s">
        <v>3599</v>
      </c>
      <c r="F3434" t="s">
        <v>3374</v>
      </c>
      <c r="G3434">
        <v>268.2</v>
      </c>
      <c r="H3434">
        <v>291.52</v>
      </c>
      <c r="I3434">
        <v>291.52999999999997</v>
      </c>
      <c r="J3434">
        <v>-0.01</v>
      </c>
    </row>
    <row r="3435" spans="1:10" x14ac:dyDescent="0.3">
      <c r="A3435" t="str">
        <f>HYPERLINK("https://us2.cloudbeds.com/connect/10074733072513#/reservations/30684675383503?display=YQWHJ21QU&amp;reservation_id=30684675383503", "YQWHJ21QU")</f>
        <v>YQWHJ21QU</v>
      </c>
      <c r="B3435" t="s">
        <v>10</v>
      </c>
      <c r="C3435" t="s">
        <v>23</v>
      </c>
      <c r="D3435" t="str">
        <f>HYPERLINK("https://us2.cloudbeds.com/connect/10074733072513#/reservations/30684675383503?display=Brian%20Troth&amp;reservation_id=30684675383503&amp;guest_id=30684667867318", "Brian Troth")</f>
        <v>Brian Troth</v>
      </c>
      <c r="E3435" t="s">
        <v>3602</v>
      </c>
      <c r="F3435" t="s">
        <v>3603</v>
      </c>
      <c r="G3435">
        <v>304.2</v>
      </c>
      <c r="H3435">
        <v>330.66</v>
      </c>
      <c r="I3435">
        <v>330.67</v>
      </c>
      <c r="J3435">
        <v>-0.01</v>
      </c>
    </row>
    <row r="3436" spans="1:10" x14ac:dyDescent="0.3">
      <c r="A3436" t="str">
        <f>HYPERLINK("https://us2.cloudbeds.com/connect/10074733072513#/reservations/30683625889964?display=YQVNP3BXD&amp;reservation_id=30683625889964", "YQVNP3BXD")</f>
        <v>YQVNP3BXD</v>
      </c>
      <c r="B3436" t="s">
        <v>10</v>
      </c>
      <c r="C3436" t="s">
        <v>42</v>
      </c>
      <c r="D3436" t="str">
        <f>HYPERLINK("https://us2.cloudbeds.com/connect/10074733072513#/reservations/30683625889964?display=Joann%20Fischer&amp;reservation_id=30683625889964&amp;guest_id=30683625889962", "Joann Fischer")</f>
        <v>Joann Fischer</v>
      </c>
      <c r="E3436" t="s">
        <v>1597</v>
      </c>
      <c r="F3436" t="s">
        <v>2788</v>
      </c>
      <c r="G3436">
        <v>304.2</v>
      </c>
      <c r="H3436">
        <v>330.66</v>
      </c>
      <c r="I3436">
        <v>330.67</v>
      </c>
      <c r="J3436">
        <v>-0.01</v>
      </c>
    </row>
    <row r="3437" spans="1:10" x14ac:dyDescent="0.3">
      <c r="A3437" t="str">
        <f>HYPERLINK("https://us2.cloudbeds.com/connect/10074733072513#/reservations/30685827883187?display=YR0E0T1TP&amp;reservation_id=30685827883187", "YR0E0T1TP")</f>
        <v>YR0E0T1TP</v>
      </c>
      <c r="B3437" t="s">
        <v>10</v>
      </c>
      <c r="C3437" t="s">
        <v>42</v>
      </c>
      <c r="D3437" t="str">
        <f>HYPERLINK("https://us2.cloudbeds.com/connect/10074733072513#/reservations/30685827883187?display=John%20Smith&amp;reservation_id=30685827883187&amp;guest_id=30685827883182", "John Smith")</f>
        <v>John Smith</v>
      </c>
      <c r="E3437" t="s">
        <v>3619</v>
      </c>
      <c r="F3437" t="s">
        <v>3374</v>
      </c>
      <c r="G3437">
        <v>134.1</v>
      </c>
      <c r="H3437">
        <v>145.76</v>
      </c>
      <c r="I3437">
        <v>145.77000000000001</v>
      </c>
      <c r="J3437">
        <v>-0.01</v>
      </c>
    </row>
    <row r="3438" spans="1:10" x14ac:dyDescent="0.3">
      <c r="A3438" t="str">
        <f>HYPERLINK("https://us2.cloudbeds.com/connect/10074733072513#/reservations/30685090730209?display=YQWS69MZN&amp;reservation_id=30685090730209", "YQWS69MZN")</f>
        <v>YQWS69MZN</v>
      </c>
      <c r="B3438" t="s">
        <v>10</v>
      </c>
      <c r="C3438" t="s">
        <v>11</v>
      </c>
      <c r="D3438" t="str">
        <f>HYPERLINK("https://us2.cloudbeds.com/connect/10074733072513#/reservations/30685090730209?display=Suzanne%20Leland&amp;reservation_id=30685090730209&amp;guest_id=30685082468564", "Suzanne Leland")</f>
        <v>Suzanne Leland</v>
      </c>
      <c r="E3438" t="s">
        <v>3620</v>
      </c>
      <c r="F3438" t="s">
        <v>3005</v>
      </c>
      <c r="G3438">
        <v>240.32</v>
      </c>
      <c r="H3438">
        <v>261.22000000000003</v>
      </c>
      <c r="I3438">
        <v>261.23</v>
      </c>
      <c r="J3438">
        <v>-0.01</v>
      </c>
    </row>
    <row r="3439" spans="1:10" x14ac:dyDescent="0.3">
      <c r="A3439" t="str">
        <f>HYPERLINK("https://us2.cloudbeds.com/connect/10074733072513#/reservations/30685961933017?display=YR0HEU6AR&amp;reservation_id=30685961933017", "YR0HEU6AR")</f>
        <v>YR0HEU6AR</v>
      </c>
      <c r="B3439" t="s">
        <v>10</v>
      </c>
      <c r="C3439" t="s">
        <v>14</v>
      </c>
      <c r="D3439" t="str">
        <f>HYPERLINK("https://us2.cloudbeds.com/connect/10074733072513#/reservations/30685961933017?display=Jill%20Prickett&amp;reservation_id=30685961933017&amp;guest_id=30685950165196", "Jill Prickett")</f>
        <v>Jill Prickett</v>
      </c>
      <c r="E3439" t="s">
        <v>3621</v>
      </c>
      <c r="F3439" t="s">
        <v>3605</v>
      </c>
      <c r="G3439">
        <v>134.1</v>
      </c>
      <c r="H3439">
        <v>145.76</v>
      </c>
      <c r="I3439">
        <v>145.77000000000001</v>
      </c>
      <c r="J3439">
        <v>-0.01</v>
      </c>
    </row>
    <row r="3440" spans="1:10" x14ac:dyDescent="0.3">
      <c r="A3440" t="str">
        <f>HYPERLINK("https://us2.cloudbeds.com/connect/10074733072513#/reservations/30686198587579?display=YR0NGFEW6&amp;reservation_id=30686198587579", "YR0NGFEW6")</f>
        <v>YR0NGFEW6</v>
      </c>
      <c r="B3440" t="s">
        <v>10</v>
      </c>
      <c r="C3440" t="s">
        <v>121</v>
      </c>
      <c r="D3440" t="str">
        <f>HYPERLINK("https://us2.cloudbeds.com/connect/10074733072513#/reservations/30686198587579?display=Paul%20Michels&amp;reservation_id=30686198587579&amp;guest_id=30686198587525", "Paul Michels")</f>
        <v>Paul Michels</v>
      </c>
      <c r="E3440" t="s">
        <v>3633</v>
      </c>
      <c r="F3440" t="s">
        <v>3454</v>
      </c>
      <c r="G3440">
        <v>134.1</v>
      </c>
      <c r="H3440">
        <v>145.76</v>
      </c>
      <c r="I3440">
        <v>145.77000000000001</v>
      </c>
      <c r="J3440">
        <v>-0.01</v>
      </c>
    </row>
    <row r="3441" spans="1:10" x14ac:dyDescent="0.3">
      <c r="A3441" t="str">
        <f>HYPERLINK("https://us2.cloudbeds.com/connect/10074733072513#/reservations/30686178541704?display=YR0MWXYCE&amp;reservation_id=30686178541704", "YR0MWXYCE")</f>
        <v>YR0MWXYCE</v>
      </c>
      <c r="B3441" t="s">
        <v>10</v>
      </c>
      <c r="C3441" t="s">
        <v>20</v>
      </c>
      <c r="D3441" t="str">
        <f>HYPERLINK("https://us2.cloudbeds.com/connect/10074733072513#/reservations/30686178541704?display=Jeromy%20Ulmer&amp;reservation_id=30686178541704&amp;guest_id=30686178541701", "Jeromy Ulmer")</f>
        <v>Jeromy Ulmer</v>
      </c>
      <c r="E3441" t="s">
        <v>3636</v>
      </c>
      <c r="F3441" t="s">
        <v>3583</v>
      </c>
      <c r="G3441">
        <v>338</v>
      </c>
      <c r="H3441">
        <v>367.4</v>
      </c>
      <c r="I3441">
        <v>367.41</v>
      </c>
      <c r="J3441">
        <v>-0.01</v>
      </c>
    </row>
    <row r="3442" spans="1:10" x14ac:dyDescent="0.3">
      <c r="A3442" t="str">
        <f>HYPERLINK("https://us2.cloudbeds.com/connect/10074733072513#/reservations/30685651288246?display=YR09GW1DT&amp;reservation_id=30685651288246", "YR09GW1DT")</f>
        <v>YR09GW1DT</v>
      </c>
      <c r="B3442" t="s">
        <v>10</v>
      </c>
      <c r="C3442" t="s">
        <v>20</v>
      </c>
      <c r="D3442" t="str">
        <f>HYPERLINK("https://us2.cloudbeds.com/connect/10074733072513#/reservations/30685651288246?display=Don%20Deangelo&amp;reservation_id=30685651288246&amp;guest_id=30685651288243", "Don Deangelo")</f>
        <v>Don Deangelo</v>
      </c>
      <c r="E3442" t="s">
        <v>3642</v>
      </c>
      <c r="F3442" t="s">
        <v>2859</v>
      </c>
      <c r="G3442">
        <v>152.15</v>
      </c>
      <c r="H3442">
        <v>165.38</v>
      </c>
      <c r="I3442">
        <v>165.39</v>
      </c>
      <c r="J3442">
        <v>-0.01</v>
      </c>
    </row>
    <row r="3443" spans="1:10" x14ac:dyDescent="0.3">
      <c r="A3443" t="str">
        <f>HYPERLINK("https://us2.cloudbeds.com/connect/10074733072513#/reservations/30687229239484?display=YR1GRHSF3&amp;reservation_id=30687229239484", "YR1GRHSF3")</f>
        <v>YR1GRHSF3</v>
      </c>
      <c r="B3443" t="s">
        <v>10</v>
      </c>
      <c r="C3443" t="s">
        <v>42</v>
      </c>
      <c r="D3443" t="str">
        <f>HYPERLINK("https://us2.cloudbeds.com/connect/10074733072513#/reservations/30687229239484?display=Kavita%20Au&amp;reservation_id=30687229239484&amp;guest_id=30687229239481", "Kavita Au")</f>
        <v>Kavita Au</v>
      </c>
      <c r="E3443" t="s">
        <v>3643</v>
      </c>
      <c r="F3443" t="s">
        <v>3179</v>
      </c>
      <c r="G3443">
        <v>152.15</v>
      </c>
      <c r="H3443">
        <v>165.38</v>
      </c>
      <c r="I3443">
        <v>165.39</v>
      </c>
      <c r="J3443">
        <v>-0.01</v>
      </c>
    </row>
    <row r="3444" spans="1:10" x14ac:dyDescent="0.3">
      <c r="A3444" t="str">
        <f>HYPERLINK("https://us2.cloudbeds.com/connect/10074733072513#/reservations/30681686532272?display=YQU76PSGG&amp;reservation_id=30681686532272", "YQU76PSGG")</f>
        <v>YQU76PSGG</v>
      </c>
      <c r="B3444" t="s">
        <v>10</v>
      </c>
      <c r="C3444" t="s">
        <v>14</v>
      </c>
      <c r="D3444" t="str">
        <f>HYPERLINK("https://us2.cloudbeds.com/connect/10074733072513#/reservations/30681686532272?display=Lea%20Niederbaumer&amp;reservation_id=30681686532272&amp;guest_id=30681686532269", "Lea Niederbaumer")</f>
        <v>Lea Niederbaumer</v>
      </c>
      <c r="E3444" t="s">
        <v>3647</v>
      </c>
      <c r="F3444" t="s">
        <v>3094</v>
      </c>
      <c r="G3444">
        <v>114.15</v>
      </c>
      <c r="H3444">
        <v>124.07</v>
      </c>
      <c r="I3444">
        <v>124.08</v>
      </c>
      <c r="J3444">
        <v>-0.01</v>
      </c>
    </row>
    <row r="3445" spans="1:10" x14ac:dyDescent="0.3">
      <c r="A3445" t="str">
        <f>HYPERLINK("https://us2.cloudbeds.com/connect/10074733072513#/reservations/30687236096208?display=YR1H0AYQK&amp;reservation_id=30687236096208", "YR1H0AYQK")</f>
        <v>YR1H0AYQK</v>
      </c>
      <c r="B3445" t="s">
        <v>10</v>
      </c>
      <c r="C3445" t="s">
        <v>121</v>
      </c>
      <c r="D3445" t="str">
        <f>HYPERLINK("https://us2.cloudbeds.com/connect/10074733072513#/reservations/30687236096208?display=Julie%20Sackett&amp;reservation_id=30687236096208&amp;guest_id=30687236096197", "Julie Sackett")</f>
        <v>Julie Sackett</v>
      </c>
      <c r="E3445" t="s">
        <v>3653</v>
      </c>
      <c r="F3445" t="s">
        <v>3179</v>
      </c>
      <c r="G3445">
        <v>170.1</v>
      </c>
      <c r="H3445">
        <v>184.89</v>
      </c>
      <c r="I3445">
        <v>184.9</v>
      </c>
      <c r="J3445">
        <v>-0.01</v>
      </c>
    </row>
    <row r="3446" spans="1:10" x14ac:dyDescent="0.3">
      <c r="A3446" t="str">
        <f>HYPERLINK("https://us2.cloudbeds.com/connect/10074733072513#/reservations/30685862727855?display=YR0EU8YRQ&amp;reservation_id=30685862727855", "YR0EU8YRQ")</f>
        <v>YR0EU8YRQ</v>
      </c>
      <c r="B3446" t="s">
        <v>10</v>
      </c>
      <c r="C3446" t="s">
        <v>121</v>
      </c>
      <c r="D3446" t="str">
        <f>HYPERLINK("https://us2.cloudbeds.com/connect/10074733072513#/reservations/30685862727855?display=Pamela%20Scott&amp;reservation_id=30685862727855&amp;guest_id=30685854658786", "Pamela Scott")</f>
        <v>Pamela Scott</v>
      </c>
      <c r="E3446" t="s">
        <v>3665</v>
      </c>
      <c r="F3446" t="s">
        <v>3263</v>
      </c>
      <c r="G3446">
        <v>250.2</v>
      </c>
      <c r="H3446">
        <v>271.95999999999998</v>
      </c>
      <c r="I3446">
        <v>271.97000000000003</v>
      </c>
      <c r="J3446">
        <v>-0.01</v>
      </c>
    </row>
    <row r="3447" spans="1:10" x14ac:dyDescent="0.3">
      <c r="A3447" t="str">
        <f>HYPERLINK("https://us2.cloudbeds.com/connect/10074733072513#/reservations/30686125768897?display=YR0YY25GF&amp;reservation_id=30686125768897", "YR0YY25GF")</f>
        <v>YR0YY25GF</v>
      </c>
      <c r="B3447" t="s">
        <v>10</v>
      </c>
      <c r="C3447" t="s">
        <v>20</v>
      </c>
      <c r="D3447" t="str">
        <f>HYPERLINK("https://us2.cloudbeds.com/connect/10074733072513#/reservations/30686125768897?display=Lynda%20Barnett&amp;reservation_id=30686125768897&amp;guest_id=30686125764808", "Lynda Barnett")</f>
        <v>Lynda Barnett</v>
      </c>
      <c r="E3447" t="s">
        <v>3668</v>
      </c>
      <c r="F3447" t="s">
        <v>3263</v>
      </c>
      <c r="G3447">
        <v>112.24</v>
      </c>
      <c r="H3447">
        <v>121.99</v>
      </c>
      <c r="I3447">
        <v>122</v>
      </c>
      <c r="J3447">
        <v>-0.01</v>
      </c>
    </row>
    <row r="3448" spans="1:10" x14ac:dyDescent="0.3">
      <c r="A3448" t="str">
        <f>HYPERLINK("https://us2.cloudbeds.com/connect/10074733072513#/reservations/30684562747592?display=YQWEN2Q7G&amp;reservation_id=30684562747592", "YQWEN2Q7G")</f>
        <v>YQWEN2Q7G</v>
      </c>
      <c r="B3448" t="s">
        <v>10</v>
      </c>
      <c r="C3448" t="s">
        <v>42</v>
      </c>
      <c r="D3448" t="str">
        <f>HYPERLINK("https://us2.cloudbeds.com/connect/10074733072513#/reservations/30684562747592?display=Deeann%20Frederikson&amp;reservation_id=30684562747592&amp;guest_id=30684562747590", "Deeann Frederikson")</f>
        <v>Deeann Frederikson</v>
      </c>
      <c r="E3448" t="s">
        <v>3672</v>
      </c>
      <c r="F3448" t="s">
        <v>3639</v>
      </c>
      <c r="G3448">
        <v>375.3</v>
      </c>
      <c r="H3448">
        <v>407.94</v>
      </c>
      <c r="I3448">
        <v>407.95</v>
      </c>
      <c r="J3448">
        <v>-0.01</v>
      </c>
    </row>
    <row r="3449" spans="1:10" x14ac:dyDescent="0.3">
      <c r="A3449" t="str">
        <f>HYPERLINK("https://us2.cloudbeds.com/connect/10074733072513#/reservations/30685786325148?display=YR0CVRY88&amp;reservation_id=30685786325148", "YR0CVRY88")</f>
        <v>YR0CVRY88</v>
      </c>
      <c r="B3449" t="s">
        <v>10</v>
      </c>
      <c r="C3449" t="s">
        <v>20</v>
      </c>
      <c r="D3449" t="str">
        <f>HYPERLINK("https://us2.cloudbeds.com/connect/10074733072513#/reservations/30685786325148?display=Trent%20Johnson&amp;reservation_id=30685786325148&amp;guest_id=30685786325146", "Trent Johnson")</f>
        <v>Trent Johnson</v>
      </c>
      <c r="E3449" t="s">
        <v>3675</v>
      </c>
      <c r="F3449" t="s">
        <v>3479</v>
      </c>
      <c r="G3449">
        <v>112.24</v>
      </c>
      <c r="H3449">
        <v>121.99</v>
      </c>
      <c r="I3449">
        <v>122</v>
      </c>
      <c r="J3449">
        <v>-0.01</v>
      </c>
    </row>
    <row r="3450" spans="1:10" x14ac:dyDescent="0.3">
      <c r="A3450" t="str">
        <f>HYPERLINK("https://us2.cloudbeds.com/connect/10074733072513#/reservations/30684520513748?display=YQWDKFJ01&amp;reservation_id=30684520513748", "YQWDKFJ01")</f>
        <v>YQWDKFJ01</v>
      </c>
      <c r="B3450" t="s">
        <v>10</v>
      </c>
      <c r="C3450" t="s">
        <v>42</v>
      </c>
      <c r="D3450" t="str">
        <f>HYPERLINK("https://us2.cloudbeds.com/connect/10074733072513#/reservations/30684520513748?display=Nemjamin%20Wischmeyer&amp;reservation_id=30684520513748&amp;guest_id=30684520513744", "Nemjamin Wischmeyer")</f>
        <v>Nemjamin Wischmeyer</v>
      </c>
      <c r="E3450" t="s">
        <v>3677</v>
      </c>
      <c r="F3450" t="s">
        <v>3639</v>
      </c>
      <c r="G3450">
        <v>118.15</v>
      </c>
      <c r="H3450">
        <v>128.41999999999999</v>
      </c>
      <c r="I3450">
        <v>128.43</v>
      </c>
      <c r="J3450">
        <v>-0.01</v>
      </c>
    </row>
    <row r="3451" spans="1:10" x14ac:dyDescent="0.3">
      <c r="A3451" t="str">
        <f>HYPERLINK("https://us2.cloudbeds.com/connect/10074733072513#/reservations/30682443018475?display=YQUQHM6RR&amp;reservation_id=30682443018475", "YQUQHM6RR")</f>
        <v>YQUQHM6RR</v>
      </c>
      <c r="B3451" t="s">
        <v>10</v>
      </c>
      <c r="C3451" t="s">
        <v>11</v>
      </c>
      <c r="D3451" t="str">
        <f>HYPERLINK("https://us2.cloudbeds.com/connect/10074733072513#/reservations/30682443018475?display=Royce%20Fertig&amp;reservation_id=30682443018475&amp;guest_id=30676417040519", "Royce Fertig")</f>
        <v>Royce Fertig</v>
      </c>
      <c r="E3451" t="s">
        <v>3014</v>
      </c>
      <c r="F3451" t="s">
        <v>3688</v>
      </c>
      <c r="G3451">
        <v>500.4</v>
      </c>
      <c r="H3451">
        <v>543.91999999999996</v>
      </c>
      <c r="I3451">
        <v>543.92999999999995</v>
      </c>
      <c r="J3451">
        <v>-0.01</v>
      </c>
    </row>
    <row r="3452" spans="1:10" x14ac:dyDescent="0.3">
      <c r="A3452" t="str">
        <f>HYPERLINK("https://us2.cloudbeds.com/connect/10074733072513#/reservations/30685894201599?display=YR0FNQFBK&amp;reservation_id=30685894201599", "YR0FNQFBK")</f>
        <v>YR0FNQFBK</v>
      </c>
      <c r="B3452" t="s">
        <v>10</v>
      </c>
      <c r="C3452" t="s">
        <v>20</v>
      </c>
      <c r="D3452" t="str">
        <f>HYPERLINK("https://us2.cloudbeds.com/connect/10074733072513#/reservations/30685894201599?display=Craig%20Bragdon&amp;reservation_id=30685894201599&amp;guest_id=30685894201539", "Craig Bragdon")</f>
        <v>Craig Bragdon</v>
      </c>
      <c r="E3452" t="s">
        <v>3702</v>
      </c>
      <c r="F3452" t="s">
        <v>3092</v>
      </c>
      <c r="G3452">
        <v>112.24</v>
      </c>
      <c r="H3452">
        <v>121.99</v>
      </c>
      <c r="I3452">
        <v>122</v>
      </c>
      <c r="J3452">
        <v>-0.01</v>
      </c>
    </row>
    <row r="3453" spans="1:10" x14ac:dyDescent="0.3">
      <c r="A3453" t="str">
        <f>HYPERLINK("https://us2.cloudbeds.com/connect/10074733072513#/reservations/30685109248202?display=YQWSYTWB1&amp;reservation_id=30685109248202", "YQWSYTWB1")</f>
        <v>YQWSYTWB1</v>
      </c>
      <c r="B3453" t="s">
        <v>10</v>
      </c>
      <c r="C3453" t="s">
        <v>20</v>
      </c>
      <c r="D3453" t="str">
        <f>HYPERLINK("https://us2.cloudbeds.com/connect/10074733072513#/reservations/30685109248202?display=Stacy%20Hoffman&amp;reservation_id=30685109248202&amp;guest_id=30685109244121", "Stacy Hoffman")</f>
        <v>Stacy Hoffman</v>
      </c>
      <c r="E3453" t="s">
        <v>3709</v>
      </c>
      <c r="F3453" t="s">
        <v>3283</v>
      </c>
      <c r="G3453">
        <v>62.24</v>
      </c>
      <c r="H3453">
        <v>67.64</v>
      </c>
      <c r="I3453">
        <v>67.650000000000006</v>
      </c>
      <c r="J3453">
        <v>-0.01</v>
      </c>
    </row>
    <row r="3454" spans="1:10" x14ac:dyDescent="0.3">
      <c r="A3454" t="str">
        <f>HYPERLINK("https://us2.cloudbeds.com/connect/10074733072513#/reservations/30685118132381?display=YQWSTD6EH&amp;reservation_id=30685118132381", "YQWSTD6EH")</f>
        <v>YQWSTD6EH</v>
      </c>
      <c r="B3454" t="s">
        <v>10</v>
      </c>
      <c r="C3454" t="s">
        <v>20</v>
      </c>
      <c r="D3454" t="str">
        <f>HYPERLINK("https://us2.cloudbeds.com/connect/10074733072513#/reservations/30685118132381?display=Cory%20Platten&amp;reservation_id=30685118132381&amp;guest_id=30685118128302", "Cory Platten")</f>
        <v>Cory Platten</v>
      </c>
      <c r="E3454" t="s">
        <v>3712</v>
      </c>
      <c r="F3454" t="s">
        <v>3283</v>
      </c>
      <c r="G3454">
        <v>112.24</v>
      </c>
      <c r="H3454">
        <v>121.99</v>
      </c>
      <c r="I3454">
        <v>122</v>
      </c>
      <c r="J3454">
        <v>-0.01</v>
      </c>
    </row>
    <row r="3455" spans="1:10" x14ac:dyDescent="0.3">
      <c r="A3455" t="str">
        <f>HYPERLINK("https://us2.cloudbeds.com/connect/10074733072513#/reservations/30683278512259?display=YQVET61P7&amp;reservation_id=30683278512259", "YQVET61P7")</f>
        <v>YQVET61P7</v>
      </c>
      <c r="B3455" t="s">
        <v>10</v>
      </c>
      <c r="C3455" t="s">
        <v>11</v>
      </c>
      <c r="D3455" t="str">
        <f>HYPERLINK("https://us2.cloudbeds.com/connect/10074733072513#/reservations/30683278512259?display=Marcia%20Moore&amp;reservation_id=30683278512259&amp;guest_id=30683269837043", "Marcia Moore")</f>
        <v>Marcia Moore</v>
      </c>
      <c r="E3455" t="s">
        <v>3714</v>
      </c>
      <c r="F3455" t="s">
        <v>3715</v>
      </c>
      <c r="G3455">
        <v>87.45</v>
      </c>
      <c r="H3455">
        <v>95.05</v>
      </c>
      <c r="I3455">
        <v>95.06</v>
      </c>
      <c r="J3455">
        <v>-0.01</v>
      </c>
    </row>
    <row r="3456" spans="1:10" x14ac:dyDescent="0.3">
      <c r="A3456" t="str">
        <f>HYPERLINK("https://us2.cloudbeds.com/connect/10074733072513#/reservations/30686646878363?display=YR11VFQJD&amp;reservation_id=30686646878363", "YR11VFQJD")</f>
        <v>YR11VFQJD</v>
      </c>
      <c r="B3456" t="s">
        <v>10</v>
      </c>
      <c r="C3456" t="s">
        <v>42</v>
      </c>
      <c r="D3456" t="str">
        <f>HYPERLINK("https://us2.cloudbeds.com/connect/10074733072513#/reservations/30686646878363?display=Scott%20Pannell&amp;reservation_id=30686646878363&amp;guest_id=30686646874267", "Scott Pannell")</f>
        <v>Scott Pannell</v>
      </c>
      <c r="E3456" t="s">
        <v>3726</v>
      </c>
      <c r="F3456" t="s">
        <v>2928</v>
      </c>
      <c r="G3456">
        <v>277.2</v>
      </c>
      <c r="H3456">
        <v>301.31</v>
      </c>
      <c r="I3456">
        <v>301.32</v>
      </c>
      <c r="J3456">
        <v>-0.01</v>
      </c>
    </row>
    <row r="3457" spans="1:10" x14ac:dyDescent="0.3">
      <c r="A3457" t="str">
        <f>HYPERLINK("https://us2.cloudbeds.com/connect/10074733072513#/reservations/30684646891747?display=YQWGS17JC&amp;reservation_id=30684646891747", "YQWGS17JC")</f>
        <v>YQWGS17JC</v>
      </c>
      <c r="B3457" t="s">
        <v>10</v>
      </c>
      <c r="C3457" t="s">
        <v>11</v>
      </c>
      <c r="D3457" t="str">
        <f>HYPERLINK("https://us2.cloudbeds.com/connect/10074733072513#/reservations/30684646891747?display=Amy%20Vining&amp;reservation_id=30684646891747&amp;guest_id=30684646887656", "Amy Vining")</f>
        <v>Amy Vining</v>
      </c>
      <c r="E3457" t="s">
        <v>3728</v>
      </c>
      <c r="F3457" t="s">
        <v>3295</v>
      </c>
      <c r="G3457">
        <v>110.29</v>
      </c>
      <c r="H3457">
        <v>119.88</v>
      </c>
      <c r="I3457">
        <v>119.89</v>
      </c>
      <c r="J3457">
        <v>-0.01</v>
      </c>
    </row>
    <row r="3458" spans="1:10" x14ac:dyDescent="0.3">
      <c r="A3458" t="str">
        <f>HYPERLINK("https://us2.cloudbeds.com/connect/10074733072513#/reservations/30686463942854?display=YR0U97BZ4&amp;reservation_id=30686463942854", "YR0U97BZ4")</f>
        <v>YR0U97BZ4</v>
      </c>
      <c r="B3458" t="s">
        <v>10</v>
      </c>
      <c r="C3458" t="s">
        <v>20</v>
      </c>
      <c r="D3458" t="str">
        <f>HYPERLINK("https://us2.cloudbeds.com/connect/10074733072513#/reservations/30686463942854?display=Jacqueline%20Alcantar&amp;reservation_id=30686463942854&amp;guest_id=30686455050414", "Jacqueline Alcantar")</f>
        <v>Jacqueline Alcantar</v>
      </c>
      <c r="E3458" t="s">
        <v>3738</v>
      </c>
      <c r="F3458" t="s">
        <v>3739</v>
      </c>
      <c r="G3458">
        <v>120.32</v>
      </c>
      <c r="H3458">
        <v>130.78</v>
      </c>
      <c r="I3458">
        <v>130.79</v>
      </c>
      <c r="J3458">
        <v>-0.01</v>
      </c>
    </row>
    <row r="3459" spans="1:10" x14ac:dyDescent="0.3">
      <c r="A3459" t="str">
        <f>HYPERLINK("https://us2.cloudbeds.com/connect/10074733072513#/reservations/30685284884682?display=YR0050AMJ&amp;reservation_id=30685284884682", "YR0050AMJ")</f>
        <v>YR0050AMJ</v>
      </c>
      <c r="B3459" t="s">
        <v>10</v>
      </c>
      <c r="C3459" t="s">
        <v>20</v>
      </c>
      <c r="D3459" t="str">
        <f>HYPERLINK("https://us2.cloudbeds.com/connect/10074733072513#/reservations/30685284884682?display=Carolyn%20Pedego&amp;reservation_id=30685284884682&amp;guest_id=30685277720767", "Carolyn Pedego")</f>
        <v>Carolyn Pedego</v>
      </c>
      <c r="E3459" t="s">
        <v>3740</v>
      </c>
      <c r="F3459" t="s">
        <v>3741</v>
      </c>
      <c r="G3459">
        <v>112.24</v>
      </c>
      <c r="H3459">
        <v>121.99</v>
      </c>
      <c r="I3459">
        <v>122</v>
      </c>
      <c r="J3459">
        <v>-0.01</v>
      </c>
    </row>
    <row r="3460" spans="1:10" x14ac:dyDescent="0.3">
      <c r="A3460" t="str">
        <f>HYPERLINK("https://us2.cloudbeds.com/connect/10074733072513#/reservations/30685468455155?display=YR04RQEK7&amp;reservation_id=30685468455155", "YR04RQEK7")</f>
        <v>YR04RQEK7</v>
      </c>
      <c r="B3460" t="s">
        <v>10</v>
      </c>
      <c r="C3460" t="s">
        <v>11</v>
      </c>
      <c r="D3460" t="str">
        <f>HYPERLINK("https://us2.cloudbeds.com/connect/10074733072513#/reservations/30685468455155?display=Tennille%20Taylor&amp;reservation_id=30685468455155&amp;guest_id=30685468455138", "Tennille Taylor")</f>
        <v>Tennille Taylor</v>
      </c>
      <c r="E3460" t="s">
        <v>1319</v>
      </c>
      <c r="F3460" t="s">
        <v>2635</v>
      </c>
      <c r="G3460">
        <v>83.45</v>
      </c>
      <c r="H3460">
        <v>90.7</v>
      </c>
      <c r="I3460">
        <v>90.71</v>
      </c>
      <c r="J3460">
        <v>-0.01</v>
      </c>
    </row>
    <row r="3461" spans="1:10" x14ac:dyDescent="0.3">
      <c r="A3461" t="str">
        <f>HYPERLINK("https://us2.cloudbeds.com/connect/10074733072513#/reservations/30684987855002?display=YQWPXX157&amp;reservation_id=30684987855002", "YQWPXX157")</f>
        <v>YQWPXX157</v>
      </c>
      <c r="B3461" t="s">
        <v>10</v>
      </c>
      <c r="C3461" t="s">
        <v>20</v>
      </c>
      <c r="D3461" t="str">
        <f>HYPERLINK("https://us2.cloudbeds.com/connect/10074733072513#/reservations/30684987855002?display=Barbara%20Drees&amp;reservation_id=30684987855002&amp;guest_id=30684987854998", "Barbara Drees")</f>
        <v>Barbara Drees</v>
      </c>
      <c r="E3461" t="s">
        <v>3761</v>
      </c>
      <c r="F3461" t="s">
        <v>3762</v>
      </c>
      <c r="G3461">
        <v>208.34</v>
      </c>
      <c r="H3461">
        <v>226.46</v>
      </c>
      <c r="I3461">
        <v>226.47</v>
      </c>
      <c r="J3461">
        <v>-0.01</v>
      </c>
    </row>
    <row r="3462" spans="1:10" x14ac:dyDescent="0.3">
      <c r="A3462" t="str">
        <f>HYPERLINK("https://us2.cloudbeds.com/connect/10074733072513#/reservations/30683229782156?display=YQVDY326G&amp;reservation_id=30683229782156", "YQVDY326G")</f>
        <v>YQVDY326G</v>
      </c>
      <c r="B3462" t="s">
        <v>10</v>
      </c>
      <c r="C3462" t="s">
        <v>23</v>
      </c>
      <c r="D3462" t="str">
        <f>HYPERLINK("https://us2.cloudbeds.com/connect/10074733072513#/reservations/30683229782156?display=Barbara%20Paulson&amp;reservation_id=30683229782156&amp;guest_id=30682406412458", "Barbara Paulson")</f>
        <v>Barbara Paulson</v>
      </c>
      <c r="E3462" t="s">
        <v>3764</v>
      </c>
      <c r="F3462" t="s">
        <v>2788</v>
      </c>
      <c r="G3462">
        <v>268.2</v>
      </c>
      <c r="H3462">
        <v>291.52</v>
      </c>
      <c r="I3462">
        <v>291.52999999999997</v>
      </c>
      <c r="J3462">
        <v>-0.01</v>
      </c>
    </row>
    <row r="3463" spans="1:10" x14ac:dyDescent="0.3">
      <c r="A3463" t="str">
        <f>HYPERLINK("https://us2.cloudbeds.com/connect/10074733072513#/reservations/30685346943114?display=YR01ZB6A5&amp;reservation_id=30685346943114", "YR01ZB6A5")</f>
        <v>YR01ZB6A5</v>
      </c>
      <c r="B3463" t="s">
        <v>10</v>
      </c>
      <c r="C3463" t="s">
        <v>14</v>
      </c>
      <c r="D3463" t="str">
        <f>HYPERLINK("https://us2.cloudbeds.com/connect/10074733072513#/reservations/30685346943114?display=Carrie%20Vanden%20Bussche&amp;reservation_id=30685346943114&amp;guest_id=30685346939032", "Carrie Vanden Bussche")</f>
        <v>Carrie Vanden Bussche</v>
      </c>
      <c r="E3463" t="s">
        <v>3765</v>
      </c>
      <c r="F3463" t="s">
        <v>3657</v>
      </c>
      <c r="G3463">
        <v>300.10000000000002</v>
      </c>
      <c r="H3463">
        <v>326.2</v>
      </c>
      <c r="I3463">
        <v>326.20999999999998</v>
      </c>
      <c r="J3463">
        <v>-0.01</v>
      </c>
    </row>
    <row r="3464" spans="1:10" x14ac:dyDescent="0.3">
      <c r="A3464" t="str">
        <f>HYPERLINK("https://us2.cloudbeds.com/connect/10074733072513#/reservations/30685419974911?display=YR03JUDFU&amp;reservation_id=30685419974911", "YR03JUDFU")</f>
        <v>YR03JUDFU</v>
      </c>
      <c r="B3464" t="s">
        <v>10</v>
      </c>
      <c r="C3464" t="s">
        <v>11</v>
      </c>
      <c r="D3464" t="str">
        <f>HYPERLINK("https://us2.cloudbeds.com/connect/10074733072513#/reservations/30685419974911?display=Chris%20Doerr&amp;reservation_id=30685419974911&amp;guest_id=30685419974852", "Chris Doerr")</f>
        <v>Chris Doerr</v>
      </c>
      <c r="E3464" t="s">
        <v>1319</v>
      </c>
      <c r="F3464" t="s">
        <v>3739</v>
      </c>
      <c r="G3464">
        <v>77.45</v>
      </c>
      <c r="H3464">
        <v>84.18</v>
      </c>
      <c r="I3464">
        <v>84.19</v>
      </c>
      <c r="J3464">
        <v>-0.01</v>
      </c>
    </row>
    <row r="3465" spans="1:10" x14ac:dyDescent="0.3">
      <c r="A3465" t="str">
        <f>HYPERLINK("https://us2.cloudbeds.com/connect/10074733072513#/reservations/30684875981007?display=YQWMN6W75&amp;reservation_id=30684875981007", "YQWMN6W75")</f>
        <v>YQWMN6W75</v>
      </c>
      <c r="B3465" t="s">
        <v>10</v>
      </c>
      <c r="C3465" t="s">
        <v>20</v>
      </c>
      <c r="D3465" t="str">
        <f>HYPERLINK("https://us2.cloudbeds.com/connect/10074733072513#/reservations/30684875981007?display=Mike%20Gandrud&amp;reservation_id=30684875981007&amp;guest_id=30684871360696", "Mike Gandrud")</f>
        <v>Mike Gandrud</v>
      </c>
      <c r="E3465" t="s">
        <v>3783</v>
      </c>
      <c r="F3465" t="s">
        <v>2581</v>
      </c>
      <c r="G3465">
        <v>143.65</v>
      </c>
      <c r="H3465">
        <v>156.13999999999999</v>
      </c>
      <c r="I3465">
        <v>156.15</v>
      </c>
      <c r="J3465">
        <v>-0.01</v>
      </c>
    </row>
    <row r="3466" spans="1:10" x14ac:dyDescent="0.3">
      <c r="A3466" t="str">
        <f>HYPERLINK("https://us2.cloudbeds.com/connect/10074733072513#/reservations/30684659355893?display=YQWH5X22P&amp;reservation_id=30684659355893", "YQWH5X22P")</f>
        <v>YQWH5X22P</v>
      </c>
      <c r="B3466" t="s">
        <v>10</v>
      </c>
      <c r="C3466" t="s">
        <v>11</v>
      </c>
      <c r="D3466" t="str">
        <f>HYPERLINK("https://us2.cloudbeds.com/connect/10074733072513#/reservations/30684659355893?display=Kimberly%20Vanhill&amp;reservation_id=30684659355893&amp;guest_id=30684659355844", "Kimberly Vanhill")</f>
        <v>Kimberly Vanhill</v>
      </c>
      <c r="E3466" t="s">
        <v>1933</v>
      </c>
      <c r="F3466" t="s">
        <v>3475</v>
      </c>
      <c r="G3466">
        <v>94.16</v>
      </c>
      <c r="H3466">
        <v>102.34</v>
      </c>
      <c r="I3466">
        <v>102.35</v>
      </c>
      <c r="J3466">
        <v>-0.01</v>
      </c>
    </row>
    <row r="3467" spans="1:10" x14ac:dyDescent="0.3">
      <c r="A3467" t="str">
        <f>HYPERLINK("https://us2.cloudbeds.com/connect/10074733072513#/reservations/30685524918526?display=YR069DKEF&amp;reservation_id=30685524918526", "YR069DKEF")</f>
        <v>YR069DKEF</v>
      </c>
      <c r="B3467" t="s">
        <v>10</v>
      </c>
      <c r="C3467" t="s">
        <v>42</v>
      </c>
      <c r="D3467" t="str">
        <f>HYPERLINK("https://us2.cloudbeds.com/connect/10074733072513#/reservations/30685524918526?display=Teresa%20Freund&amp;reservation_id=30685524918526&amp;guest_id=30685524918466", "Teresa Freund")</f>
        <v>Teresa Freund</v>
      </c>
      <c r="E3467" t="s">
        <v>3789</v>
      </c>
      <c r="F3467" t="s">
        <v>3762</v>
      </c>
      <c r="G3467">
        <v>94.1</v>
      </c>
      <c r="H3467">
        <v>102.28</v>
      </c>
      <c r="I3467">
        <v>102.29</v>
      </c>
      <c r="J3467">
        <v>-0.01</v>
      </c>
    </row>
    <row r="3468" spans="1:10" x14ac:dyDescent="0.3">
      <c r="A3468" t="str">
        <f>HYPERLINK("https://us2.cloudbeds.com/connect/10074733072513#/reservations/30685434704046?display=YR03WB8SB&amp;reservation_id=30685434704046", "YR03WB8SB")</f>
        <v>YR03WB8SB</v>
      </c>
      <c r="B3468" t="s">
        <v>10</v>
      </c>
      <c r="C3468" t="s">
        <v>42</v>
      </c>
      <c r="D3468" t="str">
        <f>HYPERLINK("https://us2.cloudbeds.com/connect/10074733072513#/reservations/30685434704046?display=Jordan%20Moss&amp;reservation_id=30685434704046&amp;guest_id=30685434704001", "Jordan Moss")</f>
        <v>Jordan Moss</v>
      </c>
      <c r="E3468" t="s">
        <v>3791</v>
      </c>
      <c r="F3468" t="s">
        <v>3196</v>
      </c>
      <c r="G3468">
        <v>170.1</v>
      </c>
      <c r="H3468">
        <v>184.89</v>
      </c>
      <c r="I3468">
        <v>184.9</v>
      </c>
      <c r="J3468">
        <v>-0.01</v>
      </c>
    </row>
    <row r="3469" spans="1:10" x14ac:dyDescent="0.3">
      <c r="A3469" t="str">
        <f>HYPERLINK("https://us2.cloudbeds.com/connect/10074733072513#/reservations/30685254062250?display=YQWWC0Y8H&amp;reservation_id=30685254062250", "YQWWC0Y8H")</f>
        <v>YQWWC0Y8H</v>
      </c>
      <c r="B3469" t="s">
        <v>10</v>
      </c>
      <c r="C3469" t="s">
        <v>17</v>
      </c>
      <c r="D3469" t="str">
        <f>HYPERLINK("https://us2.cloudbeds.com/connect/10074733072513#/reservations/30685254062250?display=William%20Graves&amp;reservation_id=30685254062250&amp;guest_id=30648454471826", "William Graves")</f>
        <v>William Graves</v>
      </c>
      <c r="E3469" t="s">
        <v>447</v>
      </c>
      <c r="F3469" t="s">
        <v>3793</v>
      </c>
      <c r="G3469">
        <v>250.2</v>
      </c>
      <c r="H3469">
        <v>271.95999999999998</v>
      </c>
      <c r="I3469">
        <v>271.97000000000003</v>
      </c>
      <c r="J3469">
        <v>-0.01</v>
      </c>
    </row>
    <row r="3470" spans="1:10" x14ac:dyDescent="0.3">
      <c r="A3470" t="str">
        <f>HYPERLINK("https://us2.cloudbeds.com/connect/10074733072513#/reservations/30685277720706?display=YQWWVVW6E&amp;reservation_id=30685277720706", "YQWWVVW6E")</f>
        <v>YQWWVVW6E</v>
      </c>
      <c r="B3470" t="s">
        <v>10</v>
      </c>
      <c r="C3470" t="s">
        <v>20</v>
      </c>
      <c r="D3470" t="str">
        <f>HYPERLINK("https://us2.cloudbeds.com/connect/10074733072513#/reservations/30685277720706?display=Angela%20Thompson&amp;reservation_id=30685277720706&amp;guest_id=30685269287073", "Angela Thompson")</f>
        <v>Angela Thompson</v>
      </c>
      <c r="E3470" t="s">
        <v>3796</v>
      </c>
      <c r="F3470" t="s">
        <v>3793</v>
      </c>
      <c r="G3470">
        <v>112.24</v>
      </c>
      <c r="H3470">
        <v>121.99</v>
      </c>
      <c r="I3470">
        <v>122</v>
      </c>
      <c r="J3470">
        <v>-0.01</v>
      </c>
    </row>
    <row r="3471" spans="1:10" x14ac:dyDescent="0.3">
      <c r="A3471" t="str">
        <f>HYPERLINK("https://us2.cloudbeds.com/connect/10074733072513#/reservations/30685261697202?display=YQWWXF37N&amp;reservation_id=30685261697202", "YQWWXF37N")</f>
        <v>YQWWXF37N</v>
      </c>
      <c r="B3471" t="s">
        <v>10</v>
      </c>
      <c r="C3471" t="s">
        <v>42</v>
      </c>
      <c r="D3471" t="str">
        <f>HYPERLINK("https://us2.cloudbeds.com/connect/10074733072513#/reservations/30685261697202?display=Dennis%20Hill&amp;reservation_id=30685261697202&amp;guest_id=30685261697197", "Dennis Hill")</f>
        <v>Dennis Hill</v>
      </c>
      <c r="E3471" t="s">
        <v>3797</v>
      </c>
      <c r="F3471" t="s">
        <v>3403</v>
      </c>
      <c r="G3471">
        <v>268.2</v>
      </c>
      <c r="H3471">
        <v>291.52</v>
      </c>
      <c r="I3471">
        <v>291.52999999999997</v>
      </c>
      <c r="J3471">
        <v>-0.01</v>
      </c>
    </row>
    <row r="3472" spans="1:10" x14ac:dyDescent="0.3">
      <c r="A3472" t="str">
        <f>HYPERLINK("https://us2.cloudbeds.com/connect/10074733072513#/reservations/30684992848126?display=YQWPMZW70&amp;reservation_id=30684992848126", "YQWPMZW70")</f>
        <v>YQWPMZW70</v>
      </c>
      <c r="B3472" t="s">
        <v>10</v>
      </c>
      <c r="C3472" t="s">
        <v>20</v>
      </c>
      <c r="D3472" t="str">
        <f>HYPERLINK("https://us2.cloudbeds.com/connect/10074733072513#/reservations/30684992848126?display=Rosemarie%20Dammer&amp;reservation_id=30684992848126&amp;guest_id=30684992848066", "Rosemarie Dammer")</f>
        <v>Rosemarie Dammer</v>
      </c>
      <c r="E3472" t="s">
        <v>3804</v>
      </c>
      <c r="F3472" t="s">
        <v>3805</v>
      </c>
      <c r="G3472">
        <v>112.24</v>
      </c>
      <c r="H3472">
        <v>121.99</v>
      </c>
      <c r="I3472">
        <v>122</v>
      </c>
      <c r="J3472">
        <v>-0.01</v>
      </c>
    </row>
    <row r="3473" spans="1:10" x14ac:dyDescent="0.3">
      <c r="A3473" t="str">
        <f>HYPERLINK("https://us2.cloudbeds.com/connect/10074733072513#/reservations/30684552413428?display=YQWEEC7Y0&amp;reservation_id=30684552413428", "YQWEEC7Y0")</f>
        <v>YQWEEC7Y0</v>
      </c>
      <c r="B3473" t="s">
        <v>10</v>
      </c>
      <c r="C3473" t="s">
        <v>20</v>
      </c>
      <c r="D3473" t="str">
        <f>HYPERLINK("https://us2.cloudbeds.com/connect/10074733072513#/reservations/30684552413428?display=Pat%20Hutchens&amp;reservation_id=30684552413428&amp;guest_id=30684543459484", "Pat Hutchens")</f>
        <v>Pat Hutchens</v>
      </c>
      <c r="E3473" t="s">
        <v>3806</v>
      </c>
      <c r="F3473" t="s">
        <v>3292</v>
      </c>
      <c r="G3473">
        <v>357.34</v>
      </c>
      <c r="H3473">
        <v>388.42</v>
      </c>
      <c r="I3473">
        <v>388.43</v>
      </c>
      <c r="J3473">
        <v>-0.01</v>
      </c>
    </row>
    <row r="3474" spans="1:10" x14ac:dyDescent="0.3">
      <c r="A3474" t="str">
        <f>HYPERLINK("https://us2.cloudbeds.com/connect/10074733072513#/reservations/30684939292921?display=YQWZAJNT0&amp;reservation_id=30684939292921", "YQWZAJNT0")</f>
        <v>YQWZAJNT0</v>
      </c>
      <c r="B3474" t="s">
        <v>10</v>
      </c>
      <c r="C3474" t="s">
        <v>17</v>
      </c>
      <c r="D3474" t="str">
        <f>HYPERLINK("https://us2.cloudbeds.com/connect/10074733072513#/reservations/30684939292921?display=Philip%20Seeger&amp;reservation_id=30684939292921&amp;guest_id=30684930740386", "Philip Seeger")</f>
        <v>Philip Seeger</v>
      </c>
      <c r="E3474" t="s">
        <v>3825</v>
      </c>
      <c r="F3474" t="s">
        <v>3826</v>
      </c>
      <c r="G3474">
        <v>250.2</v>
      </c>
      <c r="H3474">
        <v>271.95999999999998</v>
      </c>
      <c r="I3474">
        <v>271.97000000000003</v>
      </c>
      <c r="J3474">
        <v>-0.01</v>
      </c>
    </row>
    <row r="3475" spans="1:10" x14ac:dyDescent="0.3">
      <c r="A3475" t="str">
        <f>HYPERLINK("https://us2.cloudbeds.com/connect/10074733072513#/reservations/30684303933577?display=YQW82RU4X&amp;reservation_id=30684303933577", "YQW82RU4X")</f>
        <v>YQW82RU4X</v>
      </c>
      <c r="B3475" t="s">
        <v>10</v>
      </c>
      <c r="C3475" t="s">
        <v>42</v>
      </c>
      <c r="D3475" t="str">
        <f>HYPERLINK("https://us2.cloudbeds.com/connect/10074733072513#/reservations/30684303933577?display=Daniel%20Nelson&amp;reservation_id=30684303933577&amp;guest_id=30684303933575", "Daniel Nelson")</f>
        <v>Daniel Nelson</v>
      </c>
      <c r="E3475" t="s">
        <v>3831</v>
      </c>
      <c r="F3475" t="s">
        <v>3808</v>
      </c>
      <c r="G3475">
        <v>103.2</v>
      </c>
      <c r="H3475">
        <v>112.17</v>
      </c>
      <c r="I3475">
        <v>112.18</v>
      </c>
      <c r="J3475">
        <v>-0.01</v>
      </c>
    </row>
    <row r="3476" spans="1:10" x14ac:dyDescent="0.3">
      <c r="A3476" t="str">
        <f>HYPERLINK("https://us2.cloudbeds.com/connect/10074733072513#/reservations/30685134295264?display=YQWTA0VCU&amp;reservation_id=30685134295264", "YQWTA0VCU")</f>
        <v>YQWTA0VCU</v>
      </c>
      <c r="B3476" t="s">
        <v>10</v>
      </c>
      <c r="C3476" t="s">
        <v>20</v>
      </c>
      <c r="D3476" t="str">
        <f>HYPERLINK("https://us2.cloudbeds.com/connect/10074733072513#/reservations/30685134295264?display=John%20Mogor&amp;reservation_id=30685134295264&amp;guest_id=30685134295261", "John Mogor")</f>
        <v>John Mogor</v>
      </c>
      <c r="E3476" t="s">
        <v>3832</v>
      </c>
      <c r="F3476" t="s">
        <v>3379</v>
      </c>
      <c r="G3476">
        <v>112.24</v>
      </c>
      <c r="H3476">
        <v>121.99</v>
      </c>
      <c r="I3476">
        <v>122</v>
      </c>
      <c r="J3476">
        <v>-0.01</v>
      </c>
    </row>
    <row r="3477" spans="1:10" x14ac:dyDescent="0.3">
      <c r="A3477" t="str">
        <f>HYPERLINK("https://us2.cloudbeds.com/connect/10074733072513#/reservations/30685820403906?display=YR0DRXUST&amp;reservation_id=30685820403906", "YR0DRXUST")</f>
        <v>YR0DRXUST</v>
      </c>
      <c r="B3477" t="s">
        <v>10</v>
      </c>
      <c r="C3477" t="s">
        <v>42</v>
      </c>
      <c r="D3477" t="str">
        <f>HYPERLINK("https://us2.cloudbeds.com/connect/10074733072513#/reservations/30685820403906?display=Dave%20Harvey&amp;reservation_id=30685820403906&amp;guest_id=30685820399814", "Dave Harvey")</f>
        <v>Dave Harvey</v>
      </c>
      <c r="E3477" t="s">
        <v>3841</v>
      </c>
      <c r="F3477" t="s">
        <v>3379</v>
      </c>
      <c r="G3477">
        <v>268.2</v>
      </c>
      <c r="H3477">
        <v>291.52</v>
      </c>
      <c r="I3477">
        <v>291.52999999999997</v>
      </c>
      <c r="J3477">
        <v>-0.01</v>
      </c>
    </row>
    <row r="3478" spans="1:10" x14ac:dyDescent="0.3">
      <c r="A3478" t="str">
        <f>HYPERLINK("https://us2.cloudbeds.com/connect/10074733072513#/reservations/30686122172609?display=YR0YX1341&amp;reservation_id=30686122172609", "YR0YX1341")</f>
        <v>YR0YX1341</v>
      </c>
      <c r="B3478" t="s">
        <v>10</v>
      </c>
      <c r="C3478" t="s">
        <v>20</v>
      </c>
      <c r="D3478" t="str">
        <f>HYPERLINK("https://us2.cloudbeds.com/connect/10074733072513#/reservations/30686122172609?display=Daryel%20Mccay&amp;reservation_id=30686122172609&amp;guest_id=30686122168572", "Daryel Mccay")</f>
        <v>Daryel Mccay</v>
      </c>
      <c r="E3478" t="s">
        <v>3843</v>
      </c>
      <c r="F3478" t="s">
        <v>3808</v>
      </c>
      <c r="G3478">
        <v>110.3</v>
      </c>
      <c r="H3478">
        <v>119.89</v>
      </c>
      <c r="I3478">
        <v>119.9</v>
      </c>
      <c r="J3478">
        <v>-0.01</v>
      </c>
    </row>
    <row r="3479" spans="1:10" x14ac:dyDescent="0.3">
      <c r="A3479" t="str">
        <f>HYPERLINK("https://us2.cloudbeds.com/connect/10074733072513#/reservations/30684022894819?display=YQW0TSJYX&amp;reservation_id=30684022894819", "YQW0TSJYX")</f>
        <v>YQW0TSJYX</v>
      </c>
      <c r="B3479" t="s">
        <v>10</v>
      </c>
      <c r="C3479" t="s">
        <v>42</v>
      </c>
      <c r="D3479" t="str">
        <f>HYPERLINK("https://us2.cloudbeds.com/connect/10074733072513#/reservations/30684022894819?display=Jeannette%20Bach&amp;reservation_id=30684022894819&amp;guest_id=30684022894814", "Jeannette Bach")</f>
        <v>Jeannette Bach</v>
      </c>
      <c r="E3479" t="s">
        <v>3844</v>
      </c>
      <c r="F3479" t="s">
        <v>3123</v>
      </c>
      <c r="G3479">
        <v>376.2</v>
      </c>
      <c r="H3479">
        <v>408.92</v>
      </c>
      <c r="I3479">
        <v>408.93</v>
      </c>
      <c r="J3479">
        <v>-0.01</v>
      </c>
    </row>
    <row r="3480" spans="1:10" x14ac:dyDescent="0.3">
      <c r="A3480" t="str">
        <f>HYPERLINK("https://us2.cloudbeds.com/connect/10074733072513#/reservations/30684036280523?display=YQW1852CV&amp;reservation_id=30684036280523", "YQW1852CV")</f>
        <v>YQW1852CV</v>
      </c>
      <c r="B3480" t="s">
        <v>10</v>
      </c>
      <c r="C3480" t="s">
        <v>42</v>
      </c>
      <c r="D3480" t="str">
        <f>HYPERLINK("https://us2.cloudbeds.com/connect/10074733072513#/reservations/30684036280523?display=Rachell%20Addicks&amp;reservation_id=30684036280523&amp;guest_id=30684029669531", "Rachell Addicks")</f>
        <v>Rachell Addicks</v>
      </c>
      <c r="E3480" t="s">
        <v>3848</v>
      </c>
      <c r="F3480" t="s">
        <v>3123</v>
      </c>
      <c r="G3480">
        <v>304</v>
      </c>
      <c r="H3480">
        <v>330.44</v>
      </c>
      <c r="I3480">
        <v>330.45</v>
      </c>
      <c r="J3480">
        <v>-0.01</v>
      </c>
    </row>
    <row r="3481" spans="1:10" x14ac:dyDescent="0.3">
      <c r="A3481" t="str">
        <f>HYPERLINK("https://us2.cloudbeds.com/connect/10074733072513#/reservations/30685092262021?display=YQWS7JAC9&amp;reservation_id=30685092262021", "YQWS7JAC9")</f>
        <v>YQWS7JAC9</v>
      </c>
      <c r="B3481" t="s">
        <v>10</v>
      </c>
      <c r="C3481" t="s">
        <v>20</v>
      </c>
      <c r="D3481" t="str">
        <f>HYPERLINK("https://us2.cloudbeds.com/connect/10074733072513#/reservations/30685092262021?display=Payton%20Standiford&amp;reservation_id=30685092262021&amp;guest_id=30685092257930", "Payton Standiford")</f>
        <v>Payton Standiford</v>
      </c>
      <c r="E3481" t="s">
        <v>3852</v>
      </c>
      <c r="F3481" t="s">
        <v>3005</v>
      </c>
      <c r="G3481">
        <v>304.2</v>
      </c>
      <c r="H3481">
        <v>330.66</v>
      </c>
      <c r="I3481">
        <v>330.67</v>
      </c>
      <c r="J3481">
        <v>-0.01</v>
      </c>
    </row>
    <row r="3482" spans="1:10" x14ac:dyDescent="0.3">
      <c r="A3482" t="str">
        <f>HYPERLINK("https://us2.cloudbeds.com/connect/10074733072513#/reservations/30684601688214?display=YQWFMUCCB&amp;reservation_id=30684601688214", "YQWFMUCCB")</f>
        <v>YQWFMUCCB</v>
      </c>
      <c r="B3482" t="s">
        <v>10</v>
      </c>
      <c r="C3482" t="s">
        <v>11</v>
      </c>
      <c r="D3482" t="str">
        <f>HYPERLINK("https://us2.cloudbeds.com/connect/10074733072513#/reservations/30684601688214?display=Scott%20Taylor&amp;reservation_id=30684601688214&amp;guest_id=30684601684118", "Scott Taylor")</f>
        <v>Scott Taylor</v>
      </c>
      <c r="E3482" t="s">
        <v>1319</v>
      </c>
      <c r="F3482" t="s">
        <v>3854</v>
      </c>
      <c r="G3482">
        <v>83.45</v>
      </c>
      <c r="H3482">
        <v>90.7</v>
      </c>
      <c r="I3482">
        <v>90.71</v>
      </c>
      <c r="J3482">
        <v>-0.01</v>
      </c>
    </row>
    <row r="3483" spans="1:10" x14ac:dyDescent="0.3">
      <c r="A3483" t="str">
        <f>HYPERLINK("https://us2.cloudbeds.com/connect/10074733072513#/reservations/30684005068947?display=YQW0ERXKK&amp;reservation_id=30684005068947", "YQW0ERXKK")</f>
        <v>YQW0ERXKK</v>
      </c>
      <c r="B3483" t="s">
        <v>10</v>
      </c>
      <c r="C3483" t="s">
        <v>42</v>
      </c>
      <c r="D3483" t="str">
        <f>HYPERLINK("https://us2.cloudbeds.com/connect/10074733072513#/reservations/30684005068947?display=Deb%20Dunker&amp;reservation_id=30684005068947&amp;guest_id=30684005064856", "Deb Dunker")</f>
        <v>Deb Dunker</v>
      </c>
      <c r="E3483" t="s">
        <v>3856</v>
      </c>
      <c r="F3483" t="s">
        <v>3123</v>
      </c>
      <c r="G3483">
        <v>304.2</v>
      </c>
      <c r="H3483">
        <v>330.66</v>
      </c>
      <c r="I3483">
        <v>330.67</v>
      </c>
      <c r="J3483">
        <v>-0.01</v>
      </c>
    </row>
    <row r="3484" spans="1:10" x14ac:dyDescent="0.3">
      <c r="A3484" t="str">
        <f>HYPERLINK("https://us2.cloudbeds.com/connect/10074733072513#/reservations/30685099319520?display=YQWSDHN2S&amp;reservation_id=30685099319520", "YQWSDHN2S")</f>
        <v>YQWSDHN2S</v>
      </c>
      <c r="B3484" t="s">
        <v>10</v>
      </c>
      <c r="C3484" t="s">
        <v>14</v>
      </c>
      <c r="D3484" t="str">
        <f>HYPERLINK("https://us2.cloudbeds.com/connect/10074733072513#/reservations/30685099319520?display=Shelly%20Miller&amp;reservation_id=30685099319520&amp;guest_id=30683345346694", "Shelly Miller")</f>
        <v>Shelly Miller</v>
      </c>
      <c r="E3484" t="s">
        <v>3857</v>
      </c>
      <c r="F3484" t="s">
        <v>3005</v>
      </c>
      <c r="G3484">
        <v>304.2</v>
      </c>
      <c r="H3484">
        <v>330.66</v>
      </c>
      <c r="I3484">
        <v>330.67</v>
      </c>
      <c r="J3484">
        <v>-0.01</v>
      </c>
    </row>
    <row r="3485" spans="1:10" x14ac:dyDescent="0.3">
      <c r="A3485" t="str">
        <f>HYPERLINK("https://us2.cloudbeds.com/connect/10074733072513#/reservations/30683340734660?display=YQVGFYFVJ&amp;reservation_id=30683340734660", "YQVGFYFVJ")</f>
        <v>YQVGFYFVJ</v>
      </c>
      <c r="B3485" t="s">
        <v>10</v>
      </c>
      <c r="C3485" t="s">
        <v>11</v>
      </c>
      <c r="D3485" t="str">
        <f>HYPERLINK("https://us2.cloudbeds.com/connect/10074733072513#/reservations/30683340734660?display=Cris%20Mcdonald&amp;reservation_id=30683340734660&amp;guest_id=30683340730574", "Cris Mcdonald")</f>
        <v>Cris Mcdonald</v>
      </c>
      <c r="E3485" t="s">
        <v>3859</v>
      </c>
      <c r="F3485" t="s">
        <v>3567</v>
      </c>
      <c r="G3485">
        <v>220.58</v>
      </c>
      <c r="H3485">
        <v>239.76</v>
      </c>
      <c r="I3485">
        <v>239.77</v>
      </c>
      <c r="J3485">
        <v>-0.01</v>
      </c>
    </row>
    <row r="3486" spans="1:10" x14ac:dyDescent="0.3">
      <c r="A3486" t="str">
        <f>HYPERLINK("https://us2.cloudbeds.com/connect/10074733072513#/reservations/30683664683234?display=YQVZZQRD1&amp;reservation_id=30683664683234", "YQVZZQRD1")</f>
        <v>YQVZZQRD1</v>
      </c>
      <c r="B3486" t="s">
        <v>10</v>
      </c>
      <c r="C3486" t="s">
        <v>42</v>
      </c>
      <c r="D3486" t="str">
        <f>HYPERLINK("https://us2.cloudbeds.com/connect/10074733072513#/reservations/30683664683234?display=Brenda%20Oswald&amp;reservation_id=30683664683234&amp;guest_id=30683664679137", "Brenda Oswald")</f>
        <v>Brenda Oswald</v>
      </c>
      <c r="E3486" t="s">
        <v>3860</v>
      </c>
      <c r="F3486" t="s">
        <v>3475</v>
      </c>
      <c r="G3486">
        <v>134.1</v>
      </c>
      <c r="H3486">
        <v>145.76</v>
      </c>
      <c r="I3486">
        <v>145.77000000000001</v>
      </c>
      <c r="J3486">
        <v>-0.01</v>
      </c>
    </row>
    <row r="3487" spans="1:10" x14ac:dyDescent="0.3">
      <c r="A3487" t="str">
        <f>HYPERLINK("https://us2.cloudbeds.com/connect/10074733072513#/reservations/30684570132702?display=YQWETA9PN&amp;reservation_id=30684570132702", "YQWETA9PN")</f>
        <v>YQWETA9PN</v>
      </c>
      <c r="B3487" t="s">
        <v>10</v>
      </c>
      <c r="C3487" t="s">
        <v>11</v>
      </c>
      <c r="D3487" t="str">
        <f>HYPERLINK("https://us2.cloudbeds.com/connect/10074733072513#/reservations/30684570132702?display=Carter%20J%20Tatge&amp;reservation_id=30684570132702&amp;guest_id=30684570128620", "Carter J Tatge")</f>
        <v>Carter J Tatge</v>
      </c>
      <c r="E3487" t="s">
        <v>3862</v>
      </c>
      <c r="F3487" t="s">
        <v>3863</v>
      </c>
      <c r="G3487">
        <v>244.56</v>
      </c>
      <c r="H3487">
        <v>265.83</v>
      </c>
      <c r="I3487">
        <v>265.83999999999997</v>
      </c>
      <c r="J3487">
        <v>-0.01</v>
      </c>
    </row>
    <row r="3488" spans="1:10" x14ac:dyDescent="0.3">
      <c r="A3488" t="str">
        <f>HYPERLINK("https://us2.cloudbeds.com/connect/10074733072513#/reservations/30684661162201?display=YQWH72APB&amp;reservation_id=30684661162201", "YQWH72APB")</f>
        <v>YQWH72APB</v>
      </c>
      <c r="B3488" t="s">
        <v>10</v>
      </c>
      <c r="C3488" t="s">
        <v>42</v>
      </c>
      <c r="D3488" t="str">
        <f>HYPERLINK("https://us2.cloudbeds.com/connect/10074733072513#/reservations/30684661162201?display=Robert%20Bernhardt&amp;reservation_id=30684661162201&amp;guest_id=30684654788799", "Robert Bernhardt")</f>
        <v>Robert Bernhardt</v>
      </c>
      <c r="E3488" t="s">
        <v>3864</v>
      </c>
      <c r="F3488" t="s">
        <v>3603</v>
      </c>
      <c r="G3488">
        <v>375.3</v>
      </c>
      <c r="H3488">
        <v>407.94</v>
      </c>
      <c r="I3488">
        <v>407.95</v>
      </c>
      <c r="J3488">
        <v>-0.01</v>
      </c>
    </row>
    <row r="3489" spans="1:10" x14ac:dyDescent="0.3">
      <c r="A3489" t="str">
        <f>HYPERLINK("https://us2.cloudbeds.com/connect/10074733072513#/reservations/30685162360970?display=YQWU0MUCS&amp;reservation_id=30685162360970", "YQWU0MUCS")</f>
        <v>YQWU0MUCS</v>
      </c>
      <c r="B3489" t="s">
        <v>10</v>
      </c>
      <c r="C3489" t="s">
        <v>11</v>
      </c>
      <c r="D3489" t="str">
        <f>HYPERLINK("https://us2.cloudbeds.com/connect/10074733072513#/reservations/30685162360970?display=Adam%20Smith&amp;reservation_id=30685162360970&amp;guest_id=30685162360966", "Adam Smith")</f>
        <v>Adam Smith</v>
      </c>
      <c r="E3489" t="s">
        <v>1319</v>
      </c>
      <c r="F3489" t="s">
        <v>3439</v>
      </c>
      <c r="G3489">
        <v>83.45</v>
      </c>
      <c r="H3489">
        <v>90.7</v>
      </c>
      <c r="I3489">
        <v>90.71</v>
      </c>
      <c r="J3489">
        <v>-0.01</v>
      </c>
    </row>
    <row r="3490" spans="1:10" x14ac:dyDescent="0.3">
      <c r="A3490" t="str">
        <f>HYPERLINK("https://us2.cloudbeds.com/connect/10074733072513#/reservations/30685704728769?display=YR0AT13EN&amp;reservation_id=30685704728769", "YR0AT13EN")</f>
        <v>YR0AT13EN</v>
      </c>
      <c r="B3490" t="s">
        <v>10</v>
      </c>
      <c r="C3490" t="s">
        <v>11</v>
      </c>
      <c r="D3490" t="str">
        <f>HYPERLINK("https://us2.cloudbeds.com/connect/10074733072513#/reservations/30685704728769?display=Brad%20J%20Flayton&amp;reservation_id=30685704728769&amp;guest_id=30683619078354", "Brad J Flayton")</f>
        <v>Brad J Flayton</v>
      </c>
      <c r="E3490" t="s">
        <v>3869</v>
      </c>
      <c r="F3490" t="s">
        <v>3870</v>
      </c>
      <c r="G3490">
        <v>94.16</v>
      </c>
      <c r="H3490">
        <v>102.34</v>
      </c>
      <c r="I3490">
        <v>102.35</v>
      </c>
      <c r="J3490">
        <v>-0.01</v>
      </c>
    </row>
    <row r="3491" spans="1:10" x14ac:dyDescent="0.3">
      <c r="A3491" t="str">
        <f>HYPERLINK("https://us2.cloudbeds.com/connect/10074733072513#/reservations/30683352150244?display=YQVGP94JC&amp;reservation_id=30683352150244", "YQVGP94JC")</f>
        <v>YQVGP94JC</v>
      </c>
      <c r="B3491" t="s">
        <v>10</v>
      </c>
      <c r="C3491" t="s">
        <v>11</v>
      </c>
      <c r="D3491" t="str">
        <f>HYPERLINK("https://us2.cloudbeds.com/connect/10074733072513#/reservations/30683352150244?display=Cassie%20Hagen&amp;reservation_id=30683352150244&amp;guest_id=30683352150242", "Cassie Hagen")</f>
        <v>Cassie Hagen</v>
      </c>
      <c r="E3491" t="s">
        <v>3871</v>
      </c>
      <c r="F3491" t="s">
        <v>3005</v>
      </c>
      <c r="G3491">
        <v>157.21</v>
      </c>
      <c r="H3491">
        <v>170.88</v>
      </c>
      <c r="I3491">
        <v>170.89</v>
      </c>
      <c r="J3491">
        <v>-0.01</v>
      </c>
    </row>
    <row r="3492" spans="1:10" x14ac:dyDescent="0.3">
      <c r="A3492" t="str">
        <f>HYPERLINK("https://us2.cloudbeds.com/connect/10074733072513#/reservations/30682571243667?display=YQUTQQ8YN&amp;reservation_id=30682571243667", "YQUTQQ8YN")</f>
        <v>YQUTQQ8YN</v>
      </c>
      <c r="B3492" t="s">
        <v>10</v>
      </c>
      <c r="C3492" t="s">
        <v>17</v>
      </c>
      <c r="D3492" t="str">
        <f>HYPERLINK("https://us2.cloudbeds.com/connect/10074733072513#/reservations/30682571243667?display=Kallie%20Kieffer&amp;reservation_id=30682571243667&amp;guest_id=30682563391686", "Kallie Kieffer")</f>
        <v>Kallie Kieffer</v>
      </c>
      <c r="E3492" t="s">
        <v>3879</v>
      </c>
      <c r="F3492" t="s">
        <v>2633</v>
      </c>
      <c r="G3492">
        <v>268.2</v>
      </c>
      <c r="H3492">
        <v>291.52</v>
      </c>
      <c r="I3492">
        <v>291.52999999999997</v>
      </c>
      <c r="J3492">
        <v>-0.01</v>
      </c>
    </row>
    <row r="3493" spans="1:10" x14ac:dyDescent="0.3">
      <c r="A3493" t="str">
        <f>HYPERLINK("https://us2.cloudbeds.com/connect/10074733072513#/reservations/30685385896116?display=YR02Z63R5&amp;reservation_id=30685385896116", "YR02Z63R5")</f>
        <v>YR02Z63R5</v>
      </c>
      <c r="B3493" t="s">
        <v>10</v>
      </c>
      <c r="C3493" t="s">
        <v>42</v>
      </c>
      <c r="D3493" t="str">
        <f>HYPERLINK("https://us2.cloudbeds.com/connect/10074733072513#/reservations/30685385896116?display=Demarcus%20Boston&amp;reservation_id=30685385896116&amp;guest_id=30685174681774", "Demarcus Boston")</f>
        <v>Demarcus Boston</v>
      </c>
      <c r="E3493" t="s">
        <v>3868</v>
      </c>
      <c r="F3493" t="s">
        <v>3870</v>
      </c>
      <c r="G3493">
        <v>118.15</v>
      </c>
      <c r="H3493">
        <v>128.41999999999999</v>
      </c>
      <c r="I3493">
        <v>128.43</v>
      </c>
      <c r="J3493">
        <v>-0.01</v>
      </c>
    </row>
    <row r="3494" spans="1:10" x14ac:dyDescent="0.3">
      <c r="A3494" t="str">
        <f>HYPERLINK("https://us2.cloudbeds.com/connect/10074733072513#/reservations/30684855996554?display=YQWM6BT0M&amp;reservation_id=30684855996554", "YQWM6BT0M")</f>
        <v>YQWM6BT0M</v>
      </c>
      <c r="B3494" t="s">
        <v>10</v>
      </c>
      <c r="C3494" t="s">
        <v>20</v>
      </c>
      <c r="D3494" t="str">
        <f>HYPERLINK("https://us2.cloudbeds.com/connect/10074733072513#/reservations/30684855996554?display=Courtney%20Fawcett&amp;reservation_id=30684855996554&amp;guest_id=30684855992507", "Courtney Fawcett")</f>
        <v>Courtney Fawcett</v>
      </c>
      <c r="E3494" t="s">
        <v>3888</v>
      </c>
      <c r="F3494" t="s">
        <v>3603</v>
      </c>
      <c r="G3494">
        <v>170.1</v>
      </c>
      <c r="H3494">
        <v>184.89</v>
      </c>
      <c r="I3494">
        <v>184.9</v>
      </c>
      <c r="J3494">
        <v>-0.01</v>
      </c>
    </row>
    <row r="3495" spans="1:10" x14ac:dyDescent="0.3">
      <c r="A3495" t="str">
        <f>HYPERLINK("https://us2.cloudbeds.com/connect/10074733072513#/reservations/30684871360698?display=YQWMJADGQ&amp;reservation_id=30684871360698", "YQWMJADGQ")</f>
        <v>YQWMJADGQ</v>
      </c>
      <c r="B3495" t="s">
        <v>10</v>
      </c>
      <c r="C3495" t="s">
        <v>42</v>
      </c>
      <c r="D3495" t="str">
        <f>HYPERLINK("https://us2.cloudbeds.com/connect/10074733072513#/reservations/30684871360698?display=John%20Seppanen&amp;reservation_id=30684871360698&amp;guest_id=30684279414925", "John Seppanen")</f>
        <v>John Seppanen</v>
      </c>
      <c r="E3495" t="s">
        <v>3822</v>
      </c>
      <c r="F3495" t="s">
        <v>3826</v>
      </c>
      <c r="G3495">
        <v>134.1</v>
      </c>
      <c r="H3495">
        <v>145.76</v>
      </c>
      <c r="I3495">
        <v>145.77000000000001</v>
      </c>
      <c r="J3495">
        <v>-0.01</v>
      </c>
    </row>
    <row r="3496" spans="1:10" x14ac:dyDescent="0.3">
      <c r="A3496" t="str">
        <f>HYPERLINK("https://us2.cloudbeds.com/connect/10074733072513#/reservations/30683998822593?display=YQW09XZP5&amp;reservation_id=30683998822593", "YQW09XZP5")</f>
        <v>YQW09XZP5</v>
      </c>
      <c r="B3496" t="s">
        <v>10</v>
      </c>
      <c r="C3496" t="s">
        <v>42</v>
      </c>
      <c r="D3496" t="str">
        <f>HYPERLINK("https://us2.cloudbeds.com/connect/10074733072513#/reservations/30683998822593?display=Kristi%20Block&amp;reservation_id=30683998822593&amp;guest_id=30683998818559", "Kristi Block")</f>
        <v>Kristi Block</v>
      </c>
      <c r="E3496" t="s">
        <v>3897</v>
      </c>
      <c r="F3496" t="s">
        <v>3123</v>
      </c>
      <c r="G3496">
        <v>170.1</v>
      </c>
      <c r="H3496">
        <v>184.89</v>
      </c>
      <c r="I3496">
        <v>184.9</v>
      </c>
      <c r="J3496">
        <v>-0.01</v>
      </c>
    </row>
    <row r="3497" spans="1:10" x14ac:dyDescent="0.3">
      <c r="A3497" t="str">
        <f>HYPERLINK("https://us2.cloudbeds.com/connect/10074733072513#/reservations/30683930222785?display=YQVVHNSC3&amp;reservation_id=30683930222785", "YQVVHNSC3")</f>
        <v>YQVVHNSC3</v>
      </c>
      <c r="B3497" t="s">
        <v>10</v>
      </c>
      <c r="C3497" t="s">
        <v>17</v>
      </c>
      <c r="D3497" t="str">
        <f>HYPERLINK("https://us2.cloudbeds.com/connect/10074733072513#/reservations/30683930222785?display=Robert%20Peavey&amp;reservation_id=30683930222785&amp;guest_id=30683917406431", "Robert Peavey")</f>
        <v>Robert Peavey</v>
      </c>
      <c r="E3497" t="s">
        <v>3898</v>
      </c>
      <c r="F3497" t="s">
        <v>3899</v>
      </c>
      <c r="G3497">
        <v>259.2</v>
      </c>
      <c r="H3497">
        <v>281.74</v>
      </c>
      <c r="I3497">
        <v>281.75</v>
      </c>
      <c r="J3497">
        <v>-0.01</v>
      </c>
    </row>
    <row r="3498" spans="1:10" x14ac:dyDescent="0.3">
      <c r="A3498" t="str">
        <f>HYPERLINK("https://us2.cloudbeds.com/connect/10074733072513#/reservations/30684946342101?display=YQWZGHSVH&amp;reservation_id=30684946342101", "YQWZGHSVH")</f>
        <v>YQWZGHSVH</v>
      </c>
      <c r="B3498" t="s">
        <v>10</v>
      </c>
      <c r="C3498" t="s">
        <v>42</v>
      </c>
      <c r="D3498" t="str">
        <f>HYPERLINK("https://us2.cloudbeds.com/connect/10074733072513#/reservations/30684946342101?display=Duel%20Frye&amp;reservation_id=30684946342101&amp;guest_id=30679593877720", "Duel Frye")</f>
        <v>Duel Frye</v>
      </c>
      <c r="E3498" t="s">
        <v>3912</v>
      </c>
      <c r="F3498" t="s">
        <v>3805</v>
      </c>
      <c r="G3498">
        <v>1078</v>
      </c>
      <c r="H3498">
        <v>1171.78</v>
      </c>
      <c r="I3498">
        <v>1171.79</v>
      </c>
      <c r="J3498">
        <v>-0.01</v>
      </c>
    </row>
    <row r="3499" spans="1:10" x14ac:dyDescent="0.3">
      <c r="A3499" t="str">
        <f>HYPERLINK("https://us2.cloudbeds.com/connect/10074733072513#/reservations/30684598513818?display=YQWFK81DH&amp;reservation_id=30684598513818", "YQWFK81DH")</f>
        <v>YQWFK81DH</v>
      </c>
      <c r="B3499" t="s">
        <v>10</v>
      </c>
      <c r="C3499" t="s">
        <v>14</v>
      </c>
      <c r="D3499" t="str">
        <f>HYPERLINK("https://us2.cloudbeds.com/connect/10074733072513#/reservations/30684598513818?display=Pete%20Burgmeier&amp;reservation_id=30684598513818&amp;guest_id=30684591820931", "Pete Burgmeier")</f>
        <v>Pete Burgmeier</v>
      </c>
      <c r="E3499" t="s">
        <v>3915</v>
      </c>
      <c r="F3499" t="s">
        <v>3863</v>
      </c>
      <c r="G3499">
        <v>183.32</v>
      </c>
      <c r="H3499">
        <v>199.26</v>
      </c>
      <c r="I3499">
        <v>199.27</v>
      </c>
      <c r="J3499">
        <v>-0.01</v>
      </c>
    </row>
    <row r="3500" spans="1:10" x14ac:dyDescent="0.3">
      <c r="A3500" t="str">
        <f>HYPERLINK("https://us2.cloudbeds.com/connect/10074733072513#/reservations/30685463531715?display=YR04NYEX2&amp;reservation_id=30685463531715", "YR04NYEX2")</f>
        <v>YR04NYEX2</v>
      </c>
      <c r="B3500" t="s">
        <v>10</v>
      </c>
      <c r="C3500" t="s">
        <v>23</v>
      </c>
      <c r="D3500" t="str">
        <f>HYPERLINK("https://us2.cloudbeds.com/connect/10074733072513#/reservations/30685463531715?display=Carola%20Bauer&amp;reservation_id=30685463531715&amp;guest_id=30685463527624", "Carola Bauer")</f>
        <v>Carola Bauer</v>
      </c>
      <c r="E3500" t="s">
        <v>3918</v>
      </c>
      <c r="F3500" t="s">
        <v>3863</v>
      </c>
      <c r="G3500">
        <v>134.1</v>
      </c>
      <c r="H3500">
        <v>145.76</v>
      </c>
      <c r="I3500">
        <v>145.77000000000001</v>
      </c>
      <c r="J3500">
        <v>-0.01</v>
      </c>
    </row>
    <row r="3501" spans="1:10" x14ac:dyDescent="0.3">
      <c r="A3501" t="str">
        <f>HYPERLINK("https://us2.cloudbeds.com/connect/10074733072513#/reservations/30683283300514?display=YQVF079MU&amp;reservation_id=30683283300514", "YQVF079MU")</f>
        <v>YQVF079MU</v>
      </c>
      <c r="B3501" t="s">
        <v>10</v>
      </c>
      <c r="C3501" t="s">
        <v>14</v>
      </c>
      <c r="D3501" t="str">
        <f>HYPERLINK("https://us2.cloudbeds.com/connect/10074733072513#/reservations/30683283300514?display=Dave%20Girling&amp;reservation_id=30683283300514&amp;guest_id=30683283300500", "Dave Girling")</f>
        <v>Dave Girling</v>
      </c>
      <c r="E3501" t="s">
        <v>3929</v>
      </c>
      <c r="F3501" t="s">
        <v>2788</v>
      </c>
      <c r="G3501">
        <v>134.1</v>
      </c>
      <c r="H3501">
        <v>145.76</v>
      </c>
      <c r="I3501">
        <v>145.77000000000001</v>
      </c>
      <c r="J3501">
        <v>-0.01</v>
      </c>
    </row>
    <row r="3502" spans="1:10" x14ac:dyDescent="0.3">
      <c r="A3502" t="str">
        <f>HYPERLINK("https://us2.cloudbeds.com/connect/10074733072513#/reservations/30683946746071?display=YQVVVYY8Z&amp;reservation_id=30683946746071", "YQVVVYY8Z")</f>
        <v>YQVVVYY8Z</v>
      </c>
      <c r="B3502" t="s">
        <v>10</v>
      </c>
      <c r="C3502" t="s">
        <v>23</v>
      </c>
      <c r="D3502" t="str">
        <f>HYPERLINK("https://us2.cloudbeds.com/connect/10074733072513#/reservations/30683946746071?display=Marvin%20Tafolla&amp;reservation_id=30683946746071&amp;guest_id=30683934941318", "Marvin Tafolla")</f>
        <v>Marvin Tafolla</v>
      </c>
      <c r="E3502" t="s">
        <v>3934</v>
      </c>
      <c r="F3502" t="s">
        <v>3272</v>
      </c>
      <c r="G3502">
        <v>200.1</v>
      </c>
      <c r="H3502">
        <v>217.5</v>
      </c>
      <c r="I3502">
        <v>217.51</v>
      </c>
      <c r="J3502">
        <v>-0.01</v>
      </c>
    </row>
    <row r="3503" spans="1:10" x14ac:dyDescent="0.3">
      <c r="A3503" t="str">
        <f>HYPERLINK("https://us2.cloudbeds.com/connect/10074733072513#/reservations/30683852165287?display=YQVTHTQ7C&amp;reservation_id=30683852165287", "YQVTHTQ7C")</f>
        <v>YQVTHTQ7C</v>
      </c>
      <c r="B3503" t="s">
        <v>10</v>
      </c>
      <c r="C3503" t="s">
        <v>11</v>
      </c>
      <c r="D3503" t="str">
        <f>HYPERLINK("https://us2.cloudbeds.com/connect/10074733072513#/reservations/30683852165287?display=Mike%20Reinke&amp;reservation_id=30683852165287&amp;guest_id=30683852165285", "Mike Reinke")</f>
        <v>Mike Reinke</v>
      </c>
      <c r="E3503" t="s">
        <v>3938</v>
      </c>
      <c r="F3503" t="s">
        <v>3909</v>
      </c>
      <c r="G3503">
        <v>157.21</v>
      </c>
      <c r="H3503">
        <v>170.88</v>
      </c>
      <c r="I3503">
        <v>170.89</v>
      </c>
      <c r="J3503">
        <v>-0.01</v>
      </c>
    </row>
    <row r="3504" spans="1:10" x14ac:dyDescent="0.3">
      <c r="A3504" t="str">
        <f>HYPERLINK("https://us2.cloudbeds.com/connect/10074733072513#/reservations/30683059900598?display=YQV99RSEG&amp;reservation_id=30683059900598", "YQV99RSEG")</f>
        <v>YQV99RSEG</v>
      </c>
      <c r="B3504" t="s">
        <v>10</v>
      </c>
      <c r="C3504" t="s">
        <v>17</v>
      </c>
      <c r="D3504" t="str">
        <f>HYPERLINK("https://us2.cloudbeds.com/connect/10074733072513#/reservations/30683059900598?display=Joy%20Meyer&amp;reservation_id=30683059900598&amp;guest_id=30683045757150", "Joy Meyer")</f>
        <v>Joy Meyer</v>
      </c>
      <c r="E3504" t="s">
        <v>3939</v>
      </c>
      <c r="F3504" t="s">
        <v>3123</v>
      </c>
      <c r="G3504">
        <v>170.1</v>
      </c>
      <c r="H3504">
        <v>184.89</v>
      </c>
      <c r="I3504">
        <v>184.9</v>
      </c>
      <c r="J3504">
        <v>-0.01</v>
      </c>
    </row>
    <row r="3505" spans="1:10" x14ac:dyDescent="0.3">
      <c r="A3505" t="str">
        <f>HYPERLINK("https://us2.cloudbeds.com/connect/10074733072513#/reservations/30681791946975?display=YQU9TM61E&amp;reservation_id=30681791946975", "YQU9TM61E")</f>
        <v>YQU9TM61E</v>
      </c>
      <c r="B3505" t="s">
        <v>10</v>
      </c>
      <c r="C3505" t="s">
        <v>42</v>
      </c>
      <c r="D3505" t="str">
        <f>HYPERLINK("https://us2.cloudbeds.com/connect/10074733072513#/reservations/30681791946975?display=Kay%20Turek&amp;reservation_id=30681791946975&amp;guest_id=30681791946964", "Kay Turek")</f>
        <v>Kay Turek</v>
      </c>
      <c r="E3505" t="s">
        <v>3940</v>
      </c>
      <c r="F3505" t="s">
        <v>3475</v>
      </c>
      <c r="G3505">
        <v>268.2</v>
      </c>
      <c r="H3505">
        <v>291.52</v>
      </c>
      <c r="I3505">
        <v>291.52999999999997</v>
      </c>
      <c r="J3505">
        <v>-0.01</v>
      </c>
    </row>
    <row r="3506" spans="1:10" x14ac:dyDescent="0.3">
      <c r="A3506" t="str">
        <f>HYPERLINK("https://us2.cloudbeds.com/connect/10074733072513#/reservations/30683064074444?display=YQV9DC05M&amp;reservation_id=30683064074444", "YQV9DC05M")</f>
        <v>YQV9DC05M</v>
      </c>
      <c r="B3506" t="s">
        <v>10</v>
      </c>
      <c r="C3506" t="s">
        <v>17</v>
      </c>
      <c r="D3506" t="str">
        <f>HYPERLINK("https://us2.cloudbeds.com/connect/10074733072513#/reservations/30683064074444?display=Audra%20Fergen&amp;reservation_id=30683064074444&amp;guest_id=30683064070352", "Audra Fergen")</f>
        <v>Audra Fergen</v>
      </c>
      <c r="E3506" t="s">
        <v>3939</v>
      </c>
      <c r="F3506" t="s">
        <v>3123</v>
      </c>
      <c r="G3506">
        <v>170.1</v>
      </c>
      <c r="H3506">
        <v>184.89</v>
      </c>
      <c r="I3506">
        <v>184.9</v>
      </c>
      <c r="J3506">
        <v>-0.01</v>
      </c>
    </row>
    <row r="3507" spans="1:10" x14ac:dyDescent="0.3">
      <c r="A3507" t="str">
        <f>HYPERLINK("https://us2.cloudbeds.com/connect/10074733072513#/reservations/30684573470890?display=YQWEW464U&amp;reservation_id=30684573470890", "YQWEW464U")</f>
        <v>YQWEW464U</v>
      </c>
      <c r="B3507" t="s">
        <v>10</v>
      </c>
      <c r="C3507" t="s">
        <v>20</v>
      </c>
      <c r="D3507" t="str">
        <f>HYPERLINK("https://us2.cloudbeds.com/connect/10074733072513#/reservations/30684573470890?display=Caitlin%20Jones&amp;reservation_id=30684573470890&amp;guest_id=30684573470888", "Caitlin Jones")</f>
        <v>Caitlin Jones</v>
      </c>
      <c r="E3507" t="s">
        <v>3942</v>
      </c>
      <c r="F3507" t="s">
        <v>3475</v>
      </c>
      <c r="G3507">
        <v>268.2</v>
      </c>
      <c r="H3507">
        <v>291.52</v>
      </c>
      <c r="I3507">
        <v>291.52999999999997</v>
      </c>
      <c r="J3507">
        <v>-0.01</v>
      </c>
    </row>
    <row r="3508" spans="1:10" x14ac:dyDescent="0.3">
      <c r="A3508" t="str">
        <f>HYPERLINK("https://us2.cloudbeds.com/connect/10074733072513#/reservations/30684859416807?display=YQWM981ZN&amp;reservation_id=30684859416807", "YQWM981ZN")</f>
        <v>YQWM981ZN</v>
      </c>
      <c r="B3508" t="s">
        <v>10</v>
      </c>
      <c r="C3508" t="s">
        <v>42</v>
      </c>
      <c r="D3508" t="str">
        <f>HYPERLINK("https://us2.cloudbeds.com/connect/10074733072513#/reservations/30684859416807?display=Arlyn%20Jons&amp;reservation_id=30684859416807&amp;guest_id=30650862653620", "Arlyn Jons")</f>
        <v>Arlyn Jons</v>
      </c>
      <c r="E3508" t="s">
        <v>3948</v>
      </c>
      <c r="F3508" t="s">
        <v>3920</v>
      </c>
      <c r="G3508">
        <v>134.1</v>
      </c>
      <c r="H3508">
        <v>145.76</v>
      </c>
      <c r="I3508">
        <v>145.77000000000001</v>
      </c>
      <c r="J3508">
        <v>-0.01</v>
      </c>
    </row>
    <row r="3509" spans="1:10" x14ac:dyDescent="0.3">
      <c r="A3509" t="str">
        <f>HYPERLINK("https://us2.cloudbeds.com/connect/10074733072513#/reservations/30684637122719?display=YQWGJQCV7&amp;reservation_id=30684637122719", "YQWGJQCV7")</f>
        <v>YQWGJQCV7</v>
      </c>
      <c r="B3509" t="s">
        <v>10</v>
      </c>
      <c r="C3509" t="s">
        <v>20</v>
      </c>
      <c r="D3509" t="str">
        <f>HYPERLINK("https://us2.cloudbeds.com/connect/10074733072513#/reservations/30684637122719?display=Angela%20Mueller&amp;reservation_id=30684637122719&amp;guest_id=30684622835864", "Angela Mueller")</f>
        <v>Angela Mueller</v>
      </c>
      <c r="E3509" t="s">
        <v>3958</v>
      </c>
      <c r="F3509" t="s">
        <v>3475</v>
      </c>
      <c r="G3509">
        <v>557.6</v>
      </c>
      <c r="H3509">
        <v>606.1</v>
      </c>
      <c r="I3509">
        <v>606.11</v>
      </c>
      <c r="J3509">
        <v>-0.01</v>
      </c>
    </row>
    <row r="3510" spans="1:10" x14ac:dyDescent="0.3">
      <c r="A3510" t="str">
        <f>HYPERLINK("https://us2.cloudbeds.com/connect/10074733072513#/reservations/30684622839954?display=YQWG7ZVF5&amp;reservation_id=30684622839954", "YQWG7ZVF5")</f>
        <v>YQWG7ZVF5</v>
      </c>
      <c r="B3510" t="s">
        <v>10</v>
      </c>
      <c r="C3510" t="s">
        <v>20</v>
      </c>
      <c r="D3510" t="str">
        <f>HYPERLINK("https://us2.cloudbeds.com/connect/10074733072513#/reservations/30684622839954?display=Angela%20Mueller&amp;reservation_id=30684622839954&amp;guest_id=30684622835864", "Angela Mueller")</f>
        <v>Angela Mueller</v>
      </c>
      <c r="E3510" t="s">
        <v>3958</v>
      </c>
      <c r="F3510" t="s">
        <v>3475</v>
      </c>
      <c r="G3510">
        <v>557.6</v>
      </c>
      <c r="H3510">
        <v>606.1</v>
      </c>
      <c r="I3510">
        <v>606.11</v>
      </c>
      <c r="J3510">
        <v>-0.01</v>
      </c>
    </row>
    <row r="3511" spans="1:10" x14ac:dyDescent="0.3">
      <c r="A3511" t="str">
        <f>HYPERLINK("https://us2.cloudbeds.com/connect/10074733072513#/reservations/30683892719769?display=YQVUJ39B2&amp;reservation_id=30683892719769", "YQVUJ39B2")</f>
        <v>YQVUJ39B2</v>
      </c>
      <c r="B3511" t="s">
        <v>10</v>
      </c>
      <c r="C3511" t="s">
        <v>20</v>
      </c>
      <c r="D3511" t="str">
        <f>HYPERLINK("https://us2.cloudbeds.com/connect/10074733072513#/reservations/30683892719769?display=Calista%20Vos&amp;reservation_id=30683892719769&amp;guest_id=30683892719767", "Calista Vos")</f>
        <v>Calista Vos</v>
      </c>
      <c r="E3511" t="s">
        <v>3966</v>
      </c>
      <c r="F3511" t="s">
        <v>3909</v>
      </c>
      <c r="G3511">
        <v>374.12</v>
      </c>
      <c r="H3511">
        <v>406.66</v>
      </c>
      <c r="I3511">
        <v>406.67</v>
      </c>
      <c r="J3511">
        <v>-0.01</v>
      </c>
    </row>
    <row r="3512" spans="1:10" x14ac:dyDescent="0.3">
      <c r="A3512" t="str">
        <f>HYPERLINK("https://us2.cloudbeds.com/connect/10074733072513#/reservations/30681634136254?display=YQU5SJSKC&amp;reservation_id=30681634136254", "YQU5SJSKC")</f>
        <v>YQU5SJSKC</v>
      </c>
      <c r="B3512" t="s">
        <v>10</v>
      </c>
      <c r="C3512" t="s">
        <v>14</v>
      </c>
      <c r="D3512" t="str">
        <f>HYPERLINK("https://us2.cloudbeds.com/connect/10074733072513#/reservations/30681634136254?display=Marsha%20D%20Heise&amp;reservation_id=30681634136254&amp;guest_id=30681634136252", "Marsha D Heise")</f>
        <v>Marsha D Heise</v>
      </c>
      <c r="E3512" t="s">
        <v>3967</v>
      </c>
      <c r="F3512" t="s">
        <v>3774</v>
      </c>
      <c r="G3512">
        <v>433.11</v>
      </c>
      <c r="H3512">
        <v>470.78</v>
      </c>
      <c r="I3512">
        <v>470.79</v>
      </c>
      <c r="J3512">
        <v>-0.01</v>
      </c>
    </row>
    <row r="3513" spans="1:10" x14ac:dyDescent="0.3">
      <c r="A3513" t="str">
        <f>HYPERLINK("https://us2.cloudbeds.com/connect/10074733072513#/reservations/30683292881024?display=YQVF2CDPX&amp;reservation_id=30683292881024", "YQVF2CDPX")</f>
        <v>YQVF2CDPX</v>
      </c>
      <c r="B3513" t="s">
        <v>10</v>
      </c>
      <c r="C3513" t="s">
        <v>42</v>
      </c>
      <c r="D3513" t="str">
        <f>HYPERLINK("https://us2.cloudbeds.com/connect/10074733072513#/reservations/30683292881024?display=Evelyn%20Breider&amp;reservation_id=30683292881024&amp;guest_id=30683285856479", "Evelyn Breider")</f>
        <v>Evelyn Breider</v>
      </c>
      <c r="E3513" t="s">
        <v>3968</v>
      </c>
      <c r="F3513" t="s">
        <v>3969</v>
      </c>
      <c r="G3513">
        <v>348</v>
      </c>
      <c r="H3513">
        <v>378.27</v>
      </c>
      <c r="I3513">
        <v>378.28</v>
      </c>
      <c r="J3513">
        <v>-0.01</v>
      </c>
    </row>
    <row r="3514" spans="1:10" x14ac:dyDescent="0.3">
      <c r="A3514" t="str">
        <f>HYPERLINK("https://us2.cloudbeds.com/connect/10074733072513#/reservations/30684629921946?display=YQWGDZ0YW&amp;reservation_id=30684629921946", "YQWGDZ0YW")</f>
        <v>YQWGDZ0YW</v>
      </c>
      <c r="B3514" t="s">
        <v>10</v>
      </c>
      <c r="C3514" t="s">
        <v>20</v>
      </c>
      <c r="D3514" t="str">
        <f>HYPERLINK("https://us2.cloudbeds.com/connect/10074733072513#/reservations/30684629921946?display=Marina%20Atamanyuk&amp;reservation_id=30684629921946&amp;guest_id=30684629921944", "Marina Atamanyuk")</f>
        <v>Marina Atamanyuk</v>
      </c>
      <c r="E3514" t="s">
        <v>3972</v>
      </c>
      <c r="F3514" t="s">
        <v>3295</v>
      </c>
      <c r="G3514">
        <v>254.78</v>
      </c>
      <c r="H3514">
        <v>276.94</v>
      </c>
      <c r="I3514">
        <v>276.95</v>
      </c>
      <c r="J3514">
        <v>-0.01</v>
      </c>
    </row>
    <row r="3515" spans="1:10" x14ac:dyDescent="0.3">
      <c r="A3515" t="str">
        <f>HYPERLINK("https://us2.cloudbeds.com/connect/10074733072513#/reservations/30683861389461?display=YQVTPMFHQ&amp;reservation_id=30683861389461", "YQVTPMFHQ")</f>
        <v>YQVTPMFHQ</v>
      </c>
      <c r="B3515" t="s">
        <v>10</v>
      </c>
      <c r="C3515" t="s">
        <v>11</v>
      </c>
      <c r="D3515" t="str">
        <f>HYPERLINK("https://us2.cloudbeds.com/connect/10074733072513#/reservations/30683861389461?display=James%20Pewu&amp;reservation_id=30683861389461&amp;guest_id=30683861385370", "James Pewu")</f>
        <v>James Pewu</v>
      </c>
      <c r="E3515" t="s">
        <v>2955</v>
      </c>
      <c r="F3515" t="s">
        <v>3899</v>
      </c>
      <c r="G3515">
        <v>326.08</v>
      </c>
      <c r="H3515">
        <v>354.44</v>
      </c>
      <c r="I3515">
        <v>354.45</v>
      </c>
      <c r="J3515">
        <v>-0.01</v>
      </c>
    </row>
    <row r="3516" spans="1:10" x14ac:dyDescent="0.3">
      <c r="A3516" t="str">
        <f>HYPERLINK("https://us2.cloudbeds.com/connect/10074733072513#/reservations/30684629917850?display=YQWGDNTTS&amp;reservation_id=30684629917850", "YQWGDNTTS")</f>
        <v>YQWGDNTTS</v>
      </c>
      <c r="B3516" t="s">
        <v>10</v>
      </c>
      <c r="C3516" t="s">
        <v>20</v>
      </c>
      <c r="D3516" t="str">
        <f>HYPERLINK("https://us2.cloudbeds.com/connect/10074733072513#/reservations/30684629917850?display=Don%20Sonnefeldt&amp;reservation_id=30684629917850&amp;guest_id=30684624253058", "Don Sonnefeldt")</f>
        <v>Don Sonnefeldt</v>
      </c>
      <c r="E3516" t="s">
        <v>3976</v>
      </c>
      <c r="F3516" t="s">
        <v>3295</v>
      </c>
      <c r="G3516">
        <v>110.3</v>
      </c>
      <c r="H3516">
        <v>119.89</v>
      </c>
      <c r="I3516">
        <v>119.9</v>
      </c>
      <c r="J3516">
        <v>-0.01</v>
      </c>
    </row>
    <row r="3517" spans="1:10" x14ac:dyDescent="0.3">
      <c r="A3517" t="str">
        <f>HYPERLINK("https://us2.cloudbeds.com/connect/10074733072513#/reservations/30683845079196?display=YQVTBUK8B&amp;reservation_id=30683845079196", "YQVTBUK8B")</f>
        <v>YQVTBUK8B</v>
      </c>
      <c r="B3517" t="s">
        <v>10</v>
      </c>
      <c r="C3517" t="s">
        <v>11</v>
      </c>
      <c r="D3517" t="str">
        <f>HYPERLINK("https://us2.cloudbeds.com/connect/10074733072513#/reservations/30683845079196?display=Aaron%20Fiske&amp;reservation_id=30683845079196&amp;guest_id=30683845079185", "Aaron Fiske")</f>
        <v>Aaron Fiske</v>
      </c>
      <c r="E3517" t="s">
        <v>2955</v>
      </c>
      <c r="F3517" t="s">
        <v>3899</v>
      </c>
      <c r="G3517">
        <v>326.08</v>
      </c>
      <c r="H3517">
        <v>354.44</v>
      </c>
      <c r="I3517">
        <v>354.45</v>
      </c>
      <c r="J3517">
        <v>-0.01</v>
      </c>
    </row>
    <row r="3518" spans="1:10" x14ac:dyDescent="0.3">
      <c r="A3518" t="str">
        <f>HYPERLINK("https://us2.cloudbeds.com/connect/10074733072513#/reservations/30684667867321?display=YQWHCNTTR&amp;reservation_id=30684667867321", "YQWHCNTTR")</f>
        <v>YQWHCNTTR</v>
      </c>
      <c r="B3518" t="s">
        <v>10</v>
      </c>
      <c r="C3518" t="s">
        <v>20</v>
      </c>
      <c r="D3518" t="str">
        <f>HYPERLINK("https://us2.cloudbeds.com/connect/10074733072513#/reservations/30684667867321?display=Emil%20Arguello&amp;reservation_id=30684667867321&amp;guest_id=30684667867319", "Emil Arguello")</f>
        <v>Emil Arguello</v>
      </c>
      <c r="E3518" t="s">
        <v>3978</v>
      </c>
      <c r="F3518" t="s">
        <v>3295</v>
      </c>
      <c r="G3518">
        <v>120.32</v>
      </c>
      <c r="H3518">
        <v>130.78</v>
      </c>
      <c r="I3518">
        <v>130.79</v>
      </c>
      <c r="J3518">
        <v>-0.01</v>
      </c>
    </row>
    <row r="3519" spans="1:10" x14ac:dyDescent="0.3">
      <c r="A3519" t="str">
        <f>HYPERLINK("https://us2.cloudbeds.com/connect/10074733072513#/reservations/30683452481777?display=YQVJAT0CS&amp;reservation_id=30683452481777", "YQVJAT0CS")</f>
        <v>YQVJAT0CS</v>
      </c>
      <c r="B3519" t="s">
        <v>10</v>
      </c>
      <c r="C3519" t="s">
        <v>14</v>
      </c>
      <c r="D3519" t="str">
        <f>HYPERLINK("https://us2.cloudbeds.com/connect/10074733072513#/reservations/30683452481777?display=Barbara%20Stout%20Clarence&amp;reservation_id=30683452481777&amp;guest_id=30683452481773", "Barbara Stout Clarence")</f>
        <v>Barbara Stout Clarence</v>
      </c>
      <c r="E3519" t="s">
        <v>3980</v>
      </c>
      <c r="F3519" t="s">
        <v>3981</v>
      </c>
      <c r="G3519">
        <v>304.2</v>
      </c>
      <c r="H3519">
        <v>330.66</v>
      </c>
      <c r="I3519">
        <v>330.67</v>
      </c>
      <c r="J3519">
        <v>-0.01</v>
      </c>
    </row>
    <row r="3520" spans="1:10" x14ac:dyDescent="0.3">
      <c r="A3520" t="str">
        <f>HYPERLINK("https://us2.cloudbeds.com/connect/10074733072513#/reservations/30684015010037?display=YQW0N768P&amp;reservation_id=30684015010037", "YQW0N768P")</f>
        <v>YQW0N768P</v>
      </c>
      <c r="B3520" t="s">
        <v>10</v>
      </c>
      <c r="C3520" t="s">
        <v>11</v>
      </c>
      <c r="D3520" t="str">
        <f>HYPERLINK("https://us2.cloudbeds.com/connect/10074733072513#/reservations/30684015010037?display=Kristin%20Geschwill&amp;reservation_id=30684015010037&amp;guest_id=30684015009987", "Kristin Geschwill")</f>
        <v>Kristin Geschwill</v>
      </c>
      <c r="E3520" t="s">
        <v>3983</v>
      </c>
      <c r="F3520" t="s">
        <v>3984</v>
      </c>
      <c r="G3520">
        <v>134.1</v>
      </c>
      <c r="H3520">
        <v>145.76</v>
      </c>
      <c r="I3520">
        <v>145.77000000000001</v>
      </c>
      <c r="J3520">
        <v>-0.01</v>
      </c>
    </row>
    <row r="3521" spans="1:10" x14ac:dyDescent="0.3">
      <c r="A3521" t="str">
        <f>HYPERLINK("https://us2.cloudbeds.com/connect/10074733072513#/reservations/30684820730054?display=YQWY9KHNS&amp;reservation_id=30684820730054", "YQWY9KHNS")</f>
        <v>YQWY9KHNS</v>
      </c>
      <c r="B3521" t="s">
        <v>10</v>
      </c>
      <c r="C3521" t="s">
        <v>11</v>
      </c>
      <c r="D3521" t="str">
        <f>HYPERLINK("https://us2.cloudbeds.com/connect/10074733072513#/reservations/30684820730054?display=Stacie%20Hicks&amp;reservation_id=30684820730054&amp;guest_id=30684820725970", "Stacie Hicks")</f>
        <v>Stacie Hicks</v>
      </c>
      <c r="E3521" t="s">
        <v>1319</v>
      </c>
      <c r="F3521" t="s">
        <v>3662</v>
      </c>
      <c r="G3521">
        <v>94.16</v>
      </c>
      <c r="H3521">
        <v>102.34</v>
      </c>
      <c r="I3521">
        <v>102.35</v>
      </c>
      <c r="J3521">
        <v>-0.01</v>
      </c>
    </row>
    <row r="3522" spans="1:10" x14ac:dyDescent="0.3">
      <c r="A3522" t="str">
        <f>HYPERLINK("https://us2.cloudbeds.com/connect/10074733072513#/reservations/30683917406433?display=YQVV6U7EQ&amp;reservation_id=30683917406433", "YQVV6U7EQ")</f>
        <v>YQVV6U7EQ</v>
      </c>
      <c r="B3522" t="s">
        <v>10</v>
      </c>
      <c r="C3522" t="s">
        <v>20</v>
      </c>
      <c r="D3522" t="str">
        <f>HYPERLINK("https://us2.cloudbeds.com/connect/10074733072513#/reservations/30683917406433?display=Marina%20Atamanyuk&amp;reservation_id=30683917406433&amp;guest_id=30683917406428", "Marina Atamanyuk")</f>
        <v>Marina Atamanyuk</v>
      </c>
      <c r="E3522" t="s">
        <v>3985</v>
      </c>
      <c r="F3522" t="s">
        <v>3899</v>
      </c>
      <c r="G3522">
        <v>382.17</v>
      </c>
      <c r="H3522">
        <v>415.41</v>
      </c>
      <c r="I3522">
        <v>415.42</v>
      </c>
      <c r="J3522">
        <v>-0.01</v>
      </c>
    </row>
    <row r="3523" spans="1:10" x14ac:dyDescent="0.3">
      <c r="A3523" t="str">
        <f>HYPERLINK("https://us2.cloudbeds.com/connect/10074733072513#/reservations/30681832386737?display=YQUAUPFQP&amp;reservation_id=30681832386737", "YQUAUPFQP")</f>
        <v>YQUAUPFQP</v>
      </c>
      <c r="B3523" t="s">
        <v>10</v>
      </c>
      <c r="C3523" t="s">
        <v>17</v>
      </c>
      <c r="D3523" t="str">
        <f>HYPERLINK("https://us2.cloudbeds.com/connect/10074733072513#/reservations/30681832386737?display=Brad%20Ehresmann&amp;reservation_id=30681832386737&amp;guest_id=30681832386724", "Brad Ehresmann")</f>
        <v>Brad Ehresmann</v>
      </c>
      <c r="E3523" t="s">
        <v>3986</v>
      </c>
      <c r="F3523" t="s">
        <v>3475</v>
      </c>
      <c r="G3523">
        <v>304.2</v>
      </c>
      <c r="H3523">
        <v>330.66</v>
      </c>
      <c r="I3523">
        <v>330.67</v>
      </c>
      <c r="J3523">
        <v>-0.01</v>
      </c>
    </row>
    <row r="3524" spans="1:10" x14ac:dyDescent="0.3">
      <c r="A3524" t="str">
        <f>HYPERLINK("https://us2.cloudbeds.com/connect/10074733072513#/reservations/30684762378428?display=YQWJQDQVP&amp;reservation_id=30684762378428", "YQWJQDQVP")</f>
        <v>YQWJQDQVP</v>
      </c>
      <c r="B3524" t="s">
        <v>10</v>
      </c>
      <c r="C3524" t="s">
        <v>23</v>
      </c>
      <c r="D3524" t="str">
        <f>HYPERLINK("https://us2.cloudbeds.com/connect/10074733072513#/reservations/30684762378428?display=Kari%20Sandmann&amp;reservation_id=30684762378428&amp;guest_id=30684762378426", "Kari Sandmann")</f>
        <v>Kari Sandmann</v>
      </c>
      <c r="E3524" t="s">
        <v>508</v>
      </c>
      <c r="F3524" t="s">
        <v>3662</v>
      </c>
      <c r="G3524">
        <v>134.1</v>
      </c>
      <c r="H3524">
        <v>145.76</v>
      </c>
      <c r="I3524">
        <v>145.77000000000001</v>
      </c>
      <c r="J3524">
        <v>-0.01</v>
      </c>
    </row>
    <row r="3525" spans="1:10" x14ac:dyDescent="0.3">
      <c r="A3525" t="str">
        <f>HYPERLINK("https://us2.cloudbeds.com/connect/10074733072513#/reservations/30681837121743?display=YQUB1P7RQ&amp;reservation_id=30681837121743", "YQUB1P7RQ")</f>
        <v>YQUB1P7RQ</v>
      </c>
      <c r="B3525" t="s">
        <v>10</v>
      </c>
      <c r="C3525" t="s">
        <v>14</v>
      </c>
      <c r="D3525" t="str">
        <f>HYPERLINK("https://us2.cloudbeds.com/connect/10074733072513#/reservations/30681837121743?display=Nicole%20Williams&amp;reservation_id=30681837121743&amp;guest_id=30681837121738", "Nicole Williams")</f>
        <v>Nicole Williams</v>
      </c>
      <c r="E3525" t="s">
        <v>3988</v>
      </c>
      <c r="F3525" t="s">
        <v>3475</v>
      </c>
      <c r="G3525">
        <v>134.1</v>
      </c>
      <c r="H3525">
        <v>145.76</v>
      </c>
      <c r="I3525">
        <v>145.77000000000001</v>
      </c>
      <c r="J3525">
        <v>-0.01</v>
      </c>
    </row>
    <row r="3526" spans="1:10" x14ac:dyDescent="0.3">
      <c r="A3526" t="str">
        <f>HYPERLINK("https://us2.cloudbeds.com/connect/10074733072513#/reservations/30683547189469?display=YQVYZZCVU&amp;reservation_id=30683547189469", "YQVYZZCVU")</f>
        <v>YQVYZZCVU</v>
      </c>
      <c r="B3526" t="s">
        <v>10</v>
      </c>
      <c r="C3526" t="s">
        <v>17</v>
      </c>
      <c r="D3526" t="str">
        <f>HYPERLINK("https://us2.cloudbeds.com/connect/10074733072513#/reservations/30683547189469?display=Darin%20Charlson&amp;reservation_id=30683547189469&amp;guest_id=30683547189464", "Darin Charlson")</f>
        <v>Darin Charlson</v>
      </c>
      <c r="E3526" t="s">
        <v>3989</v>
      </c>
      <c r="F3526" t="s">
        <v>3662</v>
      </c>
      <c r="G3526">
        <v>134.1</v>
      </c>
      <c r="H3526">
        <v>145.76</v>
      </c>
      <c r="I3526">
        <v>145.77000000000001</v>
      </c>
      <c r="J3526">
        <v>-0.01</v>
      </c>
    </row>
    <row r="3527" spans="1:10" x14ac:dyDescent="0.3">
      <c r="A3527" t="str">
        <f>HYPERLINK("https://us2.cloudbeds.com/connect/10074733072513#/reservations/30683671318716?display=YQVZUDFJ8&amp;reservation_id=30683671318716", "YQVZUDFJ8")</f>
        <v>YQVZUDFJ8</v>
      </c>
      <c r="B3527" t="s">
        <v>10</v>
      </c>
      <c r="C3527" t="s">
        <v>42</v>
      </c>
      <c r="D3527" t="str">
        <f>HYPERLINK("https://us2.cloudbeds.com/connect/10074733072513#/reservations/30683671318716?display=Jacque%20Rieffer-Gallant&amp;reservation_id=30683671318716&amp;guest_id=30669040017640", "Jacque Rieffer-Gallant")</f>
        <v>Jacque Rieffer-Gallant</v>
      </c>
      <c r="E3527" t="s">
        <v>3991</v>
      </c>
      <c r="F3527" t="s">
        <v>3475</v>
      </c>
      <c r="G3527">
        <v>268.2</v>
      </c>
      <c r="H3527">
        <v>291.52</v>
      </c>
      <c r="I3527">
        <v>291.52999999999997</v>
      </c>
      <c r="J3527">
        <v>-0.01</v>
      </c>
    </row>
    <row r="3528" spans="1:10" x14ac:dyDescent="0.3">
      <c r="A3528" t="str">
        <f>HYPERLINK("https://us2.cloudbeds.com/connect/10074733072513#/reservations/30683511918810?display=YQVKRWUS2&amp;reservation_id=30683511918810", "YQVKRWUS2")</f>
        <v>YQVKRWUS2</v>
      </c>
      <c r="B3528" t="s">
        <v>10</v>
      </c>
      <c r="C3528" t="s">
        <v>42</v>
      </c>
      <c r="D3528" t="str">
        <f>HYPERLINK("https://us2.cloudbeds.com/connect/10074733072513#/reservations/30683511918810?display=Vilma%20Biliene&amp;reservation_id=30683511918810&amp;guest_id=30683511918806", "Vilma Biliene")</f>
        <v>Vilma Biliene</v>
      </c>
      <c r="E3528" t="s">
        <v>3887</v>
      </c>
      <c r="F3528" t="s">
        <v>3662</v>
      </c>
      <c r="G3528">
        <v>158</v>
      </c>
      <c r="H3528">
        <v>171.74</v>
      </c>
      <c r="I3528">
        <v>171.75</v>
      </c>
      <c r="J3528">
        <v>-0.01</v>
      </c>
    </row>
    <row r="3529" spans="1:10" x14ac:dyDescent="0.3">
      <c r="A3529" t="str">
        <f>HYPERLINK("https://us2.cloudbeds.com/connect/10074733072513#/reservations/30683240046812?display=YQVDTZMVM&amp;reservation_id=30683240046812", "YQVDTZMVM")</f>
        <v>YQVDTZMVM</v>
      </c>
      <c r="B3529" t="s">
        <v>10</v>
      </c>
      <c r="C3529" t="s">
        <v>23</v>
      </c>
      <c r="D3529" t="str">
        <f>HYPERLINK("https://us2.cloudbeds.com/connect/10074733072513#/reservations/30683240046812?display=Sandi%20Holstein&amp;reservation_id=30683240046812&amp;guest_id=30683229782154", "Sandi Holstein")</f>
        <v>Sandi Holstein</v>
      </c>
      <c r="E3529" t="s">
        <v>3994</v>
      </c>
      <c r="F3529" t="s">
        <v>3715</v>
      </c>
      <c r="G3529">
        <v>134.1</v>
      </c>
      <c r="H3529">
        <v>145.76</v>
      </c>
      <c r="I3529">
        <v>145.77000000000001</v>
      </c>
      <c r="J3529">
        <v>-0.01</v>
      </c>
    </row>
    <row r="3530" spans="1:10" x14ac:dyDescent="0.3">
      <c r="A3530" t="str">
        <f>HYPERLINK("https://us2.cloudbeds.com/connect/10074733072513#/reservations/30684725141703?display=YQWXS0YF5&amp;reservation_id=30684725141703", "YQWXS0YF5")</f>
        <v>YQWXS0YF5</v>
      </c>
      <c r="B3530" t="s">
        <v>10</v>
      </c>
      <c r="C3530" t="s">
        <v>11</v>
      </c>
      <c r="D3530" t="str">
        <f>HYPERLINK("https://us2.cloudbeds.com/connect/10074733072513#/reservations/30684725141703?display=Erin%20James&amp;reservation_id=30684725141703&amp;guest_id=30684725137617", "Erin James")</f>
        <v>Erin James</v>
      </c>
      <c r="E3530" t="s">
        <v>3113</v>
      </c>
      <c r="F3530" t="s">
        <v>3381</v>
      </c>
      <c r="G3530">
        <v>71.45</v>
      </c>
      <c r="H3530">
        <v>77.66</v>
      </c>
      <c r="I3530">
        <v>77.67</v>
      </c>
      <c r="J3530">
        <v>-0.01</v>
      </c>
    </row>
    <row r="3531" spans="1:10" x14ac:dyDescent="0.3">
      <c r="A3531" t="str">
        <f>HYPERLINK("https://us2.cloudbeds.com/connect/10074733072513#/reservations/30684836630720?display=YQWYN0T61&amp;reservation_id=30684836630720", "YQWYN0T61")</f>
        <v>YQWYN0T61</v>
      </c>
      <c r="B3531" t="s">
        <v>10</v>
      </c>
      <c r="C3531" t="s">
        <v>20</v>
      </c>
      <c r="D3531" t="str">
        <f>HYPERLINK("https://us2.cloudbeds.com/connect/10074733072513#/reservations/30684836630720?display=Melissa%20Cannon&amp;reservation_id=30684836630720&amp;guest_id=30684836626683", "Melissa Cannon")</f>
        <v>Melissa Cannon</v>
      </c>
      <c r="E3531" t="s">
        <v>3997</v>
      </c>
      <c r="F3531" t="s">
        <v>3662</v>
      </c>
      <c r="G3531">
        <v>143.65</v>
      </c>
      <c r="H3531">
        <v>156.13999999999999</v>
      </c>
      <c r="I3531">
        <v>156.15</v>
      </c>
      <c r="J3531">
        <v>-0.01</v>
      </c>
    </row>
    <row r="3532" spans="1:10" x14ac:dyDescent="0.3">
      <c r="A3532" t="str">
        <f>HYPERLINK("https://us2.cloudbeds.com/connect/10074733072513#/reservations/30683533365466?display=YQVYD2NZZ&amp;reservation_id=30683533365466", "YQVYD2NZZ")</f>
        <v>YQVYD2NZZ</v>
      </c>
      <c r="B3532" t="s">
        <v>10</v>
      </c>
      <c r="C3532" t="s">
        <v>14</v>
      </c>
      <c r="D3532" t="str">
        <f>HYPERLINK("https://us2.cloudbeds.com/connect/10074733072513#/reservations/30683533365466?display=Elizabeth%20Washington&amp;reservation_id=30683533365466&amp;guest_id=30683533361383", "Elizabeth Washington")</f>
        <v>Elizabeth Washington</v>
      </c>
      <c r="E3532" t="s">
        <v>4002</v>
      </c>
      <c r="F3532" t="s">
        <v>3662</v>
      </c>
      <c r="G3532">
        <v>134.1</v>
      </c>
      <c r="H3532">
        <v>145.76</v>
      </c>
      <c r="I3532">
        <v>145.77000000000001</v>
      </c>
      <c r="J3532">
        <v>-0.01</v>
      </c>
    </row>
    <row r="3533" spans="1:10" x14ac:dyDescent="0.3">
      <c r="A3533" t="str">
        <f>HYPERLINK("https://us2.cloudbeds.com/connect/10074733072513#/reservations/30683540107399?display=YQVYXPAMZ&amp;reservation_id=30683540107399", "YQVYXPAMZ")</f>
        <v>YQVYXPAMZ</v>
      </c>
      <c r="B3533" t="s">
        <v>10</v>
      </c>
      <c r="C3533" t="s">
        <v>20</v>
      </c>
      <c r="D3533" t="str">
        <f>HYPERLINK("https://us2.cloudbeds.com/connect/10074733072513#/reservations/30683540107399?display=Marina%20Atamanyuk&amp;reservation_id=30683540107399&amp;guest_id=30683540107394", "Marina Atamanyuk")</f>
        <v>Marina Atamanyuk</v>
      </c>
      <c r="E3533" t="s">
        <v>4018</v>
      </c>
      <c r="F3533" t="s">
        <v>3662</v>
      </c>
      <c r="G3533">
        <v>143.65</v>
      </c>
      <c r="H3533">
        <v>156.13999999999999</v>
      </c>
      <c r="I3533">
        <v>156.15</v>
      </c>
      <c r="J3533">
        <v>-0.01</v>
      </c>
    </row>
    <row r="3534" spans="1:10" x14ac:dyDescent="0.3">
      <c r="A3534" t="str">
        <f>HYPERLINK("https://us2.cloudbeds.com/connect/10074733072513#/reservations/30684803285135?display=YQWKRU3GV&amp;reservation_id=30684803285135", "YQWKRU3GV")</f>
        <v>YQWKRU3GV</v>
      </c>
      <c r="B3534" t="s">
        <v>10</v>
      </c>
      <c r="C3534" t="s">
        <v>14</v>
      </c>
      <c r="D3534" t="str">
        <f>HYPERLINK("https://us2.cloudbeds.com/connect/10074733072513#/reservations/30684803285135?display=Steven%20Keroff&amp;reservation_id=30684803285135&amp;guest_id=30684803285133", "Steven Keroff")</f>
        <v>Steven Keroff</v>
      </c>
      <c r="E3534" t="s">
        <v>4022</v>
      </c>
      <c r="F3534" t="s">
        <v>3662</v>
      </c>
      <c r="G3534">
        <v>259.2</v>
      </c>
      <c r="H3534">
        <v>281.74</v>
      </c>
      <c r="I3534">
        <v>281.75</v>
      </c>
      <c r="J3534">
        <v>-0.01</v>
      </c>
    </row>
    <row r="3535" spans="1:10" x14ac:dyDescent="0.3">
      <c r="A3535" t="str">
        <f>HYPERLINK("https://us2.cloudbeds.com/connect/10074733072513#/reservations/30683443212438?display=YQVJ322JQ&amp;reservation_id=30683443212438", "YQVJ322JQ")</f>
        <v>YQVJ322JQ</v>
      </c>
      <c r="B3535" t="s">
        <v>10</v>
      </c>
      <c r="C3535" t="s">
        <v>17</v>
      </c>
      <c r="D3535" t="str">
        <f>HYPERLINK("https://us2.cloudbeds.com/connect/10074733072513#/reservations/30683443212438?display=Erin%20Hufford&amp;reservation_id=30683443212438&amp;guest_id=30683443212420", "Erin Hufford")</f>
        <v>Erin Hufford</v>
      </c>
      <c r="E3535" t="s">
        <v>4028</v>
      </c>
      <c r="F3535" t="s">
        <v>4029</v>
      </c>
      <c r="G3535">
        <v>134.1</v>
      </c>
      <c r="H3535">
        <v>145.76</v>
      </c>
      <c r="I3535">
        <v>145.77000000000001</v>
      </c>
      <c r="J3535">
        <v>-0.01</v>
      </c>
    </row>
    <row r="3536" spans="1:10" x14ac:dyDescent="0.3">
      <c r="A3536" t="str">
        <f>HYPERLINK("https://us2.cloudbeds.com/connect/10074733072513#/reservations/30682080141470?display=YQUH8MKEV&amp;reservation_id=30682080141470", "YQUH8MKEV")</f>
        <v>YQUH8MKEV</v>
      </c>
      <c r="B3536" t="s">
        <v>10</v>
      </c>
      <c r="C3536" t="s">
        <v>11</v>
      </c>
      <c r="D3536" t="str">
        <f>HYPERLINK("https://us2.cloudbeds.com/connect/10074733072513#/reservations/30682080141470?display=Erin%20James&amp;reservation_id=30682080141470&amp;guest_id=30682080141466", "Erin James")</f>
        <v>Erin James</v>
      </c>
      <c r="E3536" t="s">
        <v>4030</v>
      </c>
      <c r="F3536" t="s">
        <v>3993</v>
      </c>
      <c r="G3536">
        <v>77.45</v>
      </c>
      <c r="H3536">
        <v>84.18</v>
      </c>
      <c r="I3536">
        <v>84.19</v>
      </c>
      <c r="J3536">
        <v>-0.01</v>
      </c>
    </row>
    <row r="3537" spans="1:10" x14ac:dyDescent="0.3">
      <c r="A3537" t="str">
        <f>HYPERLINK("https://us2.cloudbeds.com/connect/10074733072513#/reservations/30683236319390?display=YQVDQJW5G&amp;reservation_id=30683236319390", "YQVDQJW5G")</f>
        <v>YQVDQJW5G</v>
      </c>
      <c r="B3537" t="s">
        <v>10</v>
      </c>
      <c r="C3537" t="s">
        <v>20</v>
      </c>
      <c r="D3537" t="str">
        <f>HYPERLINK("https://us2.cloudbeds.com/connect/10074733072513#/reservations/30683236319390?display=Kathryn%20Turcotte&amp;reservation_id=30683236319390&amp;guest_id=30683236319387", "Kathryn Turcotte")</f>
        <v>Kathryn Turcotte</v>
      </c>
      <c r="E3537" t="s">
        <v>4031</v>
      </c>
      <c r="F3537" t="s">
        <v>2788</v>
      </c>
      <c r="G3537">
        <v>304.2</v>
      </c>
      <c r="H3537">
        <v>330.66</v>
      </c>
      <c r="I3537">
        <v>330.67</v>
      </c>
      <c r="J3537">
        <v>-0.01</v>
      </c>
    </row>
    <row r="3538" spans="1:10" x14ac:dyDescent="0.3">
      <c r="A3538" t="str">
        <f>HYPERLINK("https://us2.cloudbeds.com/connect/10074733072513#/reservations/30684100067471?display=YQW2SV18P&amp;reservation_id=30684100067471", "YQW2SV18P")</f>
        <v>YQW2SV18P</v>
      </c>
      <c r="B3538" t="s">
        <v>10</v>
      </c>
      <c r="C3538" t="s">
        <v>20</v>
      </c>
      <c r="D3538" t="str">
        <f>HYPERLINK("https://us2.cloudbeds.com/connect/10074733072513#/reservations/30684100067471?display=Alice%20Wilk&amp;reservation_id=30684100067471&amp;guest_id=30684100067466", "Alice Wilk")</f>
        <v>Alice Wilk</v>
      </c>
      <c r="E3538" t="s">
        <v>4032</v>
      </c>
      <c r="F3538" t="s">
        <v>3735</v>
      </c>
      <c r="G3538">
        <v>143.65</v>
      </c>
      <c r="H3538">
        <v>156.13999999999999</v>
      </c>
      <c r="I3538">
        <v>156.15</v>
      </c>
      <c r="J3538">
        <v>-0.01</v>
      </c>
    </row>
    <row r="3539" spans="1:10" x14ac:dyDescent="0.3">
      <c r="A3539" t="str">
        <f>HYPERLINK("https://us2.cloudbeds.com/connect/10074733072513#/reservations/30684333371590?display=YQW8RM29X&amp;reservation_id=30684333371590", "YQW8RM29X")</f>
        <v>YQW8RM29X</v>
      </c>
      <c r="B3539" t="s">
        <v>10</v>
      </c>
      <c r="C3539" t="s">
        <v>11</v>
      </c>
      <c r="D3539" t="str">
        <f>HYPERLINK("https://us2.cloudbeds.com/connect/10074733072513#/reservations/30684333371590?display=Kelcy%20Nash&amp;reservation_id=30684333371590&amp;guest_id=30684333367506", "Kelcy Nash")</f>
        <v>Kelcy Nash</v>
      </c>
      <c r="E3539" t="s">
        <v>4046</v>
      </c>
      <c r="F3539" t="s">
        <v>3088</v>
      </c>
      <c r="G3539">
        <v>134.1</v>
      </c>
      <c r="H3539">
        <v>145.76</v>
      </c>
      <c r="I3539">
        <v>145.77000000000001</v>
      </c>
      <c r="J3539">
        <v>-0.01</v>
      </c>
    </row>
    <row r="3540" spans="1:10" x14ac:dyDescent="0.3">
      <c r="A3540" t="str">
        <f>HYPERLINK("https://us2.cloudbeds.com/connect/10074733072513#/reservations/30684314394875?display=YQW8BM0FJ&amp;reservation_id=30684314394875", "YQW8BM0FJ")</f>
        <v>YQW8BM0FJ</v>
      </c>
      <c r="B3540" t="s">
        <v>10</v>
      </c>
      <c r="C3540" t="s">
        <v>42</v>
      </c>
      <c r="D3540" t="str">
        <f>HYPERLINK("https://us2.cloudbeds.com/connect/10074733072513#/reservations/30684314394875?display=Brock%20Smith&amp;reservation_id=30684314394875&amp;guest_id=30681982431415", "Brock Smith")</f>
        <v>Brock Smith</v>
      </c>
      <c r="E3540" t="s">
        <v>3409</v>
      </c>
      <c r="F3540" t="s">
        <v>3088</v>
      </c>
      <c r="G3540">
        <v>238.74</v>
      </c>
      <c r="H3540">
        <v>259.5</v>
      </c>
      <c r="I3540">
        <v>259.51</v>
      </c>
      <c r="J3540">
        <v>-0.01</v>
      </c>
    </row>
    <row r="3541" spans="1:10" x14ac:dyDescent="0.3">
      <c r="A3541" t="str">
        <f>HYPERLINK("https://us2.cloudbeds.com/connect/10074733072513#/reservations/30683793055941?display=YQVS11WM2&amp;reservation_id=30683793055941", "YQVS11WM2")</f>
        <v>YQVS11WM2</v>
      </c>
      <c r="B3541" t="s">
        <v>10</v>
      </c>
      <c r="C3541" t="s">
        <v>20</v>
      </c>
      <c r="D3541" t="str">
        <f>HYPERLINK("https://us2.cloudbeds.com/connect/10074733072513#/reservations/30683793055941?display=Steward%20Maureen&amp;reservation_id=30683793055941&amp;guest_id=30683793055936", "Steward Maureen")</f>
        <v>Steward Maureen</v>
      </c>
      <c r="E3541" t="s">
        <v>4055</v>
      </c>
      <c r="F3541" t="s">
        <v>4051</v>
      </c>
      <c r="G3541">
        <v>110.3</v>
      </c>
      <c r="H3541">
        <v>119.89</v>
      </c>
      <c r="I3541">
        <v>119.9</v>
      </c>
      <c r="J3541">
        <v>-0.01</v>
      </c>
    </row>
    <row r="3542" spans="1:10" x14ac:dyDescent="0.3">
      <c r="A3542" t="str">
        <f>HYPERLINK("https://us2.cloudbeds.com/connect/10074733072513#/reservations/30683475075222?display=YQVJTUNBN&amp;reservation_id=30683475075222", "YQVJTUNBN")</f>
        <v>YQVJTUNBN</v>
      </c>
      <c r="B3542" t="s">
        <v>10</v>
      </c>
      <c r="C3542" t="s">
        <v>17</v>
      </c>
      <c r="D3542" t="str">
        <f>HYPERLINK("https://us2.cloudbeds.com/connect/10074733072513#/reservations/30683475075222?display=Joyce%20Glynn&amp;reservation_id=30683475075222&amp;guest_id=30683381072097", "Joyce Glynn")</f>
        <v>Joyce Glynn</v>
      </c>
      <c r="E3542" t="s">
        <v>4064</v>
      </c>
      <c r="F3542" t="s">
        <v>3981</v>
      </c>
      <c r="G3542">
        <v>258</v>
      </c>
      <c r="H3542">
        <v>280.44</v>
      </c>
      <c r="I3542">
        <v>280.45</v>
      </c>
      <c r="J3542">
        <v>-0.01</v>
      </c>
    </row>
    <row r="3543" spans="1:10" x14ac:dyDescent="0.3">
      <c r="A3543" t="str">
        <f>HYPERLINK("https://us2.cloudbeds.com/connect/10074733072513#/reservations/30683749965993?display=YQVQUNVA2&amp;reservation_id=30683749965993", "YQVQUNVA2")</f>
        <v>YQVQUNVA2</v>
      </c>
      <c r="B3543" t="s">
        <v>10</v>
      </c>
      <c r="C3543" t="s">
        <v>20</v>
      </c>
      <c r="D3543" t="str">
        <f>HYPERLINK("https://us2.cloudbeds.com/connect/10074733072513#/reservations/30683749965993?display=Becca%20Schulz&amp;reservation_id=30683749965993&amp;guest_id=30683743105234", "Becca Schulz")</f>
        <v>Becca Schulz</v>
      </c>
      <c r="E3543" t="s">
        <v>4070</v>
      </c>
      <c r="F3543" t="s">
        <v>4071</v>
      </c>
      <c r="G3543">
        <v>112.24</v>
      </c>
      <c r="H3543">
        <v>121.99</v>
      </c>
      <c r="I3543">
        <v>122</v>
      </c>
      <c r="J3543">
        <v>-0.01</v>
      </c>
    </row>
    <row r="3544" spans="1:10" x14ac:dyDescent="0.3">
      <c r="A3544" t="str">
        <f>HYPERLINK("https://us2.cloudbeds.com/connect/10074733072513#/reservations/30682547937478?display=YQUT74Z6X&amp;reservation_id=30682547937478", "YQUT74Z6X")</f>
        <v>YQUT74Z6X</v>
      </c>
      <c r="B3544" t="s">
        <v>10</v>
      </c>
      <c r="C3544" t="s">
        <v>42</v>
      </c>
      <c r="D3544" t="str">
        <f>HYPERLINK("https://us2.cloudbeds.com/connect/10074733072513#/reservations/30682547937478?display=Gary%20Laib&amp;reservation_id=30682547937478&amp;guest_id=30682547933394", "Gary Laib")</f>
        <v>Gary Laib</v>
      </c>
      <c r="E3544" t="s">
        <v>4073</v>
      </c>
      <c r="F3544" t="s">
        <v>2633</v>
      </c>
      <c r="G3544">
        <v>268.2</v>
      </c>
      <c r="H3544">
        <v>291.52</v>
      </c>
      <c r="I3544">
        <v>291.52999999999997</v>
      </c>
      <c r="J3544">
        <v>-0.01</v>
      </c>
    </row>
    <row r="3545" spans="1:10" x14ac:dyDescent="0.3">
      <c r="A3545" t="str">
        <f>HYPERLINK("https://us2.cloudbeds.com/connect/10074733072513#/reservations/30684447703253?display=YQWBP2H1D&amp;reservation_id=30684447703253", "YQWBP2H1D")</f>
        <v>YQWBP2H1D</v>
      </c>
      <c r="B3545" t="s">
        <v>10</v>
      </c>
      <c r="C3545" t="s">
        <v>20</v>
      </c>
      <c r="D3545" t="str">
        <f>HYPERLINK("https://us2.cloudbeds.com/connect/10074733072513#/reservations/30684447703253?display=Shawna%20Wheadon&amp;reservation_id=30684447703253&amp;guest_id=30684447703251", "Shawna Wheadon")</f>
        <v>Shawna Wheadon</v>
      </c>
      <c r="E3545" t="s">
        <v>4078</v>
      </c>
      <c r="F3545" t="s">
        <v>4029</v>
      </c>
      <c r="G3545">
        <v>120.32</v>
      </c>
      <c r="H3545">
        <v>130.78</v>
      </c>
      <c r="I3545">
        <v>130.79</v>
      </c>
      <c r="J3545">
        <v>-0.01</v>
      </c>
    </row>
    <row r="3546" spans="1:10" x14ac:dyDescent="0.3">
      <c r="A3546" t="str">
        <f>HYPERLINK("https://us2.cloudbeds.com/connect/10074733072513#/reservations/30682919817369?display=YQV5NNRN5&amp;reservation_id=30682919817369", "YQV5NNRN5")</f>
        <v>YQV5NNRN5</v>
      </c>
      <c r="B3546" t="s">
        <v>10</v>
      </c>
      <c r="C3546" t="s">
        <v>11</v>
      </c>
      <c r="D3546" t="str">
        <f>HYPERLINK("https://us2.cloudbeds.com/connect/10074733072513#/reservations/30682919817369?display=David%20Marroquin&amp;reservation_id=30682919817369&amp;guest_id=30682919817366", "David Marroquin")</f>
        <v>David Marroquin</v>
      </c>
      <c r="E3546" t="s">
        <v>1319</v>
      </c>
      <c r="F3546" t="s">
        <v>3332</v>
      </c>
      <c r="G3546">
        <v>94.16</v>
      </c>
      <c r="H3546">
        <v>102.34</v>
      </c>
      <c r="I3546">
        <v>102.35</v>
      </c>
      <c r="J3546">
        <v>-0.01</v>
      </c>
    </row>
    <row r="3547" spans="1:10" x14ac:dyDescent="0.3">
      <c r="A3547" t="str">
        <f>HYPERLINK("https://us2.cloudbeds.com/connect/10074733072513#/reservations/30682924183690?display=YQV5RDB5U&amp;reservation_id=30682924183690", "YQV5RDB5U")</f>
        <v>YQV5RDB5U</v>
      </c>
      <c r="B3547" t="s">
        <v>10</v>
      </c>
      <c r="C3547" t="s">
        <v>20</v>
      </c>
      <c r="D3547" t="str">
        <f>HYPERLINK("https://us2.cloudbeds.com/connect/10074733072513#/reservations/30682924183690?display=Robert%20Harris&amp;reservation_id=30682924183690&amp;guest_id=30682924179599", "Robert Harris")</f>
        <v>Robert Harris</v>
      </c>
      <c r="E3547" t="s">
        <v>4085</v>
      </c>
      <c r="F3547" t="s">
        <v>4086</v>
      </c>
      <c r="G3547">
        <v>120.32</v>
      </c>
      <c r="H3547">
        <v>130.78</v>
      </c>
      <c r="I3547">
        <v>130.79</v>
      </c>
      <c r="J3547">
        <v>-0.01</v>
      </c>
    </row>
    <row r="3548" spans="1:10" x14ac:dyDescent="0.3">
      <c r="A3548" t="str">
        <f>HYPERLINK("https://us2.cloudbeds.com/connect/10074733072513#/reservations/30682932428963?display=YQV61BPJY&amp;reservation_id=30682932428963", "YQV61BPJY")</f>
        <v>YQV61BPJY</v>
      </c>
      <c r="B3548" t="s">
        <v>10</v>
      </c>
      <c r="C3548" t="s">
        <v>23</v>
      </c>
      <c r="D3548" t="str">
        <f>HYPERLINK("https://us2.cloudbeds.com/connect/10074733072513#/reservations/30682932428963?display=Gena%20Johnson&amp;reservation_id=30682932428963&amp;guest_id=30682919817367", "Gena Johnson")</f>
        <v>Gena Johnson</v>
      </c>
      <c r="E3548" t="s">
        <v>4088</v>
      </c>
      <c r="F3548" t="s">
        <v>3332</v>
      </c>
      <c r="G3548">
        <v>134.1</v>
      </c>
      <c r="H3548">
        <v>145.76</v>
      </c>
      <c r="I3548">
        <v>145.77000000000001</v>
      </c>
      <c r="J3548">
        <v>-0.01</v>
      </c>
    </row>
    <row r="3549" spans="1:10" x14ac:dyDescent="0.3">
      <c r="A3549" t="str">
        <f>HYPERLINK("https://us2.cloudbeds.com/connect/10074733072513#/reservations/30683023405282?display=YQV8C2AZR&amp;reservation_id=30683023405282", "YQV8C2AZR")</f>
        <v>YQV8C2AZR</v>
      </c>
      <c r="B3549" t="s">
        <v>10</v>
      </c>
      <c r="C3549" t="s">
        <v>42</v>
      </c>
      <c r="D3549" t="str">
        <f>HYPERLINK("https://us2.cloudbeds.com/connect/10074733072513#/reservations/30683023405282?display=Lonnie%20Aadland&amp;reservation_id=30683023405282&amp;guest_id=30683023401190", "Lonnie Aadland")</f>
        <v>Lonnie Aadland</v>
      </c>
      <c r="E3549" t="s">
        <v>4089</v>
      </c>
      <c r="F3549" t="s">
        <v>3332</v>
      </c>
      <c r="G3549">
        <v>268.2</v>
      </c>
      <c r="H3549">
        <v>291.52</v>
      </c>
      <c r="I3549">
        <v>291.52999999999997</v>
      </c>
      <c r="J3549">
        <v>-0.01</v>
      </c>
    </row>
    <row r="3550" spans="1:10" x14ac:dyDescent="0.3">
      <c r="A3550" t="str">
        <f>HYPERLINK("https://us2.cloudbeds.com/connect/10074733072513#/reservations/30683082772681?display=YQV9T4A8U&amp;reservation_id=30683082772681", "YQV9T4A8U")</f>
        <v>YQV9T4A8U</v>
      </c>
      <c r="B3550" t="s">
        <v>10</v>
      </c>
      <c r="C3550" t="s">
        <v>42</v>
      </c>
      <c r="D3550" t="str">
        <f>HYPERLINK("https://us2.cloudbeds.com/connect/10074733072513#/reservations/30683082772681?display=Lonnie%20Aadland&amp;reservation_id=30683082772681&amp;guest_id=30683023401190", "Lonnie Aadland")</f>
        <v>Lonnie Aadland</v>
      </c>
      <c r="E3550" t="s">
        <v>4089</v>
      </c>
      <c r="F3550" t="s">
        <v>3332</v>
      </c>
      <c r="G3550">
        <v>268.2</v>
      </c>
      <c r="H3550">
        <v>291.52</v>
      </c>
      <c r="I3550">
        <v>291.52999999999997</v>
      </c>
      <c r="J3550">
        <v>-0.01</v>
      </c>
    </row>
    <row r="3551" spans="1:10" x14ac:dyDescent="0.3">
      <c r="A3551" t="str">
        <f>HYPERLINK("https://us2.cloudbeds.com/connect/10074733072513#/reservations/30682555170979?display=YQUTD80HX&amp;reservation_id=30682555170979", "YQUTD80HX")</f>
        <v>YQUTD80HX</v>
      </c>
      <c r="B3551" t="s">
        <v>10</v>
      </c>
      <c r="C3551" t="s">
        <v>42</v>
      </c>
      <c r="D3551" t="str">
        <f>HYPERLINK("https://us2.cloudbeds.com/connect/10074733072513#/reservations/30682555170979?display=Cindy-%20Kent%20Zuehlke&amp;reservation_id=30682555170979&amp;guest_id=30682555166892", "Cindy- Kent Zuehlke")</f>
        <v>Cindy- Kent Zuehlke</v>
      </c>
      <c r="E3551" t="s">
        <v>4092</v>
      </c>
      <c r="F3551" t="s">
        <v>2633</v>
      </c>
      <c r="G3551">
        <v>268.2</v>
      </c>
      <c r="H3551">
        <v>291.52</v>
      </c>
      <c r="I3551">
        <v>291.52999999999997</v>
      </c>
      <c r="J3551">
        <v>-0.01</v>
      </c>
    </row>
    <row r="3552" spans="1:10" x14ac:dyDescent="0.3">
      <c r="A3552" t="str">
        <f>HYPERLINK("https://us2.cloudbeds.com/connect/10074733072513#/reservations/30681954922716?display=YQUE237C8&amp;reservation_id=30681954922716", "YQUE237C8")</f>
        <v>YQUE237C8</v>
      </c>
      <c r="B3552" t="s">
        <v>10</v>
      </c>
      <c r="C3552" t="s">
        <v>17</v>
      </c>
      <c r="D3552" t="str">
        <f>HYPERLINK("https://us2.cloudbeds.com/connect/10074733072513#/reservations/30681954922716?display=Aaron%20Bartell&amp;reservation_id=30681954922716&amp;guest_id=30681954922701", "Aaron Bartell")</f>
        <v>Aaron Bartell</v>
      </c>
      <c r="E3552" t="s">
        <v>4098</v>
      </c>
      <c r="F3552" t="s">
        <v>2633</v>
      </c>
      <c r="G3552">
        <v>268.2</v>
      </c>
      <c r="H3552">
        <v>291.52</v>
      </c>
      <c r="I3552">
        <v>291.52999999999997</v>
      </c>
      <c r="J3552">
        <v>-0.01</v>
      </c>
    </row>
    <row r="3553" spans="1:10" x14ac:dyDescent="0.3">
      <c r="A3553" t="str">
        <f>HYPERLINK("https://us2.cloudbeds.com/connect/10074733072513#/reservations/30684043866333?display=YQW1EX57W&amp;reservation_id=30684043866333", "YQW1EX57W")</f>
        <v>YQW1EX57W</v>
      </c>
      <c r="B3553" t="s">
        <v>10</v>
      </c>
      <c r="C3553" t="s">
        <v>14</v>
      </c>
      <c r="D3553" t="str">
        <f>HYPERLINK("https://us2.cloudbeds.com/connect/10074733072513#/reservations/30684043866333?display=Dan%20Yaksich&amp;reservation_id=30684043866333&amp;guest_id=30684043866329", "Dan Yaksich")</f>
        <v>Dan Yaksich</v>
      </c>
      <c r="E3553" t="s">
        <v>4102</v>
      </c>
      <c r="F3553" t="s">
        <v>3984</v>
      </c>
      <c r="G3553">
        <v>134.1</v>
      </c>
      <c r="H3553">
        <v>145.76</v>
      </c>
      <c r="I3553">
        <v>145.77000000000001</v>
      </c>
      <c r="J3553">
        <v>-0.01</v>
      </c>
    </row>
    <row r="3554" spans="1:10" x14ac:dyDescent="0.3">
      <c r="A3554" t="str">
        <f>HYPERLINK("https://us2.cloudbeds.com/connect/10074733072513#/reservations/30684053463192?display=YQW1MY6PT&amp;reservation_id=30684053463192", "YQW1MY6PT")</f>
        <v>YQW1MY6PT</v>
      </c>
      <c r="B3554" t="s">
        <v>10</v>
      </c>
      <c r="C3554" t="s">
        <v>14</v>
      </c>
      <c r="D3554" t="str">
        <f>HYPERLINK("https://us2.cloudbeds.com/connect/10074733072513#/reservations/30684053463192?display=Pamela%20Yaksich&amp;reservation_id=30684053463192&amp;guest_id=30684053463188", "Pamela Yaksich")</f>
        <v>Pamela Yaksich</v>
      </c>
      <c r="E3554" t="s">
        <v>4103</v>
      </c>
      <c r="F3554" t="s">
        <v>3984</v>
      </c>
      <c r="G3554">
        <v>134.1</v>
      </c>
      <c r="H3554">
        <v>145.76</v>
      </c>
      <c r="I3554">
        <v>145.77000000000001</v>
      </c>
      <c r="J3554">
        <v>-0.01</v>
      </c>
    </row>
    <row r="3555" spans="1:10" x14ac:dyDescent="0.3">
      <c r="A3555" t="str">
        <f>HYPERLINK("https://us2.cloudbeds.com/connect/10074733072513#/reservations/30684209049817?display=YQW5YRKT3&amp;reservation_id=30684209049817", "YQW5YRKT3")</f>
        <v>YQW5YRKT3</v>
      </c>
      <c r="B3555" t="s">
        <v>10</v>
      </c>
      <c r="C3555" t="s">
        <v>11</v>
      </c>
      <c r="D3555" t="str">
        <f>HYPERLINK("https://us2.cloudbeds.com/connect/10074733072513#/reservations/30684209049817?display=Shane%20Roper&amp;reservation_id=30684209049817&amp;guest_id=30683718615246", "Shane Roper")</f>
        <v>Shane Roper</v>
      </c>
      <c r="E3555" t="s">
        <v>1319</v>
      </c>
      <c r="F3555" t="s">
        <v>4086</v>
      </c>
      <c r="G3555">
        <v>71.45</v>
      </c>
      <c r="H3555">
        <v>77.66</v>
      </c>
      <c r="I3555">
        <v>77.67</v>
      </c>
      <c r="J3555">
        <v>-0.01</v>
      </c>
    </row>
    <row r="3556" spans="1:10" x14ac:dyDescent="0.3">
      <c r="A3556" t="str">
        <f>HYPERLINK("https://us2.cloudbeds.com/connect/10074733072513#/reservations/30683903070366?display=YQVURRA0H&amp;reservation_id=30683903070366", "YQVURRA0H")</f>
        <v>YQVURRA0H</v>
      </c>
      <c r="B3556" t="s">
        <v>10</v>
      </c>
      <c r="C3556" t="s">
        <v>11</v>
      </c>
      <c r="D3556" t="str">
        <f>HYPERLINK("https://us2.cloudbeds.com/connect/10074733072513#/reservations/30683903070366?display=Leanne%20Maltese&amp;reservation_id=30683903070366&amp;guest_id=30683903066286", "Leanne Maltese")</f>
        <v>Leanne Maltese</v>
      </c>
      <c r="E3556" t="s">
        <v>4117</v>
      </c>
      <c r="F3556" t="s">
        <v>2633</v>
      </c>
      <c r="G3556">
        <v>94.16</v>
      </c>
      <c r="H3556">
        <v>102.34</v>
      </c>
      <c r="I3556">
        <v>102.35</v>
      </c>
      <c r="J3556">
        <v>-0.01</v>
      </c>
    </row>
    <row r="3557" spans="1:10" x14ac:dyDescent="0.3">
      <c r="A3557" t="str">
        <f>HYPERLINK("https://us2.cloudbeds.com/connect/10074733072513#/reservations/30683725369473?display=YQVQ49XZH&amp;reservation_id=30683725369473", "YQVQ49XZH")</f>
        <v>YQVQ49XZH</v>
      </c>
      <c r="B3557" t="s">
        <v>10</v>
      </c>
      <c r="C3557" t="s">
        <v>11</v>
      </c>
      <c r="D3557" t="str">
        <f>HYPERLINK("https://us2.cloudbeds.com/connect/10074733072513#/reservations/30683725369473?display=Shane%20Roper&amp;reservation_id=30683725369473&amp;guest_id=30683718615246", "Shane Roper")</f>
        <v>Shane Roper</v>
      </c>
      <c r="E3557" t="s">
        <v>1319</v>
      </c>
      <c r="F3557" t="s">
        <v>4071</v>
      </c>
      <c r="G3557">
        <v>71.45</v>
      </c>
      <c r="H3557">
        <v>77.66</v>
      </c>
      <c r="I3557">
        <v>77.67</v>
      </c>
      <c r="J3557">
        <v>-0.01</v>
      </c>
    </row>
    <row r="3558" spans="1:10" x14ac:dyDescent="0.3">
      <c r="A3558" t="str">
        <f>HYPERLINK("https://us2.cloudbeds.com/connect/10074733072513#/reservations/30684238549238?display=YQW6DNGDV&amp;reservation_id=30684238549238", "YQW6DNGDV")</f>
        <v>YQW6DNGDV</v>
      </c>
      <c r="B3558" t="s">
        <v>10</v>
      </c>
      <c r="C3558" t="s">
        <v>11</v>
      </c>
      <c r="D3558" t="str">
        <f>HYPERLINK("https://us2.cloudbeds.com/connect/10074733072513#/reservations/30684238549238?display=Joe%20Donnell&amp;reservation_id=30684238549238&amp;guest_id=30684238549233", "Joe Donnell")</f>
        <v>Joe Donnell</v>
      </c>
      <c r="E3558" t="s">
        <v>1319</v>
      </c>
      <c r="F3558" t="s">
        <v>4086</v>
      </c>
      <c r="G3558">
        <v>71.45</v>
      </c>
      <c r="H3558">
        <v>77.66</v>
      </c>
      <c r="I3558">
        <v>77.67</v>
      </c>
      <c r="J3558">
        <v>-0.01</v>
      </c>
    </row>
    <row r="3559" spans="1:10" x14ac:dyDescent="0.3">
      <c r="A3559" t="str">
        <f>HYPERLINK("https://us2.cloudbeds.com/connect/10074733072513#/reservations/30684471271620?display=YQWCBVB8B&amp;reservation_id=30684471271620", "YQWCBVB8B")</f>
        <v>YQWCBVB8B</v>
      </c>
      <c r="B3559" t="s">
        <v>10</v>
      </c>
      <c r="C3559" t="s">
        <v>11</v>
      </c>
      <c r="D3559" t="str">
        <f>HYPERLINK("https://us2.cloudbeds.com/connect/10074733072513#/reservations/30684471271620?display=Lonnie%20Goodfellow&amp;reservation_id=30684471271620&amp;guest_id=30684471271618", "Lonnie Goodfellow")</f>
        <v>Lonnie Goodfellow</v>
      </c>
      <c r="E3559" t="s">
        <v>1319</v>
      </c>
      <c r="F3559" t="s">
        <v>4029</v>
      </c>
      <c r="G3559">
        <v>71.45</v>
      </c>
      <c r="H3559">
        <v>77.66</v>
      </c>
      <c r="I3559">
        <v>77.67</v>
      </c>
      <c r="J3559">
        <v>-0.01</v>
      </c>
    </row>
    <row r="3560" spans="1:10" x14ac:dyDescent="0.3">
      <c r="A3560" t="str">
        <f>HYPERLINK("https://us2.cloudbeds.com/connect/10074733072513#/reservations/30681949929605?display=YQUDUT9AS&amp;reservation_id=30681949929605", "YQUDUT9AS")</f>
        <v>YQUDUT9AS</v>
      </c>
      <c r="B3560" t="s">
        <v>10</v>
      </c>
      <c r="C3560" t="s">
        <v>20</v>
      </c>
      <c r="D3560" t="str">
        <f>HYPERLINK("https://us2.cloudbeds.com/connect/10074733072513#/reservations/30681949929605?display=Becca%20Schulz&amp;reservation_id=30681949929605&amp;guest_id=30681942003949", "Becca Schulz")</f>
        <v>Becca Schulz</v>
      </c>
      <c r="E3560" t="s">
        <v>4120</v>
      </c>
      <c r="F3560" t="s">
        <v>2633</v>
      </c>
      <c r="G3560">
        <v>143.65</v>
      </c>
      <c r="H3560">
        <v>156.13999999999999</v>
      </c>
      <c r="I3560">
        <v>156.15</v>
      </c>
      <c r="J3560">
        <v>-0.01</v>
      </c>
    </row>
    <row r="3561" spans="1:10" x14ac:dyDescent="0.3">
      <c r="A3561" t="str">
        <f>HYPERLINK("https://us2.cloudbeds.com/connect/10074733072513#/reservations/30683681444017?display=YQVP5V7CX&amp;reservation_id=30683681444017", "YQVP5V7CX")</f>
        <v>YQVP5V7CX</v>
      </c>
      <c r="B3561" t="s">
        <v>10</v>
      </c>
      <c r="C3561" t="s">
        <v>11</v>
      </c>
      <c r="D3561" t="str">
        <f>HYPERLINK("https://us2.cloudbeds.com/connect/10074733072513#/reservations/30683681444017?display=Matthew%20Neil&amp;reservation_id=30683681444017&amp;guest_id=30683681444011", "Matthew Neil")</f>
        <v>Matthew Neil</v>
      </c>
      <c r="E3561" t="s">
        <v>1319</v>
      </c>
      <c r="F3561" t="s">
        <v>4029</v>
      </c>
      <c r="G3561">
        <v>71.45</v>
      </c>
      <c r="H3561">
        <v>77.66</v>
      </c>
      <c r="I3561">
        <v>77.67</v>
      </c>
      <c r="J3561">
        <v>-0.01</v>
      </c>
    </row>
    <row r="3562" spans="1:10" x14ac:dyDescent="0.3">
      <c r="A3562" t="str">
        <f>HYPERLINK("https://us2.cloudbeds.com/connect/10074733072513#/reservations/30683946750179?display=YQVVVYP17&amp;reservation_id=30683946750179", "YQVVVYP17")</f>
        <v>YQVVVYP17</v>
      </c>
      <c r="B3562" t="s">
        <v>10</v>
      </c>
      <c r="C3562" t="s">
        <v>20</v>
      </c>
      <c r="D3562" t="str">
        <f>HYPERLINK("https://us2.cloudbeds.com/connect/10074733072513#/reservations/30683946750179?display=Dwight%20Luxon&amp;reservation_id=30683946750179&amp;guest_id=30683946750174", "Dwight Luxon")</f>
        <v>Dwight Luxon</v>
      </c>
      <c r="E3562" t="s">
        <v>4153</v>
      </c>
      <c r="F3562" t="s">
        <v>2633</v>
      </c>
      <c r="G3562">
        <v>169.15</v>
      </c>
      <c r="H3562">
        <v>183.86</v>
      </c>
      <c r="I3562">
        <v>183.87</v>
      </c>
      <c r="J3562">
        <v>-0.01</v>
      </c>
    </row>
    <row r="3563" spans="1:10" x14ac:dyDescent="0.3">
      <c r="A3563" t="str">
        <f>HYPERLINK("https://us2.cloudbeds.com/connect/10074733072513#/reservations/30682436440217?display=YQUQC456M&amp;reservation_id=30682436440217", "YQUQC456M")</f>
        <v>YQUQC456M</v>
      </c>
      <c r="B3563" t="s">
        <v>10</v>
      </c>
      <c r="C3563" t="s">
        <v>23</v>
      </c>
      <c r="D3563" t="str">
        <f>HYPERLINK("https://us2.cloudbeds.com/connect/10074733072513#/reservations/30682436440217?display=Josh%20Few&amp;reservation_id=30682436440217&amp;guest_id=30682436440212", "Josh Few")</f>
        <v>Josh Few</v>
      </c>
      <c r="E3563" t="s">
        <v>4154</v>
      </c>
      <c r="F3563" t="s">
        <v>3688</v>
      </c>
      <c r="G3563">
        <v>170.1</v>
      </c>
      <c r="H3563">
        <v>184.89</v>
      </c>
      <c r="I3563">
        <v>184.9</v>
      </c>
      <c r="J3563">
        <v>-0.01</v>
      </c>
    </row>
    <row r="3564" spans="1:10" x14ac:dyDescent="0.3">
      <c r="A3564" t="str">
        <f>HYPERLINK("https://us2.cloudbeds.com/connect/10074733072513#/reservations/31674160803987?display=MH6N7CG38&amp;reservation_id=31674160803987", "MH6N7CG38")</f>
        <v>MH6N7CG38</v>
      </c>
      <c r="B3564" t="s">
        <v>10</v>
      </c>
      <c r="C3564" t="s">
        <v>11</v>
      </c>
      <c r="D3564" t="str">
        <f>HYPERLINK("https://us2.cloudbeds.com/connect/10074733072513#/reservations/31674160803987?display=Sylvan%20Dehaai&amp;reservation_id=31674160803987&amp;guest_id=31674160803968", "Sylvan Dehaai")</f>
        <v>Sylvan Dehaai</v>
      </c>
      <c r="E3564" t="s">
        <v>4168</v>
      </c>
      <c r="F3564" t="s">
        <v>4141</v>
      </c>
      <c r="G3564">
        <v>134.1</v>
      </c>
      <c r="H3564">
        <v>145.76</v>
      </c>
      <c r="I3564">
        <v>145.77000000000001</v>
      </c>
      <c r="J3564">
        <v>-0.01</v>
      </c>
    </row>
    <row r="3565" spans="1:10" x14ac:dyDescent="0.3">
      <c r="A3565" t="str">
        <f>HYPERLINK("https://us2.cloudbeds.com/connect/10074733072513#/reservations/30683187896496?display=YQVCXPHN2&amp;reservation_id=30683187896496", "YQVCXPHN2")</f>
        <v>YQVCXPHN2</v>
      </c>
      <c r="B3565" t="s">
        <v>10</v>
      </c>
      <c r="C3565" t="s">
        <v>23</v>
      </c>
      <c r="D3565" t="str">
        <f>HYPERLINK("https://us2.cloudbeds.com/connect/10074733072513#/reservations/30683187896496?display=Sheila%20Boyd&amp;reservation_id=30683187896496&amp;guest_id=30683178148064", "Sheila Boyd")</f>
        <v>Sheila Boyd</v>
      </c>
      <c r="E3565" t="s">
        <v>4060</v>
      </c>
      <c r="F3565" t="s">
        <v>3707</v>
      </c>
      <c r="G3565">
        <v>134.1</v>
      </c>
      <c r="H3565">
        <v>145.76</v>
      </c>
      <c r="I3565">
        <v>145.77000000000001</v>
      </c>
      <c r="J3565">
        <v>-0.01</v>
      </c>
    </row>
    <row r="3566" spans="1:10" x14ac:dyDescent="0.3">
      <c r="A3566" t="str">
        <f>HYPERLINK("https://us2.cloudbeds.com/connect/10074733072513#/reservations/30681904595078?display=YQUCPYPRA&amp;reservation_id=30681904595078", "YQUCPYPRA")</f>
        <v>YQUCPYPRA</v>
      </c>
      <c r="B3566" t="s">
        <v>10</v>
      </c>
      <c r="C3566" t="s">
        <v>14</v>
      </c>
      <c r="D3566" t="str">
        <f>HYPERLINK("https://us2.cloudbeds.com/connect/10074733072513#/reservations/30681904595078?display=Richard%20Koele&amp;reservation_id=30681904595078&amp;guest_id=30681904595076", "Richard Koele")</f>
        <v>Richard Koele</v>
      </c>
      <c r="E3566" t="s">
        <v>4176</v>
      </c>
      <c r="F3566" t="s">
        <v>3760</v>
      </c>
      <c r="G3566">
        <v>240.32</v>
      </c>
      <c r="H3566">
        <v>261.22000000000003</v>
      </c>
      <c r="I3566">
        <v>261.23</v>
      </c>
      <c r="J3566">
        <v>-0.01</v>
      </c>
    </row>
    <row r="3567" spans="1:10" x14ac:dyDescent="0.3">
      <c r="A3567" t="str">
        <f>HYPERLINK("https://us2.cloudbeds.com/connect/10074733072513#/reservations/30683506962560?display=YQVKNQTVG&amp;reservation_id=30683506962560", "YQVKNQTVG")</f>
        <v>YQVKNQTVG</v>
      </c>
      <c r="B3567" t="s">
        <v>10</v>
      </c>
      <c r="C3567" t="s">
        <v>23</v>
      </c>
      <c r="D3567" t="str">
        <f>HYPERLINK("https://us2.cloudbeds.com/connect/10074733072513#/reservations/30683506962560?display=Bryan%20Vanweerdhuizen&amp;reservation_id=30683506962560&amp;guest_id=30683506958523", "Bryan Vanweerdhuizen")</f>
        <v>Bryan Vanweerdhuizen</v>
      </c>
      <c r="E3567" t="s">
        <v>4187</v>
      </c>
      <c r="F3567" t="s">
        <v>3981</v>
      </c>
      <c r="G3567">
        <v>250.2</v>
      </c>
      <c r="H3567">
        <v>271.95999999999998</v>
      </c>
      <c r="I3567">
        <v>271.97000000000003</v>
      </c>
      <c r="J3567">
        <v>-0.01</v>
      </c>
    </row>
    <row r="3568" spans="1:10" x14ac:dyDescent="0.3">
      <c r="A3568" t="str">
        <f>HYPERLINK("https://us2.cloudbeds.com/connect/10074733072513#/reservations/30681512001702?display=YQU2ZK9MB&amp;reservation_id=30681512001702", "YQU2ZK9MB")</f>
        <v>YQU2ZK9MB</v>
      </c>
      <c r="B3568" t="s">
        <v>10</v>
      </c>
      <c r="C3568" t="s">
        <v>17</v>
      </c>
      <c r="D3568" t="str">
        <f>HYPERLINK("https://us2.cloudbeds.com/connect/10074733072513#/reservations/30681512001702?display=Sonya%20Rustad&amp;reservation_id=30681512001702&amp;guest_id=30681512001697", "Sonya Rustad")</f>
        <v>Sonya Rustad</v>
      </c>
      <c r="E3568" t="s">
        <v>4191</v>
      </c>
      <c r="F3568" t="s">
        <v>4013</v>
      </c>
      <c r="G3568">
        <v>134.1</v>
      </c>
      <c r="H3568">
        <v>145.76</v>
      </c>
      <c r="I3568">
        <v>145.77000000000001</v>
      </c>
      <c r="J3568">
        <v>-0.01</v>
      </c>
    </row>
    <row r="3569" spans="1:10" x14ac:dyDescent="0.3">
      <c r="A3569" t="str">
        <f>HYPERLINK("https://us2.cloudbeds.com/connect/10074733072513#/reservations/30681566994655?display=YQU44WX8F&amp;reservation_id=30681566994655", "YQU44WX8F")</f>
        <v>YQU44WX8F</v>
      </c>
      <c r="B3569" t="s">
        <v>10</v>
      </c>
      <c r="C3569" t="s">
        <v>14</v>
      </c>
      <c r="D3569" t="str">
        <f>HYPERLINK("https://us2.cloudbeds.com/connect/10074733072513#/reservations/30681566994655?display=Amanda%20Roark&amp;reservation_id=30681566994655&amp;guest_id=30663056552110", "Amanda Roark")</f>
        <v>Amanda Roark</v>
      </c>
      <c r="E3569" t="s">
        <v>4203</v>
      </c>
      <c r="F3569" t="s">
        <v>4013</v>
      </c>
      <c r="G3569">
        <v>134.1</v>
      </c>
      <c r="H3569">
        <v>145.76</v>
      </c>
      <c r="I3569">
        <v>145.77000000000001</v>
      </c>
      <c r="J3569">
        <v>-0.01</v>
      </c>
    </row>
    <row r="3570" spans="1:10" x14ac:dyDescent="0.3">
      <c r="A3570" t="str">
        <f>HYPERLINK("https://us2.cloudbeds.com/connect/10074733072513#/reservations/30681543848078?display=YQU3XFFC1&amp;reservation_id=30681543848078", "YQU3XFFC1")</f>
        <v>YQU3XFFC1</v>
      </c>
      <c r="B3570" t="s">
        <v>10</v>
      </c>
      <c r="C3570" t="s">
        <v>11</v>
      </c>
      <c r="D3570" t="str">
        <f>HYPERLINK("https://us2.cloudbeds.com/connect/10074733072513#/reservations/30681543848078?display=Misty%20Cauthren&amp;reservation_id=30681543848078&amp;guest_id=30681535672566", "Misty Cauthren")</f>
        <v>Misty Cauthren</v>
      </c>
      <c r="E3570" t="s">
        <v>4213</v>
      </c>
      <c r="F3570" t="s">
        <v>4134</v>
      </c>
      <c r="G3570">
        <v>94.16</v>
      </c>
      <c r="H3570">
        <v>102.34</v>
      </c>
      <c r="I3570">
        <v>102.35</v>
      </c>
      <c r="J3570">
        <v>-0.01</v>
      </c>
    </row>
    <row r="3571" spans="1:10" x14ac:dyDescent="0.3">
      <c r="A3571" t="str">
        <f>HYPERLINK("https://us2.cloudbeds.com/connect/10074733072513#/reservations/30682426175646?display=YQUQ3FHH2&amp;reservation_id=30682426175646", "YQUQ3FHH2")</f>
        <v>YQUQ3FHH2</v>
      </c>
      <c r="B3571" t="s">
        <v>10</v>
      </c>
      <c r="C3571" t="s">
        <v>11</v>
      </c>
      <c r="D3571" t="str">
        <f>HYPERLINK("https://us2.cloudbeds.com/connect/10074733072513#/reservations/30682426175646?display=Cory%20Stinar&amp;reservation_id=30682426175646&amp;guest_id=30682426175644", "Cory Stinar")</f>
        <v>Cory Stinar</v>
      </c>
      <c r="E3571" t="s">
        <v>4214</v>
      </c>
      <c r="F3571" t="s">
        <v>4155</v>
      </c>
      <c r="G3571">
        <v>110.29</v>
      </c>
      <c r="H3571">
        <v>119.88</v>
      </c>
      <c r="I3571">
        <v>119.89</v>
      </c>
      <c r="J3571">
        <v>-0.01</v>
      </c>
    </row>
    <row r="3572" spans="1:10" x14ac:dyDescent="0.3">
      <c r="A3572" t="str">
        <f>HYPERLINK("https://us2.cloudbeds.com/connect/10074733072513#/reservations/30681252319471?display=YQTT3Y8AR&amp;reservation_id=30681252319471", "YQTT3Y8AR")</f>
        <v>YQTT3Y8AR</v>
      </c>
      <c r="B3572" t="s">
        <v>10</v>
      </c>
      <c r="C3572" t="s">
        <v>42</v>
      </c>
      <c r="D3572" t="str">
        <f>HYPERLINK("https://us2.cloudbeds.com/connect/10074733072513#/reservations/30681252319471?display=Ida%20Mae%20Plate&amp;reservation_id=30681252319471&amp;guest_id=30680172179607", "Ida Mae Plate")</f>
        <v>Ida Mae Plate</v>
      </c>
      <c r="E3572" t="s">
        <v>4215</v>
      </c>
      <c r="F3572" t="s">
        <v>4216</v>
      </c>
      <c r="G3572">
        <v>500.4</v>
      </c>
      <c r="H3572">
        <v>543.91999999999996</v>
      </c>
      <c r="I3572">
        <v>543.92999999999995</v>
      </c>
      <c r="J3572">
        <v>-0.01</v>
      </c>
    </row>
    <row r="3573" spans="1:10" x14ac:dyDescent="0.3">
      <c r="A3573" t="str">
        <f>HYPERLINK("https://us2.cloudbeds.com/connect/10074733072513#/reservations/30682852462753?display=YQV3WUJZ5&amp;reservation_id=30682852462753", "YQV3WUJZ5")</f>
        <v>YQV3WUJZ5</v>
      </c>
      <c r="B3573" t="s">
        <v>10</v>
      </c>
      <c r="C3573" t="s">
        <v>17</v>
      </c>
      <c r="D3573" t="str">
        <f>HYPERLINK("https://us2.cloudbeds.com/connect/10074733072513#/reservations/30682852462753?display=Jeffery%20Tanner&amp;reservation_id=30682852462753&amp;guest_id=30682852462748", "Jeffery Tanner")</f>
        <v>Jeffery Tanner</v>
      </c>
      <c r="E3573" t="s">
        <v>4217</v>
      </c>
      <c r="F3573" t="s">
        <v>3881</v>
      </c>
      <c r="G3573">
        <v>396.3</v>
      </c>
      <c r="H3573">
        <v>430.77</v>
      </c>
      <c r="I3573">
        <v>430.78</v>
      </c>
      <c r="J3573">
        <v>-0.01</v>
      </c>
    </row>
    <row r="3574" spans="1:10" x14ac:dyDescent="0.3">
      <c r="A3574" t="str">
        <f>HYPERLINK("https://us2.cloudbeds.com/connect/10074733072513#/reservations/30682254409862?display=YQUYNKTHA&amp;reservation_id=30682254409862", "YQUYNKTHA")</f>
        <v>YQUYNKTHA</v>
      </c>
      <c r="B3574" t="s">
        <v>10</v>
      </c>
      <c r="C3574" t="s">
        <v>42</v>
      </c>
      <c r="D3574" t="str">
        <f>HYPERLINK("https://us2.cloudbeds.com/connect/10074733072513#/reservations/30682254409862?display=Dennis%20Calhoon&amp;reservation_id=30682254409862&amp;guest_id=30682254405781", "Dennis Calhoon")</f>
        <v>Dennis Calhoon</v>
      </c>
      <c r="E3574" t="s">
        <v>4221</v>
      </c>
      <c r="F3574" t="s">
        <v>3343</v>
      </c>
      <c r="G3574">
        <v>292.14999999999998</v>
      </c>
      <c r="H3574">
        <v>317.56</v>
      </c>
      <c r="I3574">
        <v>317.57</v>
      </c>
      <c r="J3574">
        <v>-0.01</v>
      </c>
    </row>
    <row r="3575" spans="1:10" x14ac:dyDescent="0.3">
      <c r="A3575" t="str">
        <f>HYPERLINK("https://us2.cloudbeds.com/connect/10074733072513#/reservations/30681558425728?display=YQU3ZJYTM&amp;reservation_id=30681558425728", "YQU3ZJYTM")</f>
        <v>YQU3ZJYTM</v>
      </c>
      <c r="B3575" t="s">
        <v>10</v>
      </c>
      <c r="C3575" t="s">
        <v>17</v>
      </c>
      <c r="D3575" t="str">
        <f>HYPERLINK("https://us2.cloudbeds.com/connect/10074733072513#/reservations/30681558425728?display=Einar%20Hanson&amp;reservation_id=30681558425728&amp;guest_id=30681551114463", "Einar Hanson")</f>
        <v>Einar Hanson</v>
      </c>
      <c r="E3575" t="s">
        <v>4224</v>
      </c>
      <c r="F3575" t="s">
        <v>4013</v>
      </c>
      <c r="G3575">
        <v>144.1</v>
      </c>
      <c r="H3575">
        <v>156.63</v>
      </c>
      <c r="I3575">
        <v>156.63999999999999</v>
      </c>
      <c r="J3575">
        <v>-0.01</v>
      </c>
    </row>
    <row r="3576" spans="1:10" x14ac:dyDescent="0.3">
      <c r="A3576" t="str">
        <f>HYPERLINK("https://us2.cloudbeds.com/connect/10074733072513#/reservations/30683231133894?display=YQVDM7MF8&amp;reservation_id=30683231133894", "YQVDM7MF8")</f>
        <v>YQVDM7MF8</v>
      </c>
      <c r="B3576" t="s">
        <v>10</v>
      </c>
      <c r="C3576" t="s">
        <v>20</v>
      </c>
      <c r="D3576" t="str">
        <f>HYPERLINK("https://us2.cloudbeds.com/connect/10074733072513#/reservations/30683231133894?display=Amanda%20Binder&amp;reservation_id=30683231133894&amp;guest_id=30683231133889", "Amanda Binder")</f>
        <v>Amanda Binder</v>
      </c>
      <c r="E3576" t="s">
        <v>4227</v>
      </c>
      <c r="F3576" t="s">
        <v>4179</v>
      </c>
      <c r="G3576">
        <v>112.24</v>
      </c>
      <c r="H3576">
        <v>121.99</v>
      </c>
      <c r="I3576">
        <v>122</v>
      </c>
      <c r="J3576">
        <v>-0.01</v>
      </c>
    </row>
    <row r="3577" spans="1:10" x14ac:dyDescent="0.3">
      <c r="A3577" t="str">
        <f>HYPERLINK("https://us2.cloudbeds.com/connect/10074733072513#/reservations/30683136545011?display=YQVB8FJWF&amp;reservation_id=30683136545011", "YQVB8FJWF")</f>
        <v>YQVB8FJWF</v>
      </c>
      <c r="B3577" t="s">
        <v>10</v>
      </c>
      <c r="C3577" t="s">
        <v>17</v>
      </c>
      <c r="D3577" t="str">
        <f>HYPERLINK("https://us2.cloudbeds.com/connect/10074733072513#/reservations/30683136545011?display=Faye%20Huether&amp;reservation_id=30683136545011&amp;guest_id=30683136545009", "Faye Huether")</f>
        <v>Faye Huether</v>
      </c>
      <c r="E3577" t="s">
        <v>4228</v>
      </c>
      <c r="F3577" t="s">
        <v>3922</v>
      </c>
      <c r="G3577">
        <v>134.1</v>
      </c>
      <c r="H3577">
        <v>145.76</v>
      </c>
      <c r="I3577">
        <v>145.77000000000001</v>
      </c>
      <c r="J3577">
        <v>-0.01</v>
      </c>
    </row>
    <row r="3578" spans="1:10" x14ac:dyDescent="0.3">
      <c r="A3578" t="str">
        <f>HYPERLINK("https://us2.cloudbeds.com/connect/10074733072513#/reservations/30682769719505?display=YQV1T54Q1&amp;reservation_id=30682769719505", "YQV1T54Q1")</f>
        <v>YQV1T54Q1</v>
      </c>
      <c r="B3578" t="s">
        <v>10</v>
      </c>
      <c r="C3578" t="s">
        <v>11</v>
      </c>
      <c r="D3578" t="str">
        <f>HYPERLINK("https://us2.cloudbeds.com/connect/10074733072513#/reservations/30682769719505?display=Scott%20Erikson&amp;reservation_id=30682769719505&amp;guest_id=30682769715414", "Scott Erikson")</f>
        <v>Scott Erikson</v>
      </c>
      <c r="E3578" t="s">
        <v>4238</v>
      </c>
      <c r="F3578" t="s">
        <v>4239</v>
      </c>
      <c r="G3578">
        <v>114.15</v>
      </c>
      <c r="H3578">
        <v>124.07</v>
      </c>
      <c r="I3578">
        <v>124.08</v>
      </c>
      <c r="J3578">
        <v>-0.01</v>
      </c>
    </row>
    <row r="3579" spans="1:10" x14ac:dyDescent="0.3">
      <c r="A3579" t="str">
        <f>HYPERLINK("https://us2.cloudbeds.com/connect/10074733072513#/reservations/30683292885123?display=YQVF89WWK&amp;reservation_id=30683292885123", "YQVF89WWK")</f>
        <v>YQVF89WWK</v>
      </c>
      <c r="B3579" t="s">
        <v>10</v>
      </c>
      <c r="C3579" t="s">
        <v>14</v>
      </c>
      <c r="D3579" t="str">
        <f>HYPERLINK("https://us2.cloudbeds.com/connect/10074733072513#/reservations/30683292885123?display=Jane%20Hille&amp;reservation_id=30683292885123&amp;guest_id=30683285856482", "Jane Hille")</f>
        <v>Jane Hille</v>
      </c>
      <c r="E3579" t="s">
        <v>4240</v>
      </c>
      <c r="F3579" t="s">
        <v>4237</v>
      </c>
      <c r="G3579">
        <v>220.58</v>
      </c>
      <c r="H3579">
        <v>239.76</v>
      </c>
      <c r="I3579">
        <v>239.77</v>
      </c>
      <c r="J3579">
        <v>-0.01</v>
      </c>
    </row>
    <row r="3580" spans="1:10" x14ac:dyDescent="0.3">
      <c r="A3580" t="str">
        <f>HYPERLINK("https://us2.cloudbeds.com/connect/10074733072513#/reservations/30683416899836?display=YQVXDSTE7&amp;reservation_id=30683416899836", "YQVXDSTE7")</f>
        <v>YQVXDSTE7</v>
      </c>
      <c r="B3580" t="s">
        <v>10</v>
      </c>
      <c r="C3580" t="s">
        <v>11</v>
      </c>
      <c r="D3580" t="str">
        <f>HYPERLINK("https://us2.cloudbeds.com/connect/10074733072513#/reservations/30683416899836?display=Clark%20Fossand&amp;reservation_id=30683416899836&amp;guest_id=30683416899777", "Clark Fossand")</f>
        <v>Clark Fossand</v>
      </c>
      <c r="E3580" t="s">
        <v>1319</v>
      </c>
      <c r="F3580" t="s">
        <v>3820</v>
      </c>
      <c r="G3580">
        <v>71.45</v>
      </c>
      <c r="H3580">
        <v>77.66</v>
      </c>
      <c r="I3580">
        <v>77.67</v>
      </c>
      <c r="J3580">
        <v>-0.01</v>
      </c>
    </row>
    <row r="3581" spans="1:10" x14ac:dyDescent="0.3">
      <c r="A3581" t="str">
        <f>HYPERLINK("https://us2.cloudbeds.com/connect/10074733072513#/reservations/30682618941638?display=YQUV10HEP&amp;reservation_id=30682618941638", "YQUV10HEP")</f>
        <v>YQUV10HEP</v>
      </c>
      <c r="B3581" t="s">
        <v>10</v>
      </c>
      <c r="C3581" t="s">
        <v>42</v>
      </c>
      <c r="D3581" t="str">
        <f>HYPERLINK("https://us2.cloudbeds.com/connect/10074733072513#/reservations/30682618941638?display=Diana%20Brown&amp;reservation_id=30682618941638&amp;guest_id=30682610507911", "Diana Brown")</f>
        <v>Diana Brown</v>
      </c>
      <c r="E3581" t="s">
        <v>4259</v>
      </c>
      <c r="F3581" t="s">
        <v>3171</v>
      </c>
      <c r="G3581">
        <v>134.1</v>
      </c>
      <c r="H3581">
        <v>145.76</v>
      </c>
      <c r="I3581">
        <v>145.77000000000001</v>
      </c>
      <c r="J3581">
        <v>-0.01</v>
      </c>
    </row>
    <row r="3582" spans="1:10" x14ac:dyDescent="0.3">
      <c r="A3582" t="str">
        <f>HYPERLINK("https://us2.cloudbeds.com/connect/10074733072513#/reservations/30683405070482?display=YQVX3TNRV&amp;reservation_id=30683405070482", "YQVX3TNRV")</f>
        <v>YQVX3TNRV</v>
      </c>
      <c r="B3582" t="s">
        <v>10</v>
      </c>
      <c r="C3582" t="s">
        <v>11</v>
      </c>
      <c r="D3582" t="str">
        <f>HYPERLINK("https://us2.cloudbeds.com/connect/10074733072513#/reservations/30683405070482?display=John%20Schroeder&amp;reservation_id=30683405070482&amp;guest_id=30683405070479", "John Schroeder")</f>
        <v>John Schroeder</v>
      </c>
      <c r="E3582" t="s">
        <v>1319</v>
      </c>
      <c r="F3582" t="s">
        <v>3820</v>
      </c>
      <c r="G3582">
        <v>71.45</v>
      </c>
      <c r="H3582">
        <v>77.66</v>
      </c>
      <c r="I3582">
        <v>77.67</v>
      </c>
      <c r="J3582">
        <v>-0.01</v>
      </c>
    </row>
    <row r="3583" spans="1:10" x14ac:dyDescent="0.3">
      <c r="A3583" t="str">
        <f>HYPERLINK("https://us2.cloudbeds.com/connect/10074733072513#/reservations/30682828746912?display=YQV3CUM3B&amp;reservation_id=30682828746912", "YQV3CUM3B")</f>
        <v>YQV3CUM3B</v>
      </c>
      <c r="B3583" t="s">
        <v>10</v>
      </c>
      <c r="C3583" t="s">
        <v>23</v>
      </c>
      <c r="D3583" t="str">
        <f>HYPERLINK("https://us2.cloudbeds.com/connect/10074733072513#/reservations/30682828746912?display=Julie%20Snavely&amp;reservation_id=30682828746912&amp;guest_id=30682828746910", "Julie Snavely")</f>
        <v>Julie Snavely</v>
      </c>
      <c r="E3583" t="s">
        <v>3933</v>
      </c>
      <c r="F3583" t="s">
        <v>3881</v>
      </c>
      <c r="G3583">
        <v>268.2</v>
      </c>
      <c r="H3583">
        <v>291.52</v>
      </c>
      <c r="I3583">
        <v>291.52999999999997</v>
      </c>
      <c r="J3583">
        <v>-0.01</v>
      </c>
    </row>
    <row r="3584" spans="1:10" x14ac:dyDescent="0.3">
      <c r="A3584" t="str">
        <f>HYPERLINK("https://us2.cloudbeds.com/connect/10074733072513#/reservations/30683207647391?display=YQVD2E4E1&amp;reservation_id=30683207647391", "YQVD2E4E1")</f>
        <v>YQVD2E4E1</v>
      </c>
      <c r="B3584" t="s">
        <v>10</v>
      </c>
      <c r="C3584" t="s">
        <v>11</v>
      </c>
      <c r="D3584" t="str">
        <f>HYPERLINK("https://us2.cloudbeds.com/connect/10074733072513#/reservations/30683207647391?display=Darin%20Demille&amp;reservation_id=30683207647391&amp;guest_id=30683201765575", "Darin Demille")</f>
        <v>Darin Demille</v>
      </c>
      <c r="E3584" t="s">
        <v>1319</v>
      </c>
      <c r="F3584" t="s">
        <v>3922</v>
      </c>
      <c r="G3584">
        <v>94.16</v>
      </c>
      <c r="H3584">
        <v>102.34</v>
      </c>
      <c r="I3584">
        <v>102.35</v>
      </c>
      <c r="J3584">
        <v>-0.01</v>
      </c>
    </row>
    <row r="3585" spans="1:10" x14ac:dyDescent="0.3">
      <c r="A3585" t="str">
        <f>HYPERLINK("https://us2.cloudbeds.com/connect/10074733072513#/reservations/30683201761481?display=YQVCUFBX4&amp;reservation_id=30683201761481", "YQVCUFBX4")</f>
        <v>YQVCUFBX4</v>
      </c>
      <c r="B3585" t="s">
        <v>10</v>
      </c>
      <c r="C3585" t="s">
        <v>11</v>
      </c>
      <c r="D3585" t="str">
        <f>HYPERLINK("https://us2.cloudbeds.com/connect/10074733072513#/reservations/30683201761481?display=Lee%20Rowse&amp;reservation_id=30683201761481&amp;guest_id=30683196571889", "Lee Rowse")</f>
        <v>Lee Rowse</v>
      </c>
      <c r="E3585" t="s">
        <v>1319</v>
      </c>
      <c r="F3585" t="s">
        <v>3922</v>
      </c>
      <c r="G3585">
        <v>94.16</v>
      </c>
      <c r="H3585">
        <v>102.34</v>
      </c>
      <c r="I3585">
        <v>102.35</v>
      </c>
      <c r="J3585">
        <v>-0.01</v>
      </c>
    </row>
    <row r="3586" spans="1:10" x14ac:dyDescent="0.3">
      <c r="A3586" t="str">
        <f>HYPERLINK("https://us2.cloudbeds.com/connect/10074733072513#/reservations/30683420418200?display=YQVXGRQ8A&amp;reservation_id=30683420418200", "YQVXGRQ8A")</f>
        <v>YQVXGRQ8A</v>
      </c>
      <c r="B3586" t="s">
        <v>10</v>
      </c>
      <c r="C3586" t="s">
        <v>11</v>
      </c>
      <c r="D3586" t="str">
        <f>HYPERLINK("https://us2.cloudbeds.com/connect/10074733072513#/reservations/30683420418200?display=Steven%20Odinetz&amp;reservation_id=30683420418200&amp;guest_id=30683420418198", "Steven Odinetz")</f>
        <v>Steven Odinetz</v>
      </c>
      <c r="E3586" t="s">
        <v>1319</v>
      </c>
      <c r="F3586" t="s">
        <v>3820</v>
      </c>
      <c r="G3586">
        <v>71.45</v>
      </c>
      <c r="H3586">
        <v>77.66</v>
      </c>
      <c r="I3586">
        <v>77.67</v>
      </c>
      <c r="J3586">
        <v>-0.01</v>
      </c>
    </row>
    <row r="3587" spans="1:10" x14ac:dyDescent="0.3">
      <c r="A3587" t="str">
        <f>HYPERLINK("https://us2.cloudbeds.com/connect/10074733072513#/reservations/30682617004179?display=YQUUWCKAT&amp;reservation_id=30682617004179", "YQUUWCKAT")</f>
        <v>YQUUWCKAT</v>
      </c>
      <c r="B3587" t="s">
        <v>10</v>
      </c>
      <c r="C3587" t="s">
        <v>42</v>
      </c>
      <c r="D3587" t="str">
        <f>HYPERLINK("https://us2.cloudbeds.com/connect/10074733072513#/reservations/30682617004179?display=Spencer%20Weiscedel&amp;reservation_id=30682617004179&amp;guest_id=30682613027003", "Spencer Weiscedel")</f>
        <v>Spencer Weiscedel</v>
      </c>
      <c r="E3587" t="s">
        <v>4277</v>
      </c>
      <c r="F3587" t="s">
        <v>3922</v>
      </c>
      <c r="G3587">
        <v>134.1</v>
      </c>
      <c r="H3587">
        <v>145.76</v>
      </c>
      <c r="I3587">
        <v>145.77000000000001</v>
      </c>
      <c r="J3587">
        <v>-0.01</v>
      </c>
    </row>
    <row r="3588" spans="1:10" x14ac:dyDescent="0.3">
      <c r="A3588" t="str">
        <f>HYPERLINK("https://us2.cloudbeds.com/connect/10074733072513#/reservations/30681464254594?display=YQU1HBYP9&amp;reservation_id=30681464254594", "YQU1HBYP9")</f>
        <v>YQU1HBYP9</v>
      </c>
      <c r="B3588" t="s">
        <v>10</v>
      </c>
      <c r="C3588" t="s">
        <v>42</v>
      </c>
      <c r="D3588" t="str">
        <f>HYPERLINK("https://us2.cloudbeds.com/connect/10074733072513#/reservations/30681464254594?display=Twilya%20Lewis&amp;reservation_id=30681464254594&amp;guest_id=30681464250498", "Twilya Lewis")</f>
        <v>Twilya Lewis</v>
      </c>
      <c r="E3588" t="s">
        <v>4285</v>
      </c>
      <c r="F3588" t="s">
        <v>3760</v>
      </c>
      <c r="G3588">
        <v>118.15</v>
      </c>
      <c r="H3588">
        <v>128.41999999999999</v>
      </c>
      <c r="I3588">
        <v>128.43</v>
      </c>
      <c r="J3588">
        <v>-0.01</v>
      </c>
    </row>
    <row r="3589" spans="1:10" x14ac:dyDescent="0.3">
      <c r="A3589" t="str">
        <f>HYPERLINK("https://us2.cloudbeds.com/connect/10074733072513#/reservations/30682426179741?display=YQUQ3FY95&amp;reservation_id=30682426179741", "YQUQ3FY95")</f>
        <v>YQUQ3FY95</v>
      </c>
      <c r="B3589" t="s">
        <v>10</v>
      </c>
      <c r="C3589" t="s">
        <v>11</v>
      </c>
      <c r="D3589" t="str">
        <f>HYPERLINK("https://us2.cloudbeds.com/connect/10074733072513#/reservations/30682426179741?display=Karen%20Sandate&amp;reservation_id=30682426179741&amp;guest_id=30682426179736", "Karen Sandate")</f>
        <v>Karen Sandate</v>
      </c>
      <c r="E3589" t="s">
        <v>4286</v>
      </c>
      <c r="F3589" t="s">
        <v>4155</v>
      </c>
      <c r="G3589">
        <v>110.29</v>
      </c>
      <c r="H3589">
        <v>119.88</v>
      </c>
      <c r="I3589">
        <v>119.89</v>
      </c>
      <c r="J3589">
        <v>-0.01</v>
      </c>
    </row>
    <row r="3590" spans="1:10" x14ac:dyDescent="0.3">
      <c r="A3590" t="str">
        <f>HYPERLINK("https://us2.cloudbeds.com/connect/10074733072513#/reservations/30681458532585?display=YQU1CHED2&amp;reservation_id=30681458532585", "YQU1CHED2")</f>
        <v>YQU1CHED2</v>
      </c>
      <c r="B3590" t="s">
        <v>10</v>
      </c>
      <c r="C3590" t="s">
        <v>42</v>
      </c>
      <c r="D3590" t="str">
        <f>HYPERLINK("https://us2.cloudbeds.com/connect/10074733072513#/reservations/30681458532585?display=Renae%20Bigge&amp;reservation_id=30681458532585&amp;guest_id=30681458532564", "Renae Bigge")</f>
        <v>Renae Bigge</v>
      </c>
      <c r="E3590" t="s">
        <v>4287</v>
      </c>
      <c r="F3590" t="s">
        <v>3760</v>
      </c>
      <c r="G3590">
        <v>134.1</v>
      </c>
      <c r="H3590">
        <v>145.76</v>
      </c>
      <c r="I3590">
        <v>145.77000000000001</v>
      </c>
      <c r="J3590">
        <v>-0.01</v>
      </c>
    </row>
    <row r="3591" spans="1:10" x14ac:dyDescent="0.3">
      <c r="A3591" t="str">
        <f>HYPERLINK("https://us2.cloudbeds.com/connect/10074733072513#/reservations/31675133698255?display=MH7F2ZN8Z&amp;reservation_id=31675133698255", "MH7F2ZN8Z")</f>
        <v>MH7F2ZN8Z</v>
      </c>
      <c r="B3591" t="s">
        <v>10</v>
      </c>
      <c r="C3591" t="s">
        <v>20</v>
      </c>
      <c r="D3591" t="str">
        <f>HYPERLINK("https://us2.cloudbeds.com/connect/10074733072513#/reservations/31675133698255?display=Kierra%20Vasvick&amp;reservation_id=31675133698255&amp;guest_id=31675125883071", "Kierra Vasvick")</f>
        <v>Kierra Vasvick</v>
      </c>
      <c r="E3591" t="s">
        <v>4302</v>
      </c>
      <c r="F3591" t="s">
        <v>4303</v>
      </c>
      <c r="G3591">
        <v>112.24</v>
      </c>
      <c r="H3591">
        <v>121.99</v>
      </c>
      <c r="I3591">
        <v>122</v>
      </c>
      <c r="J3591">
        <v>-0.01</v>
      </c>
    </row>
    <row r="3592" spans="1:10" x14ac:dyDescent="0.3">
      <c r="A3592" t="str">
        <f>HYPERLINK("https://us2.cloudbeds.com/connect/10074733072513#/reservations/30682259116166?display=YQUYRJS6J&amp;reservation_id=30682259116166", "YQUYRJS6J")</f>
        <v>YQUYRJS6J</v>
      </c>
      <c r="B3592" t="s">
        <v>10</v>
      </c>
      <c r="C3592" t="s">
        <v>14</v>
      </c>
      <c r="D3592" t="str">
        <f>HYPERLINK("https://us2.cloudbeds.com/connect/10074733072513#/reservations/30682259116166?display=Joyce%20Herbst&amp;reservation_id=30682259116166&amp;guest_id=30682259112073", "Joyce Herbst")</f>
        <v>Joyce Herbst</v>
      </c>
      <c r="E3592" t="s">
        <v>4305</v>
      </c>
      <c r="F3592" t="s">
        <v>3572</v>
      </c>
      <c r="G3592">
        <v>220.58</v>
      </c>
      <c r="H3592">
        <v>239.76</v>
      </c>
      <c r="I3592">
        <v>239.77</v>
      </c>
      <c r="J3592">
        <v>-0.01</v>
      </c>
    </row>
    <row r="3593" spans="1:10" x14ac:dyDescent="0.3">
      <c r="A3593" t="str">
        <f>HYPERLINK("https://us2.cloudbeds.com/connect/10074733072513#/reservations/30682453700780?display=YQUQQMF41&amp;reservation_id=30682453700780", "YQUQQMF41")</f>
        <v>YQUQQMF41</v>
      </c>
      <c r="B3593" t="s">
        <v>10</v>
      </c>
      <c r="C3593" t="s">
        <v>11</v>
      </c>
      <c r="D3593" t="str">
        <f>HYPERLINK("https://us2.cloudbeds.com/connect/10074733072513#/reservations/30682453700780?display=Chad%20Aldrich&amp;reservation_id=30682453700780&amp;guest_id=30681508045052", "Chad Aldrich")</f>
        <v>Chad Aldrich</v>
      </c>
      <c r="E3593" t="s">
        <v>4054</v>
      </c>
      <c r="F3593" t="s">
        <v>4155</v>
      </c>
      <c r="G3593">
        <v>71.45</v>
      </c>
      <c r="H3593">
        <v>77.66</v>
      </c>
      <c r="I3593">
        <v>77.67</v>
      </c>
      <c r="J3593">
        <v>-0.01</v>
      </c>
    </row>
    <row r="3594" spans="1:10" x14ac:dyDescent="0.3">
      <c r="A3594" t="str">
        <f>HYPERLINK("https://us2.cloudbeds.com/connect/10074733072513#/reservations/30681867665659?display=YQUBRH5H0&amp;reservation_id=30681867665659", "YQUBRH5H0")</f>
        <v>YQUBRH5H0</v>
      </c>
      <c r="B3594" t="s">
        <v>10</v>
      </c>
      <c r="C3594" t="s">
        <v>11</v>
      </c>
      <c r="D3594" t="str">
        <f>HYPERLINK("https://us2.cloudbeds.com/connect/10074733072513#/reservations/30681867665659?display=Andrea%20Alvarez&amp;reservation_id=30681867665659&amp;guest_id=30673371709596", "Andrea Alvarez")</f>
        <v>Andrea Alvarez</v>
      </c>
      <c r="E3594" t="s">
        <v>718</v>
      </c>
      <c r="F3594" t="s">
        <v>3881</v>
      </c>
      <c r="G3594">
        <v>103.2</v>
      </c>
      <c r="H3594">
        <v>112.17</v>
      </c>
      <c r="I3594">
        <v>112.18</v>
      </c>
      <c r="J3594">
        <v>-0.01</v>
      </c>
    </row>
    <row r="3595" spans="1:10" x14ac:dyDescent="0.3">
      <c r="A3595" t="str">
        <f>HYPERLINK("https://us2.cloudbeds.com/connect/10074733072513#/reservations/30682250481832?display=YQUYKAJH3&amp;reservation_id=30682250481832", "YQUYKAJH3")</f>
        <v>YQUYKAJH3</v>
      </c>
      <c r="B3595" t="s">
        <v>10</v>
      </c>
      <c r="C3595" t="s">
        <v>14</v>
      </c>
      <c r="D3595" t="str">
        <f>HYPERLINK("https://us2.cloudbeds.com/connect/10074733072513#/reservations/30682250481832?display=Stewart%20Waltner&amp;reservation_id=30682250481832&amp;guest_id=30678328025242", "Stewart Waltner")</f>
        <v>Stewart Waltner</v>
      </c>
      <c r="E3595" t="s">
        <v>4322</v>
      </c>
      <c r="F3595" t="s">
        <v>3572</v>
      </c>
      <c r="G3595">
        <v>244.56</v>
      </c>
      <c r="H3595">
        <v>265.83</v>
      </c>
      <c r="I3595">
        <v>265.83999999999997</v>
      </c>
      <c r="J3595">
        <v>-0.01</v>
      </c>
    </row>
    <row r="3596" spans="1:10" x14ac:dyDescent="0.3">
      <c r="A3596" t="str">
        <f>HYPERLINK("https://us2.cloudbeds.com/connect/10074733072513#/reservations/30682678059141?display=YQUWHSXG8&amp;reservation_id=30682678059141", "YQUWHSXG8")</f>
        <v>YQUWHSXG8</v>
      </c>
      <c r="B3596" t="s">
        <v>10</v>
      </c>
      <c r="C3596" t="s">
        <v>11</v>
      </c>
      <c r="D3596" t="str">
        <f>HYPERLINK("https://us2.cloudbeds.com/connect/10074733072513#/reservations/30682678059141?display=Ashley%20Jeppesen&amp;reservation_id=30682678059141&amp;guest_id=30682678059136", "Ashley Jeppesen")</f>
        <v>Ashley Jeppesen</v>
      </c>
      <c r="E3596" t="s">
        <v>1686</v>
      </c>
      <c r="F3596" t="s">
        <v>3171</v>
      </c>
      <c r="G3596">
        <v>103.2</v>
      </c>
      <c r="H3596">
        <v>112.17</v>
      </c>
      <c r="I3596">
        <v>112.18</v>
      </c>
      <c r="J3596">
        <v>-0.01</v>
      </c>
    </row>
    <row r="3597" spans="1:10" x14ac:dyDescent="0.3">
      <c r="A3597" t="str">
        <f>HYPERLINK("https://us2.cloudbeds.com/connect/10074733072513#/reservations/30682717208777?display=YQV0HSVXS&amp;reservation_id=30682717208777", "YQV0HSVXS")</f>
        <v>YQV0HSVXS</v>
      </c>
      <c r="B3597" t="s">
        <v>10</v>
      </c>
      <c r="C3597" t="s">
        <v>20</v>
      </c>
      <c r="D3597" t="str">
        <f>HYPERLINK("https://us2.cloudbeds.com/connect/10074733072513#/reservations/30682717208777?display=Melissa%20Anderson&amp;reservation_id=30682717208777&amp;guest_id=30682712195235", "Melissa Anderson")</f>
        <v>Melissa Anderson</v>
      </c>
      <c r="E3597" t="s">
        <v>4326</v>
      </c>
      <c r="F3597" t="s">
        <v>4283</v>
      </c>
      <c r="G3597">
        <v>118.15</v>
      </c>
      <c r="H3597">
        <v>128.41999999999999</v>
      </c>
      <c r="I3597">
        <v>128.43</v>
      </c>
      <c r="J3597">
        <v>-0.01</v>
      </c>
    </row>
    <row r="3598" spans="1:10" x14ac:dyDescent="0.3">
      <c r="A3598" t="str">
        <f>HYPERLINK("https://us2.cloudbeds.com/connect/10074733072513#/reservations/30682462462144?display=YQUR124ZZ&amp;reservation_id=30682462462144", "YQUR124ZZ")</f>
        <v>YQUR124ZZ</v>
      </c>
      <c r="B3598" t="s">
        <v>10</v>
      </c>
      <c r="C3598" t="s">
        <v>11</v>
      </c>
      <c r="D3598" t="str">
        <f>HYPERLINK("https://us2.cloudbeds.com/connect/10074733072513#/reservations/30682462462144?display=Morganna%20Kills%20In%20Water&amp;reservation_id=30682462462144&amp;guest_id=30682462458051", "Morganna Kills In Water")</f>
        <v>Morganna Kills In Water</v>
      </c>
      <c r="E3598" t="s">
        <v>4330</v>
      </c>
      <c r="F3598" t="s">
        <v>4155</v>
      </c>
      <c r="G3598">
        <v>71.45</v>
      </c>
      <c r="H3598">
        <v>77.66</v>
      </c>
      <c r="I3598">
        <v>77.67</v>
      </c>
      <c r="J3598">
        <v>-0.01</v>
      </c>
    </row>
    <row r="3599" spans="1:10" x14ac:dyDescent="0.3">
      <c r="A3599" t="str">
        <f>HYPERLINK("https://us2.cloudbeds.com/connect/10074733072513#/reservations/30682471542989?display=YQUR8NV51&amp;reservation_id=30682471542989", "YQUR8NV51")</f>
        <v>YQUR8NV51</v>
      </c>
      <c r="B3599" t="s">
        <v>10</v>
      </c>
      <c r="C3599" t="s">
        <v>11</v>
      </c>
      <c r="D3599" t="str">
        <f>HYPERLINK("https://us2.cloudbeds.com/connect/10074733072513#/reservations/30682471542989?display=Jeffery%20Charles%20Barthel&amp;reservation_id=30682471542989&amp;guest_id=30682471542987", "Jeffery Charles Barthel")</f>
        <v>Jeffery Charles Barthel</v>
      </c>
      <c r="E3599" t="s">
        <v>4336</v>
      </c>
      <c r="F3599" t="s">
        <v>4155</v>
      </c>
      <c r="G3599">
        <v>71.45</v>
      </c>
      <c r="H3599">
        <v>77.66</v>
      </c>
      <c r="I3599">
        <v>77.67</v>
      </c>
      <c r="J3599">
        <v>-0.01</v>
      </c>
    </row>
    <row r="3600" spans="1:10" x14ac:dyDescent="0.3">
      <c r="A3600" t="str">
        <f>HYPERLINK("https://us2.cloudbeds.com/connect/10074733072513#/reservations/31671937024189?display=MH4WD7HNY&amp;reservation_id=31671937024189", "MH4WD7HNY")</f>
        <v>MH4WD7HNY</v>
      </c>
      <c r="B3600" t="s">
        <v>10</v>
      </c>
      <c r="C3600" t="s">
        <v>11</v>
      </c>
      <c r="D3600" t="str">
        <f>HYPERLINK("https://us2.cloudbeds.com/connect/10074733072513#/reservations/31671937024189?display=Jessica%20Paul&amp;reservation_id=31671937024189&amp;guest_id=31671937024186", "Jessica Paul")</f>
        <v>Jessica Paul</v>
      </c>
      <c r="E3600" t="s">
        <v>4339</v>
      </c>
      <c r="F3600" t="s">
        <v>4340</v>
      </c>
      <c r="G3600">
        <v>103.2</v>
      </c>
      <c r="H3600">
        <v>112.17</v>
      </c>
      <c r="I3600">
        <v>112.18</v>
      </c>
      <c r="J3600">
        <v>-0.01</v>
      </c>
    </row>
    <row r="3601" spans="1:10" x14ac:dyDescent="0.3">
      <c r="A3601" t="str">
        <f>HYPERLINK("https://us2.cloudbeds.com/connect/10074733072513#/reservations/31673870983399?display=MH6FQWQG6&amp;reservation_id=31673870983399", "MH6FQWQG6")</f>
        <v>MH6FQWQG6</v>
      </c>
      <c r="B3601" t="s">
        <v>10</v>
      </c>
      <c r="C3601" t="s">
        <v>11</v>
      </c>
      <c r="D3601" t="str">
        <f>HYPERLINK("https://us2.cloudbeds.com/connect/10074733072513#/reservations/31673870983399?display=Kathy%20Dehaai&amp;reservation_id=31673870983399&amp;guest_id=31673870983387", "Kathy Dehaai")</f>
        <v>Kathy Dehaai</v>
      </c>
      <c r="E3601" t="s">
        <v>4351</v>
      </c>
      <c r="F3601" t="s">
        <v>4141</v>
      </c>
      <c r="G3601">
        <v>250.2</v>
      </c>
      <c r="H3601">
        <v>271.95999999999998</v>
      </c>
      <c r="I3601">
        <v>271.97000000000003</v>
      </c>
      <c r="J3601">
        <v>-0.01</v>
      </c>
    </row>
    <row r="3602" spans="1:10" x14ac:dyDescent="0.3">
      <c r="A3602" t="str">
        <f>HYPERLINK("https://us2.cloudbeds.com/connect/10074733072513#/reservations/31671947235538?display=MH4WYRMHF&amp;reservation_id=31671947235538", "MH4WYRMHF")</f>
        <v>MH4WYRMHF</v>
      </c>
      <c r="B3602" t="s">
        <v>10</v>
      </c>
      <c r="C3602" t="s">
        <v>14</v>
      </c>
      <c r="D3602" t="str">
        <f>HYPERLINK("https://us2.cloudbeds.com/connect/10074733072513#/reservations/31671947235538?display=Brent%20Adams&amp;reservation_id=31671947235538&amp;guest_id=31671947235523", "Brent Adams")</f>
        <v>Brent Adams</v>
      </c>
      <c r="E3602" t="s">
        <v>4356</v>
      </c>
      <c r="F3602" t="s">
        <v>4340</v>
      </c>
      <c r="G3602">
        <v>103.2</v>
      </c>
      <c r="H3602">
        <v>112.17</v>
      </c>
      <c r="I3602">
        <v>112.18</v>
      </c>
      <c r="J3602">
        <v>-0.01</v>
      </c>
    </row>
    <row r="3603" spans="1:10" x14ac:dyDescent="0.3">
      <c r="A3603" t="str">
        <f>HYPERLINK("https://us2.cloudbeds.com/connect/10074733072513#/reservations/31670096924829?display=MH3XCK1VW&amp;reservation_id=31670096924829", "MH3XCK1VW")</f>
        <v>MH3XCK1VW</v>
      </c>
      <c r="B3603" t="s">
        <v>10</v>
      </c>
      <c r="C3603" t="s">
        <v>42</v>
      </c>
      <c r="D3603" t="str">
        <f>HYPERLINK("https://us2.cloudbeds.com/connect/10074733072513#/reservations/31670096924829?display=Egbert%20Ohling&amp;reservation_id=31670096924829&amp;guest_id=30672173949135", "Egbert Ohling")</f>
        <v>Egbert Ohling</v>
      </c>
      <c r="E3603" t="s">
        <v>4368</v>
      </c>
      <c r="F3603" t="s">
        <v>4369</v>
      </c>
      <c r="G3603">
        <v>134.1</v>
      </c>
      <c r="H3603">
        <v>145.76</v>
      </c>
      <c r="I3603">
        <v>145.77000000000001</v>
      </c>
      <c r="J3603">
        <v>-0.01</v>
      </c>
    </row>
    <row r="3604" spans="1:10" x14ac:dyDescent="0.3">
      <c r="A3604" t="str">
        <f>HYPERLINK("https://us2.cloudbeds.com/connect/10074733072513#/reservations/30681551110366?display=YQU3ZJX4C&amp;reservation_id=30681551110366", "YQU3ZJX4C")</f>
        <v>YQU3ZJX4C</v>
      </c>
      <c r="B3604" t="s">
        <v>10</v>
      </c>
      <c r="C3604" t="s">
        <v>11</v>
      </c>
      <c r="D3604" t="str">
        <f>HYPERLINK("https://us2.cloudbeds.com/connect/10074733072513#/reservations/30681551110366?display=Jessica%20Marek&amp;reservation_id=30681551110366&amp;guest_id=30681543852172", "Jessica Marek")</f>
        <v>Jessica Marek</v>
      </c>
      <c r="E3604" t="s">
        <v>4375</v>
      </c>
      <c r="F3604" t="s">
        <v>4134</v>
      </c>
      <c r="G3604">
        <v>127.2</v>
      </c>
      <c r="H3604">
        <v>138.26</v>
      </c>
      <c r="I3604">
        <v>138.27000000000001</v>
      </c>
      <c r="J3604">
        <v>-0.01</v>
      </c>
    </row>
    <row r="3605" spans="1:10" x14ac:dyDescent="0.3">
      <c r="A3605" t="str">
        <f>HYPERLINK("https://us2.cloudbeds.com/connect/10074733072513#/reservations/30681499918498?display=YQU2EE1WY&amp;reservation_id=30681499918498", "YQU2EE1WY")</f>
        <v>YQU2EE1WY</v>
      </c>
      <c r="B3605" t="s">
        <v>10</v>
      </c>
      <c r="C3605" t="s">
        <v>11</v>
      </c>
      <c r="D3605" t="str">
        <f>HYPERLINK("https://us2.cloudbeds.com/connect/10074733072513#/reservations/30681499918498?display=Tabatha%20Peterson&amp;reservation_id=30681499918498&amp;guest_id=30681499918496", "Tabatha Peterson")</f>
        <v>Tabatha Peterson</v>
      </c>
      <c r="E3605" t="s">
        <v>4377</v>
      </c>
      <c r="F3605" t="s">
        <v>4378</v>
      </c>
      <c r="G3605">
        <v>87.2</v>
      </c>
      <c r="H3605">
        <v>94.78</v>
      </c>
      <c r="I3605">
        <v>94.79</v>
      </c>
      <c r="J3605">
        <v>-0.01</v>
      </c>
    </row>
    <row r="3606" spans="1:10" x14ac:dyDescent="0.3">
      <c r="A3606" t="str">
        <f>HYPERLINK("https://us2.cloudbeds.com/connect/10074733072513#/reservations/30682364620948?display=YQUZHXMF6&amp;reservation_id=30682364620948", "YQUZHXMF6")</f>
        <v>YQUZHXMF6</v>
      </c>
      <c r="B3606" t="s">
        <v>10</v>
      </c>
      <c r="C3606" t="s">
        <v>14</v>
      </c>
      <c r="D3606" t="str">
        <f>HYPERLINK("https://us2.cloudbeds.com/connect/10074733072513#/reservations/30682364620948?display=Josh%20Anderson&amp;reservation_id=30682364620948&amp;guest_id=30682364620942", "Josh Anderson")</f>
        <v>Josh Anderson</v>
      </c>
      <c r="E3606" t="s">
        <v>4128</v>
      </c>
      <c r="F3606" t="s">
        <v>4267</v>
      </c>
      <c r="G3606">
        <v>137.76</v>
      </c>
      <c r="H3606">
        <v>149.74</v>
      </c>
      <c r="I3606">
        <v>149.75</v>
      </c>
      <c r="J3606">
        <v>-0.01</v>
      </c>
    </row>
    <row r="3607" spans="1:10" x14ac:dyDescent="0.3">
      <c r="A3607" t="str">
        <f>HYPERLINK("https://us2.cloudbeds.com/connect/10074733072513#/reservations/30682356584692?display=YQUZAQ1W9&amp;reservation_id=30682356584692", "YQUZAQ1W9")</f>
        <v>YQUZAQ1W9</v>
      </c>
      <c r="B3607" t="s">
        <v>10</v>
      </c>
      <c r="C3607" t="s">
        <v>14</v>
      </c>
      <c r="D3607" t="str">
        <f>HYPERLINK("https://us2.cloudbeds.com/connect/10074733072513#/reservations/30682356584692?display=Brian%20Suter&amp;reservation_id=30682356584692&amp;guest_id=30682356584687", "Brian Suter")</f>
        <v>Brian Suter</v>
      </c>
      <c r="E3607" t="s">
        <v>4128</v>
      </c>
      <c r="F3607" t="s">
        <v>4267</v>
      </c>
      <c r="G3607">
        <v>137.76</v>
      </c>
      <c r="H3607">
        <v>149.74</v>
      </c>
      <c r="I3607">
        <v>149.75</v>
      </c>
      <c r="J3607">
        <v>-0.01</v>
      </c>
    </row>
    <row r="3608" spans="1:10" x14ac:dyDescent="0.3">
      <c r="A3608" t="str">
        <f>HYPERLINK("https://us2.cloudbeds.com/connect/10074733072513#/reservations/30682574504150?display=YQUTTHWM7&amp;reservation_id=30682574504150", "YQUTTHWM7")</f>
        <v>YQUTTHWM7</v>
      </c>
      <c r="B3608" t="s">
        <v>10</v>
      </c>
      <c r="C3608" t="s">
        <v>20</v>
      </c>
      <c r="D3608" t="str">
        <f>HYPERLINK("https://us2.cloudbeds.com/connect/10074733072513#/reservations/30682574504150?display=Kathy%20Heyn&amp;reservation_id=30682574504150&amp;guest_id=30682568118469", "Kathy Heyn")</f>
        <v>Kathy Heyn</v>
      </c>
      <c r="E3608" t="s">
        <v>4384</v>
      </c>
      <c r="F3608" t="s">
        <v>4385</v>
      </c>
      <c r="G3608">
        <v>112.24</v>
      </c>
      <c r="H3608">
        <v>121.99</v>
      </c>
      <c r="I3608">
        <v>122</v>
      </c>
      <c r="J3608">
        <v>-0.01</v>
      </c>
    </row>
    <row r="3609" spans="1:10" x14ac:dyDescent="0.3">
      <c r="A3609" t="str">
        <f>HYPERLINK("https://us2.cloudbeds.com/connect/10074733072513#/reservations/30681664454801?display=YQU6Y5HB7&amp;reservation_id=30681664454801", "YQU6Y5HB7")</f>
        <v>YQU6Y5HB7</v>
      </c>
      <c r="B3609" t="s">
        <v>10</v>
      </c>
      <c r="C3609" t="s">
        <v>14</v>
      </c>
      <c r="D3609" t="str">
        <f>HYPERLINK("https://us2.cloudbeds.com/connect/10074733072513#/reservations/30681664454801?display=Diana%20Roe&amp;reservation_id=30681664454801&amp;guest_id=30681664454799", "Diana Roe")</f>
        <v>Diana Roe</v>
      </c>
      <c r="E3609" t="s">
        <v>4393</v>
      </c>
      <c r="F3609" t="s">
        <v>3774</v>
      </c>
      <c r="G3609">
        <v>127.2</v>
      </c>
      <c r="H3609">
        <v>138.26</v>
      </c>
      <c r="I3609">
        <v>138.27000000000001</v>
      </c>
      <c r="J3609">
        <v>-0.01</v>
      </c>
    </row>
    <row r="3610" spans="1:10" x14ac:dyDescent="0.3">
      <c r="A3610" t="str">
        <f>HYPERLINK("https://us2.cloudbeds.com/connect/10074733072513#/reservations/30681292071044?display=YQTU45D4V&amp;reservation_id=30681292071044", "YQTU45D4V")</f>
        <v>YQTU45D4V</v>
      </c>
      <c r="B3610" t="s">
        <v>10</v>
      </c>
      <c r="C3610" t="s">
        <v>17</v>
      </c>
      <c r="D3610" t="str">
        <f>HYPERLINK("https://us2.cloudbeds.com/connect/10074733072513#/reservations/30681292071044?display=Heather%20Christensen&amp;reservation_id=30681292071044&amp;guest_id=30654766764179", "Heather Christensen")</f>
        <v>Heather Christensen</v>
      </c>
      <c r="E3610" t="s">
        <v>721</v>
      </c>
      <c r="F3610" t="s">
        <v>4134</v>
      </c>
      <c r="G3610">
        <v>250.2</v>
      </c>
      <c r="H3610">
        <v>271.95999999999998</v>
      </c>
      <c r="I3610">
        <v>271.97000000000003</v>
      </c>
      <c r="J3610">
        <v>-0.01</v>
      </c>
    </row>
    <row r="3611" spans="1:10" x14ac:dyDescent="0.3">
      <c r="A3611" t="str">
        <f>HYPERLINK("https://us2.cloudbeds.com/connect/10074733072513#/reservations/30681492418755?display=YQU283C5N&amp;reservation_id=30681492418755", "YQU283C5N")</f>
        <v>YQU283C5N</v>
      </c>
      <c r="B3611" t="s">
        <v>10</v>
      </c>
      <c r="C3611" t="s">
        <v>11</v>
      </c>
      <c r="D3611" t="str">
        <f>HYPERLINK("https://us2.cloudbeds.com/connect/10074733072513#/reservations/30681492418755?display=Christopher%20Micheal%20Kelly&amp;reservation_id=30681492418755&amp;guest_id=30681492418753", "Christopher Micheal Kelly")</f>
        <v>Christopher Micheal Kelly</v>
      </c>
      <c r="E3611" t="s">
        <v>4405</v>
      </c>
      <c r="F3611" t="s">
        <v>4378</v>
      </c>
      <c r="G3611">
        <v>222.4</v>
      </c>
      <c r="H3611">
        <v>241.74</v>
      </c>
      <c r="I3611">
        <v>241.75</v>
      </c>
      <c r="J3611">
        <v>-0.01</v>
      </c>
    </row>
    <row r="3612" spans="1:10" x14ac:dyDescent="0.3">
      <c r="A3612" t="str">
        <f>HYPERLINK("https://us2.cloudbeds.com/connect/10074733072513#/reservations/30682386702537?display=YQUP364D8&amp;reservation_id=30682386702537", "YQUP364D8")</f>
        <v>YQUP364D8</v>
      </c>
      <c r="B3612" t="s">
        <v>10</v>
      </c>
      <c r="C3612" t="s">
        <v>42</v>
      </c>
      <c r="D3612" t="str">
        <f>HYPERLINK("https://us2.cloudbeds.com/connect/10074733072513#/reservations/30682386702537?display=Dawn%20Koenig&amp;reservation_id=30682386702537&amp;guest_id=30682386702532", "Dawn Koenig")</f>
        <v>Dawn Koenig</v>
      </c>
      <c r="E3612" t="s">
        <v>4409</v>
      </c>
      <c r="F3612" t="s">
        <v>4013</v>
      </c>
      <c r="G3612">
        <v>134.1</v>
      </c>
      <c r="H3612">
        <v>145.76</v>
      </c>
      <c r="I3612">
        <v>145.77000000000001</v>
      </c>
      <c r="J3612">
        <v>-0.01</v>
      </c>
    </row>
    <row r="3613" spans="1:10" x14ac:dyDescent="0.3">
      <c r="A3613" t="str">
        <f>HYPERLINK("https://us2.cloudbeds.com/connect/10074733072513#/reservations/30681351696567?display=YQTVYEXMW&amp;reservation_id=30681351696567", "YQTVYEXMW")</f>
        <v>YQTVYEXMW</v>
      </c>
      <c r="B3613" t="s">
        <v>10</v>
      </c>
      <c r="C3613" t="s">
        <v>14</v>
      </c>
      <c r="D3613" t="str">
        <f>HYPERLINK("https://us2.cloudbeds.com/connect/10074733072513#/reservations/30681351696567?display=Stephanie%20Hahn&amp;reservation_id=30681351696567&amp;guest_id=30652858536174", "Stephanie Hahn")</f>
        <v>Stephanie Hahn</v>
      </c>
      <c r="E3613" t="s">
        <v>4417</v>
      </c>
      <c r="F3613" t="s">
        <v>4134</v>
      </c>
      <c r="G3613">
        <v>250.2</v>
      </c>
      <c r="H3613">
        <v>271.95999999999998</v>
      </c>
      <c r="I3613">
        <v>271.97000000000003</v>
      </c>
      <c r="J3613">
        <v>-0.01</v>
      </c>
    </row>
    <row r="3614" spans="1:10" x14ac:dyDescent="0.3">
      <c r="A3614" t="str">
        <f>HYPERLINK("https://us2.cloudbeds.com/connect/10074733072513#/reservations/30682417893586?display=YQUPTG2AX&amp;reservation_id=30682417893586", "YQUPTG2AX")</f>
        <v>YQUPTG2AX</v>
      </c>
      <c r="B3614" t="s">
        <v>10</v>
      </c>
      <c r="C3614" t="s">
        <v>20</v>
      </c>
      <c r="D3614" t="str">
        <f>HYPERLINK("https://us2.cloudbeds.com/connect/10074733072513#/reservations/30682417893586?display=Lisa%20Stern&amp;reservation_id=30682417893586&amp;guest_id=30682406416538", "Lisa Stern")</f>
        <v>Lisa Stern</v>
      </c>
      <c r="E3614" t="s">
        <v>4423</v>
      </c>
      <c r="F3614" t="s">
        <v>4424</v>
      </c>
      <c r="G3614">
        <v>93.2</v>
      </c>
      <c r="H3614">
        <v>101.3</v>
      </c>
      <c r="I3614">
        <v>101.31</v>
      </c>
      <c r="J3614">
        <v>-0.01</v>
      </c>
    </row>
    <row r="3615" spans="1:10" x14ac:dyDescent="0.3">
      <c r="A3615" t="str">
        <f>HYPERLINK("https://us2.cloudbeds.com/connect/10074733072513#/reservations/31671675711623?display=MH4PNT491&amp;reservation_id=31671675711623", "MH4PNT491")</f>
        <v>MH4PNT491</v>
      </c>
      <c r="B3615" t="s">
        <v>10</v>
      </c>
      <c r="C3615" t="s">
        <v>14</v>
      </c>
      <c r="D3615" t="str">
        <f>HYPERLINK("https://us2.cloudbeds.com/connect/10074733072513#/reservations/31671675711623?display=Deann%20Boerger&amp;reservation_id=31671675711623&amp;guest_id=31671667396843", "Deann Boerger")</f>
        <v>Deann Boerger</v>
      </c>
      <c r="E3615" t="s">
        <v>389</v>
      </c>
      <c r="F3615" t="s">
        <v>4340</v>
      </c>
      <c r="G3615">
        <v>452.8</v>
      </c>
      <c r="H3615">
        <v>492.18</v>
      </c>
      <c r="I3615">
        <v>492.19</v>
      </c>
      <c r="J3615">
        <v>-0.01</v>
      </c>
    </row>
    <row r="3616" spans="1:10" x14ac:dyDescent="0.3">
      <c r="A3616" t="str">
        <f>HYPERLINK("https://us2.cloudbeds.com/connect/10074733072513#/reservations/30682316742810?display=YQUNA6D7F&amp;reservation_id=30682316742810", "YQUNA6D7F")</f>
        <v>YQUNA6D7F</v>
      </c>
      <c r="B3616" t="s">
        <v>10</v>
      </c>
      <c r="C3616" t="s">
        <v>11</v>
      </c>
      <c r="D3616" t="str">
        <f>HYPERLINK("https://us2.cloudbeds.com/connect/10074733072513#/reservations/30682316742810?display=Julie%20Ann%20Patterson&amp;reservation_id=30682316742810&amp;guest_id=30682316742806", "Julie Ann Patterson")</f>
        <v>Julie Ann Patterson</v>
      </c>
      <c r="E3616" t="s">
        <v>4433</v>
      </c>
      <c r="F3616" t="s">
        <v>4432</v>
      </c>
      <c r="G3616">
        <v>87.2</v>
      </c>
      <c r="H3616">
        <v>94.78</v>
      </c>
      <c r="I3616">
        <v>94.79</v>
      </c>
      <c r="J3616">
        <v>-0.01</v>
      </c>
    </row>
    <row r="3617" spans="1:10" x14ac:dyDescent="0.3">
      <c r="A3617" t="str">
        <f>HYPERLINK("https://us2.cloudbeds.com/connect/10074733072513#/reservations/30681404096651?display=YQTWWKMAA&amp;reservation_id=30681404096651", "YQTWWKMAA")</f>
        <v>YQTWWKMAA</v>
      </c>
      <c r="B3617" t="s">
        <v>10</v>
      </c>
      <c r="C3617" t="s">
        <v>14</v>
      </c>
      <c r="D3617" t="str">
        <f>HYPERLINK("https://us2.cloudbeds.com/connect/10074733072513#/reservations/30681404096651?display=Rebecca%20M%20Baker&amp;reservation_id=30681404096651&amp;guest_id=30681397592302", "Rebecca M Baker")</f>
        <v>Rebecca M Baker</v>
      </c>
      <c r="E3617" t="s">
        <v>4434</v>
      </c>
      <c r="F3617" t="s">
        <v>4435</v>
      </c>
      <c r="G3617">
        <v>182.4</v>
      </c>
      <c r="H3617">
        <v>198.26</v>
      </c>
      <c r="I3617">
        <v>198.27</v>
      </c>
      <c r="J3617">
        <v>-0.01</v>
      </c>
    </row>
    <row r="3618" spans="1:10" x14ac:dyDescent="0.3">
      <c r="A3618" t="str">
        <f>HYPERLINK("https://us2.cloudbeds.com/connect/10074733072513#/reservations/31671747416291?display=MH4RXBDPP&amp;reservation_id=31671747416291", "MH4RXBDPP")</f>
        <v>MH4RXBDPP</v>
      </c>
      <c r="B3618" t="s">
        <v>10</v>
      </c>
      <c r="C3618" t="s">
        <v>23</v>
      </c>
      <c r="D3618" t="str">
        <f>HYPERLINK("https://us2.cloudbeds.com/connect/10074733072513#/reservations/31671747416291?display=Dave%20Words&amp;reservation_id=31671747416291&amp;guest_id=31671738552460", "Dave Words")</f>
        <v>Dave Words</v>
      </c>
      <c r="E3618" t="s">
        <v>4440</v>
      </c>
      <c r="F3618" t="s">
        <v>3545</v>
      </c>
      <c r="G3618">
        <v>507.3</v>
      </c>
      <c r="H3618">
        <v>551.42999999999995</v>
      </c>
      <c r="I3618">
        <v>551.44000000000005</v>
      </c>
      <c r="J3618">
        <v>-0.01</v>
      </c>
    </row>
    <row r="3619" spans="1:10" x14ac:dyDescent="0.3">
      <c r="A3619" t="str">
        <f>HYPERLINK("https://us2.cloudbeds.com/connect/10074733072513#/reservations/30682045751533?display=YQUGCMM2Y&amp;reservation_id=30682045751533", "YQUGCMM2Y")</f>
        <v>YQUGCMM2Y</v>
      </c>
      <c r="B3619" t="s">
        <v>10</v>
      </c>
      <c r="C3619" t="s">
        <v>14</v>
      </c>
      <c r="D3619" t="str">
        <f>HYPERLINK("https://us2.cloudbeds.com/connect/10074733072513#/reservations/30682045751533?display=Rose%20Osborne&amp;reservation_id=30682045751533&amp;guest_id=30682038956182", "Rose Osborne")</f>
        <v>Rose Osborne</v>
      </c>
      <c r="E3619" t="s">
        <v>4449</v>
      </c>
      <c r="F3619" t="s">
        <v>4450</v>
      </c>
      <c r="G3619">
        <v>137.76</v>
      </c>
      <c r="H3619">
        <v>149.74</v>
      </c>
      <c r="I3619">
        <v>149.75</v>
      </c>
      <c r="J3619">
        <v>-0.01</v>
      </c>
    </row>
    <row r="3620" spans="1:10" x14ac:dyDescent="0.3">
      <c r="A3620" t="str">
        <f>HYPERLINK("https://us2.cloudbeds.com/connect/10074733072513#/reservations/30681412714733?display=YQU06TG2A&amp;reservation_id=30681412714733", "YQU06TG2A")</f>
        <v>YQU06TG2A</v>
      </c>
      <c r="B3620" t="s">
        <v>10</v>
      </c>
      <c r="C3620" t="s">
        <v>11</v>
      </c>
      <c r="D3620" t="str">
        <f>HYPERLINK("https://us2.cloudbeds.com/connect/10074733072513#/reservations/30681412714733?display=Conrad%20Lucero&amp;reservation_id=30681412714733&amp;guest_id=30681412714715", "Conrad Lucero")</f>
        <v>Conrad Lucero</v>
      </c>
      <c r="E3620" t="s">
        <v>4451</v>
      </c>
      <c r="F3620" t="s">
        <v>4452</v>
      </c>
      <c r="G3620">
        <v>244.56</v>
      </c>
      <c r="H3620">
        <v>265.83</v>
      </c>
      <c r="I3620">
        <v>265.83999999999997</v>
      </c>
      <c r="J3620">
        <v>-0.01</v>
      </c>
    </row>
    <row r="3621" spans="1:10" x14ac:dyDescent="0.3">
      <c r="A3621" t="str">
        <f>HYPERLINK("https://us2.cloudbeds.com/connect/10074733072513#/reservations/30681356734648?display=YQTVPMP13&amp;reservation_id=30681356734648", "YQTVPMP13")</f>
        <v>YQTVPMP13</v>
      </c>
      <c r="B3621" t="s">
        <v>10</v>
      </c>
      <c r="C3621" t="s">
        <v>42</v>
      </c>
      <c r="D3621" t="str">
        <f>HYPERLINK("https://us2.cloudbeds.com/connect/10074733072513#/reservations/30681356734648?display=Jill%20Kontz&amp;reservation_id=30681356734648&amp;guest_id=30681349673183", "Jill Kontz")</f>
        <v>Jill Kontz</v>
      </c>
      <c r="E3621" t="s">
        <v>4456</v>
      </c>
      <c r="F3621" t="s">
        <v>4435</v>
      </c>
      <c r="G3621">
        <v>196.2</v>
      </c>
      <c r="H3621">
        <v>213.26</v>
      </c>
      <c r="I3621">
        <v>213.27</v>
      </c>
      <c r="J3621">
        <v>-0.01</v>
      </c>
    </row>
    <row r="3622" spans="1:10" x14ac:dyDescent="0.3">
      <c r="A3622" t="str">
        <f>HYPERLINK("https://us2.cloudbeds.com/connect/10074733072513#/reservations/30681373692106?display=YQTW6WKKF&amp;reservation_id=30681373692106", "YQTW6WKKF")</f>
        <v>YQTW6WKKF</v>
      </c>
      <c r="B3622" t="s">
        <v>10</v>
      </c>
      <c r="C3622" t="s">
        <v>42</v>
      </c>
      <c r="D3622" t="str">
        <f>HYPERLINK("https://us2.cloudbeds.com/connect/10074733072513#/reservations/30681373692106?display=Ynne%20Marie%20Kuper&amp;reservation_id=30681373692106&amp;guest_id=30672910012652", "Ynne Marie Kuper")</f>
        <v>Ynne Marie Kuper</v>
      </c>
      <c r="E3622" t="s">
        <v>4459</v>
      </c>
      <c r="F3622" t="s">
        <v>4435</v>
      </c>
      <c r="G3622">
        <v>187.2</v>
      </c>
      <c r="H3622">
        <v>203.48</v>
      </c>
      <c r="I3622">
        <v>203.49</v>
      </c>
      <c r="J3622">
        <v>-0.01</v>
      </c>
    </row>
    <row r="3623" spans="1:10" x14ac:dyDescent="0.3">
      <c r="A3623" t="str">
        <f>HYPERLINK("https://us2.cloudbeds.com/connect/10074733072513#/reservations/30681404100753?display=YQTWWKQ2K&amp;reservation_id=30681404100753", "YQTWWKQ2K")</f>
        <v>YQTWWKQ2K</v>
      </c>
      <c r="B3623" t="s">
        <v>10</v>
      </c>
      <c r="C3623" t="s">
        <v>20</v>
      </c>
      <c r="D3623" t="str">
        <f>HYPERLINK("https://us2.cloudbeds.com/connect/10074733072513#/reservations/30681404100753?display=Sonja%20Mason&amp;reservation_id=30681404100753&amp;guest_id=30681404100751", "Sonja Mason")</f>
        <v>Sonja Mason</v>
      </c>
      <c r="E3623" t="s">
        <v>4460</v>
      </c>
      <c r="F3623" t="s">
        <v>4435</v>
      </c>
      <c r="G3623">
        <v>203.05</v>
      </c>
      <c r="H3623">
        <v>220.71</v>
      </c>
      <c r="I3623">
        <v>220.72</v>
      </c>
      <c r="J3623">
        <v>-0.01</v>
      </c>
    </row>
    <row r="3624" spans="1:10" x14ac:dyDescent="0.3">
      <c r="A3624" t="str">
        <f>HYPERLINK("https://us2.cloudbeds.com/connect/10074733072513#/reservations/30681940979957?display=YQUDNB83D&amp;reservation_id=30681940979957", "YQUDNB83D")</f>
        <v>YQUDNB83D</v>
      </c>
      <c r="B3624" t="s">
        <v>10</v>
      </c>
      <c r="C3624" t="s">
        <v>14</v>
      </c>
      <c r="D3624" t="str">
        <f>HYPERLINK("https://us2.cloudbeds.com/connect/10074733072513#/reservations/30681940979957?display=Galen%20Hoogestraat&amp;reservation_id=30681940979957&amp;guest_id=30649853255823", "Galen Hoogestraat")</f>
        <v>Galen Hoogestraat</v>
      </c>
      <c r="E3624" t="s">
        <v>2337</v>
      </c>
      <c r="F3624" t="s">
        <v>3760</v>
      </c>
      <c r="G3624">
        <v>222.4</v>
      </c>
      <c r="H3624">
        <v>241.74</v>
      </c>
      <c r="I3624">
        <v>241.75</v>
      </c>
      <c r="J3624">
        <v>-0.01</v>
      </c>
    </row>
    <row r="3625" spans="1:10" x14ac:dyDescent="0.3">
      <c r="A3625" t="str">
        <f>HYPERLINK("https://us2.cloudbeds.com/connect/10074733072513#/reservations/30681610322050?display=YQU58H6YR&amp;reservation_id=30681610322050", "YQU58H6YR")</f>
        <v>YQU58H6YR</v>
      </c>
      <c r="B3625" t="s">
        <v>10</v>
      </c>
      <c r="C3625" t="s">
        <v>11</v>
      </c>
      <c r="D3625" t="str">
        <f>HYPERLINK("https://us2.cloudbeds.com/connect/10074733072513#/reservations/30681610322050?display=Monique%20Cozier&amp;reservation_id=30681610322050&amp;guest_id=30681610322048", "Monique Cozier")</f>
        <v>Monique Cozier</v>
      </c>
      <c r="E3625" t="s">
        <v>4468</v>
      </c>
      <c r="F3625" t="s">
        <v>3774</v>
      </c>
      <c r="G3625">
        <v>137.76</v>
      </c>
      <c r="H3625">
        <v>149.74</v>
      </c>
      <c r="I3625">
        <v>149.75</v>
      </c>
      <c r="J3625">
        <v>-0.01</v>
      </c>
    </row>
    <row r="3626" spans="1:10" x14ac:dyDescent="0.3">
      <c r="A3626" t="str">
        <f>HYPERLINK("https://us2.cloudbeds.com/connect/10074733072513#/reservations/30682155430016?display=YQUJ0K861&amp;reservation_id=30682155430016", "YQUJ0K861")</f>
        <v>YQUJ0K861</v>
      </c>
      <c r="B3626" t="s">
        <v>10</v>
      </c>
      <c r="C3626" t="s">
        <v>23</v>
      </c>
      <c r="D3626" t="str">
        <f>HYPERLINK("https://us2.cloudbeds.com/connect/10074733072513#/reservations/30682155430016?display=Mary%20Scott&amp;reservation_id=30682155430016&amp;guest_id=30672923803860", "Mary Scott")</f>
        <v>Mary Scott</v>
      </c>
      <c r="E3626" t="s">
        <v>2822</v>
      </c>
      <c r="F3626" t="s">
        <v>3774</v>
      </c>
      <c r="G3626">
        <v>134.1</v>
      </c>
      <c r="H3626">
        <v>145.76</v>
      </c>
      <c r="I3626">
        <v>145.77000000000001</v>
      </c>
      <c r="J3626">
        <v>-0.01</v>
      </c>
    </row>
    <row r="3627" spans="1:10" x14ac:dyDescent="0.3">
      <c r="A3627" t="str">
        <f>HYPERLINK("https://us2.cloudbeds.com/connect/10074733072513#/reservations/31670113599733?display=MH3XQM233&amp;reservation_id=31670113599733", "MH3XQM233")</f>
        <v>MH3XQM233</v>
      </c>
      <c r="B3627" t="s">
        <v>10</v>
      </c>
      <c r="C3627" t="s">
        <v>14</v>
      </c>
      <c r="D3627" t="str">
        <f>HYPERLINK("https://us2.cloudbeds.com/connect/10074733072513#/reservations/31670113599733?display=Valerie%20Groeneveld&amp;reservation_id=31670113599733&amp;guest_id=31670113599731", "Valerie Groeneveld")</f>
        <v>Valerie Groeneveld</v>
      </c>
      <c r="E3627" t="s">
        <v>4481</v>
      </c>
      <c r="F3627" t="s">
        <v>4369</v>
      </c>
      <c r="G3627">
        <v>127.2</v>
      </c>
      <c r="H3627">
        <v>138.26</v>
      </c>
      <c r="I3627">
        <v>138.27000000000001</v>
      </c>
      <c r="J3627">
        <v>-0.01</v>
      </c>
    </row>
    <row r="3628" spans="1:10" x14ac:dyDescent="0.3">
      <c r="A3628" t="str">
        <f>HYPERLINK("https://us2.cloudbeds.com/connect/10074733072513#/reservations/30681788227762?display=YQU9QHMQ0&amp;reservation_id=30681788227762", "YQU9QHMQ0")</f>
        <v>YQU9QHMQ0</v>
      </c>
      <c r="B3628" t="s">
        <v>10</v>
      </c>
      <c r="C3628" t="s">
        <v>42</v>
      </c>
      <c r="D3628" t="str">
        <f>HYPERLINK("https://us2.cloudbeds.com/connect/10074733072513#/reservations/30681788227762?display=Mike%20Davies&amp;reservation_id=30681788227762&amp;guest_id=30674109845724", "Mike Davies")</f>
        <v>Mike Davies</v>
      </c>
      <c r="E3628" t="s">
        <v>533</v>
      </c>
      <c r="F3628" t="s">
        <v>3757</v>
      </c>
      <c r="G3628">
        <v>357.3</v>
      </c>
      <c r="H3628">
        <v>388.38</v>
      </c>
      <c r="I3628">
        <v>388.39</v>
      </c>
      <c r="J3628">
        <v>-0.01</v>
      </c>
    </row>
    <row r="3629" spans="1:10" x14ac:dyDescent="0.3">
      <c r="A3629" t="str">
        <f>HYPERLINK("https://us2.cloudbeds.com/connect/10074733072513#/reservations/30682100408516?display=YQUHPPJ4S&amp;reservation_id=30682100408516", "YQUHPPJ4S")</f>
        <v>YQUHPPJ4S</v>
      </c>
      <c r="B3629" t="s">
        <v>10</v>
      </c>
      <c r="C3629" t="s">
        <v>11</v>
      </c>
      <c r="D3629" t="str">
        <f>HYPERLINK("https://us2.cloudbeds.com/connect/10074733072513#/reservations/30682100408516?display=Britt%20Larson&amp;reservation_id=30682100408516&amp;guest_id=30682100404470", "Britt Larson")</f>
        <v>Britt Larson</v>
      </c>
      <c r="E3629" t="s">
        <v>4486</v>
      </c>
      <c r="F3629" t="s">
        <v>4487</v>
      </c>
      <c r="G3629">
        <v>87.2</v>
      </c>
      <c r="H3629">
        <v>94.78</v>
      </c>
      <c r="I3629">
        <v>94.79</v>
      </c>
      <c r="J3629">
        <v>-0.01</v>
      </c>
    </row>
    <row r="3630" spans="1:10" x14ac:dyDescent="0.3">
      <c r="A3630" t="str">
        <f>HYPERLINK("https://us2.cloudbeds.com/connect/10074733072513#/reservations/31672026489051?display=MH51MM0V2&amp;reservation_id=31672026489051", "MH51MM0V2")</f>
        <v>MH51MM0V2</v>
      </c>
      <c r="B3630" t="s">
        <v>10</v>
      </c>
      <c r="C3630" t="s">
        <v>42</v>
      </c>
      <c r="D3630" t="str">
        <f>HYPERLINK("https://us2.cloudbeds.com/connect/10074733072513#/reservations/31672026489051?display=Janet%20Ringstmeyer&amp;reservation_id=31672026489051&amp;guest_id=30678113292427", "Janet Ringstmeyer")</f>
        <v>Janet Ringstmeyer</v>
      </c>
      <c r="E3630" t="s">
        <v>3078</v>
      </c>
      <c r="F3630" t="s">
        <v>4458</v>
      </c>
      <c r="G3630">
        <v>250.2</v>
      </c>
      <c r="H3630">
        <v>271.95999999999998</v>
      </c>
      <c r="I3630">
        <v>271.97000000000003</v>
      </c>
      <c r="J3630">
        <v>-0.01</v>
      </c>
    </row>
    <row r="3631" spans="1:10" x14ac:dyDescent="0.3">
      <c r="A3631" t="str">
        <f>HYPERLINK("https://us2.cloudbeds.com/connect/10074733072513#/reservations/30681830723787?display=YQUATC6PA&amp;reservation_id=30681830723787", "YQUATC6PA")</f>
        <v>YQUATC6PA</v>
      </c>
      <c r="B3631" t="s">
        <v>10</v>
      </c>
      <c r="C3631" t="s">
        <v>11</v>
      </c>
      <c r="D3631" t="str">
        <f>HYPERLINK("https://us2.cloudbeds.com/connect/10074733072513#/reservations/30681830723787?display=Cody%20Singleton&amp;reservation_id=30681830723787&amp;guest_id=30681830719693", "Cody Singleton")</f>
        <v>Cody Singleton</v>
      </c>
      <c r="E3631" t="s">
        <v>4504</v>
      </c>
      <c r="F3631" t="s">
        <v>3757</v>
      </c>
      <c r="G3631">
        <v>134.1</v>
      </c>
      <c r="H3631">
        <v>145.76</v>
      </c>
      <c r="I3631">
        <v>145.77000000000001</v>
      </c>
      <c r="J3631">
        <v>-0.01</v>
      </c>
    </row>
    <row r="3632" spans="1:10" x14ac:dyDescent="0.3">
      <c r="A3632" t="str">
        <f>HYPERLINK("https://us2.cloudbeds.com/connect/10074733072513#/reservations/30682038956184?display=YQUG6VJ2W&amp;reservation_id=30682038956184", "YQUG6VJ2W")</f>
        <v>YQUG6VJ2W</v>
      </c>
      <c r="B3632" t="s">
        <v>10</v>
      </c>
      <c r="C3632" t="s">
        <v>42</v>
      </c>
      <c r="D3632" t="str">
        <f>HYPERLINK("https://us2.cloudbeds.com/connect/10074733072513#/reservations/30682038956184?display=Cindy%20Chaplin&amp;reservation_id=30682038956184&amp;guest_id=30671148142722", "Cindy Chaplin")</f>
        <v>Cindy Chaplin</v>
      </c>
      <c r="E3632" t="s">
        <v>4510</v>
      </c>
      <c r="F3632" t="s">
        <v>4450</v>
      </c>
      <c r="G3632">
        <v>103.2</v>
      </c>
      <c r="H3632">
        <v>112.17</v>
      </c>
      <c r="I3632">
        <v>112.18</v>
      </c>
      <c r="J3632">
        <v>-0.01</v>
      </c>
    </row>
    <row r="3633" spans="1:10" x14ac:dyDescent="0.3">
      <c r="A3633" t="str">
        <f>HYPERLINK("https://us2.cloudbeds.com/connect/10074733072513#/reservations/30681290285212?display=YQTU2YN8R&amp;reservation_id=30681290285212", "YQTU2YN8R")</f>
        <v>YQTU2YN8R</v>
      </c>
      <c r="B3633" t="s">
        <v>10</v>
      </c>
      <c r="C3633" t="s">
        <v>14</v>
      </c>
      <c r="D3633" t="str">
        <f>HYPERLINK("https://us2.cloudbeds.com/connect/10074733072513#/reservations/30681290285212?display=Cindy%20Mader&amp;reservation_id=30681290285212&amp;guest_id=30681290285207", "Cindy Mader")</f>
        <v>Cindy Mader</v>
      </c>
      <c r="E3633" t="s">
        <v>4514</v>
      </c>
      <c r="F3633" t="s">
        <v>4318</v>
      </c>
      <c r="G3633">
        <v>94.16</v>
      </c>
      <c r="H3633">
        <v>102.34</v>
      </c>
      <c r="I3633">
        <v>102.35</v>
      </c>
      <c r="J3633">
        <v>-0.01</v>
      </c>
    </row>
    <row r="3634" spans="1:10" x14ac:dyDescent="0.3">
      <c r="A3634" t="str">
        <f>HYPERLINK("https://us2.cloudbeds.com/connect/10074733072513#/reservations/30681743728868?display=YQU8M0EKM&amp;reservation_id=30681743728868", "YQU8M0EKM")</f>
        <v>YQU8M0EKM</v>
      </c>
      <c r="B3634" t="s">
        <v>10</v>
      </c>
      <c r="C3634" t="s">
        <v>42</v>
      </c>
      <c r="D3634" t="str">
        <f>HYPERLINK("https://us2.cloudbeds.com/connect/10074733072513#/reservations/30681743728868?display=James/%20Fay%20Plucker&amp;reservation_id=30681743728868&amp;guest_id=30681743728866", "James/ Fay Plucker")</f>
        <v>James/ Fay Plucker</v>
      </c>
      <c r="E3634" t="s">
        <v>4515</v>
      </c>
      <c r="F3634" t="s">
        <v>4452</v>
      </c>
      <c r="G3634">
        <v>294.3</v>
      </c>
      <c r="H3634">
        <v>319.89</v>
      </c>
      <c r="I3634">
        <v>319.89999999999998</v>
      </c>
      <c r="J3634">
        <v>-0.01</v>
      </c>
    </row>
    <row r="3635" spans="1:10" x14ac:dyDescent="0.3">
      <c r="A3635" t="str">
        <f>HYPERLINK("https://us2.cloudbeds.com/connect/10074733072513#/reservations/30681839198368?display=YQUB3H0ZR&amp;reservation_id=30681839198368", "YQUB3H0ZR")</f>
        <v>YQUB3H0ZR</v>
      </c>
      <c r="B3635" t="s">
        <v>10</v>
      </c>
      <c r="C3635" t="s">
        <v>20</v>
      </c>
      <c r="D3635" t="str">
        <f>HYPERLINK("https://us2.cloudbeds.com/connect/10074733072513#/reservations/30681839198368?display=Eric%20Cochran&amp;reservation_id=30681839198368&amp;guest_id=30681839198358", "Eric Cochran")</f>
        <v>Eric Cochran</v>
      </c>
      <c r="E3635" t="s">
        <v>4517</v>
      </c>
      <c r="F3635" t="s">
        <v>3757</v>
      </c>
      <c r="G3635">
        <v>134.1</v>
      </c>
      <c r="H3635">
        <v>145.76</v>
      </c>
      <c r="I3635">
        <v>145.77000000000001</v>
      </c>
      <c r="J3635">
        <v>-0.01</v>
      </c>
    </row>
    <row r="3636" spans="1:10" x14ac:dyDescent="0.3">
      <c r="A3636" t="str">
        <f>HYPERLINK("https://us2.cloudbeds.com/connect/10074733072513#/reservations/30681993523353?display=YQUF1YBAH&amp;reservation_id=30681993523353", "YQUF1YBAH")</f>
        <v>YQUF1YBAH</v>
      </c>
      <c r="B3636" t="s">
        <v>10</v>
      </c>
      <c r="C3636" t="s">
        <v>11</v>
      </c>
      <c r="D3636" t="str">
        <f>HYPERLINK("https://us2.cloudbeds.com/connect/10074733072513#/reservations/30681993523353?display=Annalie%20Annalie%20Castroromero&amp;reservation_id=30681993523353&amp;guest_id=30681993523348", "Annalie Annalie Castroromero")</f>
        <v>Annalie Annalie Castroromero</v>
      </c>
      <c r="E3636" t="s">
        <v>4524</v>
      </c>
      <c r="F3636" t="s">
        <v>3757</v>
      </c>
      <c r="G3636">
        <v>94.16</v>
      </c>
      <c r="H3636">
        <v>102.34</v>
      </c>
      <c r="I3636">
        <v>102.35</v>
      </c>
      <c r="J3636">
        <v>-0.01</v>
      </c>
    </row>
    <row r="3637" spans="1:10" x14ac:dyDescent="0.3">
      <c r="A3637" t="str">
        <f>HYPERLINK("https://us2.cloudbeds.com/connect/10074733072513#/reservations/31671802302633?display=MH4SVKNF8&amp;reservation_id=31671802302633", "MH4SVKNF8")</f>
        <v>MH4SVKNF8</v>
      </c>
      <c r="B3637" t="s">
        <v>10</v>
      </c>
      <c r="C3637" t="s">
        <v>14</v>
      </c>
      <c r="D3637" t="str">
        <f>HYPERLINK("https://us2.cloudbeds.com/connect/10074733072513#/reservations/31671802302633?display=Dawn%20Anderson&amp;reservation_id=31671802302633&amp;guest_id=31671802302629", "Dawn Anderson")</f>
        <v>Dawn Anderson</v>
      </c>
      <c r="E3637" t="s">
        <v>4525</v>
      </c>
      <c r="F3637" t="s">
        <v>4526</v>
      </c>
      <c r="G3637">
        <v>127.2</v>
      </c>
      <c r="H3637">
        <v>138.26</v>
      </c>
      <c r="I3637">
        <v>138.27000000000001</v>
      </c>
      <c r="J3637">
        <v>-0.01</v>
      </c>
    </row>
    <row r="3638" spans="1:10" x14ac:dyDescent="0.3">
      <c r="A3638" t="str">
        <f>HYPERLINK("https://us2.cloudbeds.com/connect/10074733072513#/reservations/30681966678216?display=YQUEC0B4H&amp;reservation_id=30681966678216", "YQUEC0B4H")</f>
        <v>YQUEC0B4H</v>
      </c>
      <c r="B3638" t="s">
        <v>10</v>
      </c>
      <c r="C3638" t="s">
        <v>14</v>
      </c>
      <c r="D3638" t="str">
        <f>HYPERLINK("https://us2.cloudbeds.com/connect/10074733072513#/reservations/30681966678216?display=Thomas%20Fanning&amp;reservation_id=30681966678216&amp;guest_id=30681961472182", "Thomas Fanning")</f>
        <v>Thomas Fanning</v>
      </c>
      <c r="E3638" t="s">
        <v>4527</v>
      </c>
      <c r="F3638" t="s">
        <v>3760</v>
      </c>
      <c r="G3638">
        <v>94.16</v>
      </c>
      <c r="H3638">
        <v>102.34</v>
      </c>
      <c r="I3638">
        <v>102.35</v>
      </c>
      <c r="J3638">
        <v>-0.01</v>
      </c>
    </row>
    <row r="3639" spans="1:10" x14ac:dyDescent="0.3">
      <c r="A3639" t="str">
        <f>HYPERLINK("https://us2.cloudbeds.com/connect/10074733072513#/reservations/30681954926812?display=YQUE23B4C&amp;reservation_id=30681954926812", "YQUE23B4C")</f>
        <v>YQUE23B4C</v>
      </c>
      <c r="B3639" t="s">
        <v>10</v>
      </c>
      <c r="C3639" t="s">
        <v>14</v>
      </c>
      <c r="D3639" t="str">
        <f>HYPERLINK("https://us2.cloudbeds.com/connect/10074733072513#/reservations/30681954926812?display=Sara%20Fielder&amp;reservation_id=30681954926812&amp;guest_id=30681954926794", "Sara Fielder")</f>
        <v>Sara Fielder</v>
      </c>
      <c r="E3639" t="s">
        <v>4527</v>
      </c>
      <c r="F3639" t="s">
        <v>3760</v>
      </c>
      <c r="G3639">
        <v>94.16</v>
      </c>
      <c r="H3639">
        <v>102.34</v>
      </c>
      <c r="I3639">
        <v>102.35</v>
      </c>
      <c r="J3639">
        <v>-0.01</v>
      </c>
    </row>
    <row r="3640" spans="1:10" x14ac:dyDescent="0.3">
      <c r="A3640" t="str">
        <f>HYPERLINK("https://us2.cloudbeds.com/connect/10074733072513#/reservations/30681949933699?display=YQUDUTD2U&amp;reservation_id=30681949933699", "YQUDUTD2U")</f>
        <v>YQUDUTD2U</v>
      </c>
      <c r="B3640" t="s">
        <v>10</v>
      </c>
      <c r="C3640" t="s">
        <v>11</v>
      </c>
      <c r="D3640" t="str">
        <f>HYPERLINK("https://us2.cloudbeds.com/connect/10074733072513#/reservations/30681949933699?display=Mary%20Kinder&amp;reservation_id=30681949933699&amp;guest_id=30679981105298", "Mary Kinder")</f>
        <v>Mary Kinder</v>
      </c>
      <c r="E3640" t="s">
        <v>4528</v>
      </c>
      <c r="F3640" t="s">
        <v>3760</v>
      </c>
      <c r="G3640">
        <v>94.16</v>
      </c>
      <c r="H3640">
        <v>102.34</v>
      </c>
      <c r="I3640">
        <v>102.35</v>
      </c>
      <c r="J3640">
        <v>-0.01</v>
      </c>
    </row>
    <row r="3641" spans="1:10" x14ac:dyDescent="0.3">
      <c r="A3641" t="str">
        <f>HYPERLINK("https://us2.cloudbeds.com/connect/10074733072513#/reservations/30681469227249?display=YQU1YX10Q&amp;reservation_id=30681469227249", "YQU1YX10Q")</f>
        <v>YQU1YX10Q</v>
      </c>
      <c r="B3641" t="s">
        <v>10</v>
      </c>
      <c r="C3641" t="s">
        <v>42</v>
      </c>
      <c r="D3641" t="str">
        <f>HYPERLINK("https://us2.cloudbeds.com/connect/10074733072513#/reservations/30681469227249?display=Janet%20Molohon&amp;reservation_id=30681469227249&amp;guest_id=30681462141081", "Janet Molohon")</f>
        <v>Janet Molohon</v>
      </c>
      <c r="E3641" t="s">
        <v>4531</v>
      </c>
      <c r="F3641" t="s">
        <v>4519</v>
      </c>
      <c r="G3641">
        <v>134.1</v>
      </c>
      <c r="H3641">
        <v>145.76</v>
      </c>
      <c r="I3641">
        <v>145.77000000000001</v>
      </c>
      <c r="J3641">
        <v>-0.01</v>
      </c>
    </row>
    <row r="3642" spans="1:10" x14ac:dyDescent="0.3">
      <c r="A3642" t="str">
        <f>HYPERLINK("https://us2.cloudbeds.com/connect/10074733072513#/reservations/30681628565697?display=YQU5NTSAK&amp;reservation_id=30681628565697", "YQU5NTSAK")</f>
        <v>YQU5NTSAK</v>
      </c>
      <c r="B3642" t="s">
        <v>10</v>
      </c>
      <c r="C3642" t="s">
        <v>42</v>
      </c>
      <c r="D3642" t="str">
        <f>HYPERLINK("https://us2.cloudbeds.com/connect/10074733072513#/reservations/30681628565697?display=Janyce%20Afdahl&amp;reservation_id=30681628565697&amp;guest_id=30681621860532", "Janyce Afdahl")</f>
        <v>Janyce Afdahl</v>
      </c>
      <c r="E3642" t="s">
        <v>4533</v>
      </c>
      <c r="F3642" t="s">
        <v>4506</v>
      </c>
      <c r="G3642">
        <v>196.2</v>
      </c>
      <c r="H3642">
        <v>213.26</v>
      </c>
      <c r="I3642">
        <v>213.27</v>
      </c>
      <c r="J3642">
        <v>-0.01</v>
      </c>
    </row>
    <row r="3643" spans="1:10" x14ac:dyDescent="0.3">
      <c r="A3643" t="str">
        <f>HYPERLINK("https://us2.cloudbeds.com/connect/10074733072513#/reservations/30681752244479?display=YQU8T6D9G&amp;reservation_id=30681752244479", "YQU8T6D9G")</f>
        <v>YQU8T6D9G</v>
      </c>
      <c r="B3643" t="s">
        <v>10</v>
      </c>
      <c r="C3643" t="s">
        <v>20</v>
      </c>
      <c r="D3643" t="str">
        <f>HYPERLINK("https://us2.cloudbeds.com/connect/10074733072513#/reservations/30681752244479?display=Rose%20Boby&amp;reservation_id=30681752244479&amp;guest_id=30681752244466", "Rose Boby")</f>
        <v>Rose Boby</v>
      </c>
      <c r="E3643" t="s">
        <v>4535</v>
      </c>
      <c r="F3643" t="s">
        <v>4452</v>
      </c>
      <c r="G3643">
        <v>93.2</v>
      </c>
      <c r="H3643">
        <v>101.3</v>
      </c>
      <c r="I3643">
        <v>101.31</v>
      </c>
      <c r="J3643">
        <v>-0.01</v>
      </c>
    </row>
    <row r="3644" spans="1:10" x14ac:dyDescent="0.3">
      <c r="A3644" t="str">
        <f>HYPERLINK("https://us2.cloudbeds.com/connect/10074733072513#/reservations/30681298682098?display=YQTU9ZBTU&amp;reservation_id=30681298682098", "YQTU9ZBTU")</f>
        <v>YQTU9ZBTU</v>
      </c>
      <c r="B3644" t="s">
        <v>10</v>
      </c>
      <c r="C3644" t="s">
        <v>11</v>
      </c>
      <c r="D3644" t="str">
        <f>HYPERLINK("https://us2.cloudbeds.com/connect/10074733072513#/reservations/30681298682098?display=Zach%20Quien&amp;reservation_id=30681298682098&amp;guest_id=30681298682087", "Zach Quien")</f>
        <v>Zach Quien</v>
      </c>
      <c r="E3644" t="s">
        <v>4537</v>
      </c>
      <c r="F3644" t="s">
        <v>4318</v>
      </c>
      <c r="G3644">
        <v>87.2</v>
      </c>
      <c r="H3644">
        <v>94.78</v>
      </c>
      <c r="I3644">
        <v>94.79</v>
      </c>
      <c r="J3644">
        <v>-0.01</v>
      </c>
    </row>
    <row r="3645" spans="1:10" x14ac:dyDescent="0.3">
      <c r="A3645" t="str">
        <f>HYPERLINK("https://us2.cloudbeds.com/connect/10074733072513#/reservations/30681497596138?display=YQU2CFEE3&amp;reservation_id=30681497596138", "YQU2CFEE3")</f>
        <v>YQU2CFEE3</v>
      </c>
      <c r="B3645" t="s">
        <v>10</v>
      </c>
      <c r="C3645" t="s">
        <v>42</v>
      </c>
      <c r="D3645" t="str">
        <f>HYPERLINK("https://us2.cloudbeds.com/connect/10074733072513#/reservations/30681497596138?display=Amy%20Bochman&amp;reservation_id=30681497596138&amp;guest_id=30681497596134", "Amy Bochman")</f>
        <v>Amy Bochman</v>
      </c>
      <c r="E3645" t="s">
        <v>4541</v>
      </c>
      <c r="F3645" t="s">
        <v>4506</v>
      </c>
      <c r="G3645">
        <v>196.2</v>
      </c>
      <c r="H3645">
        <v>213.26</v>
      </c>
      <c r="I3645">
        <v>213.27</v>
      </c>
      <c r="J3645">
        <v>-0.01</v>
      </c>
    </row>
    <row r="3646" spans="1:10" x14ac:dyDescent="0.3">
      <c r="A3646" t="str">
        <f>HYPERLINK("https://us2.cloudbeds.com/connect/10074733072513#/reservations/31672351789305?display=MH59WVWJH&amp;reservation_id=31672351789305", "MH59WVWJH")</f>
        <v>MH59WVWJH</v>
      </c>
      <c r="B3646" t="s">
        <v>10</v>
      </c>
      <c r="C3646" t="s">
        <v>11</v>
      </c>
      <c r="D3646" t="str">
        <f>HYPERLINK("https://us2.cloudbeds.com/connect/10074733072513#/reservations/31672351789305?display=Greg%20Gustafson&amp;reservation_id=31672351789305&amp;guest_id=31672351789301", "Greg Gustafson")</f>
        <v>Greg Gustafson</v>
      </c>
      <c r="E3646" t="s">
        <v>4545</v>
      </c>
      <c r="F3646" t="s">
        <v>4546</v>
      </c>
      <c r="G3646">
        <v>103.2</v>
      </c>
      <c r="H3646">
        <v>112.17</v>
      </c>
      <c r="I3646">
        <v>112.18</v>
      </c>
      <c r="J3646">
        <v>-0.01</v>
      </c>
    </row>
    <row r="3647" spans="1:10" x14ac:dyDescent="0.3">
      <c r="A3647" t="str">
        <f>HYPERLINK("https://us2.cloudbeds.com/connect/10074733072513#/reservations/31674662228100?display=MH7316BYB&amp;reservation_id=31674662228100", "MH7316BYB")</f>
        <v>MH7316BYB</v>
      </c>
      <c r="B3647" t="s">
        <v>10</v>
      </c>
      <c r="C3647" t="s">
        <v>20</v>
      </c>
      <c r="D3647" t="str">
        <f>HYPERLINK("https://us2.cloudbeds.com/connect/10074733072513#/reservations/31674662228100?display=Lisa%20Boettcher&amp;reservation_id=31674662228100&amp;guest_id=31674662224063", "Lisa Boettcher")</f>
        <v>Lisa Boettcher</v>
      </c>
      <c r="E3647" t="s">
        <v>4552</v>
      </c>
      <c r="F3647" t="s">
        <v>3836</v>
      </c>
      <c r="G3647">
        <v>118.15</v>
      </c>
      <c r="H3647">
        <v>128.41999999999999</v>
      </c>
      <c r="I3647">
        <v>128.43</v>
      </c>
      <c r="J3647">
        <v>-0.01</v>
      </c>
    </row>
    <row r="3648" spans="1:10" x14ac:dyDescent="0.3">
      <c r="A3648" t="str">
        <f>HYPERLINK("https://us2.cloudbeds.com/connect/10074733072513#/reservations/31671819669713?display=MH4TD8W6D&amp;reservation_id=31671819669713", "MH4TD8W6D")</f>
        <v>MH4TD8W6D</v>
      </c>
      <c r="B3648" t="s">
        <v>10</v>
      </c>
      <c r="C3648" t="s">
        <v>14</v>
      </c>
      <c r="D3648" t="str">
        <f>HYPERLINK("https://us2.cloudbeds.com/connect/10074733072513#/reservations/31671819669713?display=Charles%20Beckman&amp;reservation_id=31671819669713&amp;guest_id=31671819669707", "Charles Beckman")</f>
        <v>Charles Beckman</v>
      </c>
      <c r="E3648" t="s">
        <v>4567</v>
      </c>
      <c r="F3648" t="s">
        <v>3545</v>
      </c>
      <c r="G3648">
        <v>219.3</v>
      </c>
      <c r="H3648">
        <v>238.37</v>
      </c>
      <c r="I3648">
        <v>238.38</v>
      </c>
      <c r="J3648">
        <v>-0.01</v>
      </c>
    </row>
    <row r="3649" spans="1:10" x14ac:dyDescent="0.3">
      <c r="A3649" t="str">
        <f>HYPERLINK("https://us2.cloudbeds.com/connect/10074733072513#/reservations/30681290289302?display=YQTU2YR0P&amp;reservation_id=30681290289302", "YQTU2YR0P")</f>
        <v>YQTU2YR0P</v>
      </c>
      <c r="B3649" t="s">
        <v>10</v>
      </c>
      <c r="C3649" t="s">
        <v>11</v>
      </c>
      <c r="D3649" t="str">
        <f>HYPERLINK("https://us2.cloudbeds.com/connect/10074733072513#/reservations/30681290289302?display=Allison%20Marker&amp;reservation_id=30681290289302&amp;guest_id=30681290285210", "Allison Marker")</f>
        <v>Allison Marker</v>
      </c>
      <c r="E3649" t="s">
        <v>4568</v>
      </c>
      <c r="F3649" t="s">
        <v>4216</v>
      </c>
      <c r="G3649">
        <v>87.2</v>
      </c>
      <c r="H3649">
        <v>94.78</v>
      </c>
      <c r="I3649">
        <v>94.79</v>
      </c>
      <c r="J3649">
        <v>-0.01</v>
      </c>
    </row>
    <row r="3650" spans="1:10" x14ac:dyDescent="0.3">
      <c r="A3650" t="str">
        <f>HYPERLINK("https://us2.cloudbeds.com/connect/10074733072513#/reservations/30681710362851?display=YQU7QSWG8&amp;reservation_id=30681710362851", "YQU7QSWG8")</f>
        <v>YQU7QSWG8</v>
      </c>
      <c r="B3650" t="s">
        <v>10</v>
      </c>
      <c r="C3650" t="s">
        <v>20</v>
      </c>
      <c r="D3650" t="str">
        <f>HYPERLINK("https://us2.cloudbeds.com/connect/10074733072513#/reservations/30681710362851?display=Jennifer%20Hopson&amp;reservation_id=30681710362851&amp;guest_id=30681710362833", "Jennifer Hopson")</f>
        <v>Jennifer Hopson</v>
      </c>
      <c r="E3650" t="s">
        <v>4570</v>
      </c>
      <c r="F3650" t="s">
        <v>4539</v>
      </c>
      <c r="G3650">
        <v>93.2</v>
      </c>
      <c r="H3650">
        <v>101.3</v>
      </c>
      <c r="I3650">
        <v>101.31</v>
      </c>
      <c r="J3650">
        <v>-0.01</v>
      </c>
    </row>
    <row r="3651" spans="1:10" x14ac:dyDescent="0.3">
      <c r="A3651" t="str">
        <f>HYPERLINK("https://us2.cloudbeds.com/connect/10074733072513#/reservations/31671607472260?display=MH4NWB8SX&amp;reservation_id=31671607472260", "MH4NWB8SX")</f>
        <v>MH4NWB8SX</v>
      </c>
      <c r="B3651" t="s">
        <v>10</v>
      </c>
      <c r="C3651" t="s">
        <v>11</v>
      </c>
      <c r="D3651" t="str">
        <f>HYPERLINK("https://us2.cloudbeds.com/connect/10074733072513#/reservations/31671607472260?display=Keith%20Fleming%20Jr&amp;reservation_id=31671607472260&amp;guest_id=31671600361698", "Keith Fleming Jr")</f>
        <v>Keith Fleming Jr</v>
      </c>
      <c r="E3651" t="s">
        <v>4571</v>
      </c>
      <c r="F3651" t="s">
        <v>4369</v>
      </c>
      <c r="G3651">
        <v>94.16</v>
      </c>
      <c r="H3651">
        <v>102.34</v>
      </c>
      <c r="I3651">
        <v>102.35</v>
      </c>
      <c r="J3651">
        <v>-0.01</v>
      </c>
    </row>
    <row r="3652" spans="1:10" x14ac:dyDescent="0.3">
      <c r="A3652" t="str">
        <f>HYPERLINK("https://us2.cloudbeds.com/connect/10074733072513#/reservations/30681635360935?display=YQU5TKV6U&amp;reservation_id=30681635360935", "YQU5TKV6U")</f>
        <v>YQU5TKV6U</v>
      </c>
      <c r="B3652" t="s">
        <v>10</v>
      </c>
      <c r="C3652" t="s">
        <v>14</v>
      </c>
      <c r="D3652" t="str">
        <f>HYPERLINK("https://us2.cloudbeds.com/connect/10074733072513#/reservations/30681635360935?display=Paula%20Kangas&amp;reservation_id=30681635360935&amp;guest_id=30681628569807", "Paula Kangas")</f>
        <v>Paula Kangas</v>
      </c>
      <c r="E3652" t="s">
        <v>4574</v>
      </c>
      <c r="F3652" t="s">
        <v>4506</v>
      </c>
      <c r="G3652">
        <v>174.4</v>
      </c>
      <c r="H3652">
        <v>189.56</v>
      </c>
      <c r="I3652">
        <v>189.57</v>
      </c>
      <c r="J3652">
        <v>-0.01</v>
      </c>
    </row>
    <row r="3653" spans="1:10" x14ac:dyDescent="0.3">
      <c r="A3653" t="str">
        <f>HYPERLINK("https://us2.cloudbeds.com/connect/10074733072513#/reservations/30681296384222?display=YQTU7QDRA&amp;reservation_id=30681296384222", "YQTU7QDRA")</f>
        <v>YQTU7QDRA</v>
      </c>
      <c r="B3653" t="s">
        <v>10</v>
      </c>
      <c r="C3653" t="s">
        <v>121</v>
      </c>
      <c r="D3653" t="str">
        <f>HYPERLINK("https://us2.cloudbeds.com/connect/10074733072513#/reservations/30681296384222?display=Corrine%20Davies&amp;reservation_id=30681296384222&amp;guest_id=30681296384220", "Corrine Davies")</f>
        <v>Corrine Davies</v>
      </c>
      <c r="E3653" t="s">
        <v>4575</v>
      </c>
      <c r="F3653" t="s">
        <v>4134</v>
      </c>
      <c r="G3653">
        <v>250.2</v>
      </c>
      <c r="H3653">
        <v>271.95999999999998</v>
      </c>
      <c r="I3653">
        <v>271.97000000000003</v>
      </c>
      <c r="J3653">
        <v>-0.01</v>
      </c>
    </row>
    <row r="3654" spans="1:10" x14ac:dyDescent="0.3">
      <c r="A3654" t="str">
        <f>HYPERLINK("https://us2.cloudbeds.com/connect/10074733072513#/reservations/31676773757060?display=MH8NWMP1D&amp;reservation_id=31676773757060", "MH8NWMP1D")</f>
        <v>MH8NWMP1D</v>
      </c>
      <c r="B3654" t="s">
        <v>10</v>
      </c>
      <c r="C3654" t="s">
        <v>14</v>
      </c>
      <c r="D3654" t="str">
        <f>HYPERLINK("https://us2.cloudbeds.com/connect/10074733072513#/reservations/31676773757060?display=Michael%20Desmond&amp;reservation_id=31676773757060&amp;guest_id=31676767305959", "Michael Desmond")</f>
        <v>Michael Desmond</v>
      </c>
      <c r="E3654" t="s">
        <v>4576</v>
      </c>
      <c r="F3654" t="s">
        <v>4577</v>
      </c>
      <c r="G3654">
        <v>500.4</v>
      </c>
      <c r="H3654">
        <v>543.91999999999996</v>
      </c>
      <c r="I3654">
        <v>543.92999999999995</v>
      </c>
      <c r="J3654">
        <v>-0.01</v>
      </c>
    </row>
    <row r="3655" spans="1:10" x14ac:dyDescent="0.3">
      <c r="A3655" t="str">
        <f>HYPERLINK("https://us2.cloudbeds.com/connect/10074733072513#/reservations/30681277571232?display=YQTTZUUBN&amp;reservation_id=30681277571232", "YQTTZUUBN")</f>
        <v>YQTTZUUBN</v>
      </c>
      <c r="B3655" t="s">
        <v>10</v>
      </c>
      <c r="C3655" t="s">
        <v>20</v>
      </c>
      <c r="D3655" t="str">
        <f>HYPERLINK("https://us2.cloudbeds.com/connect/10074733072513#/reservations/30681277571232?display=Ermelinda%20Ramos&amp;reservation_id=30681277571232&amp;guest_id=30681277571230", "Ermelinda Ramos")</f>
        <v>Ermelinda Ramos</v>
      </c>
      <c r="E3655" t="s">
        <v>4578</v>
      </c>
      <c r="F3655" t="s">
        <v>4318</v>
      </c>
      <c r="G3655">
        <v>93.2</v>
      </c>
      <c r="H3655">
        <v>101.3</v>
      </c>
      <c r="I3655">
        <v>101.31</v>
      </c>
      <c r="J3655">
        <v>-0.01</v>
      </c>
    </row>
    <row r="3656" spans="1:10" x14ac:dyDescent="0.3">
      <c r="A3656" t="str">
        <f>HYPERLINK("https://us2.cloudbeds.com/connect/10074733072513#/reservations/31672493551804?display=MH5DKGZBR&amp;reservation_id=31672493551804", "MH5DKGZBR")</f>
        <v>MH5DKGZBR</v>
      </c>
      <c r="B3656" t="s">
        <v>10</v>
      </c>
      <c r="C3656" t="s">
        <v>42</v>
      </c>
      <c r="D3656" t="str">
        <f>HYPERLINK("https://us2.cloudbeds.com/connect/10074733072513#/reservations/31672493551804?display=Mark%20Humbert&amp;reservation_id=31672493551804&amp;guest_id=31672493551800", "Mark Humbert")</f>
        <v>Mark Humbert</v>
      </c>
      <c r="E3656" t="s">
        <v>4586</v>
      </c>
      <c r="F3656" t="s">
        <v>4566</v>
      </c>
      <c r="G3656">
        <v>103.2</v>
      </c>
      <c r="H3656">
        <v>112.17</v>
      </c>
      <c r="I3656">
        <v>112.18</v>
      </c>
      <c r="J3656">
        <v>-0.01</v>
      </c>
    </row>
    <row r="3657" spans="1:10" x14ac:dyDescent="0.3">
      <c r="A3657" t="str">
        <f>HYPERLINK("https://us2.cloudbeds.com/connect/10074733072513#/reservations/30681309368542?display=YQTUXZNWX&amp;reservation_id=30681309368542", "YQTUXZNWX")</f>
        <v>YQTUXZNWX</v>
      </c>
      <c r="B3657" t="s">
        <v>10</v>
      </c>
      <c r="C3657" t="s">
        <v>20</v>
      </c>
      <c r="D3657" t="str">
        <f>HYPERLINK("https://us2.cloudbeds.com/connect/10074733072513#/reservations/30681309368542?display=Sparlin%20Ryan&amp;reservation_id=30681309368542&amp;guest_id=30681309368530", "Sparlin Ryan")</f>
        <v>Sparlin Ryan</v>
      </c>
      <c r="E3657" t="s">
        <v>4590</v>
      </c>
      <c r="F3657" t="s">
        <v>4318</v>
      </c>
      <c r="G3657">
        <v>93.2</v>
      </c>
      <c r="H3657">
        <v>101.3</v>
      </c>
      <c r="I3657">
        <v>101.31</v>
      </c>
      <c r="J3657">
        <v>-0.01</v>
      </c>
    </row>
    <row r="3658" spans="1:10" x14ac:dyDescent="0.3">
      <c r="A3658" t="str">
        <f>HYPERLINK("https://us2.cloudbeds.com/connect/10074733072513#/reservations/30681645351129?display=YQU651UV2&amp;reservation_id=30681645351129", "YQU651UV2")</f>
        <v>YQU651UV2</v>
      </c>
      <c r="B3658" t="s">
        <v>10</v>
      </c>
      <c r="C3658" t="s">
        <v>20</v>
      </c>
      <c r="D3658" t="str">
        <f>HYPERLINK("https://us2.cloudbeds.com/connect/10074733072513#/reservations/30681645351129?display=Sparlin%20Ryan&amp;reservation_id=30681645351129&amp;guest_id=30681645351114", "Sparlin Ryan")</f>
        <v>Sparlin Ryan</v>
      </c>
      <c r="E3658" t="s">
        <v>4594</v>
      </c>
      <c r="F3658" t="s">
        <v>4506</v>
      </c>
      <c r="G3658">
        <v>93.2</v>
      </c>
      <c r="H3658">
        <v>101.3</v>
      </c>
      <c r="I3658">
        <v>101.31</v>
      </c>
      <c r="J3658">
        <v>-0.01</v>
      </c>
    </row>
    <row r="3659" spans="1:10" x14ac:dyDescent="0.3">
      <c r="A3659" t="str">
        <f>HYPERLINK("https://us2.cloudbeds.com/connect/10074733072513#/reservations/30681379307669?display=YQTWBNT81&amp;reservation_id=30681379307669", "YQTWBNT81")</f>
        <v>YQTWBNT81</v>
      </c>
      <c r="B3659" t="s">
        <v>10</v>
      </c>
      <c r="C3659" t="s">
        <v>14</v>
      </c>
      <c r="D3659" t="str">
        <f>HYPERLINK("https://us2.cloudbeds.com/connect/10074733072513#/reservations/30681379307669?display=David%20Clabaugh&amp;reservation_id=30681379307669&amp;guest_id=30681373651139", "David Clabaugh")</f>
        <v>David Clabaugh</v>
      </c>
      <c r="E3659" t="s">
        <v>4595</v>
      </c>
      <c r="F3659" t="s">
        <v>4491</v>
      </c>
      <c r="G3659">
        <v>137.76</v>
      </c>
      <c r="H3659">
        <v>149.74</v>
      </c>
      <c r="I3659">
        <v>149.75</v>
      </c>
      <c r="J3659">
        <v>-0.01</v>
      </c>
    </row>
    <row r="3660" spans="1:10" x14ac:dyDescent="0.3">
      <c r="A3660" t="str">
        <f>HYPERLINK("https://us2.cloudbeds.com/connect/10074733072513#/reservations/30681456500934?display=YQU1AQTPT&amp;reservation_id=30681456500934", "YQU1AQTPT")</f>
        <v>YQU1AQTPT</v>
      </c>
      <c r="B3660" t="s">
        <v>10</v>
      </c>
      <c r="C3660" t="s">
        <v>20</v>
      </c>
      <c r="D3660" t="str">
        <f>HYPERLINK("https://us2.cloudbeds.com/connect/10074733072513#/reservations/30681456500934?display=Lauren%20O'Brien&amp;reservation_id=30681456500934&amp;guest_id=30681456496889", "Lauren O'Brien")</f>
        <v>Lauren O'Brien</v>
      </c>
      <c r="E3660" t="s">
        <v>4602</v>
      </c>
      <c r="F3660" t="s">
        <v>4328</v>
      </c>
      <c r="G3660">
        <v>93.2</v>
      </c>
      <c r="H3660">
        <v>101.3</v>
      </c>
      <c r="I3660">
        <v>101.31</v>
      </c>
      <c r="J3660">
        <v>-0.01</v>
      </c>
    </row>
    <row r="3661" spans="1:10" x14ac:dyDescent="0.3">
      <c r="A3661" t="str">
        <f>HYPERLINK("https://us2.cloudbeds.com/connect/10074733072513#/reservations/30681389789329?display=YQTWKXX93&amp;reservation_id=30681389789329", "YQTWKXX93")</f>
        <v>YQTWKXX93</v>
      </c>
      <c r="B3661" t="s">
        <v>10</v>
      </c>
      <c r="C3661" t="s">
        <v>11</v>
      </c>
      <c r="D3661" t="str">
        <f>HYPERLINK("https://us2.cloudbeds.com/connect/10074733072513#/reservations/30681389789329?display=Joanna%20Erber&amp;reservation_id=30681389789329&amp;guest_id=30681389789324", "Joanna Erber")</f>
        <v>Joanna Erber</v>
      </c>
      <c r="E3661" t="s">
        <v>4603</v>
      </c>
      <c r="F3661" t="s">
        <v>4491</v>
      </c>
      <c r="G3661">
        <v>87.2</v>
      </c>
      <c r="H3661">
        <v>94.78</v>
      </c>
      <c r="I3661">
        <v>94.79</v>
      </c>
      <c r="J3661">
        <v>-0.01</v>
      </c>
    </row>
    <row r="3662" spans="1:10" x14ac:dyDescent="0.3">
      <c r="A3662" t="str">
        <f>HYPERLINK("https://us2.cloudbeds.com/connect/10074733072513#/reservations/31671610495203?display=MH4Z1TCZT&amp;reservation_id=31671610495203", "MH4Z1TCZT")</f>
        <v>MH4Z1TCZT</v>
      </c>
      <c r="B3662" t="s">
        <v>10</v>
      </c>
      <c r="C3662" t="s">
        <v>11</v>
      </c>
      <c r="D3662" t="str">
        <f>HYPERLINK("https://us2.cloudbeds.com/connect/10074733072513#/reservations/31671610495203?display=Jessica%20Vanderham&amp;reservation_id=31671610495203&amp;guest_id=31671610495201", "Jessica Vanderham")</f>
        <v>Jessica Vanderham</v>
      </c>
      <c r="E3662" t="s">
        <v>4606</v>
      </c>
      <c r="F3662" t="s">
        <v>3545</v>
      </c>
      <c r="G3662">
        <v>103.2</v>
      </c>
      <c r="H3662">
        <v>112.17</v>
      </c>
      <c r="I3662">
        <v>112.18</v>
      </c>
      <c r="J3662">
        <v>-0.01</v>
      </c>
    </row>
    <row r="3663" spans="1:10" x14ac:dyDescent="0.3">
      <c r="A3663" t="str">
        <f>HYPERLINK("https://us2.cloudbeds.com/connect/10074733072513#/reservations/31671566413977?display=MH4MUNP45&amp;reservation_id=31671566413977", "MH4MUNP45")</f>
        <v>MH4MUNP45</v>
      </c>
      <c r="B3663" t="s">
        <v>10</v>
      </c>
      <c r="C3663" t="s">
        <v>11</v>
      </c>
      <c r="D3663" t="str">
        <f>HYPERLINK("https://us2.cloudbeds.com/connect/10074733072513#/reservations/31671566413977?display=Darrell%20Severson&amp;reservation_id=31671566413977&amp;guest_id=31671566409893", "Darrell Severson")</f>
        <v>Darrell Severson</v>
      </c>
      <c r="E3663" t="s">
        <v>4608</v>
      </c>
      <c r="F3663" t="s">
        <v>4369</v>
      </c>
      <c r="G3663">
        <v>134.1</v>
      </c>
      <c r="H3663">
        <v>145.76</v>
      </c>
      <c r="I3663">
        <v>145.77000000000001</v>
      </c>
      <c r="J3663">
        <v>-0.01</v>
      </c>
    </row>
    <row r="3664" spans="1:10" x14ac:dyDescent="0.3">
      <c r="A3664" t="str">
        <f>HYPERLINK("https://us2.cloudbeds.com/connect/10074733072513#/reservations/30681342976130?display=YQTVE2TVA&amp;reservation_id=30681342976130", "YQTVE2TVA")</f>
        <v>YQTVE2TVA</v>
      </c>
      <c r="B3664" t="s">
        <v>10</v>
      </c>
      <c r="C3664" t="s">
        <v>11</v>
      </c>
      <c r="D3664" t="str">
        <f>HYPERLINK("https://us2.cloudbeds.com/connect/10074733072513#/reservations/30681342976130?display=Deryl%20Oldag&amp;reservation_id=30681342976130&amp;guest_id=30681335324854", "Deryl Oldag")</f>
        <v>Deryl Oldag</v>
      </c>
      <c r="E3664" t="s">
        <v>4609</v>
      </c>
      <c r="F3664" t="s">
        <v>4491</v>
      </c>
      <c r="G3664">
        <v>94.16</v>
      </c>
      <c r="H3664">
        <v>102.34</v>
      </c>
      <c r="I3664">
        <v>102.35</v>
      </c>
      <c r="J3664">
        <v>-0.01</v>
      </c>
    </row>
    <row r="3665" spans="1:10" x14ac:dyDescent="0.3">
      <c r="A3665" t="str">
        <f>HYPERLINK("https://us2.cloudbeds.com/connect/10074733072513#/reservations/30681386529014?display=YQTWHQRDM&amp;reservation_id=30681386529014", "YQTWHQRDM")</f>
        <v>YQTWHQRDM</v>
      </c>
      <c r="B3665" t="s">
        <v>10</v>
      </c>
      <c r="C3665" t="s">
        <v>11</v>
      </c>
      <c r="D3665" t="str">
        <f>HYPERLINK("https://us2.cloudbeds.com/connect/10074733072513#/reservations/30681386529014?display=Moses%20Town&amp;reservation_id=30681386529014&amp;guest_id=30681379311774", "Moses Town")</f>
        <v>Moses Town</v>
      </c>
      <c r="E3665" t="s">
        <v>4612</v>
      </c>
      <c r="F3665" t="s">
        <v>4491</v>
      </c>
      <c r="G3665">
        <v>154.88</v>
      </c>
      <c r="H3665">
        <v>168.34</v>
      </c>
      <c r="I3665">
        <v>168.35</v>
      </c>
      <c r="J3665">
        <v>-0.01</v>
      </c>
    </row>
    <row r="3666" spans="1:10" x14ac:dyDescent="0.3">
      <c r="A3666" t="str">
        <f>HYPERLINK("https://us2.cloudbeds.com/connect/10074733072513#/reservations/31671631868119?display=MH4ZJU3V0&amp;reservation_id=31671631868119", "MH4ZJU3V0")</f>
        <v>MH4ZJU3V0</v>
      </c>
      <c r="B3666" t="s">
        <v>10</v>
      </c>
      <c r="C3666" t="s">
        <v>14</v>
      </c>
      <c r="D3666" t="str">
        <f>HYPERLINK("https://us2.cloudbeds.com/connect/10074733072513#/reservations/31671631868119?display=Janna%20Nolmans&amp;reservation_id=31671631868119&amp;guest_id=31671631864022", "Janna Nolmans")</f>
        <v>Janna Nolmans</v>
      </c>
      <c r="E3666" t="s">
        <v>4624</v>
      </c>
      <c r="F3666" t="s">
        <v>3545</v>
      </c>
      <c r="G3666">
        <v>94.16</v>
      </c>
      <c r="H3666">
        <v>102.34</v>
      </c>
      <c r="I3666">
        <v>102.35</v>
      </c>
      <c r="J3666">
        <v>-0.01</v>
      </c>
    </row>
    <row r="3667" spans="1:10" x14ac:dyDescent="0.3">
      <c r="A3667" t="str">
        <f>HYPERLINK("https://us2.cloudbeds.com/connect/10074733072513#/reservations/31676546871480?display=MH8X6CAWQ&amp;reservation_id=31676546871480", "MH8X6CAWQ")</f>
        <v>MH8X6CAWQ</v>
      </c>
      <c r="B3667" t="s">
        <v>10</v>
      </c>
      <c r="C3667" t="s">
        <v>20</v>
      </c>
      <c r="D3667" t="str">
        <f>HYPERLINK("https://us2.cloudbeds.com/connect/10074733072513#/reservations/31676546871480?display=Robin%20Ladd&amp;reservation_id=31676546871480&amp;guest_id=31676546871470", "Robin Ladd")</f>
        <v>Robin Ladd</v>
      </c>
      <c r="E3667" t="s">
        <v>4625</v>
      </c>
      <c r="F3667" t="s">
        <v>4530</v>
      </c>
      <c r="G3667">
        <v>143.65</v>
      </c>
      <c r="H3667">
        <v>156.13999999999999</v>
      </c>
      <c r="I3667">
        <v>156.15</v>
      </c>
      <c r="J3667">
        <v>-0.01</v>
      </c>
    </row>
    <row r="3668" spans="1:10" x14ac:dyDescent="0.3">
      <c r="A3668" t="str">
        <f>HYPERLINK("https://us2.cloudbeds.com/connect/10074733072513#/reservations/31672676954251?display=MH5XA55WM&amp;reservation_id=31672676954251", "MH5XA55WM")</f>
        <v>MH5XA55WM</v>
      </c>
      <c r="B3668" t="s">
        <v>10</v>
      </c>
      <c r="C3668" t="s">
        <v>11</v>
      </c>
      <c r="D3668" t="str">
        <f>HYPERLINK("https://us2.cloudbeds.com/connect/10074733072513#/reservations/31672676954251?display=Hilary%20Mathis&amp;reservation_id=31672676954251&amp;guest_id=31672676950172", "Hilary Mathis")</f>
        <v>Hilary Mathis</v>
      </c>
      <c r="E3668" t="s">
        <v>4626</v>
      </c>
      <c r="F3668" t="s">
        <v>4627</v>
      </c>
      <c r="G3668">
        <v>127.2</v>
      </c>
      <c r="H3668">
        <v>138.26</v>
      </c>
      <c r="I3668">
        <v>138.27000000000001</v>
      </c>
      <c r="J3668">
        <v>-0.01</v>
      </c>
    </row>
    <row r="3669" spans="1:10" x14ac:dyDescent="0.3">
      <c r="A3669" t="str">
        <f>HYPERLINK("https://us2.cloudbeds.com/connect/10074733072513#/reservations/31671910711449?display=MH4VZ1BDT&amp;reservation_id=31671910711449", "MH4VZ1BDT")</f>
        <v>MH4VZ1BDT</v>
      </c>
      <c r="B3669" t="s">
        <v>10</v>
      </c>
      <c r="C3669" t="s">
        <v>14</v>
      </c>
      <c r="D3669" t="str">
        <f>HYPERLINK("https://us2.cloudbeds.com/connect/10074733072513#/reservations/31671910711449?display=Rhonda%20Singleton&amp;reservation_id=31671910711449&amp;guest_id=30662668746976", "Rhonda Singleton")</f>
        <v>Rhonda Singleton</v>
      </c>
      <c r="E3669" t="s">
        <v>1767</v>
      </c>
      <c r="F3669" t="s">
        <v>4160</v>
      </c>
      <c r="G3669">
        <v>106.07</v>
      </c>
      <c r="H3669">
        <v>115.29</v>
      </c>
      <c r="I3669">
        <v>115.3</v>
      </c>
      <c r="J3669">
        <v>-0.01</v>
      </c>
    </row>
    <row r="3670" spans="1:10" x14ac:dyDescent="0.3">
      <c r="A3670" t="str">
        <f>HYPERLINK("https://us2.cloudbeds.com/connect/10074733072513#/reservations/31671945318591?display=MH4WK7B85&amp;reservation_id=31671945318591", "MH4WK7B85")</f>
        <v>MH4WK7B85</v>
      </c>
      <c r="B3670" t="s">
        <v>10</v>
      </c>
      <c r="C3670" t="s">
        <v>11</v>
      </c>
      <c r="D3670" t="str">
        <f>HYPERLINK("https://us2.cloudbeds.com/connect/10074733072513#/reservations/31671945318591?display=Cody%20Free&amp;reservation_id=31671945318591&amp;guest_id=31671945318531", "Cody Free")</f>
        <v>Cody Free</v>
      </c>
      <c r="E3670" t="s">
        <v>4628</v>
      </c>
      <c r="F3670" t="s">
        <v>4629</v>
      </c>
      <c r="G3670">
        <v>142.9</v>
      </c>
      <c r="H3670">
        <v>155.32</v>
      </c>
      <c r="I3670">
        <v>155.33000000000001</v>
      </c>
      <c r="J3670">
        <v>-0.01</v>
      </c>
    </row>
    <row r="3671" spans="1:10" x14ac:dyDescent="0.3">
      <c r="A3671" t="str">
        <f>HYPERLINK("https://us2.cloudbeds.com/connect/10074733072513#/reservations/31679000420558?display=MHAET8VES&amp;reservation_id=31679000420558", "MHAET8VES")</f>
        <v>MHAET8VES</v>
      </c>
      <c r="B3671" t="s">
        <v>10</v>
      </c>
      <c r="C3671" t="s">
        <v>42</v>
      </c>
      <c r="D3671" t="str">
        <f>HYPERLINK("https://us2.cloudbeds.com/connect/10074733072513#/reservations/31679000420558?display=Leah%20Haaland&amp;reservation_id=31679000420558&amp;guest_id=31678993526972", "Leah Haaland")</f>
        <v>Leah Haaland</v>
      </c>
      <c r="E3671" t="s">
        <v>4644</v>
      </c>
      <c r="F3671" t="s">
        <v>4645</v>
      </c>
      <c r="G3671">
        <v>546.29999999999995</v>
      </c>
      <c r="H3671">
        <v>593.82000000000005</v>
      </c>
      <c r="I3671">
        <v>593.83000000000004</v>
      </c>
      <c r="J3671">
        <v>-0.01</v>
      </c>
    </row>
    <row r="3672" spans="1:10" x14ac:dyDescent="0.3">
      <c r="A3672" t="str">
        <f>HYPERLINK("https://us2.cloudbeds.com/connect/10074733072513#/reservations/31671824375961?display=MH4TH7UQW&amp;reservation_id=31671824375961", "MH4TH7UQW")</f>
        <v>MH4TH7UQW</v>
      </c>
      <c r="B3672" t="s">
        <v>10</v>
      </c>
      <c r="C3672" t="s">
        <v>17</v>
      </c>
      <c r="D3672" t="str">
        <f>HYPERLINK("https://us2.cloudbeds.com/connect/10074733072513#/reservations/31671824375961?display=William%20Graves&amp;reservation_id=31671824375961&amp;guest_id=30648454471826", "William Graves")</f>
        <v>William Graves</v>
      </c>
      <c r="E3672" t="s">
        <v>447</v>
      </c>
      <c r="F3672" t="s">
        <v>4646</v>
      </c>
      <c r="G3672">
        <v>196.2</v>
      </c>
      <c r="H3672">
        <v>213.26</v>
      </c>
      <c r="I3672">
        <v>213.27</v>
      </c>
      <c r="J3672">
        <v>-0.01</v>
      </c>
    </row>
    <row r="3673" spans="1:10" x14ac:dyDescent="0.3">
      <c r="A3673" t="str">
        <f>HYPERLINK("https://us2.cloudbeds.com/connect/10074733072513#/reservations/31671915901090?display=MH4VSDZUE&amp;reservation_id=31671915901090", "MH4VSDZUE")</f>
        <v>MH4VSDZUE</v>
      </c>
      <c r="B3673" t="s">
        <v>10</v>
      </c>
      <c r="C3673" t="s">
        <v>20</v>
      </c>
      <c r="D3673" t="str">
        <f>HYPERLINK("https://us2.cloudbeds.com/connect/10074733072513#/reservations/31671915901090?display=Hinners%20Amanda&amp;reservation_id=31671915901090&amp;guest_id=31671907434630", "Hinners Amanda")</f>
        <v>Hinners Amanda</v>
      </c>
      <c r="E3673" t="s">
        <v>4647</v>
      </c>
      <c r="F3673" t="s">
        <v>4340</v>
      </c>
      <c r="G3673">
        <v>268.2</v>
      </c>
      <c r="H3673">
        <v>291.52</v>
      </c>
      <c r="I3673">
        <v>291.52999999999997</v>
      </c>
      <c r="J3673">
        <v>-0.01</v>
      </c>
    </row>
    <row r="3674" spans="1:10" x14ac:dyDescent="0.3">
      <c r="A3674" t="str">
        <f>HYPERLINK("https://us2.cloudbeds.com/connect/10074733072513#/reservations/31671607468160?display=MH4NQBDE1&amp;reservation_id=31671607468160", "MH4NQBDE1")</f>
        <v>MH4NQBDE1</v>
      </c>
      <c r="B3674" t="s">
        <v>10</v>
      </c>
      <c r="C3674" t="s">
        <v>14</v>
      </c>
      <c r="D3674" t="str">
        <f>HYPERLINK("https://us2.cloudbeds.com/connect/10074733072513#/reservations/31671607468160?display=Hanna%20Alverson&amp;reservation_id=31671607468160&amp;guest_id=31671600361687", "Hanna Alverson")</f>
        <v>Hanna Alverson</v>
      </c>
      <c r="E3674" t="s">
        <v>4649</v>
      </c>
      <c r="F3674" t="s">
        <v>4650</v>
      </c>
      <c r="G3674">
        <v>206.64</v>
      </c>
      <c r="H3674">
        <v>224.61</v>
      </c>
      <c r="I3674">
        <v>224.62</v>
      </c>
      <c r="J3674">
        <v>-0.01</v>
      </c>
    </row>
    <row r="3675" spans="1:10" x14ac:dyDescent="0.3">
      <c r="A3675" t="str">
        <f>HYPERLINK("https://us2.cloudbeds.com/connect/10074733072513#/reservations/31671583699171?display=MH4NC9ZYU&amp;reservation_id=31671583699171", "MH4NC9ZYU")</f>
        <v>MH4NC9ZYU</v>
      </c>
      <c r="B3675" t="s">
        <v>10</v>
      </c>
      <c r="C3675" t="s">
        <v>20</v>
      </c>
      <c r="D3675" t="str">
        <f>HYPERLINK("https://us2.cloudbeds.com/connect/10074733072513#/reservations/31671583699171?display=Lynn%20Jarosz%20Goode&amp;reservation_id=31671583699171&amp;guest_id=31671576641675", "Lynn Jarosz Goode")</f>
        <v>Lynn Jarosz Goode</v>
      </c>
      <c r="E3675" t="s">
        <v>4651</v>
      </c>
      <c r="F3675" t="s">
        <v>4652</v>
      </c>
      <c r="G3675">
        <v>93.2</v>
      </c>
      <c r="H3675">
        <v>101.3</v>
      </c>
      <c r="I3675">
        <v>101.31</v>
      </c>
      <c r="J3675">
        <v>-0.01</v>
      </c>
    </row>
    <row r="3676" spans="1:10" x14ac:dyDescent="0.3">
      <c r="A3676" t="str">
        <f>HYPERLINK("https://us2.cloudbeds.com/connect/10074733072513#/reservations/31672140112048?display=MH54JFZV6&amp;reservation_id=31672140112048", "MH54JFZV6")</f>
        <v>MH54JFZV6</v>
      </c>
      <c r="B3676" t="s">
        <v>10</v>
      </c>
      <c r="C3676" t="s">
        <v>42</v>
      </c>
      <c r="D3676" t="str">
        <f>HYPERLINK("https://us2.cloudbeds.com/connect/10074733072513#/reservations/31672140112048?display=Sandra%20Moore&amp;reservation_id=31672140112048&amp;guest_id=31672140112043", "Sandra Moore")</f>
        <v>Sandra Moore</v>
      </c>
      <c r="E3676" t="s">
        <v>4658</v>
      </c>
      <c r="F3676" t="s">
        <v>4340</v>
      </c>
      <c r="G3676">
        <v>134.1</v>
      </c>
      <c r="H3676">
        <v>145.76</v>
      </c>
      <c r="I3676">
        <v>145.77000000000001</v>
      </c>
      <c r="J3676">
        <v>-0.01</v>
      </c>
    </row>
    <row r="3677" spans="1:10" x14ac:dyDescent="0.3">
      <c r="A3677" t="str">
        <f>HYPERLINK("https://us2.cloudbeds.com/connect/10074733072513#/reservations/31672062578894?display=MH52K399M&amp;reservation_id=31672062578894", "MH52K399M")</f>
        <v>MH52K399M</v>
      </c>
      <c r="B3677" t="s">
        <v>10</v>
      </c>
      <c r="C3677" t="s">
        <v>20</v>
      </c>
      <c r="D3677" t="str">
        <f>HYPERLINK("https://us2.cloudbeds.com/connect/10074733072513#/reservations/31672062578894?display=Marissa%20Smith&amp;reservation_id=31672062578894&amp;guest_id=31672056164529", "Marissa Smith")</f>
        <v>Marissa Smith</v>
      </c>
      <c r="E3677" t="s">
        <v>4661</v>
      </c>
      <c r="F3677" t="s">
        <v>4340</v>
      </c>
      <c r="G3677">
        <v>143.65</v>
      </c>
      <c r="H3677">
        <v>156.13999999999999</v>
      </c>
      <c r="I3677">
        <v>156.15</v>
      </c>
      <c r="J3677">
        <v>-0.01</v>
      </c>
    </row>
    <row r="3678" spans="1:10" x14ac:dyDescent="0.3">
      <c r="A3678" t="str">
        <f>HYPERLINK("https://us2.cloudbeds.com/connect/10074733072513#/reservations/31671922667713?display=MH4W141HU&amp;reservation_id=31671922667713", "MH4W141HU")</f>
        <v>MH4W141HU</v>
      </c>
      <c r="B3678" t="s">
        <v>10</v>
      </c>
      <c r="C3678" t="s">
        <v>11</v>
      </c>
      <c r="D3678" t="str">
        <f>HYPERLINK("https://us2.cloudbeds.com/connect/10074733072513#/reservations/31671922667713?display=Jason%20Ward&amp;reservation_id=31671922667713&amp;guest_id=31671922663617", "Jason Ward")</f>
        <v>Jason Ward</v>
      </c>
      <c r="E3678" t="s">
        <v>4662</v>
      </c>
      <c r="F3678" t="s">
        <v>4340</v>
      </c>
      <c r="G3678">
        <v>268.2</v>
      </c>
      <c r="H3678">
        <v>291.52</v>
      </c>
      <c r="I3678">
        <v>291.52999999999997</v>
      </c>
      <c r="J3678">
        <v>-0.01</v>
      </c>
    </row>
    <row r="3679" spans="1:10" x14ac:dyDescent="0.3">
      <c r="A3679" t="str">
        <f>HYPERLINK("https://us2.cloudbeds.com/connect/10074733072513#/reservations/31671723806867?display=MH4QVEESM&amp;reservation_id=31671723806867", "MH4QVEESM")</f>
        <v>MH4QVEESM</v>
      </c>
      <c r="B3679" t="s">
        <v>10</v>
      </c>
      <c r="C3679" t="s">
        <v>11</v>
      </c>
      <c r="D3679" t="str">
        <f>HYPERLINK("https://us2.cloudbeds.com/connect/10074733072513#/reservations/31671723806867?display=Paige%20Nelson&amp;reservation_id=31671723806867&amp;guest_id=31671723806865", "Paige Nelson")</f>
        <v>Paige Nelson</v>
      </c>
      <c r="E3679" t="s">
        <v>4663</v>
      </c>
      <c r="F3679" t="s">
        <v>4340</v>
      </c>
      <c r="G3679">
        <v>103.2</v>
      </c>
      <c r="H3679">
        <v>112.17</v>
      </c>
      <c r="I3679">
        <v>112.18</v>
      </c>
      <c r="J3679">
        <v>-0.01</v>
      </c>
    </row>
    <row r="3680" spans="1:10" x14ac:dyDescent="0.3">
      <c r="A3680" t="str">
        <f>HYPERLINK("https://us2.cloudbeds.com/connect/10074733072513#/reservations/31672041607393?display=MH522DNNY&amp;reservation_id=31672041607393", "MH522DNNY")</f>
        <v>MH522DNNY</v>
      </c>
      <c r="B3680" t="s">
        <v>10</v>
      </c>
      <c r="C3680" t="s">
        <v>42</v>
      </c>
      <c r="D3680" t="str">
        <f>HYPERLINK("https://us2.cloudbeds.com/connect/10074733072513#/reservations/31672041607393?display=Nyla%20Tornow&amp;reservation_id=31672041607393&amp;guest_id=31672041607391", "Nyla Tornow")</f>
        <v>Nyla Tornow</v>
      </c>
      <c r="E3680" t="s">
        <v>4665</v>
      </c>
      <c r="F3680" t="s">
        <v>4458</v>
      </c>
      <c r="G3680">
        <v>259.2</v>
      </c>
      <c r="H3680">
        <v>281.74</v>
      </c>
      <c r="I3680">
        <v>281.75</v>
      </c>
      <c r="J3680">
        <v>-0.01</v>
      </c>
    </row>
    <row r="3681" spans="1:10" x14ac:dyDescent="0.3">
      <c r="A3681" t="str">
        <f>HYPERLINK("https://us2.cloudbeds.com/connect/10074733072513#/reservations/31672156786905?display=MH550HP0T&amp;reservation_id=31672156786905", "MH550HP0T")</f>
        <v>MH550HP0T</v>
      </c>
      <c r="B3681" t="s">
        <v>10</v>
      </c>
      <c r="C3681" t="s">
        <v>14</v>
      </c>
      <c r="D3681" t="str">
        <f>HYPERLINK("https://us2.cloudbeds.com/connect/10074733072513#/reservations/31672156786905?display=Heather%20Rosales&amp;reservation_id=31672156786905&amp;guest_id=31672156786902", "Heather Rosales")</f>
        <v>Heather Rosales</v>
      </c>
      <c r="E3681" t="s">
        <v>4666</v>
      </c>
      <c r="F3681" t="s">
        <v>4340</v>
      </c>
      <c r="G3681">
        <v>141.49</v>
      </c>
      <c r="H3681">
        <v>153.79</v>
      </c>
      <c r="I3681">
        <v>153.80000000000001</v>
      </c>
      <c r="J3681">
        <v>-0.01</v>
      </c>
    </row>
    <row r="3682" spans="1:10" x14ac:dyDescent="0.3">
      <c r="A3682" t="str">
        <f>HYPERLINK("https://us2.cloudbeds.com/connect/10074733072513#/reservations/31672149586116?display=MH54RFCZ5&amp;reservation_id=31672149586116", "MH54RFCZ5")</f>
        <v>MH54RFCZ5</v>
      </c>
      <c r="B3682" t="s">
        <v>10</v>
      </c>
      <c r="C3682" t="s">
        <v>11</v>
      </c>
      <c r="D3682" t="str">
        <f>HYPERLINK("https://us2.cloudbeds.com/connect/10074733072513#/reservations/31672149586116?display=Marc%20Rubben&amp;reservation_id=31672149586116&amp;guest_id=31672149582079", "Marc Rubben")</f>
        <v>Marc Rubben</v>
      </c>
      <c r="E3682" t="s">
        <v>4667</v>
      </c>
      <c r="F3682" t="s">
        <v>4340</v>
      </c>
      <c r="G3682">
        <v>94.16</v>
      </c>
      <c r="H3682">
        <v>102.34</v>
      </c>
      <c r="I3682">
        <v>102.35</v>
      </c>
      <c r="J3682">
        <v>-0.01</v>
      </c>
    </row>
    <row r="3683" spans="1:10" x14ac:dyDescent="0.3">
      <c r="A3683" t="str">
        <f>HYPERLINK("https://us2.cloudbeds.com/connect/10074733072513#/reservations/31674439479499?display=MH6UBC1FZ&amp;reservation_id=31674439479499", "MH6UBC1FZ")</f>
        <v>MH6UBC1FZ</v>
      </c>
      <c r="B3683" t="s">
        <v>10</v>
      </c>
      <c r="C3683" t="s">
        <v>20</v>
      </c>
      <c r="D3683" t="str">
        <f>HYPERLINK("https://us2.cloudbeds.com/connect/10074733072513#/reservations/31674439479499?display=John%20Siegel&amp;reservation_id=31674439479499&amp;guest_id=31674439475408", "John Siegel")</f>
        <v>John Siegel</v>
      </c>
      <c r="E3683" t="s">
        <v>4671</v>
      </c>
      <c r="F3683" t="s">
        <v>4672</v>
      </c>
      <c r="G3683">
        <v>118.15</v>
      </c>
      <c r="H3683">
        <v>128.41999999999999</v>
      </c>
      <c r="I3683">
        <v>128.43</v>
      </c>
      <c r="J3683">
        <v>-0.01</v>
      </c>
    </row>
    <row r="3684" spans="1:10" x14ac:dyDescent="0.3">
      <c r="A3684" t="str">
        <f>HYPERLINK("https://us2.cloudbeds.com/connect/10074733072513#/reservations/31672020721799?display=MH51HQX0S&amp;reservation_id=31672020721799", "MH51HQX0S")</f>
        <v>MH51HQX0S</v>
      </c>
      <c r="B3684" t="s">
        <v>10</v>
      </c>
      <c r="C3684" t="s">
        <v>20</v>
      </c>
      <c r="D3684" t="str">
        <f>HYPERLINK("https://us2.cloudbeds.com/connect/10074733072513#/reservations/31672020721799?display=Jsndbd%20Bdhdndn&amp;reservation_id=31672020721799&amp;guest_id=31672020721794", "Jsndbd Bdhdndn")</f>
        <v>Jsndbd Bdhdndn</v>
      </c>
      <c r="E3684" t="s">
        <v>4674</v>
      </c>
      <c r="F3684" t="s">
        <v>4458</v>
      </c>
      <c r="G3684">
        <v>118.15</v>
      </c>
      <c r="H3684">
        <v>128.41999999999999</v>
      </c>
      <c r="I3684">
        <v>128.43</v>
      </c>
      <c r="J3684">
        <v>-0.01</v>
      </c>
    </row>
    <row r="3685" spans="1:10" x14ac:dyDescent="0.3">
      <c r="A3685" t="str">
        <f>HYPERLINK("https://us2.cloudbeds.com/connect/10074733072513#/reservations/31671848591545?display=MH4U4YPBX&amp;reservation_id=31671848591545", "MH4U4YPBX")</f>
        <v>MH4U4YPBX</v>
      </c>
      <c r="B3685" t="s">
        <v>10</v>
      </c>
      <c r="C3685" t="s">
        <v>14</v>
      </c>
      <c r="D3685" t="str">
        <f>HYPERLINK("https://us2.cloudbeds.com/connect/10074733072513#/reservations/31671848591545?display=Chris%20Vasecka&amp;reservation_id=31671848591545&amp;guest_id=31671848591534", "Chris Vasecka")</f>
        <v>Chris Vasecka</v>
      </c>
      <c r="E3685" t="s">
        <v>4677</v>
      </c>
      <c r="F3685" t="s">
        <v>4646</v>
      </c>
      <c r="G3685">
        <v>196.2</v>
      </c>
      <c r="H3685">
        <v>213.26</v>
      </c>
      <c r="I3685">
        <v>213.27</v>
      </c>
      <c r="J3685">
        <v>-0.01</v>
      </c>
    </row>
    <row r="3686" spans="1:10" x14ac:dyDescent="0.3">
      <c r="A3686" t="str">
        <f>HYPERLINK("https://us2.cloudbeds.com/connect/10074733072513#/reservations/31672169668746?display=MH55BD72N&amp;reservation_id=31672169668746", "MH55BD72N")</f>
        <v>MH55BD72N</v>
      </c>
      <c r="B3686" t="s">
        <v>10</v>
      </c>
      <c r="C3686" t="s">
        <v>14</v>
      </c>
      <c r="D3686" t="str">
        <f>HYPERLINK("https://us2.cloudbeds.com/connect/10074733072513#/reservations/31672169668746?display=Barbara%20Duffey&amp;reservation_id=31672169668746&amp;guest_id=31672169668741", "Barbara Duffey")</f>
        <v>Barbara Duffey</v>
      </c>
      <c r="E3686" t="s">
        <v>4678</v>
      </c>
      <c r="F3686" t="s">
        <v>4340</v>
      </c>
      <c r="G3686">
        <v>134.1</v>
      </c>
      <c r="H3686">
        <v>145.76</v>
      </c>
      <c r="I3686">
        <v>145.77000000000001</v>
      </c>
      <c r="J3686">
        <v>-0.01</v>
      </c>
    </row>
    <row r="3687" spans="1:10" x14ac:dyDescent="0.3">
      <c r="A3687" t="str">
        <f>HYPERLINK("https://us2.cloudbeds.com/connect/10074733072513#/reservations/31672286294216?display=MH58AZG5S&amp;reservation_id=31672286294216", "MH58AZG5S")</f>
        <v>MH58AZG5S</v>
      </c>
      <c r="B3687" t="s">
        <v>10</v>
      </c>
      <c r="C3687" t="s">
        <v>11</v>
      </c>
      <c r="D3687" t="str">
        <f>HYPERLINK("https://us2.cloudbeds.com/connect/10074733072513#/reservations/31672286294216?display=Farrall%20Theunissen&amp;reservation_id=31672286294216&amp;guest_id=31672286294214", "Farrall Theunissen")</f>
        <v>Farrall Theunissen</v>
      </c>
      <c r="E3687" t="s">
        <v>4680</v>
      </c>
      <c r="F3687" t="s">
        <v>4454</v>
      </c>
      <c r="G3687">
        <v>103.2</v>
      </c>
      <c r="H3687">
        <v>112.17</v>
      </c>
      <c r="I3687">
        <v>112.18</v>
      </c>
      <c r="J3687">
        <v>-0.01</v>
      </c>
    </row>
    <row r="3688" spans="1:10" x14ac:dyDescent="0.3">
      <c r="A3688" t="str">
        <f>HYPERLINK("https://us2.cloudbeds.com/connect/10074733072513#/reservations/31672484311201?display=MH5DCNJVX&amp;reservation_id=31672484311201", "MH5DCNJVX")</f>
        <v>MH5DCNJVX</v>
      </c>
      <c r="B3688" t="s">
        <v>10</v>
      </c>
      <c r="C3688" t="s">
        <v>11</v>
      </c>
      <c r="D3688" t="str">
        <f>HYPERLINK("https://us2.cloudbeds.com/connect/10074733072513#/reservations/31672484311201?display=Jacqueline%20Schultz&amp;reservation_id=31672484311201&amp;guest_id=31672484307110", "Jacqueline Schultz")</f>
        <v>Jacqueline Schultz</v>
      </c>
      <c r="E3688" t="s">
        <v>4688</v>
      </c>
      <c r="F3688" t="s">
        <v>4689</v>
      </c>
      <c r="G3688">
        <v>87.2</v>
      </c>
      <c r="H3688">
        <v>94.78</v>
      </c>
      <c r="I3688">
        <v>94.79</v>
      </c>
      <c r="J3688">
        <v>-0.01</v>
      </c>
    </row>
    <row r="3689" spans="1:10" x14ac:dyDescent="0.3">
      <c r="A3689" t="str">
        <f>HYPERLINK("https://us2.cloudbeds.com/connect/10074733072513#/reservations/31671962050812?display=MH501AV05&amp;reservation_id=31671962050812", "MH501AV05")</f>
        <v>MH501AV05</v>
      </c>
      <c r="B3689" t="s">
        <v>10</v>
      </c>
      <c r="C3689" t="s">
        <v>14</v>
      </c>
      <c r="D3689" t="str">
        <f>HYPERLINK("https://us2.cloudbeds.com/connect/10074733072513#/reservations/31671962050812?display=Walter%20Benson&amp;reservation_id=31671962050812&amp;guest_id=30686385983676", "Walter Benson")</f>
        <v>Walter Benson</v>
      </c>
      <c r="E3689" t="s">
        <v>2723</v>
      </c>
      <c r="F3689" t="s">
        <v>4693</v>
      </c>
      <c r="G3689">
        <v>174.4</v>
      </c>
      <c r="H3689">
        <v>189.56</v>
      </c>
      <c r="I3689">
        <v>189.57</v>
      </c>
      <c r="J3689">
        <v>-0.01</v>
      </c>
    </row>
    <row r="3690" spans="1:10" x14ac:dyDescent="0.3">
      <c r="A3690" t="str">
        <f>HYPERLINK("https://us2.cloudbeds.com/connect/10074733072513#/reservations/31671955902635?display=MH4WT4S9P&amp;reservation_id=31671955902635", "MH4WT4S9P")</f>
        <v>MH4WT4S9P</v>
      </c>
      <c r="B3690" t="s">
        <v>10</v>
      </c>
      <c r="C3690" t="s">
        <v>14</v>
      </c>
      <c r="D3690" t="str">
        <f>HYPERLINK("https://us2.cloudbeds.com/connect/10074733072513#/reservations/31671955902635?display=Martha%20Wall&amp;reservation_id=31671955902635&amp;guest_id=31671955902619", "Martha Wall")</f>
        <v>Martha Wall</v>
      </c>
      <c r="E3690" t="s">
        <v>4695</v>
      </c>
      <c r="F3690" t="s">
        <v>4693</v>
      </c>
      <c r="G3690">
        <v>196.2</v>
      </c>
      <c r="H3690">
        <v>213.26</v>
      </c>
      <c r="I3690">
        <v>213.27</v>
      </c>
      <c r="J3690">
        <v>-0.01</v>
      </c>
    </row>
    <row r="3691" spans="1:10" x14ac:dyDescent="0.3">
      <c r="A3691" t="str">
        <f>HYPERLINK("https://us2.cloudbeds.com/connect/10074733072513#/reservations/31672685727992?display=MH5XHXAMM&amp;reservation_id=31672685727992", "MH5XHXAMM")</f>
        <v>MH5XHXAMM</v>
      </c>
      <c r="B3691" t="s">
        <v>10</v>
      </c>
      <c r="C3691" t="s">
        <v>42</v>
      </c>
      <c r="D3691" t="str">
        <f>HYPERLINK("https://us2.cloudbeds.com/connect/10074733072513#/reservations/31672685727992?display=Catrisha%20Fisher&amp;reservation_id=31672685727992&amp;guest_id=31672685727987", "Catrisha Fisher")</f>
        <v>Catrisha Fisher</v>
      </c>
      <c r="E3691" t="s">
        <v>4700</v>
      </c>
      <c r="F3691" t="s">
        <v>4627</v>
      </c>
      <c r="G3691">
        <v>143.65</v>
      </c>
      <c r="H3691">
        <v>156.13999999999999</v>
      </c>
      <c r="I3691">
        <v>156.15</v>
      </c>
      <c r="J3691">
        <v>-0.01</v>
      </c>
    </row>
    <row r="3692" spans="1:10" x14ac:dyDescent="0.3">
      <c r="A3692" t="str">
        <f>HYPERLINK("https://us2.cloudbeds.com/connect/10074733072513#/reservations/31678917738646?display=MHACPX6RC&amp;reservation_id=31678917738646", "MHACPX6RC")</f>
        <v>MHACPX6RC</v>
      </c>
      <c r="B3692" t="s">
        <v>10</v>
      </c>
      <c r="C3692" t="s">
        <v>42</v>
      </c>
      <c r="D3692" t="str">
        <f>HYPERLINK("https://us2.cloudbeds.com/connect/10074733072513#/reservations/31678917738646?display=Jason%20Stanley&amp;reservation_id=31678917738646&amp;guest_id=31678911234300", "Jason Stanley")</f>
        <v>Jason Stanley</v>
      </c>
      <c r="E3692" t="s">
        <v>4707</v>
      </c>
      <c r="F3692" t="s">
        <v>4645</v>
      </c>
      <c r="G3692">
        <v>304.2</v>
      </c>
      <c r="H3692">
        <v>330.66</v>
      </c>
      <c r="I3692">
        <v>330.67</v>
      </c>
      <c r="J3692">
        <v>-0.01</v>
      </c>
    </row>
    <row r="3693" spans="1:10" x14ac:dyDescent="0.3">
      <c r="A3693" t="str">
        <f>HYPERLINK("https://us2.cloudbeds.com/connect/10074733072513#/reservations/31673353838774?display=MH62JUG6V&amp;reservation_id=31673353838774", "MH62JUG6V")</f>
        <v>MH62JUG6V</v>
      </c>
      <c r="B3693" t="s">
        <v>10</v>
      </c>
      <c r="C3693" t="s">
        <v>11</v>
      </c>
      <c r="D3693" t="str">
        <f>HYPERLINK("https://us2.cloudbeds.com/connect/10074733072513#/reservations/31673353838774?display=Wendy%20Mortenson&amp;reservation_id=31673353838774&amp;guest_id=31673353838763", "Wendy Mortenson")</f>
        <v>Wendy Mortenson</v>
      </c>
      <c r="E3693" t="s">
        <v>4715</v>
      </c>
      <c r="F3693" t="s">
        <v>4300</v>
      </c>
      <c r="G3693">
        <v>103.2</v>
      </c>
      <c r="H3693">
        <v>112.17</v>
      </c>
      <c r="I3693">
        <v>112.18</v>
      </c>
      <c r="J3693">
        <v>-0.01</v>
      </c>
    </row>
    <row r="3694" spans="1:10" x14ac:dyDescent="0.3">
      <c r="A3694" t="str">
        <f>HYPERLINK("https://us2.cloudbeds.com/connect/10074733072513#/reservations/31672328900763?display=MH59DM2YB&amp;reservation_id=31672328900763", "MH59DM2YB")</f>
        <v>MH59DM2YB</v>
      </c>
      <c r="B3694" t="s">
        <v>10</v>
      </c>
      <c r="C3694" t="s">
        <v>42</v>
      </c>
      <c r="D3694" t="str">
        <f>HYPERLINK("https://us2.cloudbeds.com/connect/10074733072513#/reservations/31672328900763?display=Cindy%20Van%20Epps&amp;reservation_id=31672328900763&amp;guest_id=31672328900760", "Cindy Van Epps")</f>
        <v>Cindy Van Epps</v>
      </c>
      <c r="E3694" t="s">
        <v>4717</v>
      </c>
      <c r="F3694" t="s">
        <v>4546</v>
      </c>
      <c r="G3694">
        <v>250.2</v>
      </c>
      <c r="H3694">
        <v>271.95999999999998</v>
      </c>
      <c r="I3694">
        <v>271.97000000000003</v>
      </c>
      <c r="J3694">
        <v>-0.01</v>
      </c>
    </row>
    <row r="3695" spans="1:10" x14ac:dyDescent="0.3">
      <c r="A3695" t="str">
        <f>HYPERLINK("https://us2.cloudbeds.com/connect/10074733072513#/reservations/31673519259874?display=MH66RDJ1X&amp;reservation_id=31673519259874", "MH66RDJ1X")</f>
        <v>MH66RDJ1X</v>
      </c>
      <c r="B3695" t="s">
        <v>10</v>
      </c>
      <c r="C3695" t="s">
        <v>42</v>
      </c>
      <c r="D3695" t="str">
        <f>HYPERLINK("https://us2.cloudbeds.com/connect/10074733072513#/reservations/31673519259874?display=Jill%20Williams&amp;reservation_id=31673519259874&amp;guest_id=31673519255793", "Jill Williams")</f>
        <v>Jill Williams</v>
      </c>
      <c r="E3695" t="s">
        <v>4722</v>
      </c>
      <c r="F3695" t="s">
        <v>4723</v>
      </c>
      <c r="G3695">
        <v>134.1</v>
      </c>
      <c r="H3695">
        <v>145.76</v>
      </c>
      <c r="I3695">
        <v>145.77000000000001</v>
      </c>
      <c r="J3695">
        <v>-0.01</v>
      </c>
    </row>
    <row r="3696" spans="1:10" x14ac:dyDescent="0.3">
      <c r="A3696" t="str">
        <f>HYPERLINK("https://us2.cloudbeds.com/connect/10074733072513#/reservations/31672339808470?display=MH59MSJTU&amp;reservation_id=31672339808470", "MH59MSJTU")</f>
        <v>MH59MSJTU</v>
      </c>
      <c r="B3696" t="s">
        <v>10</v>
      </c>
      <c r="C3696" t="s">
        <v>14</v>
      </c>
      <c r="D3696" t="str">
        <f>HYPERLINK("https://us2.cloudbeds.com/connect/10074733072513#/reservations/31672339808470?display=Michael%20Spieker&amp;reservation_id=31672339808470&amp;guest_id=31672339808467", "Michael Spieker")</f>
        <v>Michael Spieker</v>
      </c>
      <c r="E3696" t="s">
        <v>4730</v>
      </c>
      <c r="F3696" t="s">
        <v>4546</v>
      </c>
      <c r="G3696">
        <v>137.76</v>
      </c>
      <c r="H3696">
        <v>149.74</v>
      </c>
      <c r="I3696">
        <v>149.75</v>
      </c>
      <c r="J3696">
        <v>-0.01</v>
      </c>
    </row>
    <row r="3697" spans="1:10" x14ac:dyDescent="0.3">
      <c r="A3697" t="str">
        <f>HYPERLINK("https://us2.cloudbeds.com/connect/10074733072513#/reservations/31672384368852?display=MH5AREXHH&amp;reservation_id=31672384368852", "MH5AREXHH")</f>
        <v>MH5AREXHH</v>
      </c>
      <c r="B3697" t="s">
        <v>10</v>
      </c>
      <c r="C3697" t="s">
        <v>42</v>
      </c>
      <c r="D3697" t="str">
        <f>HYPERLINK("https://us2.cloudbeds.com/connect/10074733072513#/reservations/31672384368852?display=Larry%20Jensen&amp;reservation_id=31672384368852&amp;guest_id=31672384368847", "Larry Jensen")</f>
        <v>Larry Jensen</v>
      </c>
      <c r="E3697" t="s">
        <v>4732</v>
      </c>
      <c r="F3697" t="s">
        <v>4546</v>
      </c>
      <c r="G3697">
        <v>134.1</v>
      </c>
      <c r="H3697">
        <v>145.76</v>
      </c>
      <c r="I3697">
        <v>145.77000000000001</v>
      </c>
      <c r="J3697">
        <v>-0.01</v>
      </c>
    </row>
    <row r="3698" spans="1:10" x14ac:dyDescent="0.3">
      <c r="A3698" t="str">
        <f>HYPERLINK("https://us2.cloudbeds.com/connect/10074733072513#/reservations/31673311060121?display=MH61GS3N4&amp;reservation_id=31673311060121", "MH61GS3N4")</f>
        <v>MH61GS3N4</v>
      </c>
      <c r="B3698" t="s">
        <v>10</v>
      </c>
      <c r="C3698" t="s">
        <v>11</v>
      </c>
      <c r="D3698" t="str">
        <f>HYPERLINK("https://us2.cloudbeds.com/connect/10074733072513#/reservations/31673311060121?display=Michael%20Jensen&amp;reservation_id=31673311060121&amp;guest_id=31673311056030", "Michael Jensen")</f>
        <v>Michael Jensen</v>
      </c>
      <c r="E3698" t="s">
        <v>4733</v>
      </c>
      <c r="F3698" t="s">
        <v>3834</v>
      </c>
      <c r="G3698">
        <v>103.2</v>
      </c>
      <c r="H3698">
        <v>112.17</v>
      </c>
      <c r="I3698">
        <v>112.18</v>
      </c>
      <c r="J3698">
        <v>-0.01</v>
      </c>
    </row>
    <row r="3699" spans="1:10" x14ac:dyDescent="0.3">
      <c r="A3699" t="str">
        <f>HYPERLINK("https://us2.cloudbeds.com/connect/10074733072513#/reservations/31671824371862?display=MH4TH7R1P&amp;reservation_id=31671824371862", "MH4TH7R1P")</f>
        <v>MH4TH7R1P</v>
      </c>
      <c r="B3699" t="s">
        <v>10</v>
      </c>
      <c r="C3699" t="s">
        <v>23</v>
      </c>
      <c r="D3699" t="str">
        <f>HYPERLINK("https://us2.cloudbeds.com/connect/10074733072513#/reservations/31671824371862?display=Julie%20Snavely&amp;reservation_id=31671824371862&amp;guest_id=30682828746910", "Julie Snavely")</f>
        <v>Julie Snavely</v>
      </c>
      <c r="E3699" t="s">
        <v>3933</v>
      </c>
      <c r="F3699" t="s">
        <v>4300</v>
      </c>
      <c r="G3699">
        <v>268.2</v>
      </c>
      <c r="H3699">
        <v>291.52</v>
      </c>
      <c r="I3699">
        <v>291.52999999999997</v>
      </c>
      <c r="J3699">
        <v>-0.01</v>
      </c>
    </row>
    <row r="3700" spans="1:10" x14ac:dyDescent="0.3">
      <c r="A3700" t="str">
        <f>HYPERLINK("https://us2.cloudbeds.com/connect/10074733072513#/reservations/31672299315357?display=MH58YNR4T&amp;reservation_id=31672299315357", "MH58YNR4T")</f>
        <v>MH58YNR4T</v>
      </c>
      <c r="B3700" t="s">
        <v>10</v>
      </c>
      <c r="C3700" t="s">
        <v>11</v>
      </c>
      <c r="D3700" t="str">
        <f>HYPERLINK("https://us2.cloudbeds.com/connect/10074733072513#/reservations/31672299315357?display=Nathan%20Scott%20Kortleever&amp;reservation_id=31672299315357&amp;guest_id=31672299315355", "Nathan Scott Kortleever")</f>
        <v>Nathan Scott Kortleever</v>
      </c>
      <c r="E3700" t="s">
        <v>4737</v>
      </c>
      <c r="F3700" t="s">
        <v>4454</v>
      </c>
      <c r="G3700">
        <v>66.040000000000006</v>
      </c>
      <c r="H3700">
        <v>71.78</v>
      </c>
      <c r="I3700">
        <v>71.790000000000006</v>
      </c>
      <c r="J3700">
        <v>-0.01</v>
      </c>
    </row>
    <row r="3701" spans="1:10" x14ac:dyDescent="0.3">
      <c r="A3701" t="str">
        <f>HYPERLINK("https://us2.cloudbeds.com/connect/10074733072513#/reservations/31672120455367?display=MH542TPZ6&amp;reservation_id=31672120455367", "MH542TPZ6")</f>
        <v>MH542TPZ6</v>
      </c>
      <c r="B3701" t="s">
        <v>10</v>
      </c>
      <c r="C3701" t="s">
        <v>11</v>
      </c>
      <c r="D3701" t="str">
        <f>HYPERLINK("https://us2.cloudbeds.com/connect/10074733072513#/reservations/31672120455367?display=Terry%20Hale&amp;reservation_id=31672120455367&amp;guest_id=31672120455364", "Terry Hale")</f>
        <v>Terry Hale</v>
      </c>
      <c r="E3701" t="s">
        <v>4740</v>
      </c>
      <c r="F3701" t="s">
        <v>4636</v>
      </c>
      <c r="G3701">
        <v>225.6</v>
      </c>
      <c r="H3701">
        <v>245.22</v>
      </c>
      <c r="I3701">
        <v>245.23</v>
      </c>
      <c r="J3701">
        <v>-0.01</v>
      </c>
    </row>
    <row r="3702" spans="1:10" x14ac:dyDescent="0.3">
      <c r="A3702" t="str">
        <f>HYPERLINK("https://us2.cloudbeds.com/connect/10074733072513#/reservations/31672342061296?display=MH59ZP9KC&amp;reservation_id=31672342061296", "MH59ZP9KC")</f>
        <v>MH59ZP9KC</v>
      </c>
      <c r="B3702" t="s">
        <v>10</v>
      </c>
      <c r="C3702" t="s">
        <v>14</v>
      </c>
      <c r="D3702" t="str">
        <f>HYPERLINK("https://us2.cloudbeds.com/connect/10074733072513#/reservations/31672342061296?display=Kayla%20Gangl&amp;reservation_id=31672342061296&amp;guest_id=31672342061294", "Kayla Gangl")</f>
        <v>Kayla Gangl</v>
      </c>
      <c r="E3702" t="s">
        <v>4743</v>
      </c>
      <c r="F3702" t="s">
        <v>4636</v>
      </c>
      <c r="G3702">
        <v>94.16</v>
      </c>
      <c r="H3702">
        <v>102.34</v>
      </c>
      <c r="I3702">
        <v>102.35</v>
      </c>
      <c r="J3702">
        <v>-0.01</v>
      </c>
    </row>
    <row r="3703" spans="1:10" x14ac:dyDescent="0.3">
      <c r="A3703" t="str">
        <f>HYPERLINK("https://us2.cloudbeds.com/connect/10074733072513#/reservations/31671808565394?display=MH4T3TWCR&amp;reservation_id=31671808565394", "MH4T3TWCR")</f>
        <v>MH4T3TWCR</v>
      </c>
      <c r="B3703" t="s">
        <v>10</v>
      </c>
      <c r="C3703" t="s">
        <v>17</v>
      </c>
      <c r="D3703" t="str">
        <f>HYPERLINK("https://us2.cloudbeds.com/connect/10074733072513#/reservations/31671808565394?display=Kelly%20Oehlerking&amp;reservation_id=31671808565394&amp;guest_id=31671808565389", "Kelly Oehlerking")</f>
        <v>Kelly Oehlerking</v>
      </c>
      <c r="E3703" t="s">
        <v>4745</v>
      </c>
      <c r="F3703" t="s">
        <v>4636</v>
      </c>
      <c r="G3703">
        <v>419.4</v>
      </c>
      <c r="H3703">
        <v>455.88</v>
      </c>
      <c r="I3703">
        <v>455.89</v>
      </c>
      <c r="J3703">
        <v>-0.01</v>
      </c>
    </row>
    <row r="3704" spans="1:10" x14ac:dyDescent="0.3">
      <c r="A3704" t="str">
        <f>HYPERLINK("https://us2.cloudbeds.com/connect/10074733072513#/reservations/31672831340780?display=MH5M8B72D&amp;reservation_id=31672831340780", "MH5M8B72D")</f>
        <v>MH5M8B72D</v>
      </c>
      <c r="B3704" t="s">
        <v>10</v>
      </c>
      <c r="C3704" t="s">
        <v>42</v>
      </c>
      <c r="D3704" t="str">
        <f>HYPERLINK("https://us2.cloudbeds.com/connect/10074733072513#/reservations/31672831340780?display=Cale%20Kern&amp;reservation_id=31672831340780&amp;guest_id=31672831340758", "Cale Kern")</f>
        <v>Cale Kern</v>
      </c>
      <c r="E3704" t="s">
        <v>4746</v>
      </c>
      <c r="F3704" t="s">
        <v>4747</v>
      </c>
      <c r="G3704">
        <v>196.2</v>
      </c>
      <c r="H3704">
        <v>213.26</v>
      </c>
      <c r="I3704">
        <v>213.27</v>
      </c>
      <c r="J3704">
        <v>-0.01</v>
      </c>
    </row>
    <row r="3705" spans="1:10" x14ac:dyDescent="0.3">
      <c r="A3705" t="str">
        <f>HYPERLINK("https://us2.cloudbeds.com/connect/10074733072513#/reservations/31672422379656?display=MH5BQG8S2&amp;reservation_id=31672422379656", "MH5BQG8S2")</f>
        <v>MH5BQG8S2</v>
      </c>
      <c r="B3705" t="s">
        <v>10</v>
      </c>
      <c r="C3705" t="s">
        <v>121</v>
      </c>
      <c r="D3705" t="str">
        <f>HYPERLINK("https://us2.cloudbeds.com/connect/10074733072513#/reservations/31672422379656?display=Ynne%20Marie%20Kuper&amp;reservation_id=31672422379656&amp;guest_id=30672910012652", "Ynne Marie Kuper")</f>
        <v>Ynne Marie Kuper</v>
      </c>
      <c r="E3705" t="s">
        <v>4459</v>
      </c>
      <c r="F3705" t="s">
        <v>4742</v>
      </c>
      <c r="G3705">
        <v>87.2</v>
      </c>
      <c r="H3705">
        <v>94.78</v>
      </c>
      <c r="I3705">
        <v>94.79</v>
      </c>
      <c r="J3705">
        <v>-0.01</v>
      </c>
    </row>
    <row r="3706" spans="1:10" x14ac:dyDescent="0.3">
      <c r="A3706" t="str">
        <f>HYPERLINK("https://us2.cloudbeds.com/connect/10074733072513#/reservations/31672176283861?display=MH55GW9XZ&amp;reservation_id=31672176283861", "MH55GW9XZ")</f>
        <v>MH55GW9XZ</v>
      </c>
      <c r="B3706" t="s">
        <v>10</v>
      </c>
      <c r="C3706" t="s">
        <v>14</v>
      </c>
      <c r="D3706" t="str">
        <f>HYPERLINK("https://us2.cloudbeds.com/connect/10074733072513#/reservations/31672176283861?display=Nicolaj%20Siig&amp;reservation_id=31672176283861&amp;guest_id=31672176279774", "Nicolaj Siig")</f>
        <v>Nicolaj Siig</v>
      </c>
      <c r="E3706" t="s">
        <v>4752</v>
      </c>
      <c r="F3706" t="s">
        <v>4562</v>
      </c>
      <c r="G3706">
        <v>87.2</v>
      </c>
      <c r="H3706">
        <v>94.78</v>
      </c>
      <c r="I3706">
        <v>94.79</v>
      </c>
      <c r="J3706">
        <v>-0.01</v>
      </c>
    </row>
    <row r="3707" spans="1:10" x14ac:dyDescent="0.3">
      <c r="A3707" t="str">
        <f>HYPERLINK("https://us2.cloudbeds.com/connect/10074733072513#/reservations/31672169672836?display=MH55BDARY&amp;reservation_id=31672169672836", "MH55BDARY")</f>
        <v>MH55BDARY</v>
      </c>
      <c r="B3707" t="s">
        <v>10</v>
      </c>
      <c r="C3707" t="s">
        <v>14</v>
      </c>
      <c r="D3707" t="str">
        <f>HYPERLINK("https://us2.cloudbeds.com/connect/10074733072513#/reservations/31672169672836?display=Lars%20Thejl%20Larsen&amp;reservation_id=31672169672836&amp;guest_id=31672169668744", "Lars Thejl Larsen")</f>
        <v>Lars Thejl Larsen</v>
      </c>
      <c r="E3707" t="s">
        <v>4752</v>
      </c>
      <c r="F3707" t="s">
        <v>4562</v>
      </c>
      <c r="G3707">
        <v>87.2</v>
      </c>
      <c r="H3707">
        <v>94.78</v>
      </c>
      <c r="I3707">
        <v>94.79</v>
      </c>
      <c r="J3707">
        <v>-0.01</v>
      </c>
    </row>
    <row r="3708" spans="1:10" x14ac:dyDescent="0.3">
      <c r="A3708" t="str">
        <f>HYPERLINK("https://us2.cloudbeds.com/connect/10074733072513#/reservations/31673322475723?display=MH61QFPBF&amp;reservation_id=31673322475723", "MH61QFPBF")</f>
        <v>MH61QFPBF</v>
      </c>
      <c r="B3708" t="s">
        <v>10</v>
      </c>
      <c r="C3708" t="s">
        <v>11</v>
      </c>
      <c r="D3708" t="str">
        <f>HYPERLINK("https://us2.cloudbeds.com/connect/10074733072513#/reservations/31673322475723?display=Crystal%20Labrake&amp;reservation_id=31673322475723&amp;guest_id=31673317499123", "Crystal Labrake")</f>
        <v>Crystal Labrake</v>
      </c>
      <c r="E3708" t="s">
        <v>4758</v>
      </c>
      <c r="F3708" t="s">
        <v>3834</v>
      </c>
      <c r="G3708">
        <v>127.2</v>
      </c>
      <c r="H3708">
        <v>138.26</v>
      </c>
      <c r="I3708">
        <v>138.27000000000001</v>
      </c>
      <c r="J3708">
        <v>-0.01</v>
      </c>
    </row>
    <row r="3709" spans="1:10" x14ac:dyDescent="0.3">
      <c r="A3709" t="str">
        <f>HYPERLINK("https://us2.cloudbeds.com/connect/10074733072513#/reservations/31672201429148?display=MH5655WR4&amp;reservation_id=31672201429148", "MH5655WR4")</f>
        <v>MH5655WR4</v>
      </c>
      <c r="B3709" t="s">
        <v>10</v>
      </c>
      <c r="C3709" t="s">
        <v>14</v>
      </c>
      <c r="D3709" t="str">
        <f>HYPERLINK("https://us2.cloudbeds.com/connect/10074733072513#/reservations/31672201429148?display=Teaghen%20Malone&amp;reservation_id=31672201429148&amp;guest_id=31672201429145", "Teaghen Malone")</f>
        <v>Teaghen Malone</v>
      </c>
      <c r="E3709" t="s">
        <v>4760</v>
      </c>
      <c r="F3709" t="s">
        <v>4636</v>
      </c>
      <c r="G3709">
        <v>259.2</v>
      </c>
      <c r="H3709">
        <v>281.74</v>
      </c>
      <c r="I3709">
        <v>281.75</v>
      </c>
      <c r="J3709">
        <v>-0.01</v>
      </c>
    </row>
    <row r="3710" spans="1:10" x14ac:dyDescent="0.3">
      <c r="A3710" t="str">
        <f>HYPERLINK("https://us2.cloudbeds.com/connect/10074733072513#/reservations/31672620945604?display=MH5GSUYNW&amp;reservation_id=31672620945604", "MH5GSUYNW")</f>
        <v>MH5GSUYNW</v>
      </c>
      <c r="B3710" t="s">
        <v>10</v>
      </c>
      <c r="C3710" t="s">
        <v>14</v>
      </c>
      <c r="D3710" t="str">
        <f>HYPERLINK("https://us2.cloudbeds.com/connect/10074733072513#/reservations/31672620945604?display=Chad%20Ulvestad&amp;reservation_id=31672620945604&amp;guest_id=31672611541166", "Chad Ulvestad")</f>
        <v>Chad Ulvestad</v>
      </c>
      <c r="E3710" t="s">
        <v>4761</v>
      </c>
      <c r="F3710" t="s">
        <v>4762</v>
      </c>
      <c r="G3710">
        <v>174.4</v>
      </c>
      <c r="H3710">
        <v>189.56</v>
      </c>
      <c r="I3710">
        <v>189.57</v>
      </c>
      <c r="J3710">
        <v>-0.01</v>
      </c>
    </row>
    <row r="3711" spans="1:10" x14ac:dyDescent="0.3">
      <c r="A3711" t="str">
        <f>HYPERLINK("https://us2.cloudbeds.com/connect/10074733072513#/reservations/31673510928537?display=MH66KCZJQ&amp;reservation_id=31673510928537", "MH66KCZJQ")</f>
        <v>MH66KCZJQ</v>
      </c>
      <c r="B3711" t="s">
        <v>10</v>
      </c>
      <c r="C3711" t="s">
        <v>42</v>
      </c>
      <c r="D3711" t="str">
        <f>HYPERLINK("https://us2.cloudbeds.com/connect/10074733072513#/reservations/31673510928537?display=Jackie%20Ormand&amp;reservation_id=31673510928537&amp;guest_id=31671801000185", "Jackie Ormand")</f>
        <v>Jackie Ormand</v>
      </c>
      <c r="E3711" t="s">
        <v>4763</v>
      </c>
      <c r="F3711" t="s">
        <v>4587</v>
      </c>
      <c r="G3711">
        <v>134.1</v>
      </c>
      <c r="H3711">
        <v>145.76</v>
      </c>
      <c r="I3711">
        <v>145.77000000000001</v>
      </c>
      <c r="J3711">
        <v>-0.01</v>
      </c>
    </row>
    <row r="3712" spans="1:10" x14ac:dyDescent="0.3">
      <c r="A3712" t="str">
        <f>HYPERLINK("https://us2.cloudbeds.com/connect/10074733072513#/reservations/31671770316947?display=MH4S4YYS1&amp;reservation_id=31671770316947", "MH4S4YYS1")</f>
        <v>MH4S4YYS1</v>
      </c>
      <c r="B3712" t="s">
        <v>10</v>
      </c>
      <c r="C3712" t="s">
        <v>20</v>
      </c>
      <c r="D3712" t="str">
        <f>HYPERLINK("https://us2.cloudbeds.com/connect/10074733072513#/reservations/31671770316947?display=Heather%20Thompson&amp;reservation_id=31671770316947&amp;guest_id=31671770316942", "Heather Thompson")</f>
        <v>Heather Thompson</v>
      </c>
      <c r="E3712" t="s">
        <v>4767</v>
      </c>
      <c r="F3712" t="s">
        <v>4526</v>
      </c>
      <c r="G3712">
        <v>118.15</v>
      </c>
      <c r="H3712">
        <v>128.41999999999999</v>
      </c>
      <c r="I3712">
        <v>128.43</v>
      </c>
      <c r="J3712">
        <v>-0.01</v>
      </c>
    </row>
    <row r="3713" spans="1:10" x14ac:dyDescent="0.3">
      <c r="A3713" t="str">
        <f>HYPERLINK("https://us2.cloudbeds.com/connect/10074733072513#/reservations/31672886083806?display=MH5NYGH4W&amp;reservation_id=31672886083806", "MH5NYGH4W")</f>
        <v>MH5NYGH4W</v>
      </c>
      <c r="B3713" t="s">
        <v>10</v>
      </c>
      <c r="C3713" t="s">
        <v>11</v>
      </c>
      <c r="D3713" t="str">
        <f>HYPERLINK("https://us2.cloudbeds.com/connect/10074733072513#/reservations/31672886083806?display=Dalton%20Mortenson&amp;reservation_id=31672886083806&amp;guest_id=31672886083801", "Dalton Mortenson")</f>
        <v>Dalton Mortenson</v>
      </c>
      <c r="E3713" t="s">
        <v>4769</v>
      </c>
      <c r="F3713" t="s">
        <v>4686</v>
      </c>
      <c r="G3713">
        <v>275.52</v>
      </c>
      <c r="H3713">
        <v>299.48</v>
      </c>
      <c r="I3713">
        <v>299.49</v>
      </c>
      <c r="J3713">
        <v>-0.01</v>
      </c>
    </row>
    <row r="3714" spans="1:10" x14ac:dyDescent="0.3">
      <c r="A3714" t="str">
        <f>HYPERLINK("https://us2.cloudbeds.com/connect/10074733072513#/reservations/31672130973912?display=MH54BPFKW&amp;reservation_id=31672130973912", "MH54BPFKW")</f>
        <v>MH54BPFKW</v>
      </c>
      <c r="B3714" t="s">
        <v>10</v>
      </c>
      <c r="C3714" t="s">
        <v>11</v>
      </c>
      <c r="D3714" t="str">
        <f>HYPERLINK("https://us2.cloudbeds.com/connect/10074733072513#/reservations/31672130973912?display=John%20Smith&amp;reservation_id=31672130973912&amp;guest_id=31672130969825", "John Smith")</f>
        <v>John Smith</v>
      </c>
      <c r="E3714" t="s">
        <v>4775</v>
      </c>
      <c r="F3714" t="s">
        <v>4636</v>
      </c>
      <c r="G3714">
        <v>451.2</v>
      </c>
      <c r="H3714">
        <v>490.44</v>
      </c>
      <c r="I3714">
        <v>490.45</v>
      </c>
      <c r="J3714">
        <v>-0.01</v>
      </c>
    </row>
    <row r="3715" spans="1:10" x14ac:dyDescent="0.3">
      <c r="A3715" t="str">
        <f>HYPERLINK("https://us2.cloudbeds.com/connect/10074733072513#/reservations/31672463683799?display=MH5CSAKBP&amp;reservation_id=31672463683799", "MH5CSAKBP")</f>
        <v>MH5CSAKBP</v>
      </c>
      <c r="B3715" t="s">
        <v>10</v>
      </c>
      <c r="C3715" t="s">
        <v>20</v>
      </c>
      <c r="D3715" t="str">
        <f>HYPERLINK("https://us2.cloudbeds.com/connect/10074733072513#/reservations/31672463683799?display=Jenica%20Adler&amp;reservation_id=31672463683799&amp;guest_id=31672463683794", "Jenica Adler")</f>
        <v>Jenica Adler</v>
      </c>
      <c r="E3715" t="s">
        <v>4780</v>
      </c>
      <c r="F3715" t="s">
        <v>4689</v>
      </c>
      <c r="G3715">
        <v>93.2</v>
      </c>
      <c r="H3715">
        <v>101.3</v>
      </c>
      <c r="I3715">
        <v>101.31</v>
      </c>
      <c r="J3715">
        <v>-0.01</v>
      </c>
    </row>
    <row r="3716" spans="1:10" x14ac:dyDescent="0.3">
      <c r="A3716" t="str">
        <f>HYPERLINK("https://us2.cloudbeds.com/connect/10074733072513#/reservations/31672385462471?display=MH5ASBWPG&amp;reservation_id=31672385462471", "MH5ASBWPG")</f>
        <v>MH5ASBWPG</v>
      </c>
      <c r="B3716" t="s">
        <v>10</v>
      </c>
      <c r="C3716" t="s">
        <v>14</v>
      </c>
      <c r="D3716" t="str">
        <f>HYPERLINK("https://us2.cloudbeds.com/connect/10074733072513#/reservations/31672385462471?display=Marcie%20May&amp;reservation_id=31672385462471&amp;guest_id=30646415618209", "Marcie May")</f>
        <v>Marcie May</v>
      </c>
      <c r="E3716" t="s">
        <v>4796</v>
      </c>
      <c r="F3716" t="s">
        <v>4636</v>
      </c>
      <c r="G3716">
        <v>94.16</v>
      </c>
      <c r="H3716">
        <v>102.34</v>
      </c>
      <c r="I3716">
        <v>102.35</v>
      </c>
      <c r="J3716">
        <v>-0.01</v>
      </c>
    </row>
    <row r="3717" spans="1:10" x14ac:dyDescent="0.3">
      <c r="A3717" t="str">
        <f>HYPERLINK("https://us2.cloudbeds.com/connect/10074733072513#/reservations/31671879544992?display=MH4UUP32Q&amp;reservation_id=31671879544992", "MH4UUP32Q")</f>
        <v>MH4UUP32Q</v>
      </c>
      <c r="B3717" t="s">
        <v>10</v>
      </c>
      <c r="C3717" t="s">
        <v>42</v>
      </c>
      <c r="D3717" t="str">
        <f>HYPERLINK("https://us2.cloudbeds.com/connect/10074733072513#/reservations/31671879544992?display=Barb%20Guthmiller&amp;reservation_id=31671879544992&amp;guest_id=31671879544978", "Barb Guthmiller")</f>
        <v>Barb Guthmiller</v>
      </c>
      <c r="E3717" t="s">
        <v>4801</v>
      </c>
      <c r="F3717" t="s">
        <v>4300</v>
      </c>
      <c r="G3717">
        <v>250.2</v>
      </c>
      <c r="H3717">
        <v>271.95999999999998</v>
      </c>
      <c r="I3717">
        <v>271.97000000000003</v>
      </c>
      <c r="J3717">
        <v>-0.01</v>
      </c>
    </row>
    <row r="3718" spans="1:10" x14ac:dyDescent="0.3">
      <c r="A3718" t="str">
        <f>HYPERLINK("https://us2.cloudbeds.com/connect/10074733072513#/reservations/31672535457929?display=MH5EMRRYD&amp;reservation_id=31672535457929", "MH5EMRRYD")</f>
        <v>MH5EMRRYD</v>
      </c>
      <c r="B3718" t="s">
        <v>10</v>
      </c>
      <c r="C3718" t="s">
        <v>14</v>
      </c>
      <c r="D3718" t="str">
        <f>HYPERLINK("https://us2.cloudbeds.com/connect/10074733072513#/reservations/31672535457929?display=Dale%20Hollenbeck&amp;reservation_id=31672535457929&amp;guest_id=31672535457924", "Dale Hollenbeck")</f>
        <v>Dale Hollenbeck</v>
      </c>
      <c r="E3718" t="s">
        <v>4810</v>
      </c>
      <c r="F3718" t="s">
        <v>4566</v>
      </c>
      <c r="G3718">
        <v>179.25</v>
      </c>
      <c r="H3718">
        <v>194.83</v>
      </c>
      <c r="I3718">
        <v>194.84</v>
      </c>
      <c r="J3718">
        <v>-0.01</v>
      </c>
    </row>
    <row r="3719" spans="1:10" x14ac:dyDescent="0.3">
      <c r="A3719" t="str">
        <f>HYPERLINK("https://us2.cloudbeds.com/connect/10074733072513#/reservations/31672576979089?display=MH5FZS7EC&amp;reservation_id=31672576979089", "MH5FZS7EC")</f>
        <v>MH5FZS7EC</v>
      </c>
      <c r="B3719" t="s">
        <v>10</v>
      </c>
      <c r="C3719" t="s">
        <v>11</v>
      </c>
      <c r="D3719" t="str">
        <f>HYPERLINK("https://us2.cloudbeds.com/connect/10074733072513#/reservations/31672576979089?display=Damian%20Wolfe&amp;reservation_id=31672576979089&amp;guest_id=31672576974988", "Damian Wolfe")</f>
        <v>Damian Wolfe</v>
      </c>
      <c r="E3719" t="s">
        <v>1319</v>
      </c>
      <c r="F3719" t="s">
        <v>4566</v>
      </c>
      <c r="G3719">
        <v>72.72</v>
      </c>
      <c r="H3719">
        <v>79.040000000000006</v>
      </c>
      <c r="I3719">
        <v>79.05</v>
      </c>
      <c r="J3719">
        <v>-0.01</v>
      </c>
    </row>
    <row r="3720" spans="1:10" x14ac:dyDescent="0.3">
      <c r="A3720" t="str">
        <f>HYPERLINK("https://us2.cloudbeds.com/connect/10074733072513#/reservations/31689491353822?display=MHXXVGKWF&amp;reservation_id=31689491353822", "MHXXVGKWF")</f>
        <v>MHXXVGKWF</v>
      </c>
      <c r="B3720" t="s">
        <v>10</v>
      </c>
      <c r="C3720" t="s">
        <v>14</v>
      </c>
      <c r="D3720" t="str">
        <f>HYPERLINK("https://us2.cloudbeds.com/connect/10074733072513#/reservations/31689491353822?display=Ashya%20Comes&amp;reservation_id=31689491353822&amp;guest_id=31689491353817", "Ashya Comes")</f>
        <v>Ashya Comes</v>
      </c>
      <c r="E3720" t="s">
        <v>4812</v>
      </c>
      <c r="F3720" t="s">
        <v>3785</v>
      </c>
      <c r="G3720">
        <v>250.2</v>
      </c>
      <c r="H3720">
        <v>271.95999999999998</v>
      </c>
      <c r="I3720">
        <v>271.97000000000003</v>
      </c>
      <c r="J3720">
        <v>-0.01</v>
      </c>
    </row>
    <row r="3721" spans="1:10" x14ac:dyDescent="0.3">
      <c r="A3721" t="str">
        <f>HYPERLINK("https://us2.cloudbeds.com/connect/10074733072513#/reservations/31672694321287?display=MH5XZQEMX&amp;reservation_id=31672694321287", "MH5XZQEMX")</f>
        <v>MH5XZQEMX</v>
      </c>
      <c r="B3721" t="s">
        <v>10</v>
      </c>
      <c r="C3721" t="s">
        <v>42</v>
      </c>
      <c r="D3721" t="str">
        <f>HYPERLINK("https://us2.cloudbeds.com/connect/10074733072513#/reservations/31672694321287?display=Wade%20Talkington&amp;reservation_id=31672694321287&amp;guest_id=31672685727990", "Wade Talkington")</f>
        <v>Wade Talkington</v>
      </c>
      <c r="E3721" t="s">
        <v>4713</v>
      </c>
      <c r="F3721" t="s">
        <v>4799</v>
      </c>
      <c r="G3721">
        <v>294.3</v>
      </c>
      <c r="H3721">
        <v>319.89</v>
      </c>
      <c r="I3721">
        <v>319.89999999999998</v>
      </c>
      <c r="J3721">
        <v>-0.01</v>
      </c>
    </row>
    <row r="3722" spans="1:10" x14ac:dyDescent="0.3">
      <c r="A3722" t="str">
        <f>HYPERLINK("https://us2.cloudbeds.com/connect/10074733072513#/reservations/31676695638232?display=MH8YWQWJ6&amp;reservation_id=31676695638232", "MH8YWQWJ6")</f>
        <v>MH8YWQWJ6</v>
      </c>
      <c r="B3722" t="s">
        <v>10</v>
      </c>
      <c r="C3722" t="s">
        <v>17</v>
      </c>
      <c r="D3722" t="str">
        <f>HYPERLINK("https://us2.cloudbeds.com/connect/10074733072513#/reservations/31676695638232?display=Susan%20Thompsen&amp;reservation_id=31676695638232&amp;guest_id=31676695638208", "Susan Thompsen")</f>
        <v>Susan Thompsen</v>
      </c>
      <c r="E3722" t="s">
        <v>4815</v>
      </c>
      <c r="F3722" t="s">
        <v>4577</v>
      </c>
      <c r="G3722">
        <v>375.3</v>
      </c>
      <c r="H3722">
        <v>407.94</v>
      </c>
      <c r="I3722">
        <v>407.95</v>
      </c>
      <c r="J3722">
        <v>-0.01</v>
      </c>
    </row>
    <row r="3723" spans="1:10" x14ac:dyDescent="0.3">
      <c r="A3723" t="str">
        <f>HYPERLINK("https://us2.cloudbeds.com/connect/10074733072513#/reservations/31673406136539?display=MH63V0ZSN&amp;reservation_id=31673406136539", "MH63V0ZSN")</f>
        <v>MH63V0ZSN</v>
      </c>
      <c r="B3723" t="s">
        <v>10</v>
      </c>
      <c r="C3723" t="s">
        <v>14</v>
      </c>
      <c r="D3723" t="str">
        <f>HYPERLINK("https://us2.cloudbeds.com/connect/10074733072513#/reservations/31673406136539?display=Amber%20Ackerly&amp;reservation_id=31673406136539&amp;guest_id=31673400950915", "Amber Ackerly")</f>
        <v>Amber Ackerly</v>
      </c>
      <c r="E3723" t="s">
        <v>4817</v>
      </c>
      <c r="F3723" t="s">
        <v>4818</v>
      </c>
      <c r="G3723">
        <v>222.4</v>
      </c>
      <c r="H3723">
        <v>241.74</v>
      </c>
      <c r="I3723">
        <v>241.75</v>
      </c>
      <c r="J3723">
        <v>-0.01</v>
      </c>
    </row>
    <row r="3724" spans="1:10" x14ac:dyDescent="0.3">
      <c r="A3724" t="str">
        <f>HYPERLINK("https://us2.cloudbeds.com/connect/10074733072513#/reservations/31689063706843?display=MHX80TZ13&amp;reservation_id=31689063706843", "MHX80TZ13")</f>
        <v>MHX80TZ13</v>
      </c>
      <c r="B3724" t="s">
        <v>10</v>
      </c>
      <c r="C3724" t="s">
        <v>14</v>
      </c>
      <c r="D3724" t="str">
        <f>HYPERLINK("https://us2.cloudbeds.com/connect/10074733072513#/reservations/31689063706843?display=Vanessa%20Misola&amp;reservation_id=31689063706843&amp;guest_id=31689052614788", "Vanessa Misola")</f>
        <v>Vanessa Misola</v>
      </c>
      <c r="E3724" t="s">
        <v>4822</v>
      </c>
      <c r="F3724" t="s">
        <v>3785</v>
      </c>
      <c r="G3724">
        <v>250.2</v>
      </c>
      <c r="H3724">
        <v>271.95999999999998</v>
      </c>
      <c r="I3724">
        <v>271.97000000000003</v>
      </c>
      <c r="J3724">
        <v>-0.01</v>
      </c>
    </row>
    <row r="3725" spans="1:10" x14ac:dyDescent="0.3">
      <c r="A3725" t="str">
        <f>HYPERLINK("https://us2.cloudbeds.com/connect/10074733072513#/reservations/31689137234053?display=MHX9TTZ4C&amp;reservation_id=31689137234053", "MHX9TTZ4C")</f>
        <v>MHX9TTZ4C</v>
      </c>
      <c r="B3725" t="s">
        <v>10</v>
      </c>
      <c r="C3725" t="s">
        <v>14</v>
      </c>
      <c r="D3725" t="str">
        <f>HYPERLINK("https://us2.cloudbeds.com/connect/10074733072513#/reservations/31689137234053?display=Daniel%20Kliegel&amp;reservation_id=31689137234053&amp;guest_id=31689128763630", "Daniel Kliegel")</f>
        <v>Daniel Kliegel</v>
      </c>
      <c r="E3725" t="s">
        <v>4823</v>
      </c>
      <c r="F3725" t="s">
        <v>3785</v>
      </c>
      <c r="G3725">
        <v>250.2</v>
      </c>
      <c r="H3725">
        <v>271.95999999999998</v>
      </c>
      <c r="I3725">
        <v>271.97000000000003</v>
      </c>
      <c r="J3725">
        <v>-0.01</v>
      </c>
    </row>
    <row r="3726" spans="1:10" x14ac:dyDescent="0.3">
      <c r="A3726" t="str">
        <f>HYPERLINK("https://us2.cloudbeds.com/connect/10074733072513#/reservations/31675341045957?display=MH7KCJF6E&amp;reservation_id=31675341045957", "MH7KCJF6E")</f>
        <v>MH7KCJF6E</v>
      </c>
      <c r="B3726" t="s">
        <v>10</v>
      </c>
      <c r="C3726" t="s">
        <v>42</v>
      </c>
      <c r="D3726" t="str">
        <f>HYPERLINK("https://us2.cloudbeds.com/connect/10074733072513#/reservations/31675341045957?display=Joleen%20Niles&amp;reservation_id=31675341045957&amp;guest_id=31675301523604", "Joleen Niles")</f>
        <v>Joleen Niles</v>
      </c>
      <c r="E3726" t="s">
        <v>4824</v>
      </c>
      <c r="F3726" t="s">
        <v>4825</v>
      </c>
      <c r="G3726">
        <v>277.2</v>
      </c>
      <c r="H3726">
        <v>301.31</v>
      </c>
      <c r="I3726">
        <v>301.32</v>
      </c>
      <c r="J3726">
        <v>-0.01</v>
      </c>
    </row>
    <row r="3727" spans="1:10" x14ac:dyDescent="0.3">
      <c r="A3727" t="str">
        <f>HYPERLINK("https://us2.cloudbeds.com/connect/10074733072513#/reservations/31675332698293?display=MH7K5X5ZU&amp;reservation_id=31675332698293", "MH7K5X5ZU")</f>
        <v>MH7K5X5ZU</v>
      </c>
      <c r="B3727" t="s">
        <v>10</v>
      </c>
      <c r="C3727" t="s">
        <v>11</v>
      </c>
      <c r="D3727" t="str">
        <f>HYPERLINK("https://us2.cloudbeds.com/connect/10074733072513#/reservations/31675332698293?display=Lacy%20Onstad&amp;reservation_id=31675332698293&amp;guest_id=31675332698241", "Lacy Onstad")</f>
        <v>Lacy Onstad</v>
      </c>
      <c r="E3727" t="s">
        <v>4826</v>
      </c>
      <c r="F3727" t="s">
        <v>4827</v>
      </c>
      <c r="G3727">
        <v>304.2</v>
      </c>
      <c r="H3727">
        <v>330.66</v>
      </c>
      <c r="I3727">
        <v>330.67</v>
      </c>
      <c r="J3727">
        <v>-0.01</v>
      </c>
    </row>
    <row r="3728" spans="1:10" x14ac:dyDescent="0.3">
      <c r="A3728" t="str">
        <f>HYPERLINK("https://us2.cloudbeds.com/connect/10074733072513#/reservations/31672541868259?display=MH5ES872R&amp;reservation_id=31672541868259", "MH5ES872R")</f>
        <v>MH5ES872R</v>
      </c>
      <c r="B3728" t="s">
        <v>10</v>
      </c>
      <c r="C3728" t="s">
        <v>14</v>
      </c>
      <c r="D3728" t="str">
        <f>HYPERLINK("https://us2.cloudbeds.com/connect/10074733072513#/reservations/31672541868259?display=Jeffrey%20Neikirk&amp;reservation_id=31672541868259&amp;guest_id=30654394855582", "Jeffrey Neikirk")</f>
        <v>Jeffrey Neikirk</v>
      </c>
      <c r="E3728" t="s">
        <v>4831</v>
      </c>
      <c r="F3728" t="s">
        <v>4566</v>
      </c>
      <c r="G3728">
        <v>254.4</v>
      </c>
      <c r="H3728">
        <v>276.52</v>
      </c>
      <c r="I3728">
        <v>276.52999999999997</v>
      </c>
      <c r="J3728">
        <v>-0.01</v>
      </c>
    </row>
    <row r="3729" spans="1:10" x14ac:dyDescent="0.3">
      <c r="A3729" t="str">
        <f>HYPERLINK("https://us2.cloudbeds.com/connect/10074733072513#/reservations/31673384378521?display=MH63CMA1N&amp;reservation_id=31673384378521", "MH63CMA1N")</f>
        <v>MH63CMA1N</v>
      </c>
      <c r="B3729" t="s">
        <v>10</v>
      </c>
      <c r="C3729" t="s">
        <v>42</v>
      </c>
      <c r="D3729" t="str">
        <f>HYPERLINK("https://us2.cloudbeds.com/connect/10074733072513#/reservations/31673384378521?display=April%20Soderquist%20A&amp;reservation_id=31673384378521&amp;guest_id=31673384374431", "April Soderquist A")</f>
        <v>April Soderquist A</v>
      </c>
      <c r="E3729" t="s">
        <v>4839</v>
      </c>
      <c r="F3729" t="s">
        <v>4300</v>
      </c>
      <c r="G3729">
        <v>268.2</v>
      </c>
      <c r="H3729">
        <v>291.52</v>
      </c>
      <c r="I3729">
        <v>291.52999999999997</v>
      </c>
      <c r="J3729">
        <v>-0.01</v>
      </c>
    </row>
    <row r="3730" spans="1:10" x14ac:dyDescent="0.3">
      <c r="A3730" t="str">
        <f>HYPERLINK("https://us2.cloudbeds.com/connect/10074733072513#/reservations/31672930930939?display=MH5ZQAF30&amp;reservation_id=31672930930939", "MH5ZQAF30")</f>
        <v>MH5ZQAF30</v>
      </c>
      <c r="B3730" t="s">
        <v>10</v>
      </c>
      <c r="C3730" t="s">
        <v>11</v>
      </c>
      <c r="D3730" t="str">
        <f>HYPERLINK("https://us2.cloudbeds.com/connect/10074733072513#/reservations/31672930930939?display=Lee%20Ann%20Woods&amp;reservation_id=31672930930939&amp;guest_id=31672930930936", "Lee Ann Woods")</f>
        <v>Lee Ann Woods</v>
      </c>
      <c r="E3730" t="s">
        <v>4840</v>
      </c>
      <c r="F3730" t="s">
        <v>4686</v>
      </c>
      <c r="G3730">
        <v>94.16</v>
      </c>
      <c r="H3730">
        <v>102.34</v>
      </c>
      <c r="I3730">
        <v>102.35</v>
      </c>
      <c r="J3730">
        <v>-0.01</v>
      </c>
    </row>
    <row r="3731" spans="1:10" x14ac:dyDescent="0.3">
      <c r="A3731" t="str">
        <f>HYPERLINK("https://us2.cloudbeds.com/connect/10074733072513#/reservations/31672671703236?display=MH5X5Z242&amp;reservation_id=31672671703236", "MH5X5Z242")</f>
        <v>MH5X5Z242</v>
      </c>
      <c r="B3731" t="s">
        <v>10</v>
      </c>
      <c r="C3731" t="s">
        <v>42</v>
      </c>
      <c r="D3731" t="str">
        <f>HYPERLINK("https://us2.cloudbeds.com/connect/10074733072513#/reservations/31672671703236?display=Cindy%20Van%20Eeps&amp;reservation_id=31672671703236&amp;guest_id=31672671703234", "Cindy Van Eeps")</f>
        <v>Cindy Van Eeps</v>
      </c>
      <c r="E3731" t="s">
        <v>4847</v>
      </c>
      <c r="F3731" t="s">
        <v>4627</v>
      </c>
      <c r="G3731">
        <v>304.2</v>
      </c>
      <c r="H3731">
        <v>330.66</v>
      </c>
      <c r="I3731">
        <v>330.67</v>
      </c>
      <c r="J3731">
        <v>-0.01</v>
      </c>
    </row>
    <row r="3732" spans="1:10" x14ac:dyDescent="0.3">
      <c r="A3732" t="str">
        <f>HYPERLINK("https://us2.cloudbeds.com/connect/10074733072513#/reservations/31671922663619?display=MH4W13UPS&amp;reservation_id=31671922663619", "MH4W13UPS")</f>
        <v>MH4W13UPS</v>
      </c>
      <c r="B3732" t="s">
        <v>10</v>
      </c>
      <c r="C3732" t="s">
        <v>42</v>
      </c>
      <c r="D3732" t="str">
        <f>HYPERLINK("https://us2.cloudbeds.com/connect/10074733072513#/reservations/31671922663619?display=Richard%20Brewer&amp;reservation_id=31671922663619&amp;guest_id=31671915905186", "Richard Brewer")</f>
        <v>Richard Brewer</v>
      </c>
      <c r="E3732" t="s">
        <v>4850</v>
      </c>
      <c r="F3732" t="s">
        <v>4300</v>
      </c>
      <c r="G3732">
        <v>268.2</v>
      </c>
      <c r="H3732">
        <v>291.52</v>
      </c>
      <c r="I3732">
        <v>291.52999999999997</v>
      </c>
      <c r="J3732">
        <v>-0.01</v>
      </c>
    </row>
    <row r="3733" spans="1:10" x14ac:dyDescent="0.3">
      <c r="A3733" t="str">
        <f>HYPERLINK("https://us2.cloudbeds.com/connect/10074733072513#/reservations/31673470202007?display=MH65J1FGH&amp;reservation_id=31673470202007", "MH65J1FGH")</f>
        <v>MH65J1FGH</v>
      </c>
      <c r="B3733" t="s">
        <v>10</v>
      </c>
      <c r="C3733" t="s">
        <v>14</v>
      </c>
      <c r="D3733" t="str">
        <f>HYPERLINK("https://us2.cloudbeds.com/connect/10074733072513#/reservations/31673470202007?display=Paul%20Blaylock&amp;reservation_id=31673470202007&amp;guest_id=31673470197916", "Paul Blaylock")</f>
        <v>Paul Blaylock</v>
      </c>
      <c r="E3733" t="s">
        <v>4858</v>
      </c>
      <c r="F3733" t="s">
        <v>4300</v>
      </c>
      <c r="G3733">
        <v>94.16</v>
      </c>
      <c r="H3733">
        <v>102.34</v>
      </c>
      <c r="I3733">
        <v>102.35</v>
      </c>
      <c r="J3733">
        <v>-0.01</v>
      </c>
    </row>
    <row r="3734" spans="1:10" x14ac:dyDescent="0.3">
      <c r="A3734" t="str">
        <f>HYPERLINK("https://us2.cloudbeds.com/connect/10074733072513#/reservations/31673464414459?display=MH65E5DV9&amp;reservation_id=31673464414459", "MH65E5DV9")</f>
        <v>MH65E5DV9</v>
      </c>
      <c r="B3734" t="s">
        <v>10</v>
      </c>
      <c r="C3734" t="s">
        <v>11</v>
      </c>
      <c r="D3734" t="str">
        <f>HYPERLINK("https://us2.cloudbeds.com/connect/10074733072513#/reservations/31673464414459?display=Jim%20Hilleson&amp;reservation_id=31673464414459&amp;guest_id=31673464414407", "Jim Hilleson")</f>
        <v>Jim Hilleson</v>
      </c>
      <c r="E3734" t="s">
        <v>4859</v>
      </c>
      <c r="F3734" t="s">
        <v>4300</v>
      </c>
      <c r="G3734">
        <v>94.16</v>
      </c>
      <c r="H3734">
        <v>102.34</v>
      </c>
      <c r="I3734">
        <v>102.35</v>
      </c>
      <c r="J3734">
        <v>-0.01</v>
      </c>
    </row>
    <row r="3735" spans="1:10" x14ac:dyDescent="0.3">
      <c r="A3735" t="str">
        <f>HYPERLINK("https://us2.cloudbeds.com/connect/10074733072513#/reservations/31673454723278?display=MH655WZQ4&amp;reservation_id=31673454723278", "MH655WZQ4")</f>
        <v>MH655WZQ4</v>
      </c>
      <c r="B3735" t="s">
        <v>10</v>
      </c>
      <c r="C3735" t="s">
        <v>11</v>
      </c>
      <c r="D3735" t="str">
        <f>HYPERLINK("https://us2.cloudbeds.com/connect/10074733072513#/reservations/31673454723278?display=Alex%20Bower&amp;reservation_id=31673454723278&amp;guest_id=31673441120449", "Alex Bower")</f>
        <v>Alex Bower</v>
      </c>
      <c r="E3735" t="s">
        <v>4861</v>
      </c>
      <c r="F3735" t="s">
        <v>4300</v>
      </c>
      <c r="G3735">
        <v>94.16</v>
      </c>
      <c r="H3735">
        <v>102.34</v>
      </c>
      <c r="I3735">
        <v>102.35</v>
      </c>
      <c r="J3735">
        <v>-0.01</v>
      </c>
    </row>
    <row r="3736" spans="1:10" x14ac:dyDescent="0.3">
      <c r="A3736" t="str">
        <f>HYPERLINK("https://us2.cloudbeds.com/connect/10074733072513#/reservations/31673411473645?display=MH642H8Q6&amp;reservation_id=31673411473645", "MH642H8Q6")</f>
        <v>MH642H8Q6</v>
      </c>
      <c r="B3736" t="s">
        <v>10</v>
      </c>
      <c r="C3736" t="s">
        <v>14</v>
      </c>
      <c r="D3736" t="str">
        <f>HYPERLINK("https://us2.cloudbeds.com/connect/10074733072513#/reservations/31673411473645?display=Raul%20Ramirez&amp;reservation_id=31673411473645&amp;guest_id=31673411473632", "Raul Ramirez")</f>
        <v>Raul Ramirez</v>
      </c>
      <c r="E3736" t="s">
        <v>4863</v>
      </c>
      <c r="F3736" t="s">
        <v>4300</v>
      </c>
      <c r="G3736">
        <v>94.16</v>
      </c>
      <c r="H3736">
        <v>102.34</v>
      </c>
      <c r="I3736">
        <v>102.35</v>
      </c>
      <c r="J3736">
        <v>-0.01</v>
      </c>
    </row>
    <row r="3737" spans="1:10" x14ac:dyDescent="0.3">
      <c r="A3737" t="str">
        <f>HYPERLINK("https://us2.cloudbeds.com/connect/10074733072513#/reservations/31672056164531?display=MH52EMQ51&amp;reservation_id=31672056164531", "MH52EMQ51")</f>
        <v>MH52EMQ51</v>
      </c>
      <c r="B3737" t="s">
        <v>10</v>
      </c>
      <c r="C3737" t="s">
        <v>11</v>
      </c>
      <c r="D3737" t="str">
        <f>HYPERLINK("https://us2.cloudbeds.com/connect/10074733072513#/reservations/31672056164531?display=Adam%20Stiles&amp;reservation_id=31672056164531&amp;guest_id=31672056164520", "Adam Stiles")</f>
        <v>Adam Stiles</v>
      </c>
      <c r="E3737" t="s">
        <v>4864</v>
      </c>
      <c r="F3737" t="s">
        <v>4865</v>
      </c>
      <c r="G3737">
        <v>196.2</v>
      </c>
      <c r="H3737">
        <v>213.26</v>
      </c>
      <c r="I3737">
        <v>213.27</v>
      </c>
      <c r="J3737">
        <v>-0.01</v>
      </c>
    </row>
    <row r="3738" spans="1:10" x14ac:dyDescent="0.3">
      <c r="A3738" t="str">
        <f>HYPERLINK("https://us2.cloudbeds.com/connect/10074733072513#/reservations/31689378660546?display=MHXG2FPNN&amp;reservation_id=31689378660546", "MHXG2FPNN")</f>
        <v>MHXG2FPNN</v>
      </c>
      <c r="B3738" t="s">
        <v>10</v>
      </c>
      <c r="C3738" t="s">
        <v>42</v>
      </c>
      <c r="D3738" t="str">
        <f>HYPERLINK("https://us2.cloudbeds.com/connect/10074733072513#/reservations/31689378660546?display=Dan%20Meister&amp;reservation_id=31689378660546&amp;guest_id=31689378656466", "Dan Meister")</f>
        <v>Dan Meister</v>
      </c>
      <c r="E3738" t="s">
        <v>4867</v>
      </c>
      <c r="F3738" t="s">
        <v>4868</v>
      </c>
      <c r="G3738">
        <v>232.5</v>
      </c>
      <c r="H3738">
        <v>252.72</v>
      </c>
      <c r="I3738">
        <v>252.73</v>
      </c>
      <c r="J3738">
        <v>-0.01</v>
      </c>
    </row>
    <row r="3739" spans="1:10" x14ac:dyDescent="0.3">
      <c r="A3739" t="str">
        <f>HYPERLINK("https://us2.cloudbeds.com/connect/10074733072513#/reservations/31672139415767?display=MH54XTCXP&amp;reservation_id=31672139415767", "MH54XTCXP")</f>
        <v>MH54XTCXP</v>
      </c>
      <c r="B3739" t="s">
        <v>10</v>
      </c>
      <c r="C3739" t="s">
        <v>11</v>
      </c>
      <c r="D3739" t="str">
        <f>HYPERLINK("https://us2.cloudbeds.com/connect/10074733072513#/reservations/31672139415767?display=Hannah%20Thornton&amp;reservation_id=31672139415767&amp;guest_id=31672139415765", "Hannah Thornton")</f>
        <v>Hannah Thornton</v>
      </c>
      <c r="E3739" t="s">
        <v>4869</v>
      </c>
      <c r="F3739" t="s">
        <v>4870</v>
      </c>
      <c r="G3739">
        <v>225.6</v>
      </c>
      <c r="H3739">
        <v>245.22</v>
      </c>
      <c r="I3739">
        <v>245.23</v>
      </c>
      <c r="J3739">
        <v>-0.01</v>
      </c>
    </row>
    <row r="3740" spans="1:10" x14ac:dyDescent="0.3">
      <c r="A3740" t="str">
        <f>HYPERLINK("https://us2.cloudbeds.com/connect/10074733072513#/reservations/31689387970806?display=MHXGAAS2Q&amp;reservation_id=31689387970806", "MHXGAAS2Q")</f>
        <v>MHXGAAS2Q</v>
      </c>
      <c r="B3740" t="s">
        <v>10</v>
      </c>
      <c r="C3740" t="s">
        <v>42</v>
      </c>
      <c r="D3740" t="str">
        <f>HYPERLINK("https://us2.cloudbeds.com/connect/10074733072513#/reservations/31689387970806?display=Ryan%20Reinking&amp;reservation_id=31689387970806&amp;guest_id=31689387970802", "Ryan Reinking")</f>
        <v>Ryan Reinking</v>
      </c>
      <c r="E3740" t="s">
        <v>4867</v>
      </c>
      <c r="F3740" t="s">
        <v>4868</v>
      </c>
      <c r="G3740">
        <v>232.5</v>
      </c>
      <c r="H3740">
        <v>252.72</v>
      </c>
      <c r="I3740">
        <v>252.73</v>
      </c>
      <c r="J3740">
        <v>-0.01</v>
      </c>
    </row>
    <row r="3741" spans="1:10" x14ac:dyDescent="0.3">
      <c r="A3741" t="str">
        <f>HYPERLINK("https://us2.cloudbeds.com/connect/10074733072513#/reservations/31689374859443?display=MHXFW908P&amp;reservation_id=31689374859443", "MHXFW908P")</f>
        <v>MHXFW908P</v>
      </c>
      <c r="B3741" t="s">
        <v>10</v>
      </c>
      <c r="C3741" t="s">
        <v>42</v>
      </c>
      <c r="D3741" t="str">
        <f>HYPERLINK("https://us2.cloudbeds.com/connect/10074733072513#/reservations/31689374859443?display=Clover%20Herdman&amp;reservation_id=31689374859443&amp;guest_id=31689364914331", "Clover Herdman")</f>
        <v>Clover Herdman</v>
      </c>
      <c r="E3741" t="s">
        <v>4871</v>
      </c>
      <c r="F3741" t="s">
        <v>4868</v>
      </c>
      <c r="G3741">
        <v>232.5</v>
      </c>
      <c r="H3741">
        <v>252.72</v>
      </c>
      <c r="I3741">
        <v>252.73</v>
      </c>
      <c r="J3741">
        <v>-0.01</v>
      </c>
    </row>
    <row r="3742" spans="1:10" x14ac:dyDescent="0.3">
      <c r="A3742" t="str">
        <f>HYPERLINK("https://us2.cloudbeds.com/connect/10074733072513#/reservations/31672607260868?display=MH5GHCSD1&amp;reservation_id=31672607260868", "MH5GHCSD1")</f>
        <v>MH5GHCSD1</v>
      </c>
      <c r="B3742" t="s">
        <v>10</v>
      </c>
      <c r="C3742" t="s">
        <v>11</v>
      </c>
      <c r="D3742" t="str">
        <f>HYPERLINK("https://us2.cloudbeds.com/connect/10074733072513#/reservations/31672607260868?display=Josh%20Finstad&amp;reservation_id=31672607260868&amp;guest_id=31672607256772", "Josh Finstad")</f>
        <v>Josh Finstad</v>
      </c>
      <c r="E3742" t="s">
        <v>4874</v>
      </c>
      <c r="F3742" t="s">
        <v>4875</v>
      </c>
      <c r="G3742">
        <v>174.4</v>
      </c>
      <c r="H3742">
        <v>189.56</v>
      </c>
      <c r="I3742">
        <v>189.57</v>
      </c>
      <c r="J3742">
        <v>-0.01</v>
      </c>
    </row>
    <row r="3743" spans="1:10" x14ac:dyDescent="0.3">
      <c r="A3743" t="str">
        <f>HYPERLINK("https://us2.cloudbeds.com/connect/10074733072513#/reservations/31671881474198?display=MH4UWCPKJ&amp;reservation_id=31671881474198", "MH4UWCPKJ")</f>
        <v>MH4UWCPKJ</v>
      </c>
      <c r="B3743" t="s">
        <v>10</v>
      </c>
      <c r="C3743" t="s">
        <v>23</v>
      </c>
      <c r="D3743" t="str">
        <f>HYPERLINK("https://us2.cloudbeds.com/connect/10074733072513#/reservations/31671881474198?display=Andrew%20Kinter&amp;reservation_id=31671881474198&amp;guest_id=31671881474193", "Andrew Kinter")</f>
        <v>Andrew Kinter</v>
      </c>
      <c r="E3743" t="s">
        <v>4878</v>
      </c>
      <c r="F3743" t="s">
        <v>4300</v>
      </c>
      <c r="G3743">
        <v>134.1</v>
      </c>
      <c r="H3743">
        <v>145.76</v>
      </c>
      <c r="I3743">
        <v>145.77000000000001</v>
      </c>
      <c r="J3743">
        <v>-0.01</v>
      </c>
    </row>
    <row r="3744" spans="1:10" x14ac:dyDescent="0.3">
      <c r="A3744" t="str">
        <f>HYPERLINK("https://us2.cloudbeds.com/connect/10074733072513#/reservations/31689397080217?display=MHXGX0B0H&amp;reservation_id=31689397080217", "MHXGX0B0H")</f>
        <v>MHXGX0B0H</v>
      </c>
      <c r="B3744" t="s">
        <v>10</v>
      </c>
      <c r="C3744" t="s">
        <v>42</v>
      </c>
      <c r="D3744" t="str">
        <f>HYPERLINK("https://us2.cloudbeds.com/connect/10074733072513#/reservations/31689397080217?display=Tim%20And%20Holly%20Kohn&amp;reservation_id=31689397080217&amp;guest_id=31689397080212", "Tim And Holly Kohn")</f>
        <v>Tim And Holly Kohn</v>
      </c>
      <c r="E3744" t="s">
        <v>4881</v>
      </c>
      <c r="F3744" t="s">
        <v>4868</v>
      </c>
      <c r="G3744">
        <v>232.5</v>
      </c>
      <c r="H3744">
        <v>252.72</v>
      </c>
      <c r="I3744">
        <v>252.73</v>
      </c>
      <c r="J3744">
        <v>-0.01</v>
      </c>
    </row>
    <row r="3745" spans="1:10" x14ac:dyDescent="0.3">
      <c r="A3745" t="str">
        <f>HYPERLINK("https://us2.cloudbeds.com/connect/10074733072513#/reservations/31674319610061?display=MH6R99GHH&amp;reservation_id=31674319610061", "MH6R99GHH")</f>
        <v>MH6R99GHH</v>
      </c>
      <c r="B3745" t="s">
        <v>10</v>
      </c>
      <c r="C3745" t="s">
        <v>11</v>
      </c>
      <c r="D3745" t="str">
        <f>HYPERLINK("https://us2.cloudbeds.com/connect/10074733072513#/reservations/31674319610061?display=Wilmot%20Wijeratne&amp;reservation_id=31674319610061&amp;guest_id=31674319610058", "Wilmot Wijeratne")</f>
        <v>Wilmot Wijeratne</v>
      </c>
      <c r="E3745" t="s">
        <v>4882</v>
      </c>
      <c r="F3745" t="s">
        <v>4883</v>
      </c>
      <c r="G3745">
        <v>196.2</v>
      </c>
      <c r="H3745">
        <v>213.26</v>
      </c>
      <c r="I3745">
        <v>213.27</v>
      </c>
      <c r="J3745">
        <v>-0.01</v>
      </c>
    </row>
    <row r="3746" spans="1:10" x14ac:dyDescent="0.3">
      <c r="A3746" t="str">
        <f>HYPERLINK("https://us2.cloudbeds.com/connect/10074733072513#/reservations/31673721577609?display=MH6C00C30&amp;reservation_id=31673721577609", "MH6C00C30")</f>
        <v>MH6C00C30</v>
      </c>
      <c r="B3746" t="s">
        <v>10</v>
      </c>
      <c r="C3746" t="s">
        <v>42</v>
      </c>
      <c r="D3746" t="str">
        <f>HYPERLINK("https://us2.cloudbeds.com/connect/10074733072513#/reservations/31673721577609?display=Brian%20West&amp;reservation_id=31673721577609&amp;guest_id=31673721577604", "Brian West")</f>
        <v>Brian West</v>
      </c>
      <c r="E3746" t="s">
        <v>4889</v>
      </c>
      <c r="F3746" t="s">
        <v>4883</v>
      </c>
      <c r="G3746">
        <v>196.2</v>
      </c>
      <c r="H3746">
        <v>213.26</v>
      </c>
      <c r="I3746">
        <v>213.27</v>
      </c>
      <c r="J3746">
        <v>-0.01</v>
      </c>
    </row>
    <row r="3747" spans="1:10" x14ac:dyDescent="0.3">
      <c r="A3747" t="str">
        <f>HYPERLINK("https://us2.cloudbeds.com/connect/10074733072513#/reservations/31688248737940?display=MHHK6N0XZ&amp;reservation_id=31688248737940", "MHHK6N0XZ")</f>
        <v>MHHK6N0XZ</v>
      </c>
      <c r="B3747" t="s">
        <v>10</v>
      </c>
      <c r="C3747" t="s">
        <v>42</v>
      </c>
      <c r="D3747" t="str">
        <f>HYPERLINK("https://us2.cloudbeds.com/connect/10074733072513#/reservations/31688248737940?display=Deviney%20Tuttle&amp;reservation_id=31688248737940&amp;guest_id=31688248737924", "Deviney Tuttle")</f>
        <v>Deviney Tuttle</v>
      </c>
      <c r="E3747" t="s">
        <v>4896</v>
      </c>
      <c r="F3747" t="s">
        <v>4868</v>
      </c>
      <c r="G3747">
        <v>232.5</v>
      </c>
      <c r="H3747">
        <v>252.72</v>
      </c>
      <c r="I3747">
        <v>252.73</v>
      </c>
      <c r="J3747">
        <v>-0.01</v>
      </c>
    </row>
    <row r="3748" spans="1:10" x14ac:dyDescent="0.3">
      <c r="A3748" t="str">
        <f>HYPERLINK("https://us2.cloudbeds.com/connect/10074733072513#/reservations/31673335996655?display=MH624T08M&amp;reservation_id=31673335996655", "MH624T08M")</f>
        <v>MH624T08M</v>
      </c>
      <c r="B3748" t="s">
        <v>10</v>
      </c>
      <c r="C3748" t="s">
        <v>20</v>
      </c>
      <c r="D3748" t="str">
        <f>HYPERLINK("https://us2.cloudbeds.com/connect/10074733072513#/reservations/31673335996655?display=Barrera%20Gabriela&amp;reservation_id=31673335996655&amp;guest_id=31673329160349", "Barrera Gabriela")</f>
        <v>Barrera Gabriela</v>
      </c>
      <c r="E3748" t="s">
        <v>4897</v>
      </c>
      <c r="F3748" t="s">
        <v>3834</v>
      </c>
      <c r="G3748">
        <v>304.2</v>
      </c>
      <c r="H3748">
        <v>330.66</v>
      </c>
      <c r="I3748">
        <v>330.67</v>
      </c>
      <c r="J3748">
        <v>-0.01</v>
      </c>
    </row>
    <row r="3749" spans="1:10" x14ac:dyDescent="0.3">
      <c r="A3749" t="str">
        <f>HYPERLINK("https://us2.cloudbeds.com/connect/10074733072513#/reservations/31673067004126?display=MH5S91TGU&amp;reservation_id=31673067004126", "MH5S91TGU")</f>
        <v>MH5S91TGU</v>
      </c>
      <c r="B3749" t="s">
        <v>10</v>
      </c>
      <c r="C3749" t="s">
        <v>121</v>
      </c>
      <c r="D3749" t="str">
        <f>HYPERLINK("https://us2.cloudbeds.com/connect/10074733072513#/reservations/31673067004126?display=Traynor%20Gerard&amp;reservation_id=31673067004126&amp;guest_id=31673067000032", "Traynor Gerard")</f>
        <v>Traynor Gerard</v>
      </c>
      <c r="E3749" t="s">
        <v>4899</v>
      </c>
      <c r="F3749" t="s">
        <v>4885</v>
      </c>
      <c r="G3749">
        <v>187.2</v>
      </c>
      <c r="H3749">
        <v>203.48</v>
      </c>
      <c r="I3749">
        <v>203.49</v>
      </c>
      <c r="J3749">
        <v>-0.01</v>
      </c>
    </row>
    <row r="3750" spans="1:10" x14ac:dyDescent="0.3">
      <c r="A3750" t="str">
        <f>HYPERLINK("https://us2.cloudbeds.com/connect/10074733072513#/reservations/31688248742038?display=MHHK6N4AU&amp;reservation_id=31688248742038", "MHHK6N4AU")</f>
        <v>MHHK6N4AU</v>
      </c>
      <c r="B3750" t="s">
        <v>10</v>
      </c>
      <c r="C3750" t="s">
        <v>42</v>
      </c>
      <c r="D3750" t="str">
        <f>HYPERLINK("https://us2.cloudbeds.com/connect/10074733072513#/reservations/31688248742038?display=Kendra%20Olson&amp;reservation_id=31688248742038&amp;guest_id=31688248742036", "Kendra Olson")</f>
        <v>Kendra Olson</v>
      </c>
      <c r="E3750" t="s">
        <v>4900</v>
      </c>
      <c r="F3750" t="s">
        <v>4868</v>
      </c>
      <c r="G3750">
        <v>232.5</v>
      </c>
      <c r="H3750">
        <v>252.72</v>
      </c>
      <c r="I3750">
        <v>252.73</v>
      </c>
      <c r="J3750">
        <v>-0.01</v>
      </c>
    </row>
    <row r="3751" spans="1:10" x14ac:dyDescent="0.3">
      <c r="A3751" t="str">
        <f>HYPERLINK("https://us2.cloudbeds.com/connect/10074733072513#/reservations/31675619274948?display=MH7RG6JHW&amp;reservation_id=31675619274948", "MH7RG6JHW")</f>
        <v>MH7RG6JHW</v>
      </c>
      <c r="B3751" t="s">
        <v>10</v>
      </c>
      <c r="C3751" t="s">
        <v>17</v>
      </c>
      <c r="D3751" t="str">
        <f>HYPERLINK("https://us2.cloudbeds.com/connect/10074733072513#/reservations/31675619274948?display=Kit%20Paper&amp;reservation_id=31675619274948&amp;guest_id=31675609100520", "Kit Paper")</f>
        <v>Kit Paper</v>
      </c>
      <c r="E3751" t="s">
        <v>4901</v>
      </c>
      <c r="F3751" t="s">
        <v>4777</v>
      </c>
      <c r="G3751">
        <v>250.2</v>
      </c>
      <c r="H3751">
        <v>271.95999999999998</v>
      </c>
      <c r="I3751">
        <v>271.97000000000003</v>
      </c>
      <c r="J3751">
        <v>-0.01</v>
      </c>
    </row>
    <row r="3752" spans="1:10" x14ac:dyDescent="0.3">
      <c r="A3752" t="str">
        <f>HYPERLINK("https://us2.cloudbeds.com/connect/10074733072513#/reservations/31674078646480?display=MH6Y43B0R&amp;reservation_id=31674078646480", "MH6Y43B0R")</f>
        <v>MH6Y43B0R</v>
      </c>
      <c r="B3752" t="s">
        <v>10</v>
      </c>
      <c r="C3752" t="s">
        <v>42</v>
      </c>
      <c r="D3752" t="str">
        <f>HYPERLINK("https://us2.cloudbeds.com/connect/10074733072513#/reservations/31674078646480?display=Len%20Hartka&amp;reservation_id=31674078646480&amp;guest_id=31674071822521", "Len Hartka")</f>
        <v>Len Hartka</v>
      </c>
      <c r="E3752" t="s">
        <v>4924</v>
      </c>
      <c r="F3752" t="s">
        <v>4925</v>
      </c>
      <c r="G3752">
        <v>134.1</v>
      </c>
      <c r="H3752">
        <v>145.76</v>
      </c>
      <c r="I3752">
        <v>145.77000000000001</v>
      </c>
      <c r="J3752">
        <v>-0.01</v>
      </c>
    </row>
    <row r="3753" spans="1:10" x14ac:dyDescent="0.3">
      <c r="A3753" t="str">
        <f>HYPERLINK("https://us2.cloudbeds.com/connect/10074733072513#/reservations/31673727545574?display=MH6C51EAE&amp;reservation_id=31673727545574", "MH6C51EAE")</f>
        <v>MH6C51EAE</v>
      </c>
      <c r="B3753" t="s">
        <v>10</v>
      </c>
      <c r="C3753" t="s">
        <v>42</v>
      </c>
      <c r="D3753" t="str">
        <f>HYPERLINK("https://us2.cloudbeds.com/connect/10074733072513#/reservations/31673727545574?display=Cameron%20Semmler&amp;reservation_id=31673727545574&amp;guest_id=31673727545569", "Cameron Semmler")</f>
        <v>Cameron Semmler</v>
      </c>
      <c r="E3753" t="s">
        <v>4926</v>
      </c>
      <c r="F3753" t="s">
        <v>4777</v>
      </c>
      <c r="G3753">
        <v>304.2</v>
      </c>
      <c r="H3753">
        <v>330.66</v>
      </c>
      <c r="I3753">
        <v>330.67</v>
      </c>
      <c r="J3753">
        <v>-0.01</v>
      </c>
    </row>
    <row r="3754" spans="1:10" x14ac:dyDescent="0.3">
      <c r="A3754" t="str">
        <f>HYPERLINK("https://us2.cloudbeds.com/connect/10074733072513#/reservations/31673412649145?display=MH643GW7D&amp;reservation_id=31673412649145", "MH643GW7D")</f>
        <v>MH643GW7D</v>
      </c>
      <c r="B3754" t="s">
        <v>10</v>
      </c>
      <c r="C3754" t="s">
        <v>11</v>
      </c>
      <c r="D3754" t="str">
        <f>HYPERLINK("https://us2.cloudbeds.com/connect/10074733072513#/reservations/31673412649145?display=Cary%20Christensen&amp;reservation_id=31673412649145&amp;guest_id=31673412649129", "Cary Christensen")</f>
        <v>Cary Christensen</v>
      </c>
      <c r="E3754" t="s">
        <v>4938</v>
      </c>
      <c r="F3754" t="s">
        <v>4818</v>
      </c>
      <c r="G3754">
        <v>222.4</v>
      </c>
      <c r="H3754">
        <v>241.74</v>
      </c>
      <c r="I3754">
        <v>241.75</v>
      </c>
      <c r="J3754">
        <v>-0.01</v>
      </c>
    </row>
    <row r="3755" spans="1:10" x14ac:dyDescent="0.3">
      <c r="A3755" t="str">
        <f>HYPERLINK("https://us2.cloudbeds.com/connect/10074733072513#/reservations/31672837181581?display=MH5MD8ZHC&amp;reservation_id=31672837181581", "MH5MD8ZHC")</f>
        <v>MH5MD8ZHC</v>
      </c>
      <c r="B3755" t="s">
        <v>10</v>
      </c>
      <c r="C3755" t="s">
        <v>11</v>
      </c>
      <c r="D3755" t="str">
        <f>HYPERLINK("https://us2.cloudbeds.com/connect/10074733072513#/reservations/31672837181581?display=Kathy%20Studer&amp;reservation_id=31672837181581&amp;guest_id=31672837181575", "Kathy Studer")</f>
        <v>Kathy Studer</v>
      </c>
      <c r="E3755" t="s">
        <v>4612</v>
      </c>
      <c r="F3755" t="s">
        <v>4726</v>
      </c>
      <c r="G3755">
        <v>244.56</v>
      </c>
      <c r="H3755">
        <v>265.83</v>
      </c>
      <c r="I3755">
        <v>265.83999999999997</v>
      </c>
      <c r="J3755">
        <v>-0.01</v>
      </c>
    </row>
    <row r="3756" spans="1:10" x14ac:dyDescent="0.3">
      <c r="A3756" t="str">
        <f>HYPERLINK("https://us2.cloudbeds.com/connect/10074733072513#/reservations/31673818775693?display=MH6EFW1HG&amp;reservation_id=31673818775693", "MH6EFW1HG")</f>
        <v>MH6EFW1HG</v>
      </c>
      <c r="B3756" t="s">
        <v>10</v>
      </c>
      <c r="C3756" t="s">
        <v>11</v>
      </c>
      <c r="D3756" t="str">
        <f>HYPERLINK("https://us2.cloudbeds.com/connect/10074733072513#/reservations/31673818775693?display=Ryan%20Timm&amp;reservation_id=31673818775693&amp;guest_id=30664495431840", "Ryan Timm")</f>
        <v>Ryan Timm</v>
      </c>
      <c r="E3756" t="s">
        <v>1981</v>
      </c>
      <c r="F3756" t="s">
        <v>4904</v>
      </c>
      <c r="G3756">
        <v>401.92</v>
      </c>
      <c r="H3756">
        <v>436.88</v>
      </c>
      <c r="I3756">
        <v>436.89</v>
      </c>
      <c r="J3756">
        <v>-0.01</v>
      </c>
    </row>
    <row r="3757" spans="1:10" x14ac:dyDescent="0.3">
      <c r="A3757" t="str">
        <f>HYPERLINK("https://us2.cloudbeds.com/connect/10074733072513#/reservations/31672680362139?display=MH5XD10C2&amp;reservation_id=31672680362139", "MH5XD10C2")</f>
        <v>MH5XD10C2</v>
      </c>
      <c r="B3757" t="s">
        <v>10</v>
      </c>
      <c r="C3757" t="s">
        <v>121</v>
      </c>
      <c r="D3757" t="str">
        <f>HYPERLINK("https://us2.cloudbeds.com/connect/10074733072513#/reservations/31672680362139?display=John%20Benson&amp;reservation_id=31672680362139&amp;guest_id=31672680362128", "John Benson")</f>
        <v>John Benson</v>
      </c>
      <c r="E3757" t="s">
        <v>4957</v>
      </c>
      <c r="F3757" t="s">
        <v>4948</v>
      </c>
      <c r="G3757">
        <v>196.2</v>
      </c>
      <c r="H3757">
        <v>213.26</v>
      </c>
      <c r="I3757">
        <v>213.27</v>
      </c>
      <c r="J3757">
        <v>-0.01</v>
      </c>
    </row>
    <row r="3758" spans="1:10" x14ac:dyDescent="0.3">
      <c r="A3758" t="str">
        <f>HYPERLINK("https://us2.cloudbeds.com/connect/10074733072513#/reservations/31673814253770?display=MH6EC575H&amp;reservation_id=31673814253770", "MH6EC575H")</f>
        <v>MH6EC575H</v>
      </c>
      <c r="B3758" t="s">
        <v>10</v>
      </c>
      <c r="C3758" t="s">
        <v>42</v>
      </c>
      <c r="D3758" t="str">
        <f>HYPERLINK("https://us2.cloudbeds.com/connect/10074733072513#/reservations/31673814253770?display=Brian%20Burmeister&amp;reservation_id=31673814253770&amp;guest_id=31673814253766", "Brian Burmeister")</f>
        <v>Brian Burmeister</v>
      </c>
      <c r="E3758" t="s">
        <v>4960</v>
      </c>
      <c r="F3758" t="s">
        <v>4943</v>
      </c>
      <c r="G3758">
        <v>94.16</v>
      </c>
      <c r="H3758">
        <v>102.34</v>
      </c>
      <c r="I3758">
        <v>102.35</v>
      </c>
      <c r="J3758">
        <v>-0.01</v>
      </c>
    </row>
    <row r="3759" spans="1:10" x14ac:dyDescent="0.3">
      <c r="A3759" t="str">
        <f>HYPERLINK("https://us2.cloudbeds.com/connect/10074733072513#/reservations/31673314537666?display=MH61JPT19&amp;reservation_id=31673314537666", "MH61JPT19")</f>
        <v>MH61JPT19</v>
      </c>
      <c r="B3759" t="s">
        <v>10</v>
      </c>
      <c r="C3759" t="s">
        <v>11</v>
      </c>
      <c r="D3759" t="str">
        <f>HYPERLINK("https://us2.cloudbeds.com/connect/10074733072513#/reservations/31673314537666?display=Edna%20Sobania&amp;reservation_id=31673314537666&amp;guest_id=31673304854699", "Edna Sobania")</f>
        <v>Edna Sobania</v>
      </c>
      <c r="E3759" t="s">
        <v>3830</v>
      </c>
      <c r="F3759" t="s">
        <v>3834</v>
      </c>
      <c r="G3759">
        <v>222.4</v>
      </c>
      <c r="H3759">
        <v>241.74</v>
      </c>
      <c r="I3759">
        <v>241.75</v>
      </c>
      <c r="J3759">
        <v>-0.01</v>
      </c>
    </row>
    <row r="3760" spans="1:10" x14ac:dyDescent="0.3">
      <c r="A3760" t="str">
        <f>HYPERLINK("https://us2.cloudbeds.com/connect/10074733072513#/reservations/31673531998367?display=MH67551FG&amp;reservation_id=31673531998367", "MH67551FG")</f>
        <v>MH67551FG</v>
      </c>
      <c r="B3760" t="s">
        <v>10</v>
      </c>
      <c r="C3760" t="s">
        <v>11</v>
      </c>
      <c r="D3760" t="str">
        <f>HYPERLINK("https://us2.cloudbeds.com/connect/10074733072513#/reservations/31673531998367?display=Jennifer%20Anderson&amp;reservation_id=31673531998367&amp;guest_id=31673531998362", "Jennifer Anderson")</f>
        <v>Jennifer Anderson</v>
      </c>
      <c r="E3760" t="s">
        <v>4612</v>
      </c>
      <c r="F3760" t="s">
        <v>4821</v>
      </c>
      <c r="G3760">
        <v>137.76</v>
      </c>
      <c r="H3760">
        <v>149.74</v>
      </c>
      <c r="I3760">
        <v>149.75</v>
      </c>
      <c r="J3760">
        <v>-0.01</v>
      </c>
    </row>
    <row r="3761" spans="1:10" x14ac:dyDescent="0.3">
      <c r="A3761" t="str">
        <f>HYPERLINK("https://us2.cloudbeds.com/connect/10074733072513#/reservations/31672727666832?display=MH5JJUB0K&amp;reservation_id=31672727666832", "MH5JJUB0K")</f>
        <v>MH5JJUB0K</v>
      </c>
      <c r="B3761" t="s">
        <v>10</v>
      </c>
      <c r="C3761" t="s">
        <v>20</v>
      </c>
      <c r="D3761" t="str">
        <f>HYPERLINK("https://us2.cloudbeds.com/connect/10074733072513#/reservations/31672727666832?display=Mcreynolds%20Jake&amp;reservation_id=31672727666832&amp;guest_id=31672727666821", "Mcreynolds Jake")</f>
        <v>Mcreynolds Jake</v>
      </c>
      <c r="E3761" t="s">
        <v>4976</v>
      </c>
      <c r="F3761" t="s">
        <v>4948</v>
      </c>
      <c r="G3761">
        <v>93.2</v>
      </c>
      <c r="H3761">
        <v>101.3</v>
      </c>
      <c r="I3761">
        <v>101.31</v>
      </c>
      <c r="J3761">
        <v>-0.01</v>
      </c>
    </row>
    <row r="3762" spans="1:10" x14ac:dyDescent="0.3">
      <c r="A3762" t="str">
        <f>HYPERLINK("https://us2.cloudbeds.com/connect/10074733072513#/reservations/31673521602780?display=MH66TCPFM&amp;reservation_id=31673521602780", "MH66TCPFM")</f>
        <v>MH66TCPFM</v>
      </c>
      <c r="B3762" t="s">
        <v>10</v>
      </c>
      <c r="C3762" t="s">
        <v>20</v>
      </c>
      <c r="D3762" t="str">
        <f>HYPERLINK("https://us2.cloudbeds.com/connect/10074733072513#/reservations/31673521602780?display=Cornelia%20Elizabeth%20Karsten&amp;reservation_id=31673521602780&amp;guest_id=31673521602777", "Cornelia Elizabeth Karsten")</f>
        <v>Cornelia Elizabeth Karsten</v>
      </c>
      <c r="E3762" t="s">
        <v>4977</v>
      </c>
      <c r="F3762" t="s">
        <v>4922</v>
      </c>
      <c r="G3762">
        <v>118.15</v>
      </c>
      <c r="H3762">
        <v>128.41999999999999</v>
      </c>
      <c r="I3762">
        <v>128.43</v>
      </c>
      <c r="J3762">
        <v>-0.01</v>
      </c>
    </row>
    <row r="3763" spans="1:10" x14ac:dyDescent="0.3">
      <c r="A3763" t="str">
        <f>HYPERLINK("https://us2.cloudbeds.com/connect/10074733072513#/reservations/31673275236502?display=MH60JY8QU&amp;reservation_id=31673275236502", "MH60JY8QU")</f>
        <v>MH60JY8QU</v>
      </c>
      <c r="B3763" t="s">
        <v>10</v>
      </c>
      <c r="C3763" t="s">
        <v>42</v>
      </c>
      <c r="D3763" t="str">
        <f>HYPERLINK("https://us2.cloudbeds.com/connect/10074733072513#/reservations/31673275236502?display=Larry%20&amp;amp;%20Renee%20Trautman&amp;reservation_id=31673275236502&amp;guest_id=31673268547838", "Larry &amp;amp; Renee Trautman")</f>
        <v>Larry &amp;amp; Renee Trautman</v>
      </c>
      <c r="E3763" t="s">
        <v>4980</v>
      </c>
      <c r="F3763" t="s">
        <v>3834</v>
      </c>
      <c r="G3763">
        <v>250.2</v>
      </c>
      <c r="H3763">
        <v>271.95999999999998</v>
      </c>
      <c r="I3763">
        <v>271.97000000000003</v>
      </c>
      <c r="J3763">
        <v>-0.01</v>
      </c>
    </row>
    <row r="3764" spans="1:10" x14ac:dyDescent="0.3">
      <c r="A3764" t="str">
        <f>HYPERLINK("https://us2.cloudbeds.com/connect/10074733072513#/reservations/31677959778520?display=MH9Y9PX9Y&amp;reservation_id=31677959778520", "MH9Y9PX9Y")</f>
        <v>MH9Y9PX9Y</v>
      </c>
      <c r="B3764" t="s">
        <v>10</v>
      </c>
      <c r="C3764" t="s">
        <v>20</v>
      </c>
      <c r="D3764" t="str">
        <f>HYPERLINK("https://us2.cloudbeds.com/connect/10074733072513#/reservations/31677959778520?display=Virginia%20Evans&amp;reservation_id=31677959778520&amp;guest_id=31677959778516", "Virginia Evans")</f>
        <v>Virginia Evans</v>
      </c>
      <c r="E3764" t="s">
        <v>4981</v>
      </c>
      <c r="F3764" t="s">
        <v>4982</v>
      </c>
      <c r="G3764">
        <v>152.15</v>
      </c>
      <c r="H3764">
        <v>165.38</v>
      </c>
      <c r="I3764">
        <v>165.39</v>
      </c>
      <c r="J3764">
        <v>-0.01</v>
      </c>
    </row>
    <row r="3765" spans="1:10" x14ac:dyDescent="0.3">
      <c r="A3765" t="str">
        <f>HYPERLINK("https://us2.cloudbeds.com/connect/10074733072513#/reservations/31673362313452?display=MH62R2A9C&amp;reservation_id=31673362313452", "MH62R2A9C")</f>
        <v>MH62R2A9C</v>
      </c>
      <c r="B3765" t="s">
        <v>10</v>
      </c>
      <c r="C3765" t="s">
        <v>11</v>
      </c>
      <c r="D3765" t="str">
        <f>HYPERLINK("https://us2.cloudbeds.com/connect/10074733072513#/reservations/31673362313452?display=Rachel%20Woodworth&amp;reservation_id=31673362313452&amp;guest_id=31673362313440", "Rachel Woodworth")</f>
        <v>Rachel Woodworth</v>
      </c>
      <c r="E3765" t="s">
        <v>4983</v>
      </c>
      <c r="F3765" t="s">
        <v>4818</v>
      </c>
      <c r="G3765">
        <v>333.6</v>
      </c>
      <c r="H3765">
        <v>362.61</v>
      </c>
      <c r="I3765">
        <v>362.62</v>
      </c>
      <c r="J3765">
        <v>-0.01</v>
      </c>
    </row>
    <row r="3766" spans="1:10" x14ac:dyDescent="0.3">
      <c r="A3766" t="str">
        <f>HYPERLINK("https://us2.cloudbeds.com/connect/10074733072513#/reservations/31674357620943?display=MH6S8B6UE&amp;reservation_id=31674357620943", "MH6S8B6UE")</f>
        <v>MH6S8B6UE</v>
      </c>
      <c r="B3766" t="s">
        <v>10</v>
      </c>
      <c r="C3766" t="s">
        <v>11</v>
      </c>
      <c r="D3766" t="str">
        <f>HYPERLINK("https://us2.cloudbeds.com/connect/10074733072513#/reservations/31674357620943?display=Julie%20Jacobsen&amp;reservation_id=31674357620943&amp;guest_id=31674357616846", "Julie Jacobsen")</f>
        <v>Julie Jacobsen</v>
      </c>
      <c r="E3766" t="s">
        <v>4985</v>
      </c>
      <c r="F3766" t="s">
        <v>4672</v>
      </c>
      <c r="G3766">
        <v>333.6</v>
      </c>
      <c r="H3766">
        <v>362.61</v>
      </c>
      <c r="I3766">
        <v>362.62</v>
      </c>
      <c r="J3766">
        <v>-0.01</v>
      </c>
    </row>
    <row r="3767" spans="1:10" x14ac:dyDescent="0.3">
      <c r="A3767" t="str">
        <f>HYPERLINK("https://us2.cloudbeds.com/connect/10074733072513#/reservations/31675626963170?display=MH7RMMHED&amp;reservation_id=31675626963170", "MH7RMMHED")</f>
        <v>MH7RMMHED</v>
      </c>
      <c r="B3767" t="s">
        <v>10</v>
      </c>
      <c r="C3767" t="s">
        <v>42</v>
      </c>
      <c r="D3767" t="str">
        <f>HYPERLINK("https://us2.cloudbeds.com/connect/10074733072513#/reservations/31675626963170?display=Nathan%20Vandersnick&amp;reservation_id=31675626963170&amp;guest_id=31675626963151", "Nathan Vandersnick")</f>
        <v>Nathan Vandersnick</v>
      </c>
      <c r="E3767" t="s">
        <v>4988</v>
      </c>
      <c r="F3767" t="s">
        <v>4777</v>
      </c>
      <c r="G3767">
        <v>250.2</v>
      </c>
      <c r="H3767">
        <v>271.95999999999998</v>
      </c>
      <c r="I3767">
        <v>271.97000000000003</v>
      </c>
      <c r="J3767">
        <v>-0.01</v>
      </c>
    </row>
    <row r="3768" spans="1:10" x14ac:dyDescent="0.3">
      <c r="A3768" t="str">
        <f>HYPERLINK("https://us2.cloudbeds.com/connect/10074733072513#/reservations/31673833197718?display=MH6ES4BTX&amp;reservation_id=31673833197718", "MH6ES4BTX")</f>
        <v>MH6ES4BTX</v>
      </c>
      <c r="B3768" t="s">
        <v>10</v>
      </c>
      <c r="C3768" t="s">
        <v>42</v>
      </c>
      <c r="D3768" t="str">
        <f>HYPERLINK("https://us2.cloudbeds.com/connect/10074733072513#/reservations/31673833197718?display=Lori%20Serverson&amp;reservation_id=31673833197718&amp;guest_id=31673814253816", "Lori Serverson")</f>
        <v>Lori Serverson</v>
      </c>
      <c r="E3768" t="s">
        <v>4989</v>
      </c>
      <c r="F3768" t="s">
        <v>4849</v>
      </c>
      <c r="G3768">
        <v>402.3</v>
      </c>
      <c r="H3768">
        <v>437.29</v>
      </c>
      <c r="I3768">
        <v>437.3</v>
      </c>
      <c r="J3768">
        <v>-0.01</v>
      </c>
    </row>
    <row r="3769" spans="1:10" x14ac:dyDescent="0.3">
      <c r="A3769" t="str">
        <f>HYPERLINK("https://us2.cloudbeds.com/connect/10074733072513#/reservations/31672760852690?display=MH5KETPNM&amp;reservation_id=31672760852690", "MH5KETPNM")</f>
        <v>MH5KETPNM</v>
      </c>
      <c r="B3769" t="s">
        <v>10</v>
      </c>
      <c r="C3769" t="s">
        <v>42</v>
      </c>
      <c r="D3769" t="str">
        <f>HYPERLINK("https://us2.cloudbeds.com/connect/10074733072513#/reservations/31672760852690?display=Juliann%20Perrigo&amp;reservation_id=31672760852690&amp;guest_id=31672415592653", "Juliann Perrigo")</f>
        <v>Juliann Perrigo</v>
      </c>
      <c r="E3769" t="s">
        <v>4750</v>
      </c>
      <c r="F3769" t="s">
        <v>4821</v>
      </c>
      <c r="G3769">
        <v>87.2</v>
      </c>
      <c r="H3769">
        <v>94.78</v>
      </c>
      <c r="I3769">
        <v>94.79</v>
      </c>
      <c r="J3769">
        <v>-0.01</v>
      </c>
    </row>
    <row r="3770" spans="1:10" x14ac:dyDescent="0.3">
      <c r="A3770" t="str">
        <f>HYPERLINK("https://us2.cloudbeds.com/connect/10074733072513#/reservations/31672868618455?display=MH5N6PH5U&amp;reservation_id=31672868618455", "MH5N6PH5U")</f>
        <v>MH5N6PH5U</v>
      </c>
      <c r="B3770" t="s">
        <v>10</v>
      </c>
      <c r="C3770" t="s">
        <v>14</v>
      </c>
      <c r="D3770" t="str">
        <f>HYPERLINK("https://us2.cloudbeds.com/connect/10074733072513#/reservations/31672868618455?display=Abby%20Kuper&amp;reservation_id=31672868618455&amp;guest_id=31672868618450", "Abby Kuper")</f>
        <v>Abby Kuper</v>
      </c>
      <c r="E3770" t="s">
        <v>4993</v>
      </c>
      <c r="F3770" t="s">
        <v>3834</v>
      </c>
      <c r="G3770">
        <v>134.1</v>
      </c>
      <c r="H3770">
        <v>145.76</v>
      </c>
      <c r="I3770">
        <v>145.77000000000001</v>
      </c>
      <c r="J3770">
        <v>-0.01</v>
      </c>
    </row>
    <row r="3771" spans="1:10" x14ac:dyDescent="0.3">
      <c r="A3771" t="str">
        <f>HYPERLINK("https://us2.cloudbeds.com/connect/10074733072513#/reservations/31673794277577?display=MH6DSABXB&amp;reservation_id=31673794277577", "MH6DSABXB")</f>
        <v>MH6DSABXB</v>
      </c>
      <c r="B3771" t="s">
        <v>10</v>
      </c>
      <c r="C3771" t="s">
        <v>11</v>
      </c>
      <c r="D3771" t="str">
        <f>HYPERLINK("https://us2.cloudbeds.com/connect/10074733072513#/reservations/31673794277577?display=Robert%20Miller&amp;reservation_id=31673794277577&amp;guest_id=31673794277572", "Robert Miller")</f>
        <v>Robert Miller</v>
      </c>
      <c r="E3771" t="s">
        <v>1933</v>
      </c>
      <c r="F3771" t="s">
        <v>4943</v>
      </c>
      <c r="G3771">
        <v>94.16</v>
      </c>
      <c r="H3771">
        <v>102.34</v>
      </c>
      <c r="I3771">
        <v>102.35</v>
      </c>
      <c r="J3771">
        <v>-0.01</v>
      </c>
    </row>
    <row r="3772" spans="1:10" x14ac:dyDescent="0.3">
      <c r="A3772" t="str">
        <f>HYPERLINK("https://us2.cloudbeds.com/connect/10074733072513#/reservations/31672886018211?display=MH5NYEMU8&amp;reservation_id=31672886018211", "MH5NYEMU8")</f>
        <v>MH5NYEMU8</v>
      </c>
      <c r="B3772" t="s">
        <v>10</v>
      </c>
      <c r="C3772" t="s">
        <v>11</v>
      </c>
      <c r="D3772" t="str">
        <f>HYPERLINK("https://us2.cloudbeds.com/connect/10074733072513#/reservations/31672886018211?display=Jeremy%20Olson&amp;reservation_id=31672886018211&amp;guest_id=31672886018205", "Jeremy Olson")</f>
        <v>Jeremy Olson</v>
      </c>
      <c r="E3772" t="s">
        <v>5005</v>
      </c>
      <c r="F3772" t="s">
        <v>3834</v>
      </c>
      <c r="G3772">
        <v>94.16</v>
      </c>
      <c r="H3772">
        <v>102.34</v>
      </c>
      <c r="I3772">
        <v>102.35</v>
      </c>
      <c r="J3772">
        <v>-0.01</v>
      </c>
    </row>
    <row r="3773" spans="1:10" x14ac:dyDescent="0.3">
      <c r="A3773" t="str">
        <f>HYPERLINK("https://us2.cloudbeds.com/connect/10074733072513#/reservations/31673416564948?display=MH646QV03&amp;reservation_id=31673416564948", "MH646QV03")</f>
        <v>MH646QV03</v>
      </c>
      <c r="B3773" t="s">
        <v>10</v>
      </c>
      <c r="C3773" t="s">
        <v>42</v>
      </c>
      <c r="D3773" t="str">
        <f>HYPERLINK("https://us2.cloudbeds.com/connect/10074733072513#/reservations/31673416564948?display=John%20Werdel&amp;reservation_id=31673416564948&amp;guest_id=31673416564943", "John Werdel")</f>
        <v>John Werdel</v>
      </c>
      <c r="E3773" t="s">
        <v>5010</v>
      </c>
      <c r="F3773" t="s">
        <v>4818</v>
      </c>
      <c r="G3773">
        <v>250.2</v>
      </c>
      <c r="H3773">
        <v>271.95999999999998</v>
      </c>
      <c r="I3773">
        <v>271.97000000000003</v>
      </c>
      <c r="J3773">
        <v>-0.01</v>
      </c>
    </row>
    <row r="3774" spans="1:10" x14ac:dyDescent="0.3">
      <c r="A3774" t="str">
        <f>HYPERLINK("https://us2.cloudbeds.com/connect/10074733072513#/reservations/31673054724318?display=MH5RVN69H&amp;reservation_id=31673054724318", "MH5RVN69H")</f>
        <v>MH5RVN69H</v>
      </c>
      <c r="B3774" t="s">
        <v>10</v>
      </c>
      <c r="C3774" t="s">
        <v>42</v>
      </c>
      <c r="D3774" t="str">
        <f>HYPERLINK("https://us2.cloudbeds.com/connect/10074733072513#/reservations/31673054724318?display=Brian%20Brady&amp;reservation_id=31673054724318&amp;guest_id=31673054724307", "Brian Brady")</f>
        <v>Brian Brady</v>
      </c>
      <c r="E3774" t="s">
        <v>5012</v>
      </c>
      <c r="F3774" t="s">
        <v>4499</v>
      </c>
      <c r="G3774">
        <v>196.2</v>
      </c>
      <c r="H3774">
        <v>213.26</v>
      </c>
      <c r="I3774">
        <v>213.27</v>
      </c>
      <c r="J3774">
        <v>-0.01</v>
      </c>
    </row>
    <row r="3775" spans="1:10" x14ac:dyDescent="0.3">
      <c r="A3775" t="str">
        <f>HYPERLINK("https://us2.cloudbeds.com/connect/10074733072513#/reservations/31673428070602?display=MH64GH3B9&amp;reservation_id=31673428070602", "MH64GH3B9")</f>
        <v>MH64GH3B9</v>
      </c>
      <c r="B3775" t="s">
        <v>10</v>
      </c>
      <c r="C3775" t="s">
        <v>42</v>
      </c>
      <c r="D3775" t="str">
        <f>HYPERLINK("https://us2.cloudbeds.com/connect/10074733072513#/reservations/31673428070602?display=Kaylea%20Johnson&amp;reservation_id=31673428070602&amp;guest_id=31673428070599", "Kaylea Johnson")</f>
        <v>Kaylea Johnson</v>
      </c>
      <c r="E3775" t="s">
        <v>5013</v>
      </c>
      <c r="F3775" t="s">
        <v>4818</v>
      </c>
      <c r="G3775">
        <v>268.2</v>
      </c>
      <c r="H3775">
        <v>291.52</v>
      </c>
      <c r="I3775">
        <v>291.52999999999997</v>
      </c>
      <c r="J3775">
        <v>-0.01</v>
      </c>
    </row>
    <row r="3776" spans="1:10" x14ac:dyDescent="0.3">
      <c r="A3776" t="str">
        <f>HYPERLINK("https://us2.cloudbeds.com/connect/10074733072513#/reservations/31673134198997?display=MH5TWNMQ4&amp;reservation_id=31673134198997", "MH5TWNMQ4")</f>
        <v>MH5TWNMQ4</v>
      </c>
      <c r="B3776" t="s">
        <v>10</v>
      </c>
      <c r="C3776" t="s">
        <v>11</v>
      </c>
      <c r="D3776" t="str">
        <f>HYPERLINK("https://us2.cloudbeds.com/connect/10074733072513#/reservations/31673134198997?display=Ole%20Johnson&amp;reservation_id=31673134198997&amp;guest_id=31673134194914", "Ole Johnson")</f>
        <v>Ole Johnson</v>
      </c>
      <c r="E3776" t="s">
        <v>5014</v>
      </c>
      <c r="F3776" t="s">
        <v>4837</v>
      </c>
      <c r="G3776">
        <v>196.2</v>
      </c>
      <c r="H3776">
        <v>213.26</v>
      </c>
      <c r="I3776">
        <v>213.27</v>
      </c>
      <c r="J3776">
        <v>-0.01</v>
      </c>
    </row>
    <row r="3777" spans="1:10" x14ac:dyDescent="0.3">
      <c r="A3777" t="str">
        <f>HYPERLINK("https://us2.cloudbeds.com/connect/10074733072513#/reservations/31674798211296?display=MH76GS9E8&amp;reservation_id=31674798211296", "MH76GS9E8")</f>
        <v>MH76GS9E8</v>
      </c>
      <c r="B3777" t="s">
        <v>10</v>
      </c>
      <c r="C3777" t="s">
        <v>20</v>
      </c>
      <c r="D3777" t="str">
        <f>HYPERLINK("https://us2.cloudbeds.com/connect/10074733072513#/reservations/31674798211296?display=Megan%20Bergin&amp;reservation_id=31674798211296&amp;guest_id=31674798211291", "Megan Bergin")</f>
        <v>Megan Bergin</v>
      </c>
      <c r="E3777" t="s">
        <v>5015</v>
      </c>
      <c r="F3777" t="s">
        <v>3836</v>
      </c>
      <c r="G3777">
        <v>268.2</v>
      </c>
      <c r="H3777">
        <v>291.52</v>
      </c>
      <c r="I3777">
        <v>291.52999999999997</v>
      </c>
      <c r="J3777">
        <v>-0.01</v>
      </c>
    </row>
    <row r="3778" spans="1:10" x14ac:dyDescent="0.3">
      <c r="A3778" t="str">
        <f>HYPERLINK("https://us2.cloudbeds.com/connect/10074733072513#/reservations/31674788520099?display=MH768MK8K&amp;reservation_id=31674788520099", "MH768MK8K")</f>
        <v>MH768MK8K</v>
      </c>
      <c r="B3778" t="s">
        <v>10</v>
      </c>
      <c r="C3778" t="s">
        <v>20</v>
      </c>
      <c r="D3778" t="str">
        <f>HYPERLINK("https://us2.cloudbeds.com/connect/10074733072513#/reservations/31674788520099?display=Rachel%20Kaczor&amp;reservation_id=31674788520099&amp;guest_id=31674788520096", "Rachel Kaczor")</f>
        <v>Rachel Kaczor</v>
      </c>
      <c r="E3778" t="s">
        <v>5015</v>
      </c>
      <c r="F3778" t="s">
        <v>3836</v>
      </c>
      <c r="G3778">
        <v>268.2</v>
      </c>
      <c r="H3778">
        <v>291.52</v>
      </c>
      <c r="I3778">
        <v>291.52999999999997</v>
      </c>
      <c r="J3778">
        <v>-0.01</v>
      </c>
    </row>
    <row r="3779" spans="1:10" x14ac:dyDescent="0.3">
      <c r="A3779" t="str">
        <f>HYPERLINK("https://us2.cloudbeds.com/connect/10074733072513#/reservations/31675538219142?display=MH7PDS34E&amp;reservation_id=31675538219142", "MH7PDS34E")</f>
        <v>MH7PDS34E</v>
      </c>
      <c r="B3779" t="s">
        <v>10</v>
      </c>
      <c r="C3779" t="s">
        <v>20</v>
      </c>
      <c r="D3779" t="str">
        <f>HYPERLINK("https://us2.cloudbeds.com/connect/10074733072513#/reservations/31675538219142?display=Colene%20Kaczor&amp;reservation_id=31675538219142&amp;guest_id=31675538219140", "Colene Kaczor")</f>
        <v>Colene Kaczor</v>
      </c>
      <c r="E3779" t="s">
        <v>5015</v>
      </c>
      <c r="F3779" t="s">
        <v>3836</v>
      </c>
      <c r="G3779">
        <v>268.2</v>
      </c>
      <c r="H3779">
        <v>291.52</v>
      </c>
      <c r="I3779">
        <v>291.52999999999997</v>
      </c>
      <c r="J3779">
        <v>-0.01</v>
      </c>
    </row>
    <row r="3780" spans="1:10" x14ac:dyDescent="0.3">
      <c r="A3780" t="str">
        <f>HYPERLINK("https://us2.cloudbeds.com/connect/10074733072513#/reservations/31674798215394?display=MH76GSD6E&amp;reservation_id=31674798215394", "MH76GSD6E")</f>
        <v>MH76GSD6E</v>
      </c>
      <c r="B3780" t="s">
        <v>10</v>
      </c>
      <c r="C3780" t="s">
        <v>20</v>
      </c>
      <c r="D3780" t="str">
        <f>HYPERLINK("https://us2.cloudbeds.com/connect/10074733072513#/reservations/31674798215394?display=Ruth%20Bergin&amp;reservation_id=31674798215394&amp;guest_id=31674798215392", "Ruth Bergin")</f>
        <v>Ruth Bergin</v>
      </c>
      <c r="E3780" t="s">
        <v>5015</v>
      </c>
      <c r="F3780" t="s">
        <v>3836</v>
      </c>
      <c r="G3780">
        <v>268.2</v>
      </c>
      <c r="H3780">
        <v>291.52</v>
      </c>
      <c r="I3780">
        <v>291.52999999999997</v>
      </c>
      <c r="J3780">
        <v>-0.01</v>
      </c>
    </row>
    <row r="3781" spans="1:10" x14ac:dyDescent="0.3">
      <c r="A3781" t="str">
        <f>HYPERLINK("https://us2.cloudbeds.com/connect/10074733072513#/reservations/31674650435728?display=MH72Z870Z&amp;reservation_id=31674650435728", "MH72Z870Z")</f>
        <v>MH72Z870Z</v>
      </c>
      <c r="B3781" t="s">
        <v>10</v>
      </c>
      <c r="C3781" t="s">
        <v>11</v>
      </c>
      <c r="D3781" t="str">
        <f>HYPERLINK("https://us2.cloudbeds.com/connect/10074733072513#/reservations/31674650435728?display=Adam%20Shriver&amp;reservation_id=31674650435728&amp;guest_id=31674650435722", "Adam Shriver")</f>
        <v>Adam Shriver</v>
      </c>
      <c r="E3781" t="s">
        <v>5022</v>
      </c>
      <c r="F3781" t="s">
        <v>5023</v>
      </c>
      <c r="G3781">
        <v>134.1</v>
      </c>
      <c r="H3781">
        <v>145.76</v>
      </c>
      <c r="I3781">
        <v>145.77000000000001</v>
      </c>
      <c r="J3781">
        <v>-0.01</v>
      </c>
    </row>
    <row r="3782" spans="1:10" x14ac:dyDescent="0.3">
      <c r="A3782" t="str">
        <f>HYPERLINK("https://us2.cloudbeds.com/connect/10074733072513#/reservations/31688183472296?display=MHHXHYTRV&amp;reservation_id=31688183472296", "MHHXHYTRV")</f>
        <v>MHHXHYTRV</v>
      </c>
      <c r="B3782" t="s">
        <v>10</v>
      </c>
      <c r="C3782" t="s">
        <v>42</v>
      </c>
      <c r="D3782" t="str">
        <f>HYPERLINK("https://us2.cloudbeds.com/connect/10074733072513#/reservations/31688183472296?display=Heather%20Fitch&amp;reservation_id=31688183472296&amp;guest_id=31688172773532", "Heather Fitch")</f>
        <v>Heather Fitch</v>
      </c>
      <c r="E3782" t="s">
        <v>5024</v>
      </c>
      <c r="F3782" t="s">
        <v>4868</v>
      </c>
      <c r="G3782">
        <v>232.5</v>
      </c>
      <c r="H3782">
        <v>252.72</v>
      </c>
      <c r="I3782">
        <v>252.73</v>
      </c>
      <c r="J3782">
        <v>-0.01</v>
      </c>
    </row>
    <row r="3783" spans="1:10" x14ac:dyDescent="0.3">
      <c r="A3783" t="str">
        <f>HYPERLINK("https://us2.cloudbeds.com/connect/10074733072513#/reservations/31673449111726?display=MH6518JS3&amp;reservation_id=31673449111726", "MH6518JS3")</f>
        <v>MH6518JS3</v>
      </c>
      <c r="B3783" t="s">
        <v>10</v>
      </c>
      <c r="C3783" t="s">
        <v>14</v>
      </c>
      <c r="D3783" t="str">
        <f>HYPERLINK("https://us2.cloudbeds.com/connect/10074733072513#/reservations/31673449111726?display=Llayce%20Pahl&amp;reservation_id=31673449111726&amp;guest_id=31673449111724", "Llayce Pahl")</f>
        <v>Llayce Pahl</v>
      </c>
      <c r="E3783" t="s">
        <v>5026</v>
      </c>
      <c r="F3783" t="s">
        <v>4922</v>
      </c>
      <c r="G3783">
        <v>240.32</v>
      </c>
      <c r="H3783">
        <v>261.22000000000003</v>
      </c>
      <c r="I3783">
        <v>261.23</v>
      </c>
      <c r="J3783">
        <v>-0.01</v>
      </c>
    </row>
    <row r="3784" spans="1:10" x14ac:dyDescent="0.3">
      <c r="A3784" t="str">
        <f>HYPERLINK("https://us2.cloudbeds.com/connect/10074733072513#/reservations/31679250268392?display=MHAY8VB49&amp;reservation_id=31679250268392", "MHAY8VB49")</f>
        <v>MHAY8VB49</v>
      </c>
      <c r="B3784" t="s">
        <v>10</v>
      </c>
      <c r="C3784" t="s">
        <v>14</v>
      </c>
      <c r="D3784" t="str">
        <f>HYPERLINK("https://us2.cloudbeds.com/connect/10074733072513#/reservations/31679250268392?display=Tera%20Hockenbary&amp;reservation_id=31679250268392&amp;guest_id=31679238398160", "Tera Hockenbary")</f>
        <v>Tera Hockenbary</v>
      </c>
      <c r="E3784" t="s">
        <v>5028</v>
      </c>
      <c r="F3784" t="s">
        <v>5029</v>
      </c>
      <c r="G3784">
        <v>134.1</v>
      </c>
      <c r="H3784">
        <v>145.76</v>
      </c>
      <c r="I3784">
        <v>145.77000000000001</v>
      </c>
      <c r="J3784">
        <v>-0.01</v>
      </c>
    </row>
    <row r="3785" spans="1:10" x14ac:dyDescent="0.3">
      <c r="A3785" t="str">
        <f>HYPERLINK("https://us2.cloudbeds.com/connect/10074733072513#/reservations/31673183129852?display=MH5V7W8NA&amp;reservation_id=31673183129852", "MH5V7W8NA")</f>
        <v>MH5V7W8NA</v>
      </c>
      <c r="B3785" t="s">
        <v>10</v>
      </c>
      <c r="C3785" t="s">
        <v>42</v>
      </c>
      <c r="D3785" t="str">
        <f>HYPERLINK("https://us2.cloudbeds.com/connect/10074733072513#/reservations/31673183129852?display=Wesley%20Krause&amp;reservation_id=31673183129852&amp;guest_id=31673183129847", "Wesley Krause")</f>
        <v>Wesley Krause</v>
      </c>
      <c r="E3785" t="s">
        <v>5030</v>
      </c>
      <c r="F3785" t="s">
        <v>4837</v>
      </c>
      <c r="G3785">
        <v>87.2</v>
      </c>
      <c r="H3785">
        <v>94.78</v>
      </c>
      <c r="I3785">
        <v>94.79</v>
      </c>
      <c r="J3785">
        <v>-0.01</v>
      </c>
    </row>
    <row r="3786" spans="1:10" x14ac:dyDescent="0.3">
      <c r="A3786" t="str">
        <f>HYPERLINK("https://us2.cloudbeds.com/connect/10074733072513#/reservations/31674018406614?display=MH6JJA2BA&amp;reservation_id=31674018406614", "MH6JJA2BA")</f>
        <v>MH6JJA2BA</v>
      </c>
      <c r="B3786" t="s">
        <v>10</v>
      </c>
      <c r="C3786" t="s">
        <v>42</v>
      </c>
      <c r="D3786" t="str">
        <f>HYPERLINK("https://us2.cloudbeds.com/connect/10074733072513#/reservations/31674018406614?display=Don%20Dunker&amp;reservation_id=31674018406614&amp;guest_id=31674018406610", "Don Dunker")</f>
        <v>Don Dunker</v>
      </c>
      <c r="E3786" t="s">
        <v>5035</v>
      </c>
      <c r="F3786" t="s">
        <v>5036</v>
      </c>
      <c r="G3786">
        <v>188</v>
      </c>
      <c r="H3786">
        <v>204.35</v>
      </c>
      <c r="I3786">
        <v>204.36</v>
      </c>
      <c r="J3786">
        <v>-0.01</v>
      </c>
    </row>
    <row r="3787" spans="1:10" x14ac:dyDescent="0.3">
      <c r="A3787" t="str">
        <f>HYPERLINK("https://us2.cloudbeds.com/connect/10074733072513#/reservations/31673978040543?display=MH6XX8R82&amp;reservation_id=31673978040543", "MH6XX8R82")</f>
        <v>MH6XX8R82</v>
      </c>
      <c r="B3787" t="s">
        <v>10</v>
      </c>
      <c r="C3787" t="s">
        <v>42</v>
      </c>
      <c r="D3787" t="str">
        <f>HYPERLINK("https://us2.cloudbeds.com/connect/10074733072513#/reservations/31673978040543?display=Arlyn%20Jons&amp;reservation_id=31673978040543&amp;guest_id=30650862653620", "Arlyn Jons")</f>
        <v>Arlyn Jons</v>
      </c>
      <c r="E3787" t="s">
        <v>3948</v>
      </c>
      <c r="F3787" t="s">
        <v>4997</v>
      </c>
      <c r="G3787">
        <v>118.15</v>
      </c>
      <c r="H3787">
        <v>128.41999999999999</v>
      </c>
      <c r="I3787">
        <v>128.43</v>
      </c>
      <c r="J3787">
        <v>-0.01</v>
      </c>
    </row>
    <row r="3788" spans="1:10" x14ac:dyDescent="0.3">
      <c r="A3788" t="str">
        <f>HYPERLINK("https://us2.cloudbeds.com/connect/10074733072513#/reservations/31673562702003?display=MH67V1DQN&amp;reservation_id=31673562702003", "MH67V1DQN")</f>
        <v>MH67V1DQN</v>
      </c>
      <c r="B3788" t="s">
        <v>10</v>
      </c>
      <c r="C3788" t="s">
        <v>14</v>
      </c>
      <c r="D3788" t="str">
        <f>HYPERLINK("https://us2.cloudbeds.com/connect/10074733072513#/reservations/31673562702003?display=Dustin%20White&amp;reservation_id=31673562702003&amp;guest_id=31673554493660", "Dustin White")</f>
        <v>Dustin White</v>
      </c>
      <c r="E3788" t="s">
        <v>5040</v>
      </c>
      <c r="F3788" t="s">
        <v>4723</v>
      </c>
      <c r="G3788">
        <v>87.2</v>
      </c>
      <c r="H3788">
        <v>94.78</v>
      </c>
      <c r="I3788">
        <v>94.79</v>
      </c>
      <c r="J3788">
        <v>-0.01</v>
      </c>
    </row>
    <row r="3789" spans="1:10" x14ac:dyDescent="0.3">
      <c r="A3789" t="str">
        <f>HYPERLINK("https://us2.cloudbeds.com/connect/10074733072513#/reservations/31673554489561?display=MH67Z3THQ&amp;reservation_id=31673554489561", "MH67Z3THQ")</f>
        <v>MH67Z3THQ</v>
      </c>
      <c r="B3789" t="s">
        <v>10</v>
      </c>
      <c r="C3789" t="s">
        <v>14</v>
      </c>
      <c r="D3789" t="str">
        <f>HYPERLINK("https://us2.cloudbeds.com/connect/10074733072513#/reservations/31673554489561?display=Jaymie%20Zoss&amp;reservation_id=31673554489561&amp;guest_id=31673541632135", "Jaymie Zoss")</f>
        <v>Jaymie Zoss</v>
      </c>
      <c r="E3789" t="s">
        <v>5040</v>
      </c>
      <c r="F3789" t="s">
        <v>4723</v>
      </c>
      <c r="G3789">
        <v>87.2</v>
      </c>
      <c r="H3789">
        <v>94.78</v>
      </c>
      <c r="I3789">
        <v>94.79</v>
      </c>
      <c r="J3789">
        <v>-0.01</v>
      </c>
    </row>
    <row r="3790" spans="1:10" x14ac:dyDescent="0.3">
      <c r="A3790" t="str">
        <f>HYPERLINK("https://us2.cloudbeds.com/connect/10074733072513#/reservations/31674457854103?display=MH6UQSBCU&amp;reservation_id=31674457854103", "MH6UQSBCU")</f>
        <v>MH6UQSBCU</v>
      </c>
      <c r="B3790" t="s">
        <v>10</v>
      </c>
      <c r="C3790" t="s">
        <v>42</v>
      </c>
      <c r="D3790" t="str">
        <f>HYPERLINK("https://us2.cloudbeds.com/connect/10074733072513#/reservations/31674457854103?display=Mary%20Paradeis&amp;reservation_id=31674457854103&amp;guest_id=30663549907083", "Mary Paradeis")</f>
        <v>Mary Paradeis</v>
      </c>
      <c r="E3790" t="s">
        <v>285</v>
      </c>
      <c r="F3790" t="s">
        <v>4854</v>
      </c>
      <c r="G3790">
        <v>134.1</v>
      </c>
      <c r="H3790">
        <v>145.76</v>
      </c>
      <c r="I3790">
        <v>145.77000000000001</v>
      </c>
      <c r="J3790">
        <v>-0.01</v>
      </c>
    </row>
    <row r="3791" spans="1:10" x14ac:dyDescent="0.3">
      <c r="A3791" t="str">
        <f>HYPERLINK("https://us2.cloudbeds.com/connect/10074733072513#/reservations/31672238538990?display=MH573FKQQ&amp;reservation_id=31672238538990", "MH573FKQQ")</f>
        <v>MH573FKQQ</v>
      </c>
      <c r="B3791" t="s">
        <v>10</v>
      </c>
      <c r="C3791" t="s">
        <v>17</v>
      </c>
      <c r="D3791" t="str">
        <f>HYPERLINK("https://us2.cloudbeds.com/connect/10074733072513#/reservations/31672238538990?display=Sally%20Reese&amp;reservation_id=31672238538990&amp;guest_id=31671870038176", "Sally Reese")</f>
        <v>Sally Reese</v>
      </c>
      <c r="E3791" t="s">
        <v>5043</v>
      </c>
      <c r="F3791" t="s">
        <v>4818</v>
      </c>
      <c r="G3791">
        <v>134.1</v>
      </c>
      <c r="H3791">
        <v>145.76</v>
      </c>
      <c r="I3791">
        <v>145.77000000000001</v>
      </c>
      <c r="J3791">
        <v>-0.01</v>
      </c>
    </row>
    <row r="3792" spans="1:10" x14ac:dyDescent="0.3">
      <c r="A3792" t="str">
        <f>HYPERLINK("https://us2.cloudbeds.com/connect/10074733072513#/reservations/31674365657289?display=MH6SF3RG2&amp;reservation_id=31674365657289", "MH6SF3RG2")</f>
        <v>MH6SF3RG2</v>
      </c>
      <c r="B3792" t="s">
        <v>10</v>
      </c>
      <c r="C3792" t="s">
        <v>11</v>
      </c>
      <c r="D3792" t="str">
        <f>HYPERLINK("https://us2.cloudbeds.com/connect/10074733072513#/reservations/31674365657289?display=Jason%20Engbrecht&amp;reservation_id=31674365657289&amp;guest_id=31673081336004", "Jason Engbrecht")</f>
        <v>Jason Engbrecht</v>
      </c>
      <c r="E3792" t="s">
        <v>5045</v>
      </c>
      <c r="F3792" t="s">
        <v>4964</v>
      </c>
      <c r="G3792">
        <v>87.2</v>
      </c>
      <c r="H3792">
        <v>94.78</v>
      </c>
      <c r="I3792">
        <v>94.79</v>
      </c>
      <c r="J3792">
        <v>-0.01</v>
      </c>
    </row>
    <row r="3793" spans="1:10" x14ac:dyDescent="0.3">
      <c r="A3793" t="str">
        <f>HYPERLINK("https://us2.cloudbeds.com/connect/10074733072513#/reservations/31673626038497?display=MH69XES1D&amp;reservation_id=31673626038497", "MH69XES1D")</f>
        <v>MH69XES1D</v>
      </c>
      <c r="B3793" t="s">
        <v>10</v>
      </c>
      <c r="C3793" t="s">
        <v>11</v>
      </c>
      <c r="D3793" t="str">
        <f>HYPERLINK("https://us2.cloudbeds.com/connect/10074733072513#/reservations/31673626038497?display=Christian%20Sterton&amp;reservation_id=31673626038497&amp;guest_id=31673626038495", "Christian Sterton")</f>
        <v>Christian Sterton</v>
      </c>
      <c r="E3793" t="s">
        <v>5046</v>
      </c>
      <c r="F3793" t="s">
        <v>4967</v>
      </c>
      <c r="G3793">
        <v>137.76</v>
      </c>
      <c r="H3793">
        <v>149.74</v>
      </c>
      <c r="I3793">
        <v>149.75</v>
      </c>
      <c r="J3793">
        <v>-0.01</v>
      </c>
    </row>
    <row r="3794" spans="1:10" x14ac:dyDescent="0.3">
      <c r="A3794" t="str">
        <f>HYPERLINK("https://us2.cloudbeds.com/connect/10074733072513#/reservations/31677643743431?display=MH9D79DJP&amp;reservation_id=31677643743431", "MH9D79DJP")</f>
        <v>MH9D79DJP</v>
      </c>
      <c r="B3794" t="s">
        <v>10</v>
      </c>
      <c r="C3794" t="s">
        <v>20</v>
      </c>
      <c r="D3794" t="str">
        <f>HYPERLINK("https://us2.cloudbeds.com/connect/10074733072513#/reservations/31677643743431?display=Brenda%20Longfellow&amp;reservation_id=31677643743431&amp;guest_id=31677643743426", "Brenda Longfellow")</f>
        <v>Brenda Longfellow</v>
      </c>
      <c r="E3794" t="s">
        <v>5047</v>
      </c>
      <c r="F3794" t="s">
        <v>5048</v>
      </c>
      <c r="G3794">
        <v>143.65</v>
      </c>
      <c r="H3794">
        <v>156.13999999999999</v>
      </c>
      <c r="I3794">
        <v>156.15</v>
      </c>
      <c r="J3794">
        <v>-0.01</v>
      </c>
    </row>
    <row r="3795" spans="1:10" x14ac:dyDescent="0.3">
      <c r="A3795" t="str">
        <f>HYPERLINK("https://us2.cloudbeds.com/connect/10074733072513#/reservations/31673433518231?display=MH64Y3MZV&amp;reservation_id=31673433518231", "MH64Y3MZV")</f>
        <v>MH64Y3MZV</v>
      </c>
      <c r="B3795" t="s">
        <v>10</v>
      </c>
      <c r="C3795" t="s">
        <v>11</v>
      </c>
      <c r="D3795" t="str">
        <f>HYPERLINK("https://us2.cloudbeds.com/connect/10074733072513#/reservations/31673433518231?display=Angela%20Holliday&amp;reservation_id=31673433518231&amp;guest_id=31673433514146", "Angela Holliday")</f>
        <v>Angela Holliday</v>
      </c>
      <c r="E3795" t="s">
        <v>5049</v>
      </c>
      <c r="F3795" t="s">
        <v>4818</v>
      </c>
      <c r="G3795">
        <v>222.4</v>
      </c>
      <c r="H3795">
        <v>241.74</v>
      </c>
      <c r="I3795">
        <v>241.75</v>
      </c>
      <c r="J3795">
        <v>-0.01</v>
      </c>
    </row>
    <row r="3796" spans="1:10" x14ac:dyDescent="0.3">
      <c r="A3796" t="str">
        <f>HYPERLINK("https://us2.cloudbeds.com/connect/10074733072513#/reservations/31672241238217?display=MH575ZZEX&amp;reservation_id=31672241238217", "MH575ZZEX")</f>
        <v>MH575ZZEX</v>
      </c>
      <c r="B3796" t="s">
        <v>10</v>
      </c>
      <c r="C3796" t="s">
        <v>11</v>
      </c>
      <c r="D3796" t="str">
        <f>HYPERLINK("https://us2.cloudbeds.com/connect/10074733072513#/reservations/31672241238217?display=Amy%20French&amp;reservation_id=31672241238217&amp;guest_id=31672241238215", "Amy French")</f>
        <v>Amy French</v>
      </c>
      <c r="E3796" t="s">
        <v>5053</v>
      </c>
      <c r="F3796" t="s">
        <v>4849</v>
      </c>
      <c r="G3796">
        <v>94.16</v>
      </c>
      <c r="H3796">
        <v>102.34</v>
      </c>
      <c r="I3796">
        <v>102.35</v>
      </c>
      <c r="J3796">
        <v>-0.01</v>
      </c>
    </row>
    <row r="3797" spans="1:10" x14ac:dyDescent="0.3">
      <c r="A3797" t="str">
        <f>HYPERLINK("https://us2.cloudbeds.com/connect/10074733072513#/reservations/31672220487865?display=MH56Y8AV0&amp;reservation_id=31672220487865", "MH56Y8AV0")</f>
        <v>MH56Y8AV0</v>
      </c>
      <c r="B3797" t="s">
        <v>10</v>
      </c>
      <c r="C3797" t="s">
        <v>20</v>
      </c>
      <c r="D3797" t="str">
        <f>HYPERLINK("https://us2.cloudbeds.com/connect/10074733072513#/reservations/31672220487865?display=Swanger%20Russell&amp;reservation_id=31672220487865&amp;guest_id=31672220487860", "Swanger Russell")</f>
        <v>Swanger Russell</v>
      </c>
      <c r="E3797" t="s">
        <v>5056</v>
      </c>
      <c r="F3797" t="s">
        <v>4849</v>
      </c>
      <c r="G3797">
        <v>134.1</v>
      </c>
      <c r="H3797">
        <v>145.76</v>
      </c>
      <c r="I3797">
        <v>145.77000000000001</v>
      </c>
      <c r="J3797">
        <v>-0.01</v>
      </c>
    </row>
    <row r="3798" spans="1:10" x14ac:dyDescent="0.3">
      <c r="A3798" t="str">
        <f>HYPERLINK("https://us2.cloudbeds.com/connect/10074733072513#/reservations/31674594410625?display=MH71A07YB&amp;reservation_id=31674594410625", "MH71A07YB")</f>
        <v>MH71A07YB</v>
      </c>
      <c r="B3798" t="s">
        <v>10</v>
      </c>
      <c r="C3798" t="s">
        <v>11</v>
      </c>
      <c r="D3798" t="str">
        <f>HYPERLINK("https://us2.cloudbeds.com/connect/10074733072513#/reservations/31674594410625?display=Stephanie%20Hahn&amp;reservation_id=31674594410625&amp;guest_id=31674594406588", "Stephanie Hahn")</f>
        <v>Stephanie Hahn</v>
      </c>
      <c r="E3798" t="s">
        <v>4417</v>
      </c>
      <c r="F3798" t="s">
        <v>4726</v>
      </c>
      <c r="G3798">
        <v>222.4</v>
      </c>
      <c r="H3798">
        <v>241.74</v>
      </c>
      <c r="I3798">
        <v>241.75</v>
      </c>
      <c r="J3798">
        <v>-0.01</v>
      </c>
    </row>
    <row r="3799" spans="1:10" x14ac:dyDescent="0.3">
      <c r="A3799" t="str">
        <f>HYPERLINK("https://us2.cloudbeds.com/connect/10074733072513#/reservations/31674493227142?display=MH6VNMYH6&amp;reservation_id=31674493227142", "MH6VNMYH6")</f>
        <v>MH6VNMYH6</v>
      </c>
      <c r="B3799" t="s">
        <v>10</v>
      </c>
      <c r="C3799" t="s">
        <v>11</v>
      </c>
      <c r="D3799" t="str">
        <f>HYPERLINK("https://us2.cloudbeds.com/connect/10074733072513#/reservations/31674493227142?display=Mark%20Lippe&amp;reservation_id=31674493227142&amp;guest_id=31674084475054", "Mark Lippe")</f>
        <v>Mark Lippe</v>
      </c>
      <c r="E3799" t="s">
        <v>5057</v>
      </c>
      <c r="F3799" t="s">
        <v>4854</v>
      </c>
      <c r="G3799">
        <v>262.39999999999998</v>
      </c>
      <c r="H3799">
        <v>285.22000000000003</v>
      </c>
      <c r="I3799">
        <v>285.23</v>
      </c>
      <c r="J3799">
        <v>-0.01</v>
      </c>
    </row>
    <row r="3800" spans="1:10" x14ac:dyDescent="0.3">
      <c r="A3800" t="str">
        <f>HYPERLINK("https://us2.cloudbeds.com/connect/10074733072513#/reservations/31672269873363?display=MH57TTXB8&amp;reservation_id=31672269873363", "MH57TTXB8")</f>
        <v>MH57TTXB8</v>
      </c>
      <c r="B3800" t="s">
        <v>10</v>
      </c>
      <c r="C3800" t="s">
        <v>42</v>
      </c>
      <c r="D3800" t="str">
        <f>HYPERLINK("https://us2.cloudbeds.com/connect/10074733072513#/reservations/31672269873363?display=Lissa%20Turbak&amp;reservation_id=31672269873363&amp;guest_id=31672269873348", "Lissa Turbak")</f>
        <v>Lissa Turbak</v>
      </c>
      <c r="E3800" t="s">
        <v>5061</v>
      </c>
      <c r="F3800" t="s">
        <v>4849</v>
      </c>
      <c r="G3800">
        <v>134.1</v>
      </c>
      <c r="H3800">
        <v>145.76</v>
      </c>
      <c r="I3800">
        <v>145.77000000000001</v>
      </c>
      <c r="J3800">
        <v>-0.01</v>
      </c>
    </row>
    <row r="3801" spans="1:10" x14ac:dyDescent="0.3">
      <c r="A3801" t="str">
        <f>HYPERLINK("https://us2.cloudbeds.com/connect/10074733072513#/reservations/31672427348103?display=MH5BUMH82&amp;reservation_id=31672427348103", "MH5BUMH82")</f>
        <v>MH5BUMH82</v>
      </c>
      <c r="B3801" t="s">
        <v>10</v>
      </c>
      <c r="C3801" t="s">
        <v>20</v>
      </c>
      <c r="D3801" t="str">
        <f>HYPERLINK("https://us2.cloudbeds.com/connect/10074733072513#/reservations/31672427348103?display=Zack%20Hendricks&amp;reservation_id=31672427348103&amp;guest_id=31672427348101", "Zack Hendricks")</f>
        <v>Zack Hendricks</v>
      </c>
      <c r="E3801" t="s">
        <v>5065</v>
      </c>
      <c r="F3801" t="s">
        <v>4818</v>
      </c>
      <c r="G3801">
        <v>375.3</v>
      </c>
      <c r="H3801">
        <v>407.94</v>
      </c>
      <c r="I3801">
        <v>407.95</v>
      </c>
      <c r="J3801">
        <v>-0.01</v>
      </c>
    </row>
    <row r="3802" spans="1:10" x14ac:dyDescent="0.3">
      <c r="A3802" t="str">
        <f>HYPERLINK("https://us2.cloudbeds.com/connect/10074733072513#/reservations/31674228826252?display=MH6ZVZA50&amp;reservation_id=31674228826252", "MH6ZVZA50")</f>
        <v>MH6ZVZA50</v>
      </c>
      <c r="B3802" t="s">
        <v>10</v>
      </c>
      <c r="C3802" t="s">
        <v>20</v>
      </c>
      <c r="D3802" t="str">
        <f>HYPERLINK("https://us2.cloudbeds.com/connect/10074733072513#/reservations/31674228826252?display=Bryce%20Stabe&amp;reservation_id=31674228826252&amp;guest_id=31674228826249", "Bryce Stabe")</f>
        <v>Bryce Stabe</v>
      </c>
      <c r="E3802" t="s">
        <v>5070</v>
      </c>
      <c r="F3802" t="s">
        <v>5071</v>
      </c>
      <c r="G3802">
        <v>304.2</v>
      </c>
      <c r="H3802">
        <v>330.66</v>
      </c>
      <c r="I3802">
        <v>330.67</v>
      </c>
      <c r="J3802">
        <v>-0.01</v>
      </c>
    </row>
    <row r="3803" spans="1:10" x14ac:dyDescent="0.3">
      <c r="A3803" t="str">
        <f>HYPERLINK("https://us2.cloudbeds.com/connect/10074733072513#/reservations/31674469728392?display=MH6V3SP7S&amp;reservation_id=31674469728392", "MH6V3SP7S")</f>
        <v>MH6V3SP7S</v>
      </c>
      <c r="B3803" t="s">
        <v>10</v>
      </c>
      <c r="C3803" t="s">
        <v>20</v>
      </c>
      <c r="D3803" t="str">
        <f>HYPERLINK("https://us2.cloudbeds.com/connect/10074733072513#/reservations/31674469728392?display=Kathy%20Miller&amp;reservation_id=31674469728392&amp;guest_id=31674464415984", "Kathy Miller")</f>
        <v>Kathy Miller</v>
      </c>
      <c r="E3803" t="s">
        <v>5073</v>
      </c>
      <c r="F3803" t="s">
        <v>4854</v>
      </c>
      <c r="G3803">
        <v>118.15</v>
      </c>
      <c r="H3803">
        <v>128.41999999999999</v>
      </c>
      <c r="I3803">
        <v>128.43</v>
      </c>
      <c r="J3803">
        <v>-0.01</v>
      </c>
    </row>
    <row r="3804" spans="1:10" x14ac:dyDescent="0.3">
      <c r="A3804" t="str">
        <f>HYPERLINK("https://us2.cloudbeds.com/connect/10074733072513#/reservations/31673611976840?display=MH696JXJJ&amp;reservation_id=31673611976840", "MH696JXJJ")</f>
        <v>MH696JXJJ</v>
      </c>
      <c r="B3804" t="s">
        <v>10</v>
      </c>
      <c r="C3804" t="s">
        <v>42</v>
      </c>
      <c r="D3804" t="str">
        <f>HYPERLINK("https://us2.cloudbeds.com/connect/10074733072513#/reservations/31673611976840?display=Lynne%20Marie%20Kuper&amp;reservation_id=31673611976840&amp;guest_id=31673611976838", "Lynne Marie Kuper")</f>
        <v>Lynne Marie Kuper</v>
      </c>
      <c r="E3804" t="s">
        <v>5076</v>
      </c>
      <c r="F3804" t="s">
        <v>4967</v>
      </c>
      <c r="G3804">
        <v>103.2</v>
      </c>
      <c r="H3804">
        <v>112.17</v>
      </c>
      <c r="I3804">
        <v>112.18</v>
      </c>
      <c r="J3804">
        <v>-0.01</v>
      </c>
    </row>
    <row r="3805" spans="1:10" x14ac:dyDescent="0.3">
      <c r="A3805" t="str">
        <f>HYPERLINK("https://us2.cloudbeds.com/connect/10074733072513#/reservations/31674574286987?display=MH70Q18Y4&amp;reservation_id=31674574286987", "MH70Q18Y4")</f>
        <v>MH70Q18Y4</v>
      </c>
      <c r="B3805" t="s">
        <v>10</v>
      </c>
      <c r="C3805" t="s">
        <v>11</v>
      </c>
      <c r="D3805" t="str">
        <f>HYPERLINK("https://us2.cloudbeds.com/connect/10074733072513#/reservations/31674574286987?display=Emmanuel%20Tetteh-Jada&amp;reservation_id=31674574286987&amp;guest_id=31674574282891", "Emmanuel Tetteh-Jada")</f>
        <v>Emmanuel Tetteh-Jada</v>
      </c>
      <c r="E3805" t="s">
        <v>5078</v>
      </c>
      <c r="F3805" t="s">
        <v>4726</v>
      </c>
      <c r="G3805">
        <v>94.16</v>
      </c>
      <c r="H3805">
        <v>102.34</v>
      </c>
      <c r="I3805">
        <v>102.35</v>
      </c>
      <c r="J3805">
        <v>-0.01</v>
      </c>
    </row>
    <row r="3806" spans="1:10" x14ac:dyDescent="0.3">
      <c r="A3806" t="str">
        <f>HYPERLINK("https://us2.cloudbeds.com/connect/10074733072513#/reservations/31674343665874?display=MH6RTXTBX&amp;reservation_id=31674343665874", "MH6RTXTBX")</f>
        <v>MH6RTXTBX</v>
      </c>
      <c r="B3806" t="s">
        <v>10</v>
      </c>
      <c r="C3806" t="s">
        <v>42</v>
      </c>
      <c r="D3806" t="str">
        <f>HYPERLINK("https://us2.cloudbeds.com/connect/10074733072513#/reservations/31674343665874?display=Johanna%20Charles%20Fischer&amp;reservation_id=31674343665874&amp;guest_id=31674343665856", "Johanna Charles Fischer")</f>
        <v>Johanna Charles Fischer</v>
      </c>
      <c r="E3806" t="s">
        <v>5079</v>
      </c>
      <c r="F3806" t="s">
        <v>4964</v>
      </c>
      <c r="G3806">
        <v>174.4</v>
      </c>
      <c r="H3806">
        <v>189.56</v>
      </c>
      <c r="I3806">
        <v>189.57</v>
      </c>
      <c r="J3806">
        <v>-0.01</v>
      </c>
    </row>
    <row r="3807" spans="1:10" x14ac:dyDescent="0.3">
      <c r="A3807" t="str">
        <f>HYPERLINK("https://us2.cloudbeds.com/connect/10074733072513#/reservations/31674016223402?display=MH6JHFAXD&amp;reservation_id=31674016223402", "MH6JHFAXD")</f>
        <v>MH6JHFAXD</v>
      </c>
      <c r="B3807" t="s">
        <v>10</v>
      </c>
      <c r="C3807" t="s">
        <v>23</v>
      </c>
      <c r="D3807" t="str">
        <f>HYPERLINK("https://us2.cloudbeds.com/connect/10074733072513#/reservations/31674016223402?display=Kim%20Langerock&amp;reservation_id=31674016223402&amp;guest_id=31674009542874", "Kim Langerock")</f>
        <v>Kim Langerock</v>
      </c>
      <c r="E3807" t="s">
        <v>5083</v>
      </c>
      <c r="F3807" t="s">
        <v>4925</v>
      </c>
      <c r="G3807">
        <v>366.3</v>
      </c>
      <c r="H3807">
        <v>398.16</v>
      </c>
      <c r="I3807">
        <v>398.17</v>
      </c>
      <c r="J3807">
        <v>-0.01</v>
      </c>
    </row>
    <row r="3808" spans="1:10" x14ac:dyDescent="0.3">
      <c r="A3808" t="str">
        <f>HYPERLINK("https://us2.cloudbeds.com/connect/10074733072513#/reservations/31672502804689?display=MH5DSA714&amp;reservation_id=31672502804689", "MH5DSA714")</f>
        <v>MH5DSA714</v>
      </c>
      <c r="B3808" t="s">
        <v>10</v>
      </c>
      <c r="C3808" t="s">
        <v>20</v>
      </c>
      <c r="D3808" t="str">
        <f>HYPERLINK("https://us2.cloudbeds.com/connect/10074733072513#/reservations/31672502804689?display=Gary%20Reddaway&amp;reservation_id=31672502804689&amp;guest_id=31672493551802", "Gary Reddaway")</f>
        <v>Gary Reddaway</v>
      </c>
      <c r="E3808" t="s">
        <v>5086</v>
      </c>
      <c r="F3808" t="s">
        <v>5087</v>
      </c>
      <c r="G3808">
        <v>93.2</v>
      </c>
      <c r="H3808">
        <v>101.3</v>
      </c>
      <c r="I3808">
        <v>101.31</v>
      </c>
      <c r="J3808">
        <v>-0.01</v>
      </c>
    </row>
    <row r="3809" spans="1:10" x14ac:dyDescent="0.3">
      <c r="A3809" t="str">
        <f>HYPERLINK("https://us2.cloudbeds.com/connect/10074733072513#/reservations/31674614595787?display=MH71R0U4U&amp;reservation_id=31674614595787", "MH71R0U4U")</f>
        <v>MH71R0U4U</v>
      </c>
      <c r="B3809" t="s">
        <v>10</v>
      </c>
      <c r="C3809" t="s">
        <v>42</v>
      </c>
      <c r="D3809" t="str">
        <f>HYPERLINK("https://us2.cloudbeds.com/connect/10074733072513#/reservations/31674614595787?display=Jesse%20Graves&amp;reservation_id=31674614595787&amp;guest_id=31674614591695", "Jesse Graves")</f>
        <v>Jesse Graves</v>
      </c>
      <c r="E3809" t="s">
        <v>5091</v>
      </c>
      <c r="F3809" t="s">
        <v>4726</v>
      </c>
      <c r="G3809">
        <v>268.2</v>
      </c>
      <c r="H3809">
        <v>291.52</v>
      </c>
      <c r="I3809">
        <v>291.52999999999997</v>
      </c>
      <c r="J3809">
        <v>-0.01</v>
      </c>
    </row>
    <row r="3810" spans="1:10" x14ac:dyDescent="0.3">
      <c r="A3810" t="str">
        <f>HYPERLINK("https://us2.cloudbeds.com/connect/10074733072513#/reservations/31674611736743?display=MH71ZKBP7&amp;reservation_id=31674611736743", "MH71ZKBP7")</f>
        <v>MH71ZKBP7</v>
      </c>
      <c r="B3810" t="s">
        <v>10</v>
      </c>
      <c r="C3810" t="s">
        <v>14</v>
      </c>
      <c r="D3810" t="str">
        <f>HYPERLINK("https://us2.cloudbeds.com/connect/10074733072513#/reservations/31674611736743?display=Jessica%20Sebade&amp;reservation_id=31674611736743&amp;guest_id=31674602537177", "Jessica Sebade")</f>
        <v>Jessica Sebade</v>
      </c>
      <c r="E3810" t="s">
        <v>5096</v>
      </c>
      <c r="F3810" t="s">
        <v>4726</v>
      </c>
      <c r="G3810">
        <v>250.2</v>
      </c>
      <c r="H3810">
        <v>271.95999999999998</v>
      </c>
      <c r="I3810">
        <v>271.97000000000003</v>
      </c>
      <c r="J3810">
        <v>-0.01</v>
      </c>
    </row>
    <row r="3811" spans="1:10" x14ac:dyDescent="0.3">
      <c r="A3811" t="str">
        <f>HYPERLINK("https://us2.cloudbeds.com/connect/10074733072513#/reservations/31674389274761?display=MH6T210Q1&amp;reservation_id=31674389274761", "MH6T210Q1")</f>
        <v>MH6T210Q1</v>
      </c>
      <c r="B3811" t="s">
        <v>10</v>
      </c>
      <c r="C3811" t="s">
        <v>11</v>
      </c>
      <c r="D3811" t="str">
        <f>HYPERLINK("https://us2.cloudbeds.com/connect/10074733072513#/reservations/31674389274761?display=Andrew%20Rooney&amp;reservation_id=31674389274761&amp;guest_id=31674389274756", "Andrew Rooney")</f>
        <v>Andrew Rooney</v>
      </c>
      <c r="E3811" t="s">
        <v>5099</v>
      </c>
      <c r="F3811" t="s">
        <v>4964</v>
      </c>
      <c r="G3811">
        <v>87.2</v>
      </c>
      <c r="H3811">
        <v>94.78</v>
      </c>
      <c r="I3811">
        <v>94.79</v>
      </c>
      <c r="J3811">
        <v>-0.01</v>
      </c>
    </row>
    <row r="3812" spans="1:10" x14ac:dyDescent="0.3">
      <c r="A3812" t="str">
        <f>HYPERLINK("https://us2.cloudbeds.com/connect/10074733072513#/reservations/31674825093269?display=MH776HAEG&amp;reservation_id=31674825093269", "MH776HAEG")</f>
        <v>MH776HAEG</v>
      </c>
      <c r="B3812" t="s">
        <v>10</v>
      </c>
      <c r="C3812" t="s">
        <v>23</v>
      </c>
      <c r="D3812" t="str">
        <f>HYPERLINK("https://us2.cloudbeds.com/connect/10074733072513#/reservations/31674825093269?display=John%20Longendyke&amp;reservation_id=31674825093269&amp;guest_id=31674825093264", "John Longendyke")</f>
        <v>John Longendyke</v>
      </c>
      <c r="E3812" t="s">
        <v>5104</v>
      </c>
      <c r="F3812" t="s">
        <v>4922</v>
      </c>
      <c r="G3812">
        <v>304.2</v>
      </c>
      <c r="H3812">
        <v>330.66</v>
      </c>
      <c r="I3812">
        <v>330.67</v>
      </c>
      <c r="J3812">
        <v>-0.01</v>
      </c>
    </row>
    <row r="3813" spans="1:10" x14ac:dyDescent="0.3">
      <c r="A3813" t="str">
        <f>HYPERLINK("https://us2.cloudbeds.com/connect/10074733072513#/reservations/31674425319672?display=MH6TWE0T2&amp;reservation_id=31674425319672", "MH6TWE0T2")</f>
        <v>MH6TWE0T2</v>
      </c>
      <c r="B3813" t="s">
        <v>10</v>
      </c>
      <c r="C3813" t="s">
        <v>121</v>
      </c>
      <c r="D3813" t="str">
        <f>HYPERLINK("https://us2.cloudbeds.com/connect/10074733072513#/reservations/31674425319672?display=Heather%20Russell&amp;reservation_id=31674425319672&amp;guest_id=31674425319670", "Heather Russell")</f>
        <v>Heather Russell</v>
      </c>
      <c r="E3813" t="s">
        <v>5106</v>
      </c>
      <c r="F3813" t="s">
        <v>4964</v>
      </c>
      <c r="G3813">
        <v>87.2</v>
      </c>
      <c r="H3813">
        <v>94.78</v>
      </c>
      <c r="I3813">
        <v>94.79</v>
      </c>
      <c r="J3813">
        <v>-0.01</v>
      </c>
    </row>
    <row r="3814" spans="1:10" x14ac:dyDescent="0.3">
      <c r="A3814" t="str">
        <f>HYPERLINK("https://us2.cloudbeds.com/connect/10074733072513#/reservations/31678245945561?display=MH9SK2XV5&amp;reservation_id=31678245945561", "MH9SK2XV5")</f>
        <v>MH9SK2XV5</v>
      </c>
      <c r="B3814" t="s">
        <v>10</v>
      </c>
      <c r="C3814" t="s">
        <v>11</v>
      </c>
      <c r="D3814" t="str">
        <f>HYPERLINK("https://us2.cloudbeds.com/connect/10074733072513#/reservations/31678245945561?display=Mary%20West&amp;reservation_id=31678245945561&amp;guest_id=31678245945558", "Mary West")</f>
        <v>Mary West</v>
      </c>
      <c r="E3814" t="s">
        <v>5110</v>
      </c>
      <c r="F3814" t="s">
        <v>4448</v>
      </c>
      <c r="G3814">
        <v>500.4</v>
      </c>
      <c r="H3814">
        <v>543.91999999999996</v>
      </c>
      <c r="I3814">
        <v>543.92999999999995</v>
      </c>
      <c r="J3814">
        <v>-0.01</v>
      </c>
    </row>
    <row r="3815" spans="1:10" x14ac:dyDescent="0.3">
      <c r="A3815" t="str">
        <f>HYPERLINK("https://us2.cloudbeds.com/connect/10074733072513#/reservations/31674702954650?display=MH742HKP7&amp;reservation_id=31674702954650", "MH742HKP7")</f>
        <v>MH742HKP7</v>
      </c>
      <c r="B3815" t="s">
        <v>10</v>
      </c>
      <c r="C3815" t="s">
        <v>11</v>
      </c>
      <c r="D3815" t="str">
        <f>HYPERLINK("https://us2.cloudbeds.com/connect/10074733072513#/reservations/31674702954650?display=Holly%20Zomermaand&amp;reservation_id=31674702954650&amp;guest_id=31674702954639", "Holly Zomermaand")</f>
        <v>Holly Zomermaand</v>
      </c>
      <c r="E3815" t="s">
        <v>5111</v>
      </c>
      <c r="F3815" t="s">
        <v>4854</v>
      </c>
      <c r="G3815">
        <v>94.16</v>
      </c>
      <c r="H3815">
        <v>102.34</v>
      </c>
      <c r="I3815">
        <v>102.35</v>
      </c>
      <c r="J3815">
        <v>-0.01</v>
      </c>
    </row>
    <row r="3816" spans="1:10" x14ac:dyDescent="0.3">
      <c r="A3816" t="str">
        <f>HYPERLINK("https://us2.cloudbeds.com/connect/10074733072513#/reservations/31673747935384?display=MH6CM7QZF&amp;reservation_id=31673747935384", "MH6CM7QZF")</f>
        <v>MH6CM7QZF</v>
      </c>
      <c r="B3816" t="s">
        <v>10</v>
      </c>
      <c r="C3816" t="s">
        <v>42</v>
      </c>
      <c r="D3816" t="str">
        <f>HYPERLINK("https://us2.cloudbeds.com/connect/10074733072513#/reservations/31673747935384?display=Brandon%20Teel&amp;reservation_id=31673747935384&amp;guest_id=31673465118934", "Brandon Teel")</f>
        <v>Brandon Teel</v>
      </c>
      <c r="E3816" t="s">
        <v>4243</v>
      </c>
      <c r="F3816" t="s">
        <v>4877</v>
      </c>
      <c r="G3816">
        <v>380.8</v>
      </c>
      <c r="H3816">
        <v>413.92</v>
      </c>
      <c r="I3816">
        <v>413.93</v>
      </c>
      <c r="J3816">
        <v>-0.01</v>
      </c>
    </row>
    <row r="3817" spans="1:10" x14ac:dyDescent="0.3">
      <c r="A3817" t="str">
        <f>HYPERLINK("https://us2.cloudbeds.com/connect/10074733072513#/reservations/31674424864980?display=MH6TW1CBH&amp;reservation_id=31674424864980", "MH6TW1CBH")</f>
        <v>MH6TW1CBH</v>
      </c>
      <c r="B3817" t="s">
        <v>10</v>
      </c>
      <c r="C3817" t="s">
        <v>20</v>
      </c>
      <c r="D3817" t="str">
        <f>HYPERLINK("https://us2.cloudbeds.com/connect/10074733072513#/reservations/31674424864980?display=Natisha%20Wingo&amp;reservation_id=31674424864980&amp;guest_id=31674424860886", "Natisha Wingo")</f>
        <v>Natisha Wingo</v>
      </c>
      <c r="E3817" t="s">
        <v>5115</v>
      </c>
      <c r="F3817" t="s">
        <v>4964</v>
      </c>
      <c r="G3817">
        <v>229.14</v>
      </c>
      <c r="H3817">
        <v>249.07</v>
      </c>
      <c r="I3817">
        <v>249.08</v>
      </c>
      <c r="J3817">
        <v>-0.01</v>
      </c>
    </row>
    <row r="3818" spans="1:10" x14ac:dyDescent="0.3">
      <c r="A3818" t="str">
        <f>HYPERLINK("https://us2.cloudbeds.com/connect/10074733072513#/reservations/31673680011493?display=MH6AUVZ0Z&amp;reservation_id=31673680011493", "MH6AUVZ0Z")</f>
        <v>MH6AUVZ0Z</v>
      </c>
      <c r="B3818" t="s">
        <v>10</v>
      </c>
      <c r="C3818" t="s">
        <v>11</v>
      </c>
      <c r="D3818" t="str">
        <f>HYPERLINK("https://us2.cloudbeds.com/connect/10074733072513#/reservations/31673680011493?display=Irfan%20Ali&amp;reservation_id=31673680011493&amp;guest_id=31673680011477", "Irfan Ali")</f>
        <v>Irfan Ali</v>
      </c>
      <c r="E3818" t="s">
        <v>5121</v>
      </c>
      <c r="F3818" t="s">
        <v>4877</v>
      </c>
      <c r="G3818">
        <v>316.66000000000003</v>
      </c>
      <c r="H3818">
        <v>344.2</v>
      </c>
      <c r="I3818">
        <v>344.21</v>
      </c>
      <c r="J3818">
        <v>-0.01</v>
      </c>
    </row>
    <row r="3819" spans="1:10" x14ac:dyDescent="0.3">
      <c r="A3819" t="str">
        <f>HYPERLINK("https://us2.cloudbeds.com/connect/10074733072513#/reservations/31674650439821?display=MH72Z8APP&amp;reservation_id=31674650439821", "MH72Z8APP")</f>
        <v>MH72Z8APP</v>
      </c>
      <c r="B3819" t="s">
        <v>10</v>
      </c>
      <c r="C3819" t="s">
        <v>11</v>
      </c>
      <c r="D3819" t="str">
        <f>HYPERLINK("https://us2.cloudbeds.com/connect/10074733072513#/reservations/31674650439821?display=Jared%20Foote&amp;reservation_id=31674650439821&amp;guest_id=31674650439819", "Jared Foote")</f>
        <v>Jared Foote</v>
      </c>
      <c r="E3819" t="s">
        <v>5123</v>
      </c>
      <c r="F3819" t="s">
        <v>5023</v>
      </c>
      <c r="G3819">
        <v>134.1</v>
      </c>
      <c r="H3819">
        <v>145.76</v>
      </c>
      <c r="I3819">
        <v>145.77000000000001</v>
      </c>
      <c r="J3819">
        <v>-0.01</v>
      </c>
    </row>
    <row r="3820" spans="1:10" x14ac:dyDescent="0.3">
      <c r="A3820" t="str">
        <f>HYPERLINK("https://us2.cloudbeds.com/connect/10074733072513#/reservations/31675751846086?display=MH7USWJ46&amp;reservation_id=31675751846086", "MH7USWJ46")</f>
        <v>MH7USWJ46</v>
      </c>
      <c r="B3820" t="s">
        <v>10</v>
      </c>
      <c r="C3820" t="s">
        <v>11</v>
      </c>
      <c r="D3820" t="str">
        <f>HYPERLINK("https://us2.cloudbeds.com/connect/10074733072513#/reservations/31675751846086?display=Linda%20Mace&amp;reservation_id=31675751846086&amp;guest_id=30682015416476", "Linda Mace")</f>
        <v>Linda Mace</v>
      </c>
      <c r="E3820" t="s">
        <v>4079</v>
      </c>
      <c r="F3820" t="s">
        <v>3836</v>
      </c>
      <c r="G3820">
        <v>250.2</v>
      </c>
      <c r="H3820">
        <v>271.95999999999998</v>
      </c>
      <c r="I3820">
        <v>271.97000000000003</v>
      </c>
      <c r="J3820">
        <v>-0.01</v>
      </c>
    </row>
    <row r="3821" spans="1:10" x14ac:dyDescent="0.3">
      <c r="A3821" t="str">
        <f>HYPERLINK("https://us2.cloudbeds.com/connect/10074733072513#/reservations/31675810582732?display=MH7WCH0EH&amp;reservation_id=31675810582732", "MH7WCH0EH")</f>
        <v>MH7WCH0EH</v>
      </c>
      <c r="B3821" t="s">
        <v>10</v>
      </c>
      <c r="C3821" t="s">
        <v>20</v>
      </c>
      <c r="D3821" t="str">
        <f>HYPERLINK("https://us2.cloudbeds.com/connect/10074733072513#/reservations/31675810582732?display=Kathryn%20Drury&amp;reservation_id=31675810582732&amp;guest_id=31675799969984", "Kathryn Drury")</f>
        <v>Kathryn Drury</v>
      </c>
      <c r="E3821" t="s">
        <v>5131</v>
      </c>
      <c r="F3821" t="s">
        <v>3836</v>
      </c>
      <c r="G3821">
        <v>134.1</v>
      </c>
      <c r="H3821">
        <v>145.76</v>
      </c>
      <c r="I3821">
        <v>145.77000000000001</v>
      </c>
      <c r="J3821">
        <v>-0.01</v>
      </c>
    </row>
    <row r="3822" spans="1:10" x14ac:dyDescent="0.3">
      <c r="A3822" t="str">
        <f>HYPERLINK("https://us2.cloudbeds.com/connect/10074733072513#/reservations/31681203486882?display=MHC55VH6E&amp;reservation_id=31681203486882", "MHC55VH6E")</f>
        <v>MHC55VH6E</v>
      </c>
      <c r="B3822" t="s">
        <v>10</v>
      </c>
      <c r="C3822" t="s">
        <v>14</v>
      </c>
      <c r="D3822" t="str">
        <f>HYPERLINK("https://us2.cloudbeds.com/connect/10074733072513#/reservations/31681203486882?display=Victoria%20Gray&amp;reservation_id=31681203486882&amp;guest_id=31681191813320", "Victoria Gray")</f>
        <v>Victoria Gray</v>
      </c>
      <c r="E3822" t="s">
        <v>5141</v>
      </c>
      <c r="F3822" t="s">
        <v>4974</v>
      </c>
      <c r="G3822">
        <v>608.4</v>
      </c>
      <c r="H3822">
        <v>661.32</v>
      </c>
      <c r="I3822">
        <v>661.33</v>
      </c>
      <c r="J3822">
        <v>-0.01</v>
      </c>
    </row>
    <row r="3823" spans="1:10" x14ac:dyDescent="0.3">
      <c r="A3823" t="str">
        <f>HYPERLINK("https://us2.cloudbeds.com/connect/10074733072513#/reservations/31682475896968?display=MHD4MT6RR&amp;reservation_id=31682475896968", "MHD4MT6RR")</f>
        <v>MHD4MT6RR</v>
      </c>
      <c r="B3823" t="s">
        <v>10</v>
      </c>
      <c r="C3823" t="s">
        <v>14</v>
      </c>
      <c r="D3823" t="str">
        <f>HYPERLINK("https://us2.cloudbeds.com/connect/10074733072513#/reservations/31682475896968?display=Victoria%20Gray&amp;reservation_id=31682475896968&amp;guest_id=31681191813320", "Victoria Gray")</f>
        <v>Victoria Gray</v>
      </c>
      <c r="E3823" t="s">
        <v>5141</v>
      </c>
      <c r="F3823" t="s">
        <v>4974</v>
      </c>
      <c r="G3823">
        <v>608.4</v>
      </c>
      <c r="H3823">
        <v>661.32</v>
      </c>
      <c r="I3823">
        <v>661.33</v>
      </c>
      <c r="J3823">
        <v>-0.01</v>
      </c>
    </row>
    <row r="3824" spans="1:10" x14ac:dyDescent="0.3">
      <c r="A3824" t="str">
        <f>HYPERLINK("https://us2.cloudbeds.com/connect/10074733072513#/reservations/31676780179594?display=MH8Z53FMY&amp;reservation_id=31676780179594", "MH8Z53FMY")</f>
        <v>MH8Z53FMY</v>
      </c>
      <c r="B3824" t="s">
        <v>10</v>
      </c>
      <c r="C3824" t="s">
        <v>20</v>
      </c>
      <c r="D3824" t="str">
        <f>HYPERLINK("https://us2.cloudbeds.com/connect/10074733072513#/reservations/31676780179594?display=Jayna%20Wagner&amp;reservation_id=31676780179594&amp;guest_id=31676780179589", "Jayna Wagner")</f>
        <v>Jayna Wagner</v>
      </c>
      <c r="E3824" t="s">
        <v>5143</v>
      </c>
      <c r="F3824" t="s">
        <v>5082</v>
      </c>
      <c r="G3824">
        <v>118.15</v>
      </c>
      <c r="H3824">
        <v>128.41999999999999</v>
      </c>
      <c r="I3824">
        <v>128.43</v>
      </c>
      <c r="J3824">
        <v>-0.01</v>
      </c>
    </row>
    <row r="3825" spans="1:10" x14ac:dyDescent="0.3">
      <c r="A3825" t="str">
        <f>HYPERLINK("https://us2.cloudbeds.com/connect/10074733072513#/reservations/31673671848081?display=MH6AZ2XPK&amp;reservation_id=31673671848081", "MH6AZ2XPK")</f>
        <v>MH6AZ2XPK</v>
      </c>
      <c r="B3825" t="s">
        <v>10</v>
      </c>
      <c r="C3825" t="s">
        <v>42</v>
      </c>
      <c r="D3825" t="str">
        <f>HYPERLINK("https://us2.cloudbeds.com/connect/10074733072513#/reservations/31673671848081?display=Josh%20Schenk&amp;reservation_id=31673671848081&amp;guest_id=31673671848076", "Josh Schenk")</f>
        <v>Josh Schenk</v>
      </c>
      <c r="E3825" t="s">
        <v>5144</v>
      </c>
      <c r="F3825" t="s">
        <v>4877</v>
      </c>
      <c r="G3825">
        <v>134.1</v>
      </c>
      <c r="H3825">
        <v>145.76</v>
      </c>
      <c r="I3825">
        <v>145.77000000000001</v>
      </c>
      <c r="J3825">
        <v>-0.01</v>
      </c>
    </row>
    <row r="3826" spans="1:10" x14ac:dyDescent="0.3">
      <c r="A3826" t="str">
        <f>HYPERLINK("https://us2.cloudbeds.com/connect/10074733072513#/reservations/31673535820015?display=MH678CCQ0&amp;reservation_id=31673535820015", "MH678CCQ0")</f>
        <v>MH678CCQ0</v>
      </c>
      <c r="B3826" t="s">
        <v>10</v>
      </c>
      <c r="C3826" t="s">
        <v>14</v>
      </c>
      <c r="D3826" t="str">
        <f>HYPERLINK("https://us2.cloudbeds.com/connect/10074733072513#/reservations/31673535820015?display=Ryan%20Batenhorst&amp;reservation_id=31673535820015&amp;guest_id=31673535820000", "Ryan Batenhorst")</f>
        <v>Ryan Batenhorst</v>
      </c>
      <c r="E3826" t="s">
        <v>5146</v>
      </c>
      <c r="F3826" t="s">
        <v>4922</v>
      </c>
      <c r="G3826">
        <v>134.1</v>
      </c>
      <c r="H3826">
        <v>145.76</v>
      </c>
      <c r="I3826">
        <v>145.77000000000001</v>
      </c>
      <c r="J3826">
        <v>-0.01</v>
      </c>
    </row>
    <row r="3827" spans="1:10" x14ac:dyDescent="0.3">
      <c r="A3827" t="str">
        <f>HYPERLINK("https://us2.cloudbeds.com/connect/10074733072513#/reservations/31675821363334?display=MH7WYJWWF&amp;reservation_id=31675821363334", "MH7WYJWWF")</f>
        <v>MH7WYJWWF</v>
      </c>
      <c r="B3827" t="s">
        <v>10</v>
      </c>
      <c r="C3827" t="s">
        <v>14</v>
      </c>
      <c r="D3827" t="str">
        <f>HYPERLINK("https://us2.cloudbeds.com/connect/10074733072513#/reservations/31675821363334?display=Nicole%20Lafleur&amp;reservation_id=31675821363334&amp;guest_id=31675821363332", "Nicole Lafleur")</f>
        <v>Nicole Lafleur</v>
      </c>
      <c r="E3827" t="s">
        <v>5147</v>
      </c>
      <c r="F3827" t="s">
        <v>3650</v>
      </c>
      <c r="G3827">
        <v>134.1</v>
      </c>
      <c r="H3827">
        <v>145.76</v>
      </c>
      <c r="I3827">
        <v>145.77000000000001</v>
      </c>
      <c r="J3827">
        <v>-0.01</v>
      </c>
    </row>
    <row r="3828" spans="1:10" x14ac:dyDescent="0.3">
      <c r="A3828" t="str">
        <f>HYPERLINK("https://us2.cloudbeds.com/connect/10074733072513#/reservations/31675354472670?display=MH7KNU2JH&amp;reservation_id=31675354472670", "MH7KNU2JH")</f>
        <v>MH7KNU2JH</v>
      </c>
      <c r="B3828" t="s">
        <v>10</v>
      </c>
      <c r="C3828" t="s">
        <v>42</v>
      </c>
      <c r="D3828" t="str">
        <f>HYPERLINK("https://us2.cloudbeds.com/connect/10074733072513#/reservations/31675354472670?display=Levi%20Brown&amp;reservation_id=31675354472670&amp;guest_id=31675354472659", "Levi Brown")</f>
        <v>Levi Brown</v>
      </c>
      <c r="E3828" t="s">
        <v>5148</v>
      </c>
      <c r="F3828" t="s">
        <v>5149</v>
      </c>
      <c r="G3828">
        <v>250.2</v>
      </c>
      <c r="H3828">
        <v>271.95999999999998</v>
      </c>
      <c r="I3828">
        <v>271.97000000000003</v>
      </c>
      <c r="J3828">
        <v>-0.01</v>
      </c>
    </row>
    <row r="3829" spans="1:10" x14ac:dyDescent="0.3">
      <c r="A3829" t="str">
        <f>HYPERLINK("https://us2.cloudbeds.com/connect/10074733072513#/reservations/31673491583120?display=MH6642E71&amp;reservation_id=31673491583120", "MH6642E71")</f>
        <v>MH6642E71</v>
      </c>
      <c r="B3829" t="s">
        <v>10</v>
      </c>
      <c r="C3829" t="s">
        <v>42</v>
      </c>
      <c r="D3829" t="str">
        <f>HYPERLINK("https://us2.cloudbeds.com/connect/10074733072513#/reservations/31673491583120?display=Brandon%20Teel&amp;reservation_id=31673491583120&amp;guest_id=31673465118934", "Brandon Teel")</f>
        <v>Brandon Teel</v>
      </c>
      <c r="E3829" t="s">
        <v>4243</v>
      </c>
      <c r="F3829" t="s">
        <v>5051</v>
      </c>
      <c r="G3829">
        <v>380.8</v>
      </c>
      <c r="H3829">
        <v>413.92</v>
      </c>
      <c r="I3829">
        <v>413.93</v>
      </c>
      <c r="J3829">
        <v>-0.01</v>
      </c>
    </row>
    <row r="3830" spans="1:10" x14ac:dyDescent="0.3">
      <c r="A3830" t="str">
        <f>HYPERLINK("https://us2.cloudbeds.com/connect/10074733072513#/reservations/31674905063574?display=MH797VK22&amp;reservation_id=31674905063574", "MH797VK22")</f>
        <v>MH797VK22</v>
      </c>
      <c r="B3830" t="s">
        <v>10</v>
      </c>
      <c r="C3830" t="s">
        <v>20</v>
      </c>
      <c r="D3830" t="str">
        <f>HYPERLINK("https://us2.cloudbeds.com/connect/10074733072513#/reservations/31674905063574?display=Jessica%20Sargent&amp;reservation_id=31674905063574&amp;guest_id=31674897670340", "Jessica Sargent")</f>
        <v>Jessica Sargent</v>
      </c>
      <c r="E3830" t="s">
        <v>5163</v>
      </c>
      <c r="F3830" t="s">
        <v>4922</v>
      </c>
      <c r="G3830">
        <v>134.1</v>
      </c>
      <c r="H3830">
        <v>145.76</v>
      </c>
      <c r="I3830">
        <v>145.77000000000001</v>
      </c>
      <c r="J3830">
        <v>-0.01</v>
      </c>
    </row>
    <row r="3831" spans="1:10" x14ac:dyDescent="0.3">
      <c r="A3831" t="str">
        <f>HYPERLINK("https://us2.cloudbeds.com/connect/10074733072513#/reservations/31673961934980?display=MH6X4MYUN&amp;reservation_id=31673961934980", "MH6X4MYUN")</f>
        <v>MH6X4MYUN</v>
      </c>
      <c r="B3831" t="s">
        <v>10</v>
      </c>
      <c r="C3831" t="s">
        <v>42</v>
      </c>
      <c r="D3831" t="str">
        <f>HYPERLINK("https://us2.cloudbeds.com/connect/10074733072513#/reservations/31673961934980?display=Kevin%20Gerry&amp;reservation_id=31673961934980&amp;guest_id=30680004333714", "Kevin Gerry")</f>
        <v>Kevin Gerry</v>
      </c>
      <c r="E3831" t="s">
        <v>5169</v>
      </c>
      <c r="F3831" t="s">
        <v>4922</v>
      </c>
      <c r="G3831">
        <v>134.1</v>
      </c>
      <c r="H3831">
        <v>145.76</v>
      </c>
      <c r="I3831">
        <v>145.77000000000001</v>
      </c>
      <c r="J3831">
        <v>-0.01</v>
      </c>
    </row>
    <row r="3832" spans="1:10" x14ac:dyDescent="0.3">
      <c r="A3832" t="str">
        <f>HYPERLINK("https://us2.cloudbeds.com/connect/10074733072513#/reservations/31674839367824?display=MH77XXHCP&amp;reservation_id=31674839367824", "MH77XXHCP")</f>
        <v>MH77XXHCP</v>
      </c>
      <c r="B3832" t="s">
        <v>10</v>
      </c>
      <c r="C3832" t="s">
        <v>11</v>
      </c>
      <c r="D3832" t="str">
        <f>HYPERLINK("https://us2.cloudbeds.com/connect/10074733072513#/reservations/31674839367824?display=Bryan%20Jay%20Birchard&amp;reservation_id=31674839367824&amp;guest_id=31674839367821", "Bryan Jay Birchard")</f>
        <v>Bryan Jay Birchard</v>
      </c>
      <c r="E3832" t="s">
        <v>4770</v>
      </c>
      <c r="F3832" t="s">
        <v>4922</v>
      </c>
      <c r="G3832">
        <v>94.16</v>
      </c>
      <c r="H3832">
        <v>102.34</v>
      </c>
      <c r="I3832">
        <v>102.35</v>
      </c>
      <c r="J3832">
        <v>-0.01</v>
      </c>
    </row>
    <row r="3833" spans="1:10" x14ac:dyDescent="0.3">
      <c r="A3833" t="str">
        <f>HYPERLINK("https://us2.cloudbeds.com/connect/10074733072513#/reservations/31678139629696?display=MH9PTE262&amp;reservation_id=31678139629696", "MH9PTE262")</f>
        <v>MH9PTE262</v>
      </c>
      <c r="B3833" t="s">
        <v>10</v>
      </c>
      <c r="C3833" t="s">
        <v>14</v>
      </c>
      <c r="D3833" t="str">
        <f>HYPERLINK("https://us2.cloudbeds.com/connect/10074733072513#/reservations/31678139629696?display=Barb%20Hallberg&amp;reservation_id=31678139629696&amp;guest_id=31678129770714", "Barb Hallberg")</f>
        <v>Barb Hallberg</v>
      </c>
      <c r="E3833" t="s">
        <v>5180</v>
      </c>
      <c r="F3833" t="s">
        <v>4577</v>
      </c>
      <c r="G3833">
        <v>250.2</v>
      </c>
      <c r="H3833">
        <v>271.95999999999998</v>
      </c>
      <c r="I3833">
        <v>271.97000000000003</v>
      </c>
      <c r="J3833">
        <v>-0.01</v>
      </c>
    </row>
    <row r="3834" spans="1:10" x14ac:dyDescent="0.3">
      <c r="A3834" t="str">
        <f>HYPERLINK("https://us2.cloudbeds.com/connect/10074733072513#/reservations/31672951636148?display=MH5PAPK4J&amp;reservation_id=31672951636148", "MH5PAPK4J")</f>
        <v>MH5PAPK4J</v>
      </c>
      <c r="B3834" t="s">
        <v>10</v>
      </c>
      <c r="C3834" t="s">
        <v>14</v>
      </c>
      <c r="D3834" t="str">
        <f>HYPERLINK("https://us2.cloudbeds.com/connect/10074733072513#/reservations/31672951636148?display=Colleen%20Schultz-Herman&amp;reservation_id=31672951636148&amp;guest_id=30664420536558", "Colleen Schultz-Herman")</f>
        <v>Colleen Schultz-Herman</v>
      </c>
      <c r="E3834" t="s">
        <v>3058</v>
      </c>
      <c r="F3834" t="s">
        <v>5135</v>
      </c>
      <c r="G3834">
        <v>326.08</v>
      </c>
      <c r="H3834">
        <v>354.44</v>
      </c>
      <c r="I3834">
        <v>354.45</v>
      </c>
      <c r="J3834">
        <v>-0.01</v>
      </c>
    </row>
    <row r="3835" spans="1:10" x14ac:dyDescent="0.3">
      <c r="A3835" t="str">
        <f>HYPERLINK("https://us2.cloudbeds.com/connect/10074733072513#/reservations/31675497562241?display=MH7ZCXZW4&amp;reservation_id=31675497562241", "MH7ZCXZW4")</f>
        <v>MH7ZCXZW4</v>
      </c>
      <c r="B3835" t="s">
        <v>10</v>
      </c>
      <c r="C3835" t="s">
        <v>42</v>
      </c>
      <c r="D3835" t="str">
        <f>HYPERLINK("https://us2.cloudbeds.com/connect/10074733072513#/reservations/31675497562241?display=Debra%20Kinghorn&amp;reservation_id=31675497562241&amp;guest_id=31675497558204", "Debra Kinghorn")</f>
        <v>Debra Kinghorn</v>
      </c>
      <c r="E3835" t="s">
        <v>5194</v>
      </c>
      <c r="F3835" t="s">
        <v>4611</v>
      </c>
      <c r="G3835">
        <v>250.2</v>
      </c>
      <c r="H3835">
        <v>271.95999999999998</v>
      </c>
      <c r="I3835">
        <v>271.97000000000003</v>
      </c>
      <c r="J3835">
        <v>-0.01</v>
      </c>
    </row>
    <row r="3836" spans="1:10" x14ac:dyDescent="0.3">
      <c r="A3836" t="str">
        <f>HYPERLINK("https://us2.cloudbeds.com/connect/10074733072513#/reservations/31678940709077?display=MHADBUCW0&amp;reservation_id=31678940709077", "MHADBUCW0")</f>
        <v>MHADBUCW0</v>
      </c>
      <c r="B3836" t="s">
        <v>10</v>
      </c>
      <c r="C3836" t="s">
        <v>11</v>
      </c>
      <c r="D3836" t="str">
        <f>HYPERLINK("https://us2.cloudbeds.com/connect/10074733072513#/reservations/31678940709077?display=Paul%20Atkins&amp;reservation_id=31678940709077&amp;guest_id=31678940704993", "Paul Atkins")</f>
        <v>Paul Atkins</v>
      </c>
      <c r="E3836" t="s">
        <v>4030</v>
      </c>
      <c r="F3836" t="s">
        <v>5048</v>
      </c>
      <c r="G3836">
        <v>357.32</v>
      </c>
      <c r="H3836">
        <v>388.4</v>
      </c>
      <c r="I3836">
        <v>388.41</v>
      </c>
      <c r="J3836">
        <v>-0.01</v>
      </c>
    </row>
    <row r="3837" spans="1:10" x14ac:dyDescent="0.3">
      <c r="A3837" t="str">
        <f>HYPERLINK("https://us2.cloudbeds.com/connect/10074733072513#/reservations/31678860255378?display=MHABA2YF4&amp;reservation_id=31678860255378", "MHABA2YF4")</f>
        <v>MHABA2YF4</v>
      </c>
      <c r="B3837" t="s">
        <v>10</v>
      </c>
      <c r="C3837" t="s">
        <v>20</v>
      </c>
      <c r="D3837" t="str">
        <f>HYPERLINK("https://us2.cloudbeds.com/connect/10074733072513#/reservations/31678860255378?display=Katrina%20Kline&amp;reservation_id=31678860255378&amp;guest_id=31678860251297", "Katrina Kline")</f>
        <v>Katrina Kline</v>
      </c>
      <c r="E3837" t="s">
        <v>5199</v>
      </c>
      <c r="F3837" t="s">
        <v>3531</v>
      </c>
      <c r="G3837">
        <v>143.65</v>
      </c>
      <c r="H3837">
        <v>156.13999999999999</v>
      </c>
      <c r="I3837">
        <v>156.15</v>
      </c>
      <c r="J3837">
        <v>-0.01</v>
      </c>
    </row>
    <row r="3838" spans="1:10" x14ac:dyDescent="0.3">
      <c r="A3838" t="str">
        <f>HYPERLINK("https://us2.cloudbeds.com/connect/10074733072513#/reservations/31673010733216?display=MH5QRK2DR&amp;reservation_id=31673010733216", "MH5QRK2DR")</f>
        <v>MH5QRK2DR</v>
      </c>
      <c r="B3838" t="s">
        <v>10</v>
      </c>
      <c r="C3838" t="s">
        <v>20</v>
      </c>
      <c r="D3838" t="str">
        <f>HYPERLINK("https://us2.cloudbeds.com/connect/10074733072513#/reservations/31673010733216?display=Lori%20Cline&amp;reservation_id=31673010733216&amp;guest_id=31672995696787", "Lori Cline")</f>
        <v>Lori Cline</v>
      </c>
      <c r="E3838" t="s">
        <v>5205</v>
      </c>
      <c r="F3838" t="s">
        <v>5135</v>
      </c>
      <c r="G3838">
        <v>110.3</v>
      </c>
      <c r="H3838">
        <v>119.89</v>
      </c>
      <c r="I3838">
        <v>119.9</v>
      </c>
      <c r="J3838">
        <v>-0.01</v>
      </c>
    </row>
    <row r="3839" spans="1:10" x14ac:dyDescent="0.3">
      <c r="A3839" t="str">
        <f>HYPERLINK("https://us2.cloudbeds.com/connect/10074733072513#/reservations/31674209648830?display=MH6ZFXM10&amp;reservation_id=31674209648830", "MH6ZFXM10")</f>
        <v>MH6ZFXM10</v>
      </c>
      <c r="B3839" t="s">
        <v>10</v>
      </c>
      <c r="C3839" t="s">
        <v>42</v>
      </c>
      <c r="D3839" t="str">
        <f>HYPERLINK("https://us2.cloudbeds.com/connect/10074733072513#/reservations/31674209648830?display=Nyla%20Tornow&amp;reservation_id=31674209648830&amp;guest_id=31672041607391", "Nyla Tornow")</f>
        <v>Nyla Tornow</v>
      </c>
      <c r="E3839" t="s">
        <v>4665</v>
      </c>
      <c r="F3839" t="s">
        <v>5192</v>
      </c>
      <c r="G3839">
        <v>134.1</v>
      </c>
      <c r="H3839">
        <v>145.76</v>
      </c>
      <c r="I3839">
        <v>145.77000000000001</v>
      </c>
      <c r="J3839">
        <v>-0.01</v>
      </c>
    </row>
    <row r="3840" spans="1:10" x14ac:dyDescent="0.3">
      <c r="A3840" t="str">
        <f>HYPERLINK("https://us2.cloudbeds.com/connect/10074733072513#/reservations/31675384651934?display=MH7YGBSDM&amp;reservation_id=31675384651934", "MH7YGBSDM")</f>
        <v>MH7YGBSDM</v>
      </c>
      <c r="B3840" t="s">
        <v>10</v>
      </c>
      <c r="C3840" t="s">
        <v>121</v>
      </c>
      <c r="D3840" t="str">
        <f>HYPERLINK("https://us2.cloudbeds.com/connect/10074733072513#/reservations/31675384651934?display=Randy%20Barnhardt&amp;reservation_id=31675384651934&amp;guest_id=31675384651929", "Randy Barnhardt")</f>
        <v>Randy Barnhardt</v>
      </c>
      <c r="E3840" t="s">
        <v>4841</v>
      </c>
      <c r="F3840" t="s">
        <v>5109</v>
      </c>
      <c r="G3840">
        <v>250.2</v>
      </c>
      <c r="H3840">
        <v>271.95999999999998</v>
      </c>
      <c r="I3840">
        <v>271.97000000000003</v>
      </c>
      <c r="J3840">
        <v>-0.01</v>
      </c>
    </row>
    <row r="3841" spans="1:10" x14ac:dyDescent="0.3">
      <c r="A3841" t="str">
        <f>HYPERLINK("https://us2.cloudbeds.com/connect/10074733072513#/reservations/31675142656165?display=MH7FA9W2X&amp;reservation_id=31675142656165", "MH7FA9W2X")</f>
        <v>MH7FA9W2X</v>
      </c>
      <c r="B3841" t="s">
        <v>10</v>
      </c>
      <c r="C3841" t="s">
        <v>20</v>
      </c>
      <c r="D3841" t="str">
        <f>HYPERLINK("https://us2.cloudbeds.com/connect/10074733072513#/reservations/31675142656165?display=Terry%20Falkena&amp;reservation_id=31675142656165&amp;guest_id=31675133702356", "Terry Falkena")</f>
        <v>Terry Falkena</v>
      </c>
      <c r="E3841" t="s">
        <v>5214</v>
      </c>
      <c r="F3841" t="s">
        <v>4303</v>
      </c>
      <c r="G3841">
        <v>112.24</v>
      </c>
      <c r="H3841">
        <v>121.99</v>
      </c>
      <c r="I3841">
        <v>122</v>
      </c>
      <c r="J3841">
        <v>-0.01</v>
      </c>
    </row>
    <row r="3842" spans="1:10" x14ac:dyDescent="0.3">
      <c r="A3842" t="str">
        <f>HYPERLINK("https://us2.cloudbeds.com/connect/10074733072513#/reservations/31674100576418?display=MH6YMJXND&amp;reservation_id=31674100576418", "MH6YMJXND")</f>
        <v>MH6YMJXND</v>
      </c>
      <c r="B3842" t="s">
        <v>10</v>
      </c>
      <c r="C3842" t="s">
        <v>17</v>
      </c>
      <c r="D3842" t="str">
        <f>HYPERLINK("https://us2.cloudbeds.com/connect/10074733072513#/reservations/31674100576418?display=Michael%20Parker&amp;reservation_id=31674100576418&amp;guest_id=31674100576413", "Michael Parker")</f>
        <v>Michael Parker</v>
      </c>
      <c r="E3842" t="s">
        <v>5220</v>
      </c>
      <c r="F3842" t="s">
        <v>5215</v>
      </c>
      <c r="G3842">
        <v>304.2</v>
      </c>
      <c r="H3842">
        <v>330.66</v>
      </c>
      <c r="I3842">
        <v>330.67</v>
      </c>
      <c r="J3842">
        <v>-0.01</v>
      </c>
    </row>
    <row r="3843" spans="1:10" x14ac:dyDescent="0.3">
      <c r="A3843" t="str">
        <f>HYPERLINK("https://us2.cloudbeds.com/connect/10074733072513#/reservations/31674026815668?display=MH6JQD255&amp;reservation_id=31674026815668", "MH6JQD255")</f>
        <v>MH6JQD255</v>
      </c>
      <c r="B3843" t="s">
        <v>10</v>
      </c>
      <c r="C3843" t="s">
        <v>42</v>
      </c>
      <c r="D3843" t="str">
        <f>HYPERLINK("https://us2.cloudbeds.com/connect/10074733072513#/reservations/31674026815668?display=Sonja%20Schibi&amp;reservation_id=31674026815668&amp;guest_id=31674026815664", "Sonja Schibi")</f>
        <v>Sonja Schibi</v>
      </c>
      <c r="E3843" t="s">
        <v>5221</v>
      </c>
      <c r="F3843" t="s">
        <v>5036</v>
      </c>
      <c r="G3843">
        <v>375.3</v>
      </c>
      <c r="H3843">
        <v>407.94</v>
      </c>
      <c r="I3843">
        <v>407.95</v>
      </c>
      <c r="J3843">
        <v>-0.01</v>
      </c>
    </row>
    <row r="3844" spans="1:10" x14ac:dyDescent="0.3">
      <c r="A3844" t="str">
        <f>HYPERLINK("https://us2.cloudbeds.com/connect/10074733072513#/reservations/31675104075906?display=MH7EAPDRQ&amp;reservation_id=31675104075906", "MH7EAPDRQ")</f>
        <v>MH7EAPDRQ</v>
      </c>
      <c r="B3844" t="s">
        <v>10</v>
      </c>
      <c r="C3844" t="s">
        <v>17</v>
      </c>
      <c r="D3844" t="str">
        <f>HYPERLINK("https://us2.cloudbeds.com/connect/10074733072513#/reservations/31675104075906?display=Holly%20Hubers&amp;reservation_id=31675104075906&amp;guest_id=31675104071869", "Holly Hubers")</f>
        <v>Holly Hubers</v>
      </c>
      <c r="E3844" t="s">
        <v>3152</v>
      </c>
      <c r="F3844" t="s">
        <v>5204</v>
      </c>
      <c r="G3844">
        <v>375.3</v>
      </c>
      <c r="H3844">
        <v>407.94</v>
      </c>
      <c r="I3844">
        <v>407.95</v>
      </c>
      <c r="J3844">
        <v>-0.01</v>
      </c>
    </row>
    <row r="3845" spans="1:10" x14ac:dyDescent="0.3">
      <c r="A3845" t="str">
        <f>HYPERLINK("https://us2.cloudbeds.com/connect/10074733072513#/reservations/31683272065209?display=MHDP17P55&amp;reservation_id=31683272065209", "MHDP17P55")</f>
        <v>MHDP17P55</v>
      </c>
      <c r="B3845" t="s">
        <v>10</v>
      </c>
      <c r="C3845" t="s">
        <v>20</v>
      </c>
      <c r="D3845" t="str">
        <f>HYPERLINK("https://us2.cloudbeds.com/connect/10074733072513#/reservations/31683272065209?display=Tiffiany%20Moser&amp;reservation_id=31683272065209&amp;guest_id=31683264479458", "Tiffiany Moser")</f>
        <v>Tiffiany Moser</v>
      </c>
      <c r="E3845" t="s">
        <v>5229</v>
      </c>
      <c r="F3845" t="s">
        <v>4772</v>
      </c>
      <c r="G3845">
        <v>304.3</v>
      </c>
      <c r="H3845">
        <v>330.76</v>
      </c>
      <c r="I3845">
        <v>330.77</v>
      </c>
      <c r="J3845">
        <v>-0.01</v>
      </c>
    </row>
    <row r="3846" spans="1:10" x14ac:dyDescent="0.3">
      <c r="A3846" t="str">
        <f>HYPERLINK("https://us2.cloudbeds.com/connect/10074733072513#/reservations/31676071215293?display=MH8619GEV&amp;reservation_id=31676071215293", "MH8619GEV")</f>
        <v>MH8619GEV</v>
      </c>
      <c r="B3846" t="s">
        <v>10</v>
      </c>
      <c r="C3846" t="s">
        <v>20</v>
      </c>
      <c r="D3846" t="str">
        <f>HYPERLINK("https://us2.cloudbeds.com/connect/10074733072513#/reservations/31676071215293?display=Trisha%20Callaghan&amp;reservation_id=31676071215293&amp;guest_id=31676071215291", "Trisha Callaghan")</f>
        <v>Trisha Callaghan</v>
      </c>
      <c r="E3846" t="s">
        <v>5233</v>
      </c>
      <c r="F3846" t="s">
        <v>5234</v>
      </c>
      <c r="G3846">
        <v>194.21</v>
      </c>
      <c r="H3846">
        <v>211.1</v>
      </c>
      <c r="I3846">
        <v>211.11</v>
      </c>
      <c r="J3846">
        <v>-0.01</v>
      </c>
    </row>
    <row r="3847" spans="1:10" x14ac:dyDescent="0.3">
      <c r="A3847" t="str">
        <f>HYPERLINK("https://us2.cloudbeds.com/connect/10074733072513#/reservations/31677421740190?display=MH97X2RSR&amp;reservation_id=31677421740190", "MH97X2RSR")</f>
        <v>MH97X2RSR</v>
      </c>
      <c r="B3847" t="s">
        <v>10</v>
      </c>
      <c r="C3847" t="s">
        <v>42</v>
      </c>
      <c r="D3847" t="str">
        <f>HYPERLINK("https://us2.cloudbeds.com/connect/10074733072513#/reservations/31677421740190?display=Marla%20Woessner&amp;reservation_id=31677421740190&amp;guest_id=31677421740186", "Marla Woessner")</f>
        <v>Marla Woessner</v>
      </c>
      <c r="E3847" t="s">
        <v>5235</v>
      </c>
      <c r="F3847" t="s">
        <v>4141</v>
      </c>
      <c r="G3847">
        <v>118.15</v>
      </c>
      <c r="H3847">
        <v>128.41999999999999</v>
      </c>
      <c r="I3847">
        <v>128.43</v>
      </c>
      <c r="J3847">
        <v>-0.01</v>
      </c>
    </row>
    <row r="3848" spans="1:10" x14ac:dyDescent="0.3">
      <c r="A3848" t="str">
        <f>HYPERLINK("https://us2.cloudbeds.com/connect/10074733072513#/reservations/31675719385233?display=MH7U1KA5W&amp;reservation_id=31675719385233", "MH7U1KA5W")</f>
        <v>MH7U1KA5W</v>
      </c>
      <c r="B3848" t="s">
        <v>10</v>
      </c>
      <c r="C3848" t="s">
        <v>42</v>
      </c>
      <c r="D3848" t="str">
        <f>HYPERLINK("https://us2.cloudbeds.com/connect/10074733072513#/reservations/31675719385233?display=Karen%20Jackson&amp;reservation_id=31675719385233&amp;guest_id=31675719385228", "Karen Jackson")</f>
        <v>Karen Jackson</v>
      </c>
      <c r="E3848" t="s">
        <v>5239</v>
      </c>
      <c r="F3848" t="s">
        <v>4346</v>
      </c>
      <c r="G3848">
        <v>170.1</v>
      </c>
      <c r="H3848">
        <v>184.89</v>
      </c>
      <c r="I3848">
        <v>184.9</v>
      </c>
      <c r="J3848">
        <v>-0.01</v>
      </c>
    </row>
    <row r="3849" spans="1:10" x14ac:dyDescent="0.3">
      <c r="A3849" t="str">
        <f>HYPERLINK("https://us2.cloudbeds.com/connect/10074733072513#/reservations/31672950849729?display=MH5PA3NWN&amp;reservation_id=31672950849729", "MH5PA3NWN")</f>
        <v>MH5PA3NWN</v>
      </c>
      <c r="B3849" t="s">
        <v>10</v>
      </c>
      <c r="C3849" t="s">
        <v>23</v>
      </c>
      <c r="D3849" t="str">
        <f>HYPERLINK("https://us2.cloudbeds.com/connect/10074733072513#/reservations/31672950849729?display=Wade%20Talkington&amp;reservation_id=31672950849729&amp;guest_id=31672944263329", "Wade Talkington")</f>
        <v>Wade Talkington</v>
      </c>
      <c r="E3849" t="s">
        <v>5243</v>
      </c>
      <c r="F3849" t="s">
        <v>5202</v>
      </c>
      <c r="G3849">
        <v>500.4</v>
      </c>
      <c r="H3849">
        <v>543.91999999999996</v>
      </c>
      <c r="I3849">
        <v>543.92999999999995</v>
      </c>
      <c r="J3849">
        <v>-0.01</v>
      </c>
    </row>
    <row r="3850" spans="1:10" x14ac:dyDescent="0.3">
      <c r="A3850" t="str">
        <f>HYPERLINK("https://us2.cloudbeds.com/connect/10074733072513#/reservations/31675518046404?display=MH7ZTRP1B&amp;reservation_id=31675518046404", "MH7ZTRP1B")</f>
        <v>MH7ZTRP1B</v>
      </c>
      <c r="B3850" t="s">
        <v>10</v>
      </c>
      <c r="C3850" t="s">
        <v>42</v>
      </c>
      <c r="D3850" t="str">
        <f>HYPERLINK("https://us2.cloudbeds.com/connect/10074733072513#/reservations/31675518046404?display=Janet%20Ringstmeier&amp;reservation_id=31675518046404&amp;guest_id=31675518042319", "Janet Ringstmeier")</f>
        <v>Janet Ringstmeier</v>
      </c>
      <c r="E3850" t="s">
        <v>5245</v>
      </c>
      <c r="F3850" t="s">
        <v>4611</v>
      </c>
      <c r="G3850">
        <v>250.2</v>
      </c>
      <c r="H3850">
        <v>271.95999999999998</v>
      </c>
      <c r="I3850">
        <v>271.97000000000003</v>
      </c>
      <c r="J3850">
        <v>-0.01</v>
      </c>
    </row>
    <row r="3851" spans="1:10" x14ac:dyDescent="0.3">
      <c r="A3851" t="str">
        <f>HYPERLINK("https://us2.cloudbeds.com/connect/10074733072513#/reservations/31675713384691?display=MH7TTXB1C&amp;reservation_id=31675713384691", "MH7TTXB1C")</f>
        <v>MH7TTXB1C</v>
      </c>
      <c r="B3851" t="s">
        <v>10</v>
      </c>
      <c r="C3851" t="s">
        <v>42</v>
      </c>
      <c r="D3851" t="str">
        <f>HYPERLINK("https://us2.cloudbeds.com/connect/10074733072513#/reservations/31675713384691?display=Mary%20Yarusso&amp;reservation_id=31675713384691&amp;guest_id=31675701899481", "Mary Yarusso")</f>
        <v>Mary Yarusso</v>
      </c>
      <c r="E3851" t="s">
        <v>5239</v>
      </c>
      <c r="F3851" t="s">
        <v>4346</v>
      </c>
      <c r="G3851">
        <v>304.2</v>
      </c>
      <c r="H3851">
        <v>330.66</v>
      </c>
      <c r="I3851">
        <v>330.67</v>
      </c>
      <c r="J3851">
        <v>-0.01</v>
      </c>
    </row>
    <row r="3852" spans="1:10" x14ac:dyDescent="0.3">
      <c r="A3852" t="str">
        <f>HYPERLINK("https://us2.cloudbeds.com/connect/10074733072513#/reservations/31684384002246?display=MHEKES1KT&amp;reservation_id=31684384002246", "MHEKES1KT")</f>
        <v>MHEKES1KT</v>
      </c>
      <c r="B3852" t="s">
        <v>10</v>
      </c>
      <c r="C3852" t="s">
        <v>11</v>
      </c>
      <c r="D3852" t="str">
        <f>HYPERLINK("https://us2.cloudbeds.com/connect/10074733072513#/reservations/31684384002246?display=Mckenzie%20Johnson&amp;reservation_id=31684384002246&amp;guest_id=31684383998198", "Mckenzie Johnson")</f>
        <v>Mckenzie Johnson</v>
      </c>
      <c r="E3852" t="s">
        <v>5248</v>
      </c>
      <c r="F3852" t="s">
        <v>5247</v>
      </c>
      <c r="G3852">
        <v>250.2</v>
      </c>
      <c r="H3852">
        <v>271.95999999999998</v>
      </c>
      <c r="I3852">
        <v>271.97000000000003</v>
      </c>
      <c r="J3852">
        <v>-0.01</v>
      </c>
    </row>
    <row r="3853" spans="1:10" x14ac:dyDescent="0.3">
      <c r="A3853" t="str">
        <f>HYPERLINK("https://us2.cloudbeds.com/connect/10074733072513#/reservations/31675280904334?display=MH7XRSUZ0&amp;reservation_id=31675280904334", "MH7XRSUZ0")</f>
        <v>MH7XRSUZ0</v>
      </c>
      <c r="B3853" t="s">
        <v>10</v>
      </c>
      <c r="C3853" t="s">
        <v>20</v>
      </c>
      <c r="D3853" t="str">
        <f>HYPERLINK("https://us2.cloudbeds.com/connect/10074733072513#/reservations/31675280904334?display=Rhonda%20Jurgensen&amp;reservation_id=31675280904334&amp;guest_id=31675277463715", "Rhonda Jurgensen")</f>
        <v>Rhonda Jurgensen</v>
      </c>
      <c r="E3853" t="s">
        <v>5251</v>
      </c>
      <c r="F3853" t="s">
        <v>4827</v>
      </c>
      <c r="G3853">
        <v>112.24</v>
      </c>
      <c r="H3853">
        <v>121.99</v>
      </c>
      <c r="I3853">
        <v>122</v>
      </c>
      <c r="J3853">
        <v>-0.01</v>
      </c>
    </row>
    <row r="3854" spans="1:10" x14ac:dyDescent="0.3">
      <c r="A3854" t="str">
        <f>HYPERLINK("https://us2.cloudbeds.com/connect/10074733072513#/reservations/31674333409508?display=MH6RKUG6J&amp;reservation_id=31674333409508", "MH6RKUG6J")</f>
        <v>MH6RKUG6J</v>
      </c>
      <c r="B3854" t="s">
        <v>10</v>
      </c>
      <c r="C3854" t="s">
        <v>17</v>
      </c>
      <c r="D3854" t="str">
        <f>HYPERLINK("https://us2.cloudbeds.com/connect/10074733072513#/reservations/31674333409508?display=James%20Lauritzen&amp;reservation_id=31674333409508&amp;guest_id=31674333409503", "James Lauritzen")</f>
        <v>James Lauritzen</v>
      </c>
      <c r="E3854" t="s">
        <v>5259</v>
      </c>
      <c r="F3854" t="s">
        <v>4611</v>
      </c>
      <c r="G3854">
        <v>304.2</v>
      </c>
      <c r="H3854">
        <v>330.66</v>
      </c>
      <c r="I3854">
        <v>330.67</v>
      </c>
      <c r="J3854">
        <v>-0.01</v>
      </c>
    </row>
    <row r="3855" spans="1:10" x14ac:dyDescent="0.3">
      <c r="A3855" t="str">
        <f>HYPERLINK("https://us2.cloudbeds.com/connect/10074733072513#/reservations/31674435195062?display=MH6U7ZR6A&amp;reservation_id=31674435195062", "MH6U7ZR6A")</f>
        <v>MH6U7ZR6A</v>
      </c>
      <c r="B3855" t="s">
        <v>10</v>
      </c>
      <c r="C3855" t="s">
        <v>20</v>
      </c>
      <c r="D3855" t="str">
        <f>HYPERLINK("https://us2.cloudbeds.com/connect/10074733072513#/reservations/31674435195062?display=Taylor%20Brightwell&amp;reservation_id=31674435195062&amp;guest_id=31674435195041", "Taylor Brightwell")</f>
        <v>Taylor Brightwell</v>
      </c>
      <c r="E3855" t="s">
        <v>5263</v>
      </c>
      <c r="F3855" t="s">
        <v>4672</v>
      </c>
      <c r="G3855">
        <v>134.1</v>
      </c>
      <c r="H3855">
        <v>145.76</v>
      </c>
      <c r="I3855">
        <v>145.77000000000001</v>
      </c>
      <c r="J3855">
        <v>-0.01</v>
      </c>
    </row>
    <row r="3856" spans="1:10" x14ac:dyDescent="0.3">
      <c r="A3856" t="str">
        <f>HYPERLINK("https://us2.cloudbeds.com/connect/10074733072513#/reservations/31677343236313?display=MH95HTBRF&amp;reservation_id=31677343236313", "MH95HTBRF")</f>
        <v>MH95HTBRF</v>
      </c>
      <c r="B3856" t="s">
        <v>10</v>
      </c>
      <c r="C3856" t="s">
        <v>42</v>
      </c>
      <c r="D3856" t="str">
        <f>HYPERLINK("https://us2.cloudbeds.com/connect/10074733072513#/reservations/31677343236313?display=Sam%20Springer&amp;reservation_id=31677343236313&amp;guest_id=31677343236308", "Sam Springer")</f>
        <v>Sam Springer</v>
      </c>
      <c r="E3856" t="s">
        <v>5267</v>
      </c>
      <c r="F3856" t="s">
        <v>4141</v>
      </c>
      <c r="G3856">
        <v>222.4</v>
      </c>
      <c r="H3856">
        <v>241.74</v>
      </c>
      <c r="I3856">
        <v>241.75</v>
      </c>
      <c r="J3856">
        <v>-0.01</v>
      </c>
    </row>
    <row r="3857" spans="1:10" x14ac:dyDescent="0.3">
      <c r="A3857" t="str">
        <f>HYPERLINK("https://us2.cloudbeds.com/connect/10074733072513#/reservations/31675361759473?display=MH7KU1RSZ&amp;reservation_id=31675361759473", "MH7KU1RSZ")</f>
        <v>MH7KU1RSZ</v>
      </c>
      <c r="B3857" t="s">
        <v>10</v>
      </c>
      <c r="C3857" t="s">
        <v>20</v>
      </c>
      <c r="D3857" t="str">
        <f>HYPERLINK("https://us2.cloudbeds.com/connect/10074733072513#/reservations/31675361759473?display=Leslie%20Aul%20Broz&amp;reservation_id=31675361759473&amp;guest_id=31675351883936", "Leslie Aul Broz")</f>
        <v>Leslie Aul Broz</v>
      </c>
      <c r="E3857" t="s">
        <v>5268</v>
      </c>
      <c r="F3857" t="s">
        <v>4825</v>
      </c>
      <c r="G3857">
        <v>143.65</v>
      </c>
      <c r="H3857">
        <v>156.13999999999999</v>
      </c>
      <c r="I3857">
        <v>156.15</v>
      </c>
      <c r="J3857">
        <v>-0.01</v>
      </c>
    </row>
    <row r="3858" spans="1:10" x14ac:dyDescent="0.3">
      <c r="A3858" t="str">
        <f>HYPERLINK("https://us2.cloudbeds.com/connect/10074733072513#/reservations/31676936941806?display=MH8S59K9N&amp;reservation_id=31676936941806", "MH8S59K9N")</f>
        <v>MH8S59K9N</v>
      </c>
      <c r="B3858" t="s">
        <v>10</v>
      </c>
      <c r="C3858" t="s">
        <v>17</v>
      </c>
      <c r="D3858" t="str">
        <f>HYPERLINK("https://us2.cloudbeds.com/connect/10074733072513#/reservations/31676936941806?display=Patricia%20Glanzer&amp;reservation_id=31676936941806&amp;guest_id=31676936941801", "Patricia Glanzer")</f>
        <v>Patricia Glanzer</v>
      </c>
      <c r="E3858" t="s">
        <v>5270</v>
      </c>
      <c r="F3858" t="s">
        <v>3650</v>
      </c>
      <c r="G3858">
        <v>134.1</v>
      </c>
      <c r="H3858">
        <v>145.76</v>
      </c>
      <c r="I3858">
        <v>145.77000000000001</v>
      </c>
      <c r="J3858">
        <v>-0.01</v>
      </c>
    </row>
    <row r="3859" spans="1:10" x14ac:dyDescent="0.3">
      <c r="A3859" t="str">
        <f>HYPERLINK("https://us2.cloudbeds.com/connect/10074733072513#/reservations/31681031594183?display=MHC0Q0BYZ&amp;reservation_id=31681031594183", "MHC0Q0BYZ")</f>
        <v>MHC0Q0BYZ</v>
      </c>
      <c r="B3859" t="s">
        <v>10</v>
      </c>
      <c r="C3859" t="s">
        <v>42</v>
      </c>
      <c r="D3859" t="str">
        <f>HYPERLINK("https://us2.cloudbeds.com/connect/10074733072513#/reservations/31681031594183?display=Carmen%20Bussard&amp;reservation_id=31681031594183&amp;guest_id=30667831804106", "Carmen Bussard")</f>
        <v>Carmen Bussard</v>
      </c>
      <c r="E3859" t="s">
        <v>5273</v>
      </c>
      <c r="F3859" t="s">
        <v>5274</v>
      </c>
      <c r="G3859">
        <v>170.1</v>
      </c>
      <c r="H3859">
        <v>184.89</v>
      </c>
      <c r="I3859">
        <v>184.9</v>
      </c>
      <c r="J3859">
        <v>-0.01</v>
      </c>
    </row>
    <row r="3860" spans="1:10" x14ac:dyDescent="0.3">
      <c r="A3860" t="str">
        <f>HYPERLINK("https://us2.cloudbeds.com/connect/10074733072513#/reservations/31672924057766?display=MH5ZKH6Y1&amp;reservation_id=31672924057766", "MH5ZKH6Y1")</f>
        <v>MH5ZKH6Y1</v>
      </c>
      <c r="B3860" t="s">
        <v>10</v>
      </c>
      <c r="C3860" t="s">
        <v>20</v>
      </c>
      <c r="D3860" t="str">
        <f>HYPERLINK("https://us2.cloudbeds.com/connect/10074733072513#/reservations/31672924057766?display=Ruslan%20Cheremnykh&amp;reservation_id=31672924057766&amp;guest_id=31672924057761", "Ruslan Cheremnykh")</f>
        <v>Ruslan Cheremnykh</v>
      </c>
      <c r="E3860" t="s">
        <v>5276</v>
      </c>
      <c r="F3860" t="s">
        <v>4827</v>
      </c>
      <c r="G3860">
        <v>93.2</v>
      </c>
      <c r="H3860">
        <v>101.3</v>
      </c>
      <c r="I3860">
        <v>101.31</v>
      </c>
      <c r="J3860">
        <v>-0.01</v>
      </c>
    </row>
    <row r="3861" spans="1:10" x14ac:dyDescent="0.3">
      <c r="A3861" t="str">
        <f>HYPERLINK("https://us2.cloudbeds.com/connect/10074733072513#/reservations/31673108644023?display=MH5TB5JAW&amp;reservation_id=31673108644023", "MH5TB5JAW")</f>
        <v>MH5TB5JAW</v>
      </c>
      <c r="B3861" t="s">
        <v>10</v>
      </c>
      <c r="C3861" t="s">
        <v>11</v>
      </c>
      <c r="D3861" t="str">
        <f>HYPERLINK("https://us2.cloudbeds.com/connect/10074733072513#/reservations/31673108644023?display=Rashad%20Sultanaev&amp;reservation_id=31673108644023&amp;guest_id=31673108643971", "Rashad Sultanaev")</f>
        <v>Rashad Sultanaev</v>
      </c>
      <c r="E3861" t="s">
        <v>5287</v>
      </c>
      <c r="F3861" t="s">
        <v>5288</v>
      </c>
      <c r="G3861">
        <v>244.56</v>
      </c>
      <c r="H3861">
        <v>265.83</v>
      </c>
      <c r="I3861">
        <v>265.83999999999997</v>
      </c>
      <c r="J3861">
        <v>-0.01</v>
      </c>
    </row>
    <row r="3862" spans="1:10" x14ac:dyDescent="0.3">
      <c r="A3862" t="str">
        <f>HYPERLINK("https://us2.cloudbeds.com/connect/10074733072513#/reservations/31676858548463?display=MH8Q566ZS&amp;reservation_id=31676858548463", "MH8Q566ZS")</f>
        <v>MH8Q566ZS</v>
      </c>
      <c r="B3862" t="s">
        <v>10</v>
      </c>
      <c r="C3862" t="s">
        <v>17</v>
      </c>
      <c r="D3862" t="str">
        <f>HYPERLINK("https://us2.cloudbeds.com/connect/10074733072513#/reservations/31676858548463?display=Diane%20Reid&amp;reservation_id=31676858548463&amp;guest_id=31676858548458", "Diane Reid")</f>
        <v>Diane Reid</v>
      </c>
      <c r="E3862" t="s">
        <v>5291</v>
      </c>
      <c r="F3862" t="s">
        <v>5292</v>
      </c>
      <c r="G3862">
        <v>456.3</v>
      </c>
      <c r="H3862">
        <v>495.99</v>
      </c>
      <c r="I3862">
        <v>496</v>
      </c>
      <c r="J3862">
        <v>-0.01</v>
      </c>
    </row>
    <row r="3863" spans="1:10" x14ac:dyDescent="0.3">
      <c r="A3863" t="str">
        <f>HYPERLINK("https://us2.cloudbeds.com/connect/10074733072513#/reservations/31674317938867?display=MH6R7SWU9&amp;reservation_id=31674317938867", "MH6R7SWU9")</f>
        <v>MH6R7SWU9</v>
      </c>
      <c r="B3863" t="s">
        <v>10</v>
      </c>
      <c r="C3863" t="s">
        <v>20</v>
      </c>
      <c r="D3863" t="str">
        <f>HYPERLINK("https://us2.cloudbeds.com/connect/10074733072513#/reservations/31674317938867?display=Tamara%20And%20Ray%20Klein&amp;reservation_id=31674317938867&amp;guest_id=31674317938863", "Tamara And Ray Klein")</f>
        <v>Tamara And Ray Klein</v>
      </c>
      <c r="E3863" t="s">
        <v>5307</v>
      </c>
      <c r="F3863" t="s">
        <v>4611</v>
      </c>
      <c r="G3863">
        <v>118.15</v>
      </c>
      <c r="H3863">
        <v>128.41999999999999</v>
      </c>
      <c r="I3863">
        <v>128.43</v>
      </c>
      <c r="J3863">
        <v>-0.01</v>
      </c>
    </row>
    <row r="3864" spans="1:10" x14ac:dyDescent="0.3">
      <c r="A3864" t="str">
        <f>HYPERLINK("https://us2.cloudbeds.com/connect/10074733072513#/reservations/31676770578644?display=MH8NU0ACP&amp;reservation_id=31676770578644", "MH8NU0ACP")</f>
        <v>MH8NU0ACP</v>
      </c>
      <c r="B3864" t="s">
        <v>10</v>
      </c>
      <c r="C3864" t="s">
        <v>42</v>
      </c>
      <c r="D3864" t="str">
        <f>HYPERLINK("https://us2.cloudbeds.com/connect/10074733072513#/reservations/31676770578644?display=Sandy%20Jons&amp;reservation_id=31676770578644&amp;guest_id=31676770578639", "Sandy Jons")</f>
        <v>Sandy Jons</v>
      </c>
      <c r="E3864" t="s">
        <v>5308</v>
      </c>
      <c r="F3864" t="s">
        <v>5082</v>
      </c>
      <c r="G3864">
        <v>134.1</v>
      </c>
      <c r="H3864">
        <v>145.76</v>
      </c>
      <c r="I3864">
        <v>145.77000000000001</v>
      </c>
      <c r="J3864">
        <v>-0.01</v>
      </c>
    </row>
    <row r="3865" spans="1:10" x14ac:dyDescent="0.3">
      <c r="A3865" t="str">
        <f>HYPERLINK("https://us2.cloudbeds.com/connect/10074733072513#/reservations/31675363930287?display=MH7KVT88W&amp;reservation_id=31675363930287", "MH7KVT88W")</f>
        <v>MH7KVT88W</v>
      </c>
      <c r="B3865" t="s">
        <v>10</v>
      </c>
      <c r="C3865" t="s">
        <v>11</v>
      </c>
      <c r="D3865" t="str">
        <f>HYPERLINK("https://us2.cloudbeds.com/connect/10074733072513#/reservations/31675363930287?display=Aaron%20Spangenberg&amp;reservation_id=31675363930287&amp;guest_id=31675363930285", "Aaron Spangenberg")</f>
        <v>Aaron Spangenberg</v>
      </c>
      <c r="E3865" t="s">
        <v>5312</v>
      </c>
      <c r="F3865" t="s">
        <v>4825</v>
      </c>
      <c r="G3865">
        <v>134.1</v>
      </c>
      <c r="H3865">
        <v>145.76</v>
      </c>
      <c r="I3865">
        <v>145.77000000000001</v>
      </c>
      <c r="J3865">
        <v>-0.01</v>
      </c>
    </row>
    <row r="3866" spans="1:10" x14ac:dyDescent="0.3">
      <c r="A3866" t="str">
        <f>HYPERLINK("https://us2.cloudbeds.com/connect/10074733072513#/reservations/31678658760855?display=MHA655PBH&amp;reservation_id=31678658760855", "MHA655PBH")</f>
        <v>MHA655PBH</v>
      </c>
      <c r="B3866" t="s">
        <v>10</v>
      </c>
      <c r="C3866" t="s">
        <v>42</v>
      </c>
      <c r="D3866" t="str">
        <f>HYPERLINK("https://us2.cloudbeds.com/connect/10074733072513#/reservations/31678658760855?display=Jason%20Burhoop&amp;reservation_id=31678658760855&amp;guest_id=31678651920620", "Jason Burhoop")</f>
        <v>Jason Burhoop</v>
      </c>
      <c r="E3866" t="s">
        <v>5322</v>
      </c>
      <c r="F3866" t="s">
        <v>5265</v>
      </c>
      <c r="G3866">
        <v>250.2</v>
      </c>
      <c r="H3866">
        <v>271.95999999999998</v>
      </c>
      <c r="I3866">
        <v>271.97000000000003</v>
      </c>
      <c r="J3866">
        <v>-0.01</v>
      </c>
    </row>
    <row r="3867" spans="1:10" x14ac:dyDescent="0.3">
      <c r="A3867" t="str">
        <f>HYPERLINK("https://us2.cloudbeds.com/connect/10074733072513#/reservations/31676882804942?display=MH8QPY5RM&amp;reservation_id=31676882804942", "MH8QPY5RM")</f>
        <v>MH8QPY5RM</v>
      </c>
      <c r="B3867" t="s">
        <v>10</v>
      </c>
      <c r="C3867" t="s">
        <v>14</v>
      </c>
      <c r="D3867" t="str">
        <f>HYPERLINK("https://us2.cloudbeds.com/connect/10074733072513#/reservations/31676882804942?display=Kathy%20Overaas&amp;reservation_id=31676882804942&amp;guest_id=31676875792547", "Kathy Overaas")</f>
        <v>Kathy Overaas</v>
      </c>
      <c r="E3867" t="s">
        <v>5327</v>
      </c>
      <c r="F3867" t="s">
        <v>5029</v>
      </c>
      <c r="G3867">
        <v>134.1</v>
      </c>
      <c r="H3867">
        <v>145.76</v>
      </c>
      <c r="I3867">
        <v>145.77000000000001</v>
      </c>
      <c r="J3867">
        <v>-0.01</v>
      </c>
    </row>
    <row r="3868" spans="1:10" x14ac:dyDescent="0.3">
      <c r="A3868" t="str">
        <f>HYPERLINK("https://us2.cloudbeds.com/connect/10074733072513#/reservations/31675171172598?display=MH7G1BFVT&amp;reservation_id=31675171172598", "MH7G1BFVT")</f>
        <v>MH7G1BFVT</v>
      </c>
      <c r="B3868" t="s">
        <v>10</v>
      </c>
      <c r="C3868" t="s">
        <v>14</v>
      </c>
      <c r="D3868" t="str">
        <f>HYPERLINK("https://us2.cloudbeds.com/connect/10074733072513#/reservations/31675171172598?display=Jeff%20Gaskell&amp;reservation_id=31675171172598&amp;guest_id=31675171172593", "Jeff Gaskell")</f>
        <v>Jeff Gaskell</v>
      </c>
      <c r="E3868" t="s">
        <v>5330</v>
      </c>
      <c r="F3868" t="s">
        <v>5331</v>
      </c>
      <c r="G3868">
        <v>87.2</v>
      </c>
      <c r="H3868">
        <v>94.78</v>
      </c>
      <c r="I3868">
        <v>94.79</v>
      </c>
      <c r="J3868">
        <v>-0.01</v>
      </c>
    </row>
    <row r="3869" spans="1:10" x14ac:dyDescent="0.3">
      <c r="A3869" t="str">
        <f>HYPERLINK("https://us2.cloudbeds.com/connect/10074733072513#/reservations/31673167859914?display=MH5US3BNU&amp;reservation_id=31673167859914", "MH5US3BNU")</f>
        <v>MH5US3BNU</v>
      </c>
      <c r="B3869" t="s">
        <v>10</v>
      </c>
      <c r="C3869" t="s">
        <v>42</v>
      </c>
      <c r="D3869" t="str">
        <f>HYPERLINK("https://us2.cloudbeds.com/connect/10074733072513#/reservations/31673167859914?display=Gavin%20Gangwish&amp;reservation_id=31673167859914&amp;guest_id=31673157492894", "Gavin Gangwish")</f>
        <v>Gavin Gangwish</v>
      </c>
      <c r="E3869" t="s">
        <v>4063</v>
      </c>
      <c r="F3869" t="s">
        <v>5336</v>
      </c>
      <c r="G3869">
        <v>196.2</v>
      </c>
      <c r="H3869">
        <v>213.26</v>
      </c>
      <c r="I3869">
        <v>213.27</v>
      </c>
      <c r="J3869">
        <v>-0.01</v>
      </c>
    </row>
    <row r="3870" spans="1:10" x14ac:dyDescent="0.3">
      <c r="A3870" t="str">
        <f>HYPERLINK("https://us2.cloudbeds.com/connect/10074733072513#/reservations/31676167037139?display=MH88G2T48&amp;reservation_id=31676167037139", "MH88G2T48")</f>
        <v>MH88G2T48</v>
      </c>
      <c r="B3870" t="s">
        <v>10</v>
      </c>
      <c r="C3870" t="s">
        <v>11</v>
      </c>
      <c r="D3870" t="str">
        <f>HYPERLINK("https://us2.cloudbeds.com/connect/10074733072513#/reservations/31676167037139?display=Joni%20Yam&amp;reservation_id=31676167037139&amp;guest_id=31676167037137", "Joni Yam")</f>
        <v>Joni Yam</v>
      </c>
      <c r="E3870" t="s">
        <v>5337</v>
      </c>
      <c r="F3870" t="s">
        <v>5338</v>
      </c>
      <c r="G3870">
        <v>344.4</v>
      </c>
      <c r="H3870">
        <v>374.35</v>
      </c>
      <c r="I3870">
        <v>374.36</v>
      </c>
      <c r="J3870">
        <v>-0.01</v>
      </c>
    </row>
    <row r="3871" spans="1:10" x14ac:dyDescent="0.3">
      <c r="A3871" t="str">
        <f>HYPERLINK("https://us2.cloudbeds.com/connect/10074733072513#/reservations/31675612168336?display=MH7RA6RZ2&amp;reservation_id=31675612168336", "MH7RA6RZ2")</f>
        <v>MH7RA6RZ2</v>
      </c>
      <c r="B3871" t="s">
        <v>10</v>
      </c>
      <c r="C3871" t="s">
        <v>20</v>
      </c>
      <c r="D3871" t="str">
        <f>HYPERLINK("https://us2.cloudbeds.com/connect/10074733072513#/reservations/31675612168336?display=Krista%20Weber&amp;reservation_id=31675612168336&amp;guest_id=31675612164248", "Krista Weber")</f>
        <v>Krista Weber</v>
      </c>
      <c r="E3871" t="s">
        <v>5339</v>
      </c>
      <c r="F3871" t="s">
        <v>5340</v>
      </c>
      <c r="G3871">
        <v>93.2</v>
      </c>
      <c r="H3871">
        <v>101.3</v>
      </c>
      <c r="I3871">
        <v>101.31</v>
      </c>
      <c r="J3871">
        <v>-0.01</v>
      </c>
    </row>
    <row r="3872" spans="1:10" x14ac:dyDescent="0.3">
      <c r="A3872" t="str">
        <f>HYPERLINK("https://us2.cloudbeds.com/connect/10074733072513#/reservations/31676890378400?display=MH8QW0UBD&amp;reservation_id=31676890378400", "MH8QW0UBD")</f>
        <v>MH8QW0UBD</v>
      </c>
      <c r="B3872" t="s">
        <v>10</v>
      </c>
      <c r="C3872" t="s">
        <v>14</v>
      </c>
      <c r="D3872" t="str">
        <f>HYPERLINK("https://us2.cloudbeds.com/connect/10074733072513#/reservations/31676890378400?display=Lindsey%20Garvin&amp;reservation_id=31676890378400&amp;guest_id=31676890378388", "Lindsey Garvin")</f>
        <v>Lindsey Garvin</v>
      </c>
      <c r="E3872" t="s">
        <v>5327</v>
      </c>
      <c r="F3872" t="s">
        <v>5029</v>
      </c>
      <c r="G3872">
        <v>134.1</v>
      </c>
      <c r="H3872">
        <v>145.76</v>
      </c>
      <c r="I3872">
        <v>145.77000000000001</v>
      </c>
      <c r="J3872">
        <v>-0.01</v>
      </c>
    </row>
    <row r="3873" spans="1:10" x14ac:dyDescent="0.3">
      <c r="A3873" t="str">
        <f>HYPERLINK("https://us2.cloudbeds.com/connect/10074733072513#/reservations/31675430969501?display=MH7MMDNKA&amp;reservation_id=31675430969501", "MH7MMDNKA")</f>
        <v>MH7MMDNKA</v>
      </c>
      <c r="B3873" t="s">
        <v>10</v>
      </c>
      <c r="C3873" t="s">
        <v>121</v>
      </c>
      <c r="D3873" t="str">
        <f>HYPERLINK("https://us2.cloudbeds.com/connect/10074733072513#/reservations/31675430969501?display=Dannie%20Vaughin&amp;reservation_id=31675430969501&amp;guest_id=31675430965416", "Dannie Vaughin")</f>
        <v>Dannie Vaughin</v>
      </c>
      <c r="E3873" t="s">
        <v>5341</v>
      </c>
      <c r="F3873" t="s">
        <v>4611</v>
      </c>
      <c r="G3873">
        <v>134.1</v>
      </c>
      <c r="H3873">
        <v>145.76</v>
      </c>
      <c r="I3873">
        <v>145.77000000000001</v>
      </c>
      <c r="J3873">
        <v>-0.01</v>
      </c>
    </row>
    <row r="3874" spans="1:10" x14ac:dyDescent="0.3">
      <c r="A3874" t="str">
        <f>HYPERLINK("https://us2.cloudbeds.com/connect/10074733072513#/reservations/31673211396233?display=MH5VVQQWA&amp;reservation_id=31673211396233", "MH5VVQQWA")</f>
        <v>MH5VVQQWA</v>
      </c>
      <c r="B3874" t="s">
        <v>10</v>
      </c>
      <c r="C3874" t="s">
        <v>14</v>
      </c>
      <c r="D3874" t="str">
        <f>HYPERLINK("https://us2.cloudbeds.com/connect/10074733072513#/reservations/31673211396233?display=Nathan%20Maher&amp;reservation_id=31673211396233&amp;guest_id=31673205891298", "Nathan Maher")</f>
        <v>Nathan Maher</v>
      </c>
      <c r="E3874" t="s">
        <v>5343</v>
      </c>
      <c r="F3874" t="s">
        <v>5297</v>
      </c>
      <c r="G3874">
        <v>196.2</v>
      </c>
      <c r="H3874">
        <v>213.26</v>
      </c>
      <c r="I3874">
        <v>213.27</v>
      </c>
      <c r="J3874">
        <v>-0.01</v>
      </c>
    </row>
    <row r="3875" spans="1:10" x14ac:dyDescent="0.3">
      <c r="A3875" t="str">
        <f>HYPERLINK("https://us2.cloudbeds.com/connect/10074733072513#/reservations/31673296453830?display=MH614HM48&amp;reservation_id=31673296453830", "MH614HM48")</f>
        <v>MH614HM48</v>
      </c>
      <c r="B3875" t="s">
        <v>10</v>
      </c>
      <c r="C3875" t="s">
        <v>11</v>
      </c>
      <c r="D3875" t="str">
        <f>HYPERLINK("https://us2.cloudbeds.com/connect/10074733072513#/reservations/31673296453830?display=Ole%20Johnson&amp;reservation_id=31673296453830&amp;guest_id=31673134194914", "Ole Johnson")</f>
        <v>Ole Johnson</v>
      </c>
      <c r="E3875" t="s">
        <v>5014</v>
      </c>
      <c r="F3875" t="s">
        <v>5161</v>
      </c>
      <c r="G3875">
        <v>174.4</v>
      </c>
      <c r="H3875">
        <v>189.56</v>
      </c>
      <c r="I3875">
        <v>189.57</v>
      </c>
      <c r="J3875">
        <v>-0.01</v>
      </c>
    </row>
    <row r="3876" spans="1:10" x14ac:dyDescent="0.3">
      <c r="A3876" t="str">
        <f>HYPERLINK("https://us2.cloudbeds.com/connect/10074733072513#/reservations/31673174519953?display=MH5V0NMF9&amp;reservation_id=31673174519953", "MH5V0NMF9")</f>
        <v>MH5V0NMF9</v>
      </c>
      <c r="B3876" t="s">
        <v>10</v>
      </c>
      <c r="C3876" t="s">
        <v>42</v>
      </c>
      <c r="D3876" t="str">
        <f>HYPERLINK("https://us2.cloudbeds.com/connect/10074733072513#/reservations/31673174519953?display=Tad%20Roccaro&amp;reservation_id=31673174519953&amp;guest_id=31673174515873", "Tad Roccaro")</f>
        <v>Tad Roccaro</v>
      </c>
      <c r="E3876" t="s">
        <v>5349</v>
      </c>
      <c r="F3876" t="s">
        <v>5297</v>
      </c>
      <c r="G3876">
        <v>196.2</v>
      </c>
      <c r="H3876">
        <v>213.26</v>
      </c>
      <c r="I3876">
        <v>213.27</v>
      </c>
      <c r="J3876">
        <v>-0.01</v>
      </c>
    </row>
    <row r="3877" spans="1:10" x14ac:dyDescent="0.3">
      <c r="A3877" t="str">
        <f>HYPERLINK("https://us2.cloudbeds.com/connect/10074733072513#/reservations/31678601187484?display=MHA4MKN7U&amp;reservation_id=31678601187484", "MHA4MKN7U")</f>
        <v>MHA4MKN7U</v>
      </c>
      <c r="B3877" t="s">
        <v>10</v>
      </c>
      <c r="C3877" t="s">
        <v>11</v>
      </c>
      <c r="D3877" t="str">
        <f>HYPERLINK("https://us2.cloudbeds.com/connect/10074733072513#/reservations/31678601187484?display=Shane%20Andrew%20Chinn&amp;reservation_id=31678601187484&amp;guest_id=31678601187468", "Shane Andrew Chinn")</f>
        <v>Shane Andrew Chinn</v>
      </c>
      <c r="E3877" t="s">
        <v>1319</v>
      </c>
      <c r="F3877" t="s">
        <v>5329</v>
      </c>
      <c r="G3877">
        <v>94.16</v>
      </c>
      <c r="H3877">
        <v>102.34</v>
      </c>
      <c r="I3877">
        <v>102.35</v>
      </c>
      <c r="J3877">
        <v>-0.01</v>
      </c>
    </row>
    <row r="3878" spans="1:10" x14ac:dyDescent="0.3">
      <c r="A3878" t="str">
        <f>HYPERLINK("https://us2.cloudbeds.com/connect/10074733072513#/reservations/31676787007715?display=MH8ZASFPD&amp;reservation_id=31676787007715", "MH8ZASFPD")</f>
        <v>MH8ZASFPD</v>
      </c>
      <c r="B3878" t="s">
        <v>10</v>
      </c>
      <c r="C3878" t="s">
        <v>11</v>
      </c>
      <c r="D3878" t="str">
        <f>HYPERLINK("https://us2.cloudbeds.com/connect/10074733072513#/reservations/31676787007715?display=John%20E%20Benson&amp;reservation_id=31676787007715&amp;guest_id=31676787007709", "John E Benson")</f>
        <v>John E Benson</v>
      </c>
      <c r="E3878" t="s">
        <v>4775</v>
      </c>
      <c r="F3878" t="s">
        <v>5082</v>
      </c>
      <c r="G3878">
        <v>94.16</v>
      </c>
      <c r="H3878">
        <v>102.34</v>
      </c>
      <c r="I3878">
        <v>102.35</v>
      </c>
      <c r="J3878">
        <v>-0.01</v>
      </c>
    </row>
    <row r="3879" spans="1:10" x14ac:dyDescent="0.3">
      <c r="A3879" t="str">
        <f>HYPERLINK("https://us2.cloudbeds.com/connect/10074733072513#/reservations/31677757935867?display=MH9G4XWGK&amp;reservation_id=31677757935867", "MH9G4XWGK")</f>
        <v>MH9G4XWGK</v>
      </c>
      <c r="B3879" t="s">
        <v>10</v>
      </c>
      <c r="C3879" t="s">
        <v>14</v>
      </c>
      <c r="D3879" t="str">
        <f>HYPERLINK("https://us2.cloudbeds.com/connect/10074733072513#/reservations/31677757935867?display=Teri%20Shaw&amp;reservation_id=31677757935867&amp;guest_id=31677757935862", "Teri Shaw")</f>
        <v>Teri Shaw</v>
      </c>
      <c r="E3879" t="s">
        <v>4159</v>
      </c>
      <c r="F3879" t="s">
        <v>5355</v>
      </c>
      <c r="G3879">
        <v>268.2</v>
      </c>
      <c r="H3879">
        <v>291.52</v>
      </c>
      <c r="I3879">
        <v>291.52999999999997</v>
      </c>
      <c r="J3879">
        <v>-0.01</v>
      </c>
    </row>
    <row r="3880" spans="1:10" x14ac:dyDescent="0.3">
      <c r="A3880" t="str">
        <f>HYPERLINK("https://us2.cloudbeds.com/connect/10074733072513#/reservations/31676595257554?display=MH8JE5ZYF&amp;reservation_id=31676595257554", "MH8JE5ZYF")</f>
        <v>MH8JE5ZYF</v>
      </c>
      <c r="B3880" t="s">
        <v>10</v>
      </c>
      <c r="C3880" t="s">
        <v>20</v>
      </c>
      <c r="D3880" t="str">
        <f>HYPERLINK("https://us2.cloudbeds.com/connect/10074733072513#/reservations/31676595257554?display=Richard%20Sky&amp;reservation_id=31676595257554&amp;guest_id=31676583133331", "Richard Sky")</f>
        <v>Richard Sky</v>
      </c>
      <c r="E3880" t="s">
        <v>5360</v>
      </c>
      <c r="F3880" t="s">
        <v>5082</v>
      </c>
      <c r="G3880">
        <v>134.1</v>
      </c>
      <c r="H3880">
        <v>145.76</v>
      </c>
      <c r="I3880">
        <v>145.77000000000001</v>
      </c>
      <c r="J3880">
        <v>-0.01</v>
      </c>
    </row>
    <row r="3881" spans="1:10" x14ac:dyDescent="0.3">
      <c r="A3881" t="str">
        <f>HYPERLINK("https://us2.cloudbeds.com/connect/10074733072513#/reservations/31674408186050?display=MH6THW8HD&amp;reservation_id=31674408186050", "MH6THW8HD")</f>
        <v>MH6THW8HD</v>
      </c>
      <c r="B3881" t="s">
        <v>10</v>
      </c>
      <c r="C3881" t="s">
        <v>14</v>
      </c>
      <c r="D3881" t="str">
        <f>HYPERLINK("https://us2.cloudbeds.com/connect/10074733072513#/reservations/31674408186050?display=Catherine%20Friesen&amp;reservation_id=31674408186050&amp;guest_id=31674408181966", "Catherine Friesen")</f>
        <v>Catherine Friesen</v>
      </c>
      <c r="E3881" t="s">
        <v>5361</v>
      </c>
      <c r="F3881" t="s">
        <v>5297</v>
      </c>
      <c r="G3881">
        <v>72.72</v>
      </c>
      <c r="H3881">
        <v>79.040000000000006</v>
      </c>
      <c r="I3881">
        <v>79.05</v>
      </c>
      <c r="J3881">
        <v>-0.01</v>
      </c>
    </row>
    <row r="3882" spans="1:10" x14ac:dyDescent="0.3">
      <c r="A3882" t="str">
        <f>HYPERLINK("https://us2.cloudbeds.com/connect/10074733072513#/reservations/31674108108950?display=MH6YSV5KV&amp;reservation_id=31674108108950", "MH6YSV5KV")</f>
        <v>MH6YSV5KV</v>
      </c>
      <c r="B3882" t="s">
        <v>10</v>
      </c>
      <c r="C3882" t="s">
        <v>20</v>
      </c>
      <c r="D3882" t="str">
        <f>HYPERLINK("https://us2.cloudbeds.com/connect/10074733072513#/reservations/31674108108950?display=Jeanne%20Waters&amp;reservation_id=31674108108950&amp;guest_id=31674108104857", "Jeanne Waters")</f>
        <v>Jeanne Waters</v>
      </c>
      <c r="E3882" t="s">
        <v>5370</v>
      </c>
      <c r="F3882" t="s">
        <v>5172</v>
      </c>
      <c r="G3882">
        <v>250.2</v>
      </c>
      <c r="H3882">
        <v>271.95999999999998</v>
      </c>
      <c r="I3882">
        <v>271.97000000000003</v>
      </c>
      <c r="J3882">
        <v>-0.01</v>
      </c>
    </row>
    <row r="3883" spans="1:10" x14ac:dyDescent="0.3">
      <c r="A3883" t="str">
        <f>HYPERLINK("https://us2.cloudbeds.com/connect/10074733072513#/reservations/31677463486655?display=MH98K9GX7&amp;reservation_id=31677463486655", "MH98K9GX7")</f>
        <v>MH98K9GX7</v>
      </c>
      <c r="B3883" t="s">
        <v>10</v>
      </c>
      <c r="C3883" t="s">
        <v>20</v>
      </c>
      <c r="D3883" t="str">
        <f>HYPERLINK("https://us2.cloudbeds.com/connect/10074733072513#/reservations/31677463486655?display=Kristine%20Didonato&amp;reservation_id=31677463486655&amp;guest_id=31677463486643", "Kristine Didonato")</f>
        <v>Kristine Didonato</v>
      </c>
      <c r="E3883" t="s">
        <v>5374</v>
      </c>
      <c r="F3883" t="s">
        <v>4164</v>
      </c>
      <c r="G3883">
        <v>143.65</v>
      </c>
      <c r="H3883">
        <v>156.13999999999999</v>
      </c>
      <c r="I3883">
        <v>156.15</v>
      </c>
      <c r="J3883">
        <v>-0.01</v>
      </c>
    </row>
    <row r="3884" spans="1:10" x14ac:dyDescent="0.3">
      <c r="A3884" t="str">
        <f>HYPERLINK("https://us2.cloudbeds.com/connect/10074733072513#/reservations/31674418872503?display=MH6TQWKKA&amp;reservation_id=31674418872503", "MH6TQWKKA")</f>
        <v>MH6TQWKKA</v>
      </c>
      <c r="B3884" t="s">
        <v>10</v>
      </c>
      <c r="C3884" t="s">
        <v>42</v>
      </c>
      <c r="D3884" t="str">
        <f>HYPERLINK("https://us2.cloudbeds.com/connect/10074733072513#/reservations/31674418872503?display=Sadeo%20Yates&amp;reservation_id=31674418872503&amp;guest_id=31674418872451", "Sadeo Yates")</f>
        <v>Sadeo Yates</v>
      </c>
      <c r="E3884" t="s">
        <v>5378</v>
      </c>
      <c r="F3884" t="s">
        <v>4672</v>
      </c>
      <c r="G3884">
        <v>134.1</v>
      </c>
      <c r="H3884">
        <v>145.76</v>
      </c>
      <c r="I3884">
        <v>145.77000000000001</v>
      </c>
      <c r="J3884">
        <v>-0.01</v>
      </c>
    </row>
    <row r="3885" spans="1:10" x14ac:dyDescent="0.3">
      <c r="A3885" t="str">
        <f>HYPERLINK("https://us2.cloudbeds.com/connect/10074733072513#/reservations/31675209756876?display=MH7H0T4TE&amp;reservation_id=31675209756876", "MH7H0T4TE")</f>
        <v>MH7H0T4TE</v>
      </c>
      <c r="B3885" t="s">
        <v>10</v>
      </c>
      <c r="C3885" t="s">
        <v>42</v>
      </c>
      <c r="D3885" t="str">
        <f>HYPERLINK("https://us2.cloudbeds.com/connect/10074733072513#/reservations/31675209756876?display=Clint%20Hall&amp;reservation_id=31675209756876&amp;guest_id=31675209756874", "Clint Hall")</f>
        <v>Clint Hall</v>
      </c>
      <c r="E3885" t="s">
        <v>1118</v>
      </c>
      <c r="F3885" t="s">
        <v>5329</v>
      </c>
      <c r="G3885">
        <v>134.1</v>
      </c>
      <c r="H3885">
        <v>145.76</v>
      </c>
      <c r="I3885">
        <v>145.77000000000001</v>
      </c>
      <c r="J3885">
        <v>-0.01</v>
      </c>
    </row>
    <row r="3886" spans="1:10" x14ac:dyDescent="0.3">
      <c r="A3886" t="str">
        <f>HYPERLINK("https://us2.cloudbeds.com/connect/10074733072513#/reservations/31677750509734?display=MH9FVAB99&amp;reservation_id=31677750509734", "MH9FVAB99")</f>
        <v>MH9FVAB99</v>
      </c>
      <c r="B3886" t="s">
        <v>10</v>
      </c>
      <c r="C3886" t="s">
        <v>42</v>
      </c>
      <c r="D3886" t="str">
        <f>HYPERLINK("https://us2.cloudbeds.com/connect/10074733072513#/reservations/31677750509734?display=Mary%20Paradeis&amp;reservation_id=31677750509734&amp;guest_id=30663549907083", "Mary Paradeis")</f>
        <v>Mary Paradeis</v>
      </c>
      <c r="E3886" t="s">
        <v>285</v>
      </c>
      <c r="F3886" t="s">
        <v>5355</v>
      </c>
      <c r="G3886">
        <v>134.1</v>
      </c>
      <c r="H3886">
        <v>145.76</v>
      </c>
      <c r="I3886">
        <v>145.77000000000001</v>
      </c>
      <c r="J3886">
        <v>-0.01</v>
      </c>
    </row>
    <row r="3887" spans="1:10" x14ac:dyDescent="0.3">
      <c r="A3887" t="str">
        <f>HYPERLINK("https://us2.cloudbeds.com/connect/10074733072513#/reservations/31675740147926?display=MH7UJ420G&amp;reservation_id=31675740147926", "MH7UJ420G")</f>
        <v>MH7UJ420G</v>
      </c>
      <c r="B3887" t="s">
        <v>10</v>
      </c>
      <c r="C3887" t="s">
        <v>42</v>
      </c>
      <c r="D3887" t="str">
        <f>HYPERLINK("https://us2.cloudbeds.com/connect/10074733072513#/reservations/31675740147926?display=Clint%20Hall&amp;reservation_id=31675740147926&amp;guest_id=30654845329596", "Clint Hall")</f>
        <v>Clint Hall</v>
      </c>
      <c r="E3887" t="s">
        <v>1118</v>
      </c>
      <c r="F3887" t="s">
        <v>4346</v>
      </c>
      <c r="G3887">
        <v>134.1</v>
      </c>
      <c r="H3887">
        <v>145.76</v>
      </c>
      <c r="I3887">
        <v>145.77000000000001</v>
      </c>
      <c r="J3887">
        <v>-0.01</v>
      </c>
    </row>
    <row r="3888" spans="1:10" x14ac:dyDescent="0.3">
      <c r="A3888" t="str">
        <f>HYPERLINK("https://us2.cloudbeds.com/connect/10074733072513#/reservations/31676491645088?display=MH8GPQJ1P&amp;reservation_id=31676491645088", "MH8GPQJ1P")</f>
        <v>MH8GPQJ1P</v>
      </c>
      <c r="B3888" t="s">
        <v>10</v>
      </c>
      <c r="C3888" t="s">
        <v>20</v>
      </c>
      <c r="D3888" t="str">
        <f>HYPERLINK("https://us2.cloudbeds.com/connect/10074733072513#/reservations/31676491645088?display=Sarah%20Worden&amp;reservation_id=31676491645088&amp;guest_id=31676491645086", "Sarah Worden")</f>
        <v>Sarah Worden</v>
      </c>
      <c r="E3888" t="s">
        <v>5381</v>
      </c>
      <c r="F3888" t="s">
        <v>4829</v>
      </c>
      <c r="G3888">
        <v>93.2</v>
      </c>
      <c r="H3888">
        <v>101.3</v>
      </c>
      <c r="I3888">
        <v>101.31</v>
      </c>
      <c r="J3888">
        <v>-0.01</v>
      </c>
    </row>
    <row r="3889" spans="1:10" x14ac:dyDescent="0.3">
      <c r="A3889" t="str">
        <f>HYPERLINK("https://us2.cloudbeds.com/connect/10074733072513#/reservations/31681002279080?display=MHC019KCA&amp;reservation_id=31681002279080", "MHC019KCA")</f>
        <v>MHC019KCA</v>
      </c>
      <c r="B3889" t="s">
        <v>10</v>
      </c>
      <c r="C3889" t="s">
        <v>42</v>
      </c>
      <c r="D3889" t="str">
        <f>HYPERLINK("https://us2.cloudbeds.com/connect/10074733072513#/reservations/31681002279080?display=Tom%20Bussard&amp;reservation_id=31681002279080&amp;guest_id=31680992350401", "Tom Bussard")</f>
        <v>Tom Bussard</v>
      </c>
      <c r="E3889" t="s">
        <v>5384</v>
      </c>
      <c r="F3889" t="s">
        <v>5274</v>
      </c>
      <c r="G3889">
        <v>276.2</v>
      </c>
      <c r="H3889">
        <v>300.22000000000003</v>
      </c>
      <c r="I3889">
        <v>300.23</v>
      </c>
      <c r="J3889">
        <v>-0.01</v>
      </c>
    </row>
    <row r="3890" spans="1:10" x14ac:dyDescent="0.3">
      <c r="A3890" t="str">
        <f>HYPERLINK("https://us2.cloudbeds.com/connect/10074733072513#/reservations/31677031788777?display=MH8UJ8SPA&amp;reservation_id=31677031788777", "MH8UJ8SPA")</f>
        <v>MH8UJ8SPA</v>
      </c>
      <c r="B3890" t="s">
        <v>10</v>
      </c>
      <c r="C3890" t="s">
        <v>11</v>
      </c>
      <c r="D3890" t="str">
        <f>HYPERLINK("https://us2.cloudbeds.com/connect/10074733072513#/reservations/31677031788777?display=Paula%20Stephens&amp;reservation_id=31677031788777&amp;guest_id=31677031788758", "Paula Stephens")</f>
        <v>Paula Stephens</v>
      </c>
      <c r="E3890" t="s">
        <v>5385</v>
      </c>
      <c r="F3890" t="s">
        <v>5200</v>
      </c>
      <c r="G3890">
        <v>141.49</v>
      </c>
      <c r="H3890">
        <v>153.79</v>
      </c>
      <c r="I3890">
        <v>153.80000000000001</v>
      </c>
      <c r="J3890">
        <v>-0.01</v>
      </c>
    </row>
    <row r="3891" spans="1:10" x14ac:dyDescent="0.3">
      <c r="A3891" t="str">
        <f>HYPERLINK("https://us2.cloudbeds.com/connect/10074733072513#/reservations/31675227189443?display=MH7HFJ7P1&amp;reservation_id=31675227189443", "MH7HFJ7P1")</f>
        <v>MH7HFJ7P1</v>
      </c>
      <c r="B3891" t="s">
        <v>10</v>
      </c>
      <c r="C3891" t="s">
        <v>42</v>
      </c>
      <c r="D3891" t="str">
        <f>HYPERLINK("https://us2.cloudbeds.com/connect/10074733072513#/reservations/31675227189443?display=Barbra%20A%20Panitzke&amp;reservation_id=31675227189443&amp;guest_id=31675227185395", "Barbra A Panitzke")</f>
        <v>Barbra A Panitzke</v>
      </c>
      <c r="E3891" t="s">
        <v>5387</v>
      </c>
      <c r="F3891" t="s">
        <v>5329</v>
      </c>
      <c r="G3891">
        <v>134.1</v>
      </c>
      <c r="H3891">
        <v>145.76</v>
      </c>
      <c r="I3891">
        <v>145.77000000000001</v>
      </c>
      <c r="J3891">
        <v>-0.01</v>
      </c>
    </row>
    <row r="3892" spans="1:10" x14ac:dyDescent="0.3">
      <c r="A3892" t="str">
        <f>HYPERLINK("https://us2.cloudbeds.com/connect/10074733072513#/reservations/31673780834516?display=MH6DGW94S&amp;reservation_id=31673780834516", "MH6DGW94S")</f>
        <v>MH6DGW94S</v>
      </c>
      <c r="B3892" t="s">
        <v>10</v>
      </c>
      <c r="C3892" t="s">
        <v>14</v>
      </c>
      <c r="D3892" t="str">
        <f>HYPERLINK("https://us2.cloudbeds.com/connect/10074733072513#/reservations/31673780834516?display=Kyle%20Wayne&amp;reservation_id=31673780834516&amp;guest_id=31673780834511", "Kyle Wayne")</f>
        <v>Kyle Wayne</v>
      </c>
      <c r="E3892" t="s">
        <v>5391</v>
      </c>
      <c r="F3892" t="s">
        <v>4904</v>
      </c>
      <c r="G3892">
        <v>72.72</v>
      </c>
      <c r="H3892">
        <v>79.040000000000006</v>
      </c>
      <c r="I3892">
        <v>79.05</v>
      </c>
      <c r="J3892">
        <v>-0.01</v>
      </c>
    </row>
    <row r="3893" spans="1:10" x14ac:dyDescent="0.3">
      <c r="A3893" t="str">
        <f>HYPERLINK("https://us2.cloudbeds.com/connect/10074733072513#/reservations/31673845125274?display=MH6F568YH&amp;reservation_id=31673845125274", "MH6F568YH")</f>
        <v>MH6F568YH</v>
      </c>
      <c r="B3893" t="s">
        <v>10</v>
      </c>
      <c r="C3893" t="s">
        <v>20</v>
      </c>
      <c r="D3893" t="str">
        <f>HYPERLINK("https://us2.cloudbeds.com/connect/10074733072513#/reservations/31673845125274?display=Andrew%20Tonkin&amp;reservation_id=31673845125274&amp;guest_id=31673845121183", "Andrew Tonkin")</f>
        <v>Andrew Tonkin</v>
      </c>
      <c r="E3893" t="s">
        <v>5392</v>
      </c>
      <c r="F3893" t="s">
        <v>4904</v>
      </c>
      <c r="G3893">
        <v>93.2</v>
      </c>
      <c r="H3893">
        <v>101.3</v>
      </c>
      <c r="I3893">
        <v>101.31</v>
      </c>
      <c r="J3893">
        <v>-0.01</v>
      </c>
    </row>
    <row r="3894" spans="1:10" x14ac:dyDescent="0.3">
      <c r="A3894" t="str">
        <f>HYPERLINK("https://us2.cloudbeds.com/connect/10074733072513#/reservations/31674129879257?display=MH6ME9VZ7&amp;reservation_id=31674129879257", "MH6ME9VZ7")</f>
        <v>MH6ME9VZ7</v>
      </c>
      <c r="B3894" t="s">
        <v>10</v>
      </c>
      <c r="C3894" t="s">
        <v>20</v>
      </c>
      <c r="D3894" t="str">
        <f>HYPERLINK("https://us2.cloudbeds.com/connect/10074733072513#/reservations/31674129879257?display=Jeremy%20Robinson&amp;reservation_id=31674129879257&amp;guest_id=31674129875173", "Jeremy Robinson")</f>
        <v>Jeremy Robinson</v>
      </c>
      <c r="E3894" t="s">
        <v>5396</v>
      </c>
      <c r="F3894" t="s">
        <v>5172</v>
      </c>
      <c r="G3894">
        <v>134.1</v>
      </c>
      <c r="H3894">
        <v>145.76</v>
      </c>
      <c r="I3894">
        <v>145.77000000000001</v>
      </c>
      <c r="J3894">
        <v>-0.01</v>
      </c>
    </row>
    <row r="3895" spans="1:10" x14ac:dyDescent="0.3">
      <c r="A3895" t="str">
        <f>HYPERLINK("https://us2.cloudbeds.com/connect/10074733072513#/reservations/31682087772300?display=MHCRPK267&amp;reservation_id=31682087772300", "MHCRPK267")</f>
        <v>MHCRPK267</v>
      </c>
      <c r="B3895" t="s">
        <v>10</v>
      </c>
      <c r="C3895" t="s">
        <v>20</v>
      </c>
      <c r="D3895" t="str">
        <f>HYPERLINK("https://us2.cloudbeds.com/connect/10074733072513#/reservations/31682087772300?display=James%20Czarnecki&amp;reservation_id=31682087772300&amp;guest_id=31682082009331", "James Czarnecki")</f>
        <v>James Czarnecki</v>
      </c>
      <c r="E3895" t="s">
        <v>5404</v>
      </c>
      <c r="F3895" t="s">
        <v>4916</v>
      </c>
      <c r="G3895">
        <v>170.1</v>
      </c>
      <c r="H3895">
        <v>184.89</v>
      </c>
      <c r="I3895">
        <v>184.9</v>
      </c>
      <c r="J3895">
        <v>-0.01</v>
      </c>
    </row>
    <row r="3896" spans="1:10" x14ac:dyDescent="0.3">
      <c r="A3896" t="str">
        <f>HYPERLINK("https://us2.cloudbeds.com/connect/10074733072513#/reservations/31673375977666?display=MH635JHPF&amp;reservation_id=31673375977666", "MH635JHPF")</f>
        <v>MH635JHPF</v>
      </c>
      <c r="B3896" t="s">
        <v>10</v>
      </c>
      <c r="C3896" t="s">
        <v>17</v>
      </c>
      <c r="D3896" t="str">
        <f>HYPERLINK("https://us2.cloudbeds.com/connect/10074733072513#/reservations/31673375977666?display=Nathan%20Maher&amp;reservation_id=31673375977666&amp;guest_id=31673369776338", "Nathan Maher")</f>
        <v>Nathan Maher</v>
      </c>
      <c r="E3896" t="s">
        <v>5343</v>
      </c>
      <c r="F3896" t="s">
        <v>5408</v>
      </c>
      <c r="G3896">
        <v>196.2</v>
      </c>
      <c r="H3896">
        <v>213.26</v>
      </c>
      <c r="I3896">
        <v>213.27</v>
      </c>
      <c r="J3896">
        <v>-0.01</v>
      </c>
    </row>
    <row r="3897" spans="1:10" x14ac:dyDescent="0.3">
      <c r="A3897" t="str">
        <f>HYPERLINK("https://us2.cloudbeds.com/connect/10074733072513#/reservations/31674055188611?display=MH6KHAJ9A&amp;reservation_id=31674055188611", "MH6KHAJ9A")</f>
        <v>MH6KHAJ9A</v>
      </c>
      <c r="B3897" t="s">
        <v>10</v>
      </c>
      <c r="C3897" t="s">
        <v>23</v>
      </c>
      <c r="D3897" t="str">
        <f>HYPERLINK("https://us2.cloudbeds.com/connect/10074733072513#/reservations/31674055188611?display=Heidi%20Neumann&amp;reservation_id=31674055188611&amp;guest_id=31674055184573", "Heidi Neumann")</f>
        <v>Heidi Neumann</v>
      </c>
      <c r="E3897" t="s">
        <v>1789</v>
      </c>
      <c r="F3897" t="s">
        <v>5172</v>
      </c>
      <c r="G3897">
        <v>134.1</v>
      </c>
      <c r="H3897">
        <v>145.76</v>
      </c>
      <c r="I3897">
        <v>145.77000000000001</v>
      </c>
      <c r="J3897">
        <v>-0.01</v>
      </c>
    </row>
    <row r="3898" spans="1:10" x14ac:dyDescent="0.3">
      <c r="A3898" t="str">
        <f>HYPERLINK("https://us2.cloudbeds.com/connect/10074733072513#/reservations/31675023917269?display=MH7C95T95&amp;reservation_id=31675023917269", "MH7C95T95")</f>
        <v>MH7C95T95</v>
      </c>
      <c r="B3898" t="s">
        <v>10</v>
      </c>
      <c r="C3898" t="s">
        <v>42</v>
      </c>
      <c r="D3898" t="str">
        <f>HYPERLINK("https://us2.cloudbeds.com/connect/10074733072513#/reservations/31675023917269?display=Ona%20Ebsen&amp;reservation_id=31675023917269&amp;guest_id=31675023913176", "Ona Ebsen")</f>
        <v>Ona Ebsen</v>
      </c>
      <c r="E3898" t="s">
        <v>5411</v>
      </c>
      <c r="F3898" t="s">
        <v>5242</v>
      </c>
      <c r="G3898">
        <v>196.2</v>
      </c>
      <c r="H3898">
        <v>213.26</v>
      </c>
      <c r="I3898">
        <v>213.27</v>
      </c>
      <c r="J3898">
        <v>-0.01</v>
      </c>
    </row>
    <row r="3899" spans="1:10" x14ac:dyDescent="0.3">
      <c r="A3899" t="str">
        <f>HYPERLINK("https://us2.cloudbeds.com/connect/10074733072513#/reservations/31675039539398?display=MH7CMBJM1&amp;reservation_id=31675039539398", "MH7CMBJM1")</f>
        <v>MH7CMBJM1</v>
      </c>
      <c r="B3899" t="s">
        <v>10</v>
      </c>
      <c r="C3899" t="s">
        <v>14</v>
      </c>
      <c r="D3899" t="str">
        <f>HYPERLINK("https://us2.cloudbeds.com/connect/10074733072513#/reservations/31675039539398?display=Kimberleigh%20Squilla&amp;reservation_id=31675039539398&amp;guest_id=31675039535351", "Kimberleigh Squilla")</f>
        <v>Kimberleigh Squilla</v>
      </c>
      <c r="E3899" t="s">
        <v>5412</v>
      </c>
      <c r="F3899" t="s">
        <v>5413</v>
      </c>
      <c r="G3899">
        <v>87.2</v>
      </c>
      <c r="H3899">
        <v>94.78</v>
      </c>
      <c r="I3899">
        <v>94.79</v>
      </c>
      <c r="J3899">
        <v>-0.01</v>
      </c>
    </row>
    <row r="3900" spans="1:10" x14ac:dyDescent="0.3">
      <c r="A3900" t="str">
        <f>HYPERLINK("https://us2.cloudbeds.com/connect/10074733072513#/reservations/31673707466950?display=MH6BY3NY9&amp;reservation_id=31673707466950", "MH6BY3NY9")</f>
        <v>MH6BY3NY9</v>
      </c>
      <c r="B3900" t="s">
        <v>10</v>
      </c>
      <c r="C3900" t="s">
        <v>17</v>
      </c>
      <c r="D3900" t="str">
        <f>HYPERLINK("https://us2.cloudbeds.com/connect/10074733072513#/reservations/31673707466950?display=Wade%20Talkington&amp;reservation_id=31673707466950&amp;guest_id=31672944263329", "Wade Talkington")</f>
        <v>Wade Talkington</v>
      </c>
      <c r="E3900" t="s">
        <v>5243</v>
      </c>
      <c r="F3900" t="s">
        <v>5408</v>
      </c>
      <c r="G3900">
        <v>250.2</v>
      </c>
      <c r="H3900">
        <v>271.95999999999998</v>
      </c>
      <c r="I3900">
        <v>271.97000000000003</v>
      </c>
      <c r="J3900">
        <v>-0.01</v>
      </c>
    </row>
    <row r="3901" spans="1:10" x14ac:dyDescent="0.3">
      <c r="A3901" t="str">
        <f>HYPERLINK("https://us2.cloudbeds.com/connect/10074733072513#/reservations/31673650495695?display=MH6A62DEK&amp;reservation_id=31673650495695", "MH6A62DEK")</f>
        <v>MH6A62DEK</v>
      </c>
      <c r="B3901" t="s">
        <v>10</v>
      </c>
      <c r="C3901" t="s">
        <v>42</v>
      </c>
      <c r="D3901" t="str">
        <f>HYPERLINK("https://us2.cloudbeds.com/connect/10074733072513#/reservations/31673650495695?display=Scott%20Endres&amp;reservation_id=31673650495695&amp;guest_id=31673650495689", "Scott Endres")</f>
        <v>Scott Endres</v>
      </c>
      <c r="E3901" t="s">
        <v>5417</v>
      </c>
      <c r="F3901" t="s">
        <v>5408</v>
      </c>
      <c r="G3901">
        <v>118.15</v>
      </c>
      <c r="H3901">
        <v>128.41999999999999</v>
      </c>
      <c r="I3901">
        <v>128.43</v>
      </c>
      <c r="J3901">
        <v>-0.01</v>
      </c>
    </row>
    <row r="3902" spans="1:10" x14ac:dyDescent="0.3">
      <c r="A3902" t="str">
        <f>HYPERLINK("https://us2.cloudbeds.com/connect/10074733072513#/reservations/31675511582881?display=MH7ZZCTP0&amp;reservation_id=31675511582881", "MH7ZZCTP0")</f>
        <v>MH7ZZCTP0</v>
      </c>
      <c r="B3902" t="s">
        <v>10</v>
      </c>
      <c r="C3902" t="s">
        <v>20</v>
      </c>
      <c r="D3902" t="str">
        <f>HYPERLINK("https://us2.cloudbeds.com/connect/10074733072513#/reservations/31675511582881?display=Jauwanda%20Stone&amp;reservation_id=31675511582881&amp;guest_id=31675511582879", "Jauwanda Stone")</f>
        <v>Jauwanda Stone</v>
      </c>
      <c r="E3902" t="s">
        <v>5418</v>
      </c>
      <c r="F3902" t="s">
        <v>5256</v>
      </c>
      <c r="G3902">
        <v>112.24</v>
      </c>
      <c r="H3902">
        <v>121.99</v>
      </c>
      <c r="I3902">
        <v>122</v>
      </c>
      <c r="J3902">
        <v>-0.01</v>
      </c>
    </row>
    <row r="3903" spans="1:10" x14ac:dyDescent="0.3">
      <c r="A3903" t="str">
        <f>HYPERLINK("https://us2.cloudbeds.com/connect/10074733072513#/reservations/31675852730574?display=MH80F1RMT&amp;reservation_id=31675852730574", "MH80F1RMT")</f>
        <v>MH80F1RMT</v>
      </c>
      <c r="B3903" t="s">
        <v>10</v>
      </c>
      <c r="C3903" t="s">
        <v>11</v>
      </c>
      <c r="D3903" t="str">
        <f>HYPERLINK("https://us2.cloudbeds.com/connect/10074733072513#/reservations/31675852730574?display=Robert%20Grafton&amp;reservation_id=31675852730574&amp;guest_id=31675852726482", "Robert Grafton")</f>
        <v>Robert Grafton</v>
      </c>
      <c r="E3903" t="s">
        <v>5424</v>
      </c>
      <c r="F3903" t="s">
        <v>5179</v>
      </c>
      <c r="G3903">
        <v>94.16</v>
      </c>
      <c r="H3903">
        <v>102.34</v>
      </c>
      <c r="I3903">
        <v>102.35</v>
      </c>
      <c r="J3903">
        <v>-0.01</v>
      </c>
    </row>
    <row r="3904" spans="1:10" x14ac:dyDescent="0.3">
      <c r="A3904" t="str">
        <f>HYPERLINK("https://us2.cloudbeds.com/connect/10074733072513#/reservations/31673337954502?display=MH626HG3C&amp;reservation_id=31673337954502", "MH626HG3C")</f>
        <v>MH626HG3C</v>
      </c>
      <c r="B3904" t="s">
        <v>10</v>
      </c>
      <c r="C3904" t="s">
        <v>20</v>
      </c>
      <c r="D3904" t="str">
        <f>HYPERLINK("https://us2.cloudbeds.com/connect/10074733072513#/reservations/31673337954502?display=Kyle%20Logan&amp;reservation_id=31673337954502&amp;guest_id=31673337950411", "Kyle Logan")</f>
        <v>Kyle Logan</v>
      </c>
      <c r="E3904" t="s">
        <v>5429</v>
      </c>
      <c r="F3904" t="s">
        <v>5408</v>
      </c>
      <c r="G3904">
        <v>112.24</v>
      </c>
      <c r="H3904">
        <v>121.99</v>
      </c>
      <c r="I3904">
        <v>122</v>
      </c>
      <c r="J3904">
        <v>-0.01</v>
      </c>
    </row>
    <row r="3905" spans="1:10" x14ac:dyDescent="0.3">
      <c r="A3905" t="str">
        <f>HYPERLINK("https://us2.cloudbeds.com/connect/10074733072513#/reservations/31674712301808?display=MH74ADZ0E&amp;reservation_id=31674712301808", "MH74ADZ0E")</f>
        <v>MH74ADZ0E</v>
      </c>
      <c r="B3905" t="s">
        <v>10</v>
      </c>
      <c r="C3905" t="s">
        <v>14</v>
      </c>
      <c r="D3905" t="str">
        <f>HYPERLINK("https://us2.cloudbeds.com/connect/10074733072513#/reservations/31674712301808?display=Chad%20Humphrey&amp;reservation_id=31674712301808&amp;guest_id=31674702954648", "Chad Humphrey")</f>
        <v>Chad Humphrey</v>
      </c>
      <c r="E3905" t="s">
        <v>5432</v>
      </c>
      <c r="F3905" t="s">
        <v>5250</v>
      </c>
      <c r="G3905">
        <v>87.2</v>
      </c>
      <c r="H3905">
        <v>94.78</v>
      </c>
      <c r="I3905">
        <v>94.79</v>
      </c>
      <c r="J3905">
        <v>-0.01</v>
      </c>
    </row>
    <row r="3906" spans="1:10" x14ac:dyDescent="0.3">
      <c r="A3906" t="str">
        <f>HYPERLINK("https://us2.cloudbeds.com/connect/10074733072513#/reservations/31673692836047?display=MH6B8PJFJ&amp;reservation_id=31673692836047", "MH6B8PJFJ")</f>
        <v>MH6B8PJFJ</v>
      </c>
      <c r="B3906" t="s">
        <v>10</v>
      </c>
      <c r="C3906" t="s">
        <v>42</v>
      </c>
      <c r="D3906" t="str">
        <f>HYPERLINK("https://us2.cloudbeds.com/connect/10074733072513#/reservations/31673692836047?display=Marla%20Myer&amp;reservation_id=31673692836047&amp;guest_id=31673684557954", "Marla Myer")</f>
        <v>Marla Myer</v>
      </c>
      <c r="E3906" t="s">
        <v>5433</v>
      </c>
      <c r="F3906" t="s">
        <v>5408</v>
      </c>
      <c r="G3906">
        <v>127.2</v>
      </c>
      <c r="H3906">
        <v>138.26</v>
      </c>
      <c r="I3906">
        <v>138.27000000000001</v>
      </c>
      <c r="J3906">
        <v>-0.01</v>
      </c>
    </row>
    <row r="3907" spans="1:10" x14ac:dyDescent="0.3">
      <c r="A3907" t="str">
        <f>HYPERLINK("https://us2.cloudbeds.com/connect/10074733072513#/reservations/31675837890727?display=MH802HTYX&amp;reservation_id=31675837890727", "MH802HTYX")</f>
        <v>MH802HTYX</v>
      </c>
      <c r="B3907" t="s">
        <v>10</v>
      </c>
      <c r="C3907" t="s">
        <v>42</v>
      </c>
      <c r="D3907" t="str">
        <f>HYPERLINK("https://us2.cloudbeds.com/connect/10074733072513#/reservations/31675837890727?display=Scott%20Dahl&amp;reservation_id=31675837890727&amp;guest_id=31675837890706", "Scott Dahl")</f>
        <v>Scott Dahl</v>
      </c>
      <c r="E3907" t="s">
        <v>5435</v>
      </c>
      <c r="F3907" t="s">
        <v>5179</v>
      </c>
      <c r="G3907">
        <v>134.1</v>
      </c>
      <c r="H3907">
        <v>145.76</v>
      </c>
      <c r="I3907">
        <v>145.77000000000001</v>
      </c>
      <c r="J3907">
        <v>-0.01</v>
      </c>
    </row>
    <row r="3908" spans="1:10" x14ac:dyDescent="0.3">
      <c r="A3908" t="str">
        <f>HYPERLINK("https://us2.cloudbeds.com/connect/10074733072513#/reservations/31676130996469?display=MH87XMWUZ&amp;reservation_id=31676130996469", "MH87XMWUZ")</f>
        <v>MH87XMWUZ</v>
      </c>
      <c r="B3908" t="s">
        <v>10</v>
      </c>
      <c r="C3908" t="s">
        <v>42</v>
      </c>
      <c r="D3908" t="str">
        <f>HYPERLINK("https://us2.cloudbeds.com/connect/10074733072513#/reservations/31676130996469?display=Stephen%20Randolph&amp;reservation_id=31676130996469&amp;guest_id=31674441408694", "Stephen Randolph")</f>
        <v>Stephen Randolph</v>
      </c>
      <c r="E3908" t="s">
        <v>5439</v>
      </c>
      <c r="F3908" t="s">
        <v>5440</v>
      </c>
      <c r="G3908">
        <v>196.2</v>
      </c>
      <c r="H3908">
        <v>213.26</v>
      </c>
      <c r="I3908">
        <v>213.27</v>
      </c>
      <c r="J3908">
        <v>-0.01</v>
      </c>
    </row>
    <row r="3909" spans="1:10" x14ac:dyDescent="0.3">
      <c r="A3909" t="str">
        <f>HYPERLINK("https://us2.cloudbeds.com/connect/10074733072513#/reservations/31675082178770?display=MH7DPA397&amp;reservation_id=31675082178770", "MH7DPA397")</f>
        <v>MH7DPA397</v>
      </c>
      <c r="B3909" t="s">
        <v>10</v>
      </c>
      <c r="C3909" t="s">
        <v>11</v>
      </c>
      <c r="D3909" t="str">
        <f>HYPERLINK("https://us2.cloudbeds.com/connect/10074733072513#/reservations/31675082178770?display=Charles%20Phillips&amp;reservation_id=31675082178770&amp;guest_id=31675082178767", "Charles Phillips")</f>
        <v>Charles Phillips</v>
      </c>
      <c r="E3909" t="s">
        <v>4310</v>
      </c>
      <c r="F3909" t="s">
        <v>5331</v>
      </c>
      <c r="G3909">
        <v>87.2</v>
      </c>
      <c r="H3909">
        <v>94.78</v>
      </c>
      <c r="I3909">
        <v>94.79</v>
      </c>
      <c r="J3909">
        <v>-0.01</v>
      </c>
    </row>
    <row r="3910" spans="1:10" x14ac:dyDescent="0.3">
      <c r="A3910" t="str">
        <f>HYPERLINK("https://us2.cloudbeds.com/connect/10074733072513#/reservations/31674287501472?display=MH6QF711W&amp;reservation_id=31674287501472", "MH6QF711W")</f>
        <v>MH6QF711W</v>
      </c>
      <c r="B3910" t="s">
        <v>10</v>
      </c>
      <c r="C3910" t="s">
        <v>17</v>
      </c>
      <c r="D3910" t="str">
        <f>HYPERLINK("https://us2.cloudbeds.com/connect/10074733072513#/reservations/31674287501472?display=Diane%20Reid&amp;reservation_id=31674287501472&amp;guest_id=31674287497375", "Diane Reid")</f>
        <v>Diane Reid</v>
      </c>
      <c r="E3910" t="s">
        <v>5291</v>
      </c>
      <c r="F3910" t="s">
        <v>4692</v>
      </c>
      <c r="G3910">
        <v>250.2</v>
      </c>
      <c r="H3910">
        <v>271.95999999999998</v>
      </c>
      <c r="I3910">
        <v>271.97000000000003</v>
      </c>
      <c r="J3910">
        <v>-0.01</v>
      </c>
    </row>
    <row r="3911" spans="1:10" x14ac:dyDescent="0.3">
      <c r="A3911" t="str">
        <f>HYPERLINK("https://us2.cloudbeds.com/connect/10074733072513#/reservations/31675041853641?display=MH7CZ9WPK&amp;reservation_id=31675041853641", "MH7CZ9WPK")</f>
        <v>MH7CZ9WPK</v>
      </c>
      <c r="B3911" t="s">
        <v>10</v>
      </c>
      <c r="C3911" t="s">
        <v>11</v>
      </c>
      <c r="D3911" t="str">
        <f>HYPERLINK("https://us2.cloudbeds.com/connect/10074733072513#/reservations/31675041853641?display=Walter%20Murray&amp;reservation_id=31675041853641&amp;guest_id=31675034390708", "Walter Murray")</f>
        <v>Walter Murray</v>
      </c>
      <c r="E3911" t="s">
        <v>5454</v>
      </c>
      <c r="F3911" t="s">
        <v>5242</v>
      </c>
      <c r="G3911">
        <v>94.16</v>
      </c>
      <c r="H3911">
        <v>102.34</v>
      </c>
      <c r="I3911">
        <v>102.35</v>
      </c>
      <c r="J3911">
        <v>-0.01</v>
      </c>
    </row>
    <row r="3912" spans="1:10" x14ac:dyDescent="0.3">
      <c r="A3912" t="str">
        <f>HYPERLINK("https://us2.cloudbeds.com/connect/10074733072513#/reservations/31674759602331?display=MH75H9URK&amp;reservation_id=31674759602331", "MH75H9URK")</f>
        <v>MH75H9URK</v>
      </c>
      <c r="B3912" t="s">
        <v>10</v>
      </c>
      <c r="C3912" t="s">
        <v>42</v>
      </c>
      <c r="D3912" t="str">
        <f>HYPERLINK("https://us2.cloudbeds.com/connect/10074733072513#/reservations/31674759602331?display=Pam%20Schwartz&amp;reservation_id=31674759602331&amp;guest_id=31674749673665", "Pam Schwartz")</f>
        <v>Pam Schwartz</v>
      </c>
      <c r="E3912" t="s">
        <v>5456</v>
      </c>
      <c r="F3912" t="s">
        <v>5250</v>
      </c>
      <c r="G3912">
        <v>294.3</v>
      </c>
      <c r="H3912">
        <v>319.89</v>
      </c>
      <c r="I3912">
        <v>319.89999999999998</v>
      </c>
      <c r="J3912">
        <v>-0.01</v>
      </c>
    </row>
    <row r="3913" spans="1:10" x14ac:dyDescent="0.3">
      <c r="A3913" t="str">
        <f>HYPERLINK("https://us2.cloudbeds.com/connect/10074733072513#/reservations/31674265620615?display=MH6PTP5EN&amp;reservation_id=31674265620615", "MH6PTP5EN")</f>
        <v>MH6PTP5EN</v>
      </c>
      <c r="B3913" t="s">
        <v>10</v>
      </c>
      <c r="C3913" t="s">
        <v>14</v>
      </c>
      <c r="D3913" t="str">
        <f>HYPERLINK("https://us2.cloudbeds.com/connect/10074733072513#/reservations/31674265620615?display=Rita%20Little%20Thunder&amp;reservation_id=31674265620615&amp;guest_id=31674257948911", "Rita Little Thunder")</f>
        <v>Rita Little Thunder</v>
      </c>
      <c r="E3913" t="s">
        <v>5464</v>
      </c>
      <c r="F3913" t="s">
        <v>4692</v>
      </c>
      <c r="G3913">
        <v>134.1</v>
      </c>
      <c r="H3913">
        <v>145.76</v>
      </c>
      <c r="I3913">
        <v>145.77000000000001</v>
      </c>
      <c r="J3913">
        <v>-0.01</v>
      </c>
    </row>
    <row r="3914" spans="1:10" x14ac:dyDescent="0.3">
      <c r="A3914" t="str">
        <f>HYPERLINK("https://us2.cloudbeds.com/connect/10074733072513#/reservations/31679277093034?display=MHAYVXPG9&amp;reservation_id=31679277093034", "MHAYVXPG9")</f>
        <v>MHAYVXPG9</v>
      </c>
      <c r="B3914" t="s">
        <v>10</v>
      </c>
      <c r="C3914" t="s">
        <v>11</v>
      </c>
      <c r="D3914" t="str">
        <f>HYPERLINK("https://us2.cloudbeds.com/connect/10074733072513#/reservations/31679277093034?display=Beth%20Schumacher&amp;reservation_id=31679277093034&amp;guest_id=31679263613138", "Beth Schumacher")</f>
        <v>Beth Schumacher</v>
      </c>
      <c r="E3914" t="s">
        <v>5465</v>
      </c>
      <c r="F3914" t="s">
        <v>4530</v>
      </c>
      <c r="G3914">
        <v>240.32</v>
      </c>
      <c r="H3914">
        <v>261.22000000000003</v>
      </c>
      <c r="I3914">
        <v>261.23</v>
      </c>
      <c r="J3914">
        <v>-0.01</v>
      </c>
    </row>
    <row r="3915" spans="1:10" x14ac:dyDescent="0.3">
      <c r="A3915" t="str">
        <f>HYPERLINK("https://us2.cloudbeds.com/connect/10074733072513#/reservations/31678164676835?display=MH9QHX50G&amp;reservation_id=31678164676835", "MH9QHX50G")</f>
        <v>MH9QHX50G</v>
      </c>
      <c r="B3915" t="s">
        <v>10</v>
      </c>
      <c r="C3915" t="s">
        <v>20</v>
      </c>
      <c r="D3915" t="str">
        <f>HYPERLINK("https://us2.cloudbeds.com/connect/10074733072513#/reservations/31678164676835?display=Stephanie%20Atter&amp;reservation_id=31678164676835&amp;guest_id=31678164672739", "Stephanie Atter")</f>
        <v>Stephanie Atter</v>
      </c>
      <c r="E3915" t="s">
        <v>5468</v>
      </c>
      <c r="F3915" t="s">
        <v>5469</v>
      </c>
      <c r="G3915">
        <v>152.15</v>
      </c>
      <c r="H3915">
        <v>165.38</v>
      </c>
      <c r="I3915">
        <v>165.39</v>
      </c>
      <c r="J3915">
        <v>-0.01</v>
      </c>
    </row>
    <row r="3916" spans="1:10" x14ac:dyDescent="0.3">
      <c r="A3916" t="str">
        <f>HYPERLINK("https://us2.cloudbeds.com/connect/10074733072513#/reservations/31676006150305?display=MH84CDVWY&amp;reservation_id=31676006150305", "MH84CDVWY")</f>
        <v>MH84CDVWY</v>
      </c>
      <c r="B3916" t="s">
        <v>10</v>
      </c>
      <c r="C3916" t="s">
        <v>11</v>
      </c>
      <c r="D3916" t="str">
        <f>HYPERLINK("https://us2.cloudbeds.com/connect/10074733072513#/reservations/31676006150305?display=Elisabeth%20Ketterer&amp;reservation_id=31676006150305&amp;guest_id=31676006150300", "Elisabeth Ketterer")</f>
        <v>Elisabeth Ketterer</v>
      </c>
      <c r="E3916" t="s">
        <v>718</v>
      </c>
      <c r="F3916" t="s">
        <v>5440</v>
      </c>
      <c r="G3916">
        <v>206.64</v>
      </c>
      <c r="H3916">
        <v>224.61</v>
      </c>
      <c r="I3916">
        <v>224.62</v>
      </c>
      <c r="J3916">
        <v>-0.01</v>
      </c>
    </row>
    <row r="3917" spans="1:10" x14ac:dyDescent="0.3">
      <c r="A3917" t="str">
        <f>HYPERLINK("https://us2.cloudbeds.com/connect/10074733072513#/reservations/31677678096584?display=MH9E38B6D&amp;reservation_id=31677678096584", "MH9E38B6D")</f>
        <v>MH9E38B6D</v>
      </c>
      <c r="B3917" t="s">
        <v>10</v>
      </c>
      <c r="C3917" t="s">
        <v>42</v>
      </c>
      <c r="D3917" t="str">
        <f>HYPERLINK("https://us2.cloudbeds.com/connect/10074733072513#/reservations/31677678096584?display=Kyle%20Francisco&amp;reservation_id=31677678096584&amp;guest_id=31677678092497", "Kyle Francisco")</f>
        <v>Kyle Francisco</v>
      </c>
      <c r="E3917" t="s">
        <v>5472</v>
      </c>
      <c r="F3917" t="s">
        <v>5462</v>
      </c>
      <c r="G3917">
        <v>294.3</v>
      </c>
      <c r="H3917">
        <v>319.89</v>
      </c>
      <c r="I3917">
        <v>319.89999999999998</v>
      </c>
      <c r="J3917">
        <v>-0.01</v>
      </c>
    </row>
    <row r="3918" spans="1:10" x14ac:dyDescent="0.3">
      <c r="A3918" t="str">
        <f>HYPERLINK("https://us2.cloudbeds.com/connect/10074733072513#/reservations/31674354602223?display=MH6S5Q6U2&amp;reservation_id=31674354602223", "MH6S5Q6U2")</f>
        <v>MH6S5Q6U2</v>
      </c>
      <c r="B3918" t="s">
        <v>10</v>
      </c>
      <c r="C3918" t="s">
        <v>20</v>
      </c>
      <c r="D3918" t="str">
        <f>HYPERLINK("https://us2.cloudbeds.com/connect/10074733072513#/reservations/31674354602223?display=Deryl%20Miles&amp;reservation_id=31674354602223&amp;guest_id=31674347856023", "Deryl Miles")</f>
        <v>Deryl Miles</v>
      </c>
      <c r="E3918" t="s">
        <v>5476</v>
      </c>
      <c r="F3918" t="s">
        <v>4672</v>
      </c>
      <c r="G3918">
        <v>250.2</v>
      </c>
      <c r="H3918">
        <v>271.95999999999998</v>
      </c>
      <c r="I3918">
        <v>271.97000000000003</v>
      </c>
      <c r="J3918">
        <v>-0.01</v>
      </c>
    </row>
    <row r="3919" spans="1:10" x14ac:dyDescent="0.3">
      <c r="A3919" t="str">
        <f>HYPERLINK("https://us2.cloudbeds.com/connect/10074733072513#/reservations/31675062698195?display=MH7D8T0PP&amp;reservation_id=31675062698195", "MH7D8T0PP")</f>
        <v>MH7D8T0PP</v>
      </c>
      <c r="B3919" t="s">
        <v>10</v>
      </c>
      <c r="C3919" t="s">
        <v>20</v>
      </c>
      <c r="D3919" t="str">
        <f>HYPERLINK("https://us2.cloudbeds.com/connect/10074733072513#/reservations/31675062698195?display=Matthew%20Miller&amp;reservation_id=31675062698195&amp;guest_id=31675053301890", "Matthew Miller")</f>
        <v>Matthew Miller</v>
      </c>
      <c r="E3919" t="s">
        <v>5483</v>
      </c>
      <c r="F3919" t="s">
        <v>5331</v>
      </c>
      <c r="G3919">
        <v>120.32</v>
      </c>
      <c r="H3919">
        <v>130.78</v>
      </c>
      <c r="I3919">
        <v>130.79</v>
      </c>
      <c r="J3919">
        <v>-0.01</v>
      </c>
    </row>
    <row r="3920" spans="1:10" x14ac:dyDescent="0.3">
      <c r="A3920" t="str">
        <f>HYPERLINK("https://us2.cloudbeds.com/connect/10074733072513#/reservations/31674518401219?display=MH6WBU570&amp;reservation_id=31674518401219", "MH6WBU570")</f>
        <v>MH6WBU570</v>
      </c>
      <c r="B3920" t="s">
        <v>10</v>
      </c>
      <c r="C3920" t="s">
        <v>17</v>
      </c>
      <c r="D3920" t="str">
        <f>HYPERLINK("https://us2.cloudbeds.com/connect/10074733072513#/reservations/31674518401219?display=Sam%20Kirstein&amp;reservation_id=31674518401219&amp;guest_id=31674518397122", "Sam Kirstein")</f>
        <v>Sam Kirstein</v>
      </c>
      <c r="E3920" t="s">
        <v>5500</v>
      </c>
      <c r="F3920" t="s">
        <v>4825</v>
      </c>
      <c r="G3920">
        <v>250.2</v>
      </c>
      <c r="H3920">
        <v>271.95999999999998</v>
      </c>
      <c r="I3920">
        <v>271.97000000000003</v>
      </c>
      <c r="J3920">
        <v>-0.01</v>
      </c>
    </row>
    <row r="3921" spans="1:10" x14ac:dyDescent="0.3">
      <c r="A3921" t="str">
        <f>HYPERLINK("https://us2.cloudbeds.com/connect/10074733072513#/reservations/31676521128174?display=MH8HHYWJK&amp;reservation_id=31676521128174", "MH8HHYWJK")</f>
        <v>MH8HHYWJK</v>
      </c>
      <c r="B3921" t="s">
        <v>10</v>
      </c>
      <c r="C3921" t="s">
        <v>23</v>
      </c>
      <c r="D3921" t="str">
        <f>HYPERLINK("https://us2.cloudbeds.com/connect/10074733072513#/reservations/31676521128174?display=Bradley%20Brandt&amp;reservation_id=31676521128174&amp;guest_id=31676511846550", "Bradley Brandt")</f>
        <v>Bradley Brandt</v>
      </c>
      <c r="E3921" t="s">
        <v>5507</v>
      </c>
      <c r="F3921" t="s">
        <v>4346</v>
      </c>
      <c r="G3921">
        <v>134.1</v>
      </c>
      <c r="H3921">
        <v>145.76</v>
      </c>
      <c r="I3921">
        <v>145.77000000000001</v>
      </c>
      <c r="J3921">
        <v>-0.01</v>
      </c>
    </row>
    <row r="3922" spans="1:10" x14ac:dyDescent="0.3">
      <c r="A3922" t="str">
        <f>HYPERLINK("https://us2.cloudbeds.com/connect/10074733072513#/reservations/31675046342810?display=MH7CS2U21&amp;reservation_id=31675046342810", "MH7CS2U21")</f>
        <v>MH7CS2U21</v>
      </c>
      <c r="B3922" t="s">
        <v>10</v>
      </c>
      <c r="C3922" t="s">
        <v>42</v>
      </c>
      <c r="D3922" t="str">
        <f>HYPERLINK("https://us2.cloudbeds.com/connect/10074733072513#/reservations/31675046342810?display=Janet%20Ringstmeyer&amp;reservation_id=31675046342810&amp;guest_id=30678113292427", "Janet Ringstmeyer")</f>
        <v>Janet Ringstmeyer</v>
      </c>
      <c r="E3922" t="s">
        <v>3078</v>
      </c>
      <c r="F3922" t="s">
        <v>5413</v>
      </c>
      <c r="G3922">
        <v>196.2</v>
      </c>
      <c r="H3922">
        <v>213.26</v>
      </c>
      <c r="I3922">
        <v>213.27</v>
      </c>
      <c r="J3922">
        <v>-0.01</v>
      </c>
    </row>
    <row r="3923" spans="1:10" x14ac:dyDescent="0.3">
      <c r="A3923" t="str">
        <f>HYPERLINK("https://us2.cloudbeds.com/connect/10074733072513#/reservations/31675861786766?display=MH80MMRZV&amp;reservation_id=31675861786766", "MH80MMRZV")</f>
        <v>MH80MMRZV</v>
      </c>
      <c r="B3923" t="s">
        <v>10</v>
      </c>
      <c r="C3923" t="s">
        <v>42</v>
      </c>
      <c r="D3923" t="str">
        <f>HYPERLINK("https://us2.cloudbeds.com/connect/10074733072513#/reservations/31675861786766?display=Janet%20Ringstmeyer&amp;reservation_id=31675861786766&amp;guest_id=30678113292427", "Janet Ringstmeyer")</f>
        <v>Janet Ringstmeyer</v>
      </c>
      <c r="E3923" t="s">
        <v>3078</v>
      </c>
      <c r="F3923" t="s">
        <v>3650</v>
      </c>
      <c r="G3923">
        <v>134.1</v>
      </c>
      <c r="H3923">
        <v>145.76</v>
      </c>
      <c r="I3923">
        <v>145.77000000000001</v>
      </c>
      <c r="J3923">
        <v>-0.01</v>
      </c>
    </row>
    <row r="3924" spans="1:10" x14ac:dyDescent="0.3">
      <c r="A3924" t="str">
        <f>HYPERLINK("https://us2.cloudbeds.com/connect/10074733072513#/reservations/31674453893335?display=MH6UNH4AY&amp;reservation_id=31674453893335", "MH6UNH4AY")</f>
        <v>MH6UNH4AY</v>
      </c>
      <c r="B3924" t="s">
        <v>10</v>
      </c>
      <c r="C3924" t="s">
        <v>42</v>
      </c>
      <c r="D3924" t="str">
        <f>HYPERLINK("https://us2.cloudbeds.com/connect/10074733072513#/reservations/31674453893335?display=Stephen%20Randolph&amp;reservation_id=31674453893335&amp;guest_id=31674441408694", "Stephen Randolph")</f>
        <v>Stephen Randolph</v>
      </c>
      <c r="E3924" t="s">
        <v>5439</v>
      </c>
      <c r="F3924" t="s">
        <v>4672</v>
      </c>
      <c r="G3924">
        <v>196.2</v>
      </c>
      <c r="H3924">
        <v>213.26</v>
      </c>
      <c r="I3924">
        <v>213.27</v>
      </c>
      <c r="J3924">
        <v>-0.01</v>
      </c>
    </row>
    <row r="3925" spans="1:10" x14ac:dyDescent="0.3">
      <c r="A3925" t="str">
        <f>HYPERLINK("https://us2.cloudbeds.com/connect/10074733072513#/reservations/31681063235717?display=MHC1JMR84&amp;reservation_id=31681063235717", "MHC1JMR84")</f>
        <v>MHC1JMR84</v>
      </c>
      <c r="B3925" t="s">
        <v>10</v>
      </c>
      <c r="C3925" t="s">
        <v>20</v>
      </c>
      <c r="D3925" t="str">
        <f>HYPERLINK("https://us2.cloudbeds.com/connect/10074733072513#/reservations/31681063235717?display=Larry%20Bruyer&amp;reservation_id=31681063235717&amp;guest_id=31681063235714", "Larry Bruyer")</f>
        <v>Larry Bruyer</v>
      </c>
      <c r="E3925" t="s">
        <v>5516</v>
      </c>
      <c r="F3925" t="s">
        <v>4979</v>
      </c>
      <c r="G3925">
        <v>143.65</v>
      </c>
      <c r="H3925">
        <v>156.13999999999999</v>
      </c>
      <c r="I3925">
        <v>156.15</v>
      </c>
      <c r="J3925">
        <v>-0.01</v>
      </c>
    </row>
    <row r="3926" spans="1:10" x14ac:dyDescent="0.3">
      <c r="A3926" t="str">
        <f>HYPERLINK("https://us2.cloudbeds.com/connect/10074733072513#/reservations/31676359377085?display=MH8DD90RF&amp;reservation_id=31676359377085", "MH8DD90RF")</f>
        <v>MH8DD90RF</v>
      </c>
      <c r="B3926" t="s">
        <v>10</v>
      </c>
      <c r="C3926" t="s">
        <v>42</v>
      </c>
      <c r="D3926" t="str">
        <f>HYPERLINK("https://us2.cloudbeds.com/connect/10074733072513#/reservations/31676359377085?display=Krystal%20Tool&amp;reservation_id=31676359377085&amp;guest_id=31676359377080", "Krystal Tool")</f>
        <v>Krystal Tool</v>
      </c>
      <c r="E3926" t="s">
        <v>5520</v>
      </c>
      <c r="F3926" t="s">
        <v>5377</v>
      </c>
      <c r="G3926">
        <v>500.4</v>
      </c>
      <c r="H3926">
        <v>543.91999999999996</v>
      </c>
      <c r="I3926">
        <v>543.92999999999995</v>
      </c>
      <c r="J3926">
        <v>-0.01</v>
      </c>
    </row>
    <row r="3927" spans="1:10" x14ac:dyDescent="0.3">
      <c r="A3927" t="str">
        <f>HYPERLINK("https://us2.cloudbeds.com/connect/10074733072513#/reservations/31676646191331?display=MH8KZ41Q8&amp;reservation_id=31676646191331", "MH8KZ41Q8")</f>
        <v>MH8KZ41Q8</v>
      </c>
      <c r="B3927" t="s">
        <v>10</v>
      </c>
      <c r="C3927" t="s">
        <v>42</v>
      </c>
      <c r="D3927" t="str">
        <f>HYPERLINK("https://us2.cloudbeds.com/connect/10074733072513#/reservations/31676646191331?display=Julie%20Erisman&amp;reservation_id=31676646191331&amp;guest_id=31676646187224", "Julie Erisman")</f>
        <v>Julie Erisman</v>
      </c>
      <c r="E3927" t="s">
        <v>5523</v>
      </c>
      <c r="F3927" t="s">
        <v>4346</v>
      </c>
      <c r="G3927">
        <v>268.2</v>
      </c>
      <c r="H3927">
        <v>291.52</v>
      </c>
      <c r="I3927">
        <v>291.52999999999997</v>
      </c>
      <c r="J3927">
        <v>-0.01</v>
      </c>
    </row>
    <row r="3928" spans="1:10" x14ac:dyDescent="0.3">
      <c r="A3928" t="str">
        <f>HYPERLINK("https://us2.cloudbeds.com/connect/10074733072513#/reservations/31675399360720?display=MH7YSP53F&amp;reservation_id=31675399360720", "MH7YSP53F")</f>
        <v>MH7YSP53F</v>
      </c>
      <c r="B3928" t="s">
        <v>10</v>
      </c>
      <c r="C3928" t="s">
        <v>42</v>
      </c>
      <c r="D3928" t="str">
        <f>HYPERLINK("https://us2.cloudbeds.com/connect/10074733072513#/reservations/31675399360720?display=Daryl%20Vanderheiden&amp;reservation_id=31675399360720&amp;guest_id=31675399360707", "Daryl Vanderheiden")</f>
        <v>Daryl Vanderheiden</v>
      </c>
      <c r="E3928" t="s">
        <v>5524</v>
      </c>
      <c r="F3928" t="s">
        <v>5112</v>
      </c>
      <c r="G3928">
        <v>134.1</v>
      </c>
      <c r="H3928">
        <v>145.76</v>
      </c>
      <c r="I3928">
        <v>145.77000000000001</v>
      </c>
      <c r="J3928">
        <v>-0.01</v>
      </c>
    </row>
    <row r="3929" spans="1:10" x14ac:dyDescent="0.3">
      <c r="A3929" t="str">
        <f>HYPERLINK("https://us2.cloudbeds.com/connect/10074733072513#/reservations/31677220155605?display=MH92D3F21&amp;reservation_id=31677220155605", "MH92D3F21")</f>
        <v>MH92D3F21</v>
      </c>
      <c r="B3929" t="s">
        <v>10</v>
      </c>
      <c r="C3929" t="s">
        <v>23</v>
      </c>
      <c r="D3929" t="str">
        <f>HYPERLINK("https://us2.cloudbeds.com/connect/10074733072513#/reservations/31677220155605?display=Lindsey%20Keller&amp;reservation_id=31677220155605&amp;guest_id=31677212643460", "Lindsey Keller")</f>
        <v>Lindsey Keller</v>
      </c>
      <c r="E3929" t="s">
        <v>5526</v>
      </c>
      <c r="F3929" t="s">
        <v>5265</v>
      </c>
      <c r="G3929">
        <v>304.2</v>
      </c>
      <c r="H3929">
        <v>330.66</v>
      </c>
      <c r="I3929">
        <v>330.67</v>
      </c>
      <c r="J3929">
        <v>-0.01</v>
      </c>
    </row>
    <row r="3930" spans="1:10" x14ac:dyDescent="0.3">
      <c r="A3930" t="str">
        <f>HYPERLINK("https://us2.cloudbeds.com/connect/10074733072513#/reservations/31679136018617?display=MHAXBK5XV&amp;reservation_id=31679136018617", "MHAXBK5XV")</f>
        <v>MHAXBK5XV</v>
      </c>
      <c r="B3930" t="s">
        <v>10</v>
      </c>
      <c r="C3930" t="s">
        <v>23</v>
      </c>
      <c r="D3930" t="str">
        <f>HYPERLINK("https://us2.cloudbeds.com/connect/10074733072513#/reservations/31679136018617?display=Kelsey%20Rhodes&amp;reservation_id=31679136018617&amp;guest_id=31679129096418", "Kelsey Rhodes")</f>
        <v>Kelsey Rhodes</v>
      </c>
      <c r="E3930" t="s">
        <v>5527</v>
      </c>
      <c r="F3930" t="s">
        <v>4530</v>
      </c>
      <c r="G3930">
        <v>304.2</v>
      </c>
      <c r="H3930">
        <v>330.66</v>
      </c>
      <c r="I3930">
        <v>330.67</v>
      </c>
      <c r="J3930">
        <v>-0.01</v>
      </c>
    </row>
    <row r="3931" spans="1:10" x14ac:dyDescent="0.3">
      <c r="A3931" t="str">
        <f>HYPERLINK("https://us2.cloudbeds.com/connect/10074733072513#/reservations/31679129092312?display=MHAX5PEAU&amp;reservation_id=31679129092312", "MHAX5PEAU")</f>
        <v>MHAX5PEAU</v>
      </c>
      <c r="B3931" t="s">
        <v>10</v>
      </c>
      <c r="C3931" t="s">
        <v>23</v>
      </c>
      <c r="D3931" t="str">
        <f>HYPERLINK("https://us2.cloudbeds.com/connect/10074733072513#/reservations/31679129092312?display=Michael%20Rhodes&amp;reservation_id=31679129092312&amp;guest_id=31679122374791", "Michael Rhodes")</f>
        <v>Michael Rhodes</v>
      </c>
      <c r="E3931" t="s">
        <v>5533</v>
      </c>
      <c r="F3931" t="s">
        <v>4530</v>
      </c>
      <c r="G3931">
        <v>304.2</v>
      </c>
      <c r="H3931">
        <v>330.66</v>
      </c>
      <c r="I3931">
        <v>330.67</v>
      </c>
      <c r="J3931">
        <v>-0.01</v>
      </c>
    </row>
    <row r="3932" spans="1:10" x14ac:dyDescent="0.3">
      <c r="A3932" t="str">
        <f>HYPERLINK("https://us2.cloudbeds.com/connect/10074733072513#/reservations/31677763141847?display=MH9G8VS0J&amp;reservation_id=31677763141847", "MH9G8VS0J")</f>
        <v>MH9G8VS0J</v>
      </c>
      <c r="B3932" t="s">
        <v>10</v>
      </c>
      <c r="C3932" t="s">
        <v>14</v>
      </c>
      <c r="D3932" t="str">
        <f>HYPERLINK("https://us2.cloudbeds.com/connect/10074733072513#/reservations/31677763141847?display=Nicole%20Havelaar&amp;reservation_id=31677763141847&amp;guest_id=31677763141843", "Nicole Havelaar")</f>
        <v>Nicole Havelaar</v>
      </c>
      <c r="E3932" t="s">
        <v>5534</v>
      </c>
      <c r="F3932" t="s">
        <v>5355</v>
      </c>
      <c r="G3932">
        <v>375.3</v>
      </c>
      <c r="H3932">
        <v>407.94</v>
      </c>
      <c r="I3932">
        <v>407.95</v>
      </c>
      <c r="J3932">
        <v>-0.01</v>
      </c>
    </row>
    <row r="3933" spans="1:10" x14ac:dyDescent="0.3">
      <c r="A3933" t="str">
        <f>HYPERLINK("https://us2.cloudbeds.com/connect/10074733072513#/reservations/31674781327557?display=MH762KFHQ&amp;reservation_id=31674781327557", "MH762KFHQ")</f>
        <v>MH762KFHQ</v>
      </c>
      <c r="B3933" t="s">
        <v>10</v>
      </c>
      <c r="C3933" t="s">
        <v>42</v>
      </c>
      <c r="D3933" t="str">
        <f>HYPERLINK("https://us2.cloudbeds.com/connect/10074733072513#/reservations/31674781327557?display=Steven%20Friedrichsen&amp;reservation_id=31674781327557&amp;guest_id=31674775318692", "Steven Friedrichsen")</f>
        <v>Steven Friedrichsen</v>
      </c>
      <c r="E3933" t="s">
        <v>5555</v>
      </c>
      <c r="F3933" t="s">
        <v>5355</v>
      </c>
      <c r="G3933">
        <v>268.2</v>
      </c>
      <c r="H3933">
        <v>291.52</v>
      </c>
      <c r="I3933">
        <v>291.52999999999997</v>
      </c>
      <c r="J3933">
        <v>-0.01</v>
      </c>
    </row>
    <row r="3934" spans="1:10" x14ac:dyDescent="0.3">
      <c r="A3934" t="str">
        <f>HYPERLINK("https://us2.cloudbeds.com/connect/10074733072513#/reservations/31677382439111?display=MH96HV7Z1&amp;reservation_id=31677382439111", "MH96HV7Z1")</f>
        <v>MH96HV7Z1</v>
      </c>
      <c r="B3934" t="s">
        <v>10</v>
      </c>
      <c r="C3934" t="s">
        <v>42</v>
      </c>
      <c r="D3934" t="str">
        <f>HYPERLINK("https://us2.cloudbeds.com/connect/10074733072513#/reservations/31677382439111?display=Andrea%20Sudbeck&amp;reservation_id=31677382439111&amp;guest_id=31677382435026", "Andrea Sudbeck")</f>
        <v>Andrea Sudbeck</v>
      </c>
      <c r="E3934" t="s">
        <v>5564</v>
      </c>
      <c r="F3934" t="s">
        <v>4346</v>
      </c>
      <c r="G3934">
        <v>304.2</v>
      </c>
      <c r="H3934">
        <v>330.66</v>
      </c>
      <c r="I3934">
        <v>330.67</v>
      </c>
      <c r="J3934">
        <v>-0.01</v>
      </c>
    </row>
    <row r="3935" spans="1:10" x14ac:dyDescent="0.3">
      <c r="A3935" t="str">
        <f>HYPERLINK("https://us2.cloudbeds.com/connect/10074733072513#/reservations/31674761588921?display=MH75XW72A&amp;reservation_id=31674761588921", "MH75XW72A")</f>
        <v>MH75XW72A</v>
      </c>
      <c r="B3935" t="s">
        <v>10</v>
      </c>
      <c r="C3935" t="s">
        <v>42</v>
      </c>
      <c r="D3935" t="str">
        <f>HYPERLINK("https://us2.cloudbeds.com/connect/10074733072513#/reservations/31674761588921?display=Jim%20Dutton&amp;reservation_id=31674761588921&amp;guest_id=31674761588919", "Jim Dutton")</f>
        <v>Jim Dutton</v>
      </c>
      <c r="E3935" t="s">
        <v>5585</v>
      </c>
      <c r="F3935" t="s">
        <v>5355</v>
      </c>
      <c r="G3935">
        <v>118.15</v>
      </c>
      <c r="H3935">
        <v>128.41999999999999</v>
      </c>
      <c r="I3935">
        <v>128.43</v>
      </c>
      <c r="J3935">
        <v>-0.01</v>
      </c>
    </row>
    <row r="3936" spans="1:10" x14ac:dyDescent="0.3">
      <c r="A3936" t="str">
        <f>HYPERLINK("https://us2.cloudbeds.com/connect/10074733072513#/reservations/31681928327391?display=MHCNN594B&amp;reservation_id=31681928327391", "MHCNN594B")</f>
        <v>MHCNN594B</v>
      </c>
      <c r="B3936" t="s">
        <v>10</v>
      </c>
      <c r="C3936" t="s">
        <v>17</v>
      </c>
      <c r="D3936" t="str">
        <f>HYPERLINK("https://us2.cloudbeds.com/connect/10074733072513#/reservations/31681928327391?display=Frederick%20Bailey&amp;reservation_id=31681928327391&amp;guest_id=31681928327375", "Frederick Bailey")</f>
        <v>Frederick Bailey</v>
      </c>
      <c r="E3936" t="s">
        <v>5586</v>
      </c>
      <c r="F3936" t="s">
        <v>5587</v>
      </c>
      <c r="G3936">
        <v>608.4</v>
      </c>
      <c r="H3936">
        <v>661.32</v>
      </c>
      <c r="I3936">
        <v>661.33</v>
      </c>
      <c r="J3936">
        <v>-0.01</v>
      </c>
    </row>
    <row r="3937" spans="1:10" x14ac:dyDescent="0.3">
      <c r="A3937" t="str">
        <f>HYPERLINK("https://us2.cloudbeds.com/connect/10074733072513#/reservations/31678048514243?display=MH9NXJZVV&amp;reservation_id=31678048514243", "MH9NXJZVV")</f>
        <v>MH9NXJZVV</v>
      </c>
      <c r="B3937" t="s">
        <v>10</v>
      </c>
      <c r="C3937" t="s">
        <v>14</v>
      </c>
      <c r="D3937" t="str">
        <f>HYPERLINK("https://us2.cloudbeds.com/connect/10074733072513#/reservations/31678048514243?display=Patrick%20Mckinney&amp;reservation_id=31678048514243&amp;guest_id=31678041501858", "Patrick Mckinney")</f>
        <v>Patrick Mckinney</v>
      </c>
      <c r="E3937" t="s">
        <v>5588</v>
      </c>
      <c r="F3937" t="s">
        <v>5578</v>
      </c>
      <c r="G3937">
        <v>87.2</v>
      </c>
      <c r="H3937">
        <v>94.78</v>
      </c>
      <c r="I3937">
        <v>94.79</v>
      </c>
      <c r="J3937">
        <v>-0.01</v>
      </c>
    </row>
    <row r="3938" spans="1:10" x14ac:dyDescent="0.3">
      <c r="A3938" t="str">
        <f>HYPERLINK("https://us2.cloudbeds.com/connect/10074733072513#/reservations/31677047296213?display=MH8UWBCRY&amp;reservation_id=31677047296213", "MH8UWBCRY")</f>
        <v>MH8UWBCRY</v>
      </c>
      <c r="B3938" t="s">
        <v>10</v>
      </c>
      <c r="C3938" t="s">
        <v>14</v>
      </c>
      <c r="D3938" t="str">
        <f>HYPERLINK("https://us2.cloudbeds.com/connect/10074733072513#/reservations/31677047296213?display=Lynn%20Grocott&amp;reservation_id=31677047296213&amp;guest_id=31677041696957", "Lynn Grocott")</f>
        <v>Lynn Grocott</v>
      </c>
      <c r="E3938" t="s">
        <v>5589</v>
      </c>
      <c r="F3938" t="s">
        <v>5590</v>
      </c>
      <c r="G3938">
        <v>375.3</v>
      </c>
      <c r="H3938">
        <v>407.94</v>
      </c>
      <c r="I3938">
        <v>407.95</v>
      </c>
      <c r="J3938">
        <v>-0.01</v>
      </c>
    </row>
    <row r="3939" spans="1:10" x14ac:dyDescent="0.3">
      <c r="A3939" t="str">
        <f>HYPERLINK("https://us2.cloudbeds.com/connect/10074733072513#/reservations/31677792153796?display=MH9H0E4UX&amp;reservation_id=31677792153796", "MH9H0E4UX")</f>
        <v>MH9H0E4UX</v>
      </c>
      <c r="B3939" t="s">
        <v>10</v>
      </c>
      <c r="C3939" t="s">
        <v>11</v>
      </c>
      <c r="D3939" t="str">
        <f>HYPERLINK("https://us2.cloudbeds.com/connect/10074733072513#/reservations/31677792153796?display=Mindy%20Roeder&amp;reservation_id=31677792153796&amp;guest_id=31677792149759", "Mindy Roeder")</f>
        <v>Mindy Roeder</v>
      </c>
      <c r="E3939" t="s">
        <v>5595</v>
      </c>
      <c r="F3939" t="s">
        <v>5482</v>
      </c>
      <c r="G3939">
        <v>72.72</v>
      </c>
      <c r="H3939">
        <v>79.040000000000006</v>
      </c>
      <c r="I3939">
        <v>79.05</v>
      </c>
      <c r="J3939">
        <v>-0.01</v>
      </c>
    </row>
    <row r="3940" spans="1:10" x14ac:dyDescent="0.3">
      <c r="A3940" t="str">
        <f>HYPERLINK("https://us2.cloudbeds.com/connect/10074733072513#/reservations/31674776645850?display=MH75VM6ET&amp;reservation_id=31674776645850", "MH75VM6ET")</f>
        <v>MH75VM6ET</v>
      </c>
      <c r="B3940" t="s">
        <v>10</v>
      </c>
      <c r="C3940" t="s">
        <v>11</v>
      </c>
      <c r="D3940" t="str">
        <f>HYPERLINK("https://us2.cloudbeds.com/connect/10074733072513#/reservations/31674776645850?display=Angela%20Koterwski&amp;reservation_id=31674776645850&amp;guest_id=31674776645832", "Angela Koterwski")</f>
        <v>Angela Koterwski</v>
      </c>
      <c r="E3940" t="s">
        <v>1319</v>
      </c>
      <c r="F3940" t="s">
        <v>5250</v>
      </c>
      <c r="G3940">
        <v>137.76</v>
      </c>
      <c r="H3940">
        <v>149.74</v>
      </c>
      <c r="I3940">
        <v>149.75</v>
      </c>
      <c r="J3940">
        <v>-0.01</v>
      </c>
    </row>
    <row r="3941" spans="1:10" x14ac:dyDescent="0.3">
      <c r="A3941" t="str">
        <f>HYPERLINK("https://us2.cloudbeds.com/connect/10074733072513#/reservations/31678686621840?display=MHA6SM1BQ&amp;reservation_id=31678686621840", "MHA6SM1BQ")</f>
        <v>MHA6SM1BQ</v>
      </c>
      <c r="B3941" t="s">
        <v>10</v>
      </c>
      <c r="C3941" t="s">
        <v>23</v>
      </c>
      <c r="D3941" t="str">
        <f>HYPERLINK("https://us2.cloudbeds.com/connect/10074733072513#/reservations/31678686621840?display=Allen%20Bonderman&amp;reservation_id=31678686621840&amp;guest_id=31678686621838", "Allen Bonderman")</f>
        <v>Allen Bonderman</v>
      </c>
      <c r="E3941" t="s">
        <v>5604</v>
      </c>
      <c r="F3941" t="s">
        <v>5265</v>
      </c>
      <c r="G3941">
        <v>304.2</v>
      </c>
      <c r="H3941">
        <v>330.66</v>
      </c>
      <c r="I3941">
        <v>330.67</v>
      </c>
      <c r="J3941">
        <v>-0.01</v>
      </c>
    </row>
    <row r="3942" spans="1:10" x14ac:dyDescent="0.3">
      <c r="A3942" t="str">
        <f>HYPERLINK("https://us2.cloudbeds.com/connect/10074733072513#/reservations/31674788516004?display=MH768MGGH&amp;reservation_id=31674788516004", "MH768MGGH")</f>
        <v>MH768MGGH</v>
      </c>
      <c r="B3942" t="s">
        <v>10</v>
      </c>
      <c r="C3942" t="s">
        <v>121</v>
      </c>
      <c r="D3942" t="str">
        <f>HYPERLINK("https://us2.cloudbeds.com/connect/10074733072513#/reservations/31674788516004?display=Nylarose%20Tornow&amp;reservation_id=31674788516004&amp;guest_id=31674781331655", "Nylarose Tornow")</f>
        <v>Nylarose Tornow</v>
      </c>
      <c r="E3942" t="s">
        <v>5606</v>
      </c>
      <c r="F3942" t="s">
        <v>5355</v>
      </c>
      <c r="G3942">
        <v>118.15</v>
      </c>
      <c r="H3942">
        <v>128.41999999999999</v>
      </c>
      <c r="I3942">
        <v>128.43</v>
      </c>
      <c r="J3942">
        <v>-0.01</v>
      </c>
    </row>
    <row r="3943" spans="1:10" x14ac:dyDescent="0.3">
      <c r="A3943" t="str">
        <f>HYPERLINK("https://us2.cloudbeds.com/connect/10074733072513#/reservations/31678265811085?display=MH9T3RBUZ&amp;reservation_id=31678265811085", "MH9T3RBUZ")</f>
        <v>MH9T3RBUZ</v>
      </c>
      <c r="B3943" t="s">
        <v>10</v>
      </c>
      <c r="C3943" t="s">
        <v>11</v>
      </c>
      <c r="D3943" t="str">
        <f>HYPERLINK("https://us2.cloudbeds.com/connect/10074733072513#/reservations/31678265811085?display=Kristi%20Baker&amp;reservation_id=31678265811085&amp;guest_id=31678265811080", "Kristi Baker")</f>
        <v>Kristi Baker</v>
      </c>
      <c r="E3943" t="s">
        <v>5609</v>
      </c>
      <c r="F3943" t="s">
        <v>5340</v>
      </c>
      <c r="G3943">
        <v>196.2</v>
      </c>
      <c r="H3943">
        <v>213.26</v>
      </c>
      <c r="I3943">
        <v>213.27</v>
      </c>
      <c r="J3943">
        <v>-0.01</v>
      </c>
    </row>
    <row r="3944" spans="1:10" x14ac:dyDescent="0.3">
      <c r="A3944" t="str">
        <f>HYPERLINK("https://us2.cloudbeds.com/connect/10074733072513#/reservations/31676666839255?display=MH8Y8HK7U&amp;reservation_id=31676666839255", "MH8Y8HK7U")</f>
        <v>MH8Y8HK7U</v>
      </c>
      <c r="B3944" t="s">
        <v>10</v>
      </c>
      <c r="C3944" t="s">
        <v>42</v>
      </c>
      <c r="D3944" t="str">
        <f>HYPERLINK("https://us2.cloudbeds.com/connect/10074733072513#/reservations/31676666839255?display=Craig%20Miller&amp;reservation_id=31676666839255&amp;guest_id=31676666839250", "Craig Miller")</f>
        <v>Craig Miller</v>
      </c>
      <c r="E3944" t="s">
        <v>5622</v>
      </c>
      <c r="F3944" t="s">
        <v>4346</v>
      </c>
      <c r="G3944">
        <v>304.2</v>
      </c>
      <c r="H3944">
        <v>330.66</v>
      </c>
      <c r="I3944">
        <v>330.67</v>
      </c>
      <c r="J3944">
        <v>-0.01</v>
      </c>
    </row>
    <row r="3945" spans="1:10" x14ac:dyDescent="0.3">
      <c r="A3945" t="str">
        <f>HYPERLINK("https://us2.cloudbeds.com/connect/10074733072513#/reservations/31675169976523?display=MH7G0B6Y6&amp;reservation_id=31675169976523", "MH7G0B6Y6")</f>
        <v>MH7G0B6Y6</v>
      </c>
      <c r="B3945" t="s">
        <v>10</v>
      </c>
      <c r="C3945" t="s">
        <v>11</v>
      </c>
      <c r="D3945" t="str">
        <f>HYPERLINK("https://us2.cloudbeds.com/connect/10074733072513#/reservations/31675169976523?display=Ashley%20Sherman&amp;reservation_id=31675169976523&amp;guest_id=31675169972476", "Ashley Sherman")</f>
        <v>Ashley Sherman</v>
      </c>
      <c r="E3945" t="s">
        <v>5625</v>
      </c>
      <c r="F3945" t="s">
        <v>5149</v>
      </c>
      <c r="G3945">
        <v>94.16</v>
      </c>
      <c r="H3945">
        <v>102.34</v>
      </c>
      <c r="I3945">
        <v>102.35</v>
      </c>
      <c r="J3945">
        <v>-0.01</v>
      </c>
    </row>
    <row r="3946" spans="1:10" x14ac:dyDescent="0.3">
      <c r="A3946" t="str">
        <f>HYPERLINK("https://us2.cloudbeds.com/connect/10074733072513#/reservations/31675151044850?display=MH7FHCD64&amp;reservation_id=31675151044850", "MH7FHCD64")</f>
        <v>MH7FHCD64</v>
      </c>
      <c r="B3946" t="s">
        <v>10</v>
      </c>
      <c r="C3946" t="s">
        <v>14</v>
      </c>
      <c r="D3946" t="str">
        <f>HYPERLINK("https://us2.cloudbeds.com/connect/10074733072513#/reservations/31675151044850?display=Scott%20Swim&amp;reservation_id=31675151044850&amp;guest_id=31675151044802", "Scott Swim")</f>
        <v>Scott Swim</v>
      </c>
      <c r="E3946" t="s">
        <v>5629</v>
      </c>
      <c r="F3946" t="s">
        <v>5551</v>
      </c>
      <c r="G3946">
        <v>94.16</v>
      </c>
      <c r="H3946">
        <v>102.34</v>
      </c>
      <c r="I3946">
        <v>102.35</v>
      </c>
      <c r="J3946">
        <v>-0.01</v>
      </c>
    </row>
    <row r="3947" spans="1:10" x14ac:dyDescent="0.3">
      <c r="A3947" t="str">
        <f>HYPERLINK("https://us2.cloudbeds.com/connect/10074733072513#/reservations/31676052017348?display=MH85X39G1&amp;reservation_id=31676052017348", "MH85X39G1")</f>
        <v>MH85X39G1</v>
      </c>
      <c r="B3947" t="s">
        <v>10</v>
      </c>
      <c r="C3947" t="s">
        <v>42</v>
      </c>
      <c r="D3947" t="str">
        <f>HYPERLINK("https://us2.cloudbeds.com/connect/10074733072513#/reservations/31676052017348?display=Alexia%20Werdel&amp;reservation_id=31676052017348&amp;guest_id=31676043333863", "Alexia Werdel")</f>
        <v>Alexia Werdel</v>
      </c>
      <c r="E3947" t="s">
        <v>28</v>
      </c>
      <c r="F3947" t="s">
        <v>5234</v>
      </c>
      <c r="G3947">
        <v>268.2</v>
      </c>
      <c r="H3947">
        <v>291.52</v>
      </c>
      <c r="I3947">
        <v>291.52999999999997</v>
      </c>
      <c r="J3947">
        <v>-0.01</v>
      </c>
    </row>
    <row r="3948" spans="1:10" x14ac:dyDescent="0.3">
      <c r="A3948" t="str">
        <f>HYPERLINK("https://us2.cloudbeds.com/connect/10074733072513#/reservations/31675419881615?display=MH7MD25TP&amp;reservation_id=31675419881615", "MH7MD25TP")</f>
        <v>MH7MD25TP</v>
      </c>
      <c r="B3948" t="s">
        <v>10</v>
      </c>
      <c r="C3948" t="s">
        <v>20</v>
      </c>
      <c r="D3948" t="str">
        <f>HYPERLINK("https://us2.cloudbeds.com/connect/10074733072513#/reservations/31675419881615?display=Bonnie%20Koster&amp;reservation_id=31675419881615&amp;guest_id=31675410735233", "Bonnie Koster")</f>
        <v>Bonnie Koster</v>
      </c>
      <c r="E3948" t="s">
        <v>5647</v>
      </c>
      <c r="F3948" t="s">
        <v>5256</v>
      </c>
      <c r="G3948">
        <v>169.15</v>
      </c>
      <c r="H3948">
        <v>183.86</v>
      </c>
      <c r="I3948">
        <v>183.87</v>
      </c>
      <c r="J3948">
        <v>-0.01</v>
      </c>
    </row>
    <row r="3949" spans="1:10" x14ac:dyDescent="0.3">
      <c r="A3949" t="str">
        <f>HYPERLINK("https://us2.cloudbeds.com/connect/10074733072513#/reservations/31678259069117?display=MH9SV4ZVM&amp;reservation_id=31678259069117", "MH9SV4ZVM")</f>
        <v>MH9SV4ZVM</v>
      </c>
      <c r="B3949" t="s">
        <v>10</v>
      </c>
      <c r="C3949" t="s">
        <v>11</v>
      </c>
      <c r="D3949" t="str">
        <f>HYPERLINK("https://us2.cloudbeds.com/connect/10074733072513#/reservations/31678259069117?display=Ashlee%20Ament&amp;reservation_id=31678259069117&amp;guest_id=31678259069113", "Ashlee Ament")</f>
        <v>Ashlee Ament</v>
      </c>
      <c r="E3949" t="s">
        <v>5506</v>
      </c>
      <c r="F3949" t="s">
        <v>4448</v>
      </c>
      <c r="G3949">
        <v>72.72</v>
      </c>
      <c r="H3949">
        <v>79.040000000000006</v>
      </c>
      <c r="I3949">
        <v>79.05</v>
      </c>
      <c r="J3949">
        <v>-0.01</v>
      </c>
    </row>
    <row r="3950" spans="1:10" x14ac:dyDescent="0.3">
      <c r="A3950" t="str">
        <f>HYPERLINK("https://us2.cloudbeds.com/connect/10074733072513#/reservations/31676936945885?display=MH8S59Z1A&amp;reservation_id=31676936945885", "MH8S59Z1A")</f>
        <v>MH8S59Z1A</v>
      </c>
      <c r="B3950" t="s">
        <v>10</v>
      </c>
      <c r="C3950" t="s">
        <v>11</v>
      </c>
      <c r="D3950" t="str">
        <f>HYPERLINK("https://us2.cloudbeds.com/connect/10074733072513#/reservations/31676936945885?display=Maggie%20Mae%20Fiscel&amp;reservation_id=31676936945885&amp;guest_id=31676936941804", "Maggie Mae Fiscel")</f>
        <v>Maggie Mae Fiscel</v>
      </c>
      <c r="E3950" t="s">
        <v>4740</v>
      </c>
      <c r="F3950" t="s">
        <v>5234</v>
      </c>
      <c r="G3950">
        <v>94.16</v>
      </c>
      <c r="H3950">
        <v>102.34</v>
      </c>
      <c r="I3950">
        <v>102.35</v>
      </c>
      <c r="J3950">
        <v>-0.01</v>
      </c>
    </row>
    <row r="3951" spans="1:10" x14ac:dyDescent="0.3">
      <c r="A3951" t="str">
        <f>HYPERLINK("https://us2.cloudbeds.com/connect/10074733072513#/reservations/31675879305399?display=MH814FAYK&amp;reservation_id=31675879305399", "MH814FAYK")</f>
        <v>MH814FAYK</v>
      </c>
      <c r="B3951" t="s">
        <v>10</v>
      </c>
      <c r="C3951" t="s">
        <v>17</v>
      </c>
      <c r="D3951" t="str">
        <f>HYPERLINK("https://us2.cloudbeds.com/connect/10074733072513#/reservations/31675879305399?display=Karen%20Stelton&amp;reservation_id=31675879305399&amp;guest_id=31675871084768", "Karen Stelton")</f>
        <v>Karen Stelton</v>
      </c>
      <c r="E3951" t="s">
        <v>5651</v>
      </c>
      <c r="F3951" t="s">
        <v>4846</v>
      </c>
      <c r="G3951">
        <v>447.3</v>
      </c>
      <c r="H3951">
        <v>486.21</v>
      </c>
      <c r="I3951">
        <v>486.22</v>
      </c>
      <c r="J3951">
        <v>-0.01</v>
      </c>
    </row>
    <row r="3952" spans="1:10" x14ac:dyDescent="0.3">
      <c r="A3952" t="str">
        <f>HYPERLINK("https://us2.cloudbeds.com/connect/10074733072513#/reservations/31674794430672?display=MH76DM2PT&amp;reservation_id=31674794430672", "MH76DM2PT")</f>
        <v>MH76DM2PT</v>
      </c>
      <c r="B3952" t="s">
        <v>10</v>
      </c>
      <c r="C3952" t="s">
        <v>11</v>
      </c>
      <c r="D3952" t="str">
        <f>HYPERLINK("https://us2.cloudbeds.com/connect/10074733072513#/reservations/31674794430672?display=Thomas%20Shipman&amp;reservation_id=31674794430672&amp;guest_id=31674794426580", "Thomas Shipman")</f>
        <v>Thomas Shipman</v>
      </c>
      <c r="E3952" t="s">
        <v>4740</v>
      </c>
      <c r="F3952" t="s">
        <v>5653</v>
      </c>
      <c r="G3952">
        <v>290.83999999999997</v>
      </c>
      <c r="H3952">
        <v>316.13</v>
      </c>
      <c r="I3952">
        <v>316.14</v>
      </c>
      <c r="J3952">
        <v>-0.01</v>
      </c>
    </row>
    <row r="3953" spans="1:10" x14ac:dyDescent="0.3">
      <c r="A3953" t="str">
        <f>HYPERLINK("https://us2.cloudbeds.com/connect/10074733072513#/reservations/31678384091274?display=MH9W4XMGT&amp;reservation_id=31678384091274", "MH9W4XMGT")</f>
        <v>MH9W4XMGT</v>
      </c>
      <c r="B3953" t="s">
        <v>10</v>
      </c>
      <c r="C3953" t="s">
        <v>20</v>
      </c>
      <c r="D3953" t="str">
        <f>HYPERLINK("https://us2.cloudbeds.com/connect/10074733072513#/reservations/31678384091274?display=Kari%20Mikolyzk&amp;reservation_id=31678384091274&amp;guest_id=31678384087193", "Kari Mikolyzk")</f>
        <v>Kari Mikolyzk</v>
      </c>
      <c r="E3953" t="s">
        <v>5657</v>
      </c>
      <c r="F3953" t="s">
        <v>3334</v>
      </c>
      <c r="G3953">
        <v>134.1</v>
      </c>
      <c r="H3953">
        <v>145.76</v>
      </c>
      <c r="I3953">
        <v>145.77000000000001</v>
      </c>
      <c r="J3953">
        <v>-0.01</v>
      </c>
    </row>
    <row r="3954" spans="1:10" x14ac:dyDescent="0.3">
      <c r="A3954" t="str">
        <f>HYPERLINK("https://us2.cloudbeds.com/connect/10074733072513#/reservations/31675948052682?display=MH82TEAFK&amp;reservation_id=31675948052682", "MH82TEAFK")</f>
        <v>MH82TEAFK</v>
      </c>
      <c r="B3954" t="s">
        <v>10</v>
      </c>
      <c r="C3954" t="s">
        <v>42</v>
      </c>
      <c r="D3954" t="str">
        <f>HYPERLINK("https://us2.cloudbeds.com/connect/10074733072513#/reservations/31675948052682?display=Roberta%20Watts&amp;reservation_id=31675948052682&amp;guest_id=31675948052677", "Roberta Watts")</f>
        <v>Roberta Watts</v>
      </c>
      <c r="E3954" t="s">
        <v>5659</v>
      </c>
      <c r="F3954" t="s">
        <v>5286</v>
      </c>
      <c r="G3954">
        <v>143.65</v>
      </c>
      <c r="H3954">
        <v>156.13999999999999</v>
      </c>
      <c r="I3954">
        <v>156.15</v>
      </c>
      <c r="J3954">
        <v>-0.01</v>
      </c>
    </row>
    <row r="3955" spans="1:10" x14ac:dyDescent="0.3">
      <c r="A3955" t="str">
        <f>HYPERLINK("https://us2.cloudbeds.com/connect/10074733072513#/reservations/31676018569434?display=MH84MTX4T&amp;reservation_id=31676018569434", "MH84MTX4T")</f>
        <v>MH84MTX4T</v>
      </c>
      <c r="B3955" t="s">
        <v>10</v>
      </c>
      <c r="C3955" t="s">
        <v>11</v>
      </c>
      <c r="D3955" t="str">
        <f>HYPERLINK("https://us2.cloudbeds.com/connect/10074733072513#/reservations/31676018569434?display=Emily%20Rabanales&amp;reservation_id=31676018569434&amp;guest_id=31676018569429", "Emily Rabanales")</f>
        <v>Emily Rabanales</v>
      </c>
      <c r="E3955" t="s">
        <v>5506</v>
      </c>
      <c r="F3955" t="s">
        <v>5234</v>
      </c>
      <c r="G3955">
        <v>94.16</v>
      </c>
      <c r="H3955">
        <v>102.34</v>
      </c>
      <c r="I3955">
        <v>102.35</v>
      </c>
      <c r="J3955">
        <v>-0.01</v>
      </c>
    </row>
    <row r="3956" spans="1:10" x14ac:dyDescent="0.3">
      <c r="A3956" t="str">
        <f>HYPERLINK("https://us2.cloudbeds.com/connect/10074733072513#/reservations/31675011530965?display=MH7BVZ78Y&amp;reservation_id=31675011530965", "MH7BVZ78Y")</f>
        <v>MH7BVZ78Y</v>
      </c>
      <c r="B3956" t="s">
        <v>10</v>
      </c>
      <c r="C3956" t="s">
        <v>20</v>
      </c>
      <c r="D3956" t="str">
        <f>HYPERLINK("https://us2.cloudbeds.com/connect/10074733072513#/reservations/31675011530965?display=Lance%20Bergh&amp;reservation_id=31675011530965&amp;guest_id=31675002200196", "Lance Bergh")</f>
        <v>Lance Bergh</v>
      </c>
      <c r="E3956" t="s">
        <v>5663</v>
      </c>
      <c r="F3956" t="s">
        <v>5413</v>
      </c>
      <c r="G3956">
        <v>120.32</v>
      </c>
      <c r="H3956">
        <v>130.78</v>
      </c>
      <c r="I3956">
        <v>130.79</v>
      </c>
      <c r="J3956">
        <v>-0.01</v>
      </c>
    </row>
    <row r="3957" spans="1:10" x14ac:dyDescent="0.3">
      <c r="A3957" t="str">
        <f>HYPERLINK("https://us2.cloudbeds.com/connect/10074733072513#/reservations/31676112568519?display=MH8735710&amp;reservation_id=31676112568519", "MH8735710")</f>
        <v>MH8735710</v>
      </c>
      <c r="B3957" t="s">
        <v>10</v>
      </c>
      <c r="C3957" t="s">
        <v>11</v>
      </c>
      <c r="D3957" t="str">
        <f>HYPERLINK("https://us2.cloudbeds.com/connect/10074733072513#/reservations/31676112568519?display=Norma%20Herren&amp;reservation_id=31676112568519&amp;guest_id=31676112568516", "Norma Herren")</f>
        <v>Norma Herren</v>
      </c>
      <c r="E3957" t="s">
        <v>1933</v>
      </c>
      <c r="F3957" t="s">
        <v>5234</v>
      </c>
      <c r="G3957">
        <v>94.16</v>
      </c>
      <c r="H3957">
        <v>102.34</v>
      </c>
      <c r="I3957">
        <v>102.35</v>
      </c>
      <c r="J3957">
        <v>-0.01</v>
      </c>
    </row>
    <row r="3958" spans="1:10" x14ac:dyDescent="0.3">
      <c r="A3958" t="str">
        <f>HYPERLINK("https://us2.cloudbeds.com/connect/10074733072513#/reservations/31674905067676?display=MH797VNRC&amp;reservation_id=31674905067676", "MH797VNRC")</f>
        <v>MH797VNRC</v>
      </c>
      <c r="B3958" t="s">
        <v>10</v>
      </c>
      <c r="C3958" t="s">
        <v>20</v>
      </c>
      <c r="D3958" t="str">
        <f>HYPERLINK("https://us2.cloudbeds.com/connect/10074733072513#/reservations/31674905067676?display=Cody%20Vruwink&amp;reservation_id=31674905067676&amp;guest_id=31674905067671", "Cody Vruwink")</f>
        <v>Cody Vruwink</v>
      </c>
      <c r="E3958" t="s">
        <v>5676</v>
      </c>
      <c r="F3958" t="s">
        <v>5446</v>
      </c>
      <c r="G3958">
        <v>120.32</v>
      </c>
      <c r="H3958">
        <v>130.78</v>
      </c>
      <c r="I3958">
        <v>130.79</v>
      </c>
      <c r="J3958">
        <v>-0.01</v>
      </c>
    </row>
    <row r="3959" spans="1:10" x14ac:dyDescent="0.3">
      <c r="A3959" t="str">
        <f>HYPERLINK("https://us2.cloudbeds.com/connect/10074733072513#/reservations/31686939590858?display=MHGJZQ2A1&amp;reservation_id=31686939590858", "MHGJZQ2A1")</f>
        <v>MHGJZQ2A1</v>
      </c>
      <c r="B3959" t="s">
        <v>10</v>
      </c>
      <c r="C3959" t="s">
        <v>42</v>
      </c>
      <c r="D3959" t="str">
        <f>HYPERLINK("https://us2.cloudbeds.com/connect/10074733072513#/reservations/31686939590858?display=Sandra%20Moore&amp;reservation_id=31686939590858&amp;guest_id=31686932455583", "Sandra Moore")</f>
        <v>Sandra Moore</v>
      </c>
      <c r="E3959" t="s">
        <v>4658</v>
      </c>
      <c r="F3959" t="s">
        <v>5661</v>
      </c>
      <c r="G3959">
        <v>676</v>
      </c>
      <c r="H3959">
        <v>734.8</v>
      </c>
      <c r="I3959">
        <v>734.81</v>
      </c>
      <c r="J3959">
        <v>-0.01</v>
      </c>
    </row>
    <row r="3960" spans="1:10" x14ac:dyDescent="0.3">
      <c r="A3960" t="str">
        <f>HYPERLINK("https://us2.cloudbeds.com/connect/10074733072513#/reservations/31674897670342?display=MH791NT1Z&amp;reservation_id=31674897670342", "MH791NT1Z")</f>
        <v>MH791NT1Z</v>
      </c>
      <c r="B3960" t="s">
        <v>10</v>
      </c>
      <c r="C3960" t="s">
        <v>20</v>
      </c>
      <c r="D3960" t="str">
        <f>HYPERLINK("https://us2.cloudbeds.com/connect/10074733072513#/reservations/31674897670342?display=Vicki%20Wiskerchen&amp;reservation_id=31674897670342&amp;guest_id=31674897670337", "Vicki Wiskerchen")</f>
        <v>Vicki Wiskerchen</v>
      </c>
      <c r="E3960" t="s">
        <v>5676</v>
      </c>
      <c r="F3960" t="s">
        <v>5446</v>
      </c>
      <c r="G3960">
        <v>120.32</v>
      </c>
      <c r="H3960">
        <v>130.78</v>
      </c>
      <c r="I3960">
        <v>130.79</v>
      </c>
      <c r="J3960">
        <v>-0.01</v>
      </c>
    </row>
    <row r="3961" spans="1:10" x14ac:dyDescent="0.3">
      <c r="A3961" t="str">
        <f>HYPERLINK("https://us2.cloudbeds.com/connect/10074733072513#/reservations/31678431363305?display=MHA0BE35M&amp;reservation_id=31678431363305", "MHA0BE35M")</f>
        <v>MHA0BE35M</v>
      </c>
      <c r="B3961" t="s">
        <v>10</v>
      </c>
      <c r="C3961" t="s">
        <v>42</v>
      </c>
      <c r="D3961" t="str">
        <f>HYPERLINK("https://us2.cloudbeds.com/connect/10074733072513#/reservations/31678431363305?display=Rick%20Hurd&amp;reservation_id=31678431363305&amp;guest_id=30682386702535", "Rick Hurd")</f>
        <v>Rick Hurd</v>
      </c>
      <c r="E3961" t="s">
        <v>5530</v>
      </c>
      <c r="F3961" t="s">
        <v>3334</v>
      </c>
      <c r="G3961">
        <v>134.1</v>
      </c>
      <c r="H3961">
        <v>145.76</v>
      </c>
      <c r="I3961">
        <v>145.77000000000001</v>
      </c>
      <c r="J3961">
        <v>-0.01</v>
      </c>
    </row>
    <row r="3962" spans="1:10" x14ac:dyDescent="0.3">
      <c r="A3962" t="str">
        <f>HYPERLINK("https://us2.cloudbeds.com/connect/10074733072513#/reservations/31674892443815?display=MH78UAEM4&amp;reservation_id=31674892443815", "MH78UAEM4")</f>
        <v>MH78UAEM4</v>
      </c>
      <c r="B3962" t="s">
        <v>10</v>
      </c>
      <c r="C3962" t="s">
        <v>121</v>
      </c>
      <c r="D3962" t="str">
        <f>HYPERLINK("https://us2.cloudbeds.com/connect/10074733072513#/reservations/31674892443815?display=Tommy%20Lee%20Bakken&amp;reservation_id=31674892443815&amp;guest_id=31674882203852", "Tommy Lee Bakken")</f>
        <v>Tommy Lee Bakken</v>
      </c>
      <c r="E3962" t="s">
        <v>5686</v>
      </c>
      <c r="F3962" t="s">
        <v>5446</v>
      </c>
      <c r="G3962">
        <v>250.2</v>
      </c>
      <c r="H3962">
        <v>271.95999999999998</v>
      </c>
      <c r="I3962">
        <v>271.97000000000003</v>
      </c>
      <c r="J3962">
        <v>-0.01</v>
      </c>
    </row>
    <row r="3963" spans="1:10" x14ac:dyDescent="0.3">
      <c r="A3963" t="str">
        <f>HYPERLINK("https://us2.cloudbeds.com/connect/10074733072513#/reservations/31675600355564?display=MH7R084CA&amp;reservation_id=31675600355564", "MH7R084CA")</f>
        <v>MH7R084CA</v>
      </c>
      <c r="B3963" t="s">
        <v>10</v>
      </c>
      <c r="C3963" t="s">
        <v>11</v>
      </c>
      <c r="D3963" t="str">
        <f>HYPERLINK("https://us2.cloudbeds.com/connect/10074733072513#/reservations/31675600355564?display=Brad%20Flayton&amp;reservation_id=31675600355564&amp;guest_id=31674179440848", "Brad Flayton")</f>
        <v>Brad Flayton</v>
      </c>
      <c r="E3963" t="s">
        <v>3869</v>
      </c>
      <c r="F3963" t="s">
        <v>5340</v>
      </c>
      <c r="G3963">
        <v>94.16</v>
      </c>
      <c r="H3963">
        <v>102.34</v>
      </c>
      <c r="I3963">
        <v>102.35</v>
      </c>
      <c r="J3963">
        <v>-0.01</v>
      </c>
    </row>
    <row r="3964" spans="1:10" x14ac:dyDescent="0.3">
      <c r="A3964" t="str">
        <f>HYPERLINK("https://us2.cloudbeds.com/connect/10074733072513#/reservations/31676995870867?display=MH8TYWD9R&amp;reservation_id=31676995870867", "MH8TYWD9R")</f>
        <v>MH8TYWD9R</v>
      </c>
      <c r="B3964" t="s">
        <v>10</v>
      </c>
      <c r="C3964" t="s">
        <v>42</v>
      </c>
      <c r="D3964" t="str">
        <f>HYPERLINK("https://us2.cloudbeds.com/connect/10074733072513#/reservations/31676995870867?display=Dan%20Weber&amp;reservation_id=31676995870867&amp;guest_id=31676983390402", "Dan Weber")</f>
        <v>Dan Weber</v>
      </c>
      <c r="E3964" t="s">
        <v>5695</v>
      </c>
      <c r="F3964" t="s">
        <v>5234</v>
      </c>
      <c r="G3964">
        <v>134.1</v>
      </c>
      <c r="H3964">
        <v>145.76</v>
      </c>
      <c r="I3964">
        <v>145.77000000000001</v>
      </c>
      <c r="J3964">
        <v>-0.01</v>
      </c>
    </row>
    <row r="3965" spans="1:10" x14ac:dyDescent="0.3">
      <c r="A3965" t="str">
        <f>HYPERLINK("https://us2.cloudbeds.com/connect/10074733072513#/reservations/31678422503631?display=MHA03VXXN&amp;reservation_id=31678422503631", "MHA03VXXN")</f>
        <v>MHA03VXXN</v>
      </c>
      <c r="B3965" t="s">
        <v>10</v>
      </c>
      <c r="C3965" t="s">
        <v>20</v>
      </c>
      <c r="D3965" t="str">
        <f>HYPERLINK("https://us2.cloudbeds.com/connect/10074733072513#/reservations/31678422503631?display=Timothy%20Cox&amp;reservation_id=31678422503631&amp;guest_id=31678422499535", "Timothy Cox")</f>
        <v>Timothy Cox</v>
      </c>
      <c r="E3965" t="s">
        <v>5697</v>
      </c>
      <c r="F3965" t="s">
        <v>3334</v>
      </c>
      <c r="G3965">
        <v>177.65</v>
      </c>
      <c r="H3965">
        <v>193.1</v>
      </c>
      <c r="I3965">
        <v>193.11</v>
      </c>
      <c r="J3965">
        <v>-0.01</v>
      </c>
    </row>
    <row r="3966" spans="1:10" x14ac:dyDescent="0.3">
      <c r="A3966" t="str">
        <f>HYPERLINK("https://us2.cloudbeds.com/connect/10074733072513#/reservations/31676925948053?display=MH8RT0N0M&amp;reservation_id=31676925948053", "MH8RT0N0M")</f>
        <v>MH8RT0N0M</v>
      </c>
      <c r="B3966" t="s">
        <v>10</v>
      </c>
      <c r="C3966" t="s">
        <v>42</v>
      </c>
      <c r="D3966" t="str">
        <f>HYPERLINK("https://us2.cloudbeds.com/connect/10074733072513#/reservations/31676925948053?display=Bob%20Willenburg&amp;reservation_id=31676925948053&amp;guest_id=31676925948049", "Bob Willenburg")</f>
        <v>Bob Willenburg</v>
      </c>
      <c r="E3966" t="s">
        <v>5699</v>
      </c>
      <c r="F3966" t="s">
        <v>3334</v>
      </c>
      <c r="G3966">
        <v>134.1</v>
      </c>
      <c r="H3966">
        <v>145.76</v>
      </c>
      <c r="I3966">
        <v>145.77000000000001</v>
      </c>
      <c r="J3966">
        <v>-0.01</v>
      </c>
    </row>
    <row r="3967" spans="1:10" x14ac:dyDescent="0.3">
      <c r="A3967" t="str">
        <f>HYPERLINK("https://us2.cloudbeds.com/connect/10074733072513#/reservations/31676734206086?display=MH8MWB6E1&amp;reservation_id=31676734206086", "MH8MWB6E1")</f>
        <v>MH8MWB6E1</v>
      </c>
      <c r="B3967" t="s">
        <v>10</v>
      </c>
      <c r="C3967" t="s">
        <v>20</v>
      </c>
      <c r="D3967" t="str">
        <f>HYPERLINK("https://us2.cloudbeds.com/connect/10074733072513#/reservations/31676734206086?display=Cassidy%20Jones&amp;reservation_id=31676734206086&amp;guest_id=31676726358190", "Cassidy Jones")</f>
        <v>Cassidy Jones</v>
      </c>
      <c r="E3967" t="s">
        <v>5702</v>
      </c>
      <c r="F3967" t="s">
        <v>4347</v>
      </c>
      <c r="G3967">
        <v>143.65</v>
      </c>
      <c r="H3967">
        <v>156.13999999999999</v>
      </c>
      <c r="I3967">
        <v>156.15</v>
      </c>
      <c r="J3967">
        <v>-0.01</v>
      </c>
    </row>
    <row r="3968" spans="1:10" x14ac:dyDescent="0.3">
      <c r="A3968" t="str">
        <f>HYPERLINK("https://us2.cloudbeds.com/connect/10074733072513#/reservations/31676060979426?display=MH85PYM45&amp;reservation_id=31676060979426", "MH85PYM45")</f>
        <v>MH85PYM45</v>
      </c>
      <c r="B3968" t="s">
        <v>10</v>
      </c>
      <c r="C3968" t="s">
        <v>121</v>
      </c>
      <c r="D3968" t="str">
        <f>HYPERLINK("https://us2.cloudbeds.com/connect/10074733072513#/reservations/31676060979426?display=Gavin%20Gangwich&amp;reservation_id=31676060979426&amp;guest_id=31676052021446", "Gavin Gangwich")</f>
        <v>Gavin Gangwich</v>
      </c>
      <c r="E3968" t="s">
        <v>5704</v>
      </c>
      <c r="F3968" t="s">
        <v>5234</v>
      </c>
      <c r="G3968">
        <v>268.2</v>
      </c>
      <c r="H3968">
        <v>291.52</v>
      </c>
      <c r="I3968">
        <v>291.52999999999997</v>
      </c>
      <c r="J3968">
        <v>-0.01</v>
      </c>
    </row>
    <row r="3969" spans="1:10" x14ac:dyDescent="0.3">
      <c r="A3969" t="str">
        <f>HYPERLINK("https://us2.cloudbeds.com/connect/10074733072513#/reservations/31676227821770?display=MH8A1BA1P&amp;reservation_id=31676227821770", "MH8A1BA1P")</f>
        <v>MH8A1BA1P</v>
      </c>
      <c r="B3969" t="s">
        <v>10</v>
      </c>
      <c r="C3969" t="s">
        <v>23</v>
      </c>
      <c r="D3969" t="str">
        <f>HYPERLINK("https://us2.cloudbeds.com/connect/10074733072513#/reservations/31676227821770?display=Mary%20Schuttloffel&amp;reservation_id=31676227821770&amp;guest_id=31676227821765", "Mary Schuttloffel")</f>
        <v>Mary Schuttloffel</v>
      </c>
      <c r="E3969" t="s">
        <v>5710</v>
      </c>
      <c r="F3969" t="s">
        <v>5646</v>
      </c>
      <c r="G3969">
        <v>268.2</v>
      </c>
      <c r="H3969">
        <v>291.52</v>
      </c>
      <c r="I3969">
        <v>291.52999999999997</v>
      </c>
      <c r="J3969">
        <v>-0.01</v>
      </c>
    </row>
    <row r="3970" spans="1:10" x14ac:dyDescent="0.3">
      <c r="A3970" t="str">
        <f>HYPERLINK("https://us2.cloudbeds.com/connect/10074733072513#/reservations/31676034924688?display=MH853MYZY&amp;reservation_id=31676034924688", "MH853MYZY")</f>
        <v>MH853MYZY</v>
      </c>
      <c r="B3970" t="s">
        <v>10</v>
      </c>
      <c r="C3970" t="s">
        <v>121</v>
      </c>
      <c r="D3970" t="str">
        <f>HYPERLINK("https://us2.cloudbeds.com/connect/10074733072513#/reservations/31676034924688?display=Brooke%20Barsell&amp;reservation_id=31676034924688&amp;guest_id=31676034924683", "Brooke Barsell")</f>
        <v>Brooke Barsell</v>
      </c>
      <c r="E3970" t="s">
        <v>5712</v>
      </c>
      <c r="F3970" t="s">
        <v>5234</v>
      </c>
      <c r="G3970">
        <v>134.1</v>
      </c>
      <c r="H3970">
        <v>145.76</v>
      </c>
      <c r="I3970">
        <v>145.77000000000001</v>
      </c>
      <c r="J3970">
        <v>-0.01</v>
      </c>
    </row>
    <row r="3971" spans="1:10" x14ac:dyDescent="0.3">
      <c r="A3971" t="str">
        <f>HYPERLINK("https://us2.cloudbeds.com/connect/10074733072513#/reservations/31676850319508?display=MH8PV87AJ&amp;reservation_id=31676850319508", "MH8PV87AJ")</f>
        <v>MH8PV87AJ</v>
      </c>
      <c r="B3971" t="s">
        <v>10</v>
      </c>
      <c r="C3971" t="s">
        <v>42</v>
      </c>
      <c r="D3971" t="str">
        <f>HYPERLINK("https://us2.cloudbeds.com/connect/10074733072513#/reservations/31676850319508?display=Mary%20Ernesti&amp;reservation_id=31676850319508&amp;guest_id=31676850319506", "Mary Ernesti")</f>
        <v>Mary Ernesti</v>
      </c>
      <c r="E3971" t="s">
        <v>5714</v>
      </c>
      <c r="F3971" t="s">
        <v>3334</v>
      </c>
      <c r="G3971">
        <v>134.1</v>
      </c>
      <c r="H3971">
        <v>145.76</v>
      </c>
      <c r="I3971">
        <v>145.77000000000001</v>
      </c>
      <c r="J3971">
        <v>-0.01</v>
      </c>
    </row>
    <row r="3972" spans="1:10" x14ac:dyDescent="0.3">
      <c r="A3972" t="str">
        <f>HYPERLINK("https://us2.cloudbeds.com/connect/10074733072513#/reservations/31676958105775?display=MH8SN4HK3&amp;reservation_id=31676958105775", "MH8SN4HK3")</f>
        <v>MH8SN4HK3</v>
      </c>
      <c r="B3972" t="s">
        <v>10</v>
      </c>
      <c r="C3972" t="s">
        <v>121</v>
      </c>
      <c r="D3972" t="str">
        <f>HYPERLINK("https://us2.cloudbeds.com/connect/10074733072513#/reservations/31676958105775?display=Arlin%20Todd%20Zoellner&amp;reservation_id=31676958105775&amp;guest_id=31676950905047", "Arlin Todd Zoellner")</f>
        <v>Arlin Todd Zoellner</v>
      </c>
      <c r="E3972" t="s">
        <v>5715</v>
      </c>
      <c r="F3972" t="s">
        <v>5234</v>
      </c>
      <c r="G3972">
        <v>268.2</v>
      </c>
      <c r="H3972">
        <v>291.52</v>
      </c>
      <c r="I3972">
        <v>291.52999999999997</v>
      </c>
      <c r="J3972">
        <v>-0.01</v>
      </c>
    </row>
    <row r="3973" spans="1:10" x14ac:dyDescent="0.3">
      <c r="A3973" t="str">
        <f>HYPERLINK("https://us2.cloudbeds.com/connect/10074733072513#/reservations/31676979445895?display=MH8T84BMD&amp;reservation_id=31676979445895", "MH8T84BMD")</f>
        <v>MH8T84BMD</v>
      </c>
      <c r="B3973" t="s">
        <v>10</v>
      </c>
      <c r="C3973" t="s">
        <v>11</v>
      </c>
      <c r="D3973" t="str">
        <f>HYPERLINK("https://us2.cloudbeds.com/connect/10074733072513#/reservations/31676979445895?display=Cynthia%20Nevin&amp;reservation_id=31676979445895&amp;guest_id=31676968354028", "Cynthia Nevin")</f>
        <v>Cynthia Nevin</v>
      </c>
      <c r="E3973" t="s">
        <v>1933</v>
      </c>
      <c r="F3973" t="s">
        <v>5234</v>
      </c>
      <c r="G3973">
        <v>94.16</v>
      </c>
      <c r="H3973">
        <v>102.34</v>
      </c>
      <c r="I3973">
        <v>102.35</v>
      </c>
      <c r="J3973">
        <v>-0.01</v>
      </c>
    </row>
    <row r="3974" spans="1:10" x14ac:dyDescent="0.3">
      <c r="A3974" t="str">
        <f>HYPERLINK("https://us2.cloudbeds.com/connect/10074733072513#/reservations/31676983386308?display=MH8TBF01S&amp;reservation_id=31676983386308", "MH8TBF01S")</f>
        <v>MH8TBF01S</v>
      </c>
      <c r="B3974" t="s">
        <v>10</v>
      </c>
      <c r="C3974" t="s">
        <v>11</v>
      </c>
      <c r="D3974" t="str">
        <f>HYPERLINK("https://us2.cloudbeds.com/connect/10074733072513#/reservations/31676983386308?display=Devin%20Maki&amp;reservation_id=31676983386308&amp;guest_id=31676983386306", "Devin Maki")</f>
        <v>Devin Maki</v>
      </c>
      <c r="E3974" t="s">
        <v>4775</v>
      </c>
      <c r="F3974" t="s">
        <v>5234</v>
      </c>
      <c r="G3974">
        <v>94.16</v>
      </c>
      <c r="H3974">
        <v>102.34</v>
      </c>
      <c r="I3974">
        <v>102.35</v>
      </c>
      <c r="J3974">
        <v>-0.01</v>
      </c>
    </row>
    <row r="3975" spans="1:10" x14ac:dyDescent="0.3">
      <c r="A3975" t="str">
        <f>HYPERLINK("https://us2.cloudbeds.com/connect/10074733072513#/reservations/31676150124758?display=MH881R8US&amp;reservation_id=31676150124758", "MH881R8US")</f>
        <v>MH881R8US</v>
      </c>
      <c r="B3975" t="s">
        <v>10</v>
      </c>
      <c r="C3975" t="s">
        <v>11</v>
      </c>
      <c r="D3975" t="str">
        <f>HYPERLINK("https://us2.cloudbeds.com/connect/10074733072513#/reservations/31676150124758?display=Jason%20Johnson&amp;reservation_id=31676150124758&amp;guest_id=31676150120670", "Jason Johnson")</f>
        <v>Jason Johnson</v>
      </c>
      <c r="E3975" t="s">
        <v>4030</v>
      </c>
      <c r="F3975" t="s">
        <v>5732</v>
      </c>
      <c r="G3975">
        <v>71.45</v>
      </c>
      <c r="H3975">
        <v>77.66</v>
      </c>
      <c r="I3975">
        <v>77.67</v>
      </c>
      <c r="J3975">
        <v>-0.01</v>
      </c>
    </row>
    <row r="3976" spans="1:10" x14ac:dyDescent="0.3">
      <c r="A3976" t="str">
        <f>HYPERLINK("https://us2.cloudbeds.com/connect/10074733072513#/reservations/31677275365575?display=MH93QYZUE&amp;reservation_id=31677275365575", "MH93QYZUE")</f>
        <v>MH93QYZUE</v>
      </c>
      <c r="B3976" t="s">
        <v>10</v>
      </c>
      <c r="C3976" t="s">
        <v>11</v>
      </c>
      <c r="D3976" t="str">
        <f>HYPERLINK("https://us2.cloudbeds.com/connect/10074733072513#/reservations/31677275365575?display=Kristina%20Tomlinson&amp;reservation_id=31677275365575&amp;guest_id=31677275365571", "Kristina Tomlinson")</f>
        <v>Kristina Tomlinson</v>
      </c>
      <c r="E3976" t="s">
        <v>5733</v>
      </c>
      <c r="F3976" t="s">
        <v>5265</v>
      </c>
      <c r="G3976">
        <v>170.1</v>
      </c>
      <c r="H3976">
        <v>184.89</v>
      </c>
      <c r="I3976">
        <v>184.9</v>
      </c>
      <c r="J3976">
        <v>-0.01</v>
      </c>
    </row>
    <row r="3977" spans="1:10" x14ac:dyDescent="0.3">
      <c r="A3977" t="str">
        <f>HYPERLINK("https://us2.cloudbeds.com/connect/10074733072513#/reservations/31677188268279?display=MH91J74PE&amp;reservation_id=31677188268279", "MH91J74PE")</f>
        <v>MH91J74PE</v>
      </c>
      <c r="B3977" t="s">
        <v>10</v>
      </c>
      <c r="C3977" t="s">
        <v>11</v>
      </c>
      <c r="D3977" t="str">
        <f>HYPERLINK("https://us2.cloudbeds.com/connect/10074733072513#/reservations/31677188268279?display=Ed%20Conrad&amp;reservation_id=31677188268279&amp;guest_id=31677174395038", "Ed Conrad")</f>
        <v>Ed Conrad</v>
      </c>
      <c r="E3977" t="s">
        <v>1319</v>
      </c>
      <c r="F3977" t="s">
        <v>5703</v>
      </c>
      <c r="G3977">
        <v>142.9</v>
      </c>
      <c r="H3977">
        <v>155.32</v>
      </c>
      <c r="I3977">
        <v>155.33000000000001</v>
      </c>
      <c r="J3977">
        <v>-0.01</v>
      </c>
    </row>
    <row r="3978" spans="1:10" x14ac:dyDescent="0.3">
      <c r="A3978" t="str">
        <f>HYPERLINK("https://us2.cloudbeds.com/connect/10074733072513#/reservations/31677164724353?display=MH90WC004&amp;reservation_id=31677164724353", "MH90WC004")</f>
        <v>MH90WC004</v>
      </c>
      <c r="B3978" t="s">
        <v>10</v>
      </c>
      <c r="C3978" t="s">
        <v>11</v>
      </c>
      <c r="D3978" t="str">
        <f>HYPERLINK("https://us2.cloudbeds.com/connect/10074733072513#/reservations/31677164724353?display=Ed%20Conrad&amp;reservation_id=31677164724353&amp;guest_id=31677164720259", "Ed Conrad")</f>
        <v>Ed Conrad</v>
      </c>
      <c r="E3978" t="s">
        <v>1319</v>
      </c>
      <c r="F3978" t="s">
        <v>5703</v>
      </c>
      <c r="G3978">
        <v>142.9</v>
      </c>
      <c r="H3978">
        <v>155.32</v>
      </c>
      <c r="I3978">
        <v>155.33000000000001</v>
      </c>
      <c r="J3978">
        <v>-0.01</v>
      </c>
    </row>
    <row r="3979" spans="1:10" x14ac:dyDescent="0.3">
      <c r="A3979" t="str">
        <f>HYPERLINK("https://us2.cloudbeds.com/connect/10074733072513#/reservations/31678669578487?display=MHA6E9PTX&amp;reservation_id=31678669578487", "MHA6E9PTX")</f>
        <v>MHA6E9PTX</v>
      </c>
      <c r="B3979" t="s">
        <v>10</v>
      </c>
      <c r="C3979" t="s">
        <v>20</v>
      </c>
      <c r="D3979" t="str">
        <f>HYPERLINK("https://us2.cloudbeds.com/connect/10074733072513#/reservations/31678669578487?display=Jessica%20Christensen&amp;reservation_id=31678669578487&amp;guest_id=31678669578484", "Jessica Christensen")</f>
        <v>Jessica Christensen</v>
      </c>
      <c r="E3979" t="s">
        <v>5736</v>
      </c>
      <c r="F3979" t="s">
        <v>5265</v>
      </c>
      <c r="G3979">
        <v>170.1</v>
      </c>
      <c r="H3979">
        <v>184.89</v>
      </c>
      <c r="I3979">
        <v>184.9</v>
      </c>
      <c r="J3979">
        <v>-0.01</v>
      </c>
    </row>
    <row r="3980" spans="1:10" x14ac:dyDescent="0.3">
      <c r="A3980" t="str">
        <f>HYPERLINK("https://us2.cloudbeds.com/connect/10074733072513#/reservations/31679759417556?display=MHB1995CT&amp;reservation_id=31679759417556", "MHB1995CT")</f>
        <v>MHB1995CT</v>
      </c>
      <c r="B3980" t="s">
        <v>10</v>
      </c>
      <c r="C3980" t="s">
        <v>42</v>
      </c>
      <c r="D3980" t="str">
        <f>HYPERLINK("https://us2.cloudbeds.com/connect/10074733072513#/reservations/31679759417556?display=Sharlene%20Nesbit%20Thuber&amp;reservation_id=31679759417556&amp;guest_id=31679759413464", "Sharlene Nesbit Thuber")</f>
        <v>Sharlene Nesbit Thuber</v>
      </c>
      <c r="E3980" t="s">
        <v>5737</v>
      </c>
      <c r="F3980" t="s">
        <v>5688</v>
      </c>
      <c r="G3980">
        <v>170.1</v>
      </c>
      <c r="H3980">
        <v>184.89</v>
      </c>
      <c r="I3980">
        <v>184.9</v>
      </c>
      <c r="J3980">
        <v>-0.01</v>
      </c>
    </row>
    <row r="3981" spans="1:10" x14ac:dyDescent="0.3">
      <c r="A3981" t="str">
        <f>HYPERLINK("https://us2.cloudbeds.com/connect/10074733072513#/reservations/31682440610000?display=MHD3Q49ZP&amp;reservation_id=31682440610000", "MHD3Q49ZP")</f>
        <v>MHD3Q49ZP</v>
      </c>
      <c r="B3981" t="s">
        <v>10</v>
      </c>
      <c r="C3981" t="s">
        <v>20</v>
      </c>
      <c r="D3981" t="str">
        <f>HYPERLINK("https://us2.cloudbeds.com/connect/10074733072513#/reservations/31682440610000?display=Qin%20Xu&amp;reservation_id=31682440610000&amp;guest_id=31682431942841", "Qin Xu")</f>
        <v>Qin Xu</v>
      </c>
      <c r="E3981" t="s">
        <v>5738</v>
      </c>
      <c r="F3981" t="s">
        <v>5283</v>
      </c>
      <c r="G3981">
        <v>152.15</v>
      </c>
      <c r="H3981">
        <v>165.38</v>
      </c>
      <c r="I3981">
        <v>165.39</v>
      </c>
      <c r="J3981">
        <v>-0.01</v>
      </c>
    </row>
    <row r="3982" spans="1:10" x14ac:dyDescent="0.3">
      <c r="A3982" t="str">
        <f>HYPERLINK("https://us2.cloudbeds.com/connect/10074733072513#/reservations/31682422644891?display=MHD3AWCSH&amp;reservation_id=31682422644891", "MHD3AWCSH")</f>
        <v>MHD3AWCSH</v>
      </c>
      <c r="B3982" t="s">
        <v>10</v>
      </c>
      <c r="C3982" t="s">
        <v>20</v>
      </c>
      <c r="D3982" t="str">
        <f>HYPERLINK("https://us2.cloudbeds.com/connect/10074733072513#/reservations/31682422644891?display=Yanyan%20Chen&amp;reservation_id=31682422644891&amp;guest_id=31682415173825", "Yanyan Chen")</f>
        <v>Yanyan Chen</v>
      </c>
      <c r="E3982" t="s">
        <v>5739</v>
      </c>
      <c r="F3982" t="s">
        <v>5283</v>
      </c>
      <c r="G3982">
        <v>304.3</v>
      </c>
      <c r="H3982">
        <v>330.76</v>
      </c>
      <c r="I3982">
        <v>330.77</v>
      </c>
      <c r="J3982">
        <v>-0.01</v>
      </c>
    </row>
    <row r="3983" spans="1:10" x14ac:dyDescent="0.3">
      <c r="A3983" t="str">
        <f>HYPERLINK("https://us2.cloudbeds.com/connect/10074733072513#/reservations/31676210221281?display=MH89JGHWJ&amp;reservation_id=31676210221281", "MH89JGHWJ")</f>
        <v>MH89JGHWJ</v>
      </c>
      <c r="B3983" t="s">
        <v>10</v>
      </c>
      <c r="C3983" t="s">
        <v>11</v>
      </c>
      <c r="D3983" t="str">
        <f>HYPERLINK("https://us2.cloudbeds.com/connect/10074733072513#/reservations/31676210221281?display=John%20Moore&amp;reservation_id=31676210221281&amp;guest_id=31676197707984", "John Moore")</f>
        <v>John Moore</v>
      </c>
      <c r="E3983" t="s">
        <v>4775</v>
      </c>
      <c r="F3983" t="s">
        <v>5646</v>
      </c>
      <c r="G3983">
        <v>71.45</v>
      </c>
      <c r="H3983">
        <v>77.66</v>
      </c>
      <c r="I3983">
        <v>77.67</v>
      </c>
      <c r="J3983">
        <v>-0.01</v>
      </c>
    </row>
    <row r="3984" spans="1:10" x14ac:dyDescent="0.3">
      <c r="A3984" t="str">
        <f>HYPERLINK("https://us2.cloudbeds.com/connect/10074733072513#/reservations/31678564827290?display=MHA3ZVUKS&amp;reservation_id=31678564827290", "MHA3ZVUKS")</f>
        <v>MHA3ZVUKS</v>
      </c>
      <c r="B3984" t="s">
        <v>10</v>
      </c>
      <c r="C3984" t="s">
        <v>20</v>
      </c>
      <c r="D3984" t="str">
        <f>HYPERLINK("https://us2.cloudbeds.com/connect/10074733072513#/reservations/31678564827290?display=Rose%20Gilbert&amp;reservation_id=31678564827290&amp;guest_id=31678564823195", "Rose Gilbert")</f>
        <v>Rose Gilbert</v>
      </c>
      <c r="E3984" t="s">
        <v>5761</v>
      </c>
      <c r="F3984" t="s">
        <v>5762</v>
      </c>
      <c r="G3984">
        <v>268.2</v>
      </c>
      <c r="H3984">
        <v>291.52</v>
      </c>
      <c r="I3984">
        <v>291.52999999999997</v>
      </c>
      <c r="J3984">
        <v>-0.01</v>
      </c>
    </row>
    <row r="3985" spans="1:10" x14ac:dyDescent="0.3">
      <c r="A3985" t="str">
        <f>HYPERLINK("https://us2.cloudbeds.com/connect/10074733072513#/reservations/31676243333264?display=MH8AEDUS1&amp;reservation_id=31676243333264", "MH8AEDUS1")</f>
        <v>MH8AEDUS1</v>
      </c>
      <c r="B3985" t="s">
        <v>10</v>
      </c>
      <c r="C3985" t="s">
        <v>20</v>
      </c>
      <c r="D3985" t="str">
        <f>HYPERLINK("https://us2.cloudbeds.com/connect/10074733072513#/reservations/31676243333264?display=Nick%20Read&amp;reservation_id=31676243333264&amp;guest_id=31676243333259", "Nick Read")</f>
        <v>Nick Read</v>
      </c>
      <c r="E3985" t="s">
        <v>5772</v>
      </c>
      <c r="F3985" t="s">
        <v>5646</v>
      </c>
      <c r="G3985">
        <v>110.3</v>
      </c>
      <c r="H3985">
        <v>119.89</v>
      </c>
      <c r="I3985">
        <v>119.9</v>
      </c>
      <c r="J3985">
        <v>-0.01</v>
      </c>
    </row>
    <row r="3986" spans="1:10" x14ac:dyDescent="0.3">
      <c r="A3986" t="str">
        <f>HYPERLINK("https://us2.cloudbeds.com/connect/10074733072513#/reservations/31678153109741?display=MH9Q7Q98G&amp;reservation_id=31678153109741", "MH9Q7Q98G")</f>
        <v>MH9Q7Q98G</v>
      </c>
      <c r="B3986" t="s">
        <v>10</v>
      </c>
      <c r="C3986" t="s">
        <v>11</v>
      </c>
      <c r="D3986" t="str">
        <f>HYPERLINK("https://us2.cloudbeds.com/connect/10074733072513#/reservations/31678153109741?display=Brittney%20Lechner&amp;reservation_id=31678153109741&amp;guest_id=31678153109736", "Brittney Lechner")</f>
        <v>Brittney Lechner</v>
      </c>
      <c r="E3986" t="s">
        <v>5774</v>
      </c>
      <c r="F3986" t="s">
        <v>5469</v>
      </c>
      <c r="G3986">
        <v>141.49</v>
      </c>
      <c r="H3986">
        <v>153.79</v>
      </c>
      <c r="I3986">
        <v>153.80000000000001</v>
      </c>
      <c r="J3986">
        <v>-0.01</v>
      </c>
    </row>
    <row r="3987" spans="1:10" x14ac:dyDescent="0.3">
      <c r="A3987" t="str">
        <f>HYPERLINK("https://us2.cloudbeds.com/connect/10074733072513#/reservations/31675110076576?display=MH7EFRD39&amp;reservation_id=31675110076576", "MH7EFRD39")</f>
        <v>MH7EFRD39</v>
      </c>
      <c r="B3987" t="s">
        <v>10</v>
      </c>
      <c r="C3987" t="s">
        <v>14</v>
      </c>
      <c r="D3987" t="str">
        <f>HYPERLINK("https://us2.cloudbeds.com/connect/10074733072513#/reservations/31675110076576?display=Jeremy%20Schroeder&amp;reservation_id=31675110076576&amp;guest_id=31675110076572", "Jeremy Schroeder")</f>
        <v>Jeremy Schroeder</v>
      </c>
      <c r="E3987" t="s">
        <v>5776</v>
      </c>
      <c r="F3987" t="s">
        <v>5646</v>
      </c>
      <c r="G3987">
        <v>79.38</v>
      </c>
      <c r="H3987">
        <v>86.28</v>
      </c>
      <c r="I3987">
        <v>86.29</v>
      </c>
      <c r="J3987">
        <v>-0.01</v>
      </c>
    </row>
    <row r="3988" spans="1:10" x14ac:dyDescent="0.3">
      <c r="A3988" t="str">
        <f>HYPERLINK("https://us2.cloudbeds.com/connect/10074733072513#/reservations/31678615552139?display=MHA51ZDUG&amp;reservation_id=31678615552139", "MHA51ZDUG")</f>
        <v>MHA51ZDUG</v>
      </c>
      <c r="B3988" t="s">
        <v>10</v>
      </c>
      <c r="C3988" t="s">
        <v>20</v>
      </c>
      <c r="D3988" t="str">
        <f>HYPERLINK("https://us2.cloudbeds.com/connect/10074733072513#/reservations/31678615552139?display=Greg%20Erickson&amp;reservation_id=31678615552139&amp;guest_id=31678615548046", "Greg Erickson")</f>
        <v>Greg Erickson</v>
      </c>
      <c r="E3988" t="s">
        <v>5784</v>
      </c>
      <c r="F3988" t="s">
        <v>5329</v>
      </c>
      <c r="G3988">
        <v>186.15</v>
      </c>
      <c r="H3988">
        <v>202.34</v>
      </c>
      <c r="I3988">
        <v>202.35</v>
      </c>
      <c r="J3988">
        <v>-0.01</v>
      </c>
    </row>
    <row r="3989" spans="1:10" x14ac:dyDescent="0.3">
      <c r="A3989" t="str">
        <f>HYPERLINK("https://us2.cloudbeds.com/connect/10074733072513#/reservations/31678393315569?display=MH9WCBBUW&amp;reservation_id=31678393315569", "MH9WCBBUW")</f>
        <v>MH9WCBBUW</v>
      </c>
      <c r="B3989" t="s">
        <v>10</v>
      </c>
      <c r="C3989" t="s">
        <v>14</v>
      </c>
      <c r="D3989" t="str">
        <f>HYPERLINK("https://us2.cloudbeds.com/connect/10074733072513#/reservations/31678393315569?display=Cheston%20Hervey&amp;reservation_id=31678393315569&amp;guest_id=31678393315566", "Cheston Hervey")</f>
        <v>Cheston Hervey</v>
      </c>
      <c r="E3989" t="s">
        <v>5788</v>
      </c>
      <c r="F3989" t="s">
        <v>5789</v>
      </c>
      <c r="G3989">
        <v>94.16</v>
      </c>
      <c r="H3989">
        <v>102.34</v>
      </c>
      <c r="I3989">
        <v>102.35</v>
      </c>
      <c r="J3989">
        <v>-0.01</v>
      </c>
    </row>
    <row r="3990" spans="1:10" x14ac:dyDescent="0.3">
      <c r="A3990" t="str">
        <f>HYPERLINK("https://us2.cloudbeds.com/connect/10074733072513#/reservations/31678507475077?display=MHA29K0K0&amp;reservation_id=31678507475077", "MHA29K0K0")</f>
        <v>MHA29K0K0</v>
      </c>
      <c r="B3990" t="s">
        <v>10</v>
      </c>
      <c r="C3990" t="s">
        <v>20</v>
      </c>
      <c r="D3990" t="str">
        <f>HYPERLINK("https://us2.cloudbeds.com/connect/10074733072513#/reservations/31678507475077?display=Jacob%20Drury&amp;reservation_id=31678507475077&amp;guest_id=31678502391966", "Jacob Drury")</f>
        <v>Jacob Drury</v>
      </c>
      <c r="E3990" t="s">
        <v>5796</v>
      </c>
      <c r="F3990" t="s">
        <v>5469</v>
      </c>
      <c r="G3990">
        <v>169.15</v>
      </c>
      <c r="H3990">
        <v>183.86</v>
      </c>
      <c r="I3990">
        <v>183.87</v>
      </c>
      <c r="J3990">
        <v>-0.01</v>
      </c>
    </row>
    <row r="3991" spans="1:10" x14ac:dyDescent="0.3">
      <c r="A3991" t="str">
        <f>HYPERLINK("https://us2.cloudbeds.com/connect/10074733072513#/reservations/31683024060577?display=MHDXN3M19&amp;reservation_id=31683024060577", "MHDXN3M19")</f>
        <v>MHDXN3M19</v>
      </c>
      <c r="B3991" t="s">
        <v>10</v>
      </c>
      <c r="C3991" t="s">
        <v>42</v>
      </c>
      <c r="D3991" t="str">
        <f>HYPERLINK("https://us2.cloudbeds.com/connect/10074733072513#/reservations/31683024060577?display=Douglas%20Lynn%20Greenway&amp;reservation_id=31683024060577&amp;guest_id=31683016319178", "Douglas Lynn Greenway")</f>
        <v>Douglas Lynn Greenway</v>
      </c>
      <c r="E3991" t="s">
        <v>5797</v>
      </c>
      <c r="F3991" t="s">
        <v>5798</v>
      </c>
      <c r="G3991">
        <v>608.4</v>
      </c>
      <c r="H3991">
        <v>661.32</v>
      </c>
      <c r="I3991">
        <v>661.33</v>
      </c>
      <c r="J3991">
        <v>-0.01</v>
      </c>
    </row>
    <row r="3992" spans="1:10" x14ac:dyDescent="0.3">
      <c r="A3992" t="str">
        <f>HYPERLINK("https://us2.cloudbeds.com/connect/10074733072513#/reservations/31676204462234?display=MH89EY9K1&amp;reservation_id=31676204462234", "MH89EY9K1")</f>
        <v>MH89EY9K1</v>
      </c>
      <c r="B3992" t="s">
        <v>10</v>
      </c>
      <c r="C3992" t="s">
        <v>11</v>
      </c>
      <c r="D3992" t="str">
        <f>HYPERLINK("https://us2.cloudbeds.com/connect/10074733072513#/reservations/31676204462234?display=Chad%20Aldrich&amp;reservation_id=31676204462234&amp;guest_id=30681508045052", "Chad Aldrich")</f>
        <v>Chad Aldrich</v>
      </c>
      <c r="E3992" t="s">
        <v>4054</v>
      </c>
      <c r="F3992" t="s">
        <v>5766</v>
      </c>
      <c r="G3992">
        <v>71.45</v>
      </c>
      <c r="H3992">
        <v>77.66</v>
      </c>
      <c r="I3992">
        <v>77.67</v>
      </c>
      <c r="J3992">
        <v>-0.01</v>
      </c>
    </row>
    <row r="3993" spans="1:10" x14ac:dyDescent="0.3">
      <c r="A3993" t="str">
        <f>HYPERLINK("https://us2.cloudbeds.com/connect/10074733072513#/reservations/31681016029404?display=MHC0CT7UQ&amp;reservation_id=31681016029404", "MHC0CT7UQ")</f>
        <v>MHC0CT7UQ</v>
      </c>
      <c r="B3993" t="s">
        <v>10</v>
      </c>
      <c r="C3993" t="s">
        <v>11</v>
      </c>
      <c r="D3993" t="str">
        <f>HYPERLINK("https://us2.cloudbeds.com/connect/10074733072513#/reservations/31681016029404?display=Darren%20Green&amp;reservation_id=31681016029404&amp;guest_id=31678633595069", "Darren Green")</f>
        <v>Darren Green</v>
      </c>
      <c r="E3993" t="s">
        <v>5800</v>
      </c>
      <c r="F3993" t="s">
        <v>4684</v>
      </c>
      <c r="G3993">
        <v>127.2</v>
      </c>
      <c r="H3993">
        <v>138.26</v>
      </c>
      <c r="I3993">
        <v>138.27000000000001</v>
      </c>
      <c r="J3993">
        <v>-0.01</v>
      </c>
    </row>
    <row r="3994" spans="1:10" x14ac:dyDescent="0.3">
      <c r="A3994" t="str">
        <f>HYPERLINK("https://us2.cloudbeds.com/connect/10074733072513#/reservations/31676213657846?display=MH89MD5MV&amp;reservation_id=31676213657846", "MH89MD5MV")</f>
        <v>MH89MD5MV</v>
      </c>
      <c r="B3994" t="s">
        <v>10</v>
      </c>
      <c r="C3994" t="s">
        <v>11</v>
      </c>
      <c r="D3994" t="str">
        <f>HYPERLINK("https://us2.cloudbeds.com/connect/10074733072513#/reservations/31676213657846?display=Angela%20Sybouts&amp;reservation_id=31676213657846&amp;guest_id=31676213657843", "Angela Sybouts")</f>
        <v>Angela Sybouts</v>
      </c>
      <c r="E3994" t="s">
        <v>5807</v>
      </c>
      <c r="F3994" t="s">
        <v>5806</v>
      </c>
      <c r="G3994">
        <v>86.06</v>
      </c>
      <c r="H3994">
        <v>93.54</v>
      </c>
      <c r="I3994">
        <v>93.55</v>
      </c>
      <c r="J3994">
        <v>-0.01</v>
      </c>
    </row>
    <row r="3995" spans="1:10" x14ac:dyDescent="0.3">
      <c r="A3995" t="str">
        <f>HYPERLINK("https://us2.cloudbeds.com/connect/10074733072513#/reservations/31675276972228?display=MH7XZXGW9&amp;reservation_id=31675276972228", "MH7XZXGW9")</f>
        <v>MH7XZXGW9</v>
      </c>
      <c r="B3995" t="s">
        <v>10</v>
      </c>
      <c r="C3995" t="s">
        <v>14</v>
      </c>
      <c r="D3995" t="str">
        <f>HYPERLINK("https://us2.cloudbeds.com/connect/10074733072513#/reservations/31675276972228?display=Marianne%20Zarcadoolas&amp;reservation_id=31675276972228&amp;guest_id=31675276972224", "Marianne Zarcadoolas")</f>
        <v>Marianne Zarcadoolas</v>
      </c>
      <c r="E3995" t="s">
        <v>5829</v>
      </c>
      <c r="F3995" t="s">
        <v>5806</v>
      </c>
      <c r="G3995">
        <v>79.38</v>
      </c>
      <c r="H3995">
        <v>86.28</v>
      </c>
      <c r="I3995">
        <v>86.29</v>
      </c>
      <c r="J3995">
        <v>-0.01</v>
      </c>
    </row>
    <row r="3996" spans="1:10" x14ac:dyDescent="0.3">
      <c r="A3996" t="str">
        <f>HYPERLINK("https://us2.cloudbeds.com/connect/10074733072513#/reservations/31678748754114?display=MHA8F1VPW&amp;reservation_id=31678748754114", "MHA8F1VPW")</f>
        <v>MHA8F1VPW</v>
      </c>
      <c r="B3996" t="s">
        <v>10</v>
      </c>
      <c r="C3996" t="s">
        <v>11</v>
      </c>
      <c r="D3996" t="str">
        <f>HYPERLINK("https://us2.cloudbeds.com/connect/10074733072513#/reservations/31678748754114?display=Brenda%20Ohlson&amp;reservation_id=31678748754114&amp;guest_id=31678741725424", "Brenda Ohlson")</f>
        <v>Brenda Ohlson</v>
      </c>
      <c r="E3996" t="s">
        <v>5830</v>
      </c>
      <c r="F3996" t="s">
        <v>5831</v>
      </c>
      <c r="G3996">
        <v>134.1</v>
      </c>
      <c r="H3996">
        <v>145.76</v>
      </c>
      <c r="I3996">
        <v>145.77000000000001</v>
      </c>
      <c r="J3996">
        <v>-0.01</v>
      </c>
    </row>
    <row r="3997" spans="1:10" x14ac:dyDescent="0.3">
      <c r="A3997" t="str">
        <f>HYPERLINK("https://us2.cloudbeds.com/connect/10074733072513#/reservations/31675246809295?display=MH7HW4650&amp;reservation_id=31675246809295", "MH7HW4650")</f>
        <v>MH7HW4650</v>
      </c>
      <c r="B3997" t="s">
        <v>10</v>
      </c>
      <c r="C3997" t="s">
        <v>14</v>
      </c>
      <c r="D3997" t="str">
        <f>HYPERLINK("https://us2.cloudbeds.com/connect/10074733072513#/reservations/31675246809295?display=Ernest%20Ivey&amp;reservation_id=31675246809295&amp;guest_id=31675241111799", "Ernest Ivey")</f>
        <v>Ernest Ivey</v>
      </c>
      <c r="E3997" t="s">
        <v>5832</v>
      </c>
      <c r="F3997" t="s">
        <v>5806</v>
      </c>
      <c r="G3997">
        <v>86.06</v>
      </c>
      <c r="H3997">
        <v>93.54</v>
      </c>
      <c r="I3997">
        <v>93.55</v>
      </c>
      <c r="J3997">
        <v>-0.01</v>
      </c>
    </row>
    <row r="3998" spans="1:10" x14ac:dyDescent="0.3">
      <c r="A3998" t="str">
        <f>HYPERLINK("https://us2.cloudbeds.com/connect/10074733072513#/reservations/31680959496383?display=MHBVV744V&amp;reservation_id=31680959496383", "MHBVV744V")</f>
        <v>MHBVV744V</v>
      </c>
      <c r="B3998" t="s">
        <v>10</v>
      </c>
      <c r="C3998" t="s">
        <v>20</v>
      </c>
      <c r="D3998" t="str">
        <f>HYPERLINK("https://us2.cloudbeds.com/connect/10074733072513#/reservations/31680959496383?display=Michael%20Cross&amp;reservation_id=31680959496383&amp;guest_id=31678850453640", "Michael Cross")</f>
        <v>Michael Cross</v>
      </c>
      <c r="E3998" t="s">
        <v>5834</v>
      </c>
      <c r="F3998" t="s">
        <v>5688</v>
      </c>
      <c r="G3998">
        <v>170.1</v>
      </c>
      <c r="H3998">
        <v>184.89</v>
      </c>
      <c r="I3998">
        <v>184.9</v>
      </c>
      <c r="J3998">
        <v>-0.01</v>
      </c>
    </row>
    <row r="3999" spans="1:10" x14ac:dyDescent="0.3">
      <c r="A3999" t="str">
        <f>HYPERLINK("https://us2.cloudbeds.com/connect/10074733072513#/reservations/31682105811072?display=MHCS7QU0H&amp;reservation_id=31682105811072", "MHCS7QU0H")</f>
        <v>MHCS7QU0H</v>
      </c>
      <c r="B3999" t="s">
        <v>10</v>
      </c>
      <c r="C3999" t="s">
        <v>14</v>
      </c>
      <c r="D3999" t="str">
        <f>HYPERLINK("https://us2.cloudbeds.com/connect/10074733072513#/reservations/31682105811072?display=Hanna%20Farmer&amp;reservation_id=31682105811072&amp;guest_id=31682105807026", "Hanna Farmer")</f>
        <v>Hanna Farmer</v>
      </c>
      <c r="E3999" t="s">
        <v>5836</v>
      </c>
      <c r="F3999" t="s">
        <v>4916</v>
      </c>
      <c r="G3999">
        <v>304.2</v>
      </c>
      <c r="H3999">
        <v>330.66</v>
      </c>
      <c r="I3999">
        <v>330.67</v>
      </c>
      <c r="J3999">
        <v>-0.01</v>
      </c>
    </row>
    <row r="4000" spans="1:10" x14ac:dyDescent="0.3">
      <c r="A4000" t="str">
        <f>HYPERLINK("https://us2.cloudbeds.com/connect/10074733072513#/reservations/31678411296972?display=MH9WRGNPW&amp;reservation_id=31678411296972", "MH9WRGNPW")</f>
        <v>MH9WRGNPW</v>
      </c>
      <c r="B4000" t="s">
        <v>10</v>
      </c>
      <c r="C4000" t="s">
        <v>17</v>
      </c>
      <c r="D4000" t="str">
        <f>HYPERLINK("https://us2.cloudbeds.com/connect/10074733072513#/reservations/31678411296972?display=Conda%20De%20Vries&amp;reservation_id=31678411296972&amp;guest_id=31678411296967", "Conda De Vries")</f>
        <v>Conda De Vries</v>
      </c>
      <c r="E4000" t="s">
        <v>5839</v>
      </c>
      <c r="F4000" t="s">
        <v>5840</v>
      </c>
      <c r="G4000">
        <v>134.1</v>
      </c>
      <c r="H4000">
        <v>145.76</v>
      </c>
      <c r="I4000">
        <v>145.77000000000001</v>
      </c>
      <c r="J4000">
        <v>-0.01</v>
      </c>
    </row>
    <row r="4001" spans="1:10" x14ac:dyDescent="0.3">
      <c r="A4001" t="str">
        <f>HYPERLINK("https://us2.cloudbeds.com/connect/10074733072513#/reservations/31676409307305?display=MH8EMCDEE&amp;reservation_id=31676409307305", "MH8EMCDEE")</f>
        <v>MH8EMCDEE</v>
      </c>
      <c r="B4001" t="s">
        <v>10</v>
      </c>
      <c r="C4001" t="s">
        <v>11</v>
      </c>
      <c r="D4001" t="str">
        <f>HYPERLINK("https://us2.cloudbeds.com/connect/10074733072513#/reservations/31676409307305?display=Jennifer%20Davis&amp;reservation_id=31676409307305&amp;guest_id=31676400554184", "Jennifer Davis")</f>
        <v>Jennifer Davis</v>
      </c>
      <c r="E4001" t="s">
        <v>5847</v>
      </c>
      <c r="F4001" t="s">
        <v>5574</v>
      </c>
      <c r="G4001">
        <v>79.38</v>
      </c>
      <c r="H4001">
        <v>86.28</v>
      </c>
      <c r="I4001">
        <v>86.29</v>
      </c>
      <c r="J4001">
        <v>-0.01</v>
      </c>
    </row>
    <row r="4002" spans="1:10" x14ac:dyDescent="0.3">
      <c r="A4002" t="str">
        <f>HYPERLINK("https://us2.cloudbeds.com/connect/10074733072513#/reservations/31676511846552?display=MH8H9RNHB&amp;reservation_id=31676511846552", "MH8H9RNHB")</f>
        <v>MH8H9RNHB</v>
      </c>
      <c r="B4002" t="s">
        <v>10</v>
      </c>
      <c r="C4002" t="s">
        <v>11</v>
      </c>
      <c r="D4002" t="str">
        <f>HYPERLINK("https://us2.cloudbeds.com/connect/10074733072513#/reservations/31676511846552?display=Robert%20Bernhardt&amp;reservation_id=31676511846552&amp;guest_id=31676511846547", "Robert Bernhardt")</f>
        <v>Robert Bernhardt</v>
      </c>
      <c r="E4002" t="s">
        <v>4740</v>
      </c>
      <c r="F4002" t="s">
        <v>5778</v>
      </c>
      <c r="G4002">
        <v>71.45</v>
      </c>
      <c r="H4002">
        <v>77.66</v>
      </c>
      <c r="I4002">
        <v>77.67</v>
      </c>
      <c r="J4002">
        <v>-0.01</v>
      </c>
    </row>
    <row r="4003" spans="1:10" x14ac:dyDescent="0.3">
      <c r="A4003" t="str">
        <f>HYPERLINK("https://us2.cloudbeds.com/connect/10074733072513#/reservations/31676439871643?display=MH8FF4TSG&amp;reservation_id=31676439871643", "MH8FF4TSG")</f>
        <v>MH8FF4TSG</v>
      </c>
      <c r="B4003" t="s">
        <v>10</v>
      </c>
      <c r="C4003" t="s">
        <v>14</v>
      </c>
      <c r="D4003" t="str">
        <f>HYPERLINK("https://us2.cloudbeds.com/connect/10074733072513#/reservations/31676439871643?display=Debbie%20Poulson&amp;reservation_id=31676439871643&amp;guest_id=31676439871641", "Debbie Poulson")</f>
        <v>Debbie Poulson</v>
      </c>
      <c r="E4003" t="s">
        <v>5850</v>
      </c>
      <c r="F4003" t="s">
        <v>5778</v>
      </c>
      <c r="G4003">
        <v>79.38</v>
      </c>
      <c r="H4003">
        <v>86.28</v>
      </c>
      <c r="I4003">
        <v>86.29</v>
      </c>
      <c r="J4003">
        <v>-0.01</v>
      </c>
    </row>
    <row r="4004" spans="1:10" x14ac:dyDescent="0.3">
      <c r="A4004" t="str">
        <f>HYPERLINK("https://us2.cloudbeds.com/connect/10074733072513#/reservations/31677308911751?display=MH94YV7G7&amp;reservation_id=31677308911751", "MH94YV7G7")</f>
        <v>MH94YV7G7</v>
      </c>
      <c r="B4004" t="s">
        <v>10</v>
      </c>
      <c r="C4004" t="s">
        <v>20</v>
      </c>
      <c r="D4004" t="str">
        <f>HYPERLINK("https://us2.cloudbeds.com/connect/10074733072513#/reservations/31677308911751?display=Jennifer%20Valentine&amp;reservation_id=31677308911751&amp;guest_id=31677308911746", "Jennifer Valentine")</f>
        <v>Jennifer Valentine</v>
      </c>
      <c r="E4004" t="s">
        <v>5852</v>
      </c>
      <c r="F4004" t="s">
        <v>4347</v>
      </c>
      <c r="G4004">
        <v>152.15</v>
      </c>
      <c r="H4004">
        <v>165.38</v>
      </c>
      <c r="I4004">
        <v>165.39</v>
      </c>
      <c r="J4004">
        <v>-0.01</v>
      </c>
    </row>
    <row r="4005" spans="1:10" x14ac:dyDescent="0.3">
      <c r="A4005" t="str">
        <f>HYPERLINK("https://us2.cloudbeds.com/connect/10074733072513#/reservations/31679281352840?display=MHAM25A5A&amp;reservation_id=31679281352840", "MHAM25A5A")</f>
        <v>MHAM25A5A</v>
      </c>
      <c r="B4005" t="s">
        <v>10</v>
      </c>
      <c r="C4005" t="s">
        <v>20</v>
      </c>
      <c r="D4005" t="str">
        <f>HYPERLINK("https://us2.cloudbeds.com/connect/10074733072513#/reservations/31679281352840?display=Kevin%20Sweeney&amp;reservation_id=31679281352840&amp;guest_id=31679281348745", "Kevin Sweeney")</f>
        <v>Kevin Sweeney</v>
      </c>
      <c r="E4005" t="s">
        <v>5860</v>
      </c>
      <c r="F4005" t="s">
        <v>4530</v>
      </c>
      <c r="G4005">
        <v>338.3</v>
      </c>
      <c r="H4005">
        <v>367.72</v>
      </c>
      <c r="I4005">
        <v>367.73</v>
      </c>
      <c r="J4005">
        <v>-0.01</v>
      </c>
    </row>
    <row r="4006" spans="1:10" x14ac:dyDescent="0.3">
      <c r="A4006" t="str">
        <f>HYPERLINK("https://us2.cloudbeds.com/connect/10074733072513#/reservations/31677325344907?display=MH952QGKY&amp;reservation_id=31677325344907", "MH952QGKY")</f>
        <v>MH952QGKY</v>
      </c>
      <c r="B4006" t="s">
        <v>10</v>
      </c>
      <c r="C4006" t="s">
        <v>20</v>
      </c>
      <c r="D4006" t="str">
        <f>HYPERLINK("https://us2.cloudbeds.com/connect/10074733072513#/reservations/31677325344907?display=Steve%20Zoss&amp;reservation_id=31677325344907&amp;guest_id=31677321408690", "Steve Zoss")</f>
        <v>Steve Zoss</v>
      </c>
      <c r="E4006" t="s">
        <v>5865</v>
      </c>
      <c r="F4006" t="s">
        <v>4347</v>
      </c>
      <c r="G4006">
        <v>186.15</v>
      </c>
      <c r="H4006">
        <v>202.34</v>
      </c>
      <c r="I4006">
        <v>202.35</v>
      </c>
      <c r="J4006">
        <v>-0.01</v>
      </c>
    </row>
    <row r="4007" spans="1:10" x14ac:dyDescent="0.3">
      <c r="A4007" t="str">
        <f>HYPERLINK("https://us2.cloudbeds.com/connect/10074733072513#/reservations/31677733568748?display=MH9FH0UR2&amp;reservation_id=31677733568748", "MH9FH0UR2")</f>
        <v>MH9FH0UR2</v>
      </c>
      <c r="B4007" t="s">
        <v>10</v>
      </c>
      <c r="C4007" t="s">
        <v>20</v>
      </c>
      <c r="D4007" t="str">
        <f>HYPERLINK("https://us2.cloudbeds.com/connect/10074733072513#/reservations/31677733568748?display=Ashlee%20Lemke&amp;reservation_id=31677733568748&amp;guest_id=31677733568737", "Ashlee Lemke")</f>
        <v>Ashlee Lemke</v>
      </c>
      <c r="E4007" t="s">
        <v>5868</v>
      </c>
      <c r="F4007" t="s">
        <v>5869</v>
      </c>
      <c r="G4007">
        <v>304.3</v>
      </c>
      <c r="H4007">
        <v>330.76</v>
      </c>
      <c r="I4007">
        <v>330.77</v>
      </c>
      <c r="J4007">
        <v>-0.01</v>
      </c>
    </row>
    <row r="4008" spans="1:10" x14ac:dyDescent="0.3">
      <c r="A4008" t="str">
        <f>HYPERLINK("https://us2.cloudbeds.com/connect/10074733072513#/reservations/31677854654600?display=MH9XK4APA&amp;reservation_id=31677854654600", "MH9XK4APA")</f>
        <v>MH9XK4APA</v>
      </c>
      <c r="B4008" t="s">
        <v>10</v>
      </c>
      <c r="C4008" t="s">
        <v>14</v>
      </c>
      <c r="D4008" t="str">
        <f>HYPERLINK("https://us2.cloudbeds.com/connect/10074733072513#/reservations/31677854654600?display=Yuliia%20Dolinina&amp;reservation_id=31677854654600&amp;guest_id=31677854650516", "Yuliia Dolinina")</f>
        <v>Yuliia Dolinina</v>
      </c>
      <c r="E4008" t="s">
        <v>5870</v>
      </c>
      <c r="F4008" t="s">
        <v>5871</v>
      </c>
      <c r="G4008">
        <v>134.1</v>
      </c>
      <c r="H4008">
        <v>145.76</v>
      </c>
      <c r="I4008">
        <v>145.77000000000001</v>
      </c>
      <c r="J4008">
        <v>-0.01</v>
      </c>
    </row>
    <row r="4009" spans="1:10" x14ac:dyDescent="0.3">
      <c r="A4009" t="str">
        <f>HYPERLINK("https://us2.cloudbeds.com/connect/10074733072513#/reservations/31676828291220?display=MH8PCM8AN&amp;reservation_id=31676828291220", "MH8PCM8AN")</f>
        <v>MH8PCM8AN</v>
      </c>
      <c r="B4009" t="s">
        <v>10</v>
      </c>
      <c r="C4009" t="s">
        <v>20</v>
      </c>
      <c r="D4009" t="str">
        <f>HYPERLINK("https://us2.cloudbeds.com/connect/10074733072513#/reservations/31676828291220?display=Peggy%20Mcclain&amp;reservation_id=31676828291220&amp;guest_id=31676821495996", "Peggy Mcclain")</f>
        <v>Peggy Mcclain</v>
      </c>
      <c r="E4009" t="s">
        <v>5877</v>
      </c>
      <c r="F4009" t="s">
        <v>5029</v>
      </c>
      <c r="G4009">
        <v>259.2</v>
      </c>
      <c r="H4009">
        <v>281.74</v>
      </c>
      <c r="I4009">
        <v>281.75</v>
      </c>
      <c r="J4009">
        <v>-0.01</v>
      </c>
    </row>
    <row r="4010" spans="1:10" x14ac:dyDescent="0.3">
      <c r="A4010" t="str">
        <f>HYPERLINK("https://us2.cloudbeds.com/connect/10074733072513#/reservations/31676646187226?display=MH8KZ3V0S&amp;reservation_id=31676646187226", "MH8KZ3V0S")</f>
        <v>MH8KZ3V0S</v>
      </c>
      <c r="B4010" t="s">
        <v>10</v>
      </c>
      <c r="C4010" t="s">
        <v>11</v>
      </c>
      <c r="D4010" t="str">
        <f>HYPERLINK("https://us2.cloudbeds.com/connect/10074733072513#/reservations/31676646187226?display=Alix%20Selig&amp;reservation_id=31676646187226&amp;guest_id=31676646187223", "Alix Selig")</f>
        <v>Alix Selig</v>
      </c>
      <c r="E4010" t="s">
        <v>2955</v>
      </c>
      <c r="F4010" t="s">
        <v>5292</v>
      </c>
      <c r="G4010">
        <v>300.8</v>
      </c>
      <c r="H4010">
        <v>326.95999999999998</v>
      </c>
      <c r="I4010">
        <v>326.97000000000003</v>
      </c>
      <c r="J4010">
        <v>-0.01</v>
      </c>
    </row>
    <row r="4011" spans="1:10" x14ac:dyDescent="0.3">
      <c r="A4011" t="str">
        <f>HYPERLINK("https://us2.cloudbeds.com/connect/10074733072513#/reservations/31676684198076?display=MH8YN5YCQ&amp;reservation_id=31676684198076", "MH8YN5YCQ")</f>
        <v>MH8YN5YCQ</v>
      </c>
      <c r="B4011" t="s">
        <v>10</v>
      </c>
      <c r="C4011" t="s">
        <v>11</v>
      </c>
      <c r="D4011" t="str">
        <f>HYPERLINK("https://us2.cloudbeds.com/connect/10074733072513#/reservations/31676684198076?display=Scott%20Burkett&amp;reservation_id=31676684198076&amp;guest_id=31676684198026", "Scott Burkett")</f>
        <v>Scott Burkett</v>
      </c>
      <c r="E4011" t="s">
        <v>2955</v>
      </c>
      <c r="F4011" t="s">
        <v>5292</v>
      </c>
      <c r="G4011">
        <v>300.8</v>
      </c>
      <c r="H4011">
        <v>326.95999999999998</v>
      </c>
      <c r="I4011">
        <v>326.97000000000003</v>
      </c>
      <c r="J4011">
        <v>-0.01</v>
      </c>
    </row>
    <row r="4012" spans="1:10" x14ac:dyDescent="0.3">
      <c r="A4012" t="str">
        <f>HYPERLINK("https://us2.cloudbeds.com/connect/10074733072513#/reservations/31676706115792?display=MH8M8YHRV&amp;reservation_id=31676706115792", "MH8M8YHRV")</f>
        <v>MH8M8YHRV</v>
      </c>
      <c r="B4012" t="s">
        <v>10</v>
      </c>
      <c r="C4012" t="s">
        <v>11</v>
      </c>
      <c r="D4012" t="str">
        <f>HYPERLINK("https://us2.cloudbeds.com/connect/10074733072513#/reservations/31676706115792?display=Robert%20Neal&amp;reservation_id=31676706115792&amp;guest_id=31676694802624", "Robert Neal")</f>
        <v>Robert Neal</v>
      </c>
      <c r="E4012" t="s">
        <v>2955</v>
      </c>
      <c r="F4012" t="s">
        <v>5292</v>
      </c>
      <c r="G4012">
        <v>300.8</v>
      </c>
      <c r="H4012">
        <v>326.95999999999998</v>
      </c>
      <c r="I4012">
        <v>326.97000000000003</v>
      </c>
      <c r="J4012">
        <v>-0.01</v>
      </c>
    </row>
    <row r="4013" spans="1:10" x14ac:dyDescent="0.3">
      <c r="A4013" t="str">
        <f>HYPERLINK("https://us2.cloudbeds.com/connect/10074733072513#/reservations/31676910071953?display=MH8RFKUDZ&amp;reservation_id=31676910071953", "MH8RFKUDZ")</f>
        <v>MH8RFKUDZ</v>
      </c>
      <c r="B4013" t="s">
        <v>10</v>
      </c>
      <c r="C4013" t="s">
        <v>11</v>
      </c>
      <c r="D4013" t="str">
        <f>HYPERLINK("https://us2.cloudbeds.com/connect/10074733072513#/reservations/31676910071953?display=Lyle%20Ingalls&amp;reservation_id=31676910071953&amp;guest_id=31676910071937", "Lyle Ingalls")</f>
        <v>Lyle Ingalls</v>
      </c>
      <c r="E4013" t="s">
        <v>2955</v>
      </c>
      <c r="F4013" t="s">
        <v>5292</v>
      </c>
      <c r="G4013">
        <v>300.8</v>
      </c>
      <c r="H4013">
        <v>326.95999999999998</v>
      </c>
      <c r="I4013">
        <v>326.97000000000003</v>
      </c>
      <c r="J4013">
        <v>-0.01</v>
      </c>
    </row>
    <row r="4014" spans="1:10" x14ac:dyDescent="0.3">
      <c r="A4014" t="str">
        <f>HYPERLINK("https://us2.cloudbeds.com/connect/10074733072513#/reservations/31676922196211?display=MH8RPS9QG&amp;reservation_id=31676922196211", "MH8RPS9QG")</f>
        <v>MH8RPS9QG</v>
      </c>
      <c r="B4014" t="s">
        <v>10</v>
      </c>
      <c r="C4014" t="s">
        <v>11</v>
      </c>
      <c r="D4014" t="str">
        <f>HYPERLINK("https://us2.cloudbeds.com/connect/10074733072513#/reservations/31676922196211?display=Rogan%20Pforts&amp;reservation_id=31676922196211&amp;guest_id=31676910076060", "Rogan Pforts")</f>
        <v>Rogan Pforts</v>
      </c>
      <c r="E4014" t="s">
        <v>2955</v>
      </c>
      <c r="F4014" t="s">
        <v>5292</v>
      </c>
      <c r="G4014">
        <v>225.6</v>
      </c>
      <c r="H4014">
        <v>245.22</v>
      </c>
      <c r="I4014">
        <v>245.23</v>
      </c>
      <c r="J4014">
        <v>-0.01</v>
      </c>
    </row>
    <row r="4015" spans="1:10" x14ac:dyDescent="0.3">
      <c r="A4015" t="str">
        <f>HYPERLINK("https://us2.cloudbeds.com/connect/10074733072513#/reservations/31681105858768?display=MHC2MKSSZ&amp;reservation_id=31681105858768", "MHC2MKSSZ")</f>
        <v>MHC2MKSSZ</v>
      </c>
      <c r="B4015" t="s">
        <v>10</v>
      </c>
      <c r="C4015" t="s">
        <v>20</v>
      </c>
      <c r="D4015" t="str">
        <f>HYPERLINK("https://us2.cloudbeds.com/connect/10074733072513#/reservations/31681105858768?display=Douglas%20Turley&amp;reservation_id=31681105858768&amp;guest_id=31681105854684", "Douglas Turley")</f>
        <v>Douglas Turley</v>
      </c>
      <c r="E4015" t="s">
        <v>5882</v>
      </c>
      <c r="F4015" t="s">
        <v>5840</v>
      </c>
      <c r="G4015">
        <v>134.1</v>
      </c>
      <c r="H4015">
        <v>145.76</v>
      </c>
      <c r="I4015">
        <v>145.77000000000001</v>
      </c>
      <c r="J4015">
        <v>-0.01</v>
      </c>
    </row>
    <row r="4016" spans="1:10" x14ac:dyDescent="0.3">
      <c r="A4016" t="str">
        <f>HYPERLINK("https://us2.cloudbeds.com/connect/10074733072513#/reservations/31677393703119?display=MH96REM5K&amp;reservation_id=31677393703119", "MH96REM5K")</f>
        <v>MH96REM5K</v>
      </c>
      <c r="B4016" t="s">
        <v>10</v>
      </c>
      <c r="C4016" t="s">
        <v>20</v>
      </c>
      <c r="D4016" t="str">
        <f>HYPERLINK("https://us2.cloudbeds.com/connect/10074733072513#/reservations/31677393703119?display=Charles%20Ullery&amp;reservation_id=31677393703119&amp;guest_id=31677388624099", "Charles Ullery")</f>
        <v>Charles Ullery</v>
      </c>
      <c r="E4016" t="s">
        <v>5886</v>
      </c>
      <c r="F4016" t="s">
        <v>5887</v>
      </c>
      <c r="G4016">
        <v>254.78</v>
      </c>
      <c r="H4016">
        <v>276.94</v>
      </c>
      <c r="I4016">
        <v>276.95</v>
      </c>
      <c r="J4016">
        <v>-0.01</v>
      </c>
    </row>
    <row r="4017" spans="1:10" x14ac:dyDescent="0.3">
      <c r="A4017" t="str">
        <f>HYPERLINK("https://us2.cloudbeds.com/connect/10074733072513#/reservations/31679194460406?display=MHAJRTD48&amp;reservation_id=31679194460406", "MHAJRTD48")</f>
        <v>MHAJRTD48</v>
      </c>
      <c r="B4017" t="s">
        <v>10</v>
      </c>
      <c r="C4017" t="s">
        <v>11</v>
      </c>
      <c r="D4017" t="str">
        <f>HYPERLINK("https://us2.cloudbeds.com/connect/10074733072513#/reservations/31679194460406?display=Katie%20Heuer&amp;reservation_id=31679194460406&amp;guest_id=31679194460401", "Katie Heuer")</f>
        <v>Katie Heuer</v>
      </c>
      <c r="E4017" t="s">
        <v>5506</v>
      </c>
      <c r="F4017" t="s">
        <v>5292</v>
      </c>
      <c r="G4017">
        <v>79.38</v>
      </c>
      <c r="H4017">
        <v>86.28</v>
      </c>
      <c r="I4017">
        <v>86.29</v>
      </c>
      <c r="J4017">
        <v>-0.01</v>
      </c>
    </row>
    <row r="4018" spans="1:10" x14ac:dyDescent="0.3">
      <c r="A4018" t="str">
        <f>HYPERLINK("https://us2.cloudbeds.com/connect/10074733072513#/reservations/31682571460859?display=MHD74FDYA&amp;reservation_id=31682571460859", "MHD74FDYA")</f>
        <v>MHD74FDYA</v>
      </c>
      <c r="B4018" t="s">
        <v>10</v>
      </c>
      <c r="C4018" t="s">
        <v>42</v>
      </c>
      <c r="D4018" t="str">
        <f>HYPERLINK("https://us2.cloudbeds.com/connect/10074733072513#/reservations/31682571460859?display=Elizabeth%20Boyce&amp;reservation_id=31682571460859&amp;guest_id=31682571460800", "Elizabeth Boyce")</f>
        <v>Elizabeth Boyce</v>
      </c>
      <c r="E4018" t="s">
        <v>5903</v>
      </c>
      <c r="F4018" t="s">
        <v>4974</v>
      </c>
      <c r="G4018">
        <v>405.6</v>
      </c>
      <c r="H4018">
        <v>440.88</v>
      </c>
      <c r="I4018">
        <v>440.89</v>
      </c>
      <c r="J4018">
        <v>-0.01</v>
      </c>
    </row>
    <row r="4019" spans="1:10" x14ac:dyDescent="0.3">
      <c r="A4019" t="str">
        <f>HYPERLINK("https://us2.cloudbeds.com/connect/10074733072513#/reservations/31675490009286?display=MH7Z66J9N&amp;reservation_id=31675490009286", "MH7Z66J9N")</f>
        <v>MH7Z66J9N</v>
      </c>
      <c r="B4019" t="s">
        <v>10</v>
      </c>
      <c r="C4019" t="s">
        <v>20</v>
      </c>
      <c r="D4019" t="str">
        <f>HYPERLINK("https://us2.cloudbeds.com/connect/10074733072513#/reservations/31675490009286?display=Trent%20Johnson&amp;reservation_id=31675490009286&amp;guest_id=31675480793269", "Trent Johnson")</f>
        <v>Trent Johnson</v>
      </c>
      <c r="E4019" t="s">
        <v>5904</v>
      </c>
      <c r="F4019" t="s">
        <v>5549</v>
      </c>
      <c r="G4019">
        <v>112.24</v>
      </c>
      <c r="H4019">
        <v>121.99</v>
      </c>
      <c r="I4019">
        <v>122</v>
      </c>
      <c r="J4019">
        <v>-0.01</v>
      </c>
    </row>
    <row r="4020" spans="1:10" x14ac:dyDescent="0.3">
      <c r="A4020" t="str">
        <f>HYPERLINK("https://us2.cloudbeds.com/connect/10074733072513#/reservations/31679247827175?display=MHAY6TDE2&amp;reservation_id=31679247827175", "MHAY6TDE2")</f>
        <v>MHAY6TDE2</v>
      </c>
      <c r="B4020" t="s">
        <v>10</v>
      </c>
      <c r="C4020" t="s">
        <v>20</v>
      </c>
      <c r="D4020" t="str">
        <f>HYPERLINK("https://us2.cloudbeds.com/connect/10074733072513#/reservations/31679247827175?display=Brodie%20Irish&amp;reservation_id=31679247827175&amp;guest_id=31679239139482", "Brodie Irish")</f>
        <v>Brodie Irish</v>
      </c>
      <c r="E4020" t="s">
        <v>5913</v>
      </c>
      <c r="F4020" t="s">
        <v>5029</v>
      </c>
      <c r="G4020">
        <v>169.15</v>
      </c>
      <c r="H4020">
        <v>183.86</v>
      </c>
      <c r="I4020">
        <v>183.87</v>
      </c>
      <c r="J4020">
        <v>-0.01</v>
      </c>
    </row>
    <row r="4021" spans="1:10" x14ac:dyDescent="0.3">
      <c r="A4021" t="str">
        <f>HYPERLINK("https://us2.cloudbeds.com/connect/10074733072513#/reservations/31676950905049?display=MH8SH25C9&amp;reservation_id=31676950905049", "MH8SH25C9")</f>
        <v>MH8SH25C9</v>
      </c>
      <c r="B4021" t="s">
        <v>10</v>
      </c>
      <c r="C4021" t="s">
        <v>20</v>
      </c>
      <c r="D4021" t="str">
        <f>HYPERLINK("https://us2.cloudbeds.com/connect/10074733072513#/reservations/31676950905049?display=John%20Vanderlaan&amp;reservation_id=31676950905049&amp;guest_id=31676950905044", "John Vanderlaan")</f>
        <v>John Vanderlaan</v>
      </c>
      <c r="E4021" t="s">
        <v>5914</v>
      </c>
      <c r="F4021" t="s">
        <v>3650</v>
      </c>
      <c r="G4021">
        <v>152.15</v>
      </c>
      <c r="H4021">
        <v>165.38</v>
      </c>
      <c r="I4021">
        <v>165.39</v>
      </c>
      <c r="J4021">
        <v>-0.01</v>
      </c>
    </row>
    <row r="4022" spans="1:10" x14ac:dyDescent="0.3">
      <c r="A4022" t="str">
        <f>HYPERLINK("https://us2.cloudbeds.com/connect/10074733072513#/reservations/31675718811882?display=MH7U14BMN&amp;reservation_id=31675718811882", "MH7U14BMN")</f>
        <v>MH7U14BMN</v>
      </c>
      <c r="B4022" t="s">
        <v>10</v>
      </c>
      <c r="C4022" t="s">
        <v>20</v>
      </c>
      <c r="D4022" t="str">
        <f>HYPERLINK("https://us2.cloudbeds.com/connect/10074733072513#/reservations/31675718811882?display=Senanur%20Avci%20Tosun&amp;reservation_id=31675718811882&amp;guest_id=31675718811880", "Senanur Avci Tosun")</f>
        <v>Senanur Avci Tosun</v>
      </c>
      <c r="E4022" t="s">
        <v>5917</v>
      </c>
      <c r="F4022" t="s">
        <v>5549</v>
      </c>
      <c r="G4022">
        <v>112.24</v>
      </c>
      <c r="H4022">
        <v>121.99</v>
      </c>
      <c r="I4022">
        <v>122</v>
      </c>
      <c r="J4022">
        <v>-0.01</v>
      </c>
    </row>
    <row r="4023" spans="1:10" x14ac:dyDescent="0.3">
      <c r="A4023" t="str">
        <f>HYPERLINK("https://us2.cloudbeds.com/connect/10074733072513#/reservations/31676813516939?display=MH8P074G7&amp;reservation_id=31676813516939", "MH8P074G7")</f>
        <v>MH8P074G7</v>
      </c>
      <c r="B4023" t="s">
        <v>10</v>
      </c>
      <c r="C4023" t="s">
        <v>20</v>
      </c>
      <c r="D4023" t="str">
        <f>HYPERLINK("https://us2.cloudbeds.com/connect/10074733072513#/reservations/31676813516939?display=Larry%20Mendoza&amp;reservation_id=31676813516939&amp;guest_id=31676806394083", "Larry Mendoza")</f>
        <v>Larry Mendoza</v>
      </c>
      <c r="E4023" t="s">
        <v>5924</v>
      </c>
      <c r="F4023" t="s">
        <v>5292</v>
      </c>
      <c r="G4023">
        <v>112.24</v>
      </c>
      <c r="H4023">
        <v>121.99</v>
      </c>
      <c r="I4023">
        <v>122</v>
      </c>
      <c r="J4023">
        <v>-0.01</v>
      </c>
    </row>
    <row r="4024" spans="1:10" x14ac:dyDescent="0.3">
      <c r="A4024" t="str">
        <f>HYPERLINK("https://us2.cloudbeds.com/connect/10074733072513#/reservations/31679733825717?display=MHB0KN12K&amp;reservation_id=31679733825717", "MHB0KN12K")</f>
        <v>MHB0KN12K</v>
      </c>
      <c r="B4024" t="s">
        <v>10</v>
      </c>
      <c r="C4024" t="s">
        <v>14</v>
      </c>
      <c r="D4024" t="str">
        <f>HYPERLINK("https://us2.cloudbeds.com/connect/10074733072513#/reservations/31679733825717?display=Pam%20Jones&amp;reservation_id=31679733825717&amp;guest_id=31679733825693", "Pam Jones")</f>
        <v>Pam Jones</v>
      </c>
      <c r="E4024" t="s">
        <v>5926</v>
      </c>
      <c r="F4024" t="s">
        <v>5685</v>
      </c>
      <c r="G4024">
        <v>376</v>
      </c>
      <c r="H4024">
        <v>408.7</v>
      </c>
      <c r="I4024">
        <v>408.71</v>
      </c>
      <c r="J4024">
        <v>-0.01</v>
      </c>
    </row>
    <row r="4025" spans="1:10" x14ac:dyDescent="0.3">
      <c r="A4025" t="str">
        <f>HYPERLINK("https://us2.cloudbeds.com/connect/10074733072513#/reservations/31691808542915?display=MHKC5DRYP&amp;reservation_id=31691808542915", "MHKC5DRYP")</f>
        <v>MHKC5DRYP</v>
      </c>
      <c r="B4025" t="s">
        <v>10</v>
      </c>
      <c r="C4025" t="s">
        <v>14</v>
      </c>
      <c r="D4025" t="str">
        <f>HYPERLINK("https://us2.cloudbeds.com/connect/10074733072513#/reservations/31691808542915?display=Lisa%20Cumberledge&amp;reservation_id=31691808542915&amp;guest_id=31691808538819", "Lisa Cumberledge")</f>
        <v>Lisa Cumberledge</v>
      </c>
      <c r="E4025" t="s">
        <v>5934</v>
      </c>
      <c r="F4025" t="s">
        <v>5935</v>
      </c>
      <c r="G4025">
        <v>134.1</v>
      </c>
      <c r="H4025">
        <v>145.76</v>
      </c>
      <c r="I4025">
        <v>145.77000000000001</v>
      </c>
      <c r="J4025">
        <v>-0.01</v>
      </c>
    </row>
    <row r="4026" spans="1:10" x14ac:dyDescent="0.3">
      <c r="A4026" t="str">
        <f>HYPERLINK("https://us2.cloudbeds.com/connect/10074733072513#/reservations/31680374943962?display=MHBH0A327&amp;reservation_id=31680374943962", "MHBH0A327")</f>
        <v>MHBH0A327</v>
      </c>
      <c r="B4026" t="s">
        <v>10</v>
      </c>
      <c r="C4026" t="s">
        <v>14</v>
      </c>
      <c r="D4026" t="str">
        <f>HYPERLINK("https://us2.cloudbeds.com/connect/10074733072513#/reservations/31680374943962?display=Allen%20Weihe&amp;reservation_id=31680374943962&amp;guest_id=31680374943942", "Allen Weihe")</f>
        <v>Allen Weihe</v>
      </c>
      <c r="E4026" t="s">
        <v>5937</v>
      </c>
      <c r="F4026" t="s">
        <v>5938</v>
      </c>
      <c r="G4026">
        <v>222.4</v>
      </c>
      <c r="H4026">
        <v>241.74</v>
      </c>
      <c r="I4026">
        <v>241.75</v>
      </c>
      <c r="J4026">
        <v>-0.01</v>
      </c>
    </row>
    <row r="4027" spans="1:10" x14ac:dyDescent="0.3">
      <c r="A4027" t="str">
        <f>HYPERLINK("https://us2.cloudbeds.com/connect/10074733072513#/reservations/31682449215658?display=MHD40CP39&amp;reservation_id=31682449215658", "MHD40CP39")</f>
        <v>MHD40CP39</v>
      </c>
      <c r="B4027" t="s">
        <v>10</v>
      </c>
      <c r="C4027" t="s">
        <v>20</v>
      </c>
      <c r="D4027" t="str">
        <f>HYPERLINK("https://us2.cloudbeds.com/connect/10074733072513#/reservations/31682449215658?display=Ilir%20Cami&amp;reservation_id=31682449215658&amp;guest_id=31682440614094", "Ilir Cami")</f>
        <v>Ilir Cami</v>
      </c>
      <c r="E4027" t="s">
        <v>5939</v>
      </c>
      <c r="F4027" t="s">
        <v>5283</v>
      </c>
      <c r="G4027">
        <v>170.1</v>
      </c>
      <c r="H4027">
        <v>184.89</v>
      </c>
      <c r="I4027">
        <v>184.9</v>
      </c>
      <c r="J4027">
        <v>-0.01</v>
      </c>
    </row>
    <row r="4028" spans="1:10" x14ac:dyDescent="0.3">
      <c r="A4028" t="str">
        <f>HYPERLINK("https://us2.cloudbeds.com/connect/10074733072513#/reservations/31677080289478?display=MH8VR5FMX&amp;reservation_id=31677080289478", "MH8VR5FMX")</f>
        <v>MH8VR5FMX</v>
      </c>
      <c r="B4028" t="s">
        <v>10</v>
      </c>
      <c r="C4028" t="s">
        <v>14</v>
      </c>
      <c r="D4028" t="str">
        <f>HYPERLINK("https://us2.cloudbeds.com/connect/10074733072513#/reservations/31677080289478?display=Tara%20Smith&amp;reservation_id=31677080289478&amp;guest_id=31677080285387", "Tara Smith")</f>
        <v>Tara Smith</v>
      </c>
      <c r="E4028" t="s">
        <v>5941</v>
      </c>
      <c r="F4028" t="s">
        <v>5931</v>
      </c>
      <c r="G4028">
        <v>250.2</v>
      </c>
      <c r="H4028">
        <v>271.95999999999998</v>
      </c>
      <c r="I4028">
        <v>271.97000000000003</v>
      </c>
      <c r="J4028">
        <v>-0.01</v>
      </c>
    </row>
    <row r="4029" spans="1:10" x14ac:dyDescent="0.3">
      <c r="A4029" t="str">
        <f>HYPERLINK("https://us2.cloudbeds.com/connect/10074733072513#/reservations/31677871685795?display=MH9J1G824&amp;reservation_id=31677871685795", "MH9J1G824")</f>
        <v>MH9J1G824</v>
      </c>
      <c r="B4029" t="s">
        <v>10</v>
      </c>
      <c r="C4029" t="s">
        <v>17</v>
      </c>
      <c r="D4029" t="str">
        <f>HYPERLINK("https://us2.cloudbeds.com/connect/10074733072513#/reservations/31677871685795?display=Shane%20Godtel&amp;reservation_id=31677871685795&amp;guest_id=31677871685790", "Shane Godtel")</f>
        <v>Shane Godtel</v>
      </c>
      <c r="E4029" t="s">
        <v>5949</v>
      </c>
      <c r="F4029" t="s">
        <v>5581</v>
      </c>
      <c r="G4029">
        <v>134.1</v>
      </c>
      <c r="H4029">
        <v>145.76</v>
      </c>
      <c r="I4029">
        <v>145.77000000000001</v>
      </c>
      <c r="J4029">
        <v>-0.01</v>
      </c>
    </row>
    <row r="4030" spans="1:10" x14ac:dyDescent="0.3">
      <c r="A4030" t="str">
        <f>HYPERLINK("https://us2.cloudbeds.com/connect/10074733072513#/reservations/31679726481620?display=MHB0EGM67&amp;reservation_id=31679726481620", "MHB0EGM67")</f>
        <v>MHB0EGM67</v>
      </c>
      <c r="B4030" t="s">
        <v>10</v>
      </c>
      <c r="C4030" t="s">
        <v>11</v>
      </c>
      <c r="D4030" t="str">
        <f>HYPERLINK("https://us2.cloudbeds.com/connect/10074733072513#/reservations/31679726481620?display=Chris%20Nelson&amp;reservation_id=31679726481620&amp;guest_id=31679726477526", "Chris Nelson")</f>
        <v>Chris Nelson</v>
      </c>
      <c r="E4030" t="s">
        <v>5952</v>
      </c>
      <c r="F4030" t="s">
        <v>5685</v>
      </c>
      <c r="G4030">
        <v>244.56</v>
      </c>
      <c r="H4030">
        <v>265.83</v>
      </c>
      <c r="I4030">
        <v>265.83999999999997</v>
      </c>
      <c r="J4030">
        <v>-0.01</v>
      </c>
    </row>
    <row r="4031" spans="1:10" x14ac:dyDescent="0.3">
      <c r="A4031" t="str">
        <f>HYPERLINK("https://us2.cloudbeds.com/connect/10074733072513#/reservations/31677191553197?display=MH91YWX7C&amp;reservation_id=31677191553197", "MH91YWX7C")</f>
        <v>MH91YWX7C</v>
      </c>
      <c r="B4031" t="s">
        <v>10</v>
      </c>
      <c r="C4031" t="s">
        <v>42</v>
      </c>
      <c r="D4031" t="str">
        <f>HYPERLINK("https://us2.cloudbeds.com/connect/10074733072513#/reservations/31677191553197?display=Samantha%20Berg&amp;reservation_id=31677191553197&amp;guest_id=31677179838677", "Samantha Berg")</f>
        <v>Samantha Berg</v>
      </c>
      <c r="E4031" t="s">
        <v>5954</v>
      </c>
      <c r="F4031" t="s">
        <v>5286</v>
      </c>
      <c r="G4031">
        <v>304.2</v>
      </c>
      <c r="H4031">
        <v>330.66</v>
      </c>
      <c r="I4031">
        <v>330.67</v>
      </c>
      <c r="J4031">
        <v>-0.01</v>
      </c>
    </row>
    <row r="4032" spans="1:10" x14ac:dyDescent="0.3">
      <c r="A4032" t="str">
        <f>HYPERLINK("https://us2.cloudbeds.com/connect/10074733072513#/reservations/31677901934744?display=MH9JQWVSV&amp;reservation_id=31677901934744", "MH9JQWVSV")</f>
        <v>MH9JQWVSV</v>
      </c>
      <c r="B4032" t="s">
        <v>10</v>
      </c>
      <c r="C4032" t="s">
        <v>11</v>
      </c>
      <c r="D4032" t="str">
        <f>HYPERLINK("https://us2.cloudbeds.com/connect/10074733072513#/reservations/31677901934744?display=Lori%20Grove&amp;reservation_id=31677901934744&amp;guest_id=31677901934740", "Lori Grove")</f>
        <v>Lori Grove</v>
      </c>
      <c r="E4032" t="s">
        <v>5959</v>
      </c>
      <c r="F4032" t="s">
        <v>5200</v>
      </c>
      <c r="G4032">
        <v>346.97</v>
      </c>
      <c r="H4032">
        <v>377.15</v>
      </c>
      <c r="I4032">
        <v>377.16</v>
      </c>
      <c r="J4032">
        <v>-0.01</v>
      </c>
    </row>
    <row r="4033" spans="1:10" x14ac:dyDescent="0.3">
      <c r="A4033" t="str">
        <f>HYPERLINK("https://us2.cloudbeds.com/connect/10074733072513#/reservations/31679313002732?display=MHAMSS0DV&amp;reservation_id=31679313002732", "MHAMSS0DV")</f>
        <v>MHAMSS0DV</v>
      </c>
      <c r="B4033" t="s">
        <v>10</v>
      </c>
      <c r="C4033" t="s">
        <v>20</v>
      </c>
      <c r="D4033" t="str">
        <f>HYPERLINK("https://us2.cloudbeds.com/connect/10074733072513#/reservations/31679313002732?display=Amon%20Barry&amp;reservation_id=31679313002732&amp;guest_id=31679304671442", "Amon Barry")</f>
        <v>Amon Barry</v>
      </c>
      <c r="E4033" t="s">
        <v>5961</v>
      </c>
      <c r="F4033" t="s">
        <v>5957</v>
      </c>
      <c r="G4033">
        <v>120.32</v>
      </c>
      <c r="H4033">
        <v>130.78</v>
      </c>
      <c r="I4033">
        <v>130.79</v>
      </c>
      <c r="J4033">
        <v>-0.01</v>
      </c>
    </row>
    <row r="4034" spans="1:10" x14ac:dyDescent="0.3">
      <c r="A4034" t="str">
        <f>HYPERLINK("https://us2.cloudbeds.com/connect/10074733072513#/reservations/31682594390221?display=MHD7NQF2F&amp;reservation_id=31682594390221", "MHD7NQF2F")</f>
        <v>MHD7NQF2F</v>
      </c>
      <c r="B4034" t="s">
        <v>10</v>
      </c>
      <c r="C4034" t="s">
        <v>20</v>
      </c>
      <c r="D4034" t="str">
        <f>HYPERLINK("https://us2.cloudbeds.com/connect/10074733072513#/reservations/31682594390221?display=James%20Killinger&amp;reservation_id=31682594390221&amp;guest_id=31682594390218", "James Killinger")</f>
        <v>James Killinger</v>
      </c>
      <c r="E4034" t="s">
        <v>5962</v>
      </c>
      <c r="F4034" t="s">
        <v>4600</v>
      </c>
      <c r="G4034">
        <v>406.3</v>
      </c>
      <c r="H4034">
        <v>441.64</v>
      </c>
      <c r="I4034">
        <v>441.65</v>
      </c>
      <c r="J4034">
        <v>-0.01</v>
      </c>
    </row>
    <row r="4035" spans="1:10" x14ac:dyDescent="0.3">
      <c r="A4035" t="str">
        <f>HYPERLINK("https://us2.cloudbeds.com/connect/10074733072513#/reservations/31682072187035?display=MHCRCFCYG&amp;reservation_id=31682072187035", "MHCRCFCYG")</f>
        <v>MHCRCFCYG</v>
      </c>
      <c r="B4035" t="s">
        <v>10</v>
      </c>
      <c r="C4035" t="s">
        <v>20</v>
      </c>
      <c r="D4035" t="str">
        <f>HYPERLINK("https://us2.cloudbeds.com/connect/10074733072513#/reservations/31682072187035?display=Monica%20Kaczmarczyk&amp;reservation_id=31682072187035&amp;guest_id=31682072182942", "Monica Kaczmarczyk")</f>
        <v>Monica Kaczmarczyk</v>
      </c>
      <c r="E4035" t="s">
        <v>5963</v>
      </c>
      <c r="F4035" t="s">
        <v>4916</v>
      </c>
      <c r="G4035">
        <v>143.65</v>
      </c>
      <c r="H4035">
        <v>156.13999999999999</v>
      </c>
      <c r="I4035">
        <v>156.15</v>
      </c>
      <c r="J4035">
        <v>-0.01</v>
      </c>
    </row>
    <row r="4036" spans="1:10" x14ac:dyDescent="0.3">
      <c r="A4036" t="str">
        <f>HYPERLINK("https://us2.cloudbeds.com/connect/10074733072513#/reservations/31679691747490?display=MHAWX74ZR&amp;reservation_id=31679691747490", "MHAWX74ZR")</f>
        <v>MHAWX74ZR</v>
      </c>
      <c r="B4036" t="s">
        <v>10</v>
      </c>
      <c r="C4036" t="s">
        <v>42</v>
      </c>
      <c r="D4036" t="str">
        <f>HYPERLINK("https://us2.cloudbeds.com/connect/10074733072513#/reservations/31679691747490?display=Brenda%20Plese&amp;reservation_id=31679691747490&amp;guest_id=31679691747462", "Brenda Plese")</f>
        <v>Brenda Plese</v>
      </c>
      <c r="E4036" t="s">
        <v>5969</v>
      </c>
      <c r="F4036" t="s">
        <v>5566</v>
      </c>
      <c r="G4036">
        <v>134.1</v>
      </c>
      <c r="H4036">
        <v>145.76</v>
      </c>
      <c r="I4036">
        <v>145.77000000000001</v>
      </c>
      <c r="J4036">
        <v>-0.01</v>
      </c>
    </row>
    <row r="4037" spans="1:10" x14ac:dyDescent="0.3">
      <c r="A4037" t="str">
        <f>HYPERLINK("https://us2.cloudbeds.com/connect/10074733072513#/reservations/31677179838679?display=MH91C3J30&amp;reservation_id=31677179838679", "MH91C3J30")</f>
        <v>MH91C3J30</v>
      </c>
      <c r="B4037" t="s">
        <v>10</v>
      </c>
      <c r="C4037" t="s">
        <v>20</v>
      </c>
      <c r="D4037" t="str">
        <f>HYPERLINK("https://us2.cloudbeds.com/connect/10074733072513#/reservations/31677179838679?display=Dian%20Luo&amp;reservation_id=31677179838679&amp;guest_id=31677179834580", "Dian Luo")</f>
        <v>Dian Luo</v>
      </c>
      <c r="E4037" t="s">
        <v>5974</v>
      </c>
      <c r="F4037" t="s">
        <v>5200</v>
      </c>
      <c r="G4037">
        <v>329.8</v>
      </c>
      <c r="H4037">
        <v>358.48</v>
      </c>
      <c r="I4037">
        <v>358.49</v>
      </c>
      <c r="J4037">
        <v>-0.01</v>
      </c>
    </row>
    <row r="4038" spans="1:10" x14ac:dyDescent="0.3">
      <c r="A4038" t="str">
        <f>HYPERLINK("https://us2.cloudbeds.com/connect/10074733072513#/reservations/31677080285389?display=MH8VR5BUY&amp;reservation_id=31677080285389", "MH8VR5BUY")</f>
        <v>MH8VR5BUY</v>
      </c>
      <c r="B4038" t="s">
        <v>10</v>
      </c>
      <c r="C4038" t="s">
        <v>42</v>
      </c>
      <c r="D4038" t="str">
        <f>HYPERLINK("https://us2.cloudbeds.com/connect/10074733072513#/reservations/31677080285389?display=Jeanne%20Fuller&amp;reservation_id=31677080285389&amp;guest_id=31677080285386", "Jeanne Fuller")</f>
        <v>Jeanne Fuller</v>
      </c>
      <c r="E4038" t="s">
        <v>5976</v>
      </c>
      <c r="F4038" t="s">
        <v>5200</v>
      </c>
      <c r="G4038">
        <v>143.65</v>
      </c>
      <c r="H4038">
        <v>156.13999999999999</v>
      </c>
      <c r="I4038">
        <v>156.15</v>
      </c>
      <c r="J4038">
        <v>-0.01</v>
      </c>
    </row>
    <row r="4039" spans="1:10" x14ac:dyDescent="0.3">
      <c r="A4039" t="str">
        <f>HYPERLINK("https://us2.cloudbeds.com/connect/10074733072513#/reservations/31677193683157?display=MH91NPR3Y&amp;reservation_id=31677193683157", "MH91NPR3Y")</f>
        <v>MH91NPR3Y</v>
      </c>
      <c r="B4039" t="s">
        <v>10</v>
      </c>
      <c r="C4039" t="s">
        <v>20</v>
      </c>
      <c r="D4039" t="str">
        <f>HYPERLINK("https://us2.cloudbeds.com/connect/10074733072513#/reservations/31677193683157?display=Dian%20Luo&amp;reservation_id=31677193683157&amp;guest_id=31677179834580", "Dian Luo")</f>
        <v>Dian Luo</v>
      </c>
      <c r="E4039" t="s">
        <v>5974</v>
      </c>
      <c r="F4039" t="s">
        <v>5200</v>
      </c>
      <c r="G4039">
        <v>329.8</v>
      </c>
      <c r="H4039">
        <v>358.48</v>
      </c>
      <c r="I4039">
        <v>358.49</v>
      </c>
      <c r="J4039">
        <v>-0.01</v>
      </c>
    </row>
    <row r="4040" spans="1:10" x14ac:dyDescent="0.3">
      <c r="A4040" t="str">
        <f>HYPERLINK("https://us2.cloudbeds.com/connect/10074733072513#/reservations/31675973193931?display=MH83HKU0Y&amp;reservation_id=31675973193931", "MH83HKU0Y")</f>
        <v>MH83HKU0Y</v>
      </c>
      <c r="B4040" t="s">
        <v>10</v>
      </c>
      <c r="C4040" t="s">
        <v>23</v>
      </c>
      <c r="D4040" t="str">
        <f>HYPERLINK("https://us2.cloudbeds.com/connect/10074733072513#/reservations/31675973193931?display=Douglas%20Campbell&amp;reservation_id=31675973193931&amp;guest_id=31675964502207", "Douglas Campbell")</f>
        <v>Douglas Campbell</v>
      </c>
      <c r="E4040" t="s">
        <v>5983</v>
      </c>
      <c r="F4040" t="s">
        <v>5514</v>
      </c>
      <c r="G4040">
        <v>134.1</v>
      </c>
      <c r="H4040">
        <v>145.76</v>
      </c>
      <c r="I4040">
        <v>145.77000000000001</v>
      </c>
      <c r="J4040">
        <v>-0.01</v>
      </c>
    </row>
    <row r="4041" spans="1:10" x14ac:dyDescent="0.3">
      <c r="A4041" t="str">
        <f>HYPERLINK("https://us2.cloudbeds.com/connect/10074733072513#/reservations/31678638973141?display=MHA5YG4QR&amp;reservation_id=31678638973141", "MHA5YG4QR")</f>
        <v>MHA5YG4QR</v>
      </c>
      <c r="B4041" t="s">
        <v>10</v>
      </c>
      <c r="C4041" t="s">
        <v>11</v>
      </c>
      <c r="D4041" t="str">
        <f>HYPERLINK("https://us2.cloudbeds.com/connect/10074733072513#/reservations/31678638973141?display=Nancy%20Kadukil&amp;reservation_id=31678638973141&amp;guest_id=31678638973129", "Nancy Kadukil")</f>
        <v>Nancy Kadukil</v>
      </c>
      <c r="E4041" t="s">
        <v>5989</v>
      </c>
      <c r="F4041" t="s">
        <v>5990</v>
      </c>
      <c r="G4041">
        <v>94.16</v>
      </c>
      <c r="H4041">
        <v>102.34</v>
      </c>
      <c r="I4041">
        <v>102.35</v>
      </c>
      <c r="J4041">
        <v>-0.01</v>
      </c>
    </row>
    <row r="4042" spans="1:10" x14ac:dyDescent="0.3">
      <c r="A4042" t="str">
        <f>HYPERLINK("https://us2.cloudbeds.com/connect/10074733072513#/reservations/31677177549050?display=MH91A5SJA&amp;reservation_id=31677177549050", "MH91A5SJA")</f>
        <v>MH91A5SJA</v>
      </c>
      <c r="B4042" t="s">
        <v>10</v>
      </c>
      <c r="C4042" t="s">
        <v>20</v>
      </c>
      <c r="D4042" t="str">
        <f>HYPERLINK("https://us2.cloudbeds.com/connect/10074733072513#/reservations/31677177549050?display=Ekaterina%20Sanders&amp;reservation_id=31677177549050&amp;guest_id=31677166780579", "Ekaterina Sanders")</f>
        <v>Ekaterina Sanders</v>
      </c>
      <c r="E4042" t="s">
        <v>5991</v>
      </c>
      <c r="F4042" t="s">
        <v>5200</v>
      </c>
      <c r="G4042">
        <v>143.65</v>
      </c>
      <c r="H4042">
        <v>156.13999999999999</v>
      </c>
      <c r="I4042">
        <v>156.15</v>
      </c>
      <c r="J4042">
        <v>-0.01</v>
      </c>
    </row>
    <row r="4043" spans="1:10" x14ac:dyDescent="0.3">
      <c r="A4043" t="str">
        <f>HYPERLINK("https://us2.cloudbeds.com/connect/10074733072513#/reservations/31679165071569?display=MHAJ33K4E&amp;reservation_id=31679165071569", "MHAJ33K4E")</f>
        <v>MHAJ33K4E</v>
      </c>
      <c r="B4043" t="s">
        <v>10</v>
      </c>
      <c r="C4043" t="s">
        <v>20</v>
      </c>
      <c r="D4043" t="str">
        <f>HYPERLINK("https://us2.cloudbeds.com/connect/10074733072513#/reservations/31679165071569?display=Michelle%20Innis&amp;reservation_id=31679165071569&amp;guest_id=31679165071567", "Michelle Innis")</f>
        <v>Michelle Innis</v>
      </c>
      <c r="E4043" t="s">
        <v>5997</v>
      </c>
      <c r="F4043" t="s">
        <v>4530</v>
      </c>
      <c r="G4043">
        <v>490.45</v>
      </c>
      <c r="H4043">
        <v>533.11</v>
      </c>
      <c r="I4043">
        <v>533.12</v>
      </c>
      <c r="J4043">
        <v>-0.01</v>
      </c>
    </row>
    <row r="4044" spans="1:10" x14ac:dyDescent="0.3">
      <c r="A4044" t="str">
        <f>HYPERLINK("https://us2.cloudbeds.com/connect/10074733072513#/reservations/31680140550349?display=MHBB0YZJF&amp;reservation_id=31680140550349", "MHBB0YZJF")</f>
        <v>MHBB0YZJF</v>
      </c>
      <c r="B4044" t="s">
        <v>10</v>
      </c>
      <c r="C4044" t="s">
        <v>20</v>
      </c>
      <c r="D4044" t="str">
        <f>HYPERLINK("https://us2.cloudbeds.com/connect/10074733072513#/reservations/31680140550349?display=Joyce%20Glynn&amp;reservation_id=31680140550349&amp;guest_id=31680140550347", "Joyce Glynn")</f>
        <v>Joyce Glynn</v>
      </c>
      <c r="E4044" t="s">
        <v>6005</v>
      </c>
      <c r="F4044" t="s">
        <v>6006</v>
      </c>
      <c r="G4044">
        <v>268.2</v>
      </c>
      <c r="H4044">
        <v>291.52</v>
      </c>
      <c r="I4044">
        <v>291.52999999999997</v>
      </c>
      <c r="J4044">
        <v>-0.01</v>
      </c>
    </row>
    <row r="4045" spans="1:10" x14ac:dyDescent="0.3">
      <c r="A4045" t="str">
        <f>HYPERLINK("https://us2.cloudbeds.com/connect/10074733072513#/reservations/31677587538155?display=MH9BPTDPJ&amp;reservation_id=31677587538155", "MH9BPTDPJ")</f>
        <v>MH9BPTDPJ</v>
      </c>
      <c r="B4045" t="s">
        <v>10</v>
      </c>
      <c r="C4045" t="s">
        <v>14</v>
      </c>
      <c r="D4045" t="str">
        <f>HYPERLINK("https://us2.cloudbeds.com/connect/10074733072513#/reservations/31677587538155?display=Kristine%20Macaluso&amp;reservation_id=31677587538155&amp;guest_id=31677587538152", "Kristine Macaluso")</f>
        <v>Kristine Macaluso</v>
      </c>
      <c r="E4045" t="s">
        <v>6025</v>
      </c>
      <c r="F4045" t="s">
        <v>5326</v>
      </c>
      <c r="G4045">
        <v>127.2</v>
      </c>
      <c r="H4045">
        <v>138.26</v>
      </c>
      <c r="I4045">
        <v>138.27000000000001</v>
      </c>
      <c r="J4045">
        <v>-0.01</v>
      </c>
    </row>
    <row r="4046" spans="1:10" x14ac:dyDescent="0.3">
      <c r="A4046" t="str">
        <f>HYPERLINK("https://us2.cloudbeds.com/connect/10074733072513#/reservations/31676107341958?display=MH86VZPKC&amp;reservation_id=31676107341958", "MH86VZPKC")</f>
        <v>MH86VZPKC</v>
      </c>
      <c r="B4046" t="s">
        <v>10</v>
      </c>
      <c r="C4046" t="s">
        <v>42</v>
      </c>
      <c r="D4046" t="str">
        <f>HYPERLINK("https://us2.cloudbeds.com/connect/10074733072513#/reservations/31676107341958?display=Timothy%20Peet&amp;reservation_id=31676107341958&amp;guest_id=31676107341953", "Timothy Peet")</f>
        <v>Timothy Peet</v>
      </c>
      <c r="E4046" t="s">
        <v>6027</v>
      </c>
      <c r="F4046" t="s">
        <v>6020</v>
      </c>
      <c r="G4046">
        <v>170.1</v>
      </c>
      <c r="H4046">
        <v>184.89</v>
      </c>
      <c r="I4046">
        <v>184.9</v>
      </c>
      <c r="J4046">
        <v>-0.01</v>
      </c>
    </row>
    <row r="4047" spans="1:10" x14ac:dyDescent="0.3">
      <c r="A4047" t="str">
        <f>HYPERLINK("https://us2.cloudbeds.com/connect/10074733072513#/reservations/31676078555320?display=MH867FZK0&amp;reservation_id=31676078555320", "MH867FZK0")</f>
        <v>MH867FZK0</v>
      </c>
      <c r="B4047" t="s">
        <v>10</v>
      </c>
      <c r="C4047" t="s">
        <v>42</v>
      </c>
      <c r="D4047" t="str">
        <f>HYPERLINK("https://us2.cloudbeds.com/connect/10074733072513#/reservations/31676078555320?display=Laura%20Hemenway&amp;reservation_id=31676078555320&amp;guest_id=31676078555318", "Laura Hemenway")</f>
        <v>Laura Hemenway</v>
      </c>
      <c r="E4047" t="s">
        <v>6029</v>
      </c>
      <c r="F4047" t="s">
        <v>5514</v>
      </c>
      <c r="G4047">
        <v>134.1</v>
      </c>
      <c r="H4047">
        <v>145.76</v>
      </c>
      <c r="I4047">
        <v>145.77000000000001</v>
      </c>
      <c r="J4047">
        <v>-0.01</v>
      </c>
    </row>
    <row r="4048" spans="1:10" x14ac:dyDescent="0.3">
      <c r="A4048" t="str">
        <f>HYPERLINK("https://us2.cloudbeds.com/connect/10074733072513#/reservations/31689514041555?display=MHXJHKVHH&amp;reservation_id=31689514041555", "MHXJHKVHH")</f>
        <v>MHXJHKVHH</v>
      </c>
      <c r="B4048" t="s">
        <v>10</v>
      </c>
      <c r="C4048" t="s">
        <v>20</v>
      </c>
      <c r="D4048" t="str">
        <f>HYPERLINK("https://us2.cloudbeds.com/connect/10074733072513#/reservations/31689514041555?display=Melissa%20Waugh&amp;reservation_id=31689514041555&amp;guest_id=31689514037471", "Melissa Waugh")</f>
        <v>Melissa Waugh</v>
      </c>
      <c r="E4048" t="s">
        <v>6038</v>
      </c>
      <c r="F4048" t="s">
        <v>3785</v>
      </c>
      <c r="G4048">
        <v>134.1</v>
      </c>
      <c r="H4048">
        <v>145.76</v>
      </c>
      <c r="I4048">
        <v>145.77000000000001</v>
      </c>
      <c r="J4048">
        <v>-0.01</v>
      </c>
    </row>
    <row r="4049" spans="1:10" x14ac:dyDescent="0.3">
      <c r="A4049" t="str">
        <f>HYPERLINK("https://us2.cloudbeds.com/connect/10074733072513#/reservations/31679790317712?display=MHB22B068&amp;reservation_id=31679790317712", "MHB22B068")</f>
        <v>MHB22B068</v>
      </c>
      <c r="B4049" t="s">
        <v>10</v>
      </c>
      <c r="C4049" t="s">
        <v>20</v>
      </c>
      <c r="D4049" t="str">
        <f>HYPERLINK("https://us2.cloudbeds.com/connect/10074733072513#/reservations/31679790317712?display=Tamara%20Huff&amp;reservation_id=31679790317712&amp;guest_id=31679790317707", "Tamara Huff")</f>
        <v>Tamara Huff</v>
      </c>
      <c r="E4049" t="s">
        <v>6042</v>
      </c>
      <c r="F4049" t="s">
        <v>5805</v>
      </c>
      <c r="G4049">
        <v>112.24</v>
      </c>
      <c r="H4049">
        <v>121.99</v>
      </c>
      <c r="I4049">
        <v>122</v>
      </c>
      <c r="J4049">
        <v>-0.01</v>
      </c>
    </row>
    <row r="4050" spans="1:10" x14ac:dyDescent="0.3">
      <c r="A4050" t="str">
        <f>HYPERLINK("https://us2.cloudbeds.com/connect/10074733072513#/reservations/31677490458771?display=MH99A11B2&amp;reservation_id=31677490458771", "MH99A11B2")</f>
        <v>MH99A11B2</v>
      </c>
      <c r="B4050" t="s">
        <v>10</v>
      </c>
      <c r="C4050" t="s">
        <v>20</v>
      </c>
      <c r="D4050" t="str">
        <f>HYPERLINK("https://us2.cloudbeds.com/connect/10074733072513#/reservations/31677490458771?display=Anthony%20Baragona&amp;reservation_id=31677490458771&amp;guest_id=31677485666550", "Anthony Baragona")</f>
        <v>Anthony Baragona</v>
      </c>
      <c r="E4050" t="s">
        <v>6055</v>
      </c>
      <c r="F4050" t="s">
        <v>4803</v>
      </c>
      <c r="G4050">
        <v>112.24</v>
      </c>
      <c r="H4050">
        <v>121.99</v>
      </c>
      <c r="I4050">
        <v>122</v>
      </c>
      <c r="J4050">
        <v>-0.01</v>
      </c>
    </row>
    <row r="4051" spans="1:10" x14ac:dyDescent="0.3">
      <c r="A4051" t="str">
        <f>HYPERLINK("https://us2.cloudbeds.com/connect/10074733072513#/reservations/31682655867029?display=MHD99Y4K1&amp;reservation_id=31682655867029", "MHD99Y4K1")</f>
        <v>MHD99Y4K1</v>
      </c>
      <c r="B4051" t="s">
        <v>10</v>
      </c>
      <c r="C4051" t="s">
        <v>11</v>
      </c>
      <c r="D4051" t="str">
        <f>HYPERLINK("https://us2.cloudbeds.com/connect/10074733072513#/reservations/31682655867029?display=Jared%20Woodring&amp;reservation_id=31682655867029&amp;guest_id=31682655867024", "Jared Woodring")</f>
        <v>Jared Woodring</v>
      </c>
      <c r="E4051" t="s">
        <v>6059</v>
      </c>
      <c r="F4051" t="s">
        <v>4600</v>
      </c>
      <c r="G4051">
        <v>157.21</v>
      </c>
      <c r="H4051">
        <v>170.88</v>
      </c>
      <c r="I4051">
        <v>170.89</v>
      </c>
      <c r="J4051">
        <v>-0.01</v>
      </c>
    </row>
    <row r="4052" spans="1:10" x14ac:dyDescent="0.3">
      <c r="A4052" t="str">
        <f>HYPERLINK("https://us2.cloudbeds.com/connect/10074733072513#/reservations/31678843764977?display=MHAAT5PP1&amp;reservation_id=31678843764977", "MHAAT5PP1")</f>
        <v>MHAAT5PP1</v>
      </c>
      <c r="B4052" t="s">
        <v>10</v>
      </c>
      <c r="C4052" t="s">
        <v>14</v>
      </c>
      <c r="D4052" t="str">
        <f>HYPERLINK("https://us2.cloudbeds.com/connect/10074733072513#/reservations/31678843764977?display=Gregory%20Sevenich&amp;reservation_id=31678843764977&amp;guest_id=31678835224709", "Gregory Sevenich")</f>
        <v>Gregory Sevenich</v>
      </c>
      <c r="E4052" t="s">
        <v>6062</v>
      </c>
      <c r="F4052" t="s">
        <v>4645</v>
      </c>
      <c r="G4052">
        <v>170.1</v>
      </c>
      <c r="H4052">
        <v>184.89</v>
      </c>
      <c r="I4052">
        <v>184.9</v>
      </c>
      <c r="J4052">
        <v>-0.01</v>
      </c>
    </row>
    <row r="4053" spans="1:10" x14ac:dyDescent="0.3">
      <c r="A4053" t="str">
        <f>HYPERLINK("https://us2.cloudbeds.com/connect/10074733072513#/reservations/31685287489669?display=MHFAHMUAY&amp;reservation_id=31685287489669", "MHFAHMUAY")</f>
        <v>MHFAHMUAY</v>
      </c>
      <c r="B4053" t="s">
        <v>10</v>
      </c>
      <c r="C4053" t="s">
        <v>20</v>
      </c>
      <c r="D4053" t="str">
        <f>HYPERLINK("https://us2.cloudbeds.com/connect/10074733072513#/reservations/31685287489669?display=Lisa%20Owens&amp;reservation_id=31685287489669&amp;guest_id=31685287485622", "Lisa Owens")</f>
        <v>Lisa Owens</v>
      </c>
      <c r="E4053" t="s">
        <v>6065</v>
      </c>
      <c r="F4053" t="s">
        <v>5661</v>
      </c>
      <c r="G4053">
        <v>456.3</v>
      </c>
      <c r="H4053">
        <v>495.99</v>
      </c>
      <c r="I4053">
        <v>496</v>
      </c>
      <c r="J4053">
        <v>-0.01</v>
      </c>
    </row>
    <row r="4054" spans="1:10" x14ac:dyDescent="0.3">
      <c r="A4054" t="str">
        <f>HYPERLINK("https://us2.cloudbeds.com/connect/10074733072513#/reservations/31678145261715?display=MH9Q15TKH&amp;reservation_id=31678145261715", "MH9Q15TKH")</f>
        <v>MH9Q15TKH</v>
      </c>
      <c r="B4054" t="s">
        <v>10</v>
      </c>
      <c r="C4054" t="s">
        <v>20</v>
      </c>
      <c r="D4054" t="str">
        <f>HYPERLINK("https://us2.cloudbeds.com/connect/10074733072513#/reservations/31678145261715?display=Sam%20Pellar&amp;reservation_id=31678145261715&amp;guest_id=31678145261710", "Sam Pellar")</f>
        <v>Sam Pellar</v>
      </c>
      <c r="E4054" t="s">
        <v>6074</v>
      </c>
      <c r="F4054" t="s">
        <v>5887</v>
      </c>
      <c r="G4054">
        <v>112.24</v>
      </c>
      <c r="H4054">
        <v>121.99</v>
      </c>
      <c r="I4054">
        <v>122</v>
      </c>
      <c r="J4054">
        <v>-0.01</v>
      </c>
    </row>
    <row r="4055" spans="1:10" x14ac:dyDescent="0.3">
      <c r="A4055" t="str">
        <f>HYPERLINK("https://us2.cloudbeds.com/connect/10074733072513#/reservations/31677280915681?display=MH93VB6EF&amp;reservation_id=31677280915681", "MH93VB6EF")</f>
        <v>MH93VB6EF</v>
      </c>
      <c r="B4055" t="s">
        <v>10</v>
      </c>
      <c r="C4055" t="s">
        <v>20</v>
      </c>
      <c r="D4055" t="str">
        <f>HYPERLINK("https://us2.cloudbeds.com/connect/10074733072513#/reservations/31677280915681?display=Oskars%20Matisons&amp;reservation_id=31677280915681&amp;guest_id=31677280911584", "Oskars Matisons")</f>
        <v>Oskars Matisons</v>
      </c>
      <c r="E4055" t="s">
        <v>6075</v>
      </c>
      <c r="F4055" t="s">
        <v>4803</v>
      </c>
      <c r="G4055">
        <v>112.24</v>
      </c>
      <c r="H4055">
        <v>121.99</v>
      </c>
      <c r="I4055">
        <v>122</v>
      </c>
      <c r="J4055">
        <v>-0.01</v>
      </c>
    </row>
    <row r="4056" spans="1:10" x14ac:dyDescent="0.3">
      <c r="A4056" t="str">
        <f>HYPERLINK("https://us2.cloudbeds.com/connect/10074733072513#/reservations/31677661311133?display=MH9DM38XC&amp;reservation_id=31677661311133", "MH9DM38XC")</f>
        <v>MH9DM38XC</v>
      </c>
      <c r="B4056" t="s">
        <v>10</v>
      </c>
      <c r="C4056" t="s">
        <v>20</v>
      </c>
      <c r="D4056" t="str">
        <f>HYPERLINK("https://us2.cloudbeds.com/connect/10074733072513#/reservations/31677661311133?display=John%20Hendricks&amp;reservation_id=31677661311133&amp;guest_id=31677661311131", "John Hendricks")</f>
        <v>John Hendricks</v>
      </c>
      <c r="E4056" t="s">
        <v>6078</v>
      </c>
      <c r="F4056" t="s">
        <v>6079</v>
      </c>
      <c r="G4056">
        <v>134.1</v>
      </c>
      <c r="H4056">
        <v>145.76</v>
      </c>
      <c r="I4056">
        <v>145.77000000000001</v>
      </c>
      <c r="J4056">
        <v>-0.01</v>
      </c>
    </row>
    <row r="4057" spans="1:10" x14ac:dyDescent="0.3">
      <c r="A4057" t="str">
        <f>HYPERLINK("https://us2.cloudbeds.com/connect/10074733072513#/reservations/31677821735104?display=MH9HPC5VY&amp;reservation_id=31677821735104", "MH9HPC5VY")</f>
        <v>MH9HPC5VY</v>
      </c>
      <c r="B4057" t="s">
        <v>10</v>
      </c>
      <c r="C4057" t="s">
        <v>20</v>
      </c>
      <c r="D4057" t="str">
        <f>HYPERLINK("https://us2.cloudbeds.com/connect/10074733072513#/reservations/31677821735104?display=Ryan%20Gillis&amp;reservation_id=31677821735104&amp;guest_id=31677821731067", "Ryan Gillis")</f>
        <v>Ryan Gillis</v>
      </c>
      <c r="E4057" t="s">
        <v>6084</v>
      </c>
      <c r="F4057" t="s">
        <v>4803</v>
      </c>
      <c r="G4057">
        <v>112.24</v>
      </c>
      <c r="H4057">
        <v>121.99</v>
      </c>
      <c r="I4057">
        <v>122</v>
      </c>
      <c r="J4057">
        <v>-0.01</v>
      </c>
    </row>
    <row r="4058" spans="1:10" x14ac:dyDescent="0.3">
      <c r="A4058" t="str">
        <f>HYPERLINK("https://us2.cloudbeds.com/connect/10074733072513#/reservations/31678762152191?display=MHA8QBPTA&amp;reservation_id=31678762152191", "MHA8QBPTA")</f>
        <v>MHA8QBPTA</v>
      </c>
      <c r="B4058" t="s">
        <v>10</v>
      </c>
      <c r="C4058" t="s">
        <v>11</v>
      </c>
      <c r="D4058" t="str">
        <f>HYPERLINK("https://us2.cloudbeds.com/connect/10074733072513#/reservations/31678762152191?display=Julieanna%20Petrycki&amp;reservation_id=31678762152191&amp;guest_id=31678762152186", "Julieanna Petrycki")</f>
        <v>Julieanna Petrycki</v>
      </c>
      <c r="E4058" t="s">
        <v>6085</v>
      </c>
      <c r="F4058" t="s">
        <v>5831</v>
      </c>
      <c r="G4058">
        <v>345.68</v>
      </c>
      <c r="H4058">
        <v>375.74</v>
      </c>
      <c r="I4058">
        <v>375.75</v>
      </c>
      <c r="J4058">
        <v>-0.01</v>
      </c>
    </row>
    <row r="4059" spans="1:10" x14ac:dyDescent="0.3">
      <c r="A4059" t="str">
        <f>HYPERLINK("https://us2.cloudbeds.com/connect/10074733072513#/reservations/31678522433712?display=MHA2M78NW&amp;reservation_id=31678522433712", "MHA2M78NW")</f>
        <v>MHA2M78NW</v>
      </c>
      <c r="B4059" t="s">
        <v>10</v>
      </c>
      <c r="C4059" t="s">
        <v>14</v>
      </c>
      <c r="D4059" t="str">
        <f>HYPERLINK("https://us2.cloudbeds.com/connect/10074733072513#/reservations/31678522433712?display=Michael%20Rothleutner&amp;reservation_id=31678522433712&amp;guest_id=31678522433707", "Michael Rothleutner")</f>
        <v>Michael Rothleutner</v>
      </c>
      <c r="E4059" t="s">
        <v>6091</v>
      </c>
      <c r="F4059" t="s">
        <v>5469</v>
      </c>
      <c r="G4059">
        <v>141.49</v>
      </c>
      <c r="H4059">
        <v>153.79</v>
      </c>
      <c r="I4059">
        <v>153.80000000000001</v>
      </c>
      <c r="J4059">
        <v>-0.01</v>
      </c>
    </row>
    <row r="4060" spans="1:10" x14ac:dyDescent="0.3">
      <c r="A4060" t="str">
        <f>HYPERLINK("https://us2.cloudbeds.com/connect/10074733072513#/reservations/31678574325953?display=MHA3WW804&amp;reservation_id=31678574325953", "MHA3WW804")</f>
        <v>MHA3WW804</v>
      </c>
      <c r="B4060" t="s">
        <v>10</v>
      </c>
      <c r="C4060" t="s">
        <v>17</v>
      </c>
      <c r="D4060" t="str">
        <f>HYPERLINK("https://us2.cloudbeds.com/connect/10074733072513#/reservations/31678574325953?display=Kristine%20Fischer&amp;reservation_id=31678574325953&amp;guest_id=31678557139171", "Kristine Fischer")</f>
        <v>Kristine Fischer</v>
      </c>
      <c r="E4060" t="s">
        <v>6092</v>
      </c>
      <c r="F4060" t="s">
        <v>6093</v>
      </c>
      <c r="G4060">
        <v>537.29999999999995</v>
      </c>
      <c r="H4060">
        <v>584.04</v>
      </c>
      <c r="I4060">
        <v>584.04999999999995</v>
      </c>
      <c r="J4060">
        <v>-0.01</v>
      </c>
    </row>
    <row r="4061" spans="1:10" x14ac:dyDescent="0.3">
      <c r="A4061" t="str">
        <f>HYPERLINK("https://us2.cloudbeds.com/connect/10074733072513#/reservations/31678691717309?display=MHA6WVRCV&amp;reservation_id=31678691717309", "MHA6WVRCV")</f>
        <v>MHA6WVRCV</v>
      </c>
      <c r="B4061" t="s">
        <v>10</v>
      </c>
      <c r="C4061" t="s">
        <v>17</v>
      </c>
      <c r="D4061" t="str">
        <f>HYPERLINK("https://us2.cloudbeds.com/connect/10074733072513#/reservations/31678691717309?display=Cindy%20Reinhart&amp;reservation_id=31678691717309&amp;guest_id=31678678904973", "Cindy Reinhart")</f>
        <v>Cindy Reinhart</v>
      </c>
      <c r="E4061" t="s">
        <v>6094</v>
      </c>
      <c r="F4061" t="s">
        <v>6093</v>
      </c>
      <c r="G4061">
        <v>537.29999999999995</v>
      </c>
      <c r="H4061">
        <v>584.04</v>
      </c>
      <c r="I4061">
        <v>584.04999999999995</v>
      </c>
      <c r="J4061">
        <v>-0.01</v>
      </c>
    </row>
    <row r="4062" spans="1:10" x14ac:dyDescent="0.3">
      <c r="A4062" t="str">
        <f>HYPERLINK("https://us2.cloudbeds.com/connect/10074733072513#/reservations/31678935269511?display=MHAD7B0VN&amp;reservation_id=31678935269511", "MHAD7B0VN")</f>
        <v>MHAD7B0VN</v>
      </c>
      <c r="B4062" t="s">
        <v>10</v>
      </c>
      <c r="C4062" t="s">
        <v>20</v>
      </c>
      <c r="D4062" t="str">
        <f>HYPERLINK("https://us2.cloudbeds.com/connect/10074733072513#/reservations/31678935269511?display=Samantha%20Rudnitski&amp;reservation_id=31678935269511&amp;guest_id=31678935265410", "Samantha Rudnitski")</f>
        <v>Samantha Rudnitski</v>
      </c>
      <c r="E4062" t="s">
        <v>6095</v>
      </c>
      <c r="F4062" t="s">
        <v>5048</v>
      </c>
      <c r="G4062">
        <v>169.15</v>
      </c>
      <c r="H4062">
        <v>183.86</v>
      </c>
      <c r="I4062">
        <v>183.87</v>
      </c>
      <c r="J4062">
        <v>-0.01</v>
      </c>
    </row>
    <row r="4063" spans="1:10" x14ac:dyDescent="0.3">
      <c r="A4063" t="str">
        <f>HYPERLINK("https://us2.cloudbeds.com/connect/10074733072513#/reservations/31676116734176?display=MH876M481&amp;reservation_id=31676116734176", "MH876M481")</f>
        <v>MH876M481</v>
      </c>
      <c r="B4063" t="s">
        <v>10</v>
      </c>
      <c r="C4063" t="s">
        <v>14</v>
      </c>
      <c r="D4063" t="str">
        <f>HYPERLINK("https://us2.cloudbeds.com/connect/10074733072513#/reservations/31676116734176?display=Lynnelle%20Giddings&amp;reservation_id=31676116734176&amp;guest_id=31676116730085", "Lynnelle Giddings")</f>
        <v>Lynnelle Giddings</v>
      </c>
      <c r="E4063" t="s">
        <v>6097</v>
      </c>
      <c r="F4063" t="s">
        <v>5469</v>
      </c>
      <c r="G4063">
        <v>157.21</v>
      </c>
      <c r="H4063">
        <v>170.88</v>
      </c>
      <c r="I4063">
        <v>170.89</v>
      </c>
      <c r="J4063">
        <v>-0.01</v>
      </c>
    </row>
    <row r="4064" spans="1:10" x14ac:dyDescent="0.3">
      <c r="A4064" t="str">
        <f>HYPERLINK("https://us2.cloudbeds.com/connect/10074733072513#/reservations/31683752247529?display=MHE4A4HUD&amp;reservation_id=31683752247529", "MHE4A4HUD")</f>
        <v>MHE4A4HUD</v>
      </c>
      <c r="B4064" t="s">
        <v>10</v>
      </c>
      <c r="C4064" t="s">
        <v>14</v>
      </c>
      <c r="D4064" t="str">
        <f>HYPERLINK("https://us2.cloudbeds.com/connect/10074733072513#/reservations/31683752247529?display=Laura%20Dray&amp;reservation_id=31683752247529&amp;guest_id=31683735908562", "Laura Dray")</f>
        <v>Laura Dray</v>
      </c>
      <c r="E4064" t="s">
        <v>6101</v>
      </c>
      <c r="F4064" t="s">
        <v>5717</v>
      </c>
      <c r="G4064">
        <v>94.16</v>
      </c>
      <c r="H4064">
        <v>102.34</v>
      </c>
      <c r="I4064">
        <v>102.35</v>
      </c>
      <c r="J4064">
        <v>-0.01</v>
      </c>
    </row>
    <row r="4065" spans="1:10" x14ac:dyDescent="0.3">
      <c r="A4065" t="str">
        <f>HYPERLINK("https://us2.cloudbeds.com/connect/10074733072513#/reservations/31680667095174?display=MHBZFYKR8&amp;reservation_id=31680667095174", "MHBZFYKR8")</f>
        <v>MHBZFYKR8</v>
      </c>
      <c r="B4065" t="s">
        <v>10</v>
      </c>
      <c r="C4065" t="s">
        <v>17</v>
      </c>
      <c r="D4065" t="str">
        <f>HYPERLINK("https://us2.cloudbeds.com/connect/10074733072513#/reservations/31680667095174?display=Brian%20Ziebell&amp;reservation_id=31680667095174&amp;guest_id=31680656670966", "Brian Ziebell")</f>
        <v>Brian Ziebell</v>
      </c>
      <c r="E4065" t="s">
        <v>6112</v>
      </c>
      <c r="F4065" t="s">
        <v>4600</v>
      </c>
      <c r="G4065">
        <v>756.4</v>
      </c>
      <c r="H4065">
        <v>822.2</v>
      </c>
      <c r="I4065">
        <v>822.21</v>
      </c>
      <c r="J4065">
        <v>-0.01</v>
      </c>
    </row>
    <row r="4066" spans="1:10" x14ac:dyDescent="0.3">
      <c r="A4066" t="str">
        <f>HYPERLINK("https://us2.cloudbeds.com/connect/10074733072513#/reservations/31677953142980?display=MH9Y45U1M&amp;reservation_id=31677953142980", "MH9Y45U1M")</f>
        <v>MH9Y45U1M</v>
      </c>
      <c r="B4066" t="s">
        <v>10</v>
      </c>
      <c r="C4066" t="s">
        <v>20</v>
      </c>
      <c r="D4066" t="str">
        <f>HYPERLINK("https://us2.cloudbeds.com/connect/10074733072513#/reservations/31677953142980?display=Toni%20Johnson&amp;reservation_id=31677953142980&amp;guest_id=31677947945187", "Toni Johnson")</f>
        <v>Toni Johnson</v>
      </c>
      <c r="E4066" t="s">
        <v>6117</v>
      </c>
      <c r="F4066" t="s">
        <v>5581</v>
      </c>
      <c r="G4066">
        <v>118.15</v>
      </c>
      <c r="H4066">
        <v>128.41999999999999</v>
      </c>
      <c r="I4066">
        <v>128.43</v>
      </c>
      <c r="J4066">
        <v>-0.01</v>
      </c>
    </row>
    <row r="4067" spans="1:10" x14ac:dyDescent="0.3">
      <c r="A4067" t="str">
        <f>HYPERLINK("https://us2.cloudbeds.com/connect/10074733072513#/reservations/31684320837777?display=MHEXRJDC2&amp;reservation_id=31684320837777", "MHEXRJDC2")</f>
        <v>MHEXRJDC2</v>
      </c>
      <c r="B4067" t="s">
        <v>10</v>
      </c>
      <c r="C4067" t="s">
        <v>11</v>
      </c>
      <c r="D4067" t="str">
        <f>HYPERLINK("https://us2.cloudbeds.com/connect/10074733072513#/reservations/31684320837777?display=Brian%20Thole&amp;reservation_id=31684320837777&amp;guest_id=31684320833686", "Brian Thole")</f>
        <v>Brian Thole</v>
      </c>
      <c r="E4067" t="s">
        <v>6123</v>
      </c>
      <c r="F4067" t="s">
        <v>5366</v>
      </c>
      <c r="G4067">
        <v>170.1</v>
      </c>
      <c r="H4067">
        <v>184.89</v>
      </c>
      <c r="I4067">
        <v>184.9</v>
      </c>
      <c r="J4067">
        <v>-0.01</v>
      </c>
    </row>
    <row r="4068" spans="1:10" x14ac:dyDescent="0.3">
      <c r="A4068" t="str">
        <f>HYPERLINK("https://us2.cloudbeds.com/connect/10074733072513#/reservations/31679409721591?display=MHAPBDBQF&amp;reservation_id=31679409721591", "MHAPBDBQF")</f>
        <v>MHAPBDBQF</v>
      </c>
      <c r="B4068" t="s">
        <v>10</v>
      </c>
      <c r="C4068" t="s">
        <v>11</v>
      </c>
      <c r="D4068" t="str">
        <f>HYPERLINK("https://us2.cloudbeds.com/connect/10074733072513#/reservations/31679409721591?display=Ben%20Ebbers&amp;reservation_id=31679409721591&amp;guest_id=31679409721586", "Ben Ebbers")</f>
        <v>Ben Ebbers</v>
      </c>
      <c r="E4068" t="s">
        <v>6124</v>
      </c>
      <c r="F4068" t="s">
        <v>5366</v>
      </c>
      <c r="G4068">
        <v>170.1</v>
      </c>
      <c r="H4068">
        <v>184.89</v>
      </c>
      <c r="I4068">
        <v>184.9</v>
      </c>
      <c r="J4068">
        <v>-0.01</v>
      </c>
    </row>
    <row r="4069" spans="1:10" x14ac:dyDescent="0.3">
      <c r="A4069" t="str">
        <f>HYPERLINK("https://us2.cloudbeds.com/connect/10074733072513#/reservations/31682111516895?display=MHCSCKQ7E&amp;reservation_id=31682111516895", "MHCSCKQ7E")</f>
        <v>MHCSCKQ7E</v>
      </c>
      <c r="B4069" t="s">
        <v>10</v>
      </c>
      <c r="C4069" t="s">
        <v>20</v>
      </c>
      <c r="D4069" t="str">
        <f>HYPERLINK("https://us2.cloudbeds.com/connect/10074733072513#/reservations/31682111516895?display=Kristen%20Pichler&amp;reservation_id=31682111516895&amp;guest_id=31682111516893", "Kristen Pichler")</f>
        <v>Kristen Pichler</v>
      </c>
      <c r="E4069" t="s">
        <v>6126</v>
      </c>
      <c r="F4069" t="s">
        <v>4916</v>
      </c>
      <c r="G4069">
        <v>304.2</v>
      </c>
      <c r="H4069">
        <v>330.66</v>
      </c>
      <c r="I4069">
        <v>330.67</v>
      </c>
      <c r="J4069">
        <v>-0.01</v>
      </c>
    </row>
    <row r="4070" spans="1:10" x14ac:dyDescent="0.3">
      <c r="A4070" t="str">
        <f>HYPERLINK("https://us2.cloudbeds.com/connect/10074733072513#/reservations/31678917742741?display=MHACPXAJF&amp;reservation_id=31678917742741", "MHACPXAJF")</f>
        <v>MHACPXAJF</v>
      </c>
      <c r="B4070" t="s">
        <v>10</v>
      </c>
      <c r="C4070" t="s">
        <v>20</v>
      </c>
      <c r="D4070" t="str">
        <f>HYPERLINK("https://us2.cloudbeds.com/connect/10074733072513#/reservations/31678917742741?display=Alexis%20Tyson&amp;reservation_id=31678917742741&amp;guest_id=31678917738644", "Alexis Tyson")</f>
        <v>Alexis Tyson</v>
      </c>
      <c r="E4070" t="s">
        <v>6129</v>
      </c>
      <c r="F4070" t="s">
        <v>5895</v>
      </c>
      <c r="G4070">
        <v>118.15</v>
      </c>
      <c r="H4070">
        <v>128.41999999999999</v>
      </c>
      <c r="I4070">
        <v>128.43</v>
      </c>
      <c r="J4070">
        <v>-0.01</v>
      </c>
    </row>
    <row r="4071" spans="1:10" x14ac:dyDescent="0.3">
      <c r="A4071" t="str">
        <f>HYPERLINK("https://us2.cloudbeds.com/connect/10074733072513#/reservations/31677897711751?display=MH9JNEF0F&amp;reservation_id=31677897711751", "MH9JNEF0F")</f>
        <v>MH9JNEF0F</v>
      </c>
      <c r="B4071" t="s">
        <v>10</v>
      </c>
      <c r="C4071" t="s">
        <v>20</v>
      </c>
      <c r="D4071" t="str">
        <f>HYPERLINK("https://us2.cloudbeds.com/connect/10074733072513#/reservations/31677897711751?display=Toni%20Johnson&amp;reservation_id=31677897711751&amp;guest_id=31677889564912", "Toni Johnson")</f>
        <v>Toni Johnson</v>
      </c>
      <c r="E4071" t="s">
        <v>6131</v>
      </c>
      <c r="F4071" t="s">
        <v>5581</v>
      </c>
      <c r="G4071">
        <v>118.15</v>
      </c>
      <c r="H4071">
        <v>128.41999999999999</v>
      </c>
      <c r="I4071">
        <v>128.43</v>
      </c>
      <c r="J4071">
        <v>-0.01</v>
      </c>
    </row>
    <row r="4072" spans="1:10" x14ac:dyDescent="0.3">
      <c r="A4072" t="str">
        <f>HYPERLINK("https://us2.cloudbeds.com/connect/10074733072513#/reservations/31679773532387?display=MHB1Y5UM1&amp;reservation_id=31679773532387", "MHB1Y5UM1")</f>
        <v>MHB1Y5UM1</v>
      </c>
      <c r="B4072" t="s">
        <v>10</v>
      </c>
      <c r="C4072" t="s">
        <v>42</v>
      </c>
      <c r="D4072" t="str">
        <f>HYPERLINK("https://us2.cloudbeds.com/connect/10074733072513#/reservations/31679773532387?display=Bre'Elle%20Breaw&amp;reservation_id=31679773532387&amp;guest_id=31679773532382", "Bre'Elle Breaw")</f>
        <v>Bre'Elle Breaw</v>
      </c>
      <c r="E4072" t="s">
        <v>6132</v>
      </c>
      <c r="F4072" t="s">
        <v>4982</v>
      </c>
      <c r="G4072">
        <v>288</v>
      </c>
      <c r="H4072">
        <v>313.05</v>
      </c>
      <c r="I4072">
        <v>313.06</v>
      </c>
      <c r="J4072">
        <v>-0.01</v>
      </c>
    </row>
    <row r="4073" spans="1:10" x14ac:dyDescent="0.3">
      <c r="A4073" t="str">
        <f>HYPERLINK("https://us2.cloudbeds.com/connect/10074733072513#/reservations/31680255377639?display=MHBDVFWFA&amp;reservation_id=31680255377639", "MHBDVFWFA")</f>
        <v>MHBDVFWFA</v>
      </c>
      <c r="B4073" t="s">
        <v>10</v>
      </c>
      <c r="C4073" t="s">
        <v>20</v>
      </c>
      <c r="D4073" t="str">
        <f>HYPERLINK("https://us2.cloudbeds.com/connect/10074733072513#/reservations/31680255377639?display=Markus%20Hofmann&amp;reservation_id=31680255377639&amp;guest_id=31680242921623", "Markus Hofmann")</f>
        <v>Markus Hofmann</v>
      </c>
      <c r="E4073" t="s">
        <v>6142</v>
      </c>
      <c r="F4073" t="s">
        <v>6137</v>
      </c>
      <c r="G4073">
        <v>134.1</v>
      </c>
      <c r="H4073">
        <v>145.76</v>
      </c>
      <c r="I4073">
        <v>145.77000000000001</v>
      </c>
      <c r="J4073">
        <v>-0.01</v>
      </c>
    </row>
    <row r="4074" spans="1:10" x14ac:dyDescent="0.3">
      <c r="A4074" t="str">
        <f>HYPERLINK("https://us2.cloudbeds.com/connect/10074733072513#/reservations/31678578684128?display=MHA43YH01&amp;reservation_id=31678578684128", "MHA43YH01")</f>
        <v>MHA43YH01</v>
      </c>
      <c r="B4074" t="s">
        <v>10</v>
      </c>
      <c r="C4074" t="s">
        <v>11</v>
      </c>
      <c r="D4074" t="str">
        <f>HYPERLINK("https://us2.cloudbeds.com/connect/10074733072513#/reservations/31678578684128?display=Erin%20Hufford&amp;reservation_id=31678578684128&amp;guest_id=31678572609734", "Erin Hufford")</f>
        <v>Erin Hufford</v>
      </c>
      <c r="E4074" t="s">
        <v>6154</v>
      </c>
      <c r="F4074" t="s">
        <v>5762</v>
      </c>
      <c r="G4074">
        <v>127.2</v>
      </c>
      <c r="H4074">
        <v>138.26</v>
      </c>
      <c r="I4074">
        <v>138.27000000000001</v>
      </c>
      <c r="J4074">
        <v>-0.01</v>
      </c>
    </row>
    <row r="4075" spans="1:10" x14ac:dyDescent="0.3">
      <c r="A4075" t="str">
        <f>HYPERLINK("https://us2.cloudbeds.com/connect/10074733072513#/reservations/31680532934826?display=MHBY1HDU5&amp;reservation_id=31680532934826", "MHBY1HDU5")</f>
        <v>MHBY1HDU5</v>
      </c>
      <c r="B4075" t="s">
        <v>10</v>
      </c>
      <c r="C4075" t="s">
        <v>14</v>
      </c>
      <c r="D4075" t="str">
        <f>HYPERLINK("https://us2.cloudbeds.com/connect/10074733072513#/reservations/31680532934826?display=Scott%20Douglas&amp;reservation_id=31680532934826&amp;guest_id=31680532934823", "Scott Douglas")</f>
        <v>Scott Douglas</v>
      </c>
      <c r="E4075" t="s">
        <v>6161</v>
      </c>
      <c r="F4075" t="s">
        <v>5326</v>
      </c>
      <c r="G4075">
        <v>94.16</v>
      </c>
      <c r="H4075">
        <v>102.34</v>
      </c>
      <c r="I4075">
        <v>102.35</v>
      </c>
      <c r="J4075">
        <v>-0.01</v>
      </c>
    </row>
    <row r="4076" spans="1:10" x14ac:dyDescent="0.3">
      <c r="A4076" t="str">
        <f>HYPERLINK("https://us2.cloudbeds.com/connect/10074733072513#/reservations/31677032169669?display=MH8UJJFHH&amp;reservation_id=31677032169669", "MH8UJJFHH")</f>
        <v>MH8UJJFHH</v>
      </c>
      <c r="B4076" t="s">
        <v>10</v>
      </c>
      <c r="C4076" t="s">
        <v>20</v>
      </c>
      <c r="D4076" t="str">
        <f>HYPERLINK("https://us2.cloudbeds.com/connect/10074733072513#/reservations/31677032169669?display=Salvatore%20Laface&amp;reservation_id=31677032169669&amp;guest_id=31677032169666", "Salvatore Laface")</f>
        <v>Salvatore Laface</v>
      </c>
      <c r="E4076" t="s">
        <v>6162</v>
      </c>
      <c r="F4076" t="s">
        <v>4676</v>
      </c>
      <c r="G4076">
        <v>152.15</v>
      </c>
      <c r="H4076">
        <v>165.38</v>
      </c>
      <c r="I4076">
        <v>165.39</v>
      </c>
      <c r="J4076">
        <v>-0.01</v>
      </c>
    </row>
    <row r="4077" spans="1:10" x14ac:dyDescent="0.3">
      <c r="A4077" t="str">
        <f>HYPERLINK("https://us2.cloudbeds.com/connect/10074733072513#/reservations/31678080962717?display=MH9ZCVMX1&amp;reservation_id=31678080962717", "MH9ZCVMX1")</f>
        <v>MH9ZCVMX1</v>
      </c>
      <c r="B4077" t="s">
        <v>10</v>
      </c>
      <c r="C4077" t="s">
        <v>42</v>
      </c>
      <c r="D4077" t="str">
        <f>HYPERLINK("https://us2.cloudbeds.com/connect/10074733072513#/reservations/31678080962717?display=Joleen%20Niles&amp;reservation_id=31678080962717&amp;guest_id=31678073295040", "Joleen Niles")</f>
        <v>Joleen Niles</v>
      </c>
      <c r="E4077" t="s">
        <v>4824</v>
      </c>
      <c r="F4077" t="s">
        <v>5048</v>
      </c>
      <c r="G4077">
        <v>250.2</v>
      </c>
      <c r="H4077">
        <v>271.95999999999998</v>
      </c>
      <c r="I4077">
        <v>271.97000000000003</v>
      </c>
      <c r="J4077">
        <v>-0.01</v>
      </c>
    </row>
    <row r="4078" spans="1:10" x14ac:dyDescent="0.3">
      <c r="A4078" t="str">
        <f>HYPERLINK("https://us2.cloudbeds.com/connect/10074733072513#/reservations/31679743746267?display=MHB0T22SB&amp;reservation_id=31679743746267", "MHB0T22SB")</f>
        <v>MHB0T22SB</v>
      </c>
      <c r="B4078" t="s">
        <v>10</v>
      </c>
      <c r="C4078" t="s">
        <v>11</v>
      </c>
      <c r="D4078" t="str">
        <f>HYPERLINK("https://us2.cloudbeds.com/connect/10074733072513#/reservations/31679743746267?display=Jon%20Huber&amp;reservation_id=31679743746267&amp;guest_id=31679743746265", "Jon Huber")</f>
        <v>Jon Huber</v>
      </c>
      <c r="E4078" t="s">
        <v>6166</v>
      </c>
      <c r="F4078" t="s">
        <v>5688</v>
      </c>
      <c r="G4078">
        <v>474.3</v>
      </c>
      <c r="H4078">
        <v>515.54999999999995</v>
      </c>
      <c r="I4078">
        <v>515.55999999999995</v>
      </c>
      <c r="J4078">
        <v>-0.01</v>
      </c>
    </row>
    <row r="4079" spans="1:10" x14ac:dyDescent="0.3">
      <c r="A4079" t="str">
        <f>HYPERLINK("https://us2.cloudbeds.com/connect/10074733072513#/reservations/31677596467393?display=MH9C0DT8X&amp;reservation_id=31677596467393", "MH9C0DT8X")</f>
        <v>MH9C0DT8X</v>
      </c>
      <c r="B4079" t="s">
        <v>10</v>
      </c>
      <c r="C4079" t="s">
        <v>14</v>
      </c>
      <c r="D4079" t="str">
        <f>HYPERLINK("https://us2.cloudbeds.com/connect/10074733072513#/reservations/31677596467393?display=Shanna%20Doyle&amp;reservation_id=31677596467393&amp;guest_id=31677596463356", "Shanna Doyle")</f>
        <v>Shanna Doyle</v>
      </c>
      <c r="E4079" t="s">
        <v>6169</v>
      </c>
      <c r="F4079" t="s">
        <v>5326</v>
      </c>
      <c r="G4079">
        <v>94.16</v>
      </c>
      <c r="H4079">
        <v>102.34</v>
      </c>
      <c r="I4079">
        <v>102.35</v>
      </c>
      <c r="J4079">
        <v>-0.01</v>
      </c>
    </row>
    <row r="4080" spans="1:10" x14ac:dyDescent="0.3">
      <c r="A4080" t="str">
        <f>HYPERLINK("https://us2.cloudbeds.com/connect/10074733072513#/reservations/31677490462867?display=MH99A1536&amp;reservation_id=31677490462867", "MH99A1536")</f>
        <v>MH99A1536</v>
      </c>
      <c r="B4080" t="s">
        <v>10</v>
      </c>
      <c r="C4080" t="s">
        <v>20</v>
      </c>
      <c r="D4080" t="str">
        <f>HYPERLINK("https://us2.cloudbeds.com/connect/10074733072513#/reservations/31677490462867?display=David%20Muhl&amp;reservation_id=31677490462867&amp;guest_id=31677490462862", "David Muhl")</f>
        <v>David Muhl</v>
      </c>
      <c r="E4080" t="s">
        <v>6173</v>
      </c>
      <c r="F4080" t="s">
        <v>5326</v>
      </c>
      <c r="G4080">
        <v>118.15</v>
      </c>
      <c r="H4080">
        <v>128.41999999999999</v>
      </c>
      <c r="I4080">
        <v>128.43</v>
      </c>
      <c r="J4080">
        <v>-0.01</v>
      </c>
    </row>
    <row r="4081" spans="1:10" x14ac:dyDescent="0.3">
      <c r="A4081" t="str">
        <f>HYPERLINK("https://us2.cloudbeds.com/connect/10074733072513#/reservations/31680551354581?display=MHBYH1W9X&amp;reservation_id=31680551354581", "MHBYH1W9X")</f>
        <v>MHBYH1W9X</v>
      </c>
      <c r="B4081" t="s">
        <v>10</v>
      </c>
      <c r="C4081" t="s">
        <v>14</v>
      </c>
      <c r="D4081" t="str">
        <f>HYPERLINK("https://us2.cloudbeds.com/connect/10074733072513#/reservations/31680551354581?display=Lee%20Healy&amp;reservation_id=31680551354581&amp;guest_id=31680551354578", "Lee Healy")</f>
        <v>Lee Healy</v>
      </c>
      <c r="E4081" t="s">
        <v>6178</v>
      </c>
      <c r="F4081" t="s">
        <v>5326</v>
      </c>
      <c r="G4081">
        <v>94.16</v>
      </c>
      <c r="H4081">
        <v>102.34</v>
      </c>
      <c r="I4081">
        <v>102.35</v>
      </c>
      <c r="J4081">
        <v>-0.01</v>
      </c>
    </row>
    <row r="4082" spans="1:10" x14ac:dyDescent="0.3">
      <c r="A4082" t="str">
        <f>HYPERLINK("https://us2.cloudbeds.com/connect/10074733072513#/reservations/31680524107988?display=MHBKR2QF7&amp;reservation_id=31680524107988", "MHBKR2QF7")</f>
        <v>MHBKR2QF7</v>
      </c>
      <c r="B4082" t="s">
        <v>10</v>
      </c>
      <c r="C4082" t="s">
        <v>11</v>
      </c>
      <c r="D4082" t="str">
        <f>HYPERLINK("https://us2.cloudbeds.com/connect/10074733072513#/reservations/31680524107988?display=Jonathan%20Ahlstrom&amp;reservation_id=31680524107988&amp;guest_id=31680524107985", "Jonathan Ahlstrom")</f>
        <v>Jonathan Ahlstrom</v>
      </c>
      <c r="E4082" t="s">
        <v>6179</v>
      </c>
      <c r="F4082" t="s">
        <v>5326</v>
      </c>
      <c r="G4082">
        <v>94.16</v>
      </c>
      <c r="H4082">
        <v>102.34</v>
      </c>
      <c r="I4082">
        <v>102.35</v>
      </c>
      <c r="J4082">
        <v>-0.01</v>
      </c>
    </row>
    <row r="4083" spans="1:10" x14ac:dyDescent="0.3">
      <c r="A4083" t="str">
        <f>HYPERLINK("https://us2.cloudbeds.com/connect/10074733072513#/reservations/31679760093315?display=MHB19RVUE&amp;reservation_id=31679760093315", "MHB19RVUE")</f>
        <v>MHB19RVUE</v>
      </c>
      <c r="B4083" t="s">
        <v>10</v>
      </c>
      <c r="C4083" t="s">
        <v>11</v>
      </c>
      <c r="D4083" t="str">
        <f>HYPERLINK("https://us2.cloudbeds.com/connect/10074733072513#/reservations/31679760093315?display=Jon%20Huber&amp;reservation_id=31679760093315&amp;guest_id=31679760093313", "Jon Huber")</f>
        <v>Jon Huber</v>
      </c>
      <c r="E4083" t="s">
        <v>6180</v>
      </c>
      <c r="F4083" t="s">
        <v>5688</v>
      </c>
      <c r="G4083">
        <v>474.3</v>
      </c>
      <c r="H4083">
        <v>515.54999999999995</v>
      </c>
      <c r="I4083">
        <v>515.55999999999995</v>
      </c>
      <c r="J4083">
        <v>-0.01</v>
      </c>
    </row>
    <row r="4084" spans="1:10" x14ac:dyDescent="0.3">
      <c r="A4084" t="str">
        <f>HYPERLINK("https://us2.cloudbeds.com/connect/10074733072513#/reservations/31679783694578?display=MHB1TZNB7&amp;reservation_id=31679783694578", "MHB1TZNB7")</f>
        <v>MHB1TZNB7</v>
      </c>
      <c r="B4084" t="s">
        <v>10</v>
      </c>
      <c r="C4084" t="s">
        <v>11</v>
      </c>
      <c r="D4084" t="str">
        <f>HYPERLINK("https://us2.cloudbeds.com/connect/10074733072513#/reservations/31679783694578?display=Jon%20Huber&amp;reservation_id=31679783694578&amp;guest_id=31679773532385", "Jon Huber")</f>
        <v>Jon Huber</v>
      </c>
      <c r="E4084" t="s">
        <v>6181</v>
      </c>
      <c r="F4084" t="s">
        <v>5688</v>
      </c>
      <c r="G4084">
        <v>474.3</v>
      </c>
      <c r="H4084">
        <v>515.54999999999995</v>
      </c>
      <c r="I4084">
        <v>515.55999999999995</v>
      </c>
      <c r="J4084">
        <v>-0.01</v>
      </c>
    </row>
    <row r="4085" spans="1:10" x14ac:dyDescent="0.3">
      <c r="A4085" t="str">
        <f>HYPERLINK("https://us2.cloudbeds.com/connect/10074733072513#/reservations/31680452632757?display=MHBXWQTY4&amp;reservation_id=31680452632757", "MHBXWQTY4")</f>
        <v>MHBXWQTY4</v>
      </c>
      <c r="B4085" t="s">
        <v>10</v>
      </c>
      <c r="C4085" t="s">
        <v>20</v>
      </c>
      <c r="D4085" t="str">
        <f>HYPERLINK("https://us2.cloudbeds.com/connect/10074733072513#/reservations/31680452632757?display=Shannon%20Freund&amp;reservation_id=31680452632757&amp;guest_id=31680440402127", "Shannon Freund")</f>
        <v>Shannon Freund</v>
      </c>
      <c r="E4085" t="s">
        <v>6182</v>
      </c>
      <c r="F4085" t="s">
        <v>5326</v>
      </c>
      <c r="G4085">
        <v>134.1</v>
      </c>
      <c r="H4085">
        <v>145.76</v>
      </c>
      <c r="I4085">
        <v>145.77000000000001</v>
      </c>
      <c r="J4085">
        <v>-0.01</v>
      </c>
    </row>
    <row r="4086" spans="1:10" x14ac:dyDescent="0.3">
      <c r="A4086" t="str">
        <f>HYPERLINK("https://us2.cloudbeds.com/connect/10074733072513#/reservations/31678330794133?display=MH9UPKK50&amp;reservation_id=31678330794133", "MH9UPKK50")</f>
        <v>MH9UPKK50</v>
      </c>
      <c r="B4086" t="s">
        <v>10</v>
      </c>
      <c r="C4086" t="s">
        <v>20</v>
      </c>
      <c r="D4086" t="str">
        <f>HYPERLINK("https://us2.cloudbeds.com/connect/10074733072513#/reservations/31678330794133?display=Tim%20Paschall&amp;reservation_id=31678330794133&amp;guest_id=31678330794131", "Tim Paschall")</f>
        <v>Tim Paschall</v>
      </c>
      <c r="E4086" t="s">
        <v>6188</v>
      </c>
      <c r="F4086" t="s">
        <v>5550</v>
      </c>
      <c r="G4086">
        <v>134.1</v>
      </c>
      <c r="H4086">
        <v>145.76</v>
      </c>
      <c r="I4086">
        <v>145.77000000000001</v>
      </c>
      <c r="J4086">
        <v>-0.01</v>
      </c>
    </row>
    <row r="4087" spans="1:10" x14ac:dyDescent="0.3">
      <c r="A4087" t="str">
        <f>HYPERLINK("https://us2.cloudbeds.com/connect/10074733072513#/reservations/31677244653791?display=MH930P53A&amp;reservation_id=31677244653791", "MH930P53A")</f>
        <v>MH930P53A</v>
      </c>
      <c r="B4087" t="s">
        <v>10</v>
      </c>
      <c r="C4087" t="s">
        <v>20</v>
      </c>
      <c r="D4087" t="str">
        <f>HYPERLINK("https://us2.cloudbeds.com/connect/10074733072513#/reservations/31677244653791?display=Laura%20Evans&amp;reservation_id=31677244653791&amp;guest_id=31677244649706", "Laura Evans")</f>
        <v>Laura Evans</v>
      </c>
      <c r="E4087" t="s">
        <v>6194</v>
      </c>
      <c r="F4087" t="s">
        <v>4676</v>
      </c>
      <c r="G4087">
        <v>118.15</v>
      </c>
      <c r="H4087">
        <v>128.41999999999999</v>
      </c>
      <c r="I4087">
        <v>128.43</v>
      </c>
      <c r="J4087">
        <v>-0.01</v>
      </c>
    </row>
    <row r="4088" spans="1:10" x14ac:dyDescent="0.3">
      <c r="A4088" t="str">
        <f>HYPERLINK("https://us2.cloudbeds.com/connect/10074733072513#/reservations/31678330798226?display=MH9UPKNU1&amp;reservation_id=31678330798226", "MH9UPKNU1")</f>
        <v>MH9UPKNU1</v>
      </c>
      <c r="B4088" t="s">
        <v>10</v>
      </c>
      <c r="C4088" t="s">
        <v>11</v>
      </c>
      <c r="D4088" t="str">
        <f>HYPERLINK("https://us2.cloudbeds.com/connect/10074733072513#/reservations/31678330798226?display=Matthew%20Holbrook&amp;reservation_id=31678330798226&amp;guest_id=31678330798224", "Matthew Holbrook")</f>
        <v>Matthew Holbrook</v>
      </c>
      <c r="E4088" t="s">
        <v>6196</v>
      </c>
      <c r="F4088" t="s">
        <v>5550</v>
      </c>
      <c r="G4088">
        <v>94.16</v>
      </c>
      <c r="H4088">
        <v>102.34</v>
      </c>
      <c r="I4088">
        <v>102.35</v>
      </c>
      <c r="J4088">
        <v>-0.01</v>
      </c>
    </row>
    <row r="4089" spans="1:10" x14ac:dyDescent="0.3">
      <c r="A4089" t="str">
        <f>HYPERLINK("https://us2.cloudbeds.com/connect/10074733072513#/reservations/31678842200299?display=MHAARS7VX&amp;reservation_id=31678842200299", "MHAARS7VX")</f>
        <v>MHAARS7VX</v>
      </c>
      <c r="B4089" t="s">
        <v>10</v>
      </c>
      <c r="C4089" t="s">
        <v>20</v>
      </c>
      <c r="D4089" t="str">
        <f>HYPERLINK("https://us2.cloudbeds.com/connect/10074733072513#/reservations/31678842200299?display=Walid%20Zairi&amp;reservation_id=31678842200299&amp;guest_id=31678835359889", "Walid Zairi")</f>
        <v>Walid Zairi</v>
      </c>
      <c r="E4089" t="s">
        <v>6198</v>
      </c>
      <c r="F4089" t="s">
        <v>6148</v>
      </c>
      <c r="G4089">
        <v>169.15</v>
      </c>
      <c r="H4089">
        <v>183.86</v>
      </c>
      <c r="I4089">
        <v>183.87</v>
      </c>
      <c r="J4089">
        <v>-0.01</v>
      </c>
    </row>
    <row r="4090" spans="1:10" x14ac:dyDescent="0.3">
      <c r="A4090" t="str">
        <f>HYPERLINK("https://us2.cloudbeds.com/connect/10074733072513#/reservations/31679605493971?display=MHAUBG0DR&amp;reservation_id=31679605493971", "MHAUBG0DR")</f>
        <v>MHAUBG0DR</v>
      </c>
      <c r="B4090" t="s">
        <v>10</v>
      </c>
      <c r="C4090" t="s">
        <v>20</v>
      </c>
      <c r="D4090" t="str">
        <f>HYPERLINK("https://us2.cloudbeds.com/connect/10074733072513#/reservations/31679605493971?display=Janet%20Philips&amp;reservation_id=31679605493971&amp;guest_id=31679600357564", "Janet Philips")</f>
        <v>Janet Philips</v>
      </c>
      <c r="E4090" t="s">
        <v>6207</v>
      </c>
      <c r="F4090" t="s">
        <v>6079</v>
      </c>
      <c r="G4090">
        <v>118.15</v>
      </c>
      <c r="H4090">
        <v>128.41999999999999</v>
      </c>
      <c r="I4090">
        <v>128.43</v>
      </c>
      <c r="J4090">
        <v>-0.01</v>
      </c>
    </row>
    <row r="4091" spans="1:10" x14ac:dyDescent="0.3">
      <c r="A4091" t="str">
        <f>HYPERLINK("https://us2.cloudbeds.com/connect/10074733072513#/reservations/31679626322133?display=MHAUT1JC8&amp;reservation_id=31679626322133", "MHAUT1JC8")</f>
        <v>MHAUT1JC8</v>
      </c>
      <c r="B4091" t="s">
        <v>10</v>
      </c>
      <c r="C4091" t="s">
        <v>11</v>
      </c>
      <c r="D4091" t="str">
        <f>HYPERLINK("https://us2.cloudbeds.com/connect/10074733072513#/reservations/31679626322133?display=Darrell%20De%20Lange&amp;reservation_id=31679626322133&amp;guest_id=31679626318041", "Darrell De Lange")</f>
        <v>Darrell De Lange</v>
      </c>
      <c r="E4091" t="s">
        <v>6210</v>
      </c>
      <c r="F4091" t="s">
        <v>5569</v>
      </c>
      <c r="G4091">
        <v>222.4</v>
      </c>
      <c r="H4091">
        <v>241.74</v>
      </c>
      <c r="I4091">
        <v>241.75</v>
      </c>
      <c r="J4091">
        <v>-0.01</v>
      </c>
    </row>
    <row r="4092" spans="1:10" x14ac:dyDescent="0.3">
      <c r="A4092" t="str">
        <f>HYPERLINK("https://us2.cloudbeds.com/connect/10074733072513#/reservations/31683304460483?display=MHDPSX6T4&amp;reservation_id=31683304460483", "MHDPSX6T4")</f>
        <v>MHDPSX6T4</v>
      </c>
      <c r="B4092" t="s">
        <v>10</v>
      </c>
      <c r="C4092" t="s">
        <v>17</v>
      </c>
      <c r="D4092" t="str">
        <f>HYPERLINK("https://us2.cloudbeds.com/connect/10074733072513#/reservations/31683304460483?display=Hannah%20Lau&amp;reservation_id=31683304460483&amp;guest_id=31683294855346", "Hannah Lau")</f>
        <v>Hannah Lau</v>
      </c>
      <c r="E4092" t="s">
        <v>6213</v>
      </c>
      <c r="F4092" t="s">
        <v>5140</v>
      </c>
      <c r="G4092">
        <v>170.1</v>
      </c>
      <c r="H4092">
        <v>184.89</v>
      </c>
      <c r="I4092">
        <v>184.9</v>
      </c>
      <c r="J4092">
        <v>-0.01</v>
      </c>
    </row>
    <row r="4093" spans="1:10" x14ac:dyDescent="0.3">
      <c r="A4093" t="str">
        <f>HYPERLINK("https://us2.cloudbeds.com/connect/10074733072513#/reservations/31678273990876?display=MH9TANW76&amp;reservation_id=31678273990876", "MH9TANW76")</f>
        <v>MH9TANW76</v>
      </c>
      <c r="B4093" t="s">
        <v>10</v>
      </c>
      <c r="C4093" t="s">
        <v>11</v>
      </c>
      <c r="D4093" t="str">
        <f>HYPERLINK("https://us2.cloudbeds.com/connect/10074733072513#/reservations/31678273990876?display=Ruijia%20Zhang&amp;reservation_id=31678273990876&amp;guest_id=31678265811083", "Ruijia Zhang")</f>
        <v>Ruijia Zhang</v>
      </c>
      <c r="E4093" t="s">
        <v>6215</v>
      </c>
      <c r="F4093" t="s">
        <v>5789</v>
      </c>
      <c r="G4093">
        <v>94.16</v>
      </c>
      <c r="H4093">
        <v>102.34</v>
      </c>
      <c r="I4093">
        <v>102.35</v>
      </c>
      <c r="J4093">
        <v>-0.01</v>
      </c>
    </row>
    <row r="4094" spans="1:10" x14ac:dyDescent="0.3">
      <c r="A4094" t="str">
        <f>HYPERLINK("https://us2.cloudbeds.com/connect/10074733072513#/reservations/31679559426260?display=MHAT5Y3YJ&amp;reservation_id=31679559426260", "MHAT5Y3YJ")</f>
        <v>MHAT5Y3YJ</v>
      </c>
      <c r="B4094" t="s">
        <v>10</v>
      </c>
      <c r="C4094" t="s">
        <v>20</v>
      </c>
      <c r="D4094" t="str">
        <f>HYPERLINK("https://us2.cloudbeds.com/connect/10074733072513#/reservations/31679559426260?display=Kim%20Ritchie&amp;reservation_id=31679559426260&amp;guest_id=31679559426255", "Kim Ritchie")</f>
        <v>Kim Ritchie</v>
      </c>
      <c r="E4094" t="s">
        <v>6221</v>
      </c>
      <c r="F4094" t="s">
        <v>4684</v>
      </c>
      <c r="G4094">
        <v>118.15</v>
      </c>
      <c r="H4094">
        <v>128.41999999999999</v>
      </c>
      <c r="I4094">
        <v>128.43</v>
      </c>
      <c r="J4094">
        <v>-0.01</v>
      </c>
    </row>
    <row r="4095" spans="1:10" x14ac:dyDescent="0.3">
      <c r="A4095" t="str">
        <f>HYPERLINK("https://us2.cloudbeds.com/connect/10074733072513#/reservations/31677595955455?display=MH9BWWY59&amp;reservation_id=31677595955455", "MH9BWWY59")</f>
        <v>MH9BWWY59</v>
      </c>
      <c r="B4095" t="s">
        <v>10</v>
      </c>
      <c r="C4095" t="s">
        <v>42</v>
      </c>
      <c r="D4095" t="str">
        <f>HYPERLINK("https://us2.cloudbeds.com/connect/10074733072513#/reservations/31677595955455?display=Roxanne%20Kraft&amp;reservation_id=31677595955455&amp;guest_id=30660645728456", "Roxanne Kraft")</f>
        <v>Roxanne Kraft</v>
      </c>
      <c r="E4095" t="s">
        <v>3173</v>
      </c>
      <c r="F4095" t="s">
        <v>6186</v>
      </c>
      <c r="G4095">
        <v>134.1</v>
      </c>
      <c r="H4095">
        <v>145.76</v>
      </c>
      <c r="I4095">
        <v>145.77000000000001</v>
      </c>
      <c r="J4095">
        <v>-0.01</v>
      </c>
    </row>
    <row r="4096" spans="1:10" x14ac:dyDescent="0.3">
      <c r="A4096" t="str">
        <f>HYPERLINK("https://us2.cloudbeds.com/connect/10074733072513#/reservations/31678724346019?display=MHA7RFPFZ&amp;reservation_id=31678724346019", "MHA7RFPFZ")</f>
        <v>MHA7RFPFZ</v>
      </c>
      <c r="B4096" t="s">
        <v>10</v>
      </c>
      <c r="C4096" t="s">
        <v>11</v>
      </c>
      <c r="D4096" t="str">
        <f>HYPERLINK("https://us2.cloudbeds.com/connect/10074733072513#/reservations/31678724346019?display=David%20Cox&amp;reservation_id=31678724346019&amp;guest_id=31678724341934", "David Cox")</f>
        <v>David Cox</v>
      </c>
      <c r="E4096" t="s">
        <v>6232</v>
      </c>
      <c r="F4096" t="s">
        <v>6093</v>
      </c>
      <c r="G4096">
        <v>590.1</v>
      </c>
      <c r="H4096">
        <v>641.42999999999995</v>
      </c>
      <c r="I4096">
        <v>641.44000000000005</v>
      </c>
      <c r="J4096">
        <v>-0.01</v>
      </c>
    </row>
    <row r="4097" spans="1:10" x14ac:dyDescent="0.3">
      <c r="A4097" t="str">
        <f>HYPERLINK("https://us2.cloudbeds.com/connect/10074733072513#/reservations/31678465495238?display=MHA176SKM&amp;reservation_id=31678465495238", "MHA176SKM")</f>
        <v>MHA176SKM</v>
      </c>
      <c r="B4097" t="s">
        <v>10</v>
      </c>
      <c r="C4097" t="s">
        <v>11</v>
      </c>
      <c r="D4097" t="str">
        <f>HYPERLINK("https://us2.cloudbeds.com/connect/10074733072513#/reservations/31678465495238?display=Angela%20Bollig-Altman&amp;reservation_id=31678465495238&amp;guest_id=31678453260527", "Angela Bollig-Altman")</f>
        <v>Angela Bollig-Altman</v>
      </c>
      <c r="E4097" t="s">
        <v>6233</v>
      </c>
      <c r="F4097" t="s">
        <v>5636</v>
      </c>
      <c r="G4097">
        <v>254.4</v>
      </c>
      <c r="H4097">
        <v>276.52</v>
      </c>
      <c r="I4097">
        <v>276.52999999999997</v>
      </c>
      <c r="J4097">
        <v>-0.01</v>
      </c>
    </row>
    <row r="4098" spans="1:10" x14ac:dyDescent="0.3">
      <c r="A4098" t="str">
        <f>HYPERLINK("https://us2.cloudbeds.com/connect/10074733072513#/reservations/31677968896143?display=MH9YHF8P8&amp;reservation_id=31677968896143", "MH9YHF8P8")</f>
        <v>MH9YHF8P8</v>
      </c>
      <c r="B4098" t="s">
        <v>10</v>
      </c>
      <c r="C4098" t="s">
        <v>20</v>
      </c>
      <c r="D4098" t="str">
        <f>HYPERLINK("https://us2.cloudbeds.com/connect/10074733072513#/reservations/31677968896143?display=Gail%20Dee&amp;reservation_id=31677968896143&amp;guest_id=31677393703117", "Gail Dee")</f>
        <v>Gail Dee</v>
      </c>
      <c r="E4098" t="s">
        <v>6234</v>
      </c>
      <c r="F4098" t="s">
        <v>6235</v>
      </c>
      <c r="G4098">
        <v>118.15</v>
      </c>
      <c r="H4098">
        <v>128.41999999999999</v>
      </c>
      <c r="I4098">
        <v>128.43</v>
      </c>
      <c r="J4098">
        <v>-0.01</v>
      </c>
    </row>
    <row r="4099" spans="1:10" x14ac:dyDescent="0.3">
      <c r="A4099" t="str">
        <f>HYPERLINK("https://us2.cloudbeds.com/connect/10074733072513#/reservations/31684294787205?display=MHEX5KGQN&amp;reservation_id=31684294787205", "MHEX5KGQN")</f>
        <v>MHEX5KGQN</v>
      </c>
      <c r="B4099" t="s">
        <v>10</v>
      </c>
      <c r="C4099" t="s">
        <v>23</v>
      </c>
      <c r="D4099" t="str">
        <f>HYPERLINK("https://us2.cloudbeds.com/connect/10074733072513#/reservations/31684294787205?display=Darsi%20Aldrich&amp;reservation_id=31684294787205&amp;guest_id=31684286148860", "Darsi Aldrich")</f>
        <v>Darsi Aldrich</v>
      </c>
      <c r="E4099" t="s">
        <v>2929</v>
      </c>
      <c r="F4099" t="s">
        <v>5366</v>
      </c>
      <c r="G4099">
        <v>376.2</v>
      </c>
      <c r="H4099">
        <v>408.92</v>
      </c>
      <c r="I4099">
        <v>408.93</v>
      </c>
      <c r="J4099">
        <v>-0.01</v>
      </c>
    </row>
    <row r="4100" spans="1:10" x14ac:dyDescent="0.3">
      <c r="A4100" t="str">
        <f>HYPERLINK("https://us2.cloudbeds.com/connect/10074733072513#/reservations/31677282115740?display=MH93WBJDT&amp;reservation_id=31677282115740", "MH93WBJDT")</f>
        <v>MH93WBJDT</v>
      </c>
      <c r="B4100" t="s">
        <v>10</v>
      </c>
      <c r="C4100" t="s">
        <v>20</v>
      </c>
      <c r="D4100" t="str">
        <f>HYPERLINK("https://us2.cloudbeds.com/connect/10074733072513#/reservations/31677282115740?display=Vadenna%20Fogarty%20Beron&amp;reservation_id=31677282115740&amp;guest_id=31677282115738", "Vadenna Fogarty Beron")</f>
        <v>Vadenna Fogarty Beron</v>
      </c>
      <c r="E4100" t="s">
        <v>6241</v>
      </c>
      <c r="F4100" t="s">
        <v>6186</v>
      </c>
      <c r="G4100">
        <v>152.15</v>
      </c>
      <c r="H4100">
        <v>165.38</v>
      </c>
      <c r="I4100">
        <v>165.39</v>
      </c>
      <c r="J4100">
        <v>-0.01</v>
      </c>
    </row>
    <row r="4101" spans="1:10" x14ac:dyDescent="0.3">
      <c r="A4101" t="str">
        <f>HYPERLINK("https://us2.cloudbeds.com/connect/10074733072513#/reservations/31682063007942?display=MHCR4NVZ5&amp;reservation_id=31682063007942", "MHCR4NVZ5")</f>
        <v>MHCR4NVZ5</v>
      </c>
      <c r="B4101" t="s">
        <v>10</v>
      </c>
      <c r="C4101" t="s">
        <v>20</v>
      </c>
      <c r="D4101" t="str">
        <f>HYPERLINK("https://us2.cloudbeds.com/connect/10074733072513#/reservations/31682063007942?display=Marci%20Zimick&amp;reservation_id=31682063007942&amp;guest_id=31682063003849", "Marci Zimick")</f>
        <v>Marci Zimick</v>
      </c>
      <c r="E4101" t="s">
        <v>6242</v>
      </c>
      <c r="F4101" t="s">
        <v>4916</v>
      </c>
      <c r="G4101">
        <v>143.65</v>
      </c>
      <c r="H4101">
        <v>156.13999999999999</v>
      </c>
      <c r="I4101">
        <v>156.15</v>
      </c>
      <c r="J4101">
        <v>-0.01</v>
      </c>
    </row>
    <row r="4102" spans="1:10" x14ac:dyDescent="0.3">
      <c r="A4102" t="str">
        <f>HYPERLINK("https://us2.cloudbeds.com/connect/10074733072513#/reservations/31677943476405?display=MH9KT0UG5&amp;reservation_id=31677943476405", "MH9KT0UG5")</f>
        <v>MH9KT0UG5</v>
      </c>
      <c r="B4102" t="s">
        <v>10</v>
      </c>
      <c r="C4102" t="s">
        <v>14</v>
      </c>
      <c r="D4102" t="str">
        <f>HYPERLINK("https://us2.cloudbeds.com/connect/10074733072513#/reservations/31677943476405?display=Yvonne%20Christensen&amp;reservation_id=31677943476405&amp;guest_id=31677943476403", "Yvonne Christensen")</f>
        <v>Yvonne Christensen</v>
      </c>
      <c r="E4102" t="s">
        <v>6244</v>
      </c>
      <c r="F4102" t="s">
        <v>6079</v>
      </c>
      <c r="G4102">
        <v>222.4</v>
      </c>
      <c r="H4102">
        <v>241.74</v>
      </c>
      <c r="I4102">
        <v>241.75</v>
      </c>
      <c r="J4102">
        <v>-0.01</v>
      </c>
    </row>
    <row r="4103" spans="1:10" x14ac:dyDescent="0.3">
      <c r="A4103" t="str">
        <f>HYPERLINK("https://us2.cloudbeds.com/connect/10074733072513#/reservations/31679304671444?display=MHAMYR60M&amp;reservation_id=31679304671444", "MHAMYR60M")</f>
        <v>MHAMYR60M</v>
      </c>
      <c r="B4103" t="s">
        <v>10</v>
      </c>
      <c r="C4103" t="s">
        <v>20</v>
      </c>
      <c r="D4103" t="str">
        <f>HYPERLINK("https://us2.cloudbeds.com/connect/10074733072513#/reservations/31679304671444?display=Rachel%20Bishop&amp;reservation_id=31679304671444&amp;guest_id=31679304671431", "Rachel Bishop")</f>
        <v>Rachel Bishop</v>
      </c>
      <c r="E4103" t="s">
        <v>6245</v>
      </c>
      <c r="F4103" t="s">
        <v>6224</v>
      </c>
      <c r="G4103">
        <v>134.1</v>
      </c>
      <c r="H4103">
        <v>145.76</v>
      </c>
      <c r="I4103">
        <v>145.77000000000001</v>
      </c>
      <c r="J4103">
        <v>-0.01</v>
      </c>
    </row>
    <row r="4104" spans="1:10" x14ac:dyDescent="0.3">
      <c r="A4104" t="str">
        <f>HYPERLINK("https://us2.cloudbeds.com/connect/10074733072513#/reservations/31679260872865?display=MHAYHTDV0&amp;reservation_id=31679260872865", "MHAYHTDV0")</f>
        <v>MHAYHTDV0</v>
      </c>
      <c r="B4104" t="s">
        <v>10</v>
      </c>
      <c r="C4104" t="s">
        <v>20</v>
      </c>
      <c r="D4104" t="str">
        <f>HYPERLINK("https://us2.cloudbeds.com/connect/10074733072513#/reservations/31679260872865?display=Devin%20Baker&amp;reservation_id=31679260872865&amp;guest_id=31679260872847", "Devin Baker")</f>
        <v>Devin Baker</v>
      </c>
      <c r="E4104" t="s">
        <v>6248</v>
      </c>
      <c r="F4104" t="s">
        <v>6224</v>
      </c>
      <c r="G4104">
        <v>118.15</v>
      </c>
      <c r="H4104">
        <v>128.41999999999999</v>
      </c>
      <c r="I4104">
        <v>128.43</v>
      </c>
      <c r="J4104">
        <v>-0.01</v>
      </c>
    </row>
    <row r="4105" spans="1:10" x14ac:dyDescent="0.3">
      <c r="A4105" t="str">
        <f>HYPERLINK("https://us2.cloudbeds.com/connect/10074733072513#/reservations/31677647745166?display=MH9DAYP9E&amp;reservation_id=31677647745166", "MH9DAYP9E")</f>
        <v>MH9DAYP9E</v>
      </c>
      <c r="B4105" t="s">
        <v>10</v>
      </c>
      <c r="C4105" t="s">
        <v>42</v>
      </c>
      <c r="D4105" t="str">
        <f>HYPERLINK("https://us2.cloudbeds.com/connect/10074733072513#/reservations/31677647745166?display=Roger%20Price&amp;reservation_id=31677647745166&amp;guest_id=31677647745162", "Roger Price")</f>
        <v>Roger Price</v>
      </c>
      <c r="E4105" t="s">
        <v>6252</v>
      </c>
      <c r="F4105" t="s">
        <v>6186</v>
      </c>
      <c r="G4105">
        <v>134.1</v>
      </c>
      <c r="H4105">
        <v>145.76</v>
      </c>
      <c r="I4105">
        <v>145.77000000000001</v>
      </c>
      <c r="J4105">
        <v>-0.01</v>
      </c>
    </row>
    <row r="4106" spans="1:10" x14ac:dyDescent="0.3">
      <c r="A4106" t="str">
        <f>HYPERLINK("https://us2.cloudbeds.com/connect/10074733072513#/reservations/31681271566479?display=MHC6UBUTH&amp;reservation_id=31681271566479", "MHC6UBUTH")</f>
        <v>MHC6UBUTH</v>
      </c>
      <c r="B4106" t="s">
        <v>10</v>
      </c>
      <c r="C4106" t="s">
        <v>20</v>
      </c>
      <c r="D4106" t="str">
        <f>HYPERLINK("https://us2.cloudbeds.com/connect/10074733072513#/reservations/31681271566479?display=Andrea%20Medema&amp;reservation_id=31681271566479&amp;guest_id=31681271566474", "Andrea Medema")</f>
        <v>Andrea Medema</v>
      </c>
      <c r="E4106" t="s">
        <v>6257</v>
      </c>
      <c r="F4106" t="s">
        <v>5688</v>
      </c>
      <c r="G4106">
        <v>355.3</v>
      </c>
      <c r="H4106">
        <v>386.2</v>
      </c>
      <c r="I4106">
        <v>386.21</v>
      </c>
      <c r="J4106">
        <v>-0.01</v>
      </c>
    </row>
    <row r="4107" spans="1:10" x14ac:dyDescent="0.3">
      <c r="A4107" t="str">
        <f>HYPERLINK("https://us2.cloudbeds.com/connect/10074733072513#/reservations/31680608211149?display=MHBMW035S&amp;reservation_id=31680608211149", "MHBMW035S")</f>
        <v>MHBMW035S</v>
      </c>
      <c r="B4107" t="s">
        <v>10</v>
      </c>
      <c r="C4107" t="s">
        <v>11</v>
      </c>
      <c r="D4107" t="str">
        <f>HYPERLINK("https://us2.cloudbeds.com/connect/10074733072513#/reservations/31680608211149?display=Krystal%20Morgan&amp;reservation_id=31680608211149&amp;guest_id=31680608211137", "Krystal Morgan")</f>
        <v>Krystal Morgan</v>
      </c>
      <c r="E4107" t="s">
        <v>6259</v>
      </c>
      <c r="F4107" t="s">
        <v>6224</v>
      </c>
      <c r="G4107">
        <v>94.16</v>
      </c>
      <c r="H4107">
        <v>102.34</v>
      </c>
      <c r="I4107">
        <v>102.35</v>
      </c>
      <c r="J4107">
        <v>-0.01</v>
      </c>
    </row>
    <row r="4108" spans="1:10" x14ac:dyDescent="0.3">
      <c r="A4108" t="str">
        <f>HYPERLINK("https://us2.cloudbeds.com/connect/10074733072513#/reservations/31679318655110?display=MHAN0K9S4&amp;reservation_id=31679318655110", "MHAN0K9S4")</f>
        <v>MHAN0K9S4</v>
      </c>
      <c r="B4108" t="s">
        <v>10</v>
      </c>
      <c r="C4108" t="s">
        <v>14</v>
      </c>
      <c r="D4108" t="str">
        <f>HYPERLINK("https://us2.cloudbeds.com/connect/10074733072513#/reservations/31679318655110?display=Cynthia%20Hershman&amp;reservation_id=31679318655110&amp;guest_id=31679313006810", "Cynthia Hershman")</f>
        <v>Cynthia Hershman</v>
      </c>
      <c r="E4108" t="s">
        <v>6261</v>
      </c>
      <c r="F4108" t="s">
        <v>6224</v>
      </c>
      <c r="G4108">
        <v>94.16</v>
      </c>
      <c r="H4108">
        <v>102.34</v>
      </c>
      <c r="I4108">
        <v>102.35</v>
      </c>
      <c r="J4108">
        <v>-0.01</v>
      </c>
    </row>
    <row r="4109" spans="1:10" x14ac:dyDescent="0.3">
      <c r="A4109" t="str">
        <f>HYPERLINK("https://us2.cloudbeds.com/connect/10074733072513#/reservations/31679534125189?display=MHASHA2BF&amp;reservation_id=31679534125189", "MHASHA2BF")</f>
        <v>MHASHA2BF</v>
      </c>
      <c r="B4109" t="s">
        <v>10</v>
      </c>
      <c r="C4109" t="s">
        <v>11</v>
      </c>
      <c r="D4109" t="str">
        <f>HYPERLINK("https://us2.cloudbeds.com/connect/10074733072513#/reservations/31679534125189?display=Brittany%20Stevens&amp;reservation_id=31679534125189&amp;guest_id=31679534125184", "Brittany Stevens")</f>
        <v>Brittany Stevens</v>
      </c>
      <c r="E4109" t="s">
        <v>6262</v>
      </c>
      <c r="F4109" t="s">
        <v>5569</v>
      </c>
      <c r="G4109">
        <v>94.16</v>
      </c>
      <c r="H4109">
        <v>102.34</v>
      </c>
      <c r="I4109">
        <v>102.35</v>
      </c>
      <c r="J4109">
        <v>-0.01</v>
      </c>
    </row>
    <row r="4110" spans="1:10" x14ac:dyDescent="0.3">
      <c r="A4110" t="str">
        <f>HYPERLINK("https://us2.cloudbeds.com/connect/10074733072513#/reservations/31681024004278?display=MHC0JK51Y&amp;reservation_id=31681024004278", "MHC0JK51Y")</f>
        <v>MHC0JK51Y</v>
      </c>
      <c r="B4110" t="s">
        <v>10</v>
      </c>
      <c r="C4110" t="s">
        <v>20</v>
      </c>
      <c r="D4110" t="str">
        <f>HYPERLINK("https://us2.cloudbeds.com/connect/10074733072513#/reservations/31681024004278?display=Nimisha%20Kumar&amp;reservation_id=31681024004278&amp;guest_id=31681024004274", "Nimisha Kumar")</f>
        <v>Nimisha Kumar</v>
      </c>
      <c r="E4110" t="s">
        <v>6263</v>
      </c>
      <c r="F4110" t="s">
        <v>4684</v>
      </c>
      <c r="G4110">
        <v>118.15</v>
      </c>
      <c r="H4110">
        <v>128.41999999999999</v>
      </c>
      <c r="I4110">
        <v>128.43</v>
      </c>
      <c r="J4110">
        <v>-0.01</v>
      </c>
    </row>
    <row r="4111" spans="1:10" x14ac:dyDescent="0.3">
      <c r="A4111" t="str">
        <f>HYPERLINK("https://us2.cloudbeds.com/connect/10074733072513#/reservations/31680585961611?display=MHBMD7W0E&amp;reservation_id=31680585961611", "MHBMD7W0E")</f>
        <v>MHBMD7W0E</v>
      </c>
      <c r="B4111" t="s">
        <v>10</v>
      </c>
      <c r="C4111" t="s">
        <v>23</v>
      </c>
      <c r="D4111" t="str">
        <f>HYPERLINK("https://us2.cloudbeds.com/connect/10074733072513#/reservations/31680585961611?display=Randy%20Cahoy&amp;reservation_id=31680585961611&amp;guest_id=31680585961606", "Randy Cahoy")</f>
        <v>Randy Cahoy</v>
      </c>
      <c r="E4111" t="s">
        <v>6264</v>
      </c>
      <c r="F4111" t="s">
        <v>6224</v>
      </c>
      <c r="G4111">
        <v>134.1</v>
      </c>
      <c r="H4111">
        <v>145.76</v>
      </c>
      <c r="I4111">
        <v>145.77000000000001</v>
      </c>
      <c r="J4111">
        <v>-0.01</v>
      </c>
    </row>
    <row r="4112" spans="1:10" x14ac:dyDescent="0.3">
      <c r="A4112" t="str">
        <f>HYPERLINK("https://us2.cloudbeds.com/connect/10074733072513#/reservations/31680795762817?display=MHBREC95E&amp;reservation_id=31680795762817", "MHBREC95E")</f>
        <v>MHBREC95E</v>
      </c>
      <c r="B4112" t="s">
        <v>10</v>
      </c>
      <c r="C4112" t="s">
        <v>11</v>
      </c>
      <c r="D4112" t="str">
        <f>HYPERLINK("https://us2.cloudbeds.com/connect/10074733072513#/reservations/31680795762817?display=Connor%20Keneally&amp;reservation_id=31680795762817&amp;guest_id=31680782975207", "Connor Keneally")</f>
        <v>Connor Keneally</v>
      </c>
      <c r="E4112" t="s">
        <v>6265</v>
      </c>
      <c r="F4112" t="s">
        <v>5569</v>
      </c>
      <c r="G4112">
        <v>94.16</v>
      </c>
      <c r="H4112">
        <v>102.34</v>
      </c>
      <c r="I4112">
        <v>102.35</v>
      </c>
      <c r="J4112">
        <v>-0.01</v>
      </c>
    </row>
    <row r="4113" spans="1:10" x14ac:dyDescent="0.3">
      <c r="A4113" t="str">
        <f>HYPERLINK("https://us2.cloudbeds.com/connect/10074733072513#/reservations/31680624013500?display=MHBNCAR1W&amp;reservation_id=31680624013500", "MHBNCAR1W")</f>
        <v>MHBNCAR1W</v>
      </c>
      <c r="B4113" t="s">
        <v>10</v>
      </c>
      <c r="C4113" t="s">
        <v>11</v>
      </c>
      <c r="D4113" t="str">
        <f>HYPERLINK("https://us2.cloudbeds.com/connect/10074733072513#/reservations/31680624013500?display=Krystal%20Morgan&amp;reservation_id=31680624013500&amp;guest_id=31680624013496", "Krystal Morgan")</f>
        <v>Krystal Morgan</v>
      </c>
      <c r="E4113" t="s">
        <v>6266</v>
      </c>
      <c r="F4113" t="s">
        <v>6224</v>
      </c>
      <c r="G4113">
        <v>94.16</v>
      </c>
      <c r="H4113">
        <v>102.34</v>
      </c>
      <c r="I4113">
        <v>102.35</v>
      </c>
      <c r="J4113">
        <v>-0.01</v>
      </c>
    </row>
    <row r="4114" spans="1:10" x14ac:dyDescent="0.3">
      <c r="A4114" t="str">
        <f>HYPERLINK("https://us2.cloudbeds.com/connect/10074733072513#/reservations/31680595525857?display=MHBMYA3K2&amp;reservation_id=31680595525857", "MHBMYA3K2")</f>
        <v>MHBMYA3K2</v>
      </c>
      <c r="B4114" t="s">
        <v>10</v>
      </c>
      <c r="C4114" t="s">
        <v>11</v>
      </c>
      <c r="D4114" t="str">
        <f>HYPERLINK("https://us2.cloudbeds.com/connect/10074733072513#/reservations/31680595525857?display=Joseph%20Santiago&amp;reservation_id=31680595525857&amp;guest_id=31680595525845", "Joseph Santiago")</f>
        <v>Joseph Santiago</v>
      </c>
      <c r="E4114" t="s">
        <v>6269</v>
      </c>
      <c r="F4114" t="s">
        <v>6224</v>
      </c>
      <c r="G4114">
        <v>94.16</v>
      </c>
      <c r="H4114">
        <v>102.34</v>
      </c>
      <c r="I4114">
        <v>102.35</v>
      </c>
      <c r="J4114">
        <v>-0.01</v>
      </c>
    </row>
    <row r="4115" spans="1:10" x14ac:dyDescent="0.3">
      <c r="A4115" t="str">
        <f>HYPERLINK("https://us2.cloudbeds.com/connect/10074733072513#/reservations/31677542998244?display=MH9AYB0VA&amp;reservation_id=31677542998244", "MH9AYB0VA")</f>
        <v>MH9AYB0VA</v>
      </c>
      <c r="B4115" t="s">
        <v>10</v>
      </c>
      <c r="C4115" t="s">
        <v>14</v>
      </c>
      <c r="D4115" t="str">
        <f>HYPERLINK("https://us2.cloudbeds.com/connect/10074733072513#/reservations/31677542998244?display=Davey%20Rock&amp;reservation_id=31677542998244&amp;guest_id=31677542998221", "Davey Rock")</f>
        <v>Davey Rock</v>
      </c>
      <c r="E4115" t="s">
        <v>6272</v>
      </c>
      <c r="F4115" t="s">
        <v>6079</v>
      </c>
      <c r="G4115">
        <v>94.16</v>
      </c>
      <c r="H4115">
        <v>102.34</v>
      </c>
      <c r="I4115">
        <v>102.35</v>
      </c>
      <c r="J4115">
        <v>-0.01</v>
      </c>
    </row>
    <row r="4116" spans="1:10" x14ac:dyDescent="0.3">
      <c r="A4116" t="str">
        <f>HYPERLINK("https://us2.cloudbeds.com/connect/10074733072513#/reservations/31682354540774?display=MHD1JX9YD&amp;reservation_id=31682354540774", "MHD1JX9YD")</f>
        <v>MHD1JX9YD</v>
      </c>
      <c r="B4116" t="s">
        <v>10</v>
      </c>
      <c r="C4116" t="s">
        <v>11</v>
      </c>
      <c r="D4116" t="str">
        <f>HYPERLINK("https://us2.cloudbeds.com/connect/10074733072513#/reservations/31682354540774?display=Tony%20Stockman&amp;reservation_id=31682354540774&amp;guest_id=31682354540772", "Tony Stockman")</f>
        <v>Tony Stockman</v>
      </c>
      <c r="E4116" t="s">
        <v>6273</v>
      </c>
      <c r="F4116" t="s">
        <v>4772</v>
      </c>
      <c r="G4116">
        <v>134.1</v>
      </c>
      <c r="H4116">
        <v>145.76</v>
      </c>
      <c r="I4116">
        <v>145.77000000000001</v>
      </c>
      <c r="J4116">
        <v>-0.01</v>
      </c>
    </row>
    <row r="4117" spans="1:10" x14ac:dyDescent="0.3">
      <c r="A4117" t="str">
        <f>HYPERLINK("https://us2.cloudbeds.com/connect/10074733072513#/reservations/31679646101724?display=MHAVCNWEQ&amp;reservation_id=31679646101724", "MHAVCNWEQ")</f>
        <v>MHAVCNWEQ</v>
      </c>
      <c r="B4117" t="s">
        <v>10</v>
      </c>
      <c r="C4117" t="s">
        <v>14</v>
      </c>
      <c r="D4117" t="str">
        <f>HYPERLINK("https://us2.cloudbeds.com/connect/10074733072513#/reservations/31679646101724?display=Shayla%20Rock&amp;reservation_id=31679646101724&amp;guest_id=31679637094531", "Shayla Rock")</f>
        <v>Shayla Rock</v>
      </c>
      <c r="E4117" t="s">
        <v>6274</v>
      </c>
      <c r="F4117" t="s">
        <v>6079</v>
      </c>
      <c r="G4117">
        <v>94.16</v>
      </c>
      <c r="H4117">
        <v>102.34</v>
      </c>
      <c r="I4117">
        <v>102.35</v>
      </c>
      <c r="J4117">
        <v>-0.01</v>
      </c>
    </row>
    <row r="4118" spans="1:10" x14ac:dyDescent="0.3">
      <c r="A4118" t="str">
        <f>HYPERLINK("https://us2.cloudbeds.com/connect/10074733072513#/reservations/31682338730165?display=MHD167B61&amp;reservation_id=31682338730165", "MHD167B61")</f>
        <v>MHD167B61</v>
      </c>
      <c r="B4118" t="s">
        <v>10</v>
      </c>
      <c r="C4118" t="s">
        <v>11</v>
      </c>
      <c r="D4118" t="str">
        <f>HYPERLINK("https://us2.cloudbeds.com/connect/10074733072513#/reservations/31682338730165?display=Tammy%20Knutson&amp;reservation_id=31682338730165&amp;guest_id=31682338730138", "Tammy Knutson")</f>
        <v>Tammy Knutson</v>
      </c>
      <c r="E4118" t="s">
        <v>6275</v>
      </c>
      <c r="F4118" t="s">
        <v>4772</v>
      </c>
      <c r="G4118">
        <v>134.1</v>
      </c>
      <c r="H4118">
        <v>145.76</v>
      </c>
      <c r="I4118">
        <v>145.77000000000001</v>
      </c>
      <c r="J4118">
        <v>-0.01</v>
      </c>
    </row>
    <row r="4119" spans="1:10" x14ac:dyDescent="0.3">
      <c r="A4119" t="str">
        <f>HYPERLINK("https://us2.cloudbeds.com/connect/10074733072513#/reservations/31682608439533?display=MHD82YD66&amp;reservation_id=31682608439533", "MHD82YD66")</f>
        <v>MHD82YD66</v>
      </c>
      <c r="B4119" t="s">
        <v>10</v>
      </c>
      <c r="C4119" t="s">
        <v>23</v>
      </c>
      <c r="D4119" t="str">
        <f>HYPERLINK("https://us2.cloudbeds.com/connect/10074733072513#/reservations/31682608439533?display=Lona%20Justesen&amp;reservation_id=31682608439533&amp;guest_id=31682608439528", "Lona Justesen")</f>
        <v>Lona Justesen</v>
      </c>
      <c r="E4119" t="s">
        <v>6276</v>
      </c>
      <c r="F4119" t="s">
        <v>4600</v>
      </c>
      <c r="G4119">
        <v>430.2</v>
      </c>
      <c r="H4119">
        <v>467.62</v>
      </c>
      <c r="I4119">
        <v>467.63</v>
      </c>
      <c r="J4119">
        <v>-0.01</v>
      </c>
    </row>
    <row r="4120" spans="1:10" x14ac:dyDescent="0.3">
      <c r="A4120" t="str">
        <f>HYPERLINK("https://us2.cloudbeds.com/connect/10074733072513#/reservations/31685189824673?display=MHF81B84A&amp;reservation_id=31685189824673", "MHF81B84A")</f>
        <v>MHF81B84A</v>
      </c>
      <c r="B4120" t="s">
        <v>10</v>
      </c>
      <c r="C4120" t="s">
        <v>11</v>
      </c>
      <c r="D4120" t="str">
        <f>HYPERLINK("https://us2.cloudbeds.com/connect/10074733072513#/reservations/31685189824673?display=Trisha%20Olson&amp;reservation_id=31685189824673&amp;guest_id=31685189824668", "Trisha Olson")</f>
        <v>Trisha Olson</v>
      </c>
      <c r="E4120" t="s">
        <v>6278</v>
      </c>
      <c r="F4120" t="s">
        <v>4772</v>
      </c>
      <c r="G4120">
        <v>134.1</v>
      </c>
      <c r="H4120">
        <v>145.76</v>
      </c>
      <c r="I4120">
        <v>145.77000000000001</v>
      </c>
      <c r="J4120">
        <v>-0.01</v>
      </c>
    </row>
    <row r="4121" spans="1:10" x14ac:dyDescent="0.3">
      <c r="A4121" t="str">
        <f>HYPERLINK("https://us2.cloudbeds.com/connect/10074733072513#/reservations/31685189820575?display=MHF81B4C4&amp;reservation_id=31685189820575", "MHF81B4C4")</f>
        <v>MHF81B4C4</v>
      </c>
      <c r="B4121" t="s">
        <v>10</v>
      </c>
      <c r="C4121" t="s">
        <v>11</v>
      </c>
      <c r="D4121" t="str">
        <f>HYPERLINK("https://us2.cloudbeds.com/connect/10074733072513#/reservations/31685189820575?display=Trisha%20Olson&amp;reservation_id=31685189820575&amp;guest_id=31685189820571", "Trisha Olson")</f>
        <v>Trisha Olson</v>
      </c>
      <c r="E4121" t="s">
        <v>6280</v>
      </c>
      <c r="F4121" t="s">
        <v>4772</v>
      </c>
      <c r="G4121">
        <v>134.1</v>
      </c>
      <c r="H4121">
        <v>145.76</v>
      </c>
      <c r="I4121">
        <v>145.77000000000001</v>
      </c>
      <c r="J4121">
        <v>-0.01</v>
      </c>
    </row>
    <row r="4122" spans="1:10" x14ac:dyDescent="0.3">
      <c r="A4122" t="str">
        <f>HYPERLINK("https://us2.cloudbeds.com/connect/10074733072513#/reservations/31685170884824?display=MHF7XC75G&amp;reservation_id=31685170884824", "MHF7XC75G")</f>
        <v>MHF7XC75G</v>
      </c>
      <c r="B4122" t="s">
        <v>10</v>
      </c>
      <c r="C4122" t="s">
        <v>11</v>
      </c>
      <c r="D4122" t="str">
        <f>HYPERLINK("https://us2.cloudbeds.com/connect/10074733072513#/reservations/31685170884824?display=Margie%20Stockman&amp;reservation_id=31685170884824&amp;guest_id=31685170884819", "Margie Stockman")</f>
        <v>Margie Stockman</v>
      </c>
      <c r="E4122" t="s">
        <v>6281</v>
      </c>
      <c r="F4122" t="s">
        <v>4772</v>
      </c>
      <c r="G4122">
        <v>134.1</v>
      </c>
      <c r="H4122">
        <v>145.76</v>
      </c>
      <c r="I4122">
        <v>145.77000000000001</v>
      </c>
      <c r="J4122">
        <v>-0.01</v>
      </c>
    </row>
    <row r="4123" spans="1:10" x14ac:dyDescent="0.3">
      <c r="A4123" t="str">
        <f>HYPERLINK("https://us2.cloudbeds.com/connect/10074733072513#/reservations/31680795766913?display=MHBRP53MS&amp;reservation_id=31680795766913", "MHBRP53MS")</f>
        <v>MHBRP53MS</v>
      </c>
      <c r="B4123" t="s">
        <v>10</v>
      </c>
      <c r="C4123" t="s">
        <v>11</v>
      </c>
      <c r="D4123" t="str">
        <f>HYPERLINK("https://us2.cloudbeds.com/connect/10074733072513#/reservations/31680795766913?display=Nancy%20Borders&amp;reservation_id=31680795766913&amp;guest_id=31680795762878", "Nancy Borders")</f>
        <v>Nancy Borders</v>
      </c>
      <c r="E4123" t="s">
        <v>6284</v>
      </c>
      <c r="F4123" t="s">
        <v>5569</v>
      </c>
      <c r="G4123">
        <v>94.16</v>
      </c>
      <c r="H4123">
        <v>102.34</v>
      </c>
      <c r="I4123">
        <v>102.35</v>
      </c>
      <c r="J4123">
        <v>-0.01</v>
      </c>
    </row>
    <row r="4124" spans="1:10" x14ac:dyDescent="0.3">
      <c r="A4124" t="str">
        <f>HYPERLINK("https://us2.cloudbeds.com/connect/10074733072513#/reservations/31682965213325?display=MHDH6G557&amp;reservation_id=31682965213325", "MHDH6G557")</f>
        <v>MHDH6G557</v>
      </c>
      <c r="B4124" t="s">
        <v>10</v>
      </c>
      <c r="C4124" t="s">
        <v>20</v>
      </c>
      <c r="D4124" t="str">
        <f>HYPERLINK("https://us2.cloudbeds.com/connect/10074733072513#/reservations/31682965213325?display=Elizabeth%20Bertozzi&amp;reservation_id=31682965213325&amp;guest_id=31682965213313", "Elizabeth Bertozzi")</f>
        <v>Elizabeth Bertozzi</v>
      </c>
      <c r="E4124" t="s">
        <v>6289</v>
      </c>
      <c r="F4124" t="s">
        <v>5140</v>
      </c>
      <c r="G4124">
        <v>170.1</v>
      </c>
      <c r="H4124">
        <v>184.89</v>
      </c>
      <c r="I4124">
        <v>184.9</v>
      </c>
      <c r="J4124">
        <v>-0.01</v>
      </c>
    </row>
    <row r="4125" spans="1:10" x14ac:dyDescent="0.3">
      <c r="A4125" t="str">
        <f>HYPERLINK("https://us2.cloudbeds.com/connect/10074733072513#/reservations/31677604331735?display=MH9C71NSV&amp;reservation_id=31677604331735", "MH9C71NSV")</f>
        <v>MH9C71NSV</v>
      </c>
      <c r="B4125" t="s">
        <v>10</v>
      </c>
      <c r="C4125" t="s">
        <v>11</v>
      </c>
      <c r="D4125" t="str">
        <f>HYPERLINK("https://us2.cloudbeds.com/connect/10074733072513#/reservations/31677604331735?display=Sara%20English&amp;reservation_id=31677604331735&amp;guest_id=31677596463359", "Sara English")</f>
        <v>Sara English</v>
      </c>
      <c r="E4125" t="s">
        <v>6291</v>
      </c>
      <c r="F4125" t="s">
        <v>6079</v>
      </c>
      <c r="G4125">
        <v>94.16</v>
      </c>
      <c r="H4125">
        <v>102.34</v>
      </c>
      <c r="I4125">
        <v>102.35</v>
      </c>
      <c r="J4125">
        <v>-0.01</v>
      </c>
    </row>
    <row r="4126" spans="1:10" x14ac:dyDescent="0.3">
      <c r="A4126" t="str">
        <f>HYPERLINK("https://us2.cloudbeds.com/connect/10074733072513#/reservations/31677357715702?display=MH95U38SQ&amp;reservation_id=31677357715702", "MH95U38SQ")</f>
        <v>MH95U38SQ</v>
      </c>
      <c r="B4126" t="s">
        <v>10</v>
      </c>
      <c r="C4126" t="s">
        <v>11</v>
      </c>
      <c r="D4126" t="str">
        <f>HYPERLINK("https://us2.cloudbeds.com/connect/10074733072513#/reservations/31677357715702?display=Permelia%20Adams&amp;reservation_id=31677357715702&amp;guest_id=31677357715655", "Permelia Adams")</f>
        <v>Permelia Adams</v>
      </c>
      <c r="E4126" t="s">
        <v>6297</v>
      </c>
      <c r="F4126" t="s">
        <v>5938</v>
      </c>
      <c r="G4126">
        <v>134.1</v>
      </c>
      <c r="H4126">
        <v>145.76</v>
      </c>
      <c r="I4126">
        <v>145.77000000000001</v>
      </c>
      <c r="J4126">
        <v>-0.01</v>
      </c>
    </row>
    <row r="4127" spans="1:10" x14ac:dyDescent="0.3">
      <c r="A4127" t="str">
        <f>HYPERLINK("https://us2.cloudbeds.com/connect/10074733072513#/reservations/31680199139463?display=MHBCH22E5&amp;reservation_id=31680199139463", "MHBCH22E5")</f>
        <v>MHBCH22E5</v>
      </c>
      <c r="B4127" t="s">
        <v>10</v>
      </c>
      <c r="C4127" t="s">
        <v>20</v>
      </c>
      <c r="D4127" t="str">
        <f>HYPERLINK("https://us2.cloudbeds.com/connect/10074733072513#/reservations/31680199139463?display=Kassandra%20Eidson&amp;reservation_id=31680199139463&amp;guest_id=31680199139458", "Kassandra Eidson")</f>
        <v>Kassandra Eidson</v>
      </c>
      <c r="E4127" t="s">
        <v>6303</v>
      </c>
      <c r="F4127" t="s">
        <v>6006</v>
      </c>
      <c r="G4127">
        <v>118.15</v>
      </c>
      <c r="H4127">
        <v>128.41999999999999</v>
      </c>
      <c r="I4127">
        <v>128.43</v>
      </c>
      <c r="J4127">
        <v>-0.01</v>
      </c>
    </row>
    <row r="4128" spans="1:10" x14ac:dyDescent="0.3">
      <c r="A4128" t="str">
        <f>HYPERLINK("https://us2.cloudbeds.com/connect/10074733072513#/reservations/31680205517020?display=MHBCMEHPF&amp;reservation_id=31680205517020", "MHBCMEHPF")</f>
        <v>MHBCMEHPF</v>
      </c>
      <c r="B4128" t="s">
        <v>10</v>
      </c>
      <c r="C4128" t="s">
        <v>20</v>
      </c>
      <c r="D4128" t="str">
        <f>HYPERLINK("https://us2.cloudbeds.com/connect/10074733072513#/reservations/31680205517020?display=Kassandra%20Eidson&amp;reservation_id=31680205517020&amp;guest_id=31680205517016", "Kassandra Eidson")</f>
        <v>Kassandra Eidson</v>
      </c>
      <c r="E4128" t="s">
        <v>6304</v>
      </c>
      <c r="F4128" t="s">
        <v>6006</v>
      </c>
      <c r="G4128">
        <v>118.15</v>
      </c>
      <c r="H4128">
        <v>128.41999999999999</v>
      </c>
      <c r="I4128">
        <v>128.43</v>
      </c>
      <c r="J4128">
        <v>-0.01</v>
      </c>
    </row>
    <row r="4129" spans="1:10" x14ac:dyDescent="0.3">
      <c r="A4129" t="str">
        <f>HYPERLINK("https://us2.cloudbeds.com/connect/10074733072513#/reservations/31677981229195?display=MH9YRSET3&amp;reservation_id=31677981229195", "MH9YRSET3")</f>
        <v>MH9YRSET3</v>
      </c>
      <c r="B4129" t="s">
        <v>10</v>
      </c>
      <c r="C4129" t="s">
        <v>20</v>
      </c>
      <c r="D4129" t="str">
        <f>HYPERLINK("https://us2.cloudbeds.com/connect/10074733072513#/reservations/31677981229195?display=Cory%20Kaminski&amp;reservation_id=31677981229195&amp;guest_id=31677974925554", "Cory Kaminski")</f>
        <v>Cory Kaminski</v>
      </c>
      <c r="E4129" t="s">
        <v>6307</v>
      </c>
      <c r="F4129" t="s">
        <v>4982</v>
      </c>
      <c r="G4129">
        <v>186.15</v>
      </c>
      <c r="H4129">
        <v>202.34</v>
      </c>
      <c r="I4129">
        <v>202.35</v>
      </c>
      <c r="J4129">
        <v>-0.01</v>
      </c>
    </row>
    <row r="4130" spans="1:10" x14ac:dyDescent="0.3">
      <c r="A4130" t="str">
        <f>HYPERLINK("https://us2.cloudbeds.com/connect/10074733072513#/reservations/31679810441373?display=MHB2J9W75&amp;reservation_id=31679810441373", "MHB2J9W75")</f>
        <v>MHB2J9W75</v>
      </c>
      <c r="B4130" t="s">
        <v>10</v>
      </c>
      <c r="C4130" t="s">
        <v>23</v>
      </c>
      <c r="D4130" t="str">
        <f>HYPERLINK("https://us2.cloudbeds.com/connect/10074733072513#/reservations/31679810441373?display=Holly%20Mehlhaff&amp;reservation_id=31679810441373&amp;guest_id=31679804629123", "Holly Mehlhaff")</f>
        <v>Holly Mehlhaff</v>
      </c>
      <c r="E4130" t="s">
        <v>6308</v>
      </c>
      <c r="F4130" t="s">
        <v>5688</v>
      </c>
      <c r="G4130">
        <v>170.1</v>
      </c>
      <c r="H4130">
        <v>184.89</v>
      </c>
      <c r="I4130">
        <v>184.9</v>
      </c>
      <c r="J4130">
        <v>-0.01</v>
      </c>
    </row>
    <row r="4131" spans="1:10" x14ac:dyDescent="0.3">
      <c r="A4131" t="str">
        <f>HYPERLINK("https://us2.cloudbeds.com/connect/10074733072513#/reservations/31679568703657?display=MHATDF8RR&amp;reservation_id=31679568703657", "MHATDF8RR")</f>
        <v>MHATDF8RR</v>
      </c>
      <c r="B4131" t="s">
        <v>10</v>
      </c>
      <c r="C4131" t="s">
        <v>20</v>
      </c>
      <c r="D4131" t="str">
        <f>HYPERLINK("https://us2.cloudbeds.com/connect/10074733072513#/reservations/31679568703657?display=Dennis%20Buchalski&amp;reservation_id=31679568703657&amp;guest_id=31679568703652", "Dennis Buchalski")</f>
        <v>Dennis Buchalski</v>
      </c>
      <c r="E4131" t="s">
        <v>6309</v>
      </c>
      <c r="F4131" t="s">
        <v>4684</v>
      </c>
      <c r="G4131">
        <v>118.15</v>
      </c>
      <c r="H4131">
        <v>128.41999999999999</v>
      </c>
      <c r="I4131">
        <v>128.43</v>
      </c>
      <c r="J4131">
        <v>-0.01</v>
      </c>
    </row>
    <row r="4132" spans="1:10" x14ac:dyDescent="0.3">
      <c r="A4132" t="str">
        <f>HYPERLINK("https://us2.cloudbeds.com/connect/10074733072513#/reservations/31678585393337?display=MHA49A6TD&amp;reservation_id=31678585393337", "MHA49A6TD")</f>
        <v>MHA49A6TD</v>
      </c>
      <c r="B4132" t="s">
        <v>10</v>
      </c>
      <c r="C4132" t="s">
        <v>20</v>
      </c>
      <c r="D4132" t="str">
        <f>HYPERLINK("https://us2.cloudbeds.com/connect/10074733072513#/reservations/31678585393337?display=Adams%20Maura&amp;reservation_id=31678585393337&amp;guest_id=31678585393319", "Adams Maura")</f>
        <v>Adams Maura</v>
      </c>
      <c r="E4132" t="s">
        <v>6311</v>
      </c>
      <c r="F4132" t="s">
        <v>5762</v>
      </c>
      <c r="G4132">
        <v>134.1</v>
      </c>
      <c r="H4132">
        <v>145.76</v>
      </c>
      <c r="I4132">
        <v>145.77000000000001</v>
      </c>
      <c r="J4132">
        <v>-0.01</v>
      </c>
    </row>
    <row r="4133" spans="1:10" x14ac:dyDescent="0.3">
      <c r="A4133" t="str">
        <f>HYPERLINK("https://us2.cloudbeds.com/connect/10074733072513#/reservations/31681921036421?display=MHCNH0D0S&amp;reservation_id=31681921036421", "MHCNH0D0S")</f>
        <v>MHCNH0D0S</v>
      </c>
      <c r="B4133" t="s">
        <v>10</v>
      </c>
      <c r="C4133" t="s">
        <v>11</v>
      </c>
      <c r="D4133" t="str">
        <f>HYPERLINK("https://us2.cloudbeds.com/connect/10074733072513#/reservations/31681921036421?display=James%20Evans&amp;reservation_id=31681921036421&amp;guest_id=31681921036419", "James Evans")</f>
        <v>James Evans</v>
      </c>
      <c r="E4133" t="s">
        <v>6312</v>
      </c>
      <c r="F4133" t="s">
        <v>5584</v>
      </c>
      <c r="G4133">
        <v>94.16</v>
      </c>
      <c r="H4133">
        <v>102.34</v>
      </c>
      <c r="I4133">
        <v>102.35</v>
      </c>
      <c r="J4133">
        <v>-0.01</v>
      </c>
    </row>
    <row r="4134" spans="1:10" x14ac:dyDescent="0.3">
      <c r="A4134" t="str">
        <f>HYPERLINK("https://us2.cloudbeds.com/connect/10074733072513#/reservations/31677995835609?display=MH9M75TXN&amp;reservation_id=31677995835609", "MH9M75TXN")</f>
        <v>MH9M75TXN</v>
      </c>
      <c r="B4134" t="s">
        <v>10</v>
      </c>
      <c r="C4134" t="s">
        <v>11</v>
      </c>
      <c r="D4134" t="str">
        <f>HYPERLINK("https://us2.cloudbeds.com/connect/10074733072513#/reservations/31677995835609?display=Pamela%20Baker&amp;reservation_id=31677995835609&amp;guest_id=31677995831527", "Pamela Baker")</f>
        <v>Pamela Baker</v>
      </c>
      <c r="E4134" t="s">
        <v>6319</v>
      </c>
      <c r="F4134" t="s">
        <v>6235</v>
      </c>
      <c r="G4134">
        <v>94.16</v>
      </c>
      <c r="H4134">
        <v>102.34</v>
      </c>
      <c r="I4134">
        <v>102.35</v>
      </c>
      <c r="J4134">
        <v>-0.01</v>
      </c>
    </row>
    <row r="4135" spans="1:10" x14ac:dyDescent="0.3">
      <c r="A4135" t="str">
        <f>HYPERLINK("https://us2.cloudbeds.com/connect/10074733072513#/reservations/31680522252461?display=MHBKPH5J4&amp;reservation_id=31680522252461", "MHBKPH5J4")</f>
        <v>MHBKPH5J4</v>
      </c>
      <c r="B4135" t="s">
        <v>10</v>
      </c>
      <c r="C4135" t="s">
        <v>20</v>
      </c>
      <c r="D4135" t="str">
        <f>HYPERLINK("https://us2.cloudbeds.com/connect/10074733072513#/reservations/31680522252461?display=John%20Wentworth&amp;reservation_id=31680522252461&amp;guest_id=31680509825248", "John Wentworth")</f>
        <v>John Wentworth</v>
      </c>
      <c r="E4135" t="s">
        <v>6323</v>
      </c>
      <c r="F4135" t="s">
        <v>6148</v>
      </c>
      <c r="G4135">
        <v>169.15</v>
      </c>
      <c r="H4135">
        <v>183.86</v>
      </c>
      <c r="I4135">
        <v>183.87</v>
      </c>
      <c r="J4135">
        <v>-0.01</v>
      </c>
    </row>
    <row r="4136" spans="1:10" x14ac:dyDescent="0.3">
      <c r="A4136" t="str">
        <f>HYPERLINK("https://us2.cloudbeds.com/connect/10074733072513#/reservations/31681565569257?display=MHCEE8WTK&amp;reservation_id=31681565569257", "MHCEE8WTK")</f>
        <v>MHCEE8WTK</v>
      </c>
      <c r="B4136" t="s">
        <v>10</v>
      </c>
      <c r="C4136" t="s">
        <v>23</v>
      </c>
      <c r="D4136" t="str">
        <f>HYPERLINK("https://us2.cloudbeds.com/connect/10074733072513#/reservations/31681565569257?display=Ellen%20Goettertz&amp;reservation_id=31681565569257&amp;guest_id=31681565569255", "Ellen Goettertz")</f>
        <v>Ellen Goettertz</v>
      </c>
      <c r="E4136" t="s">
        <v>6325</v>
      </c>
      <c r="F4136" t="s">
        <v>6235</v>
      </c>
      <c r="G4136">
        <v>134.1</v>
      </c>
      <c r="H4136">
        <v>145.76</v>
      </c>
      <c r="I4136">
        <v>145.77000000000001</v>
      </c>
      <c r="J4136">
        <v>-0.01</v>
      </c>
    </row>
    <row r="4137" spans="1:10" x14ac:dyDescent="0.3">
      <c r="A4137" t="str">
        <f>HYPERLINK("https://us2.cloudbeds.com/connect/10074733072513#/reservations/31680358138076?display=MHBGJ4EYV&amp;reservation_id=31680358138076", "MHBGJ4EYV")</f>
        <v>MHBGJ4EYV</v>
      </c>
      <c r="B4137" t="s">
        <v>10</v>
      </c>
      <c r="C4137" t="s">
        <v>14</v>
      </c>
      <c r="D4137" t="str">
        <f>HYPERLINK("https://us2.cloudbeds.com/connect/10074733072513#/reservations/31680358138076?display=Jerry%20Payne&amp;reservation_id=31680358138076&amp;guest_id=31680358138074", "Jerry Payne")</f>
        <v>Jerry Payne</v>
      </c>
      <c r="E4137" t="s">
        <v>6327</v>
      </c>
      <c r="F4137" t="s">
        <v>5938</v>
      </c>
      <c r="G4137">
        <v>608.4</v>
      </c>
      <c r="H4137">
        <v>661.32</v>
      </c>
      <c r="I4137">
        <v>661.33</v>
      </c>
      <c r="J4137">
        <v>-0.01</v>
      </c>
    </row>
    <row r="4138" spans="1:10" x14ac:dyDescent="0.3">
      <c r="A4138" t="str">
        <f>HYPERLINK("https://us2.cloudbeds.com/connect/10074733072513#/reservations/31681558085771?display=MHCE7VP0A&amp;reservation_id=31681558085771", "MHCE7VP0A")</f>
        <v>MHCE7VP0A</v>
      </c>
      <c r="B4138" t="s">
        <v>10</v>
      </c>
      <c r="C4138" t="s">
        <v>42</v>
      </c>
      <c r="D4138" t="str">
        <f>HYPERLINK("https://us2.cloudbeds.com/connect/10074733072513#/reservations/31681558085771?display=Robert%20Thompson&amp;reservation_id=31681558085771&amp;guest_id=31681558085765", "Robert Thompson")</f>
        <v>Robert Thompson</v>
      </c>
      <c r="E4138" t="s">
        <v>6328</v>
      </c>
      <c r="F4138" t="s">
        <v>6235</v>
      </c>
      <c r="G4138">
        <v>236.15</v>
      </c>
      <c r="H4138">
        <v>256.69</v>
      </c>
      <c r="I4138">
        <v>256.7</v>
      </c>
      <c r="J4138">
        <v>-0.01</v>
      </c>
    </row>
    <row r="4139" spans="1:10" x14ac:dyDescent="0.3">
      <c r="A4139" t="str">
        <f>HYPERLINK("https://us2.cloudbeds.com/connect/10074733072513#/reservations/31681546809520?display=MHCDVEWAZ&amp;reservation_id=31681546809520", "MHCDVEWAZ")</f>
        <v>MHCDVEWAZ</v>
      </c>
      <c r="B4139" t="s">
        <v>10</v>
      </c>
      <c r="C4139" t="s">
        <v>20</v>
      </c>
      <c r="D4139" t="str">
        <f>HYPERLINK("https://us2.cloudbeds.com/connect/10074733072513#/reservations/31681546809520?display=Trent%20Johnson&amp;reservation_id=31681546809520&amp;guest_id=31681546809515", "Trent Johnson")</f>
        <v>Trent Johnson</v>
      </c>
      <c r="E4139" t="s">
        <v>6329</v>
      </c>
      <c r="F4139" t="s">
        <v>6235</v>
      </c>
      <c r="G4139">
        <v>118.15</v>
      </c>
      <c r="H4139">
        <v>128.41999999999999</v>
      </c>
      <c r="I4139">
        <v>128.43</v>
      </c>
      <c r="J4139">
        <v>-0.01</v>
      </c>
    </row>
    <row r="4140" spans="1:10" x14ac:dyDescent="0.3">
      <c r="A4140" t="str">
        <f>HYPERLINK("https://us2.cloudbeds.com/connect/10074733072513#/reservations/31683277816024?display=MHDP62PW9&amp;reservation_id=31683277816024", "MHDP62PW9")</f>
        <v>MHDP62PW9</v>
      </c>
      <c r="B4140" t="s">
        <v>10</v>
      </c>
      <c r="C4140" t="s">
        <v>20</v>
      </c>
      <c r="D4140" t="str">
        <f>HYPERLINK("https://us2.cloudbeds.com/connect/10074733072513#/reservations/31683277816024?display=Stacy%20Ramacher&amp;reservation_id=31683277816024&amp;guest_id=31683277811917", "Stacy Ramacher")</f>
        <v>Stacy Ramacher</v>
      </c>
      <c r="E4140" t="s">
        <v>6332</v>
      </c>
      <c r="F4140" t="s">
        <v>5140</v>
      </c>
      <c r="G4140">
        <v>170.1</v>
      </c>
      <c r="H4140">
        <v>184.89</v>
      </c>
      <c r="I4140">
        <v>184.9</v>
      </c>
      <c r="J4140">
        <v>-0.01</v>
      </c>
    </row>
    <row r="4141" spans="1:10" x14ac:dyDescent="0.3">
      <c r="A4141" t="str">
        <f>HYPERLINK("https://us2.cloudbeds.com/connect/10074733072513#/reservations/31682074869906?display=MHCREZ18K&amp;reservation_id=31682074869906", "MHCREZ18K")</f>
        <v>MHCREZ18K</v>
      </c>
      <c r="B4141" t="s">
        <v>10</v>
      </c>
      <c r="C4141" t="s">
        <v>42</v>
      </c>
      <c r="D4141" t="str">
        <f>HYPERLINK("https://us2.cloudbeds.com/connect/10074733072513#/reservations/31682074869906?display=Dan%20Golay&amp;reservation_id=31682074869906&amp;guest_id=31682074865815", "Dan Golay")</f>
        <v>Dan Golay</v>
      </c>
      <c r="E4141" t="s">
        <v>6334</v>
      </c>
      <c r="F4141" t="s">
        <v>4916</v>
      </c>
      <c r="G4141">
        <v>406.3</v>
      </c>
      <c r="H4141">
        <v>441.64</v>
      </c>
      <c r="I4141">
        <v>441.65</v>
      </c>
      <c r="J4141">
        <v>-0.01</v>
      </c>
    </row>
    <row r="4142" spans="1:10" x14ac:dyDescent="0.3">
      <c r="A4142" t="str">
        <f>HYPERLINK("https://us2.cloudbeds.com/connect/10074733072513#/reservations/31678186987704?display=MH9R3BWGE&amp;reservation_id=31678186987704", "MH9R3BWGE")</f>
        <v>MH9R3BWGE</v>
      </c>
      <c r="B4142" t="s">
        <v>10</v>
      </c>
      <c r="C4142" t="s">
        <v>11</v>
      </c>
      <c r="D4142" t="str">
        <f>HYPERLINK("https://us2.cloudbeds.com/connect/10074733072513#/reservations/31678186987704?display=Rebecca%20Thompson&amp;reservation_id=31678186987704&amp;guest_id=31678186987699", "Rebecca Thompson")</f>
        <v>Rebecca Thompson</v>
      </c>
      <c r="E4142" t="s">
        <v>6336</v>
      </c>
      <c r="F4142" t="s">
        <v>6235</v>
      </c>
      <c r="G4142">
        <v>94.16</v>
      </c>
      <c r="H4142">
        <v>102.34</v>
      </c>
      <c r="I4142">
        <v>102.35</v>
      </c>
      <c r="J4142">
        <v>-0.01</v>
      </c>
    </row>
    <row r="4143" spans="1:10" x14ac:dyDescent="0.3">
      <c r="A4143" t="str">
        <f>HYPERLINK("https://us2.cloudbeds.com/connect/10074733072513#/reservations/31678245179591?display=MH9SJE8XV&amp;reservation_id=31678245179591", "MH9SJE8XV")</f>
        <v>MH9SJE8XV</v>
      </c>
      <c r="B4143" t="s">
        <v>10</v>
      </c>
      <c r="C4143" t="s">
        <v>14</v>
      </c>
      <c r="D4143" t="str">
        <f>HYPERLINK("https://us2.cloudbeds.com/connect/10074733072513#/reservations/31678245179591?display=Kelly%20Kerkman&amp;reservation_id=31678245179591&amp;guest_id=31678238490799", "Kelly Kerkman")</f>
        <v>Kelly Kerkman</v>
      </c>
      <c r="E4143" t="s">
        <v>6338</v>
      </c>
      <c r="F4143" t="s">
        <v>5789</v>
      </c>
      <c r="G4143">
        <v>94.16</v>
      </c>
      <c r="H4143">
        <v>102.34</v>
      </c>
      <c r="I4143">
        <v>102.35</v>
      </c>
      <c r="J4143">
        <v>-0.01</v>
      </c>
    </row>
    <row r="4144" spans="1:10" x14ac:dyDescent="0.3">
      <c r="A4144" t="str">
        <f>HYPERLINK("https://us2.cloudbeds.com/connect/10074733072513#/reservations/31678222266539?display=MH9S03M41&amp;reservation_id=31678222266539", "MH9S03M41")</f>
        <v>MH9S03M41</v>
      </c>
      <c r="B4144" t="s">
        <v>10</v>
      </c>
      <c r="C4144" t="s">
        <v>42</v>
      </c>
      <c r="D4144" t="str">
        <f>HYPERLINK("https://us2.cloudbeds.com/connect/10074733072513#/reservations/31678222266539?display=William%20Lasserty&amp;reservation_id=31678222266539&amp;guest_id=31678215430355", "William Lasserty")</f>
        <v>William Lasserty</v>
      </c>
      <c r="E4144" t="s">
        <v>6343</v>
      </c>
      <c r="F4144" t="s">
        <v>5789</v>
      </c>
      <c r="G4144">
        <v>134.1</v>
      </c>
      <c r="H4144">
        <v>145.76</v>
      </c>
      <c r="I4144">
        <v>145.77000000000001</v>
      </c>
      <c r="J4144">
        <v>-0.01</v>
      </c>
    </row>
    <row r="4145" spans="1:10" x14ac:dyDescent="0.3">
      <c r="A4145" t="str">
        <f>HYPERLINK("https://us2.cloudbeds.com/connect/10074733072513#/reservations/31678250836125?display=MH9SZ6YR2&amp;reservation_id=31678250836125", "MH9SZ6YR2")</f>
        <v>MH9SZ6YR2</v>
      </c>
      <c r="B4145" t="s">
        <v>10</v>
      </c>
      <c r="C4145" t="s">
        <v>11</v>
      </c>
      <c r="D4145" t="str">
        <f>HYPERLINK("https://us2.cloudbeds.com/connect/10074733072513#/reservations/31678250836125?display=Bryant%20Hays&amp;reservation_id=31678250836125&amp;guest_id=31678245183685", "Bryant Hays")</f>
        <v>Bryant Hays</v>
      </c>
      <c r="E4145" t="s">
        <v>6344</v>
      </c>
      <c r="F4145" t="s">
        <v>5789</v>
      </c>
      <c r="G4145">
        <v>94.16</v>
      </c>
      <c r="H4145">
        <v>102.34</v>
      </c>
      <c r="I4145">
        <v>102.35</v>
      </c>
      <c r="J4145">
        <v>-0.01</v>
      </c>
    </row>
    <row r="4146" spans="1:10" x14ac:dyDescent="0.3">
      <c r="A4146" t="str">
        <f>HYPERLINK("https://us2.cloudbeds.com/connect/10074733072513#/reservations/31678209294529?display=MH9RM5N8R&amp;reservation_id=31678209294529", "MH9RM5N8R")</f>
        <v>MH9RM5N8R</v>
      </c>
      <c r="B4146" t="s">
        <v>10</v>
      </c>
      <c r="C4146" t="s">
        <v>11</v>
      </c>
      <c r="D4146" t="str">
        <f>HYPERLINK("https://us2.cloudbeds.com/connect/10074733072513#/reservations/31678209294529?display=Michael%20Zuhlke&amp;reservation_id=31678209294529&amp;guest_id=31678201536682", "Michael Zuhlke")</f>
        <v>Michael Zuhlke</v>
      </c>
      <c r="E4146" t="s">
        <v>6346</v>
      </c>
      <c r="F4146" t="s">
        <v>5789</v>
      </c>
      <c r="G4146">
        <v>94.16</v>
      </c>
      <c r="H4146">
        <v>102.34</v>
      </c>
      <c r="I4146">
        <v>102.35</v>
      </c>
      <c r="J4146">
        <v>-0.01</v>
      </c>
    </row>
    <row r="4147" spans="1:10" x14ac:dyDescent="0.3">
      <c r="A4147" t="str">
        <f>HYPERLINK("https://us2.cloudbeds.com/connect/10074733072513#/reservations/31678384087195?display=MH9W4XXP9&amp;reservation_id=31678384087195", "MH9W4XXP9")</f>
        <v>MH9W4XXP9</v>
      </c>
      <c r="B4147" t="s">
        <v>10</v>
      </c>
      <c r="C4147" t="s">
        <v>17</v>
      </c>
      <c r="D4147" t="str">
        <f>HYPERLINK("https://us2.cloudbeds.com/connect/10074733072513#/reservations/31678384087195?display=Curt%20Wendt&amp;reservation_id=31678384087195&amp;guest_id=31678384087190", "Curt Wendt")</f>
        <v>Curt Wendt</v>
      </c>
      <c r="E4147" t="s">
        <v>6348</v>
      </c>
      <c r="F4147" t="s">
        <v>5789</v>
      </c>
      <c r="G4147">
        <v>134.1</v>
      </c>
      <c r="H4147">
        <v>145.76</v>
      </c>
      <c r="I4147">
        <v>145.77000000000001</v>
      </c>
      <c r="J4147">
        <v>-0.01</v>
      </c>
    </row>
    <row r="4148" spans="1:10" x14ac:dyDescent="0.3">
      <c r="A4148" t="str">
        <f>HYPERLINK("https://us2.cloudbeds.com/connect/10074733072513#/reservations/31678422499537?display=MHA03VEQY&amp;reservation_id=31678422499537", "MHA03VEQY")</f>
        <v>MHA03VEQY</v>
      </c>
      <c r="B4148" t="s">
        <v>10</v>
      </c>
      <c r="C4148" t="s">
        <v>42</v>
      </c>
      <c r="D4148" t="str">
        <f>HYPERLINK("https://us2.cloudbeds.com/connect/10074733072513#/reservations/31678422499537?display=Chara%20Fajardo&amp;reservation_id=31678422499537&amp;guest_id=31678422499523", "Chara Fajardo")</f>
        <v>Chara Fajardo</v>
      </c>
      <c r="E4148" t="s">
        <v>6349</v>
      </c>
      <c r="F4148" t="s">
        <v>5789</v>
      </c>
      <c r="G4148">
        <v>250.2</v>
      </c>
      <c r="H4148">
        <v>271.95999999999998</v>
      </c>
      <c r="I4148">
        <v>271.97000000000003</v>
      </c>
      <c r="J4148">
        <v>-0.01</v>
      </c>
    </row>
    <row r="4149" spans="1:10" x14ac:dyDescent="0.3">
      <c r="A4149" t="str">
        <f>HYPERLINK("https://us2.cloudbeds.com/connect/10074733072513#/reservations/31680067842270?display=MHB95BHMB&amp;reservation_id=31680067842270", "MHB95BHMB")</f>
        <v>MHB95BHMB</v>
      </c>
      <c r="B4149" t="s">
        <v>10</v>
      </c>
      <c r="C4149" t="s">
        <v>11</v>
      </c>
      <c r="D4149" t="str">
        <f>HYPERLINK("https://us2.cloudbeds.com/connect/10074733072513#/reservations/31680067842270?display=Andre%20Scalfani&amp;reservation_id=31680067842270&amp;guest_id=31680067842258", "Andre Scalfani")</f>
        <v>Andre Scalfani</v>
      </c>
      <c r="E4149" t="s">
        <v>6356</v>
      </c>
      <c r="F4149" t="s">
        <v>5789</v>
      </c>
      <c r="G4149">
        <v>94.16</v>
      </c>
      <c r="H4149">
        <v>102.34</v>
      </c>
      <c r="I4149">
        <v>102.35</v>
      </c>
      <c r="J4149">
        <v>-0.01</v>
      </c>
    </row>
    <row r="4150" spans="1:10" x14ac:dyDescent="0.3">
      <c r="A4150" t="str">
        <f>HYPERLINK("https://us2.cloudbeds.com/connect/10074733072513#/reservations/31680161198276?display=MHBBX2A17&amp;reservation_id=31680161198276", "MHBBX2A17")</f>
        <v>MHBBX2A17</v>
      </c>
      <c r="B4150" t="s">
        <v>10</v>
      </c>
      <c r="C4150" t="s">
        <v>14</v>
      </c>
      <c r="D4150" t="str">
        <f>HYPERLINK("https://us2.cloudbeds.com/connect/10074733072513#/reservations/31680161198276?display=Mario%20Vandemoortele&amp;reservation_id=31680161198276&amp;guest_id=31680161198274", "Mario Vandemoortele")</f>
        <v>Mario Vandemoortele</v>
      </c>
      <c r="E4150" t="s">
        <v>6358</v>
      </c>
      <c r="F4150" t="s">
        <v>6006</v>
      </c>
      <c r="G4150">
        <v>94.16</v>
      </c>
      <c r="H4150">
        <v>102.34</v>
      </c>
      <c r="I4150">
        <v>102.35</v>
      </c>
      <c r="J4150">
        <v>-0.01</v>
      </c>
    </row>
    <row r="4151" spans="1:10" x14ac:dyDescent="0.3">
      <c r="A4151" t="str">
        <f>HYPERLINK("https://us2.cloudbeds.com/connect/10074733072513#/reservations/31680067838174?display=MHB95BDU7&amp;reservation_id=31680067838174", "MHB95BDU7")</f>
        <v>MHB95BDU7</v>
      </c>
      <c r="B4151" t="s">
        <v>10</v>
      </c>
      <c r="C4151" t="s">
        <v>14</v>
      </c>
      <c r="D4151" t="str">
        <f>HYPERLINK("https://us2.cloudbeds.com/connect/10074733072513#/reservations/31680067838174?display=Jamie%20Mann&amp;reservation_id=31680067838174&amp;guest_id=31680067838159", "Jamie Mann")</f>
        <v>Jamie Mann</v>
      </c>
      <c r="E4151" t="s">
        <v>6359</v>
      </c>
      <c r="F4151" t="s">
        <v>6006</v>
      </c>
      <c r="G4151">
        <v>94.16</v>
      </c>
      <c r="H4151">
        <v>102.34</v>
      </c>
      <c r="I4151">
        <v>102.35</v>
      </c>
      <c r="J4151">
        <v>-0.01</v>
      </c>
    </row>
    <row r="4152" spans="1:10" x14ac:dyDescent="0.3">
      <c r="A4152" t="str">
        <f>HYPERLINK("https://us2.cloudbeds.com/connect/10074733072513#/reservations/31680216535254?display=MHBCVZ4HB&amp;reservation_id=31680216535254", "MHBCVZ4HB")</f>
        <v>MHBCVZ4HB</v>
      </c>
      <c r="B4152" t="s">
        <v>10</v>
      </c>
      <c r="C4152" t="s">
        <v>20</v>
      </c>
      <c r="D4152" t="str">
        <f>HYPERLINK("https://us2.cloudbeds.com/connect/10074733072513#/reservations/31680216535254?display=Tirrell%20Jon&amp;reservation_id=31680216535254&amp;guest_id=31680205521111", "Tirrell Jon")</f>
        <v>Tirrell Jon</v>
      </c>
      <c r="E4152" t="s">
        <v>6361</v>
      </c>
      <c r="F4152" t="s">
        <v>6006</v>
      </c>
      <c r="G4152">
        <v>134.1</v>
      </c>
      <c r="H4152">
        <v>145.76</v>
      </c>
      <c r="I4152">
        <v>145.77000000000001</v>
      </c>
      <c r="J4152">
        <v>-0.01</v>
      </c>
    </row>
    <row r="4153" spans="1:10" x14ac:dyDescent="0.3">
      <c r="A4153" t="str">
        <f>HYPERLINK("https://us2.cloudbeds.com/connect/10074733072513#/reservations/31677406797962?display=MH975G1R1&amp;reservation_id=31677406797962", "MH975G1R1")</f>
        <v>MH975G1R1</v>
      </c>
      <c r="B4153" t="s">
        <v>10</v>
      </c>
      <c r="C4153" t="s">
        <v>20</v>
      </c>
      <c r="D4153" t="str">
        <f>HYPERLINK("https://us2.cloudbeds.com/connect/10074733072513#/reservations/31677406797962?display=Roger%20Willroth&amp;reservation_id=31677406797962&amp;guest_id=31677400543400", "Roger Willroth")</f>
        <v>Roger Willroth</v>
      </c>
      <c r="E4153" t="s">
        <v>6363</v>
      </c>
      <c r="F4153" t="s">
        <v>5938</v>
      </c>
      <c r="G4153">
        <v>134.1</v>
      </c>
      <c r="H4153">
        <v>145.76</v>
      </c>
      <c r="I4153">
        <v>145.77000000000001</v>
      </c>
      <c r="J4153">
        <v>-0.01</v>
      </c>
    </row>
    <row r="4154" spans="1:10" x14ac:dyDescent="0.3">
      <c r="A4154" t="str">
        <f>HYPERLINK("https://us2.cloudbeds.com/connect/10074733072513#/reservations/31691775770826?display=MHKBAPTU5&amp;reservation_id=31691775770826", "MHKBAPTU5")</f>
        <v>MHKBAPTU5</v>
      </c>
      <c r="B4154" t="s">
        <v>10</v>
      </c>
      <c r="C4154" t="s">
        <v>20</v>
      </c>
      <c r="D4154" t="str">
        <f>HYPERLINK("https://us2.cloudbeds.com/connect/10074733072513#/reservations/31691775770826?display=Keri%20Francl&amp;reservation_id=31691775770826&amp;guest_id=31691775770821", "Keri Francl")</f>
        <v>Keri Francl</v>
      </c>
      <c r="E4154" t="s">
        <v>6364</v>
      </c>
      <c r="F4154" t="s">
        <v>5935</v>
      </c>
      <c r="G4154">
        <v>134.1</v>
      </c>
      <c r="H4154">
        <v>145.76</v>
      </c>
      <c r="I4154">
        <v>145.77000000000001</v>
      </c>
      <c r="J4154">
        <v>-0.01</v>
      </c>
    </row>
    <row r="4155" spans="1:10" x14ac:dyDescent="0.3">
      <c r="A4155" t="str">
        <f>HYPERLINK("https://us2.cloudbeds.com/connect/10074733072513#/reservations/31682422550666?display=MHD3ATPB7&amp;reservation_id=31682422550666", "MHD3ATPB7")</f>
        <v>MHD3ATPB7</v>
      </c>
      <c r="B4155" t="s">
        <v>10</v>
      </c>
      <c r="C4155" t="s">
        <v>20</v>
      </c>
      <c r="D4155" t="str">
        <f>HYPERLINK("https://us2.cloudbeds.com/connect/10074733072513#/reservations/31682422550666?display=Mohammad%20Ali&amp;reservation_id=31682422550666&amp;guest_id=31682422550661", "Mohammad Ali")</f>
        <v>Mohammad Ali</v>
      </c>
      <c r="E4155" t="s">
        <v>6367</v>
      </c>
      <c r="F4155" t="s">
        <v>6368</v>
      </c>
      <c r="G4155">
        <v>143.65</v>
      </c>
      <c r="H4155">
        <v>156.13999999999999</v>
      </c>
      <c r="I4155">
        <v>156.15</v>
      </c>
      <c r="J4155">
        <v>-0.01</v>
      </c>
    </row>
    <row r="4156" spans="1:10" x14ac:dyDescent="0.3">
      <c r="A4156" t="str">
        <f>HYPERLINK("https://us2.cloudbeds.com/connect/10074733072513#/reservations/31678402527367?display=MH9WK3MTC&amp;reservation_id=31678402527367", "MH9WK3MTC")</f>
        <v>MH9WK3MTC</v>
      </c>
      <c r="B4156" t="s">
        <v>10</v>
      </c>
      <c r="C4156" t="s">
        <v>20</v>
      </c>
      <c r="D4156" t="str">
        <f>HYPERLINK("https://us2.cloudbeds.com/connect/10074733072513#/reservations/31678402527367?display=Michael%20Gagel&amp;reservation_id=31678402527367&amp;guest_id=31678402527362", "Michael Gagel")</f>
        <v>Michael Gagel</v>
      </c>
      <c r="E4156" t="s">
        <v>6369</v>
      </c>
      <c r="F4156" t="s">
        <v>5789</v>
      </c>
      <c r="G4156">
        <v>134.1</v>
      </c>
      <c r="H4156">
        <v>145.76</v>
      </c>
      <c r="I4156">
        <v>145.77000000000001</v>
      </c>
      <c r="J4156">
        <v>-0.01</v>
      </c>
    </row>
    <row r="4157" spans="1:10" x14ac:dyDescent="0.3">
      <c r="A4157" t="str">
        <f>HYPERLINK("https://us2.cloudbeds.com/connect/10074733072513#/reservations/31680077627572?display=MHB9DJR8Y&amp;reservation_id=31680077627572", "MHB9DJR8Y")</f>
        <v>MHB9DJR8Y</v>
      </c>
      <c r="B4157" t="s">
        <v>10</v>
      </c>
      <c r="C4157" t="s">
        <v>14</v>
      </c>
      <c r="D4157" t="str">
        <f>HYPERLINK("https://us2.cloudbeds.com/connect/10074733072513#/reservations/31680077627572?display=Rhonda%20Armknecht&amp;reservation_id=31680077627572&amp;guest_id=31680067842268", "Rhonda Armknecht")</f>
        <v>Rhonda Armknecht</v>
      </c>
      <c r="E4157" t="s">
        <v>6372</v>
      </c>
      <c r="F4157" t="s">
        <v>6006</v>
      </c>
      <c r="G4157">
        <v>94.16</v>
      </c>
      <c r="H4157">
        <v>102.34</v>
      </c>
      <c r="I4157">
        <v>102.35</v>
      </c>
      <c r="J4157">
        <v>-0.01</v>
      </c>
    </row>
    <row r="4158" spans="1:10" x14ac:dyDescent="0.3">
      <c r="A4158" t="str">
        <f>HYPERLINK("https://us2.cloudbeds.com/connect/10074733072513#/reservations/31680088101091?display=MHB9ME8R0&amp;reservation_id=31680088101091", "MHB9ME8R0")</f>
        <v>MHB9ME8R0</v>
      </c>
      <c r="B4158" t="s">
        <v>10</v>
      </c>
      <c r="C4158" t="s">
        <v>42</v>
      </c>
      <c r="D4158" t="str">
        <f>HYPERLINK("https://us2.cloudbeds.com/connect/10074733072513#/reservations/31680088101091?display=Brian%20Weller&amp;reservation_id=31680088101091&amp;guest_id=31680088101086", "Brian Weller")</f>
        <v>Brian Weller</v>
      </c>
      <c r="E4158" t="s">
        <v>6373</v>
      </c>
      <c r="F4158" t="s">
        <v>6006</v>
      </c>
      <c r="G4158">
        <v>134.1</v>
      </c>
      <c r="H4158">
        <v>145.76</v>
      </c>
      <c r="I4158">
        <v>145.77000000000001</v>
      </c>
      <c r="J4158">
        <v>-0.01</v>
      </c>
    </row>
    <row r="4159" spans="1:10" x14ac:dyDescent="0.3">
      <c r="A4159" t="str">
        <f>HYPERLINK("https://us2.cloudbeds.com/connect/10074733072513#/reservations/31680088105173?display=MHB9MECXN&amp;reservation_id=31680088105173", "MHB9MECXN")</f>
        <v>MHB9MECXN</v>
      </c>
      <c r="B4159" t="s">
        <v>10</v>
      </c>
      <c r="C4159" t="s">
        <v>14</v>
      </c>
      <c r="D4159" t="str">
        <f>HYPERLINK("https://us2.cloudbeds.com/connect/10074733072513#/reservations/31680088105173?display=Sean%20Mcdannel&amp;reservation_id=31680088105173&amp;guest_id=31680088101089", "Sean Mcdannel")</f>
        <v>Sean Mcdannel</v>
      </c>
      <c r="E4159" t="s">
        <v>6374</v>
      </c>
      <c r="F4159" t="s">
        <v>6006</v>
      </c>
      <c r="G4159">
        <v>94.16</v>
      </c>
      <c r="H4159">
        <v>102.34</v>
      </c>
      <c r="I4159">
        <v>102.35</v>
      </c>
      <c r="J4159">
        <v>-0.01</v>
      </c>
    </row>
    <row r="4160" spans="1:10" x14ac:dyDescent="0.3">
      <c r="A4160" t="str">
        <f>HYPERLINK("https://us2.cloudbeds.com/connect/10074733072513#/reservations/31680095654072?display=MHB9SQEH7&amp;reservation_id=31680095654072", "MHB9SQEH7")</f>
        <v>MHB9SQEH7</v>
      </c>
      <c r="B4160" t="s">
        <v>10</v>
      </c>
      <c r="C4160" t="s">
        <v>14</v>
      </c>
      <c r="D4160" t="str">
        <f>HYPERLINK("https://us2.cloudbeds.com/connect/10074733072513#/reservations/31680095654072?display=Jarryd%20Lipp&amp;reservation_id=31680095654072&amp;guest_id=31680095654067", "Jarryd Lipp")</f>
        <v>Jarryd Lipp</v>
      </c>
      <c r="E4160" t="s">
        <v>6375</v>
      </c>
      <c r="F4160" t="s">
        <v>6006</v>
      </c>
      <c r="G4160">
        <v>94.16</v>
      </c>
      <c r="H4160">
        <v>102.34</v>
      </c>
      <c r="I4160">
        <v>102.35</v>
      </c>
      <c r="J4160">
        <v>-0.01</v>
      </c>
    </row>
    <row r="4161" spans="1:10" x14ac:dyDescent="0.3">
      <c r="A4161" t="str">
        <f>HYPERLINK("https://us2.cloudbeds.com/connect/10074733072513#/reservations/31680113017031?display=MHBAAEJFG&amp;reservation_id=31680113017031", "MHBAAEJFG")</f>
        <v>MHBAAEJFG</v>
      </c>
      <c r="B4161" t="s">
        <v>10</v>
      </c>
      <c r="C4161" t="s">
        <v>14</v>
      </c>
      <c r="D4161" t="str">
        <f>HYPERLINK("https://us2.cloudbeds.com/connect/10074733072513#/reservations/31680113017031?display=Steven%20Ochsner&amp;reservation_id=31680113017031&amp;guest_id=31680113017029", "Steven Ochsner")</f>
        <v>Steven Ochsner</v>
      </c>
      <c r="E4161" t="s">
        <v>6376</v>
      </c>
      <c r="F4161" t="s">
        <v>6006</v>
      </c>
      <c r="G4161">
        <v>94.16</v>
      </c>
      <c r="H4161">
        <v>102.34</v>
      </c>
      <c r="I4161">
        <v>102.35</v>
      </c>
      <c r="J4161">
        <v>-0.01</v>
      </c>
    </row>
    <row r="4162" spans="1:10" x14ac:dyDescent="0.3">
      <c r="A4162" t="str">
        <f>HYPERLINK("https://us2.cloudbeds.com/connect/10074733072513#/reservations/31677750386913?display=MH9FV6UGE&amp;reservation_id=31677750386913", "MH9FV6UGE")</f>
        <v>MH9FV6UGE</v>
      </c>
      <c r="B4162" t="s">
        <v>10</v>
      </c>
      <c r="C4162" t="s">
        <v>42</v>
      </c>
      <c r="D4162" t="str">
        <f>HYPERLINK("https://us2.cloudbeds.com/connect/10074733072513#/reservations/31677750386913?display=Edwin%20Gorder&amp;reservation_id=31677750386913&amp;guest_id=31677750386910", "Edwin Gorder")</f>
        <v>Edwin Gorder</v>
      </c>
      <c r="E4162" t="s">
        <v>6379</v>
      </c>
      <c r="F4162" t="s">
        <v>5869</v>
      </c>
      <c r="G4162">
        <v>183.2</v>
      </c>
      <c r="H4162">
        <v>199.13</v>
      </c>
      <c r="I4162">
        <v>199.14</v>
      </c>
      <c r="J4162">
        <v>-0.01</v>
      </c>
    </row>
    <row r="4163" spans="1:10" x14ac:dyDescent="0.3">
      <c r="A4163" t="str">
        <f>HYPERLINK("https://us2.cloudbeds.com/connect/10074733072513#/reservations/31677690257570?display=MH9EDGZA4&amp;reservation_id=31677690257570", "MH9EDGZA4")</f>
        <v>MH9EDGZA4</v>
      </c>
      <c r="B4163" t="s">
        <v>10</v>
      </c>
      <c r="C4163" t="s">
        <v>20</v>
      </c>
      <c r="D4163" t="str">
        <f>HYPERLINK("https://us2.cloudbeds.com/connect/10074733072513#/reservations/31677690257570?display=Flavio%20Campos&amp;reservation_id=31677690257570&amp;guest_id=31677690257556", "Flavio Campos")</f>
        <v>Flavio Campos</v>
      </c>
      <c r="E4163" t="s">
        <v>6380</v>
      </c>
      <c r="F4163" t="s">
        <v>5938</v>
      </c>
      <c r="G4163">
        <v>169.15</v>
      </c>
      <c r="H4163">
        <v>183.86</v>
      </c>
      <c r="I4163">
        <v>183.87</v>
      </c>
      <c r="J4163">
        <v>-0.01</v>
      </c>
    </row>
    <row r="4164" spans="1:10" x14ac:dyDescent="0.3">
      <c r="A4164" t="str">
        <f>HYPERLINK("https://us2.cloudbeds.com/connect/10074733072513#/reservations/31681977307281?display=MHCZVF72E&amp;reservation_id=31681977307281", "MHCZVF72E")</f>
        <v>MHCZVF72E</v>
      </c>
      <c r="B4164" t="s">
        <v>10</v>
      </c>
      <c r="C4164" t="s">
        <v>42</v>
      </c>
      <c r="D4164" t="str">
        <f>HYPERLINK("https://us2.cloudbeds.com/connect/10074733072513#/reservations/31681977307281?display=Suzanne%20Steffen&amp;reservation_id=31681977307281&amp;guest_id=31681977307267", "Suzanne Steffen")</f>
        <v>Suzanne Steffen</v>
      </c>
      <c r="E4164" t="s">
        <v>6381</v>
      </c>
      <c r="F4164" t="s">
        <v>5762</v>
      </c>
      <c r="G4164">
        <v>134.1</v>
      </c>
      <c r="H4164">
        <v>145.76</v>
      </c>
      <c r="I4164">
        <v>145.77000000000001</v>
      </c>
      <c r="J4164">
        <v>-0.01</v>
      </c>
    </row>
    <row r="4165" spans="1:10" x14ac:dyDescent="0.3">
      <c r="A4165" t="str">
        <f>HYPERLINK("https://us2.cloudbeds.com/connect/10074733072513#/reservations/31680124809450?display=MHBAKCZ4H&amp;reservation_id=31680124809450", "MHBAKCZ4H")</f>
        <v>MHBAKCZ4H</v>
      </c>
      <c r="B4165" t="s">
        <v>10</v>
      </c>
      <c r="C4165" t="s">
        <v>11</v>
      </c>
      <c r="D4165" t="str">
        <f>HYPERLINK("https://us2.cloudbeds.com/connect/10074733072513#/reservations/31680124809450?display=Sydney%20Blanton&amp;reservation_id=31680124809450&amp;guest_id=31680124809448", "Sydney Blanton")</f>
        <v>Sydney Blanton</v>
      </c>
      <c r="E4165" t="s">
        <v>6382</v>
      </c>
      <c r="F4165" t="s">
        <v>6006</v>
      </c>
      <c r="G4165">
        <v>94.16</v>
      </c>
      <c r="H4165">
        <v>102.34</v>
      </c>
      <c r="I4165">
        <v>102.35</v>
      </c>
      <c r="J4165">
        <v>-0.01</v>
      </c>
    </row>
    <row r="4166" spans="1:10" x14ac:dyDescent="0.3">
      <c r="A4166" t="str">
        <f>HYPERLINK("https://us2.cloudbeds.com/connect/10074733072513#/reservations/31678589354135?display=MHA4CYDWJ&amp;reservation_id=31678589354135", "MHA4CYDWJ")</f>
        <v>MHA4CYDWJ</v>
      </c>
      <c r="B4166" t="s">
        <v>10</v>
      </c>
      <c r="C4166" t="s">
        <v>20</v>
      </c>
      <c r="D4166" t="str">
        <f>HYPERLINK("https://us2.cloudbeds.com/connect/10074733072513#/reservations/31678589354135?display=Marsha%20Burnworth&amp;reservation_id=31678589354135&amp;guest_id=31678589354132", "Marsha Burnworth")</f>
        <v>Marsha Burnworth</v>
      </c>
      <c r="E4166" t="s">
        <v>6385</v>
      </c>
      <c r="F4166" t="s">
        <v>5762</v>
      </c>
      <c r="G4166">
        <v>84.1</v>
      </c>
      <c r="H4166">
        <v>91.41</v>
      </c>
      <c r="I4166">
        <v>91.42</v>
      </c>
      <c r="J4166">
        <v>-0.01</v>
      </c>
    </row>
    <row r="4167" spans="1:10" x14ac:dyDescent="0.3">
      <c r="A4167" t="str">
        <f>HYPERLINK("https://us2.cloudbeds.com/connect/10074733072513#/reservations/31680102478030?display=MHBA1XAPR&amp;reservation_id=31680102478030", "MHBA1XAPR")</f>
        <v>MHBA1XAPR</v>
      </c>
      <c r="B4167" t="s">
        <v>10</v>
      </c>
      <c r="C4167" t="s">
        <v>20</v>
      </c>
      <c r="D4167" t="str">
        <f>HYPERLINK("https://us2.cloudbeds.com/connect/10074733072513#/reservations/31680102478030?display=Adam%20Dahl&amp;reservation_id=31680102478030&amp;guest_id=31680102478025", "Adam Dahl")</f>
        <v>Adam Dahl</v>
      </c>
      <c r="E4167" t="s">
        <v>6386</v>
      </c>
      <c r="F4167" t="s">
        <v>6006</v>
      </c>
      <c r="G4167">
        <v>134.1</v>
      </c>
      <c r="H4167">
        <v>145.76</v>
      </c>
      <c r="I4167">
        <v>145.77000000000001</v>
      </c>
      <c r="J4167">
        <v>-0.01</v>
      </c>
    </row>
    <row r="4168" spans="1:10" x14ac:dyDescent="0.3">
      <c r="A4168" t="str">
        <f>HYPERLINK("https://us2.cloudbeds.com/connect/10074733072513#/reservations/31680188915862?display=MHBC8EJC2&amp;reservation_id=31680188915862", "MHBC8EJC2")</f>
        <v>MHBC8EJC2</v>
      </c>
      <c r="B4168" t="s">
        <v>10</v>
      </c>
      <c r="C4168" t="s">
        <v>42</v>
      </c>
      <c r="D4168" t="str">
        <f>HYPERLINK("https://us2.cloudbeds.com/connect/10074733072513#/reservations/31680188915862?display=Sherri%20Holmes&amp;reservation_id=31680188915862&amp;guest_id=31680188915857", "Sherri Holmes")</f>
        <v>Sherri Holmes</v>
      </c>
      <c r="E4168" t="s">
        <v>6387</v>
      </c>
      <c r="F4168" t="s">
        <v>6006</v>
      </c>
      <c r="G4168">
        <v>124.1</v>
      </c>
      <c r="H4168">
        <v>134.88999999999999</v>
      </c>
      <c r="I4168">
        <v>134.9</v>
      </c>
      <c r="J4168">
        <v>-0.01</v>
      </c>
    </row>
    <row r="4169" spans="1:10" x14ac:dyDescent="0.3">
      <c r="A4169" t="str">
        <f>HYPERLINK("https://us2.cloudbeds.com/connect/10074733072513#/reservations/31681955250377?display=MHCZCSEQD&amp;reservation_id=31681955250377", "MHCZCSEQD")</f>
        <v>MHCZCSEQD</v>
      </c>
      <c r="B4169" t="s">
        <v>10</v>
      </c>
      <c r="C4169" t="s">
        <v>20</v>
      </c>
      <c r="D4169" t="str">
        <f>HYPERLINK("https://us2.cloudbeds.com/connect/10074733072513#/reservations/31681955250377?display=Remus%20Kirby&amp;reservation_id=31681955250377&amp;guest_id=31681955246280", "Remus Kirby")</f>
        <v>Remus Kirby</v>
      </c>
      <c r="E4169" t="s">
        <v>6389</v>
      </c>
      <c r="F4169" t="s">
        <v>5587</v>
      </c>
      <c r="G4169">
        <v>134.1</v>
      </c>
      <c r="H4169">
        <v>145.76</v>
      </c>
      <c r="I4169">
        <v>145.77000000000001</v>
      </c>
      <c r="J4169">
        <v>-0.01</v>
      </c>
    </row>
    <row r="4170" spans="1:10" x14ac:dyDescent="0.3">
      <c r="A4170" t="str">
        <f>HYPERLINK("https://us2.cloudbeds.com/connect/10074733072513#/reservations/31678651920622?display=MHA5WDE4Z&amp;reservation_id=31678651920622", "MHA5WDE4Z")</f>
        <v>MHA5WDE4Z</v>
      </c>
      <c r="B4170" t="s">
        <v>10</v>
      </c>
      <c r="C4170" t="s">
        <v>42</v>
      </c>
      <c r="D4170" t="str">
        <f>HYPERLINK("https://us2.cloudbeds.com/connect/10074733072513#/reservations/31678651920622?display=New%20Age%20Cryo%20.&amp;reservation_id=31678651920622&amp;guest_id=31678651920617", "New Age Cryo .")</f>
        <v>New Age Cryo .</v>
      </c>
      <c r="E4170" t="s">
        <v>6390</v>
      </c>
      <c r="F4170" t="s">
        <v>5252</v>
      </c>
      <c r="G4170">
        <v>372</v>
      </c>
      <c r="H4170">
        <v>404.35</v>
      </c>
      <c r="I4170">
        <v>404.36</v>
      </c>
      <c r="J4170">
        <v>-0.01</v>
      </c>
    </row>
    <row r="4171" spans="1:10" x14ac:dyDescent="0.3">
      <c r="A4171" t="str">
        <f>HYPERLINK("https://us2.cloudbeds.com/connect/10074733072513#/reservations/31677721878657?display=MH9F75Y3T&amp;reservation_id=31677721878657", "MH9F75Y3T")</f>
        <v>MH9F75Y3T</v>
      </c>
      <c r="B4171" t="s">
        <v>10</v>
      </c>
      <c r="C4171" t="s">
        <v>20</v>
      </c>
      <c r="D4171" t="str">
        <f>HYPERLINK("https://us2.cloudbeds.com/connect/10074733072513#/reservations/31677721878657?display=Kristen%20Aebischer&amp;reservation_id=31677721878657&amp;guest_id=31677712814234", "Kristen Aebischer")</f>
        <v>Kristen Aebischer</v>
      </c>
      <c r="E4171" t="s">
        <v>6391</v>
      </c>
      <c r="F4171" t="s">
        <v>5938</v>
      </c>
      <c r="G4171">
        <v>143.65</v>
      </c>
      <c r="H4171">
        <v>156.13999999999999</v>
      </c>
      <c r="I4171">
        <v>156.15</v>
      </c>
      <c r="J4171">
        <v>-0.01</v>
      </c>
    </row>
    <row r="4172" spans="1:10" x14ac:dyDescent="0.3">
      <c r="A4172" t="str">
        <f>HYPERLINK("https://us2.cloudbeds.com/connect/10074733072513#/reservations/31680355561666?display=MHBGGVZQU&amp;reservation_id=31680355561666", "MHBGGVZQU")</f>
        <v>MHBGGVZQU</v>
      </c>
      <c r="B4172" t="s">
        <v>10</v>
      </c>
      <c r="C4172" t="s">
        <v>20</v>
      </c>
      <c r="D4172" t="str">
        <f>HYPERLINK("https://us2.cloudbeds.com/connect/10074733072513#/reservations/31680355561666?display=Jennifer%20Andrews&amp;reservation_id=31680355561666&amp;guest_id=31680355557586", "Jennifer Andrews")</f>
        <v>Jennifer Andrews</v>
      </c>
      <c r="E4172" t="s">
        <v>6394</v>
      </c>
      <c r="F4172" t="s">
        <v>5871</v>
      </c>
      <c r="G4172">
        <v>152.15</v>
      </c>
      <c r="H4172">
        <v>165.38</v>
      </c>
      <c r="I4172">
        <v>165.39</v>
      </c>
      <c r="J4172">
        <v>-0.01</v>
      </c>
    </row>
    <row r="4173" spans="1:10" x14ac:dyDescent="0.3">
      <c r="A4173" t="str">
        <f>HYPERLINK("https://us2.cloudbeds.com/connect/10074733072513#/reservations/31678411292877?display=MH9WRGK0T&amp;reservation_id=31678411292877", "MH9WRGK0T")</f>
        <v>MH9WRGK0T</v>
      </c>
      <c r="B4173" t="s">
        <v>10</v>
      </c>
      <c r="C4173" t="s">
        <v>42</v>
      </c>
      <c r="D4173" t="str">
        <f>HYPERLINK("https://us2.cloudbeds.com/connect/10074733072513#/reservations/31678411292877?display=Randy%20Markwardt&amp;reservation_id=31678411292877&amp;guest_id=31678404858037", "Randy Markwardt")</f>
        <v>Randy Markwardt</v>
      </c>
      <c r="E4173" t="s">
        <v>6402</v>
      </c>
      <c r="F4173" t="s">
        <v>5562</v>
      </c>
      <c r="G4173">
        <v>152.15</v>
      </c>
      <c r="H4173">
        <v>165.38</v>
      </c>
      <c r="I4173">
        <v>165.39</v>
      </c>
      <c r="J4173">
        <v>-0.01</v>
      </c>
    </row>
    <row r="4174" spans="1:10" x14ac:dyDescent="0.3">
      <c r="A4174" t="str">
        <f>HYPERLINK("https://us2.cloudbeds.com/connect/10074733072513#/reservations/31681962299551?display=MHCZXQJSZ&amp;reservation_id=31681962299551", "MHCZXQJSZ")</f>
        <v>MHCZXQJSZ</v>
      </c>
      <c r="B4174" t="s">
        <v>10</v>
      </c>
      <c r="C4174" t="s">
        <v>11</v>
      </c>
      <c r="D4174" t="str">
        <f>HYPERLINK("https://us2.cloudbeds.com/connect/10074733072513#/reservations/31681962299551?display=Scott%20Anderson&amp;reservation_id=31681962299551&amp;guest_id=31681962295459", "Scott Anderson")</f>
        <v>Scott Anderson</v>
      </c>
      <c r="E4174" t="s">
        <v>6403</v>
      </c>
      <c r="F4174" t="s">
        <v>5587</v>
      </c>
      <c r="G4174">
        <v>94.16</v>
      </c>
      <c r="H4174">
        <v>102.34</v>
      </c>
      <c r="I4174">
        <v>102.35</v>
      </c>
      <c r="J4174">
        <v>-0.01</v>
      </c>
    </row>
    <row r="4175" spans="1:10" x14ac:dyDescent="0.3">
      <c r="A4175" t="str">
        <f>HYPERLINK("https://us2.cloudbeds.com/connect/10074733072513#/reservations/31689504243842?display=MHXJ9CAX4&amp;reservation_id=31689504243842", "MHXJ9CAX4")</f>
        <v>MHXJ9CAX4</v>
      </c>
      <c r="B4175" t="s">
        <v>10</v>
      </c>
      <c r="C4175" t="s">
        <v>17</v>
      </c>
      <c r="D4175" t="str">
        <f>HYPERLINK("https://us2.cloudbeds.com/connect/10074733072513#/reservations/31689504243842?display=Lynne%20Kinsey&amp;reservation_id=31689504243842&amp;guest_id=30687002206383", "Lynne Kinsey")</f>
        <v>Lynne Kinsey</v>
      </c>
      <c r="E4175" t="s">
        <v>6405</v>
      </c>
      <c r="F4175" t="s">
        <v>3785</v>
      </c>
      <c r="G4175">
        <v>268.2</v>
      </c>
      <c r="H4175">
        <v>291.52</v>
      </c>
      <c r="I4175">
        <v>291.52999999999997</v>
      </c>
      <c r="J4175">
        <v>-0.01</v>
      </c>
    </row>
    <row r="4176" spans="1:10" x14ac:dyDescent="0.3">
      <c r="A4176" t="str">
        <f>HYPERLINK("https://us2.cloudbeds.com/connect/10074733072513#/reservations/31681969910013?display=MHCZP7CBQ&amp;reservation_id=31681969910013", "MHCZP7CBQ")</f>
        <v>MHCZP7CBQ</v>
      </c>
      <c r="B4176" t="s">
        <v>10</v>
      </c>
      <c r="C4176" t="s">
        <v>11</v>
      </c>
      <c r="D4176" t="str">
        <f>HYPERLINK("https://us2.cloudbeds.com/connect/10074733072513#/reservations/31681969910013?display=Jason%20Durschmidt&amp;reservation_id=31681969910013&amp;guest_id=31681969910010", "Jason Durschmidt")</f>
        <v>Jason Durschmidt</v>
      </c>
      <c r="E4176" t="s">
        <v>6408</v>
      </c>
      <c r="F4176" t="s">
        <v>5587</v>
      </c>
      <c r="G4176">
        <v>94.16</v>
      </c>
      <c r="H4176">
        <v>102.34</v>
      </c>
      <c r="I4176">
        <v>102.35</v>
      </c>
      <c r="J4176">
        <v>-0.01</v>
      </c>
    </row>
    <row r="4177" spans="1:10" x14ac:dyDescent="0.3">
      <c r="A4177" t="str">
        <f>HYPERLINK("https://us2.cloudbeds.com/connect/10074733072513#/reservations/31678537466008?display=MHA31TXG3&amp;reservation_id=31678537466008", "MHA31TXG3")</f>
        <v>MHA31TXG3</v>
      </c>
      <c r="B4177" t="s">
        <v>10</v>
      </c>
      <c r="C4177" t="s">
        <v>20</v>
      </c>
      <c r="D4177" t="str">
        <f>HYPERLINK("https://us2.cloudbeds.com/connect/10074733072513#/reservations/31678537466008?display=Hailey%20Baker&amp;reservation_id=31678537466008&amp;guest_id=31678537466006", "Hailey Baker")</f>
        <v>Hailey Baker</v>
      </c>
      <c r="E4177" t="s">
        <v>6409</v>
      </c>
      <c r="F4177" t="s">
        <v>5762</v>
      </c>
      <c r="G4177">
        <v>134.1</v>
      </c>
      <c r="H4177">
        <v>145.76</v>
      </c>
      <c r="I4177">
        <v>145.77000000000001</v>
      </c>
      <c r="J4177">
        <v>-0.01</v>
      </c>
    </row>
    <row r="4178" spans="1:10" x14ac:dyDescent="0.3">
      <c r="A4178" t="str">
        <f>HYPERLINK("https://us2.cloudbeds.com/connect/10074733072513#/reservations/31678594629827?display=MHA4H37H1&amp;reservation_id=31678594629827", "MHA4H37H1")</f>
        <v>MHA4H37H1</v>
      </c>
      <c r="B4178" t="s">
        <v>10</v>
      </c>
      <c r="C4178" t="s">
        <v>42</v>
      </c>
      <c r="D4178" t="str">
        <f>HYPERLINK("https://us2.cloudbeds.com/connect/10074733072513#/reservations/31678594629827?display=Julie%20Snavely&amp;reservation_id=31678594629827&amp;guest_id=31677302214891", "Julie Snavely")</f>
        <v>Julie Snavely</v>
      </c>
      <c r="E4178" t="s">
        <v>3933</v>
      </c>
      <c r="F4178" t="s">
        <v>5990</v>
      </c>
      <c r="G4178">
        <v>170.1</v>
      </c>
      <c r="H4178">
        <v>184.89</v>
      </c>
      <c r="I4178">
        <v>184.9</v>
      </c>
      <c r="J4178">
        <v>-0.01</v>
      </c>
    </row>
    <row r="4179" spans="1:10" x14ac:dyDescent="0.3">
      <c r="A4179" t="str">
        <f>HYPERLINK("https://us2.cloudbeds.com/connect/10074733072513#/reservations/31680477298943?display=MHBJKK8VA&amp;reservation_id=31680477298943", "MHBJKK8VA")</f>
        <v>MHBJKK8VA</v>
      </c>
      <c r="B4179" t="s">
        <v>10</v>
      </c>
      <c r="C4179" t="s">
        <v>20</v>
      </c>
      <c r="D4179" t="str">
        <f>HYPERLINK("https://us2.cloudbeds.com/connect/10074733072513#/reservations/31680477298943?display=Steven%20Tran&amp;reservation_id=31680477298943&amp;guest_id=31680477298889", "Steven Tran")</f>
        <v>Steven Tran</v>
      </c>
      <c r="E4179" t="s">
        <v>6416</v>
      </c>
      <c r="F4179" t="s">
        <v>4916</v>
      </c>
      <c r="G4179">
        <v>430.2</v>
      </c>
      <c r="H4179">
        <v>467.62</v>
      </c>
      <c r="I4179">
        <v>467.63</v>
      </c>
      <c r="J4179">
        <v>-0.01</v>
      </c>
    </row>
    <row r="4180" spans="1:10" x14ac:dyDescent="0.3">
      <c r="A4180" t="str">
        <f>HYPERLINK("https://us2.cloudbeds.com/connect/10074733072513#/reservations/31681296605410?display=MHC7XFMG0&amp;reservation_id=31681296605410", "MHC7XFMG0")</f>
        <v>MHC7XFMG0</v>
      </c>
      <c r="B4180" t="s">
        <v>10</v>
      </c>
      <c r="C4180" t="s">
        <v>20</v>
      </c>
      <c r="D4180" t="str">
        <f>HYPERLINK("https://us2.cloudbeds.com/connect/10074733072513#/reservations/31681296605410?display=Randall%20Penton&amp;reservation_id=31681296605410&amp;guest_id=31681289609353", "Randall Penton")</f>
        <v>Randall Penton</v>
      </c>
      <c r="E4180" t="s">
        <v>6418</v>
      </c>
      <c r="F4180" t="s">
        <v>5840</v>
      </c>
      <c r="G4180">
        <v>134.1</v>
      </c>
      <c r="H4180">
        <v>145.76</v>
      </c>
      <c r="I4180">
        <v>145.77000000000001</v>
      </c>
      <c r="J4180">
        <v>-0.01</v>
      </c>
    </row>
    <row r="4181" spans="1:10" x14ac:dyDescent="0.3">
      <c r="A4181" t="str">
        <f>HYPERLINK("https://us2.cloudbeds.com/connect/10074733072513#/reservations/31685527167168?display=MHFGYQ64W&amp;reservation_id=31685527167168", "MHFGYQ64W")</f>
        <v>MHFGYQ64W</v>
      </c>
      <c r="B4181" t="s">
        <v>10</v>
      </c>
      <c r="C4181" t="s">
        <v>20</v>
      </c>
      <c r="D4181" t="str">
        <f>HYPERLINK("https://us2.cloudbeds.com/connect/10074733072513#/reservations/31685527167168?display=Elisa%20Lilli&amp;reservation_id=31685527167168&amp;guest_id=31685527163087", "Elisa Lilli")</f>
        <v>Elisa Lilli</v>
      </c>
      <c r="E4181" t="s">
        <v>6419</v>
      </c>
      <c r="F4181" t="s">
        <v>5842</v>
      </c>
      <c r="G4181">
        <v>325.3</v>
      </c>
      <c r="H4181">
        <v>353.59</v>
      </c>
      <c r="I4181">
        <v>353.6</v>
      </c>
      <c r="J4181">
        <v>-0.01</v>
      </c>
    </row>
    <row r="4182" spans="1:10" x14ac:dyDescent="0.3">
      <c r="A4182" t="str">
        <f>HYPERLINK("https://us2.cloudbeds.com/connect/10074733072513#/reservations/31678528036992?display=MHA2QV2C5&amp;reservation_id=31678528036992", "MHA2QV2C5")</f>
        <v>MHA2QV2C5</v>
      </c>
      <c r="B4182" t="s">
        <v>10</v>
      </c>
      <c r="C4182" t="s">
        <v>14</v>
      </c>
      <c r="D4182" t="str">
        <f>HYPERLINK("https://us2.cloudbeds.com/connect/10074733072513#/reservations/31678528036992?display=Kristi%20Hill&amp;reservation_id=31678528036992&amp;guest_id=31678528032941", "Kristi Hill")</f>
        <v>Kristi Hill</v>
      </c>
      <c r="E4182" t="s">
        <v>6420</v>
      </c>
      <c r="F4182" t="s">
        <v>5636</v>
      </c>
      <c r="G4182">
        <v>236.23</v>
      </c>
      <c r="H4182">
        <v>256.77</v>
      </c>
      <c r="I4182">
        <v>256.77999999999997</v>
      </c>
      <c r="J4182">
        <v>-0.01</v>
      </c>
    </row>
    <row r="4183" spans="1:10" x14ac:dyDescent="0.3">
      <c r="A4183" t="str">
        <f>HYPERLINK("https://us2.cloudbeds.com/connect/10074733072513#/reservations/31678276714652?display=MH9TD0PCS&amp;reservation_id=31678276714652", "MH9TD0PCS")</f>
        <v>MH9TD0PCS</v>
      </c>
      <c r="B4183" t="s">
        <v>10</v>
      </c>
      <c r="C4183" t="s">
        <v>11</v>
      </c>
      <c r="D4183" t="str">
        <f>HYPERLINK("https://us2.cloudbeds.com/connect/10074733072513#/reservations/31678276714652?display=Amber%20Robinson&amp;reservation_id=31678276714652&amp;guest_id=31678268190927", "Amber Robinson")</f>
        <v>Amber Robinson</v>
      </c>
      <c r="E4183" t="s">
        <v>6421</v>
      </c>
      <c r="F4183" t="s">
        <v>5990</v>
      </c>
      <c r="G4183">
        <v>94.16</v>
      </c>
      <c r="H4183">
        <v>102.34</v>
      </c>
      <c r="I4183">
        <v>102.35</v>
      </c>
      <c r="J4183">
        <v>-0.01</v>
      </c>
    </row>
    <row r="4184" spans="1:10" x14ac:dyDescent="0.3">
      <c r="A4184" t="str">
        <f>HYPERLINK("https://us2.cloudbeds.com/connect/10074733072513#/reservations/31678577889455?display=MHA42WD91&amp;reservation_id=31678577889455", "MHA42WD91")</f>
        <v>MHA42WD91</v>
      </c>
      <c r="B4184" t="s">
        <v>10</v>
      </c>
      <c r="C4184" t="s">
        <v>20</v>
      </c>
      <c r="D4184" t="str">
        <f>HYPERLINK("https://us2.cloudbeds.com/connect/10074733072513#/reservations/31678577889455?display=Loren%20Nixon&amp;reservation_id=31678577889455&amp;guest_id=31678577889453", "Loren Nixon")</f>
        <v>Loren Nixon</v>
      </c>
      <c r="E4184" t="s">
        <v>6422</v>
      </c>
      <c r="F4184" t="s">
        <v>5990</v>
      </c>
      <c r="G4184">
        <v>134.1</v>
      </c>
      <c r="H4184">
        <v>145.76</v>
      </c>
      <c r="I4184">
        <v>145.77000000000001</v>
      </c>
      <c r="J4184">
        <v>-0.01</v>
      </c>
    </row>
    <row r="4185" spans="1:10" x14ac:dyDescent="0.3">
      <c r="A4185" t="str">
        <f>HYPERLINK("https://us2.cloudbeds.com/connect/10074733072513#/reservations/31682902958277?display=MHDFJWQWK&amp;reservation_id=31682902958277", "MHDFJWQWK")</f>
        <v>MHDFJWQWK</v>
      </c>
      <c r="B4185" t="s">
        <v>10</v>
      </c>
      <c r="C4185" t="s">
        <v>20</v>
      </c>
      <c r="D4185" t="str">
        <f>HYPERLINK("https://us2.cloudbeds.com/connect/10074733072513#/reservations/31682902958277?display=Rick%20Bowman&amp;reservation_id=31682902958277&amp;guest_id=31682902958272", "Rick Bowman")</f>
        <v>Rick Bowman</v>
      </c>
      <c r="E4185" t="s">
        <v>6424</v>
      </c>
      <c r="F4185" t="s">
        <v>6368</v>
      </c>
      <c r="G4185">
        <v>134.1</v>
      </c>
      <c r="H4185">
        <v>145.76</v>
      </c>
      <c r="I4185">
        <v>145.77000000000001</v>
      </c>
      <c r="J4185">
        <v>-0.01</v>
      </c>
    </row>
    <row r="4186" spans="1:10" x14ac:dyDescent="0.3">
      <c r="A4186" t="str">
        <f>HYPERLINK("https://us2.cloudbeds.com/connect/10074733072513#/reservations/31682006380771?display=MHCPMW7G9&amp;reservation_id=31682006380771", "MHCPMW7G9")</f>
        <v>MHCPMW7G9</v>
      </c>
      <c r="B4186" t="s">
        <v>10</v>
      </c>
      <c r="C4186" t="s">
        <v>20</v>
      </c>
      <c r="D4186" t="str">
        <f>HYPERLINK("https://us2.cloudbeds.com/connect/10074733072513#/reservations/31682006380771?display=Cherie%20Tueth&amp;reservation_id=31682006380771&amp;guest_id=31681998811282", "Cherie Tueth")</f>
        <v>Cherie Tueth</v>
      </c>
      <c r="E4186" t="s">
        <v>6425</v>
      </c>
      <c r="F4186" t="s">
        <v>5762</v>
      </c>
      <c r="G4186">
        <v>134.1</v>
      </c>
      <c r="H4186">
        <v>145.76</v>
      </c>
      <c r="I4186">
        <v>145.77000000000001</v>
      </c>
      <c r="J4186">
        <v>-0.01</v>
      </c>
    </row>
    <row r="4187" spans="1:10" x14ac:dyDescent="0.3">
      <c r="A4187" t="str">
        <f>HYPERLINK("https://us2.cloudbeds.com/connect/10074733072513#/reservations/31679959838922?display=MHB6D961K&amp;reservation_id=31679959838922", "MHB6D961K")</f>
        <v>MHB6D961K</v>
      </c>
      <c r="B4187" t="s">
        <v>10</v>
      </c>
      <c r="C4187" t="s">
        <v>11</v>
      </c>
      <c r="D4187" t="str">
        <f>HYPERLINK("https://us2.cloudbeds.com/connect/10074733072513#/reservations/31679959838922?display=Natasha%20Zunck&amp;reservation_id=31679959838922&amp;guest_id=31679959834838", "Natasha Zunck")</f>
        <v>Natasha Zunck</v>
      </c>
      <c r="E4187" t="s">
        <v>6429</v>
      </c>
      <c r="F4187" t="s">
        <v>6430</v>
      </c>
      <c r="G4187">
        <v>474.3</v>
      </c>
      <c r="H4187">
        <v>515.54999999999995</v>
      </c>
      <c r="I4187">
        <v>515.55999999999995</v>
      </c>
      <c r="J4187">
        <v>-0.01</v>
      </c>
    </row>
    <row r="4188" spans="1:10" x14ac:dyDescent="0.3">
      <c r="A4188" t="str">
        <f>HYPERLINK("https://us2.cloudbeds.com/connect/10074733072513#/reservations/31678390747377?display=MH9WA5TKV&amp;reservation_id=31678390747377", "MH9WA5TKV")</f>
        <v>MH9WA5TKV</v>
      </c>
      <c r="B4188" t="s">
        <v>10</v>
      </c>
      <c r="C4188" t="s">
        <v>14</v>
      </c>
      <c r="D4188" t="str">
        <f>HYPERLINK("https://us2.cloudbeds.com/connect/10074733072513#/reservations/31678390747377?display=Bret%20White%20Hat&amp;reservation_id=31678390747377&amp;guest_id=31678390747329", "Bret White Hat")</f>
        <v>Bret White Hat</v>
      </c>
      <c r="E4188" t="s">
        <v>6431</v>
      </c>
      <c r="F4188" t="s">
        <v>5562</v>
      </c>
      <c r="G4188">
        <v>94.16</v>
      </c>
      <c r="H4188">
        <v>102.34</v>
      </c>
      <c r="I4188">
        <v>102.35</v>
      </c>
      <c r="J4188">
        <v>-0.01</v>
      </c>
    </row>
    <row r="4189" spans="1:10" x14ac:dyDescent="0.3">
      <c r="A4189" t="str">
        <f>HYPERLINK("https://us2.cloudbeds.com/connect/10074733072513#/reservations/31678465499336?display=MHA176WCS&amp;reservation_id=31678465499336", "MHA176WCS")</f>
        <v>MHA176WCS</v>
      </c>
      <c r="B4189" t="s">
        <v>10</v>
      </c>
      <c r="C4189" t="s">
        <v>20</v>
      </c>
      <c r="D4189" t="str">
        <f>HYPERLINK("https://us2.cloudbeds.com/connect/10074733072513#/reservations/31678465499336?display=April%20Dahlke&amp;reservation_id=31678465499336&amp;guest_id=31678465495289", "April Dahlke")</f>
        <v>April Dahlke</v>
      </c>
      <c r="E4189" t="s">
        <v>6433</v>
      </c>
      <c r="F4189" t="s">
        <v>5562</v>
      </c>
      <c r="G4189">
        <v>134.1</v>
      </c>
      <c r="H4189">
        <v>145.76</v>
      </c>
      <c r="I4189">
        <v>145.77000000000001</v>
      </c>
      <c r="J4189">
        <v>-0.01</v>
      </c>
    </row>
    <row r="4190" spans="1:10" x14ac:dyDescent="0.3">
      <c r="A4190" t="str">
        <f>HYPERLINK("https://us2.cloudbeds.com/connect/10074733072513#/reservations/31681257865378?display=MHC6XQMHY&amp;reservation_id=31681257865378", "MHC6XQMHY")</f>
        <v>MHC6XQMHY</v>
      </c>
      <c r="B4190" t="s">
        <v>10</v>
      </c>
      <c r="C4190" t="s">
        <v>14</v>
      </c>
      <c r="D4190" t="str">
        <f>HYPERLINK("https://us2.cloudbeds.com/connect/10074733072513#/reservations/31681257865378?display=Jerred%20Wheelock&amp;reservation_id=31681257865378&amp;guest_id=31681257865372", "Jerred Wheelock")</f>
        <v>Jerred Wheelock</v>
      </c>
      <c r="E4190" t="s">
        <v>6436</v>
      </c>
      <c r="F4190" t="s">
        <v>5840</v>
      </c>
      <c r="G4190">
        <v>268.2</v>
      </c>
      <c r="H4190">
        <v>291.52</v>
      </c>
      <c r="I4190">
        <v>291.52999999999997</v>
      </c>
      <c r="J4190">
        <v>-0.01</v>
      </c>
    </row>
    <row r="4191" spans="1:10" x14ac:dyDescent="0.3">
      <c r="A4191" t="str">
        <f>HYPERLINK("https://us2.cloudbeds.com/connect/10074733072513#/reservations/31682130198744?display=MHCSSCY92&amp;reservation_id=31682130198744", "MHCSSCY92")</f>
        <v>MHCSSCY92</v>
      </c>
      <c r="B4191" t="s">
        <v>10</v>
      </c>
      <c r="C4191" t="s">
        <v>11</v>
      </c>
      <c r="D4191" t="str">
        <f>HYPERLINK("https://us2.cloudbeds.com/connect/10074733072513#/reservations/31682130198744?display=Dwight%20Case&amp;reservation_id=31682130198744&amp;guest_id=31682130198740", "Dwight Case")</f>
        <v>Dwight Case</v>
      </c>
      <c r="E4191" t="s">
        <v>6438</v>
      </c>
      <c r="F4191" t="s">
        <v>5916</v>
      </c>
      <c r="G4191">
        <v>134.1</v>
      </c>
      <c r="H4191">
        <v>145.76</v>
      </c>
      <c r="I4191">
        <v>145.77000000000001</v>
      </c>
      <c r="J4191">
        <v>-0.01</v>
      </c>
    </row>
    <row r="4192" spans="1:10" x14ac:dyDescent="0.3">
      <c r="A4192" t="str">
        <f>HYPERLINK("https://us2.cloudbeds.com/connect/10074733072513#/reservations/31678528032897?display=MHA2QV2A8&amp;reservation_id=31678528032897", "MHA2QV2A8")</f>
        <v>MHA2QV2A8</v>
      </c>
      <c r="B4192" t="s">
        <v>10</v>
      </c>
      <c r="C4192" t="s">
        <v>42</v>
      </c>
      <c r="D4192" t="str">
        <f>HYPERLINK("https://us2.cloudbeds.com/connect/10074733072513#/reservations/31678528032897?display=Brett%20Komar&amp;reservation_id=31678528032897&amp;guest_id=31678520893653", "Brett Komar")</f>
        <v>Brett Komar</v>
      </c>
      <c r="E4192" t="s">
        <v>6440</v>
      </c>
      <c r="F4192" t="s">
        <v>5636</v>
      </c>
      <c r="G4192">
        <v>268.2</v>
      </c>
      <c r="H4192">
        <v>291.52</v>
      </c>
      <c r="I4192">
        <v>291.52999999999997</v>
      </c>
      <c r="J4192">
        <v>-0.01</v>
      </c>
    </row>
    <row r="4193" spans="1:10" x14ac:dyDescent="0.3">
      <c r="A4193" t="str">
        <f>HYPERLINK("https://us2.cloudbeds.com/connect/10074733072513#/reservations/31680391520460?display=MHBHE9BRB&amp;reservation_id=31680391520460", "MHBHE9BRB")</f>
        <v>MHBHE9BRB</v>
      </c>
      <c r="B4193" t="s">
        <v>10</v>
      </c>
      <c r="C4193" t="s">
        <v>121</v>
      </c>
      <c r="D4193" t="str">
        <f>HYPERLINK("https://us2.cloudbeds.com/connect/10074733072513#/reservations/31680391520460?display=Landon%20Mcgrew&amp;reservation_id=31680391520460&amp;guest_id=31680382079156", "Landon Mcgrew")</f>
        <v>Landon Mcgrew</v>
      </c>
      <c r="E4193" t="s">
        <v>6442</v>
      </c>
      <c r="F4193" t="s">
        <v>5871</v>
      </c>
      <c r="G4193">
        <v>134.1</v>
      </c>
      <c r="H4193">
        <v>145.76</v>
      </c>
      <c r="I4193">
        <v>145.77000000000001</v>
      </c>
      <c r="J4193">
        <v>-0.01</v>
      </c>
    </row>
    <row r="4194" spans="1:10" x14ac:dyDescent="0.3">
      <c r="A4194" t="str">
        <f>HYPERLINK("https://us2.cloudbeds.com/connect/10074733072513#/reservations/31680398069924?display=MHBHJQK0V&amp;reservation_id=31680398069924", "MHBHJQK0V")</f>
        <v>MHBHJQK0V</v>
      </c>
      <c r="B4194" t="s">
        <v>10</v>
      </c>
      <c r="C4194" t="s">
        <v>20</v>
      </c>
      <c r="D4194" t="str">
        <f>HYPERLINK("https://us2.cloudbeds.com/connect/10074733072513#/reservations/31680398069924?display=Susanna%20Petrie&amp;reservation_id=31680398069924&amp;guest_id=31680398069908", "Susanna Petrie")</f>
        <v>Susanna Petrie</v>
      </c>
      <c r="E4194" t="s">
        <v>6443</v>
      </c>
      <c r="F4194" t="s">
        <v>5871</v>
      </c>
      <c r="G4194">
        <v>134.1</v>
      </c>
      <c r="H4194">
        <v>145.76</v>
      </c>
      <c r="I4194">
        <v>145.77000000000001</v>
      </c>
      <c r="J4194">
        <v>-0.01</v>
      </c>
    </row>
    <row r="4195" spans="1:10" x14ac:dyDescent="0.3">
      <c r="A4195" t="str">
        <f>HYPERLINK("https://us2.cloudbeds.com/connect/10074733072513#/reservations/31678552793268?display=MHA3ER23H&amp;reservation_id=31678552793268", "MHA3ER23H")</f>
        <v>MHA3ER23H</v>
      </c>
      <c r="B4195" t="s">
        <v>10</v>
      </c>
      <c r="C4195" t="s">
        <v>14</v>
      </c>
      <c r="D4195" t="str">
        <f>HYPERLINK("https://us2.cloudbeds.com/connect/10074733072513#/reservations/31678552793268?display=Greg%20Opoien&amp;reservation_id=31678552793268&amp;guest_id=31678552793252", "Greg Opoien")</f>
        <v>Greg Opoien</v>
      </c>
      <c r="E4195" t="s">
        <v>6447</v>
      </c>
      <c r="F4195" t="s">
        <v>5636</v>
      </c>
      <c r="G4195">
        <v>134.1</v>
      </c>
      <c r="H4195">
        <v>145.76</v>
      </c>
      <c r="I4195">
        <v>145.77000000000001</v>
      </c>
      <c r="J4195">
        <v>-0.01</v>
      </c>
    </row>
    <row r="4196" spans="1:10" x14ac:dyDescent="0.3">
      <c r="A4196" t="str">
        <f>HYPERLINK("https://us2.cloudbeds.com/connect/10074733072513#/reservations/31679605498066?display=MHAUBG45U&amp;reservation_id=31679605498066", "MHAUBG45U")</f>
        <v>MHAUBG45U</v>
      </c>
      <c r="B4196" t="s">
        <v>10</v>
      </c>
      <c r="C4196" t="s">
        <v>14</v>
      </c>
      <c r="D4196" t="str">
        <f>HYPERLINK("https://us2.cloudbeds.com/connect/10074733072513#/reservations/31679605498066?display=Tracy%20Miller&amp;reservation_id=31679605498066&amp;guest_id=31679605498056", "Tracy Miller")</f>
        <v>Tracy Miller</v>
      </c>
      <c r="E4196" t="s">
        <v>6448</v>
      </c>
      <c r="F4196" t="s">
        <v>6449</v>
      </c>
      <c r="G4196">
        <v>134.1</v>
      </c>
      <c r="H4196">
        <v>145.76</v>
      </c>
      <c r="I4196">
        <v>145.77000000000001</v>
      </c>
      <c r="J4196">
        <v>-0.01</v>
      </c>
    </row>
    <row r="4197" spans="1:10" x14ac:dyDescent="0.3">
      <c r="A4197" t="str">
        <f>HYPERLINK("https://us2.cloudbeds.com/connect/10074733072513#/reservations/31678174191818?display=MH9QPXUCA&amp;reservation_id=31678174191818", "MH9QPXUCA")</f>
        <v>MH9QPXUCA</v>
      </c>
      <c r="B4197" t="s">
        <v>10</v>
      </c>
      <c r="C4197" t="s">
        <v>17</v>
      </c>
      <c r="D4197" t="str">
        <f>HYPERLINK("https://us2.cloudbeds.com/connect/10074733072513#/reservations/31678174191818?display=Elizabeth%20Galloway&amp;reservation_id=31678174191818&amp;guest_id=31678174191816", "Elizabeth Galloway")</f>
        <v>Elizabeth Galloway</v>
      </c>
      <c r="E4197" t="s">
        <v>6450</v>
      </c>
      <c r="F4197" t="s">
        <v>5871</v>
      </c>
      <c r="G4197">
        <v>134.1</v>
      </c>
      <c r="H4197">
        <v>145.76</v>
      </c>
      <c r="I4197">
        <v>145.77000000000001</v>
      </c>
      <c r="J4197">
        <v>-0.01</v>
      </c>
    </row>
    <row r="4198" spans="1:10" x14ac:dyDescent="0.3">
      <c r="A4198" t="str">
        <f>HYPERLINK("https://us2.cloudbeds.com/connect/10074733072513#/reservations/31678453260529?display=MHA0TTDQU&amp;reservation_id=31678453260529", "MHA0TTDQU")</f>
        <v>MHA0TTDQU</v>
      </c>
      <c r="B4198" t="s">
        <v>10</v>
      </c>
      <c r="C4198" t="s">
        <v>121</v>
      </c>
      <c r="D4198" t="str">
        <f>HYPERLINK("https://us2.cloudbeds.com/connect/10074733072513#/reservations/31678453260529?display=Donald%20Carl%20Behrens&amp;reservation_id=31678453260529&amp;guest_id=31678453260526", "Donald Carl Behrens")</f>
        <v>Donald Carl Behrens</v>
      </c>
      <c r="E4198" t="s">
        <v>6451</v>
      </c>
      <c r="F4198" t="s">
        <v>5562</v>
      </c>
      <c r="G4198">
        <v>134.1</v>
      </c>
      <c r="H4198">
        <v>145.76</v>
      </c>
      <c r="I4198">
        <v>145.77000000000001</v>
      </c>
      <c r="J4198">
        <v>-0.01</v>
      </c>
    </row>
    <row r="4199" spans="1:10" x14ac:dyDescent="0.3">
      <c r="A4199" t="str">
        <f>HYPERLINK("https://us2.cloudbeds.com/connect/10074733072513#/reservations/31678513860751?display=MHA2EWND9&amp;reservation_id=31678513860751", "MHA2EWND9")</f>
        <v>MHA2EWND9</v>
      </c>
      <c r="B4199" t="s">
        <v>10</v>
      </c>
      <c r="C4199" t="s">
        <v>42</v>
      </c>
      <c r="D4199" t="str">
        <f>HYPERLINK("https://us2.cloudbeds.com/connect/10074733072513#/reservations/31678513860751?display=Gavin%20Gangwish&amp;reservation_id=31678513860751&amp;guest_id=31678506692853", "Gavin Gangwish")</f>
        <v>Gavin Gangwish</v>
      </c>
      <c r="E4199" t="s">
        <v>3253</v>
      </c>
      <c r="F4199" t="s">
        <v>5636</v>
      </c>
      <c r="G4199">
        <v>134.1</v>
      </c>
      <c r="H4199">
        <v>145.76</v>
      </c>
      <c r="I4199">
        <v>145.77000000000001</v>
      </c>
      <c r="J4199">
        <v>-0.01</v>
      </c>
    </row>
    <row r="4200" spans="1:10" x14ac:dyDescent="0.3">
      <c r="A4200" t="str">
        <f>HYPERLINK("https://us2.cloudbeds.com/connect/10074733072513#/reservations/31686682030214?display=MHGD5K251&amp;reservation_id=31686682030214", "MHGD5K251")</f>
        <v>MHGD5K251</v>
      </c>
      <c r="B4200" t="s">
        <v>10</v>
      </c>
      <c r="C4200" t="s">
        <v>20</v>
      </c>
      <c r="D4200" t="str">
        <f>HYPERLINK("https://us2.cloudbeds.com/connect/10074733072513#/reservations/31686682030214?display=Paintner%20Sarah&amp;reservation_id=31686682030214&amp;guest_id=31686672564463", "Paintner Sarah")</f>
        <v>Paintner Sarah</v>
      </c>
      <c r="E4200" t="s">
        <v>6459</v>
      </c>
      <c r="F4200" t="s">
        <v>4181</v>
      </c>
      <c r="G4200">
        <v>134.1</v>
      </c>
      <c r="H4200">
        <v>145.76</v>
      </c>
      <c r="I4200">
        <v>145.77000000000001</v>
      </c>
      <c r="J4200">
        <v>-0.01</v>
      </c>
    </row>
    <row r="4201" spans="1:10" x14ac:dyDescent="0.3">
      <c r="A4201" t="str">
        <f>HYPERLINK("https://us2.cloudbeds.com/connect/10074733072513#/reservations/31678558007500?display=MHA3J756X&amp;reservation_id=31678558007500", "MHA3J756X")</f>
        <v>MHA3J756X</v>
      </c>
      <c r="B4201" t="s">
        <v>10</v>
      </c>
      <c r="C4201" t="s">
        <v>14</v>
      </c>
      <c r="D4201" t="str">
        <f>HYPERLINK("https://us2.cloudbeds.com/connect/10074733072513#/reservations/31678558007500?display=Stewart%20Waltner&amp;reservation_id=31678558007500&amp;guest_id=31678558003450", "Stewart Waltner")</f>
        <v>Stewart Waltner</v>
      </c>
      <c r="E4201" t="s">
        <v>6462</v>
      </c>
      <c r="F4201" t="s">
        <v>5636</v>
      </c>
      <c r="G4201">
        <v>94.16</v>
      </c>
      <c r="H4201">
        <v>102.34</v>
      </c>
      <c r="I4201">
        <v>102.35</v>
      </c>
      <c r="J4201">
        <v>-0.01</v>
      </c>
    </row>
    <row r="4202" spans="1:10" x14ac:dyDescent="0.3">
      <c r="A4202" t="str">
        <f>HYPERLINK("https://us2.cloudbeds.com/connect/10074733072513#/reservations/31681006809288?display=MHC053MBB&amp;reservation_id=31681006809288", "MHC053MBB")</f>
        <v>MHC053MBB</v>
      </c>
      <c r="B4202" t="s">
        <v>10</v>
      </c>
      <c r="C4202" t="s">
        <v>121</v>
      </c>
      <c r="D4202" t="str">
        <f>HYPERLINK("https://us2.cloudbeds.com/connect/10074733072513#/reservations/31681006809288?display=Caleb%20Stephenson&amp;reservation_id=31681006809288&amp;guest_id=31681006809283", "Caleb Stephenson")</f>
        <v>Caleb Stephenson</v>
      </c>
      <c r="E4202" t="s">
        <v>6463</v>
      </c>
      <c r="F4202" t="s">
        <v>5274</v>
      </c>
      <c r="G4202">
        <v>134.1</v>
      </c>
      <c r="H4202">
        <v>145.76</v>
      </c>
      <c r="I4202">
        <v>145.77000000000001</v>
      </c>
      <c r="J4202">
        <v>-0.01</v>
      </c>
    </row>
    <row r="4203" spans="1:10" x14ac:dyDescent="0.3">
      <c r="A4203" t="str">
        <f>HYPERLINK("https://us2.cloudbeds.com/connect/10074733072513#/reservations/31681038774497?display=MHC0W2551&amp;reservation_id=31681038774497", "MHC0W2551")</f>
        <v>MHC0W2551</v>
      </c>
      <c r="B4203" t="s">
        <v>10</v>
      </c>
      <c r="C4203" t="s">
        <v>11</v>
      </c>
      <c r="D4203" t="str">
        <f>HYPERLINK("https://us2.cloudbeds.com/connect/10074733072513#/reservations/31681038774497?display=Jenna%20Rahm&amp;reservation_id=31681038774497&amp;guest_id=31681031598281", "Jenna Rahm")</f>
        <v>Jenna Rahm</v>
      </c>
      <c r="E4203" t="s">
        <v>6464</v>
      </c>
      <c r="F4203" t="s">
        <v>5274</v>
      </c>
      <c r="G4203">
        <v>94.16</v>
      </c>
      <c r="H4203">
        <v>102.34</v>
      </c>
      <c r="I4203">
        <v>102.35</v>
      </c>
      <c r="J4203">
        <v>-0.01</v>
      </c>
    </row>
    <row r="4204" spans="1:10" x14ac:dyDescent="0.3">
      <c r="A4204" t="str">
        <f>HYPERLINK("https://us2.cloudbeds.com/connect/10074733072513#/reservations/31680540197068?display=MHBY7YGY3&amp;reservation_id=31680540197068", "MHBY7YGY3")</f>
        <v>MHBY7YGY3</v>
      </c>
      <c r="B4204" t="s">
        <v>10</v>
      </c>
      <c r="C4204" t="s">
        <v>121</v>
      </c>
      <c r="D4204" t="str">
        <f>HYPERLINK("https://us2.cloudbeds.com/connect/10074733072513#/reservations/31680540197068?display=Brandon%20Mygland&amp;reservation_id=31680540197068&amp;guest_id=31680540192976", "Brandon Mygland")</f>
        <v>Brandon Mygland</v>
      </c>
      <c r="E4204" t="s">
        <v>6469</v>
      </c>
      <c r="F4204" t="s">
        <v>5274</v>
      </c>
      <c r="G4204">
        <v>134.1</v>
      </c>
      <c r="H4204">
        <v>145.76</v>
      </c>
      <c r="I4204">
        <v>145.77000000000001</v>
      </c>
      <c r="J4204">
        <v>-0.01</v>
      </c>
    </row>
    <row r="4205" spans="1:10" x14ac:dyDescent="0.3">
      <c r="A4205" t="str">
        <f>HYPERLINK("https://us2.cloudbeds.com/connect/10074733072513#/reservations/31680674320614?display=MHBZYZMZW&amp;reservation_id=31680674320614", "MHBZYZMZW")</f>
        <v>MHBZYZMZW</v>
      </c>
      <c r="B4205" t="s">
        <v>10</v>
      </c>
      <c r="C4205" t="s">
        <v>17</v>
      </c>
      <c r="D4205" t="str">
        <f>HYPERLINK("https://us2.cloudbeds.com/connect/10074733072513#/reservations/31680674320614?display=Lisa%20Nutter&amp;reservation_id=31680674320614&amp;guest_id=31680674320611", "Lisa Nutter")</f>
        <v>Lisa Nutter</v>
      </c>
      <c r="E4205" t="s">
        <v>6472</v>
      </c>
      <c r="F4205" t="s">
        <v>6473</v>
      </c>
      <c r="G4205">
        <v>134.1</v>
      </c>
      <c r="H4205">
        <v>145.76</v>
      </c>
      <c r="I4205">
        <v>145.77000000000001</v>
      </c>
      <c r="J4205">
        <v>-0.01</v>
      </c>
    </row>
    <row r="4206" spans="1:10" x14ac:dyDescent="0.3">
      <c r="A4206" t="str">
        <f>HYPERLINK("https://us2.cloudbeds.com/connect/10074733072513#/reservations/31682459758742?display=MHD4994HM&amp;reservation_id=31682459758742", "MHD4994HM")</f>
        <v>MHD4994HM</v>
      </c>
      <c r="B4206" t="s">
        <v>10</v>
      </c>
      <c r="C4206" t="s">
        <v>42</v>
      </c>
      <c r="D4206" t="str">
        <f>HYPERLINK("https://us2.cloudbeds.com/connect/10074733072513#/reservations/31682459758742?display=Roberta%20Hoyt&amp;reservation_id=31682459758742&amp;guest_id=31682455314686", "Roberta Hoyt")</f>
        <v>Roberta Hoyt</v>
      </c>
      <c r="E4206" t="s">
        <v>6475</v>
      </c>
      <c r="F4206" t="s">
        <v>5550</v>
      </c>
      <c r="G4206">
        <v>134.1</v>
      </c>
      <c r="H4206">
        <v>145.76</v>
      </c>
      <c r="I4206">
        <v>145.77000000000001</v>
      </c>
      <c r="J4206">
        <v>-0.01</v>
      </c>
    </row>
    <row r="4207" spans="1:10" x14ac:dyDescent="0.3">
      <c r="A4207" t="str">
        <f>HYPERLINK("https://us2.cloudbeds.com/connect/10074733072513#/reservations/31682382766330?display=MHD2ABNE9&amp;reservation_id=31682382766330", "MHD2ABNE9")</f>
        <v>MHD2ABNE9</v>
      </c>
      <c r="B4207" t="s">
        <v>10</v>
      </c>
      <c r="C4207" t="s">
        <v>20</v>
      </c>
      <c r="D4207" t="str">
        <f>HYPERLINK("https://us2.cloudbeds.com/connect/10074733072513#/reservations/31682382766330?display=Jeffery%20Wright&amp;reservation_id=31682382766330&amp;guest_id=31682372153492", "Jeffery Wright")</f>
        <v>Jeffery Wright</v>
      </c>
      <c r="E4207" t="s">
        <v>6479</v>
      </c>
      <c r="F4207" t="s">
        <v>5916</v>
      </c>
      <c r="G4207">
        <v>268.2</v>
      </c>
      <c r="H4207">
        <v>291.52</v>
      </c>
      <c r="I4207">
        <v>291.52999999999997</v>
      </c>
      <c r="J4207">
        <v>-0.01</v>
      </c>
    </row>
    <row r="4208" spans="1:10" x14ac:dyDescent="0.3">
      <c r="A4208" t="str">
        <f>HYPERLINK("https://us2.cloudbeds.com/connect/10074733072513#/reservations/31682191270067?display=MHCUDT1F7&amp;reservation_id=31682191270067", "MHCUDT1F7")</f>
        <v>MHCUDT1F7</v>
      </c>
      <c r="B4208" t="s">
        <v>10</v>
      </c>
      <c r="C4208" t="s">
        <v>14</v>
      </c>
      <c r="D4208" t="str">
        <f>HYPERLINK("https://us2.cloudbeds.com/connect/10074733072513#/reservations/31682191270067?display=Sean%20Mcdannel&amp;reservation_id=31682191270067&amp;guest_id=31682191270062", "Sean Mcdannel")</f>
        <v>Sean Mcdannel</v>
      </c>
      <c r="E4208" t="s">
        <v>6481</v>
      </c>
      <c r="F4208" t="s">
        <v>5916</v>
      </c>
      <c r="G4208">
        <v>94.16</v>
      </c>
      <c r="H4208">
        <v>102.34</v>
      </c>
      <c r="I4208">
        <v>102.35</v>
      </c>
      <c r="J4208">
        <v>-0.01</v>
      </c>
    </row>
    <row r="4209" spans="1:10" x14ac:dyDescent="0.3">
      <c r="A4209" t="str">
        <f>HYPERLINK("https://us2.cloudbeds.com/connect/10074733072513#/reservations/31682182811870?display=MHCU6ZMH7&amp;reservation_id=31682182811870", "MHCU6ZMH7")</f>
        <v>MHCU6ZMH7</v>
      </c>
      <c r="B4209" t="s">
        <v>10</v>
      </c>
      <c r="C4209" t="s">
        <v>11</v>
      </c>
      <c r="D4209" t="str">
        <f>HYPERLINK("https://us2.cloudbeds.com/connect/10074733072513#/reservations/31682182811870?display=Ivonne%20Bellew&amp;reservation_id=31682182811870&amp;guest_id=31682182811866", "Ivonne Bellew")</f>
        <v>Ivonne Bellew</v>
      </c>
      <c r="E4209" t="s">
        <v>6482</v>
      </c>
      <c r="F4209" t="s">
        <v>5916</v>
      </c>
      <c r="G4209">
        <v>94.16</v>
      </c>
      <c r="H4209">
        <v>102.34</v>
      </c>
      <c r="I4209">
        <v>102.35</v>
      </c>
      <c r="J4209">
        <v>-0.01</v>
      </c>
    </row>
    <row r="4210" spans="1:10" x14ac:dyDescent="0.3">
      <c r="A4210" t="str">
        <f>HYPERLINK("https://us2.cloudbeds.com/connect/10074733072513#/reservations/31682177421445?display=MHCU26MY0&amp;reservation_id=31682177421445", "MHCU26MY0")</f>
        <v>MHCU26MY0</v>
      </c>
      <c r="B4210" t="s">
        <v>10</v>
      </c>
      <c r="C4210" t="s">
        <v>11</v>
      </c>
      <c r="D4210" t="str">
        <f>HYPERLINK("https://us2.cloudbeds.com/connect/10074733072513#/reservations/31682177421445?display=Ivonne%20Bellew&amp;reservation_id=31682177421445&amp;guest_id=31682177421440", "Ivonne Bellew")</f>
        <v>Ivonne Bellew</v>
      </c>
      <c r="E4210" t="s">
        <v>6486</v>
      </c>
      <c r="F4210" t="s">
        <v>5916</v>
      </c>
      <c r="G4210">
        <v>94.16</v>
      </c>
      <c r="H4210">
        <v>102.34</v>
      </c>
      <c r="I4210">
        <v>102.35</v>
      </c>
      <c r="J4210">
        <v>-0.01</v>
      </c>
    </row>
    <row r="4211" spans="1:10" x14ac:dyDescent="0.3">
      <c r="A4211" t="str">
        <f>HYPERLINK("https://us2.cloudbeds.com/connect/10074733072513#/reservations/31687959933102?display=MHHCR5JMW&amp;reservation_id=31687959933102", "MHHCR5JMW")</f>
        <v>MHHCR5JMW</v>
      </c>
      <c r="B4211" t="s">
        <v>10</v>
      </c>
      <c r="C4211" t="s">
        <v>42</v>
      </c>
      <c r="D4211" t="str">
        <f>HYPERLINK("https://us2.cloudbeds.com/connect/10074733072513#/reservations/31687959933102?display=Jamie%20Mulhair&amp;reservation_id=31687959933102&amp;guest_id=31687959933096", "Jamie Mulhair")</f>
        <v>Jamie Mulhair</v>
      </c>
      <c r="E4211" t="s">
        <v>6489</v>
      </c>
      <c r="F4211" t="s">
        <v>6490</v>
      </c>
      <c r="G4211">
        <v>268.2</v>
      </c>
      <c r="H4211">
        <v>291.52</v>
      </c>
      <c r="I4211">
        <v>291.52999999999997</v>
      </c>
      <c r="J4211">
        <v>-0.01</v>
      </c>
    </row>
    <row r="4212" spans="1:10" x14ac:dyDescent="0.3">
      <c r="A4212" t="str">
        <f>HYPERLINK("https://us2.cloudbeds.com/connect/10074733072513#/reservations/31684779118726?display=MHEUX0ZMX&amp;reservation_id=31684779118726", "MHEUX0ZMX")</f>
        <v>MHEUX0ZMX</v>
      </c>
      <c r="B4212" t="s">
        <v>10</v>
      </c>
      <c r="C4212" t="s">
        <v>23</v>
      </c>
      <c r="D4212" t="str">
        <f>HYPERLINK("https://us2.cloudbeds.com/connect/10074733072513#/reservations/31684779118726?display=William%20England&amp;reservation_id=31684779118726&amp;guest_id=31684779118724", "William England")</f>
        <v>William England</v>
      </c>
      <c r="E4212" t="s">
        <v>6491</v>
      </c>
      <c r="F4212" t="s">
        <v>6492</v>
      </c>
      <c r="G4212">
        <v>537.29999999999995</v>
      </c>
      <c r="H4212">
        <v>584.04</v>
      </c>
      <c r="I4212">
        <v>584.04999999999995</v>
      </c>
      <c r="J4212">
        <v>-0.01</v>
      </c>
    </row>
    <row r="4213" spans="1:10" x14ac:dyDescent="0.3">
      <c r="A4213" t="str">
        <f>HYPERLINK("https://us2.cloudbeds.com/connect/10074733072513#/reservations/31682884997263?display=MHDF4S0SF&amp;reservation_id=31682884997263", "MHDF4S0SF")</f>
        <v>MHDF4S0SF</v>
      </c>
      <c r="B4213" t="s">
        <v>10</v>
      </c>
      <c r="C4213" t="s">
        <v>11</v>
      </c>
      <c r="D4213" t="str">
        <f>HYPERLINK("https://us2.cloudbeds.com/connect/10074733072513#/reservations/31682884997263?display=Kiersten%20Collings&amp;reservation_id=31682884997263&amp;guest_id=31682884993208", "Kiersten Collings")</f>
        <v>Kiersten Collings</v>
      </c>
      <c r="E4213" t="s">
        <v>6496</v>
      </c>
      <c r="F4213" t="s">
        <v>5546</v>
      </c>
      <c r="G4213">
        <v>94.16</v>
      </c>
      <c r="H4213">
        <v>102.34</v>
      </c>
      <c r="I4213">
        <v>102.35</v>
      </c>
      <c r="J4213">
        <v>-0.01</v>
      </c>
    </row>
    <row r="4214" spans="1:10" x14ac:dyDescent="0.3">
      <c r="A4214" t="str">
        <f>HYPERLINK("https://us2.cloudbeds.com/connect/10074733072513#/reservations/31682455314625?display=MHD45HFKF&amp;reservation_id=31682455314625", "MHD45HFKF")</f>
        <v>MHD45HFKF</v>
      </c>
      <c r="B4214" t="s">
        <v>10</v>
      </c>
      <c r="C4214" t="s">
        <v>42</v>
      </c>
      <c r="D4214" t="str">
        <f>HYPERLINK("https://us2.cloudbeds.com/connect/10074733072513#/reservations/31682455314625?display=Roger%20Frankenstein&amp;reservation_id=31682455314625&amp;guest_id=31682448224425", "Roger Frankenstein")</f>
        <v>Roger Frankenstein</v>
      </c>
      <c r="E4214" t="s">
        <v>6499</v>
      </c>
      <c r="F4214" t="s">
        <v>5550</v>
      </c>
      <c r="G4214">
        <v>134.1</v>
      </c>
      <c r="H4214">
        <v>145.76</v>
      </c>
      <c r="I4214">
        <v>145.77000000000001</v>
      </c>
      <c r="J4214">
        <v>-0.01</v>
      </c>
    </row>
    <row r="4215" spans="1:10" x14ac:dyDescent="0.3">
      <c r="A4215" t="str">
        <f>HYPERLINK("https://us2.cloudbeds.com/connect/10074733072513#/reservations/31682440904913?display=MHD3QCGXH&amp;reservation_id=31682440904913", "MHD3QCGXH")</f>
        <v>MHD3QCGXH</v>
      </c>
      <c r="B4215" t="s">
        <v>10</v>
      </c>
      <c r="C4215" t="s">
        <v>20</v>
      </c>
      <c r="D4215" t="str">
        <f>HYPERLINK("https://us2.cloudbeds.com/connect/10074733072513#/reservations/31682440904913?display=Patrick%20Nickles&amp;reservation_id=31682440904913&amp;guest_id=31682440900820", "Patrick Nickles")</f>
        <v>Patrick Nickles</v>
      </c>
      <c r="E4215" t="s">
        <v>6502</v>
      </c>
      <c r="F4215" t="s">
        <v>5550</v>
      </c>
      <c r="G4215">
        <v>134.1</v>
      </c>
      <c r="H4215">
        <v>145.76</v>
      </c>
      <c r="I4215">
        <v>145.77000000000001</v>
      </c>
      <c r="J4215">
        <v>-0.01</v>
      </c>
    </row>
    <row r="4216" spans="1:10" x14ac:dyDescent="0.3">
      <c r="A4216" t="str">
        <f>HYPERLINK("https://us2.cloudbeds.com/connect/10074733072513#/reservations/31678404858039?display=MH9WM2X2Q&amp;reservation_id=31678404858039", "MH9WM2X2Q")</f>
        <v>MH9WM2X2Q</v>
      </c>
      <c r="B4216" t="s">
        <v>10</v>
      </c>
      <c r="C4216" t="s">
        <v>11</v>
      </c>
      <c r="D4216" t="str">
        <f>HYPERLINK("https://us2.cloudbeds.com/connect/10074733072513#/reservations/31678404858039?display=Shane%20Tibiatowski&amp;reservation_id=31678404858039&amp;guest_id=31678404858034", "Shane Tibiatowski")</f>
        <v>Shane Tibiatowski</v>
      </c>
      <c r="E4216" t="s">
        <v>6503</v>
      </c>
      <c r="F4216" t="s">
        <v>5550</v>
      </c>
      <c r="G4216">
        <v>94.16</v>
      </c>
      <c r="H4216">
        <v>102.34</v>
      </c>
      <c r="I4216">
        <v>102.35</v>
      </c>
      <c r="J4216">
        <v>-0.01</v>
      </c>
    </row>
    <row r="4217" spans="1:10" x14ac:dyDescent="0.3">
      <c r="A4217" t="str">
        <f>HYPERLINK("https://us2.cloudbeds.com/connect/10074733072513#/reservations/31678812913872?display=MHAA35A02&amp;reservation_id=31678812913872", "MHAA35A02")</f>
        <v>MHAA35A02</v>
      </c>
      <c r="B4217" t="s">
        <v>10</v>
      </c>
      <c r="C4217" t="s">
        <v>20</v>
      </c>
      <c r="D4217" t="str">
        <f>HYPERLINK("https://us2.cloudbeds.com/connect/10074733072513#/reservations/31678812913872?display=Travis%20Austin&amp;reservation_id=31678812913872&amp;guest_id=31678812913869", "Travis Austin")</f>
        <v>Travis Austin</v>
      </c>
      <c r="E4217" t="s">
        <v>6504</v>
      </c>
      <c r="F4217" t="s">
        <v>5840</v>
      </c>
      <c r="G4217">
        <v>170.1</v>
      </c>
      <c r="H4217">
        <v>184.89</v>
      </c>
      <c r="I4217">
        <v>184.9</v>
      </c>
      <c r="J4217">
        <v>-0.01</v>
      </c>
    </row>
    <row r="4218" spans="1:10" x14ac:dyDescent="0.3">
      <c r="A4218" t="str">
        <f>HYPERLINK("https://us2.cloudbeds.com/connect/10074733072513#/reservations/31678396747932?display=MH9WF7SPW&amp;reservation_id=31678396747932", "MH9WF7SPW")</f>
        <v>MH9WF7SPW</v>
      </c>
      <c r="B4218" t="s">
        <v>10</v>
      </c>
      <c r="C4218" t="s">
        <v>11</v>
      </c>
      <c r="D4218" t="str">
        <f>HYPERLINK("https://us2.cloudbeds.com/connect/10074733072513#/reservations/31678396747932?display=Terry%20Bretherick&amp;reservation_id=31678396747932&amp;guest_id=31678396747927", "Terry Bretherick")</f>
        <v>Terry Bretherick</v>
      </c>
      <c r="E4218" t="s">
        <v>6505</v>
      </c>
      <c r="F4218" t="s">
        <v>5550</v>
      </c>
      <c r="G4218">
        <v>94.16</v>
      </c>
      <c r="H4218">
        <v>102.34</v>
      </c>
      <c r="I4218">
        <v>102.35</v>
      </c>
      <c r="J4218">
        <v>-0.01</v>
      </c>
    </row>
    <row r="4219" spans="1:10" x14ac:dyDescent="0.3">
      <c r="A4219" t="str">
        <f>HYPERLINK("https://us2.cloudbeds.com/connect/10074733072513#/reservations/31684059218153?display=MHEC4WEVM&amp;reservation_id=31684059218153", "MHEC4WEVM")</f>
        <v>MHEC4WEVM</v>
      </c>
      <c r="B4219" t="s">
        <v>10</v>
      </c>
      <c r="C4219" t="s">
        <v>11</v>
      </c>
      <c r="D4219" t="str">
        <f>HYPERLINK("https://us2.cloudbeds.com/connect/10074733072513#/reservations/31684059218153?display=Robert%20Schirmer&amp;reservation_id=31684059218153&amp;guest_id=31684059218149", "Robert Schirmer")</f>
        <v>Robert Schirmer</v>
      </c>
      <c r="E4219" t="s">
        <v>6506</v>
      </c>
      <c r="F4219" t="s">
        <v>6507</v>
      </c>
      <c r="G4219">
        <v>134.1</v>
      </c>
      <c r="H4219">
        <v>145.76</v>
      </c>
      <c r="I4219">
        <v>145.77000000000001</v>
      </c>
      <c r="J4219">
        <v>-0.01</v>
      </c>
    </row>
    <row r="4220" spans="1:10" x14ac:dyDescent="0.3">
      <c r="A4220" t="str">
        <f>HYPERLINK("https://us2.cloudbeds.com/connect/10074733072513#/reservations/31678993772698?display=MHAENYVTX&amp;reservation_id=31678993772698", "MHAENYVTX")</f>
        <v>MHAENYVTX</v>
      </c>
      <c r="B4220" t="s">
        <v>10</v>
      </c>
      <c r="C4220" t="s">
        <v>20</v>
      </c>
      <c r="D4220" t="str">
        <f>HYPERLINK("https://us2.cloudbeds.com/connect/10074733072513#/reservations/31678993772698?display=Michael%20Donaldson&amp;reservation_id=31678993772698&amp;guest_id=31678993768606", "Michael Donaldson")</f>
        <v>Michael Donaldson</v>
      </c>
      <c r="E4220" t="s">
        <v>6509</v>
      </c>
      <c r="F4220" t="s">
        <v>6093</v>
      </c>
      <c r="G4220">
        <v>134.1</v>
      </c>
      <c r="H4220">
        <v>145.76</v>
      </c>
      <c r="I4220">
        <v>145.77000000000001</v>
      </c>
      <c r="J4220">
        <v>-0.01</v>
      </c>
    </row>
    <row r="4221" spans="1:10" x14ac:dyDescent="0.3">
      <c r="A4221" t="str">
        <f>HYPERLINK("https://us2.cloudbeds.com/connect/10074733072513#/reservations/31681121616061?display=MHC32UBCF&amp;reservation_id=31681121616061", "MHC32UBCF")</f>
        <v>MHC32UBCF</v>
      </c>
      <c r="B4221" t="s">
        <v>10</v>
      </c>
      <c r="C4221" t="s">
        <v>11</v>
      </c>
      <c r="D4221" t="str">
        <f>HYPERLINK("https://us2.cloudbeds.com/connect/10074733072513#/reservations/31681121616061?display=Melinda%20Robbins&amp;reservation_id=31681121616061&amp;guest_id=31681121616056", "Melinda Robbins")</f>
        <v>Melinda Robbins</v>
      </c>
      <c r="E4221" t="s">
        <v>6510</v>
      </c>
      <c r="F4221" t="s">
        <v>5840</v>
      </c>
      <c r="G4221">
        <v>94.16</v>
      </c>
      <c r="H4221">
        <v>102.34</v>
      </c>
      <c r="I4221">
        <v>102.35</v>
      </c>
      <c r="J4221">
        <v>-0.01</v>
      </c>
    </row>
    <row r="4222" spans="1:10" x14ac:dyDescent="0.3">
      <c r="A4222" t="str">
        <f>HYPERLINK("https://us2.cloudbeds.com/connect/10074733072513#/reservations/31681140895880?display=MHC3J5RHD&amp;reservation_id=31681140895880", "MHC3J5RHD")</f>
        <v>MHC3J5RHD</v>
      </c>
      <c r="B4222" t="s">
        <v>10</v>
      </c>
      <c r="C4222" t="s">
        <v>11</v>
      </c>
      <c r="D4222" t="str">
        <f>HYPERLINK("https://us2.cloudbeds.com/connect/10074733072513#/reservations/31681140895880?display=Christopher%20Rudolph&amp;reservation_id=31681140895880&amp;guest_id=31681140895878", "Christopher Rudolph")</f>
        <v>Christopher Rudolph</v>
      </c>
      <c r="E4222" t="s">
        <v>6511</v>
      </c>
      <c r="F4222" t="s">
        <v>5840</v>
      </c>
      <c r="G4222">
        <v>94.16</v>
      </c>
      <c r="H4222">
        <v>102.34</v>
      </c>
      <c r="I4222">
        <v>102.35</v>
      </c>
      <c r="J4222">
        <v>-0.01</v>
      </c>
    </row>
    <row r="4223" spans="1:10" x14ac:dyDescent="0.3">
      <c r="A4223" t="str">
        <f>HYPERLINK("https://us2.cloudbeds.com/connect/10074733072513#/reservations/31678802219232?display=MHA9R4ND2&amp;reservation_id=31678802219232", "MHA9R4ND2")</f>
        <v>MHA9R4ND2</v>
      </c>
      <c r="B4223" t="s">
        <v>10</v>
      </c>
      <c r="C4223" t="s">
        <v>14</v>
      </c>
      <c r="D4223" t="str">
        <f>HYPERLINK("https://us2.cloudbeds.com/connect/10074733072513#/reservations/31678802219232?display=Stewart%20Waltner&amp;reservation_id=31678802219232&amp;guest_id=31678794875014", "Stewart Waltner")</f>
        <v>Stewart Waltner</v>
      </c>
      <c r="E4223" t="s">
        <v>6514</v>
      </c>
      <c r="F4223" t="s">
        <v>5840</v>
      </c>
      <c r="G4223">
        <v>94.16</v>
      </c>
      <c r="H4223">
        <v>102.34</v>
      </c>
      <c r="I4223">
        <v>102.35</v>
      </c>
      <c r="J4223">
        <v>-0.01</v>
      </c>
    </row>
    <row r="4224" spans="1:10" x14ac:dyDescent="0.3">
      <c r="A4224" t="str">
        <f>HYPERLINK("https://us2.cloudbeds.com/connect/10074733072513#/reservations/31678835359891?display=MHAAM2TJF&amp;reservation_id=31678835359891", "MHAAM2TJF")</f>
        <v>MHAAM2TJF</v>
      </c>
      <c r="B4224" t="s">
        <v>10</v>
      </c>
      <c r="C4224" t="s">
        <v>11</v>
      </c>
      <c r="D4224" t="str">
        <f>HYPERLINK("https://us2.cloudbeds.com/connect/10074733072513#/reservations/31678835359891?display=Nam%20Tran&amp;reservation_id=31678835359891&amp;guest_id=31678835359886", "Nam Tran")</f>
        <v>Nam Tran</v>
      </c>
      <c r="E4224" t="s">
        <v>6515</v>
      </c>
      <c r="F4224" t="s">
        <v>5840</v>
      </c>
      <c r="G4224">
        <v>94.16</v>
      </c>
      <c r="H4224">
        <v>102.34</v>
      </c>
      <c r="I4224">
        <v>102.35</v>
      </c>
      <c r="J4224">
        <v>-0.01</v>
      </c>
    </row>
    <row r="4225" spans="1:10" x14ac:dyDescent="0.3">
      <c r="A4225" t="str">
        <f>HYPERLINK("https://us2.cloudbeds.com/connect/10074733072513#/reservations/31679342973086?display=MHANY3WDG&amp;reservation_id=31679342973086", "MHANY3WDG")</f>
        <v>MHANY3WDG</v>
      </c>
      <c r="B4225" t="s">
        <v>10</v>
      </c>
      <c r="C4225" t="s">
        <v>23</v>
      </c>
      <c r="D4225" t="str">
        <f>HYPERLINK("https://us2.cloudbeds.com/connect/10074733072513#/reservations/31679342973086?display=Bryan%20Batterton&amp;reservation_id=31679342973086&amp;guest_id=31679342968990", "Bryan Batterton")</f>
        <v>Bryan Batterton</v>
      </c>
      <c r="E4225" t="s">
        <v>6517</v>
      </c>
      <c r="F4225" t="s">
        <v>5366</v>
      </c>
      <c r="G4225">
        <v>376.2</v>
      </c>
      <c r="H4225">
        <v>408.92</v>
      </c>
      <c r="I4225">
        <v>408.93</v>
      </c>
      <c r="J4225">
        <v>-0.01</v>
      </c>
    </row>
    <row r="4226" spans="1:10" x14ac:dyDescent="0.3">
      <c r="A4226" t="str">
        <f>HYPERLINK("https://us2.cloudbeds.com/connect/10074733072513#/reservations/31679013449931?display=MHAF78GWB&amp;reservation_id=31679013449931", "MHAF78GWB")</f>
        <v>MHAF78GWB</v>
      </c>
      <c r="B4226" t="s">
        <v>10</v>
      </c>
      <c r="C4226" t="s">
        <v>11</v>
      </c>
      <c r="D4226" t="str">
        <f>HYPERLINK("https://us2.cloudbeds.com/connect/10074733072513#/reservations/31679013449931?display=Jay%20Petersen&amp;reservation_id=31679013449931&amp;guest_id=31679007383779", "Jay Petersen")</f>
        <v>Jay Petersen</v>
      </c>
      <c r="E4226" t="s">
        <v>6520</v>
      </c>
      <c r="F4226" t="s">
        <v>6093</v>
      </c>
      <c r="G4226">
        <v>134.1</v>
      </c>
      <c r="H4226">
        <v>145.76</v>
      </c>
      <c r="I4226">
        <v>145.77000000000001</v>
      </c>
      <c r="J4226">
        <v>-0.01</v>
      </c>
    </row>
    <row r="4227" spans="1:10" x14ac:dyDescent="0.3">
      <c r="A4227" t="str">
        <f>HYPERLINK("https://us2.cloudbeds.com/connect/10074733072513#/reservations/31678418370719?display=MHA00FXDV&amp;reservation_id=31678418370719", "MHA00FXDV")</f>
        <v>MHA00FXDV</v>
      </c>
      <c r="B4227" t="s">
        <v>10</v>
      </c>
      <c r="C4227" t="s">
        <v>121</v>
      </c>
      <c r="D4227" t="str">
        <f>HYPERLINK("https://us2.cloudbeds.com/connect/10074733072513#/reservations/31678418370719?display=Linda%20Brettschneider&amp;reservation_id=31678418370719&amp;guest_id=31678418366627", "Linda Brettschneider")</f>
        <v>Linda Brettschneider</v>
      </c>
      <c r="E4227" t="s">
        <v>6522</v>
      </c>
      <c r="F4227" t="s">
        <v>5840</v>
      </c>
      <c r="G4227">
        <v>170.1</v>
      </c>
      <c r="H4227">
        <v>184.89</v>
      </c>
      <c r="I4227">
        <v>184.9</v>
      </c>
      <c r="J4227">
        <v>-0.01</v>
      </c>
    </row>
    <row r="4228" spans="1:10" x14ac:dyDescent="0.3">
      <c r="A4228" t="str">
        <f>HYPERLINK("https://us2.cloudbeds.com/connect/10074733072513#/reservations/31678557135079?display=MHA3XFT2X&amp;reservation_id=31678557135079", "MHA3XFT2X")</f>
        <v>MHA3XFT2X</v>
      </c>
      <c r="B4228" t="s">
        <v>10</v>
      </c>
      <c r="C4228" t="s">
        <v>17</v>
      </c>
      <c r="D4228" t="str">
        <f>HYPERLINK("https://us2.cloudbeds.com/connect/10074733072513#/reservations/31678557135079?display=Gerrett%20Ledoux&amp;reservation_id=31678557135079&amp;guest_id=31678557135073", "Gerrett Ledoux")</f>
        <v>Gerrett Ledoux</v>
      </c>
      <c r="E4228" t="s">
        <v>6523</v>
      </c>
      <c r="F4228" t="s">
        <v>6093</v>
      </c>
      <c r="G4228">
        <v>134.1</v>
      </c>
      <c r="H4228">
        <v>145.76</v>
      </c>
      <c r="I4228">
        <v>145.77000000000001</v>
      </c>
      <c r="J4228">
        <v>-0.01</v>
      </c>
    </row>
    <row r="4229" spans="1:10" x14ac:dyDescent="0.3">
      <c r="A4229" t="str">
        <f>HYPERLINK("https://us2.cloudbeds.com/connect/10074733072513#/reservations/31684294791325?display=MHEX5KKJY&amp;reservation_id=31684294791325", "MHEX5KKJY")</f>
        <v>MHEX5KKJY</v>
      </c>
      <c r="B4229" t="s">
        <v>10</v>
      </c>
      <c r="C4229" t="s">
        <v>17</v>
      </c>
      <c r="D4229" t="str">
        <f>HYPERLINK("https://us2.cloudbeds.com/connect/10074733072513#/reservations/31684294791325?display=Chelsey%20Benson&amp;reservation_id=31684294791325&amp;guest_id=31684294791320", "Chelsey Benson")</f>
        <v>Chelsey Benson</v>
      </c>
      <c r="E4229" t="s">
        <v>6524</v>
      </c>
      <c r="F4229" t="s">
        <v>5366</v>
      </c>
      <c r="G4229">
        <v>474.3</v>
      </c>
      <c r="H4229">
        <v>515.54999999999995</v>
      </c>
      <c r="I4229">
        <v>515.55999999999995</v>
      </c>
      <c r="J4229">
        <v>-0.01</v>
      </c>
    </row>
    <row r="4230" spans="1:10" x14ac:dyDescent="0.3">
      <c r="A4230" t="str">
        <f>HYPERLINK("https://us2.cloudbeds.com/connect/10074733072513#/reservations/31683542315231?display=MHDVV3SKP&amp;reservation_id=31683542315231", "MHDVV3SKP")</f>
        <v>MHDVV3SKP</v>
      </c>
      <c r="B4230" t="s">
        <v>10</v>
      </c>
      <c r="C4230" t="s">
        <v>17</v>
      </c>
      <c r="D4230" t="str">
        <f>HYPERLINK("https://us2.cloudbeds.com/connect/10074733072513#/reservations/31683542315231?display=Mark%20Reed&amp;reservation_id=31683542315231&amp;guest_id=31683542315227", "Mark Reed")</f>
        <v>Mark Reed</v>
      </c>
      <c r="E4230" t="s">
        <v>6526</v>
      </c>
      <c r="F4230" t="s">
        <v>6353</v>
      </c>
      <c r="G4230">
        <v>170.1</v>
      </c>
      <c r="H4230">
        <v>184.89</v>
      </c>
      <c r="I4230">
        <v>184.9</v>
      </c>
      <c r="J4230">
        <v>-0.01</v>
      </c>
    </row>
    <row r="4231" spans="1:10" x14ac:dyDescent="0.3">
      <c r="A4231" t="str">
        <f>HYPERLINK("https://us2.cloudbeds.com/connect/10074733072513#/reservations/31683235614848?display=MHDNPVKEU&amp;reservation_id=31683235614848", "MHDNPVKEU")</f>
        <v>MHDNPVKEU</v>
      </c>
      <c r="B4231" t="s">
        <v>10</v>
      </c>
      <c r="C4231" t="s">
        <v>42</v>
      </c>
      <c r="D4231" t="str">
        <f>HYPERLINK("https://us2.cloudbeds.com/connect/10074733072513#/reservations/31683235614848?display=Dan%20Oltmanns&amp;reservation_id=31683235614848&amp;guest_id=30647098953866", "Dan Oltmanns")</f>
        <v>Dan Oltmanns</v>
      </c>
      <c r="E4231" t="s">
        <v>136</v>
      </c>
      <c r="F4231" t="s">
        <v>6531</v>
      </c>
      <c r="G4231">
        <v>134.1</v>
      </c>
      <c r="H4231">
        <v>145.76</v>
      </c>
      <c r="I4231">
        <v>145.77000000000001</v>
      </c>
      <c r="J4231">
        <v>-0.01</v>
      </c>
    </row>
    <row r="4232" spans="1:10" x14ac:dyDescent="0.3">
      <c r="A4232" t="str">
        <f>HYPERLINK("https://us2.cloudbeds.com/connect/10074733072513#/reservations/31678725632243?display=MHA7SXXJ6&amp;reservation_id=31678725632243", "MHA7SXXJ6")</f>
        <v>MHA7SXXJ6</v>
      </c>
      <c r="B4232" t="s">
        <v>10</v>
      </c>
      <c r="C4232" t="s">
        <v>23</v>
      </c>
      <c r="D4232" t="str">
        <f>HYPERLINK("https://us2.cloudbeds.com/connect/10074733072513#/reservations/31678725632243?display=Bradley%20Bishop&amp;reservation_id=31678725632243&amp;guest_id=31678725632196", "Bradley Bishop")</f>
        <v>Bradley Bishop</v>
      </c>
      <c r="E4232" t="s">
        <v>6533</v>
      </c>
      <c r="F4232" t="s">
        <v>5584</v>
      </c>
      <c r="G4232">
        <v>134.1</v>
      </c>
      <c r="H4232">
        <v>145.76</v>
      </c>
      <c r="I4232">
        <v>145.77000000000001</v>
      </c>
      <c r="J4232">
        <v>-0.01</v>
      </c>
    </row>
    <row r="4233" spans="1:10" x14ac:dyDescent="0.3">
      <c r="A4233" t="str">
        <f>HYPERLINK("https://us2.cloudbeds.com/connect/10074733072513#/reservations/31689526120636?display=MHXJRR2E9&amp;reservation_id=31689526120636", "MHXJRR2E9")</f>
        <v>MHXJRR2E9</v>
      </c>
      <c r="B4233" t="s">
        <v>10</v>
      </c>
      <c r="C4233" t="s">
        <v>11</v>
      </c>
      <c r="D4233" t="str">
        <f>HYPERLINK("https://us2.cloudbeds.com/connect/10074733072513#/reservations/31689526120636?display=Vlatko%20Jovchevski&amp;reservation_id=31689526120636&amp;guest_id=31689526120633", "Vlatko Jovchevski")</f>
        <v>Vlatko Jovchevski</v>
      </c>
      <c r="E4233" t="s">
        <v>6536</v>
      </c>
      <c r="F4233" t="s">
        <v>3785</v>
      </c>
      <c r="G4233">
        <v>268.2</v>
      </c>
      <c r="H4233">
        <v>291.52</v>
      </c>
      <c r="I4233">
        <v>291.52999999999997</v>
      </c>
      <c r="J4233">
        <v>-0.01</v>
      </c>
    </row>
    <row r="4234" spans="1:10" x14ac:dyDescent="0.3">
      <c r="A4234" t="str">
        <f>HYPERLINK("https://us2.cloudbeds.com/connect/10074733072513#/reservations/31679027249314?display=MHAFXTGJF&amp;reservation_id=31679027249314", "MHAFXTGJF")</f>
        <v>MHAFXTGJF</v>
      </c>
      <c r="B4234" t="s">
        <v>10</v>
      </c>
      <c r="C4234" t="s">
        <v>17</v>
      </c>
      <c r="D4234" t="str">
        <f>HYPERLINK("https://us2.cloudbeds.com/connect/10074733072513#/reservations/31679027249314?display=Susan%20Bell&amp;reservation_id=31679027249314&amp;guest_id=31679027249299", "Susan Bell")</f>
        <v>Susan Bell</v>
      </c>
      <c r="E4234" t="s">
        <v>6538</v>
      </c>
      <c r="F4234" t="s">
        <v>6355</v>
      </c>
      <c r="G4234">
        <v>134.1</v>
      </c>
      <c r="H4234">
        <v>145.76</v>
      </c>
      <c r="I4234">
        <v>145.77000000000001</v>
      </c>
      <c r="J4234">
        <v>-0.01</v>
      </c>
    </row>
    <row r="4235" spans="1:10" x14ac:dyDescent="0.3">
      <c r="A4235" t="str">
        <f>HYPERLINK("https://us2.cloudbeds.com/connect/10074733072513#/reservations/31679051202797?display=MHAG631EJ&amp;reservation_id=31679051202797", "MHAG631EJ")</f>
        <v>MHAG631EJ</v>
      </c>
      <c r="B4235" t="s">
        <v>10</v>
      </c>
      <c r="C4235" t="s">
        <v>20</v>
      </c>
      <c r="D4235" t="str">
        <f>HYPERLINK("https://us2.cloudbeds.com/connect/10074733072513#/reservations/31679051202797?display=Donovan%20Jones&amp;reservation_id=31679051202797&amp;guest_id=31679041745047", "Donovan Jones")</f>
        <v>Donovan Jones</v>
      </c>
      <c r="E4235" t="s">
        <v>6540</v>
      </c>
      <c r="F4235" t="s">
        <v>6355</v>
      </c>
      <c r="G4235">
        <v>134.1</v>
      </c>
      <c r="H4235">
        <v>145.76</v>
      </c>
      <c r="I4235">
        <v>145.77000000000001</v>
      </c>
      <c r="J4235">
        <v>-0.01</v>
      </c>
    </row>
    <row r="4236" spans="1:10" x14ac:dyDescent="0.3">
      <c r="A4236" t="str">
        <f>HYPERLINK("https://us2.cloudbeds.com/connect/10074733072513#/reservations/31683207020725?display=MHDNCCQH6&amp;reservation_id=31683207020725", "MHDNCCQH6")</f>
        <v>MHDNCCQH6</v>
      </c>
      <c r="B4236" t="s">
        <v>10</v>
      </c>
      <c r="C4236" t="s">
        <v>14</v>
      </c>
      <c r="D4236" t="str">
        <f>HYPERLINK("https://us2.cloudbeds.com/connect/10074733072513#/reservations/31683207020725?display=Scott%20Alan%20Smith&amp;reservation_id=31683207020725&amp;guest_id=31683207020713", "Scott Alan Smith")</f>
        <v>Scott Alan Smith</v>
      </c>
      <c r="E4236" t="s">
        <v>6541</v>
      </c>
      <c r="F4236" t="s">
        <v>4772</v>
      </c>
      <c r="G4236">
        <v>375.3</v>
      </c>
      <c r="H4236">
        <v>407.94</v>
      </c>
      <c r="I4236">
        <v>407.95</v>
      </c>
      <c r="J4236">
        <v>-0.01</v>
      </c>
    </row>
    <row r="4237" spans="1:10" x14ac:dyDescent="0.3">
      <c r="A4237" t="str">
        <f>HYPERLINK("https://us2.cloudbeds.com/connect/10074733072513#/reservations/31678715887829?display=MHA7KBDHV&amp;reservation_id=31678715887829", "MHA7KBDHV")</f>
        <v>MHA7KBDHV</v>
      </c>
      <c r="B4237" t="s">
        <v>10</v>
      </c>
      <c r="C4237" t="s">
        <v>42</v>
      </c>
      <c r="D4237" t="str">
        <f>HYPERLINK("https://us2.cloudbeds.com/connect/10074733072513#/reservations/31678715887829?display=Ronald%20Pick&amp;reservation_id=31678715887829&amp;guest_id=31678715887809", "Ronald Pick")</f>
        <v>Ronald Pick</v>
      </c>
      <c r="E4237" t="s">
        <v>6542</v>
      </c>
      <c r="F4237" t="s">
        <v>6093</v>
      </c>
      <c r="G4237">
        <v>134.1</v>
      </c>
      <c r="H4237">
        <v>145.76</v>
      </c>
      <c r="I4237">
        <v>145.77000000000001</v>
      </c>
      <c r="J4237">
        <v>-0.01</v>
      </c>
    </row>
    <row r="4238" spans="1:10" x14ac:dyDescent="0.3">
      <c r="A4238" t="str">
        <f>HYPERLINK("https://us2.cloudbeds.com/connect/10074733072513#/reservations/31679393017992?display=MHAZUAXAQ&amp;reservation_id=31679393017992", "MHAZUAXAQ")</f>
        <v>MHAZUAXAQ</v>
      </c>
      <c r="B4238" t="s">
        <v>10</v>
      </c>
      <c r="C4238" t="s">
        <v>14</v>
      </c>
      <c r="D4238" t="str">
        <f>HYPERLINK("https://us2.cloudbeds.com/connect/10074733072513#/reservations/31679393017992?display=Teri%20Meyer&amp;reservation_id=31679393017992&amp;guest_id=31679393017986", "Teri Meyer")</f>
        <v>Teri Meyer</v>
      </c>
      <c r="E4238" t="s">
        <v>6543</v>
      </c>
      <c r="F4238" t="s">
        <v>6355</v>
      </c>
      <c r="G4238">
        <v>94.16</v>
      </c>
      <c r="H4238">
        <v>102.34</v>
      </c>
      <c r="I4238">
        <v>102.35</v>
      </c>
      <c r="J4238">
        <v>-0.01</v>
      </c>
    </row>
    <row r="4239" spans="1:10" x14ac:dyDescent="0.3">
      <c r="A4239" t="str">
        <f>HYPERLINK("https://us2.cloudbeds.com/connect/10074733072513#/reservations/31682428940513?display=MHD3G9XVV&amp;reservation_id=31682428940513", "MHD3G9XVV")</f>
        <v>MHD3G9XVV</v>
      </c>
      <c r="B4239" t="s">
        <v>10</v>
      </c>
      <c r="C4239" t="s">
        <v>11</v>
      </c>
      <c r="D4239" t="str">
        <f>HYPERLINK("https://us2.cloudbeds.com/connect/10074733072513#/reservations/31682428940513?display=Roberta%20Slobodian&amp;reservation_id=31682428940513&amp;guest_id=31682428940497", "Roberta Slobodian")</f>
        <v>Roberta Slobodian</v>
      </c>
      <c r="E4239" t="s">
        <v>6544</v>
      </c>
      <c r="F4239" t="s">
        <v>6368</v>
      </c>
      <c r="G4239">
        <v>94.16</v>
      </c>
      <c r="H4239">
        <v>102.34</v>
      </c>
      <c r="I4239">
        <v>102.35</v>
      </c>
      <c r="J4239">
        <v>-0.01</v>
      </c>
    </row>
    <row r="4240" spans="1:10" x14ac:dyDescent="0.3">
      <c r="A4240" t="str">
        <f>HYPERLINK("https://us2.cloudbeds.com/connect/10074733072513#/reservations/31678803755171?display=MHA9SEEQM&amp;reservation_id=31678803755171", "MHA9SEEQM")</f>
        <v>MHA9SEEQM</v>
      </c>
      <c r="B4240" t="s">
        <v>10</v>
      </c>
      <c r="C4240" t="s">
        <v>17</v>
      </c>
      <c r="D4240" t="str">
        <f>HYPERLINK("https://us2.cloudbeds.com/connect/10074733072513#/reservations/31678803755171?display=Randy%20Nemec&amp;reservation_id=31678803755171&amp;guest_id=31678803755159", "Randy Nemec")</f>
        <v>Randy Nemec</v>
      </c>
      <c r="E4240" t="s">
        <v>6546</v>
      </c>
      <c r="F4240" t="s">
        <v>4633</v>
      </c>
      <c r="G4240">
        <v>224.1</v>
      </c>
      <c r="H4240">
        <v>243.59</v>
      </c>
      <c r="I4240">
        <v>243.6</v>
      </c>
      <c r="J4240">
        <v>-0.01</v>
      </c>
    </row>
    <row r="4241" spans="1:10" x14ac:dyDescent="0.3">
      <c r="A4241" t="str">
        <f>HYPERLINK("https://us2.cloudbeds.com/connect/10074733072513#/reservations/31679341830356?display=MHANK562A&amp;reservation_id=31679341830356", "MHANK562A")</f>
        <v>MHANK562A</v>
      </c>
      <c r="B4241" t="s">
        <v>10</v>
      </c>
      <c r="C4241" t="s">
        <v>14</v>
      </c>
      <c r="D4241" t="str">
        <f>HYPERLINK("https://us2.cloudbeds.com/connect/10074733072513#/reservations/31679341830356?display=Brandi%20Aageson-Moden&amp;reservation_id=31679341830356&amp;guest_id=31679341830354", "Brandi Aageson-Moden")</f>
        <v>Brandi Aageson-Moden</v>
      </c>
      <c r="E4241" t="s">
        <v>6548</v>
      </c>
      <c r="F4241" t="s">
        <v>6355</v>
      </c>
      <c r="G4241">
        <v>94.16</v>
      </c>
      <c r="H4241">
        <v>102.34</v>
      </c>
      <c r="I4241">
        <v>102.35</v>
      </c>
      <c r="J4241">
        <v>-0.01</v>
      </c>
    </row>
    <row r="4242" spans="1:10" x14ac:dyDescent="0.3">
      <c r="A4242" t="str">
        <f>HYPERLINK("https://us2.cloudbeds.com/connect/10074733072513#/reservations/31684591648976?display=MHEPZV451&amp;reservation_id=31684591648976", "MHEPZV451")</f>
        <v>MHEPZV451</v>
      </c>
      <c r="B4242" t="s">
        <v>10</v>
      </c>
      <c r="C4242" t="s">
        <v>20</v>
      </c>
      <c r="D4242" t="str">
        <f>HYPERLINK("https://us2.cloudbeds.com/connect/10074733072513#/reservations/31684591648976?display=Brittany%20Cameron&amp;reservation_id=31684591648976&amp;guest_id=31684591648971", "Brittany Cameron")</f>
        <v>Brittany Cameron</v>
      </c>
      <c r="E4242" t="s">
        <v>6549</v>
      </c>
      <c r="F4242" t="s">
        <v>6550</v>
      </c>
      <c r="G4242">
        <v>134.1</v>
      </c>
      <c r="H4242">
        <v>145.76</v>
      </c>
      <c r="I4242">
        <v>145.77000000000001</v>
      </c>
      <c r="J4242">
        <v>-0.01</v>
      </c>
    </row>
    <row r="4243" spans="1:10" x14ac:dyDescent="0.3">
      <c r="A4243" t="str">
        <f>HYPERLINK("https://us2.cloudbeds.com/connect/10074733072513#/reservations/31679013454029?display=MHAF78KZH&amp;reservation_id=31679013454029", "MHAF78KZH")</f>
        <v>MHAF78KZH</v>
      </c>
      <c r="B4243" t="s">
        <v>10</v>
      </c>
      <c r="C4243" t="s">
        <v>11</v>
      </c>
      <c r="D4243" t="str">
        <f>HYPERLINK("https://us2.cloudbeds.com/connect/10074733072513#/reservations/31679013454029?display=Josey%20Durham&amp;reservation_id=31679013454029&amp;guest_id=31679013454026", "Josey Durham")</f>
        <v>Josey Durham</v>
      </c>
      <c r="E4243" t="s">
        <v>6551</v>
      </c>
      <c r="F4243" t="s">
        <v>6093</v>
      </c>
      <c r="G4243">
        <v>94.16</v>
      </c>
      <c r="H4243">
        <v>102.34</v>
      </c>
      <c r="I4243">
        <v>102.35</v>
      </c>
      <c r="J4243">
        <v>-0.01</v>
      </c>
    </row>
    <row r="4244" spans="1:10" x14ac:dyDescent="0.3">
      <c r="A4244" t="str">
        <f>HYPERLINK("https://us2.cloudbeds.com/connect/10074733072513#/reservations/31680728531075?display=MHBQ1F5Q7&amp;reservation_id=31680728531075", "MHBQ1F5Q7")</f>
        <v>MHBQ1F5Q7</v>
      </c>
      <c r="B4244" t="s">
        <v>10</v>
      </c>
      <c r="C4244" t="s">
        <v>42</v>
      </c>
      <c r="D4244" t="str">
        <f>HYPERLINK("https://us2.cloudbeds.com/connect/10074733072513#/reservations/31680728531075?display=Eileen%20Baas&amp;reservation_id=31680728531075&amp;guest_id=31680728526980", "Eileen Baas")</f>
        <v>Eileen Baas</v>
      </c>
      <c r="E4244" t="s">
        <v>6552</v>
      </c>
      <c r="F4244" t="s">
        <v>6435</v>
      </c>
      <c r="G4244">
        <v>278.8</v>
      </c>
      <c r="H4244">
        <v>303.05</v>
      </c>
      <c r="I4244">
        <v>303.06</v>
      </c>
      <c r="J4244">
        <v>-0.01</v>
      </c>
    </row>
    <row r="4245" spans="1:10" x14ac:dyDescent="0.3">
      <c r="A4245" t="str">
        <f>HYPERLINK("https://us2.cloudbeds.com/connect/10074733072513#/reservations/31683377529022?display=MHDRZ5EQ9&amp;reservation_id=31683377529022", "MHDRZ5EQ9")</f>
        <v>MHDRZ5EQ9</v>
      </c>
      <c r="B4245" t="s">
        <v>10</v>
      </c>
      <c r="C4245" t="s">
        <v>20</v>
      </c>
      <c r="D4245" t="str">
        <f>HYPERLINK("https://us2.cloudbeds.com/connect/10074733072513#/reservations/31683377529022?display=Cori%20Hall&amp;reservation_id=31683377529022&amp;guest_id=31683377528972", "Cori Hall")</f>
        <v>Cori Hall</v>
      </c>
      <c r="E4245" t="s">
        <v>6554</v>
      </c>
      <c r="F4245" t="s">
        <v>5140</v>
      </c>
      <c r="G4245">
        <v>224.1</v>
      </c>
      <c r="H4245">
        <v>243.59</v>
      </c>
      <c r="I4245">
        <v>243.6</v>
      </c>
      <c r="J4245">
        <v>-0.01</v>
      </c>
    </row>
    <row r="4246" spans="1:10" x14ac:dyDescent="0.3">
      <c r="A4246" t="str">
        <f>HYPERLINK("https://us2.cloudbeds.com/connect/10074733072513#/reservations/31679385522418?display=MHAZNWWB6&amp;reservation_id=31679385522418", "MHAZNWWB6")</f>
        <v>MHAZNWWB6</v>
      </c>
      <c r="B4246" t="s">
        <v>10</v>
      </c>
      <c r="C4246" t="s">
        <v>42</v>
      </c>
      <c r="D4246" t="str">
        <f>HYPERLINK("https://us2.cloudbeds.com/connect/10074733072513#/reservations/31679385522418?display=Richard%20Powell&amp;reservation_id=31679385522418&amp;guest_id=31679385522415", "Richard Powell")</f>
        <v>Richard Powell</v>
      </c>
      <c r="E4246" t="s">
        <v>6555</v>
      </c>
      <c r="F4246" t="s">
        <v>6355</v>
      </c>
      <c r="G4246">
        <v>143.65</v>
      </c>
      <c r="H4246">
        <v>156.13999999999999</v>
      </c>
      <c r="I4246">
        <v>156.15</v>
      </c>
      <c r="J4246">
        <v>-0.01</v>
      </c>
    </row>
    <row r="4247" spans="1:10" x14ac:dyDescent="0.3">
      <c r="A4247" t="str">
        <f>HYPERLINK("https://us2.cloudbeds.com/connect/10074733072513#/reservations/31681955246282?display=MHCZCSB1A&amp;reservation_id=31681955246282", "MHCZCSB1A")</f>
        <v>MHCZCSB1A</v>
      </c>
      <c r="B4247" t="s">
        <v>10</v>
      </c>
      <c r="C4247" t="s">
        <v>23</v>
      </c>
      <c r="D4247" t="str">
        <f>HYPERLINK("https://us2.cloudbeds.com/connect/10074733072513#/reservations/31681955246282?display=Lynn%20Billett&amp;reservation_id=31681955246282&amp;guest_id=31681951375585", "Lynn Billett")</f>
        <v>Lynn Billett</v>
      </c>
      <c r="E4247" t="s">
        <v>6562</v>
      </c>
      <c r="F4247" t="s">
        <v>5584</v>
      </c>
      <c r="G4247">
        <v>268.2</v>
      </c>
      <c r="H4247">
        <v>291.52</v>
      </c>
      <c r="I4247">
        <v>291.52999999999997</v>
      </c>
      <c r="J4247">
        <v>-0.01</v>
      </c>
    </row>
    <row r="4248" spans="1:10" x14ac:dyDescent="0.3">
      <c r="A4248" t="str">
        <f>HYPERLINK("https://us2.cloudbeds.com/connect/10074733072513#/reservations/31681943978137?display=MHCZ3BPQC&amp;reservation_id=31681943978137", "MHCZ3BPQC")</f>
        <v>MHCZ3BPQC</v>
      </c>
      <c r="B4248" t="s">
        <v>10</v>
      </c>
      <c r="C4248" t="s">
        <v>42</v>
      </c>
      <c r="D4248" t="str">
        <f>HYPERLINK("https://us2.cloudbeds.com/connect/10074733072513#/reservations/31681943978137?display=Marlyne%20Maple&amp;reservation_id=31681943978137&amp;guest_id=31681943978124", "Marlyne Maple")</f>
        <v>Marlyne Maple</v>
      </c>
      <c r="E4248" t="s">
        <v>6573</v>
      </c>
      <c r="F4248" t="s">
        <v>5584</v>
      </c>
      <c r="G4248">
        <v>134.1</v>
      </c>
      <c r="H4248">
        <v>145.76</v>
      </c>
      <c r="I4248">
        <v>145.77000000000001</v>
      </c>
      <c r="J4248">
        <v>-0.01</v>
      </c>
    </row>
    <row r="4249" spans="1:10" x14ac:dyDescent="0.3">
      <c r="A4249" t="str">
        <f>HYPERLINK("https://us2.cloudbeds.com/connect/10074733072513#/reservations/31681000239308?display=MHBWWXSA1&amp;reservation_id=31681000239308", "MHBWWXSA1")</f>
        <v>MHBWWXSA1</v>
      </c>
      <c r="B4249" t="s">
        <v>10</v>
      </c>
      <c r="C4249" t="s">
        <v>17</v>
      </c>
      <c r="D4249" t="str">
        <f>HYPERLINK("https://us2.cloudbeds.com/connect/10074733072513#/reservations/31681000239308?display=Joel%20Dejongh&amp;reservation_id=31681000239308&amp;guest_id=31681000239304", "Joel Dejongh")</f>
        <v>Joel Dejongh</v>
      </c>
      <c r="E4249" t="s">
        <v>6579</v>
      </c>
      <c r="F4249" t="s">
        <v>5688</v>
      </c>
      <c r="G4249">
        <v>376.2</v>
      </c>
      <c r="H4249">
        <v>408.92</v>
      </c>
      <c r="I4249">
        <v>408.93</v>
      </c>
      <c r="J4249">
        <v>-0.01</v>
      </c>
    </row>
    <row r="4250" spans="1:10" x14ac:dyDescent="0.3">
      <c r="A4250" t="str">
        <f>HYPERLINK("https://us2.cloudbeds.com/connect/10074733072513#/reservations/31682440900822?display=MHD3QCCQX&amp;reservation_id=31682440900822", "MHD3QCCQX")</f>
        <v>MHD3QCCQX</v>
      </c>
      <c r="B4250" t="s">
        <v>10</v>
      </c>
      <c r="C4250" t="s">
        <v>42</v>
      </c>
      <c r="D4250" t="str">
        <f>HYPERLINK("https://us2.cloudbeds.com/connect/10074733072513#/reservations/31682440900822?display=Danielle%20Gricus&amp;reservation_id=31682440900822&amp;guest_id=31682435891387", "Danielle Gricus")</f>
        <v>Danielle Gricus</v>
      </c>
      <c r="E4250" t="s">
        <v>6581</v>
      </c>
      <c r="F4250" t="s">
        <v>6368</v>
      </c>
      <c r="G4250">
        <v>134.1</v>
      </c>
      <c r="H4250">
        <v>145.76</v>
      </c>
      <c r="I4250">
        <v>145.77000000000001</v>
      </c>
      <c r="J4250">
        <v>-0.01</v>
      </c>
    </row>
    <row r="4251" spans="1:10" x14ac:dyDescent="0.3">
      <c r="A4251" t="str">
        <f>HYPERLINK("https://us2.cloudbeds.com/connect/10074733072513#/reservations/31678768607390?display=MHA8VQDHD&amp;reservation_id=31678768607390", "MHA8VQDHD")</f>
        <v>MHA8VQDHD</v>
      </c>
      <c r="B4251" t="s">
        <v>10</v>
      </c>
      <c r="C4251" t="s">
        <v>14</v>
      </c>
      <c r="D4251" t="str">
        <f>HYPERLINK("https://us2.cloudbeds.com/connect/10074733072513#/reservations/31678768607390?display=Richard%20Johnson&amp;reservation_id=31678768607390&amp;guest_id=31678768607386", "Richard Johnson")</f>
        <v>Richard Johnson</v>
      </c>
      <c r="E4251" t="s">
        <v>6584</v>
      </c>
      <c r="F4251" t="s">
        <v>5584</v>
      </c>
      <c r="G4251">
        <v>94.16</v>
      </c>
      <c r="H4251">
        <v>102.34</v>
      </c>
      <c r="I4251">
        <v>102.35</v>
      </c>
      <c r="J4251">
        <v>-0.01</v>
      </c>
    </row>
    <row r="4252" spans="1:10" x14ac:dyDescent="0.3">
      <c r="A4252" t="str">
        <f>HYPERLINK("https://us2.cloudbeds.com/connect/10074733072513#/reservations/31678869135613?display=MHABHXZV6&amp;reservation_id=31678869135613", "MHABHXZV6")</f>
        <v>MHABHXZV6</v>
      </c>
      <c r="B4252" t="s">
        <v>10</v>
      </c>
      <c r="C4252" t="s">
        <v>17</v>
      </c>
      <c r="D4252" t="str">
        <f>HYPERLINK("https://us2.cloudbeds.com/connect/10074733072513#/reservations/31678869135613?display=Rebecca%20Barnack&amp;reservation_id=31678869135613&amp;guest_id=31678869135608", "Rebecca Barnack")</f>
        <v>Rebecca Barnack</v>
      </c>
      <c r="E4252" t="s">
        <v>6585</v>
      </c>
      <c r="F4252" t="s">
        <v>3531</v>
      </c>
      <c r="G4252">
        <v>134.1</v>
      </c>
      <c r="H4252">
        <v>145.76</v>
      </c>
      <c r="I4252">
        <v>145.77000000000001</v>
      </c>
      <c r="J4252">
        <v>-0.01</v>
      </c>
    </row>
    <row r="4253" spans="1:10" x14ac:dyDescent="0.3">
      <c r="A4253" t="str">
        <f>HYPERLINK("https://us2.cloudbeds.com/connect/10074733072513#/reservations/31682249699533?display=MHCVU4UN3&amp;reservation_id=31682249699533", "MHCVU4UN3")</f>
        <v>MHCVU4UN3</v>
      </c>
      <c r="B4253" t="s">
        <v>10</v>
      </c>
      <c r="C4253" t="s">
        <v>121</v>
      </c>
      <c r="D4253" t="str">
        <f>HYPERLINK("https://us2.cloudbeds.com/connect/10074733072513#/reservations/31682249699533?display=James%20Tobias%20Sunderland&amp;reservation_id=31682249699533&amp;guest_id=31682249699528", "James Tobias Sunderland")</f>
        <v>James Tobias Sunderland</v>
      </c>
      <c r="E4253" t="s">
        <v>6586</v>
      </c>
      <c r="F4253" t="s">
        <v>3531</v>
      </c>
      <c r="G4253">
        <v>134.1</v>
      </c>
      <c r="H4253">
        <v>145.76</v>
      </c>
      <c r="I4253">
        <v>145.77000000000001</v>
      </c>
      <c r="J4253">
        <v>-0.01</v>
      </c>
    </row>
    <row r="4254" spans="1:10" x14ac:dyDescent="0.3">
      <c r="A4254" t="str">
        <f>HYPERLINK("https://us2.cloudbeds.com/connect/10074733072513#/reservations/31681913684193?display=MHCNAQQM2&amp;reservation_id=31681913684193", "MHCNAQQM2")</f>
        <v>MHCNAQQM2</v>
      </c>
      <c r="B4254" t="s">
        <v>10</v>
      </c>
      <c r="C4254" t="s">
        <v>23</v>
      </c>
      <c r="D4254" t="str">
        <f>HYPERLINK("https://us2.cloudbeds.com/connect/10074733072513#/reservations/31681913684193?display=Renee%20Johnson&amp;reservation_id=31681913684193&amp;guest_id=31681913680108", "Renee Johnson")</f>
        <v>Renee Johnson</v>
      </c>
      <c r="E4254" t="s">
        <v>6588</v>
      </c>
      <c r="F4254" t="s">
        <v>5584</v>
      </c>
      <c r="G4254">
        <v>134.1</v>
      </c>
      <c r="H4254">
        <v>145.76</v>
      </c>
      <c r="I4254">
        <v>145.77000000000001</v>
      </c>
      <c r="J4254">
        <v>-0.01</v>
      </c>
    </row>
    <row r="4255" spans="1:10" x14ac:dyDescent="0.3">
      <c r="A4255" t="str">
        <f>HYPERLINK("https://us2.cloudbeds.com/connect/10074733072513#/reservations/31680807833817?display=MHBS2ATDK&amp;reservation_id=31680807833817", "MHBS2ATDK")</f>
        <v>MHBS2ATDK</v>
      </c>
      <c r="B4255" t="s">
        <v>10</v>
      </c>
      <c r="C4255" t="s">
        <v>20</v>
      </c>
      <c r="D4255" t="str">
        <f>HYPERLINK("https://us2.cloudbeds.com/connect/10074733072513#/reservations/31680807833817?display=Austin%20Pierce&amp;reservation_id=31680807833817&amp;guest_id=31680795762879", "Austin Pierce")</f>
        <v>Austin Pierce</v>
      </c>
      <c r="E4255" t="s">
        <v>6590</v>
      </c>
      <c r="F4255" t="s">
        <v>5366</v>
      </c>
      <c r="G4255">
        <v>349.2</v>
      </c>
      <c r="H4255">
        <v>379.57</v>
      </c>
      <c r="I4255">
        <v>379.58</v>
      </c>
      <c r="J4255">
        <v>-0.01</v>
      </c>
    </row>
    <row r="4256" spans="1:10" x14ac:dyDescent="0.3">
      <c r="A4256" t="str">
        <f>HYPERLINK("https://us2.cloudbeds.com/connect/10074733072513#/reservations/31682345517201?display=MHD1BV6HQ&amp;reservation_id=31682345517201", "MHD1BV6HQ")</f>
        <v>MHD1BV6HQ</v>
      </c>
      <c r="B4256" t="s">
        <v>10</v>
      </c>
      <c r="C4256" t="s">
        <v>11</v>
      </c>
      <c r="D4256" t="str">
        <f>HYPERLINK("https://us2.cloudbeds.com/connect/10074733072513#/reservations/31682345517201?display=Chad%20Aldrich&amp;reservation_id=31682345517201&amp;guest_id=31682345517198", "Chad Aldrich")</f>
        <v>Chad Aldrich</v>
      </c>
      <c r="E4256" t="s">
        <v>6591</v>
      </c>
      <c r="F4256" t="s">
        <v>3531</v>
      </c>
      <c r="G4256">
        <v>94.16</v>
      </c>
      <c r="H4256">
        <v>102.34</v>
      </c>
      <c r="I4256">
        <v>102.35</v>
      </c>
      <c r="J4256">
        <v>-0.01</v>
      </c>
    </row>
    <row r="4257" spans="1:10" x14ac:dyDescent="0.3">
      <c r="A4257" t="str">
        <f>HYPERLINK("https://us2.cloudbeds.com/connect/10074733072513#/reservations/31680829018305?display=MHBSARKAX&amp;reservation_id=31680829018305", "MHBSARKAX")</f>
        <v>MHBSARKAX</v>
      </c>
      <c r="B4257" t="s">
        <v>10</v>
      </c>
      <c r="C4257" t="s">
        <v>17</v>
      </c>
      <c r="D4257" t="str">
        <f>HYPERLINK("https://us2.cloudbeds.com/connect/10074733072513#/reservations/31680829018305?display=Keith%20Thorp&amp;reservation_id=31680829018305&amp;guest_id=31680817918135", "Keith Thorp")</f>
        <v>Keith Thorp</v>
      </c>
      <c r="E4257" t="s">
        <v>6594</v>
      </c>
      <c r="F4257" t="s">
        <v>6430</v>
      </c>
      <c r="G4257">
        <v>134.1</v>
      </c>
      <c r="H4257">
        <v>145.76</v>
      </c>
      <c r="I4257">
        <v>145.77000000000001</v>
      </c>
      <c r="J4257">
        <v>-0.01</v>
      </c>
    </row>
    <row r="4258" spans="1:10" x14ac:dyDescent="0.3">
      <c r="A4258" t="str">
        <f>HYPERLINK("https://us2.cloudbeds.com/connect/10074733072513#/reservations/31679218213000?display=MHAKEUBGR&amp;reservation_id=31679218213000", "MHAKEUBGR")</f>
        <v>MHAKEUBGR</v>
      </c>
      <c r="B4258" t="s">
        <v>10</v>
      </c>
      <c r="C4258" t="s">
        <v>11</v>
      </c>
      <c r="D4258" t="str">
        <f>HYPERLINK("https://us2.cloudbeds.com/connect/10074733072513#/reservations/31679218213000?display=Chen%20Liang&amp;reservation_id=31679218213000&amp;guest_id=31679218208909", "Chen Liang")</f>
        <v>Chen Liang</v>
      </c>
      <c r="E4258" t="s">
        <v>6595</v>
      </c>
      <c r="F4258" t="s">
        <v>6449</v>
      </c>
      <c r="G4258">
        <v>94.16</v>
      </c>
      <c r="H4258">
        <v>102.34</v>
      </c>
      <c r="I4258">
        <v>102.35</v>
      </c>
      <c r="J4258">
        <v>-0.01</v>
      </c>
    </row>
    <row r="4259" spans="1:10" x14ac:dyDescent="0.3">
      <c r="A4259" t="str">
        <f>HYPERLINK("https://us2.cloudbeds.com/connect/10074733072513#/reservations/31678733918364?display=MHA82X4GQ&amp;reservation_id=31678733918364", "MHA82X4GQ")</f>
        <v>MHA82X4GQ</v>
      </c>
      <c r="B4259" t="s">
        <v>10</v>
      </c>
      <c r="C4259" t="s">
        <v>11</v>
      </c>
      <c r="D4259" t="str">
        <f>HYPERLINK("https://us2.cloudbeds.com/connect/10074733072513#/reservations/31678733918364?display=Mark%20Schweers&amp;reservation_id=31678733918364&amp;guest_id=31678733918359", "Mark Schweers")</f>
        <v>Mark Schweers</v>
      </c>
      <c r="E4259" t="s">
        <v>6596</v>
      </c>
      <c r="F4259" t="s">
        <v>5584</v>
      </c>
      <c r="G4259">
        <v>94.16</v>
      </c>
      <c r="H4259">
        <v>102.34</v>
      </c>
      <c r="I4259">
        <v>102.35</v>
      </c>
      <c r="J4259">
        <v>-0.01</v>
      </c>
    </row>
    <row r="4260" spans="1:10" x14ac:dyDescent="0.3">
      <c r="A4260" t="str">
        <f>HYPERLINK("https://us2.cloudbeds.com/connect/10074733072513#/reservations/31678718378211?display=MHA7MEND2&amp;reservation_id=31678718378211", "MHA7MEND2")</f>
        <v>MHA7MEND2</v>
      </c>
      <c r="B4260" t="s">
        <v>10</v>
      </c>
      <c r="C4260" t="s">
        <v>121</v>
      </c>
      <c r="D4260" t="str">
        <f>HYPERLINK("https://us2.cloudbeds.com/connect/10074733072513#/reservations/31678718378211?display=Jeffrey%20Hoeft&amp;reservation_id=31678718378211&amp;guest_id=31678711402626", "Jeffrey Hoeft")</f>
        <v>Jeffrey Hoeft</v>
      </c>
      <c r="E4260" t="s">
        <v>6597</v>
      </c>
      <c r="F4260" t="s">
        <v>5584</v>
      </c>
      <c r="G4260">
        <v>268.2</v>
      </c>
      <c r="H4260">
        <v>291.52</v>
      </c>
      <c r="I4260">
        <v>291.52999999999997</v>
      </c>
      <c r="J4260">
        <v>-0.01</v>
      </c>
    </row>
    <row r="4261" spans="1:10" x14ac:dyDescent="0.3">
      <c r="A4261" t="str">
        <f>HYPERLINK("https://us2.cloudbeds.com/connect/10074733072513#/reservations/31678826627292?display=MHAAENTM7&amp;reservation_id=31678826627292", "MHAAENTM7")</f>
        <v>MHAAENTM7</v>
      </c>
      <c r="B4261" t="s">
        <v>10</v>
      </c>
      <c r="C4261" t="s">
        <v>121</v>
      </c>
      <c r="D4261" t="str">
        <f>HYPERLINK("https://us2.cloudbeds.com/connect/10074733072513#/reservations/31678826627292?display=Barry%20Kusnerik&amp;reservation_id=31678826627292&amp;guest_id=31678826623211", "Barry Kusnerik")</f>
        <v>Barry Kusnerik</v>
      </c>
      <c r="E4261" t="s">
        <v>6598</v>
      </c>
      <c r="F4261" t="s">
        <v>5584</v>
      </c>
      <c r="G4261">
        <v>134.1</v>
      </c>
      <c r="H4261">
        <v>145.76</v>
      </c>
      <c r="I4261">
        <v>145.77000000000001</v>
      </c>
      <c r="J4261">
        <v>-0.01</v>
      </c>
    </row>
    <row r="4262" spans="1:10" x14ac:dyDescent="0.3">
      <c r="A4262" t="str">
        <f>HYPERLINK("https://us2.cloudbeds.com/connect/10074733072513#/reservations/31678850457728?display=MHAB1QTRG&amp;reservation_id=31678850457728", "MHAB1QTRG")</f>
        <v>MHAB1QTRG</v>
      </c>
      <c r="B4262" t="s">
        <v>10</v>
      </c>
      <c r="C4262" t="s">
        <v>11</v>
      </c>
      <c r="D4262" t="str">
        <f>HYPERLINK("https://us2.cloudbeds.com/connect/10074733072513#/reservations/31678850457728?display=Jeffery%20Vanway&amp;reservation_id=31678850457728&amp;guest_id=31678850453643", "Jeffery Vanway")</f>
        <v>Jeffery Vanway</v>
      </c>
      <c r="E4262" t="s">
        <v>6599</v>
      </c>
      <c r="F4262" t="s">
        <v>3531</v>
      </c>
      <c r="G4262">
        <v>94.16</v>
      </c>
      <c r="H4262">
        <v>102.34</v>
      </c>
      <c r="I4262">
        <v>102.35</v>
      </c>
      <c r="J4262">
        <v>-0.01</v>
      </c>
    </row>
    <row r="4263" spans="1:10" x14ac:dyDescent="0.3">
      <c r="A4263" t="str">
        <f>HYPERLINK("https://us2.cloudbeds.com/connect/10074733072513#/reservations/31680803750074?display=MHBRVT8DR&amp;reservation_id=31680803750074", "MHBRVT8DR")</f>
        <v>MHBRVT8DR</v>
      </c>
      <c r="B4263" t="s">
        <v>10</v>
      </c>
      <c r="C4263" t="s">
        <v>42</v>
      </c>
      <c r="D4263" t="str">
        <f>HYPERLINK("https://us2.cloudbeds.com/connect/10074733072513#/reservations/31680803750074?display=Janet%20Ringstmeyer&amp;reservation_id=31680803750074&amp;guest_id=30678113292427", "Janet Ringstmeyer")</f>
        <v>Janet Ringstmeyer</v>
      </c>
      <c r="E4263" t="s">
        <v>3078</v>
      </c>
      <c r="F4263" t="s">
        <v>6601</v>
      </c>
      <c r="G4263">
        <v>288.2</v>
      </c>
      <c r="H4263">
        <v>313.26</v>
      </c>
      <c r="I4263">
        <v>313.27</v>
      </c>
      <c r="J4263">
        <v>-0.01</v>
      </c>
    </row>
    <row r="4264" spans="1:10" x14ac:dyDescent="0.3">
      <c r="A4264" t="str">
        <f>HYPERLINK("https://us2.cloudbeds.com/connect/10074733072513#/reservations/31682869211272?display=MHDEZHP03&amp;reservation_id=31682869211272", "MHDEZHP03")</f>
        <v>MHDEZHP03</v>
      </c>
      <c r="B4264" t="s">
        <v>10</v>
      </c>
      <c r="C4264" t="s">
        <v>23</v>
      </c>
      <c r="D4264" t="str">
        <f>HYPERLINK("https://us2.cloudbeds.com/connect/10074733072513#/reservations/31682869211272?display=Mike%20Mathison&amp;reservation_id=31682869211272&amp;guest_id=31682869211266", "Mike Mathison")</f>
        <v>Mike Mathison</v>
      </c>
      <c r="E4264" t="s">
        <v>6615</v>
      </c>
      <c r="F4264" t="s">
        <v>6473</v>
      </c>
      <c r="G4264">
        <v>134.1</v>
      </c>
      <c r="H4264">
        <v>145.76</v>
      </c>
      <c r="I4264">
        <v>145.77000000000001</v>
      </c>
      <c r="J4264">
        <v>-0.01</v>
      </c>
    </row>
    <row r="4265" spans="1:10" x14ac:dyDescent="0.3">
      <c r="A4265" t="str">
        <f>HYPERLINK("https://us2.cloudbeds.com/connect/10074733072513#/reservations/31683235614911?display=MHDZ3GFQM&amp;reservation_id=31683235614911", "MHDZ3GFQM")</f>
        <v>MHDZ3GFQM</v>
      </c>
      <c r="B4265" t="s">
        <v>10</v>
      </c>
      <c r="C4265" t="s">
        <v>23</v>
      </c>
      <c r="D4265" t="str">
        <f>HYPERLINK("https://us2.cloudbeds.com/connect/10074733072513#/reservations/31683235614911?display=Jacob%20Davenport&amp;reservation_id=31683235614911&amp;guest_id=31683235614908", "Jacob Davenport")</f>
        <v>Jacob Davenport</v>
      </c>
      <c r="E4265" t="s">
        <v>6623</v>
      </c>
      <c r="F4265" t="s">
        <v>6368</v>
      </c>
      <c r="G4265">
        <v>134.1</v>
      </c>
      <c r="H4265">
        <v>145.76</v>
      </c>
      <c r="I4265">
        <v>145.77000000000001</v>
      </c>
      <c r="J4265">
        <v>-0.01</v>
      </c>
    </row>
    <row r="4266" spans="1:10" x14ac:dyDescent="0.3">
      <c r="A4266" t="str">
        <f>HYPERLINK("https://us2.cloudbeds.com/connect/10074733072513#/reservations/31680712601739?display=MHBPY0UA2&amp;reservation_id=31680712601739", "MHBPY0UA2")</f>
        <v>MHBPY0UA2</v>
      </c>
      <c r="B4266" t="s">
        <v>10</v>
      </c>
      <c r="C4266" t="s">
        <v>11</v>
      </c>
      <c r="D4266" t="str">
        <f>HYPERLINK("https://us2.cloudbeds.com/connect/10074733072513#/reservations/31680712601739?display=Moriston%20Combs&amp;reservation_id=31680712601739&amp;guest_id=31680712597645", "Moriston Combs")</f>
        <v>Moriston Combs</v>
      </c>
      <c r="E4266" t="s">
        <v>6627</v>
      </c>
      <c r="F4266" t="s">
        <v>6473</v>
      </c>
      <c r="G4266">
        <v>94.16</v>
      </c>
      <c r="H4266">
        <v>102.34</v>
      </c>
      <c r="I4266">
        <v>102.35</v>
      </c>
      <c r="J4266">
        <v>-0.01</v>
      </c>
    </row>
    <row r="4267" spans="1:10" x14ac:dyDescent="0.3">
      <c r="A4267" t="str">
        <f>HYPERLINK("https://us2.cloudbeds.com/connect/10074733072513#/reservations/31680693420188?display=MHBP4S5CV&amp;reservation_id=31680693420188", "MHBP4S5CV")</f>
        <v>MHBP4S5CV</v>
      </c>
      <c r="B4267" t="s">
        <v>10</v>
      </c>
      <c r="C4267" t="s">
        <v>121</v>
      </c>
      <c r="D4267" t="str">
        <f>HYPERLINK("https://us2.cloudbeds.com/connect/10074733072513#/reservations/31680693420188?display=Susan%20Roberts%20Jones&amp;reservation_id=31680693420188&amp;guest_id=31680693420164", "Susan Roberts Jones")</f>
        <v>Susan Roberts Jones</v>
      </c>
      <c r="E4267" t="s">
        <v>6630</v>
      </c>
      <c r="F4267" t="s">
        <v>6473</v>
      </c>
      <c r="G4267">
        <v>134.1</v>
      </c>
      <c r="H4267">
        <v>145.76</v>
      </c>
      <c r="I4267">
        <v>145.77000000000001</v>
      </c>
      <c r="J4267">
        <v>-0.01</v>
      </c>
    </row>
    <row r="4268" spans="1:10" x14ac:dyDescent="0.3">
      <c r="A4268" t="str">
        <f>HYPERLINK("https://us2.cloudbeds.com/connect/10074733072513#/reservations/31680641503423?display=MHBNR2GJY&amp;reservation_id=31680641503423", "MHBNR2GJY")</f>
        <v>MHBNR2GJY</v>
      </c>
      <c r="B4268" t="s">
        <v>10</v>
      </c>
      <c r="C4268" t="s">
        <v>11</v>
      </c>
      <c r="D4268" t="str">
        <f>HYPERLINK("https://us2.cloudbeds.com/connect/10074733072513#/reservations/31680641503423?display=Kenneth%20A%20Johnson&amp;reservation_id=31680641503423&amp;guest_id=31680641503418", "Kenneth A Johnson")</f>
        <v>Kenneth A Johnson</v>
      </c>
      <c r="E4268" t="s">
        <v>6632</v>
      </c>
      <c r="F4268" t="s">
        <v>6473</v>
      </c>
      <c r="G4268">
        <v>94.16</v>
      </c>
      <c r="H4268">
        <v>102.34</v>
      </c>
      <c r="I4268">
        <v>102.35</v>
      </c>
      <c r="J4268">
        <v>-0.01</v>
      </c>
    </row>
    <row r="4269" spans="1:10" x14ac:dyDescent="0.3">
      <c r="A4269" t="str">
        <f>HYPERLINK("https://us2.cloudbeds.com/connect/10074733072513#/reservations/31680622739605?display=MHBNB8C93&amp;reservation_id=31680622739605", "MHBNB8C93")</f>
        <v>MHBNB8C93</v>
      </c>
      <c r="B4269" t="s">
        <v>10</v>
      </c>
      <c r="C4269" t="s">
        <v>11</v>
      </c>
      <c r="D4269" t="str">
        <f>HYPERLINK("https://us2.cloudbeds.com/connect/10074733072513#/reservations/31680622739605?display=Brittany%20Sorn&amp;reservation_id=31680622739605&amp;guest_id=31680611934460", "Brittany Sorn")</f>
        <v>Brittany Sorn</v>
      </c>
      <c r="E4269" t="s">
        <v>6633</v>
      </c>
      <c r="F4269" t="s">
        <v>6473</v>
      </c>
      <c r="G4269">
        <v>94.16</v>
      </c>
      <c r="H4269">
        <v>102.34</v>
      </c>
      <c r="I4269">
        <v>102.35</v>
      </c>
      <c r="J4269">
        <v>-0.01</v>
      </c>
    </row>
    <row r="4270" spans="1:10" x14ac:dyDescent="0.3">
      <c r="A4270" t="str">
        <f>HYPERLINK("https://us2.cloudbeds.com/connect/10074733072513#/reservations/31682455318720?display=MHD45HFMC&amp;reservation_id=31682455318720", "MHD45HFMC")</f>
        <v>MHD45HFMC</v>
      </c>
      <c r="B4270" t="s">
        <v>10</v>
      </c>
      <c r="C4270" t="s">
        <v>14</v>
      </c>
      <c r="D4270" t="str">
        <f>HYPERLINK("https://us2.cloudbeds.com/connect/10074733072513#/reservations/31682455318720?display=Jessica%20Todd&amp;reservation_id=31682455318720&amp;guest_id=31682455314676", "Jessica Todd")</f>
        <v>Jessica Todd</v>
      </c>
      <c r="E4270" t="s">
        <v>6635</v>
      </c>
      <c r="F4270" t="s">
        <v>6368</v>
      </c>
      <c r="G4270">
        <v>94.16</v>
      </c>
      <c r="H4270">
        <v>102.34</v>
      </c>
      <c r="I4270">
        <v>102.35</v>
      </c>
      <c r="J4270">
        <v>-0.01</v>
      </c>
    </row>
    <row r="4271" spans="1:10" x14ac:dyDescent="0.3">
      <c r="A4271" t="str">
        <f>HYPERLINK("https://us2.cloudbeds.com/connect/10074733072513#/reservations/31682346115288?display=MHD1CERZK&amp;reservation_id=31682346115288", "MHD1CERZK")</f>
        <v>MHD1CERZK</v>
      </c>
      <c r="B4271" t="s">
        <v>10</v>
      </c>
      <c r="C4271" t="s">
        <v>20</v>
      </c>
      <c r="D4271" t="str">
        <f>HYPERLINK("https://us2.cloudbeds.com/connect/10074733072513#/reservations/31682346115288?display=William%20Thomas&amp;reservation_id=31682346115288&amp;guest_id=31682337894600", "William Thomas")</f>
        <v>William Thomas</v>
      </c>
      <c r="E4271" t="s">
        <v>6641</v>
      </c>
      <c r="F4271" t="s">
        <v>6435</v>
      </c>
      <c r="G4271">
        <v>134.1</v>
      </c>
      <c r="H4271">
        <v>145.76</v>
      </c>
      <c r="I4271">
        <v>145.77000000000001</v>
      </c>
      <c r="J4271">
        <v>-0.01</v>
      </c>
    </row>
    <row r="4272" spans="1:10" x14ac:dyDescent="0.3">
      <c r="A4272" t="str">
        <f>HYPERLINK("https://us2.cloudbeds.com/connect/10074733072513#/reservations/31679029440642?display=MHAFKZFRB&amp;reservation_id=31679029440642", "MHAFKZFRB")</f>
        <v>MHAFKZFRB</v>
      </c>
      <c r="B4272" t="s">
        <v>10</v>
      </c>
      <c r="C4272" t="s">
        <v>11</v>
      </c>
      <c r="D4272" t="str">
        <f>HYPERLINK("https://us2.cloudbeds.com/connect/10074733072513#/reservations/31679029440642?display=Sarah%20Greer&amp;reservation_id=31679029440642&amp;guest_id=31679029436545", "Sarah Greer")</f>
        <v>Sarah Greer</v>
      </c>
      <c r="E4272" t="s">
        <v>6645</v>
      </c>
      <c r="F4272" t="s">
        <v>6535</v>
      </c>
      <c r="G4272">
        <v>94.16</v>
      </c>
      <c r="H4272">
        <v>102.34</v>
      </c>
      <c r="I4272">
        <v>102.35</v>
      </c>
      <c r="J4272">
        <v>-0.01</v>
      </c>
    </row>
    <row r="4273" spans="1:10" x14ac:dyDescent="0.3">
      <c r="A4273" t="str">
        <f>HYPERLINK("https://us2.cloudbeds.com/connect/10074733072513#/reservations/31679086915725?display=MHAH36QMH&amp;reservation_id=31679086915725", "MHAH36QMH")</f>
        <v>MHAH36QMH</v>
      </c>
      <c r="B4273" t="s">
        <v>10</v>
      </c>
      <c r="C4273" t="s">
        <v>20</v>
      </c>
      <c r="D4273" t="str">
        <f>HYPERLINK("https://us2.cloudbeds.com/connect/10074733072513#/reservations/31679086915725?display=Jintian%20Chen&amp;reservation_id=31679086915725&amp;guest_id=31679080378609", "Jintian Chen")</f>
        <v>Jintian Chen</v>
      </c>
      <c r="E4273" t="s">
        <v>6650</v>
      </c>
      <c r="F4273" t="s">
        <v>6535</v>
      </c>
      <c r="G4273">
        <v>134.1</v>
      </c>
      <c r="H4273">
        <v>145.76</v>
      </c>
      <c r="I4273">
        <v>145.77000000000001</v>
      </c>
      <c r="J4273">
        <v>-0.01</v>
      </c>
    </row>
    <row r="4274" spans="1:10" x14ac:dyDescent="0.3">
      <c r="A4274" t="str">
        <f>HYPERLINK("https://us2.cloudbeds.com/connect/10074733072513#/reservations/31682482401521?display=MHD4SC6QG&amp;reservation_id=31682482401521", "MHD4SC6QG")</f>
        <v>MHD4SC6QG</v>
      </c>
      <c r="B4274" t="s">
        <v>10</v>
      </c>
      <c r="C4274" t="s">
        <v>20</v>
      </c>
      <c r="D4274" t="str">
        <f>HYPERLINK("https://us2.cloudbeds.com/connect/10074733072513#/reservations/31682482401521?display=Denise%20Gilmore&amp;reservation_id=31682482401521&amp;guest_id=31682482401516", "Denise Gilmore")</f>
        <v>Denise Gilmore</v>
      </c>
      <c r="E4274" t="s">
        <v>6653</v>
      </c>
      <c r="F4274" t="s">
        <v>6368</v>
      </c>
      <c r="G4274">
        <v>134.1</v>
      </c>
      <c r="H4274">
        <v>145.76</v>
      </c>
      <c r="I4274">
        <v>145.77000000000001</v>
      </c>
      <c r="J4274">
        <v>-0.01</v>
      </c>
    </row>
    <row r="4275" spans="1:10" x14ac:dyDescent="0.3">
      <c r="A4275" t="str">
        <f>HYPERLINK("https://us2.cloudbeds.com/connect/10074733072513#/reservations/31680877883603?display=MHBTSD49C&amp;reservation_id=31680877883603", "MHBTSD49C")</f>
        <v>MHBTSD49C</v>
      </c>
      <c r="B4275" t="s">
        <v>10</v>
      </c>
      <c r="C4275" t="s">
        <v>20</v>
      </c>
      <c r="D4275" t="str">
        <f>HYPERLINK("https://us2.cloudbeds.com/connect/10074733072513#/reservations/31680877883603?display=William%20Thomas&amp;reservation_id=31680877883603&amp;guest_id=31680877879509", "William Thomas")</f>
        <v>William Thomas</v>
      </c>
      <c r="E4275" t="s">
        <v>6655</v>
      </c>
      <c r="F4275" t="s">
        <v>6430</v>
      </c>
      <c r="G4275">
        <v>134.1</v>
      </c>
      <c r="H4275">
        <v>145.76</v>
      </c>
      <c r="I4275">
        <v>145.77000000000001</v>
      </c>
      <c r="J4275">
        <v>-0.01</v>
      </c>
    </row>
    <row r="4276" spans="1:10" x14ac:dyDescent="0.3">
      <c r="A4276" t="str">
        <f>HYPERLINK("https://us2.cloudbeds.com/connect/10074733072513#/reservations/31679201599628?display=MHAK0U1TA&amp;reservation_id=31679201599628", "MHAK0U1TA")</f>
        <v>MHAK0U1TA</v>
      </c>
      <c r="B4276" t="s">
        <v>10</v>
      </c>
      <c r="C4276" t="s">
        <v>20</v>
      </c>
      <c r="D4276" t="str">
        <f>HYPERLINK("https://us2.cloudbeds.com/connect/10074733072513#/reservations/31679201599628?display=Anderson%20Ron&amp;reservation_id=31679201599628&amp;guest_id=31679194460404", "Anderson Ron")</f>
        <v>Anderson Ron</v>
      </c>
      <c r="E4276" t="s">
        <v>6657</v>
      </c>
      <c r="F4276" t="s">
        <v>6449</v>
      </c>
      <c r="G4276">
        <v>134.1</v>
      </c>
      <c r="H4276">
        <v>145.76</v>
      </c>
      <c r="I4276">
        <v>145.77000000000001</v>
      </c>
      <c r="J4276">
        <v>-0.01</v>
      </c>
    </row>
    <row r="4277" spans="1:10" x14ac:dyDescent="0.3">
      <c r="A4277" t="str">
        <f>HYPERLINK("https://us2.cloudbeds.com/connect/10074733072513#/reservations/31682888597671?display=MHDF7T70Z&amp;reservation_id=31682888597671", "MHDF7T70Z")</f>
        <v>MHDF7T70Z</v>
      </c>
      <c r="B4277" t="s">
        <v>10</v>
      </c>
      <c r="C4277" t="s">
        <v>11</v>
      </c>
      <c r="D4277" t="str">
        <f>HYPERLINK("https://us2.cloudbeds.com/connect/10074733072513#/reservations/31682888597671?display=Wes%20Dargavel&amp;reservation_id=31682888597671&amp;guest_id=31678816968852", "Wes Dargavel")</f>
        <v>Wes Dargavel</v>
      </c>
      <c r="E4277" t="s">
        <v>6634</v>
      </c>
      <c r="F4277" t="s">
        <v>6368</v>
      </c>
      <c r="G4277">
        <v>94.16</v>
      </c>
      <c r="H4277">
        <v>102.34</v>
      </c>
      <c r="I4277">
        <v>102.35</v>
      </c>
      <c r="J4277">
        <v>-0.01</v>
      </c>
    </row>
    <row r="4278" spans="1:10" x14ac:dyDescent="0.3">
      <c r="A4278" t="str">
        <f>HYPERLINK("https://us2.cloudbeds.com/connect/10074733072513#/reservations/31680841072770?display=MHBSUBQSK&amp;reservation_id=31680841072770", "MHBSUBQSK")</f>
        <v>MHBSUBQSK</v>
      </c>
      <c r="B4278" t="s">
        <v>10</v>
      </c>
      <c r="C4278" t="s">
        <v>42</v>
      </c>
      <c r="D4278" t="str">
        <f>HYPERLINK("https://us2.cloudbeds.com/connect/10074733072513#/reservations/31680841072770?display=Jordan%20Richard%20Szarkowski&amp;reservation_id=31680841072770&amp;guest_id=31680834166945", "Jordan Richard Szarkowski")</f>
        <v>Jordan Richard Szarkowski</v>
      </c>
      <c r="E4278" t="s">
        <v>6664</v>
      </c>
      <c r="F4278" t="s">
        <v>6601</v>
      </c>
      <c r="G4278">
        <v>134.1</v>
      </c>
      <c r="H4278">
        <v>145.76</v>
      </c>
      <c r="I4278">
        <v>145.77000000000001</v>
      </c>
      <c r="J4278">
        <v>-0.01</v>
      </c>
    </row>
    <row r="4279" spans="1:10" x14ac:dyDescent="0.3">
      <c r="A4279" t="str">
        <f>HYPERLINK("https://us2.cloudbeds.com/connect/10074733072513#/reservations/31683078873341?display=MHDK3AU54&amp;reservation_id=31683078873341", "MHDK3AU54")</f>
        <v>MHDK3AU54</v>
      </c>
      <c r="B4279" t="s">
        <v>10</v>
      </c>
      <c r="C4279" t="s">
        <v>11</v>
      </c>
      <c r="D4279" t="str">
        <f>HYPERLINK("https://us2.cloudbeds.com/connect/10074733072513#/reservations/31683078873341?display=Michael%20Whisler&amp;reservation_id=31683078873341&amp;guest_id=31683078873336", "Michael Whisler")</f>
        <v>Michael Whisler</v>
      </c>
      <c r="E4279" t="s">
        <v>6665</v>
      </c>
      <c r="F4279" t="s">
        <v>5798</v>
      </c>
      <c r="G4279">
        <v>141.49</v>
      </c>
      <c r="H4279">
        <v>153.79</v>
      </c>
      <c r="I4279">
        <v>153.80000000000001</v>
      </c>
      <c r="J4279">
        <v>-0.01</v>
      </c>
    </row>
    <row r="4280" spans="1:10" x14ac:dyDescent="0.3">
      <c r="A4280" t="str">
        <f>HYPERLINK("https://us2.cloudbeds.com/connect/10074733072513#/reservations/31680865980634?display=MHBTXBU3C&amp;reservation_id=31680865980634", "MHBTXBU3C")</f>
        <v>MHBTXBU3C</v>
      </c>
      <c r="B4280" t="s">
        <v>10</v>
      </c>
      <c r="C4280" t="s">
        <v>20</v>
      </c>
      <c r="D4280" t="str">
        <f>HYPERLINK("https://us2.cloudbeds.com/connect/10074733072513#/reservations/31680865980634?display=Darlene%20Moore&amp;reservation_id=31680865980634&amp;guest_id=31680865980622", "Darlene Moore")</f>
        <v>Darlene Moore</v>
      </c>
      <c r="E4280" t="s">
        <v>6669</v>
      </c>
      <c r="F4280" t="s">
        <v>6601</v>
      </c>
      <c r="G4280">
        <v>268.2</v>
      </c>
      <c r="H4280">
        <v>291.52</v>
      </c>
      <c r="I4280">
        <v>291.52999999999997</v>
      </c>
      <c r="J4280">
        <v>-0.01</v>
      </c>
    </row>
    <row r="4281" spans="1:10" x14ac:dyDescent="0.3">
      <c r="A4281" t="str">
        <f>HYPERLINK("https://us2.cloudbeds.com/connect/10074733072513#/reservations/31680892772545?display=MHBU7VEDF&amp;reservation_id=31680892772545", "MHBU7VEDF")</f>
        <v>MHBU7VEDF</v>
      </c>
      <c r="B4281" t="s">
        <v>10</v>
      </c>
      <c r="C4281" t="s">
        <v>42</v>
      </c>
      <c r="D4281" t="str">
        <f>HYPERLINK("https://us2.cloudbeds.com/connect/10074733072513#/reservations/31680892772545?display=Paul%20Striegel&amp;reservation_id=31680892772545&amp;guest_id=31680892768448", "Paul Striegel")</f>
        <v>Paul Striegel</v>
      </c>
      <c r="E4281" t="s">
        <v>6676</v>
      </c>
      <c r="F4281" t="s">
        <v>6601</v>
      </c>
      <c r="G4281">
        <v>134.1</v>
      </c>
      <c r="H4281">
        <v>145.76</v>
      </c>
      <c r="I4281">
        <v>145.77000000000001</v>
      </c>
      <c r="J4281">
        <v>-0.01</v>
      </c>
    </row>
    <row r="4282" spans="1:10" x14ac:dyDescent="0.3">
      <c r="A4282" t="str">
        <f>HYPERLINK("https://us2.cloudbeds.com/connect/10074733072513#/reservations/31679691395259?display=MHAWHUBA5&amp;reservation_id=31679691395259", "MHAWHUBA5")</f>
        <v>MHAWHUBA5</v>
      </c>
      <c r="B4282" t="s">
        <v>10</v>
      </c>
      <c r="C4282" t="s">
        <v>11</v>
      </c>
      <c r="D4282" t="str">
        <f>HYPERLINK("https://us2.cloudbeds.com/connect/10074733072513#/reservations/31679691395259?display=Scott%20Zimmerman&amp;reservation_id=31679691395259&amp;guest_id=31679691395254", "Scott Zimmerman")</f>
        <v>Scott Zimmerman</v>
      </c>
      <c r="E4282" t="s">
        <v>6677</v>
      </c>
      <c r="F4282" t="s">
        <v>5546</v>
      </c>
      <c r="G4282">
        <v>94.16</v>
      </c>
      <c r="H4282">
        <v>102.34</v>
      </c>
      <c r="I4282">
        <v>102.35</v>
      </c>
      <c r="J4282">
        <v>-0.01</v>
      </c>
    </row>
    <row r="4283" spans="1:10" x14ac:dyDescent="0.3">
      <c r="A4283" t="str">
        <f>HYPERLINK("https://us2.cloudbeds.com/connect/10074733072513#/reservations/31679178776780?display=MHAJEYW8S&amp;reservation_id=31679178776780", "MHAJEYW8S")</f>
        <v>MHAJEYW8S</v>
      </c>
      <c r="B4283" t="s">
        <v>10</v>
      </c>
      <c r="C4283" t="s">
        <v>11</v>
      </c>
      <c r="D4283" t="str">
        <f>HYPERLINK("https://us2.cloudbeds.com/connect/10074733072513#/reservations/31679178776780?display=Tammy%20Mace&amp;reservation_id=31679178776780&amp;guest_id=31679178776775", "Tammy Mace")</f>
        <v>Tammy Mace</v>
      </c>
      <c r="E4283" t="s">
        <v>6678</v>
      </c>
      <c r="F4283" t="s">
        <v>6601</v>
      </c>
      <c r="G4283">
        <v>94.16</v>
      </c>
      <c r="H4283">
        <v>102.34</v>
      </c>
      <c r="I4283">
        <v>102.35</v>
      </c>
      <c r="J4283">
        <v>-0.01</v>
      </c>
    </row>
    <row r="4284" spans="1:10" x14ac:dyDescent="0.3">
      <c r="A4284" t="str">
        <f>HYPERLINK("https://us2.cloudbeds.com/connect/10074733072513#/reservations/31680941645981?display=MHBVG59S7&amp;reservation_id=31680941645981", "MHBVG59S7")</f>
        <v>MHBVG59S7</v>
      </c>
      <c r="B4284" t="s">
        <v>10</v>
      </c>
      <c r="C4284" t="s">
        <v>11</v>
      </c>
      <c r="D4284" t="str">
        <f>HYPERLINK("https://us2.cloudbeds.com/connect/10074733072513#/reservations/31680941645981?display=Anthony%20Nguyen&amp;reservation_id=31680941645981&amp;guest_id=31680941641904", "Anthony Nguyen")</f>
        <v>Anthony Nguyen</v>
      </c>
      <c r="E4284" t="s">
        <v>6680</v>
      </c>
      <c r="F4284" t="s">
        <v>6601</v>
      </c>
      <c r="G4284">
        <v>94.16</v>
      </c>
      <c r="H4284">
        <v>102.34</v>
      </c>
      <c r="I4284">
        <v>102.35</v>
      </c>
      <c r="J4284">
        <v>-0.01</v>
      </c>
    </row>
    <row r="4285" spans="1:10" x14ac:dyDescent="0.3">
      <c r="A4285" t="str">
        <f>HYPERLINK("https://us2.cloudbeds.com/connect/10074733072513#/reservations/31682897420540?display=MHDFFANRD&amp;reservation_id=31682897420540", "MHDFFANRD")</f>
        <v>MHDFFANRD</v>
      </c>
      <c r="B4285" t="s">
        <v>10</v>
      </c>
      <c r="C4285" t="s">
        <v>14</v>
      </c>
      <c r="D4285" t="str">
        <f>HYPERLINK("https://us2.cloudbeds.com/connect/10074733072513#/reservations/31682897420540?display=Rochelle%20Welberg&amp;reservation_id=31682897420540&amp;guest_id=31682897420537", "Rochelle Welberg")</f>
        <v>Rochelle Welberg</v>
      </c>
      <c r="E4285" t="s">
        <v>6681</v>
      </c>
      <c r="F4285" t="s">
        <v>6368</v>
      </c>
      <c r="G4285">
        <v>134.1</v>
      </c>
      <c r="H4285">
        <v>145.76</v>
      </c>
      <c r="I4285">
        <v>145.77000000000001</v>
      </c>
      <c r="J4285">
        <v>-0.01</v>
      </c>
    </row>
    <row r="4286" spans="1:10" x14ac:dyDescent="0.3">
      <c r="A4286" t="str">
        <f>HYPERLINK("https://us2.cloudbeds.com/connect/10074733072513#/reservations/31679698628746?display=MHAWZ0KKZ&amp;reservation_id=31679698628746", "MHAWZ0KKZ")</f>
        <v>MHAWZ0KKZ</v>
      </c>
      <c r="B4286" t="s">
        <v>10</v>
      </c>
      <c r="C4286" t="s">
        <v>11</v>
      </c>
      <c r="D4286" t="str">
        <f>HYPERLINK("https://us2.cloudbeds.com/connect/10074733072513#/reservations/31679698628746?display=Nick%20Tomeczko&amp;reservation_id=31679698628746&amp;guest_id=31679691395257", "Nick Tomeczko")</f>
        <v>Nick Tomeczko</v>
      </c>
      <c r="E4286" t="s">
        <v>6682</v>
      </c>
      <c r="F4286" t="s">
        <v>5546</v>
      </c>
      <c r="G4286">
        <v>94.16</v>
      </c>
      <c r="H4286">
        <v>102.34</v>
      </c>
      <c r="I4286">
        <v>102.35</v>
      </c>
      <c r="J4286">
        <v>-0.01</v>
      </c>
    </row>
    <row r="4287" spans="1:10" x14ac:dyDescent="0.3">
      <c r="A4287" t="str">
        <f>HYPERLINK("https://us2.cloudbeds.com/connect/10074733072513#/reservations/31679710916800?display=MHB01CENR&amp;reservation_id=31679710916800", "MHB01CENR")</f>
        <v>MHB01CENR</v>
      </c>
      <c r="B4287" t="s">
        <v>10</v>
      </c>
      <c r="C4287" t="s">
        <v>11</v>
      </c>
      <c r="D4287" t="str">
        <f>HYPERLINK("https://us2.cloudbeds.com/connect/10074733072513#/reservations/31679710916800?display=Trishala%20Chaudhary&amp;reservation_id=31679710916800&amp;guest_id=31679710912714", "Trishala Chaudhary")</f>
        <v>Trishala Chaudhary</v>
      </c>
      <c r="E4287" t="s">
        <v>6683</v>
      </c>
      <c r="F4287" t="s">
        <v>5546</v>
      </c>
      <c r="G4287">
        <v>94.16</v>
      </c>
      <c r="H4287">
        <v>102.34</v>
      </c>
      <c r="I4287">
        <v>102.35</v>
      </c>
      <c r="J4287">
        <v>-0.01</v>
      </c>
    </row>
    <row r="4288" spans="1:10" x14ac:dyDescent="0.3">
      <c r="A4288" t="str">
        <f>HYPERLINK("https://us2.cloudbeds.com/connect/10074733072513#/reservations/31679710912716?display=MHB01CEM8&amp;reservation_id=31679710912716", "MHB01CEM8")</f>
        <v>MHB01CEM8</v>
      </c>
      <c r="B4288" t="s">
        <v>10</v>
      </c>
      <c r="C4288" t="s">
        <v>20</v>
      </c>
      <c r="D4288" t="str">
        <f>HYPERLINK("https://us2.cloudbeds.com/connect/10074733072513#/reservations/31679710912716?display=Nick%20Clausen&amp;reservation_id=31679710912716&amp;guest_id=31679710912711", "Nick Clausen")</f>
        <v>Nick Clausen</v>
      </c>
      <c r="E4288" t="s">
        <v>6684</v>
      </c>
      <c r="F4288" t="s">
        <v>5546</v>
      </c>
      <c r="G4288">
        <v>134.1</v>
      </c>
      <c r="H4288">
        <v>145.76</v>
      </c>
      <c r="I4288">
        <v>145.77000000000001</v>
      </c>
      <c r="J4288">
        <v>-0.01</v>
      </c>
    </row>
    <row r="4289" spans="1:10" x14ac:dyDescent="0.3">
      <c r="A4289" t="str">
        <f>HYPERLINK("https://us2.cloudbeds.com/connect/10074733072513#/reservations/31679651537036?display=MHAVHA7X7&amp;reservation_id=31679651537036", "MHAVHA7X7")</f>
        <v>MHAVHA7X7</v>
      </c>
      <c r="B4289" t="s">
        <v>10</v>
      </c>
      <c r="C4289" t="s">
        <v>11</v>
      </c>
      <c r="D4289" t="str">
        <f>HYPERLINK("https://us2.cloudbeds.com/connect/10074733072513#/reservations/31679651537036?display=Connie%20Jensen%20Olson&amp;reservation_id=31679651537036&amp;guest_id=31679651532949", "Connie Jensen Olson")</f>
        <v>Connie Jensen Olson</v>
      </c>
      <c r="E4289" t="s">
        <v>6686</v>
      </c>
      <c r="F4289" t="s">
        <v>5546</v>
      </c>
      <c r="G4289">
        <v>94.16</v>
      </c>
      <c r="H4289">
        <v>102.34</v>
      </c>
      <c r="I4289">
        <v>102.35</v>
      </c>
      <c r="J4289">
        <v>-0.01</v>
      </c>
    </row>
    <row r="4290" spans="1:10" x14ac:dyDescent="0.3">
      <c r="A4290" t="str">
        <f>HYPERLINK("https://us2.cloudbeds.com/connect/10074733072513#/reservations/31680958845140?display=MHBVUM04A&amp;reservation_id=31680958845140", "MHBVUM04A")</f>
        <v>MHBVUM04A</v>
      </c>
      <c r="B4290" t="s">
        <v>10</v>
      </c>
      <c r="C4290" t="s">
        <v>11</v>
      </c>
      <c r="D4290" t="str">
        <f>HYPERLINK("https://us2.cloudbeds.com/connect/10074733072513#/reservations/31680958845140?display=Nathan%20Krull&amp;reservation_id=31680958845140&amp;guest_id=31680958845124", "Nathan Krull")</f>
        <v>Nathan Krull</v>
      </c>
      <c r="E4290" t="s">
        <v>6687</v>
      </c>
      <c r="F4290" t="s">
        <v>5546</v>
      </c>
      <c r="G4290">
        <v>94.16</v>
      </c>
      <c r="H4290">
        <v>102.34</v>
      </c>
      <c r="I4290">
        <v>102.35</v>
      </c>
      <c r="J4290">
        <v>-0.01</v>
      </c>
    </row>
    <row r="4291" spans="1:10" x14ac:dyDescent="0.3">
      <c r="A4291" t="str">
        <f>HYPERLINK("https://us2.cloudbeds.com/connect/10074733072513#/reservations/31679160398045?display=MHAXW5XXG&amp;reservation_id=31679160398045", "MHAXW5XXG")</f>
        <v>MHAXW5XXG</v>
      </c>
      <c r="B4291" t="s">
        <v>10</v>
      </c>
      <c r="C4291" t="s">
        <v>20</v>
      </c>
      <c r="D4291" t="str">
        <f>HYPERLINK("https://us2.cloudbeds.com/connect/10074733072513#/reservations/31679160398045?display=Jeffrey%20Rappin&amp;reservation_id=31679160398045&amp;guest_id=31679160398039", "Jeffrey Rappin")</f>
        <v>Jeffrey Rappin</v>
      </c>
      <c r="E4291" t="s">
        <v>6688</v>
      </c>
      <c r="F4291" t="s">
        <v>6601</v>
      </c>
      <c r="G4291">
        <v>134.1</v>
      </c>
      <c r="H4291">
        <v>145.76</v>
      </c>
      <c r="I4291">
        <v>145.77000000000001</v>
      </c>
      <c r="J4291">
        <v>-0.01</v>
      </c>
    </row>
    <row r="4292" spans="1:10" x14ac:dyDescent="0.3">
      <c r="A4292" t="str">
        <f>HYPERLINK("https://us2.cloudbeds.com/connect/10074733072513#/reservations/31681471787153?display=MHCC16C8M&amp;reservation_id=31681471787153", "MHCC16C8M")</f>
        <v>MHCC16C8M</v>
      </c>
      <c r="B4292" t="s">
        <v>10</v>
      </c>
      <c r="C4292" t="s">
        <v>11</v>
      </c>
      <c r="D4292" t="str">
        <f>HYPERLINK("https://us2.cloudbeds.com/connect/10074733072513#/reservations/31681471787153?display=Cindy%20Steenstra&amp;reservation_id=31681471787153&amp;guest_id=31681471787142", "Cindy Steenstra")</f>
        <v>Cindy Steenstra</v>
      </c>
      <c r="E4292" t="s">
        <v>6696</v>
      </c>
      <c r="F4292" t="s">
        <v>6692</v>
      </c>
      <c r="G4292">
        <v>268.2</v>
      </c>
      <c r="H4292">
        <v>291.52</v>
      </c>
      <c r="I4292">
        <v>291.52999999999997</v>
      </c>
      <c r="J4292">
        <v>-0.01</v>
      </c>
    </row>
    <row r="4293" spans="1:10" x14ac:dyDescent="0.3">
      <c r="A4293" t="str">
        <f>HYPERLINK("https://us2.cloudbeds.com/connect/10074733072513#/reservations/31683576168596?display=MHDWQYT9A&amp;reservation_id=31683576168596", "MHDWQYT9A")</f>
        <v>MHDWQYT9A</v>
      </c>
      <c r="B4293" t="s">
        <v>10</v>
      </c>
      <c r="C4293" t="s">
        <v>17</v>
      </c>
      <c r="D4293" t="str">
        <f>HYPERLINK("https://us2.cloudbeds.com/connect/10074733072513#/reservations/31683576168596?display=Krista%20Kutzman&amp;reservation_id=31683576168596&amp;guest_id=31683563171970", "Krista Kutzman")</f>
        <v>Krista Kutzman</v>
      </c>
      <c r="E4293" t="s">
        <v>6706</v>
      </c>
      <c r="F4293" t="s">
        <v>6353</v>
      </c>
      <c r="G4293">
        <v>304.2</v>
      </c>
      <c r="H4293">
        <v>330.66</v>
      </c>
      <c r="I4293">
        <v>330.67</v>
      </c>
      <c r="J4293">
        <v>-0.01</v>
      </c>
    </row>
    <row r="4294" spans="1:10" x14ac:dyDescent="0.3">
      <c r="A4294" t="str">
        <f>HYPERLINK("https://us2.cloudbeds.com/connect/10074733072513#/reservations/31681247826052?display=MHC6ABAMY&amp;reservation_id=31681247826052", "MHC6ABAMY")</f>
        <v>MHC6ABAMY</v>
      </c>
      <c r="B4294" t="s">
        <v>10</v>
      </c>
      <c r="C4294" t="s">
        <v>42</v>
      </c>
      <c r="D4294" t="str">
        <f>HYPERLINK("https://us2.cloudbeds.com/connect/10074733072513#/reservations/31681247826052?display=Chad%20Lockhart&amp;reservation_id=31681247826052&amp;guest_id=31681240551597", "Chad Lockhart")</f>
        <v>Chad Lockhart</v>
      </c>
      <c r="E4294" t="s">
        <v>6707</v>
      </c>
      <c r="F4294" t="s">
        <v>5688</v>
      </c>
      <c r="G4294">
        <v>170.1</v>
      </c>
      <c r="H4294">
        <v>184.89</v>
      </c>
      <c r="I4294">
        <v>184.9</v>
      </c>
      <c r="J4294">
        <v>-0.01</v>
      </c>
    </row>
    <row r="4295" spans="1:10" x14ac:dyDescent="0.3">
      <c r="A4295" t="str">
        <f>HYPERLINK("https://us2.cloudbeds.com/connect/10074733072513#/reservations/31679861481605?display=MHB3TB83S&amp;reservation_id=31679861481605", "MHB3TB83S")</f>
        <v>MHB3TB83S</v>
      </c>
      <c r="B4295" t="s">
        <v>10</v>
      </c>
      <c r="C4295" t="s">
        <v>20</v>
      </c>
      <c r="D4295" t="str">
        <f>HYPERLINK("https://us2.cloudbeds.com/connect/10074733072513#/reservations/31679861481605?display=Kayla%20Pitlick&amp;reservation_id=31679861481605&amp;guest_id=31679861481600", "Kayla Pitlick")</f>
        <v>Kayla Pitlick</v>
      </c>
      <c r="E4295" t="s">
        <v>6709</v>
      </c>
      <c r="F4295" t="s">
        <v>6710</v>
      </c>
      <c r="G4295">
        <v>134.1</v>
      </c>
      <c r="H4295">
        <v>145.76</v>
      </c>
      <c r="I4295">
        <v>145.77000000000001</v>
      </c>
      <c r="J4295">
        <v>-0.01</v>
      </c>
    </row>
    <row r="4296" spans="1:10" x14ac:dyDescent="0.3">
      <c r="A4296" t="str">
        <f>HYPERLINK("https://us2.cloudbeds.com/connect/10074733072513#/reservations/31679978635416?display=MHB6T47CB&amp;reservation_id=31679978635416", "MHB6T47CB")</f>
        <v>MHB6T47CB</v>
      </c>
      <c r="B4296" t="s">
        <v>10</v>
      </c>
      <c r="C4296" t="s">
        <v>23</v>
      </c>
      <c r="D4296" t="str">
        <f>HYPERLINK("https://us2.cloudbeds.com/connect/10074733072513#/reservations/31679978635416?display=Veronica%20Ritz&amp;reservation_id=31679978635416&amp;guest_id=31679978635411", "Veronica Ritz")</f>
        <v>Veronica Ritz</v>
      </c>
      <c r="E4296" t="s">
        <v>6712</v>
      </c>
      <c r="F4296" t="s">
        <v>5556</v>
      </c>
      <c r="G4296">
        <v>144.1</v>
      </c>
      <c r="H4296">
        <v>156.63</v>
      </c>
      <c r="I4296">
        <v>156.63999999999999</v>
      </c>
      <c r="J4296">
        <v>-0.01</v>
      </c>
    </row>
    <row r="4297" spans="1:10" x14ac:dyDescent="0.3">
      <c r="A4297" t="str">
        <f>HYPERLINK("https://us2.cloudbeds.com/connect/10074733072513#/reservations/31680137003151?display=MHBAUM19K&amp;reservation_id=31680137003151", "MHBAUM19K")</f>
        <v>MHBAUM19K</v>
      </c>
      <c r="B4297" t="s">
        <v>10</v>
      </c>
      <c r="C4297" t="s">
        <v>20</v>
      </c>
      <c r="D4297" t="str">
        <f>HYPERLINK("https://us2.cloudbeds.com/connect/10074733072513#/reservations/31680137003151?display=John%20Mccreadie&amp;reservation_id=31680137003151&amp;guest_id=31680136999103", "John Mccreadie")</f>
        <v>John Mccreadie</v>
      </c>
      <c r="E4297" t="s">
        <v>6714</v>
      </c>
      <c r="F4297" t="s">
        <v>5560</v>
      </c>
      <c r="G4297">
        <v>134.1</v>
      </c>
      <c r="H4297">
        <v>145.76</v>
      </c>
      <c r="I4297">
        <v>145.77000000000001</v>
      </c>
      <c r="J4297">
        <v>-0.01</v>
      </c>
    </row>
    <row r="4298" spans="1:10" x14ac:dyDescent="0.3">
      <c r="A4298" t="str">
        <f>HYPERLINK("https://us2.cloudbeds.com/connect/10074733072513#/reservations/31680246710407?display=MHBDZ5QXU&amp;reservation_id=31680246710407", "MHBDZ5QXU")</f>
        <v>MHBDZ5QXU</v>
      </c>
      <c r="B4298" t="s">
        <v>10</v>
      </c>
      <c r="C4298" t="s">
        <v>14</v>
      </c>
      <c r="D4298" t="str">
        <f>HYPERLINK("https://us2.cloudbeds.com/connect/10074733072513#/reservations/31680246710407?display=Andrea%20Beuzekom&amp;reservation_id=31680246710407&amp;guest_id=31680246710405", "Andrea Beuzekom")</f>
        <v>Andrea Beuzekom</v>
      </c>
      <c r="E4298" t="s">
        <v>6716</v>
      </c>
      <c r="F4298" t="s">
        <v>5556</v>
      </c>
      <c r="G4298">
        <v>134.1</v>
      </c>
      <c r="H4298">
        <v>145.76</v>
      </c>
      <c r="I4298">
        <v>145.77000000000001</v>
      </c>
      <c r="J4298">
        <v>-0.01</v>
      </c>
    </row>
    <row r="4299" spans="1:10" x14ac:dyDescent="0.3">
      <c r="A4299" t="str">
        <f>HYPERLINK("https://us2.cloudbeds.com/connect/10074733072513#/reservations/31679844143311?display=MHB3ENPR0&amp;reservation_id=31679844143311", "MHB3ENPR0")</f>
        <v>MHB3ENPR0</v>
      </c>
      <c r="B4299" t="s">
        <v>10</v>
      </c>
      <c r="C4299" t="s">
        <v>23</v>
      </c>
      <c r="D4299" t="str">
        <f>HYPERLINK("https://us2.cloudbeds.com/connect/10074733072513#/reservations/31679844143311?display=Elaine%20Whiteneck&amp;reservation_id=31679844143311&amp;guest_id=31679844143307", "Elaine Whiteneck")</f>
        <v>Elaine Whiteneck</v>
      </c>
      <c r="E4299" t="s">
        <v>6717</v>
      </c>
      <c r="F4299" t="s">
        <v>6710</v>
      </c>
      <c r="G4299">
        <v>134.1</v>
      </c>
      <c r="H4299">
        <v>145.76</v>
      </c>
      <c r="I4299">
        <v>145.77000000000001</v>
      </c>
      <c r="J4299">
        <v>-0.01</v>
      </c>
    </row>
    <row r="4300" spans="1:10" x14ac:dyDescent="0.3">
      <c r="A4300" t="str">
        <f>HYPERLINK("https://us2.cloudbeds.com/connect/10074733072513#/reservations/31679263613140?display=MHAYK6M8Y&amp;reservation_id=31679263613140", "MHAYK6M8Y")</f>
        <v>MHAYK6M8Y</v>
      </c>
      <c r="B4300" t="s">
        <v>10</v>
      </c>
      <c r="C4300" t="s">
        <v>17</v>
      </c>
      <c r="D4300" t="str">
        <f>HYPERLINK("https://us2.cloudbeds.com/connect/10074733072513#/reservations/31679263613140?display=Don%20Mohlman&amp;reservation_id=31679263613140&amp;guest_id=31679263613124", "Don Mohlman")</f>
        <v>Don Mohlman</v>
      </c>
      <c r="E4300" t="s">
        <v>3884</v>
      </c>
      <c r="F4300" t="s">
        <v>6710</v>
      </c>
      <c r="G4300">
        <v>134.1</v>
      </c>
      <c r="H4300">
        <v>145.76</v>
      </c>
      <c r="I4300">
        <v>145.77000000000001</v>
      </c>
      <c r="J4300">
        <v>-0.01</v>
      </c>
    </row>
    <row r="4301" spans="1:10" x14ac:dyDescent="0.3">
      <c r="A4301" t="str">
        <f>HYPERLINK("https://us2.cloudbeds.com/connect/10074733072513#/reservations/31680477298891?display=MHBJKK8TZ&amp;reservation_id=31680477298891", "MHBJKK8TZ")</f>
        <v>MHBJKK8TZ</v>
      </c>
      <c r="B4301" t="s">
        <v>10</v>
      </c>
      <c r="C4301" t="s">
        <v>11</v>
      </c>
      <c r="D4301" t="str">
        <f>HYPERLINK("https://us2.cloudbeds.com/connect/10074733072513#/reservations/31680477298891?display=Tracy%20Molina&amp;reservation_id=31680477298891&amp;guest_id=31680477298886", "Tracy Molina")</f>
        <v>Tracy Molina</v>
      </c>
      <c r="E4301" t="s">
        <v>6718</v>
      </c>
      <c r="F4301" t="s">
        <v>6692</v>
      </c>
      <c r="G4301">
        <v>94.16</v>
      </c>
      <c r="H4301">
        <v>102.34</v>
      </c>
      <c r="I4301">
        <v>102.35</v>
      </c>
      <c r="J4301">
        <v>-0.01</v>
      </c>
    </row>
    <row r="4302" spans="1:10" x14ac:dyDescent="0.3">
      <c r="A4302" t="str">
        <f>HYPERLINK("https://us2.cloudbeds.com/connect/10074733072513#/reservations/31679626318043?display=MHAUT1FKA&amp;reservation_id=31679626318043", "MHAUT1FKA")</f>
        <v>MHAUT1FKA</v>
      </c>
      <c r="B4302" t="s">
        <v>10</v>
      </c>
      <c r="C4302" t="s">
        <v>20</v>
      </c>
      <c r="D4302" t="str">
        <f>HYPERLINK("https://us2.cloudbeds.com/connect/10074733072513#/reservations/31679626318043?display=Mary%20Roxane%20Bonner&amp;reservation_id=31679626318043&amp;guest_id=31679626318038", "Mary Roxane Bonner")</f>
        <v>Mary Roxane Bonner</v>
      </c>
      <c r="E4302" t="s">
        <v>6720</v>
      </c>
      <c r="F4302" t="s">
        <v>6446</v>
      </c>
      <c r="G4302">
        <v>134.1</v>
      </c>
      <c r="H4302">
        <v>145.76</v>
      </c>
      <c r="I4302">
        <v>145.77000000000001</v>
      </c>
      <c r="J4302">
        <v>-0.01</v>
      </c>
    </row>
    <row r="4303" spans="1:10" x14ac:dyDescent="0.3">
      <c r="A4303" t="str">
        <f>HYPERLINK("https://us2.cloudbeds.com/connect/10074733072513#/reservations/31681456177370?display=MHCBY106V&amp;reservation_id=31681456177370", "MHCBY106V")</f>
        <v>MHCBY106V</v>
      </c>
      <c r="B4303" t="s">
        <v>10</v>
      </c>
      <c r="C4303" t="s">
        <v>20</v>
      </c>
      <c r="D4303" t="str">
        <f>HYPERLINK("https://us2.cloudbeds.com/connect/10074733072513#/reservations/31681456177370?display=Rebecca%20Sterbick&amp;reservation_id=31681456177370&amp;guest_id=31681456177368", "Rebecca Sterbick")</f>
        <v>Rebecca Sterbick</v>
      </c>
      <c r="E4303" t="s">
        <v>6723</v>
      </c>
      <c r="F4303" t="s">
        <v>6692</v>
      </c>
      <c r="G4303">
        <v>134.1</v>
      </c>
      <c r="H4303">
        <v>145.76</v>
      </c>
      <c r="I4303">
        <v>145.77000000000001</v>
      </c>
      <c r="J4303">
        <v>-0.01</v>
      </c>
    </row>
    <row r="4304" spans="1:10" x14ac:dyDescent="0.3">
      <c r="A4304" t="str">
        <f>HYPERLINK("https://us2.cloudbeds.com/connect/10074733072513#/reservations/31679073693850?display=MHAGP1TCY&amp;reservation_id=31679073693850", "MHAGP1TCY")</f>
        <v>MHAGP1TCY</v>
      </c>
      <c r="B4304" t="s">
        <v>10</v>
      </c>
      <c r="C4304" t="s">
        <v>14</v>
      </c>
      <c r="D4304" t="str">
        <f>HYPERLINK("https://us2.cloudbeds.com/connect/10074733072513#/reservations/31679073693850?display=Annie%20Robbins&amp;reservation_id=31679073693850&amp;guest_id=31679062253763", "Annie Robbins")</f>
        <v>Annie Robbins</v>
      </c>
      <c r="E4304" t="s">
        <v>6725</v>
      </c>
      <c r="F4304" t="s">
        <v>6446</v>
      </c>
      <c r="G4304">
        <v>94.16</v>
      </c>
      <c r="H4304">
        <v>102.34</v>
      </c>
      <c r="I4304">
        <v>102.35</v>
      </c>
      <c r="J4304">
        <v>-0.01</v>
      </c>
    </row>
    <row r="4305" spans="1:10" x14ac:dyDescent="0.3">
      <c r="A4305" t="str">
        <f>HYPERLINK("https://us2.cloudbeds.com/connect/10074733072513#/reservations/31679215427828?display=MHAKCXRVM&amp;reservation_id=31679215427828", "MHAKCXRVM")</f>
        <v>MHAKCXRVM</v>
      </c>
      <c r="B4305" t="s">
        <v>10</v>
      </c>
      <c r="C4305" t="s">
        <v>20</v>
      </c>
      <c r="D4305" t="str">
        <f>HYPERLINK("https://us2.cloudbeds.com/connect/10074733072513#/reservations/31679215427828?display=Brian%20Burnham&amp;reservation_id=31679215427828&amp;guest_id=31679207948445", "Brian Burnham")</f>
        <v>Brian Burnham</v>
      </c>
      <c r="E4305" t="s">
        <v>6727</v>
      </c>
      <c r="F4305" t="s">
        <v>6449</v>
      </c>
      <c r="G4305">
        <v>134.1</v>
      </c>
      <c r="H4305">
        <v>145.76</v>
      </c>
      <c r="I4305">
        <v>145.77000000000001</v>
      </c>
      <c r="J4305">
        <v>-0.01</v>
      </c>
    </row>
    <row r="4306" spans="1:10" x14ac:dyDescent="0.3">
      <c r="A4306" t="str">
        <f>HYPERLINK("https://us2.cloudbeds.com/connect/10074733072513#/reservations/31681388273848?display=MHC9TPG6F&amp;reservation_id=31681388273848", "MHC9TPG6F")</f>
        <v>MHC9TPG6F</v>
      </c>
      <c r="B4306" t="s">
        <v>10</v>
      </c>
      <c r="C4306" t="s">
        <v>20</v>
      </c>
      <c r="D4306" t="str">
        <f>HYPERLINK("https://us2.cloudbeds.com/connect/10074733072513#/reservations/31681388273848?display=Kim%20Svare&amp;reservation_id=31681388273848&amp;guest_id=31681374355669", "Kim Svare")</f>
        <v>Kim Svare</v>
      </c>
      <c r="E4306" t="s">
        <v>6735</v>
      </c>
      <c r="F4306" t="s">
        <v>6736</v>
      </c>
      <c r="G4306">
        <v>268.2</v>
      </c>
      <c r="H4306">
        <v>291.52</v>
      </c>
      <c r="I4306">
        <v>291.52999999999997</v>
      </c>
      <c r="J4306">
        <v>-0.01</v>
      </c>
    </row>
    <row r="4307" spans="1:10" x14ac:dyDescent="0.3">
      <c r="A4307" t="str">
        <f>HYPERLINK("https://us2.cloudbeds.com/connect/10074733072513#/reservations/31683501650081?display=MHDUTR9TG&amp;reservation_id=31683501650081", "MHDUTR9TG")</f>
        <v>MHDUTR9TG</v>
      </c>
      <c r="B4307" t="s">
        <v>10</v>
      </c>
      <c r="C4307" t="s">
        <v>20</v>
      </c>
      <c r="D4307" t="str">
        <f>HYPERLINK("https://us2.cloudbeds.com/connect/10074733072513#/reservations/31683501650081?display=Lisette%20Goyette&amp;reservation_id=31683501650081&amp;guest_id=31683501650067", "Lisette Goyette")</f>
        <v>Lisette Goyette</v>
      </c>
      <c r="E4307" t="s">
        <v>6738</v>
      </c>
      <c r="F4307" t="s">
        <v>6353</v>
      </c>
      <c r="G4307">
        <v>170.1</v>
      </c>
      <c r="H4307">
        <v>184.89</v>
      </c>
      <c r="I4307">
        <v>184.9</v>
      </c>
      <c r="J4307">
        <v>-0.01</v>
      </c>
    </row>
    <row r="4308" spans="1:10" x14ac:dyDescent="0.3">
      <c r="A4308" t="str">
        <f>HYPERLINK("https://us2.cloudbeds.com/connect/10074733072513#/reservations/31679592280215?display=MHAU0BAXW&amp;reservation_id=31679592280215", "MHAU0BAXW")</f>
        <v>MHAU0BAXW</v>
      </c>
      <c r="B4308" t="s">
        <v>10</v>
      </c>
      <c r="C4308" t="s">
        <v>20</v>
      </c>
      <c r="D4308" t="str">
        <f>HYPERLINK("https://us2.cloudbeds.com/connect/10074733072513#/reservations/31679592280215?display=Matt%20Margow&amp;reservation_id=31679592280215&amp;guest_id=31679592276146", "Matt Margow")</f>
        <v>Matt Margow</v>
      </c>
      <c r="E4308" t="s">
        <v>6744</v>
      </c>
      <c r="F4308" t="s">
        <v>6446</v>
      </c>
      <c r="G4308">
        <v>134.1</v>
      </c>
      <c r="H4308">
        <v>145.76</v>
      </c>
      <c r="I4308">
        <v>145.77000000000001</v>
      </c>
      <c r="J4308">
        <v>-0.01</v>
      </c>
    </row>
    <row r="4309" spans="1:10" x14ac:dyDescent="0.3">
      <c r="A4309" t="str">
        <f>HYPERLINK("https://us2.cloudbeds.com/connect/10074733072513#/reservations/31679608058054?display=MHAUDYBVA&amp;reservation_id=31679608058054", "MHAUDYBVA")</f>
        <v>MHAUDYBVA</v>
      </c>
      <c r="B4309" t="s">
        <v>10</v>
      </c>
      <c r="C4309" t="s">
        <v>14</v>
      </c>
      <c r="D4309" t="str">
        <f>HYPERLINK("https://us2.cloudbeds.com/connect/10074733072513#/reservations/31679608058054?display=Frank%20S%20Needham&amp;reservation_id=31679608058054&amp;guest_id=31679608053961", "Frank S Needham")</f>
        <v>Frank S Needham</v>
      </c>
      <c r="E4309" t="s">
        <v>6748</v>
      </c>
      <c r="F4309" t="s">
        <v>6446</v>
      </c>
      <c r="G4309">
        <v>94.16</v>
      </c>
      <c r="H4309">
        <v>102.34</v>
      </c>
      <c r="I4309">
        <v>102.35</v>
      </c>
      <c r="J4309">
        <v>-0.01</v>
      </c>
    </row>
    <row r="4310" spans="1:10" x14ac:dyDescent="0.3">
      <c r="A4310" t="str">
        <f>HYPERLINK("https://us2.cloudbeds.com/connect/10074733072513#/reservations/31681347833992?display=MHC8SM6B9&amp;reservation_id=31681347833992", "MHC8SM6B9")</f>
        <v>MHC8SM6B9</v>
      </c>
      <c r="B4310" t="s">
        <v>10</v>
      </c>
      <c r="C4310" t="s">
        <v>11</v>
      </c>
      <c r="D4310" t="str">
        <f>HYPERLINK("https://us2.cloudbeds.com/connect/10074733072513#/reservations/31681347833992?display=Charles%20Welch&amp;reservation_id=31681347833992&amp;guest_id=31681347833987", "Charles Welch")</f>
        <v>Charles Welch</v>
      </c>
      <c r="E4310" t="s">
        <v>6750</v>
      </c>
      <c r="F4310" t="s">
        <v>6692</v>
      </c>
      <c r="G4310">
        <v>234.84</v>
      </c>
      <c r="H4310">
        <v>255.26</v>
      </c>
      <c r="I4310">
        <v>255.27</v>
      </c>
      <c r="J4310">
        <v>-0.01</v>
      </c>
    </row>
    <row r="4311" spans="1:10" x14ac:dyDescent="0.3">
      <c r="A4311" t="str">
        <f>HYPERLINK("https://us2.cloudbeds.com/connect/10074733072513#/reservations/31679642206348?display=MHAV9EJE3&amp;reservation_id=31679642206348", "MHAV9EJE3")</f>
        <v>MHAV9EJE3</v>
      </c>
      <c r="B4311" t="s">
        <v>10</v>
      </c>
      <c r="C4311" t="s">
        <v>11</v>
      </c>
      <c r="D4311" t="str">
        <f>HYPERLINK("https://us2.cloudbeds.com/connect/10074733072513#/reservations/31679642206348?display=Joey%20Cazanova&amp;reservation_id=31679642206348&amp;guest_id=31679642202253", "Joey Cazanova")</f>
        <v>Joey Cazanova</v>
      </c>
      <c r="E4311" t="s">
        <v>6751</v>
      </c>
      <c r="F4311" t="s">
        <v>6446</v>
      </c>
      <c r="G4311">
        <v>94.16</v>
      </c>
      <c r="H4311">
        <v>102.34</v>
      </c>
      <c r="I4311">
        <v>102.35</v>
      </c>
      <c r="J4311">
        <v>-0.01</v>
      </c>
    </row>
    <row r="4312" spans="1:10" x14ac:dyDescent="0.3">
      <c r="A4312" t="str">
        <f>HYPERLINK("https://us2.cloudbeds.com/connect/10074733072513#/reservations/31679248933005?display=MHAY7R5SS&amp;reservation_id=31679248933005", "MHAY7R5SS")</f>
        <v>MHAY7R5SS</v>
      </c>
      <c r="B4312" t="s">
        <v>10</v>
      </c>
      <c r="C4312" t="s">
        <v>14</v>
      </c>
      <c r="D4312" t="str">
        <f>HYPERLINK("https://us2.cloudbeds.com/connect/10074733072513#/reservations/31679248933005?display=Truong%20Bui&amp;reservation_id=31679248933005&amp;guest_id=31679248928912", "Truong Bui")</f>
        <v>Truong Bui</v>
      </c>
      <c r="E4312" t="s">
        <v>6754</v>
      </c>
      <c r="F4312" t="s">
        <v>6449</v>
      </c>
      <c r="G4312">
        <v>94.16</v>
      </c>
      <c r="H4312">
        <v>102.34</v>
      </c>
      <c r="I4312">
        <v>102.35</v>
      </c>
      <c r="J4312">
        <v>-0.01</v>
      </c>
    </row>
    <row r="4313" spans="1:10" x14ac:dyDescent="0.3">
      <c r="A4313" t="str">
        <f>HYPERLINK("https://us2.cloudbeds.com/connect/10074733072513#/reservations/31679920943330?display=MHB5DFS8A&amp;reservation_id=31679920943330", "MHB5DFS8A")</f>
        <v>MHB5DFS8A</v>
      </c>
      <c r="B4313" t="s">
        <v>10</v>
      </c>
      <c r="C4313" t="s">
        <v>20</v>
      </c>
      <c r="D4313" t="str">
        <f>HYPERLINK("https://us2.cloudbeds.com/connect/10074733072513#/reservations/31679920943330?display=Finnegan%20Amy&amp;reservation_id=31679920943330&amp;guest_id=31679920943328", "Finnegan Amy")</f>
        <v>Finnegan Amy</v>
      </c>
      <c r="E4313" t="s">
        <v>6756</v>
      </c>
      <c r="F4313" t="s">
        <v>5556</v>
      </c>
      <c r="G4313">
        <v>134.1</v>
      </c>
      <c r="H4313">
        <v>145.76</v>
      </c>
      <c r="I4313">
        <v>145.77000000000001</v>
      </c>
      <c r="J4313">
        <v>-0.01</v>
      </c>
    </row>
    <row r="4314" spans="1:10" x14ac:dyDescent="0.3">
      <c r="A4314" t="str">
        <f>HYPERLINK("https://us2.cloudbeds.com/connect/10074733072513#/reservations/31680069607572?display=MHB96RYNB&amp;reservation_id=31680069607572", "MHB96RYNB")</f>
        <v>MHB96RYNB</v>
      </c>
      <c r="B4314" t="s">
        <v>10</v>
      </c>
      <c r="C4314" t="s">
        <v>20</v>
      </c>
      <c r="D4314" t="str">
        <f>HYPERLINK("https://us2.cloudbeds.com/connect/10074733072513#/reservations/31680069607572?display=Jeffrey%20Woods&amp;reservation_id=31680069607572&amp;guest_id=31680069603475", "Jeffrey Woods")</f>
        <v>Jeffrey Woods</v>
      </c>
      <c r="E4314" t="s">
        <v>6766</v>
      </c>
      <c r="F4314" t="s">
        <v>6607</v>
      </c>
      <c r="G4314">
        <v>134.1</v>
      </c>
      <c r="H4314">
        <v>145.76</v>
      </c>
      <c r="I4314">
        <v>145.77000000000001</v>
      </c>
      <c r="J4314">
        <v>-0.01</v>
      </c>
    </row>
    <row r="4315" spans="1:10" x14ac:dyDescent="0.3">
      <c r="A4315" t="str">
        <f>HYPERLINK("https://us2.cloudbeds.com/connect/10074733072513#/reservations/31681932267714?display=MHCNQFUE2&amp;reservation_id=31681932267714", "MHCNQFUE2")</f>
        <v>MHCNQFUE2</v>
      </c>
      <c r="B4315" t="s">
        <v>10</v>
      </c>
      <c r="C4315" t="s">
        <v>17</v>
      </c>
      <c r="D4315" t="str">
        <f>HYPERLINK("https://us2.cloudbeds.com/connect/10074733072513#/reservations/31681932267714?display=Kyle%20Kegley&amp;reservation_id=31681932267714&amp;guest_id=31681923399833", "Kyle Kegley")</f>
        <v>Kyle Kegley</v>
      </c>
      <c r="E4315" t="s">
        <v>6774</v>
      </c>
      <c r="F4315" t="s">
        <v>5544</v>
      </c>
      <c r="G4315">
        <v>134.1</v>
      </c>
      <c r="H4315">
        <v>145.76</v>
      </c>
      <c r="I4315">
        <v>145.77000000000001</v>
      </c>
      <c r="J4315">
        <v>-0.01</v>
      </c>
    </row>
    <row r="4316" spans="1:10" x14ac:dyDescent="0.3">
      <c r="A4316" t="str">
        <f>HYPERLINK("https://us2.cloudbeds.com/connect/10074733072513#/reservations/31680866398368?display=MHBTXNHMW&amp;reservation_id=31680866398368", "MHBTXNHMW")</f>
        <v>MHBTXNHMW</v>
      </c>
      <c r="B4316" t="s">
        <v>10</v>
      </c>
      <c r="C4316" t="s">
        <v>121</v>
      </c>
      <c r="D4316" t="str">
        <f>HYPERLINK("https://us2.cloudbeds.com/connect/10074733072513#/reservations/31680866398368?display=Kerry%20Tramp&amp;reservation_id=31680866398368&amp;guest_id=31680855646414", "Kerry Tramp")</f>
        <v>Kerry Tramp</v>
      </c>
      <c r="E4316" t="s">
        <v>6778</v>
      </c>
      <c r="F4316" t="s">
        <v>6430</v>
      </c>
      <c r="G4316">
        <v>134.1</v>
      </c>
      <c r="H4316">
        <v>145.76</v>
      </c>
      <c r="I4316">
        <v>145.77000000000001</v>
      </c>
      <c r="J4316">
        <v>-0.01</v>
      </c>
    </row>
    <row r="4317" spans="1:10" x14ac:dyDescent="0.3">
      <c r="A4317" t="str">
        <f>HYPERLINK("https://us2.cloudbeds.com/connect/10074733072513#/reservations/31680906195172?display=MHBUJ8V1Z&amp;reservation_id=31680906195172", "MHBUJ8V1Z")</f>
        <v>MHBUJ8V1Z</v>
      </c>
      <c r="B4317" t="s">
        <v>10</v>
      </c>
      <c r="C4317" t="s">
        <v>20</v>
      </c>
      <c r="D4317" t="str">
        <f>HYPERLINK("https://us2.cloudbeds.com/connect/10074733072513#/reservations/31680906195172?display=Mickey%20Zeller&amp;reservation_id=31680906195172&amp;guest_id=31680906195156", "Mickey Zeller")</f>
        <v>Mickey Zeller</v>
      </c>
      <c r="E4317" t="s">
        <v>6781</v>
      </c>
      <c r="F4317" t="s">
        <v>6430</v>
      </c>
      <c r="G4317">
        <v>134.1</v>
      </c>
      <c r="H4317">
        <v>145.76</v>
      </c>
      <c r="I4317">
        <v>145.77000000000001</v>
      </c>
      <c r="J4317">
        <v>-0.01</v>
      </c>
    </row>
    <row r="4318" spans="1:10" x14ac:dyDescent="0.3">
      <c r="A4318" t="str">
        <f>HYPERLINK("https://us2.cloudbeds.com/connect/10074733072513#/reservations/31681760715004?display=MHCJDR733&amp;reservation_id=31681760715004", "MHCJDR733")</f>
        <v>MHCJDR733</v>
      </c>
      <c r="B4318" t="s">
        <v>10</v>
      </c>
      <c r="C4318" t="s">
        <v>11</v>
      </c>
      <c r="D4318" t="str">
        <f>HYPERLINK("https://us2.cloudbeds.com/connect/10074733072513#/reservations/31681760715004?display=Cj%20Griner&amp;reservation_id=31681760715004&amp;guest_id=31681760714951", "Cj Griner")</f>
        <v>Cj Griner</v>
      </c>
      <c r="E4318" t="s">
        <v>6782</v>
      </c>
      <c r="F4318" t="s">
        <v>5537</v>
      </c>
      <c r="G4318">
        <v>430.2</v>
      </c>
      <c r="H4318">
        <v>467.62</v>
      </c>
      <c r="I4318">
        <v>467.63</v>
      </c>
      <c r="J4318">
        <v>-0.01</v>
      </c>
    </row>
    <row r="4319" spans="1:10" x14ac:dyDescent="0.3">
      <c r="A4319" t="str">
        <f>HYPERLINK("https://us2.cloudbeds.com/connect/10074733072513#/reservations/31679971025035?display=MHB6MNEVZ&amp;reservation_id=31679971025035", "MHB6MNEVZ")</f>
        <v>MHB6MNEVZ</v>
      </c>
      <c r="B4319" t="s">
        <v>10</v>
      </c>
      <c r="C4319" t="s">
        <v>121</v>
      </c>
      <c r="D4319" t="str">
        <f>HYPERLINK("https://us2.cloudbeds.com/connect/10074733072513#/reservations/31679971025035?display=Zackary%20Humphrey&amp;reservation_id=31679971025035&amp;guest_id=31679971025032", "Zackary Humphrey")</f>
        <v>Zackary Humphrey</v>
      </c>
      <c r="E4319" t="s">
        <v>6785</v>
      </c>
      <c r="F4319" t="s">
        <v>6430</v>
      </c>
      <c r="G4319">
        <v>134.1</v>
      </c>
      <c r="H4319">
        <v>145.76</v>
      </c>
      <c r="I4319">
        <v>145.77000000000001</v>
      </c>
      <c r="J4319">
        <v>-0.01</v>
      </c>
    </row>
    <row r="4320" spans="1:10" x14ac:dyDescent="0.3">
      <c r="A4320" t="str">
        <f>HYPERLINK("https://us2.cloudbeds.com/connect/10074733072513#/reservations/31680033231066?display=MHB895E3W&amp;reservation_id=31680033231066", "MHB895E3W")</f>
        <v>MHB895E3W</v>
      </c>
      <c r="B4320" t="s">
        <v>10</v>
      </c>
      <c r="C4320" t="s">
        <v>20</v>
      </c>
      <c r="D4320" t="str">
        <f>HYPERLINK("https://us2.cloudbeds.com/connect/10074733072513#/reservations/31680033231066?display=Brad%20Mickey&amp;reservation_id=31680033231066&amp;guest_id=31680033226973", "Brad Mickey")</f>
        <v>Brad Mickey</v>
      </c>
      <c r="E4320" t="s">
        <v>6797</v>
      </c>
      <c r="F4320" t="s">
        <v>6607</v>
      </c>
      <c r="G4320">
        <v>134.1</v>
      </c>
      <c r="H4320">
        <v>145.76</v>
      </c>
      <c r="I4320">
        <v>145.77000000000001</v>
      </c>
      <c r="J4320">
        <v>-0.01</v>
      </c>
    </row>
    <row r="4321" spans="1:10" x14ac:dyDescent="0.3">
      <c r="A4321" t="str">
        <f>HYPERLINK("https://us2.cloudbeds.com/connect/10074733072513#/reservations/31681547178203?display=MHCDVP7SV&amp;reservation_id=31681547178203", "MHCDVP7SV")</f>
        <v>MHCDVP7SV</v>
      </c>
      <c r="B4321" t="s">
        <v>10</v>
      </c>
      <c r="C4321" t="s">
        <v>20</v>
      </c>
      <c r="D4321" t="str">
        <f>HYPERLINK("https://us2.cloudbeds.com/connect/10074733072513#/reservations/31681547178203?display=Shirleen%20Stewart&amp;reservation_id=31681547178203&amp;guest_id=31681541279939", "Shirleen Stewart")</f>
        <v>Shirleen Stewart</v>
      </c>
      <c r="E4321" t="s">
        <v>6799</v>
      </c>
      <c r="F4321" t="s">
        <v>6550</v>
      </c>
      <c r="G4321">
        <v>134.1</v>
      </c>
      <c r="H4321">
        <v>145.76</v>
      </c>
      <c r="I4321">
        <v>145.77000000000001</v>
      </c>
      <c r="J4321">
        <v>-0.01</v>
      </c>
    </row>
    <row r="4322" spans="1:10" x14ac:dyDescent="0.3">
      <c r="A4322" t="str">
        <f>HYPERLINK("https://us2.cloudbeds.com/connect/10074733072513#/reservations/31684679065837?display=MHERWYKZR&amp;reservation_id=31684679065837", "MHERWYKZR")</f>
        <v>MHERWYKZR</v>
      </c>
      <c r="B4322" t="s">
        <v>10</v>
      </c>
      <c r="C4322" t="s">
        <v>121</v>
      </c>
      <c r="D4322" t="str">
        <f>HYPERLINK("https://us2.cloudbeds.com/connect/10074733072513#/reservations/31684679065837?display=Jane%20Olson&amp;reservation_id=31684679065837&amp;guest_id=31684679065832", "Jane Olson")</f>
        <v>Jane Olson</v>
      </c>
      <c r="E4322" t="s">
        <v>6800</v>
      </c>
      <c r="F4322" t="s">
        <v>6550</v>
      </c>
      <c r="G4322">
        <v>134.1</v>
      </c>
      <c r="H4322">
        <v>145.76</v>
      </c>
      <c r="I4322">
        <v>145.77000000000001</v>
      </c>
      <c r="J4322">
        <v>-0.01</v>
      </c>
    </row>
    <row r="4323" spans="1:10" x14ac:dyDescent="0.3">
      <c r="A4323" t="str">
        <f>HYPERLINK("https://us2.cloudbeds.com/connect/10074733072513#/reservations/31680012210323?display=MHB7ZEGAP&amp;reservation_id=31680012210323", "MHB7ZEGAP")</f>
        <v>MHB7ZEGAP</v>
      </c>
      <c r="B4323" t="s">
        <v>10</v>
      </c>
      <c r="C4323" t="s">
        <v>23</v>
      </c>
      <c r="D4323" t="str">
        <f>HYPERLINK("https://us2.cloudbeds.com/connect/10074733072513#/reservations/31680012210323?display=Elizabeth%20Jimerson&amp;reservation_id=31680012210323&amp;guest_id=31680012210320", "Elizabeth Jimerson")</f>
        <v>Elizabeth Jimerson</v>
      </c>
      <c r="E4323" t="s">
        <v>6802</v>
      </c>
      <c r="F4323" t="s">
        <v>6607</v>
      </c>
      <c r="G4323">
        <v>134.1</v>
      </c>
      <c r="H4323">
        <v>145.76</v>
      </c>
      <c r="I4323">
        <v>145.77000000000001</v>
      </c>
      <c r="J4323">
        <v>-0.01</v>
      </c>
    </row>
    <row r="4324" spans="1:10" x14ac:dyDescent="0.3">
      <c r="A4324" t="str">
        <f>HYPERLINK("https://us2.cloudbeds.com/connect/10074733072513#/reservations/31686013399293?display=MHFT2QDWW&amp;reservation_id=31686013399293", "MHFT2QDWW")</f>
        <v>MHFT2QDWW</v>
      </c>
      <c r="B4324" t="s">
        <v>10</v>
      </c>
      <c r="C4324" t="s">
        <v>42</v>
      </c>
      <c r="D4324" t="str">
        <f>HYPERLINK("https://us2.cloudbeds.com/connect/10074733072513#/reservations/31686013399293?display=Roxanne%20Kraft&amp;reservation_id=31686013399293&amp;guest_id=30660645728456", "Roxanne Kraft")</f>
        <v>Roxanne Kraft</v>
      </c>
      <c r="E4324" t="s">
        <v>3173</v>
      </c>
      <c r="F4324" t="s">
        <v>6805</v>
      </c>
      <c r="G4324">
        <v>170.1</v>
      </c>
      <c r="H4324">
        <v>184.89</v>
      </c>
      <c r="I4324">
        <v>184.9</v>
      </c>
      <c r="J4324">
        <v>-0.01</v>
      </c>
    </row>
    <row r="4325" spans="1:10" x14ac:dyDescent="0.3">
      <c r="A4325" t="str">
        <f>HYPERLINK("https://us2.cloudbeds.com/connect/10074733072513#/reservations/31684644499679?display=MHER3GPXG&amp;reservation_id=31684644499679", "MHER3GPXG")</f>
        <v>MHER3GPXG</v>
      </c>
      <c r="B4325" t="s">
        <v>10</v>
      </c>
      <c r="C4325" t="s">
        <v>20</v>
      </c>
      <c r="D4325" t="str">
        <f>HYPERLINK("https://us2.cloudbeds.com/connect/10074733072513#/reservations/31684644499679?display=Ernest%20Huhta&amp;reservation_id=31684644499679&amp;guest_id=31684644499674", "Ernest Huhta")</f>
        <v>Ernest Huhta</v>
      </c>
      <c r="E4325" t="s">
        <v>6810</v>
      </c>
      <c r="F4325" t="s">
        <v>6550</v>
      </c>
      <c r="G4325">
        <v>134.1</v>
      </c>
      <c r="H4325">
        <v>145.76</v>
      </c>
      <c r="I4325">
        <v>145.77000000000001</v>
      </c>
      <c r="J4325">
        <v>-0.01</v>
      </c>
    </row>
    <row r="4326" spans="1:10" x14ac:dyDescent="0.3">
      <c r="A4326" t="str">
        <f>HYPERLINK("https://us2.cloudbeds.com/connect/10074733072513#/reservations/31679933636835?display=MHB5Z62BW&amp;reservation_id=31679933636835", "MHB5Z62BW")</f>
        <v>MHB5Z62BW</v>
      </c>
      <c r="B4326" t="s">
        <v>10</v>
      </c>
      <c r="C4326" t="s">
        <v>20</v>
      </c>
      <c r="D4326" t="str">
        <f>HYPERLINK("https://us2.cloudbeds.com/connect/10074733072513#/reservations/31679933636835?display=Mahek%20Sadiq&amp;reservation_id=31679933636835&amp;guest_id=31679933632755", "Mahek Sadiq")</f>
        <v>Mahek Sadiq</v>
      </c>
      <c r="E4326" t="s">
        <v>6817</v>
      </c>
      <c r="F4326" t="s">
        <v>6629</v>
      </c>
      <c r="G4326">
        <v>134.1</v>
      </c>
      <c r="H4326">
        <v>145.76</v>
      </c>
      <c r="I4326">
        <v>145.77000000000001</v>
      </c>
      <c r="J4326">
        <v>-0.01</v>
      </c>
    </row>
    <row r="4327" spans="1:10" x14ac:dyDescent="0.3">
      <c r="A4327" t="str">
        <f>HYPERLINK("https://us2.cloudbeds.com/connect/10074733072513#/reservations/31681992515775?display=MHCPB9DKT&amp;reservation_id=31681992515775", "MHCPB9DKT")</f>
        <v>MHCPB9DKT</v>
      </c>
      <c r="B4327" t="s">
        <v>10</v>
      </c>
      <c r="C4327" t="s">
        <v>20</v>
      </c>
      <c r="D4327" t="str">
        <f>HYPERLINK("https://us2.cloudbeds.com/connect/10074733072513#/reservations/31681992515775?display=Cheryl%20Covington-Korinta&amp;reservation_id=31681992515775&amp;guest_id=31681992515770", "Cheryl Covington-Korinta")</f>
        <v>Cheryl Covington-Korinta</v>
      </c>
      <c r="E4327" t="s">
        <v>6821</v>
      </c>
      <c r="F4327" t="s">
        <v>6629</v>
      </c>
      <c r="G4327">
        <v>134.1</v>
      </c>
      <c r="H4327">
        <v>145.76</v>
      </c>
      <c r="I4327">
        <v>145.77000000000001</v>
      </c>
      <c r="J4327">
        <v>-0.01</v>
      </c>
    </row>
    <row r="4328" spans="1:10" x14ac:dyDescent="0.3">
      <c r="A4328" t="str">
        <f>HYPERLINK("https://us2.cloudbeds.com/connect/10074733072513#/reservations/31679931863224?display=MHB5MMNN6&amp;reservation_id=31679931863224", "MHB5MMNN6")</f>
        <v>MHB5MMNN6</v>
      </c>
      <c r="B4328" t="s">
        <v>10</v>
      </c>
      <c r="C4328" t="s">
        <v>42</v>
      </c>
      <c r="D4328" t="str">
        <f>HYPERLINK("https://us2.cloudbeds.com/connect/10074733072513#/reservations/31679931863224?display=Jodyne%20Erschens&amp;reservation_id=31679931863224&amp;guest_id=31679920943325", "Jodyne Erschens")</f>
        <v>Jodyne Erschens</v>
      </c>
      <c r="E4328" t="s">
        <v>6822</v>
      </c>
      <c r="F4328" t="s">
        <v>6629</v>
      </c>
      <c r="G4328">
        <v>134.1</v>
      </c>
      <c r="H4328">
        <v>145.76</v>
      </c>
      <c r="I4328">
        <v>145.77000000000001</v>
      </c>
      <c r="J4328">
        <v>-0.01</v>
      </c>
    </row>
    <row r="4329" spans="1:10" x14ac:dyDescent="0.3">
      <c r="A4329" t="str">
        <f>HYPERLINK("https://us2.cloudbeds.com/connect/10074733072513#/reservations/31679533777097?display=MHASH0CN7&amp;reservation_id=31679533777097", "MHASH0CN7")</f>
        <v>MHASH0CN7</v>
      </c>
      <c r="B4329" t="s">
        <v>10</v>
      </c>
      <c r="C4329" t="s">
        <v>11</v>
      </c>
      <c r="D4329" t="str">
        <f>HYPERLINK("https://us2.cloudbeds.com/connect/10074733072513#/reservations/31679533777097?display=Alicia%20Schneckloth&amp;reservation_id=31679533777097&amp;guest_id=31679533773006", "Alicia Schneckloth")</f>
        <v>Alicia Schneckloth</v>
      </c>
      <c r="E4329" t="s">
        <v>6823</v>
      </c>
      <c r="F4329" t="s">
        <v>5544</v>
      </c>
      <c r="G4329">
        <v>117.42</v>
      </c>
      <c r="H4329">
        <v>127.63</v>
      </c>
      <c r="I4329">
        <v>127.64</v>
      </c>
      <c r="J4329">
        <v>-0.01</v>
      </c>
    </row>
    <row r="4330" spans="1:10" x14ac:dyDescent="0.3">
      <c r="A4330" t="str">
        <f>HYPERLINK("https://us2.cloudbeds.com/connect/10074733072513#/reservations/31680841072827?display=MHBSUBQUB&amp;reservation_id=31680841072827", "MHBSUBQUB")</f>
        <v>MHBSUBQUB</v>
      </c>
      <c r="B4330" t="s">
        <v>10</v>
      </c>
      <c r="C4330" t="s">
        <v>42</v>
      </c>
      <c r="D4330" t="str">
        <f>HYPERLINK("https://us2.cloudbeds.com/connect/10074733072513#/reservations/31680841072827?display=Rick%20Hurd&amp;reservation_id=31680841072827&amp;guest_id=31680841072768", "Rick Hurd")</f>
        <v>Rick Hurd</v>
      </c>
      <c r="E4330" t="s">
        <v>6824</v>
      </c>
      <c r="F4330" t="s">
        <v>5781</v>
      </c>
      <c r="G4330">
        <v>430.2</v>
      </c>
      <c r="H4330">
        <v>467.62</v>
      </c>
      <c r="I4330">
        <v>467.63</v>
      </c>
      <c r="J4330">
        <v>-0.01</v>
      </c>
    </row>
    <row r="4331" spans="1:10" x14ac:dyDescent="0.3">
      <c r="A4331" t="str">
        <f>HYPERLINK("https://us2.cloudbeds.com/connect/10074733072513#/reservations/31679942979727?display=MHB5W21MU&amp;reservation_id=31679942979727", "MHB5W21MU")</f>
        <v>MHB5W21MU</v>
      </c>
      <c r="B4331" t="s">
        <v>10</v>
      </c>
      <c r="C4331" t="s">
        <v>20</v>
      </c>
      <c r="D4331" t="str">
        <f>HYPERLINK("https://us2.cloudbeds.com/connect/10074733072513#/reservations/31679942979727?display=Sampada%20Koirala&amp;reservation_id=31679942979727&amp;guest_id=31679942979722", "Sampada Koirala")</f>
        <v>Sampada Koirala</v>
      </c>
      <c r="E4331" t="s">
        <v>6826</v>
      </c>
      <c r="F4331" t="s">
        <v>6629</v>
      </c>
      <c r="G4331">
        <v>134.1</v>
      </c>
      <c r="H4331">
        <v>145.76</v>
      </c>
      <c r="I4331">
        <v>145.77000000000001</v>
      </c>
      <c r="J4331">
        <v>-0.01</v>
      </c>
    </row>
    <row r="4332" spans="1:10" x14ac:dyDescent="0.3">
      <c r="A4332" t="str">
        <f>HYPERLINK("https://us2.cloudbeds.com/connect/10074733072513#/reservations/31682103246976?display=MHCRWEW25&amp;reservation_id=31682103246976", "MHCRWEW25")</f>
        <v>MHCRWEW25</v>
      </c>
      <c r="B4332" t="s">
        <v>10</v>
      </c>
      <c r="C4332" t="s">
        <v>42</v>
      </c>
      <c r="D4332" t="str">
        <f>HYPERLINK("https://us2.cloudbeds.com/connect/10074733072513#/reservations/31682103246976?display=Brenda%20Long&amp;reservation_id=31682103246976&amp;guest_id=31682095886568", "Brenda Long")</f>
        <v>Brenda Long</v>
      </c>
      <c r="E4332" t="s">
        <v>6829</v>
      </c>
      <c r="F4332" t="s">
        <v>6629</v>
      </c>
      <c r="G4332">
        <v>134.1</v>
      </c>
      <c r="H4332">
        <v>145.76</v>
      </c>
      <c r="I4332">
        <v>145.77000000000001</v>
      </c>
      <c r="J4332">
        <v>-0.01</v>
      </c>
    </row>
    <row r="4333" spans="1:10" x14ac:dyDescent="0.3">
      <c r="A4333" t="str">
        <f>HYPERLINK("https://us2.cloudbeds.com/connect/10074733072513#/reservations/31682074865817?display=MHCRENUGN&amp;reservation_id=31682074865817", "MHCRENUGN")</f>
        <v>MHCRENUGN</v>
      </c>
      <c r="B4333" t="s">
        <v>10</v>
      </c>
      <c r="C4333" t="s">
        <v>42</v>
      </c>
      <c r="D4333" t="str">
        <f>HYPERLINK("https://us2.cloudbeds.com/connect/10074733072513#/reservations/31682074865817?display=Terry%20Zuch&amp;reservation_id=31682074865817&amp;guest_id=31682074865812", "Terry Zuch")</f>
        <v>Terry Zuch</v>
      </c>
      <c r="E4333" t="s">
        <v>6831</v>
      </c>
      <c r="F4333" t="s">
        <v>6629</v>
      </c>
      <c r="G4333">
        <v>134.1</v>
      </c>
      <c r="H4333">
        <v>145.76</v>
      </c>
      <c r="I4333">
        <v>145.77000000000001</v>
      </c>
      <c r="J4333">
        <v>-0.01</v>
      </c>
    </row>
    <row r="4334" spans="1:10" x14ac:dyDescent="0.3">
      <c r="A4334" t="str">
        <f>HYPERLINK("https://us2.cloudbeds.com/connect/10074733072513#/reservations/31682070167748?display=MHCRAP6CW&amp;reservation_id=31682070167748", "MHCRAP6CW")</f>
        <v>MHCRAP6CW</v>
      </c>
      <c r="B4334" t="s">
        <v>10</v>
      </c>
      <c r="C4334" t="s">
        <v>42</v>
      </c>
      <c r="D4334" t="str">
        <f>HYPERLINK("https://us2.cloudbeds.com/connect/10074733072513#/reservations/31682070167748?display=Scott%20Anderson&amp;reservation_id=31682070167748&amp;guest_id=31682064572643", "Scott Anderson")</f>
        <v>Scott Anderson</v>
      </c>
      <c r="E4334" t="s">
        <v>6832</v>
      </c>
      <c r="F4334" t="s">
        <v>6629</v>
      </c>
      <c r="G4334">
        <v>134.1</v>
      </c>
      <c r="H4334">
        <v>145.76</v>
      </c>
      <c r="I4334">
        <v>145.77000000000001</v>
      </c>
      <c r="J4334">
        <v>-0.01</v>
      </c>
    </row>
    <row r="4335" spans="1:10" x14ac:dyDescent="0.3">
      <c r="A4335" t="str">
        <f>HYPERLINK("https://us2.cloudbeds.com/connect/10074733072513#/reservations/31682051473555?display=MHCQS0009&amp;reservation_id=31682051473555", "MHCQS0009")</f>
        <v>MHCQS0009</v>
      </c>
      <c r="B4335" t="s">
        <v>10</v>
      </c>
      <c r="C4335" t="s">
        <v>42</v>
      </c>
      <c r="D4335" t="str">
        <f>HYPERLINK("https://us2.cloudbeds.com/connect/10074733072513#/reservations/31682051473555?display=Ralph%20Brown&amp;reservation_id=31682051473555&amp;guest_id=31682051473542", "Ralph Brown")</f>
        <v>Ralph Brown</v>
      </c>
      <c r="E4335" t="s">
        <v>6833</v>
      </c>
      <c r="F4335" t="s">
        <v>6629</v>
      </c>
      <c r="G4335">
        <v>134.1</v>
      </c>
      <c r="H4335">
        <v>145.76</v>
      </c>
      <c r="I4335">
        <v>145.77000000000001</v>
      </c>
      <c r="J4335">
        <v>-0.01</v>
      </c>
    </row>
    <row r="4336" spans="1:10" x14ac:dyDescent="0.3">
      <c r="A4336" t="str">
        <f>HYPERLINK("https://us2.cloudbeds.com/connect/10074733072513#/reservations/31682020495514?display=MHCQ1SWMP&amp;reservation_id=31682020495514", "MHCQ1SWMP")</f>
        <v>MHCQ1SWMP</v>
      </c>
      <c r="B4336" t="s">
        <v>10</v>
      </c>
      <c r="C4336" t="s">
        <v>42</v>
      </c>
      <c r="D4336" t="str">
        <f>HYPERLINK("https://us2.cloudbeds.com/connect/10074733072513#/reservations/31682020495514?display=Patricia%20Schiebel&amp;reservation_id=31682020495514&amp;guest_id=31682020495511", "Patricia Schiebel")</f>
        <v>Patricia Schiebel</v>
      </c>
      <c r="E4336" t="s">
        <v>6837</v>
      </c>
      <c r="F4336" t="s">
        <v>6629</v>
      </c>
      <c r="G4336">
        <v>134.1</v>
      </c>
      <c r="H4336">
        <v>145.76</v>
      </c>
      <c r="I4336">
        <v>145.77000000000001</v>
      </c>
      <c r="J4336">
        <v>-0.01</v>
      </c>
    </row>
    <row r="4337" spans="1:10" x14ac:dyDescent="0.3">
      <c r="A4337" t="str">
        <f>HYPERLINK("https://us2.cloudbeds.com/connect/10074733072513#/reservations/31681998811284?display=MHCPGJJKT&amp;reservation_id=31681998811284", "MHCPGJJKT")</f>
        <v>MHCPGJJKT</v>
      </c>
      <c r="B4337" t="s">
        <v>10</v>
      </c>
      <c r="C4337" t="s">
        <v>42</v>
      </c>
      <c r="D4337" t="str">
        <f>HYPERLINK("https://us2.cloudbeds.com/connect/10074733072513#/reservations/31681998811284?display=Cheryl%20Brossman&amp;reservation_id=31681998811284&amp;guest_id=31681998811279", "Cheryl Brossman")</f>
        <v>Cheryl Brossman</v>
      </c>
      <c r="E4337" t="s">
        <v>6838</v>
      </c>
      <c r="F4337" t="s">
        <v>6629</v>
      </c>
      <c r="G4337">
        <v>134.1</v>
      </c>
      <c r="H4337">
        <v>145.76</v>
      </c>
      <c r="I4337">
        <v>145.77000000000001</v>
      </c>
      <c r="J4337">
        <v>-0.01</v>
      </c>
    </row>
    <row r="4338" spans="1:10" x14ac:dyDescent="0.3">
      <c r="A4338" t="str">
        <f>HYPERLINK("https://us2.cloudbeds.com/connect/10074733072513#/reservations/31681984995562?display=MHCP4V50Y&amp;reservation_id=31681984995562", "MHCP4V50Y")</f>
        <v>MHCP4V50Y</v>
      </c>
      <c r="B4338" t="s">
        <v>10</v>
      </c>
      <c r="C4338" t="s">
        <v>121</v>
      </c>
      <c r="D4338" t="str">
        <f>HYPERLINK("https://us2.cloudbeds.com/connect/10074733072513#/reservations/31681984995562?display=Vincent%20Thompson&amp;reservation_id=31681984995562&amp;guest_id=31681984995546", "Vincent Thompson")</f>
        <v>Vincent Thompson</v>
      </c>
      <c r="E4338" t="s">
        <v>6839</v>
      </c>
      <c r="F4338" t="s">
        <v>6629</v>
      </c>
      <c r="G4338">
        <v>134.1</v>
      </c>
      <c r="H4338">
        <v>145.76</v>
      </c>
      <c r="I4338">
        <v>145.77000000000001</v>
      </c>
      <c r="J4338">
        <v>-0.01</v>
      </c>
    </row>
    <row r="4339" spans="1:10" x14ac:dyDescent="0.3">
      <c r="A4339" t="str">
        <f>HYPERLINK("https://us2.cloudbeds.com/connect/10074733072513#/reservations/31682246111428?display=MHCVR42RJ&amp;reservation_id=31682246111428", "MHCVR42RJ")</f>
        <v>MHCVR42RJ</v>
      </c>
      <c r="B4339" t="s">
        <v>10</v>
      </c>
      <c r="C4339" t="s">
        <v>11</v>
      </c>
      <c r="D4339" t="str">
        <f>HYPERLINK("https://us2.cloudbeds.com/connect/10074733072513#/reservations/31682246111428?display=Kathleen%20Geoghan&amp;reservation_id=31682246111428&amp;guest_id=31682236637370", "Kathleen Geoghan")</f>
        <v>Kathleen Geoghan</v>
      </c>
      <c r="E4339" t="s">
        <v>6840</v>
      </c>
      <c r="F4339" t="s">
        <v>6841</v>
      </c>
      <c r="G4339">
        <v>103.2</v>
      </c>
      <c r="H4339">
        <v>112.17</v>
      </c>
      <c r="I4339">
        <v>112.18</v>
      </c>
      <c r="J4339">
        <v>-0.01</v>
      </c>
    </row>
    <row r="4340" spans="1:10" x14ac:dyDescent="0.3">
      <c r="A4340" t="str">
        <f>HYPERLINK("https://us2.cloudbeds.com/connect/10074733072513#/reservations/31687951798483?display=MHHCKA7TC&amp;reservation_id=31687951798483", "MHHCKA7TC")</f>
        <v>MHHCKA7TC</v>
      </c>
      <c r="B4340" t="s">
        <v>10</v>
      </c>
      <c r="C4340" t="s">
        <v>20</v>
      </c>
      <c r="D4340" t="str">
        <f>HYPERLINK("https://us2.cloudbeds.com/connect/10074733072513#/reservations/31687951798483?display=Craigcolcord%20Tomlinson&amp;reservation_id=31687951798483&amp;guest_id=31687951798478", "Craigcolcord Tomlinson")</f>
        <v>Craigcolcord Tomlinson</v>
      </c>
      <c r="E4340" t="s">
        <v>6842</v>
      </c>
      <c r="F4340" t="s">
        <v>6490</v>
      </c>
      <c r="G4340">
        <v>304.2</v>
      </c>
      <c r="H4340">
        <v>330.66</v>
      </c>
      <c r="I4340">
        <v>330.67</v>
      </c>
      <c r="J4340">
        <v>-0.01</v>
      </c>
    </row>
    <row r="4341" spans="1:10" x14ac:dyDescent="0.3">
      <c r="A4341" t="str">
        <f>HYPERLINK("https://us2.cloudbeds.com/connect/10074733072513#/reservations/31680892768450?display=MHBU7VAYC&amp;reservation_id=31680892768450", "MHBU7VAYC")</f>
        <v>MHBU7VAYC</v>
      </c>
      <c r="B4341" t="s">
        <v>10</v>
      </c>
      <c r="C4341" t="s">
        <v>23</v>
      </c>
      <c r="D4341" t="str">
        <f>HYPERLINK("https://us2.cloudbeds.com/connect/10074733072513#/reservations/31680892768450?display=Dawn%20Rugg&amp;reservation_id=31680892768450&amp;guest_id=31680880574627", "Dawn Rugg")</f>
        <v>Dawn Rugg</v>
      </c>
      <c r="E4341" t="s">
        <v>6845</v>
      </c>
      <c r="F4341" t="s">
        <v>5781</v>
      </c>
      <c r="G4341">
        <v>376.2</v>
      </c>
      <c r="H4341">
        <v>408.92</v>
      </c>
      <c r="I4341">
        <v>408.93</v>
      </c>
      <c r="J4341">
        <v>-0.01</v>
      </c>
    </row>
    <row r="4342" spans="1:10" x14ac:dyDescent="0.3">
      <c r="A4342" t="str">
        <f>HYPERLINK("https://us2.cloudbeds.com/connect/10074733072513#/reservations/31682130194642?display=MHCSSCHGP&amp;reservation_id=31682130194642", "MHCSSCHGP")</f>
        <v>MHCSSCHGP</v>
      </c>
      <c r="B4342" t="s">
        <v>10</v>
      </c>
      <c r="C4342" t="s">
        <v>42</v>
      </c>
      <c r="D4342" t="str">
        <f>HYPERLINK("https://us2.cloudbeds.com/connect/10074733072513#/reservations/31682130194642?display=Chris%20Bellis&amp;reservation_id=31682130194642&amp;guest_id=31682124087424", "Chris Bellis")</f>
        <v>Chris Bellis</v>
      </c>
      <c r="E4342" t="s">
        <v>6855</v>
      </c>
      <c r="F4342" t="s">
        <v>6629</v>
      </c>
      <c r="G4342">
        <v>134.1</v>
      </c>
      <c r="H4342">
        <v>145.76</v>
      </c>
      <c r="I4342">
        <v>145.77000000000001</v>
      </c>
      <c r="J4342">
        <v>-0.01</v>
      </c>
    </row>
    <row r="4343" spans="1:10" x14ac:dyDescent="0.3">
      <c r="A4343" t="str">
        <f>HYPERLINK("https://us2.cloudbeds.com/connect/10074733072513#/reservations/31682124083331?display=MHCSN7FYH&amp;reservation_id=31682124083331", "MHCSN7FYH")</f>
        <v>MHCSN7FYH</v>
      </c>
      <c r="B4343" t="s">
        <v>10</v>
      </c>
      <c r="C4343" t="s">
        <v>42</v>
      </c>
      <c r="D4343" t="str">
        <f>HYPERLINK("https://us2.cloudbeds.com/connect/10074733072513#/reservations/31682124083331?display=Thomas%20Stanley%20Jr%20Saeger&amp;reservation_id=31682124083331&amp;guest_id=31682118070443", "Thomas Stanley Jr Saeger")</f>
        <v>Thomas Stanley Jr Saeger</v>
      </c>
      <c r="E4343" t="s">
        <v>6856</v>
      </c>
      <c r="F4343" t="s">
        <v>6629</v>
      </c>
      <c r="G4343">
        <v>134.1</v>
      </c>
      <c r="H4343">
        <v>145.76</v>
      </c>
      <c r="I4343">
        <v>145.77000000000001</v>
      </c>
      <c r="J4343">
        <v>-0.01</v>
      </c>
    </row>
    <row r="4344" spans="1:10" x14ac:dyDescent="0.3">
      <c r="A4344" t="str">
        <f>HYPERLINK("https://us2.cloudbeds.com/connect/10074733072513#/reservations/31682998243547?display=MHDX1B8V1&amp;reservation_id=31682998243547", "MHDX1B8V1")</f>
        <v>MHDX1B8V1</v>
      </c>
      <c r="B4344" t="s">
        <v>10</v>
      </c>
      <c r="C4344" t="s">
        <v>42</v>
      </c>
      <c r="D4344" t="str">
        <f>HYPERLINK("https://us2.cloudbeds.com/connect/10074733072513#/reservations/31682998243547?display=Charles%20Coffman&amp;reservation_id=31682998243547&amp;guest_id=31682998239450", "Charles Coffman")</f>
        <v>Charles Coffman</v>
      </c>
      <c r="E4344" t="s">
        <v>6857</v>
      </c>
      <c r="F4344" t="s">
        <v>5798</v>
      </c>
      <c r="G4344">
        <v>200.1</v>
      </c>
      <c r="H4344">
        <v>217.5</v>
      </c>
      <c r="I4344">
        <v>217.51</v>
      </c>
      <c r="J4344">
        <v>-0.01</v>
      </c>
    </row>
    <row r="4345" spans="1:10" x14ac:dyDescent="0.3">
      <c r="A4345" t="str">
        <f>HYPERLINK("https://us2.cloudbeds.com/connect/10074733072513#/reservations/31685748269268?display=MHFMA7Q2Q&amp;reservation_id=31685748269268", "MHFMA7Q2Q")</f>
        <v>MHFMA7Q2Q</v>
      </c>
      <c r="B4345" t="s">
        <v>10</v>
      </c>
      <c r="C4345" t="s">
        <v>42</v>
      </c>
      <c r="D4345" t="str">
        <f>HYPERLINK("https://us2.cloudbeds.com/connect/10074733072513#/reservations/31685748269268?display=Douglas%20Burn&amp;reservation_id=31685748269268&amp;guest_id=31685748269266", "Douglas Burn")</f>
        <v>Douglas Burn</v>
      </c>
      <c r="E4345" t="s">
        <v>6864</v>
      </c>
      <c r="F4345" t="s">
        <v>4181</v>
      </c>
      <c r="G4345">
        <v>170.1</v>
      </c>
      <c r="H4345">
        <v>184.89</v>
      </c>
      <c r="I4345">
        <v>184.9</v>
      </c>
      <c r="J4345">
        <v>-0.01</v>
      </c>
    </row>
    <row r="4346" spans="1:10" x14ac:dyDescent="0.3">
      <c r="A4346" t="str">
        <f>HYPERLINK("https://us2.cloudbeds.com/connect/10074733072513#/reservations/31685998289141?display=MHFSN1VZJ&amp;reservation_id=31685998289141", "MHFSN1VZJ")</f>
        <v>MHFSN1VZJ</v>
      </c>
      <c r="B4346" t="s">
        <v>10</v>
      </c>
      <c r="C4346" t="s">
        <v>11</v>
      </c>
      <c r="D4346" t="str">
        <f>HYPERLINK("https://us2.cloudbeds.com/connect/10074733072513#/reservations/31685998289141?display=Sean%20Earleywine&amp;reservation_id=31685998289141&amp;guest_id=31685998289137", "Sean Earleywine")</f>
        <v>Sean Earleywine</v>
      </c>
      <c r="E4346" t="s">
        <v>6867</v>
      </c>
      <c r="F4346" t="s">
        <v>6805</v>
      </c>
      <c r="G4346">
        <v>117.42</v>
      </c>
      <c r="H4346">
        <v>127.63</v>
      </c>
      <c r="I4346">
        <v>127.64</v>
      </c>
      <c r="J4346">
        <v>-0.01</v>
      </c>
    </row>
    <row r="4347" spans="1:10" x14ac:dyDescent="0.3">
      <c r="A4347" t="str">
        <f>HYPERLINK("https://us2.cloudbeds.com/connect/10074733072513#/reservations/31686013399233?display=MHFT2QDV5&amp;reservation_id=31686013399233", "MHFT2QDV5")</f>
        <v>MHFT2QDV5</v>
      </c>
      <c r="B4347" t="s">
        <v>10</v>
      </c>
      <c r="C4347" t="s">
        <v>11</v>
      </c>
      <c r="D4347" t="str">
        <f>HYPERLINK("https://us2.cloudbeds.com/connect/10074733072513#/reservations/31686013399233?display=Sean%20Earleywine&amp;reservation_id=31686013399233&amp;guest_id=31686005837964", "Sean Earleywine")</f>
        <v>Sean Earleywine</v>
      </c>
      <c r="E4347" t="s">
        <v>6868</v>
      </c>
      <c r="F4347" t="s">
        <v>6805</v>
      </c>
      <c r="G4347">
        <v>117.42</v>
      </c>
      <c r="H4347">
        <v>127.63</v>
      </c>
      <c r="I4347">
        <v>127.64</v>
      </c>
      <c r="J4347">
        <v>-0.01</v>
      </c>
    </row>
    <row r="4348" spans="1:10" x14ac:dyDescent="0.3">
      <c r="A4348" t="str">
        <f>HYPERLINK("https://us2.cloudbeds.com/connect/10074733072513#/reservations/31686020571277?display=MHFT8RWRR&amp;reservation_id=31686020571277", "MHFT8RWRR")</f>
        <v>MHFT8RWRR</v>
      </c>
      <c r="B4348" t="s">
        <v>10</v>
      </c>
      <c r="C4348" t="s">
        <v>14</v>
      </c>
      <c r="D4348" t="str">
        <f>HYPERLINK("https://us2.cloudbeds.com/connect/10074733072513#/reservations/31686020571277?display=Alexander%20Gardner&amp;reservation_id=31686020571277&amp;guest_id=31686020567190", "Alexander Gardner")</f>
        <v>Alexander Gardner</v>
      </c>
      <c r="E4348" t="s">
        <v>6872</v>
      </c>
      <c r="F4348" t="s">
        <v>6805</v>
      </c>
      <c r="G4348">
        <v>182.36</v>
      </c>
      <c r="H4348">
        <v>198.22</v>
      </c>
      <c r="I4348">
        <v>198.23</v>
      </c>
      <c r="J4348">
        <v>-0.01</v>
      </c>
    </row>
    <row r="4349" spans="1:10" x14ac:dyDescent="0.3">
      <c r="A4349" t="str">
        <f>HYPERLINK("https://us2.cloudbeds.com/connect/10074733072513#/reservations/31682415169731?display=MHD34MCKH&amp;reservation_id=31682415169731", "MHD34MCKH")</f>
        <v>MHD34MCKH</v>
      </c>
      <c r="B4349" t="s">
        <v>10</v>
      </c>
      <c r="C4349" t="s">
        <v>23</v>
      </c>
      <c r="D4349" t="str">
        <f>HYPERLINK("https://us2.cloudbeds.com/connect/10074733072513#/reservations/31682415169731?display=Chirs%20Gadeken&amp;reservation_id=31682415169731&amp;guest_id=31682404335788", "Chirs Gadeken")</f>
        <v>Chirs Gadeken</v>
      </c>
      <c r="E4349" t="s">
        <v>6876</v>
      </c>
      <c r="F4349" t="s">
        <v>5283</v>
      </c>
      <c r="G4349">
        <v>224.1</v>
      </c>
      <c r="H4349">
        <v>243.59</v>
      </c>
      <c r="I4349">
        <v>243.6</v>
      </c>
      <c r="J4349">
        <v>-0.01</v>
      </c>
    </row>
    <row r="4350" spans="1:10" x14ac:dyDescent="0.3">
      <c r="A4350" t="str">
        <f>HYPERLINK("https://us2.cloudbeds.com/connect/10074733072513#/reservations/31680011382938?display=MHB7NZFXG&amp;reservation_id=31680011382938", "MHB7NZFXG")</f>
        <v>MHB7NZFXG</v>
      </c>
      <c r="B4350" t="s">
        <v>10</v>
      </c>
      <c r="C4350" t="s">
        <v>20</v>
      </c>
      <c r="D4350" t="str">
        <f>HYPERLINK("https://us2.cloudbeds.com/connect/10074733072513#/reservations/31680011382938?display=Roseanne%20Hutton&amp;reservation_id=31680011382938&amp;guest_id=31680011382923", "Roseanne Hutton")</f>
        <v>Roseanne Hutton</v>
      </c>
      <c r="E4350" t="s">
        <v>6879</v>
      </c>
      <c r="F4350" t="s">
        <v>6805</v>
      </c>
      <c r="G4350">
        <v>134.1</v>
      </c>
      <c r="H4350">
        <v>145.76</v>
      </c>
      <c r="I4350">
        <v>145.77000000000001</v>
      </c>
      <c r="J4350">
        <v>-0.01</v>
      </c>
    </row>
    <row r="4351" spans="1:10" x14ac:dyDescent="0.3">
      <c r="A4351" t="str">
        <f>HYPERLINK("https://us2.cloudbeds.com/connect/10074733072513#/reservations/31685325730001?display=MHFBGV0DJ&amp;reservation_id=31685325730001", "MHFBGV0DJ")</f>
        <v>MHFBGV0DJ</v>
      </c>
      <c r="B4351" t="s">
        <v>10</v>
      </c>
      <c r="C4351" t="s">
        <v>20</v>
      </c>
      <c r="D4351" t="str">
        <f>HYPERLINK("https://us2.cloudbeds.com/connect/10074733072513#/reservations/31685325730001?display=Teresa%20Doan&amp;reservation_id=31685325730001&amp;guest_id=31685319422137", "Teresa Doan")</f>
        <v>Teresa Doan</v>
      </c>
      <c r="E4351" t="s">
        <v>6882</v>
      </c>
      <c r="F4351" t="s">
        <v>6492</v>
      </c>
      <c r="G4351">
        <v>134.1</v>
      </c>
      <c r="H4351">
        <v>145.76</v>
      </c>
      <c r="I4351">
        <v>145.77000000000001</v>
      </c>
      <c r="J4351">
        <v>-0.01</v>
      </c>
    </row>
    <row r="4352" spans="1:10" x14ac:dyDescent="0.3">
      <c r="A4352" t="str">
        <f>HYPERLINK("https://us2.cloudbeds.com/connect/10074733072513#/reservations/31680398074016?display=MHBHJQNPV&amp;reservation_id=31680398074016", "MHBHJQNPV")</f>
        <v>MHBHJQNPV</v>
      </c>
      <c r="B4352" t="s">
        <v>10</v>
      </c>
      <c r="C4352" t="s">
        <v>17</v>
      </c>
      <c r="D4352" t="str">
        <f>HYPERLINK("https://us2.cloudbeds.com/connect/10074733072513#/reservations/31680398074016?display=Roman%20Ledyayev&amp;reservation_id=31680398074016&amp;guest_id=31680398069922", "Roman Ledyayev")</f>
        <v>Roman Ledyayev</v>
      </c>
      <c r="E4352" t="s">
        <v>6883</v>
      </c>
      <c r="F4352" t="s">
        <v>6884</v>
      </c>
      <c r="G4352">
        <v>134.1</v>
      </c>
      <c r="H4352">
        <v>145.76</v>
      </c>
      <c r="I4352">
        <v>145.77000000000001</v>
      </c>
      <c r="J4352">
        <v>-0.01</v>
      </c>
    </row>
    <row r="4353" spans="1:10" x14ac:dyDescent="0.3">
      <c r="A4353" t="str">
        <f>HYPERLINK("https://us2.cloudbeds.com/connect/10074733072513#/reservations/31680069603477?display=MHB96RHV8&amp;reservation_id=31680069603477", "MHB96RHV8")</f>
        <v>MHB96RHV8</v>
      </c>
      <c r="B4353" t="s">
        <v>10</v>
      </c>
      <c r="C4353" t="s">
        <v>20</v>
      </c>
      <c r="D4353" t="str">
        <f>HYPERLINK("https://us2.cloudbeds.com/connect/10074733072513#/reservations/31680069603477?display=Peggy%20Shea&amp;reservation_id=31680069603477&amp;guest_id=31680069603466", "Peggy Shea")</f>
        <v>Peggy Shea</v>
      </c>
      <c r="E4353" t="s">
        <v>6890</v>
      </c>
      <c r="F4353" t="s">
        <v>6568</v>
      </c>
      <c r="G4353">
        <v>250.2</v>
      </c>
      <c r="H4353">
        <v>271.95999999999998</v>
      </c>
      <c r="I4353">
        <v>271.97000000000003</v>
      </c>
      <c r="J4353">
        <v>-0.01</v>
      </c>
    </row>
    <row r="4354" spans="1:10" x14ac:dyDescent="0.3">
      <c r="A4354" t="str">
        <f>HYPERLINK("https://us2.cloudbeds.com/connect/10074733072513#/reservations/31685419348150?display=MHFDTT2G6&amp;reservation_id=31685419348150", "MHFDTT2G6")</f>
        <v>MHFDTT2G6</v>
      </c>
      <c r="B4354" t="s">
        <v>10</v>
      </c>
      <c r="C4354" t="s">
        <v>20</v>
      </c>
      <c r="D4354" t="str">
        <f>HYPERLINK("https://us2.cloudbeds.com/connect/10074733072513#/reservations/31685419348150?display=Diana%20Morrissey&amp;reservation_id=31685419348150&amp;guest_id=31685419348140", "Diana Morrissey")</f>
        <v>Diana Morrissey</v>
      </c>
      <c r="E4354" t="s">
        <v>6898</v>
      </c>
      <c r="F4354" t="s">
        <v>6899</v>
      </c>
      <c r="G4354">
        <v>366.3</v>
      </c>
      <c r="H4354">
        <v>398.16</v>
      </c>
      <c r="I4354">
        <v>398.17</v>
      </c>
      <c r="J4354">
        <v>-0.01</v>
      </c>
    </row>
    <row r="4355" spans="1:10" x14ac:dyDescent="0.3">
      <c r="A4355" t="str">
        <f>HYPERLINK("https://us2.cloudbeds.com/connect/10074733072513#/reservations/31687483175083?display=MHH0Y53C9&amp;reservation_id=31687483175083", "MHH0Y53C9")</f>
        <v>MHH0Y53C9</v>
      </c>
      <c r="B4355" t="s">
        <v>10</v>
      </c>
      <c r="C4355" t="s">
        <v>42</v>
      </c>
      <c r="D4355" t="str">
        <f>HYPERLINK("https://us2.cloudbeds.com/connect/10074733072513#/reservations/31687483175083?display=Dennis%20Brown&amp;reservation_id=31687483175083&amp;guest_id=31687483175080", "Dennis Brown")</f>
        <v>Dennis Brown</v>
      </c>
      <c r="E4355" t="s">
        <v>6902</v>
      </c>
      <c r="F4355" t="s">
        <v>6698</v>
      </c>
      <c r="G4355">
        <v>134.1</v>
      </c>
      <c r="H4355">
        <v>145.76</v>
      </c>
      <c r="I4355">
        <v>145.77000000000001</v>
      </c>
      <c r="J4355">
        <v>-0.01</v>
      </c>
    </row>
    <row r="4356" spans="1:10" x14ac:dyDescent="0.3">
      <c r="A4356" t="str">
        <f>HYPERLINK("https://us2.cloudbeds.com/connect/10074733072513#/reservations/31680875933825?display=MHBTQZSS7&amp;reservation_id=31680875933825", "MHBTQZSS7")</f>
        <v>MHBTQZSS7</v>
      </c>
      <c r="B4356" t="s">
        <v>10</v>
      </c>
      <c r="C4356" t="s">
        <v>11</v>
      </c>
      <c r="D4356" t="str">
        <f>HYPERLINK("https://us2.cloudbeds.com/connect/10074733072513#/reservations/31680875933825?display=Mary%20Hedstrom&amp;reservation_id=31680875933825&amp;guest_id=31680866402464", "Mary Hedstrom")</f>
        <v>Mary Hedstrom</v>
      </c>
      <c r="E4356" t="s">
        <v>6904</v>
      </c>
      <c r="F4356" t="s">
        <v>6884</v>
      </c>
      <c r="G4356">
        <v>117.42</v>
      </c>
      <c r="H4356">
        <v>127.63</v>
      </c>
      <c r="I4356">
        <v>127.64</v>
      </c>
      <c r="J4356">
        <v>-0.01</v>
      </c>
    </row>
    <row r="4357" spans="1:10" x14ac:dyDescent="0.3">
      <c r="A4357" t="str">
        <f>HYPERLINK("https://us2.cloudbeds.com/connect/10074733072513#/reservations/31683701854356?display=MHE30Y96M&amp;reservation_id=31683701854356", "MHE30Y96M")</f>
        <v>MHE30Y96M</v>
      </c>
      <c r="B4357" t="s">
        <v>10</v>
      </c>
      <c r="C4357" t="s">
        <v>20</v>
      </c>
      <c r="D4357" t="str">
        <f>HYPERLINK("https://us2.cloudbeds.com/connect/10074733072513#/reservations/31683701854356?display=Bernd%20Seibert&amp;reservation_id=31683701854356&amp;guest_id=31683690549454", "Bernd Seibert")</f>
        <v>Bernd Seibert</v>
      </c>
      <c r="E4357" t="s">
        <v>6912</v>
      </c>
      <c r="F4357" t="s">
        <v>6568</v>
      </c>
      <c r="G4357">
        <v>250.2</v>
      </c>
      <c r="H4357">
        <v>271.95999999999998</v>
      </c>
      <c r="I4357">
        <v>271.97000000000003</v>
      </c>
      <c r="J4357">
        <v>-0.01</v>
      </c>
    </row>
    <row r="4358" spans="1:10" x14ac:dyDescent="0.3">
      <c r="A4358" t="str">
        <f>HYPERLINK("https://us2.cloudbeds.com/connect/10074733072513#/reservations/31680787906783?display=MHBRXHCV3&amp;reservation_id=31680787906783", "MHBRXHCV3")</f>
        <v>MHBRXHCV3</v>
      </c>
      <c r="B4358" t="s">
        <v>10</v>
      </c>
      <c r="C4358" t="s">
        <v>42</v>
      </c>
      <c r="D4358" t="str">
        <f>HYPERLINK("https://us2.cloudbeds.com/connect/10074733072513#/reservations/31680787906783?display=David%20Soyk&amp;reservation_id=31680787906783&amp;guest_id=31680787906777", "David Soyk")</f>
        <v>David Soyk</v>
      </c>
      <c r="E4358" t="s">
        <v>6927</v>
      </c>
      <c r="F4358" t="s">
        <v>6928</v>
      </c>
      <c r="G4358">
        <v>250.2</v>
      </c>
      <c r="H4358">
        <v>271.95999999999998</v>
      </c>
      <c r="I4358">
        <v>271.97000000000003</v>
      </c>
      <c r="J4358">
        <v>-0.01</v>
      </c>
    </row>
    <row r="4359" spans="1:10" x14ac:dyDescent="0.3">
      <c r="A4359" t="str">
        <f>HYPERLINK("https://us2.cloudbeds.com/connect/10074733072513#/reservations/31682337894602?display=MHD15H2TV&amp;reservation_id=31682337894602", "MHD15H2TV")</f>
        <v>MHD15H2TV</v>
      </c>
      <c r="B4359" t="s">
        <v>10</v>
      </c>
      <c r="C4359" t="s">
        <v>20</v>
      </c>
      <c r="D4359" t="str">
        <f>HYPERLINK("https://us2.cloudbeds.com/connect/10074733072513#/reservations/31682337894602?display=Wang%20Zhihao&amp;reservation_id=31682337894602&amp;guest_id=31682337894597", "Wang Zhihao")</f>
        <v>Wang Zhihao</v>
      </c>
      <c r="E4359" t="s">
        <v>6929</v>
      </c>
      <c r="F4359" t="s">
        <v>6435</v>
      </c>
      <c r="G4359">
        <v>134.1</v>
      </c>
      <c r="H4359">
        <v>145.76</v>
      </c>
      <c r="I4359">
        <v>145.77000000000001</v>
      </c>
      <c r="J4359">
        <v>-0.01</v>
      </c>
    </row>
    <row r="4360" spans="1:10" x14ac:dyDescent="0.3">
      <c r="A4360" t="str">
        <f>HYPERLINK("https://us2.cloudbeds.com/connect/10074733072513#/reservations/31680721219814?display=MHBPS9Z1S&amp;reservation_id=31680721219814", "MHBPS9Z1S")</f>
        <v>MHBPS9Z1S</v>
      </c>
      <c r="B4360" t="s">
        <v>10</v>
      </c>
      <c r="C4360" t="s">
        <v>42</v>
      </c>
      <c r="D4360" t="str">
        <f>HYPERLINK("https://us2.cloudbeds.com/connect/10074733072513#/reservations/31680721219814?display=Cristal%20Darduno&amp;reservation_id=31680721219814&amp;guest_id=31680721219791", "Cristal Darduno")</f>
        <v>Cristal Darduno</v>
      </c>
      <c r="E4360" t="s">
        <v>6930</v>
      </c>
      <c r="F4360" t="s">
        <v>6435</v>
      </c>
      <c r="G4360">
        <v>222.4</v>
      </c>
      <c r="H4360">
        <v>241.74</v>
      </c>
      <c r="I4360">
        <v>241.75</v>
      </c>
      <c r="J4360">
        <v>-0.01</v>
      </c>
    </row>
    <row r="4361" spans="1:10" x14ac:dyDescent="0.3">
      <c r="A4361" t="str">
        <f>HYPERLINK("https://us2.cloudbeds.com/connect/10074733072513#/reservations/31729880875140?display=MXGS00JVT&amp;reservation_id=31729880875140", "MXGS00JVT")</f>
        <v>MXGS00JVT</v>
      </c>
      <c r="B4361" t="s">
        <v>10</v>
      </c>
      <c r="C4361" t="s">
        <v>11</v>
      </c>
      <c r="D4361" t="str">
        <f>HYPERLINK("https://us2.cloudbeds.com/connect/10074733072513#/reservations/31729880875140?display=Andrew%20Hawley&amp;reservation_id=31729880875140&amp;guest_id=31729874350300", "Andrew Hawley")</f>
        <v>Andrew Hawley</v>
      </c>
      <c r="E4361" t="s">
        <v>6932</v>
      </c>
      <c r="F4361" t="s">
        <v>6933</v>
      </c>
      <c r="G4361">
        <v>170.1</v>
      </c>
      <c r="H4361">
        <v>184.89</v>
      </c>
      <c r="I4361">
        <v>184.9</v>
      </c>
      <c r="J4361">
        <v>-0.01</v>
      </c>
    </row>
    <row r="4362" spans="1:10" x14ac:dyDescent="0.3">
      <c r="A4362" t="str">
        <f>HYPERLINK("https://us2.cloudbeds.com/connect/10074733072513#/reservations/31682400116919?display=MHD2ZWH0N&amp;reservation_id=31682400116919", "MHD2ZWH0N")</f>
        <v>MHD2ZWH0N</v>
      </c>
      <c r="B4362" t="s">
        <v>10</v>
      </c>
      <c r="C4362" t="s">
        <v>20</v>
      </c>
      <c r="D4362" t="str">
        <f>HYPERLINK("https://us2.cloudbeds.com/connect/10074733072513#/reservations/31682400116919?display=Ekkehard%20Boortz&amp;reservation_id=31682400116919&amp;guest_id=31682389459164", "Ekkehard Boortz")</f>
        <v>Ekkehard Boortz</v>
      </c>
      <c r="E4362" t="s">
        <v>6938</v>
      </c>
      <c r="F4362" t="s">
        <v>6435</v>
      </c>
      <c r="G4362">
        <v>268.2</v>
      </c>
      <c r="H4362">
        <v>291.52</v>
      </c>
      <c r="I4362">
        <v>291.52999999999997</v>
      </c>
      <c r="J4362">
        <v>-0.01</v>
      </c>
    </row>
    <row r="4363" spans="1:10" x14ac:dyDescent="0.3">
      <c r="A4363" t="str">
        <f>HYPERLINK("https://us2.cloudbeds.com/connect/10074733072513#/reservations/31682454118599?display=MHD44H6B8&amp;reservation_id=31682454118599", "MHD44H6B8")</f>
        <v>MHD44H6B8</v>
      </c>
      <c r="B4363" t="s">
        <v>10</v>
      </c>
      <c r="C4363" t="s">
        <v>42</v>
      </c>
      <c r="D4363" t="str">
        <f>HYPERLINK("https://us2.cloudbeds.com/connect/10074733072513#/reservations/31682454118599?display=Ashley%20Schreurs&amp;reservation_id=31682454118599&amp;guest_id=31682454118597", "Ashley Schreurs")</f>
        <v>Ashley Schreurs</v>
      </c>
      <c r="E4363" t="s">
        <v>6941</v>
      </c>
      <c r="F4363" t="s">
        <v>5283</v>
      </c>
      <c r="G4363">
        <v>430.2</v>
      </c>
      <c r="H4363">
        <v>467.62</v>
      </c>
      <c r="I4363">
        <v>467.63</v>
      </c>
      <c r="J4363">
        <v>-0.01</v>
      </c>
    </row>
    <row r="4364" spans="1:10" x14ac:dyDescent="0.3">
      <c r="A4364" t="str">
        <f>HYPERLINK("https://us2.cloudbeds.com/connect/10074733072513#/reservations/31680941518979?display=MHBVG1SW4&amp;reservation_id=31680941518979", "MHBVG1SW4")</f>
        <v>MHBVG1SW4</v>
      </c>
      <c r="B4364" t="s">
        <v>10</v>
      </c>
      <c r="C4364" t="s">
        <v>11</v>
      </c>
      <c r="D4364" t="str">
        <f>HYPERLINK("https://us2.cloudbeds.com/connect/10074733072513#/reservations/31680941518979?display=Jasmine%20Kreeger&amp;reservation_id=31680941518979&amp;guest_id=31680933806295", "Jasmine Kreeger")</f>
        <v>Jasmine Kreeger</v>
      </c>
      <c r="E4364" t="s">
        <v>6952</v>
      </c>
      <c r="F4364" t="s">
        <v>6490</v>
      </c>
      <c r="G4364">
        <v>127.2</v>
      </c>
      <c r="H4364">
        <v>138.26</v>
      </c>
      <c r="I4364">
        <v>138.27000000000001</v>
      </c>
      <c r="J4364">
        <v>-0.01</v>
      </c>
    </row>
    <row r="4365" spans="1:10" x14ac:dyDescent="0.3">
      <c r="A4365" t="str">
        <f>HYPERLINK("https://us2.cloudbeds.com/connect/10074733072513#/reservations/31680781570184?display=MHBRD626V&amp;reservation_id=31680781570184", "MHBRD626V")</f>
        <v>MHBRD626V</v>
      </c>
      <c r="B4365" t="s">
        <v>10</v>
      </c>
      <c r="C4365" t="s">
        <v>11</v>
      </c>
      <c r="D4365" t="str">
        <f>HYPERLINK("https://us2.cloudbeds.com/connect/10074733072513#/reservations/31680781570184?display=Allison%20Rasmussen&amp;reservation_id=31680781570184&amp;guest_id=31680781570179", "Allison Rasmussen")</f>
        <v>Allison Rasmussen</v>
      </c>
      <c r="E4365" t="s">
        <v>6954</v>
      </c>
      <c r="F4365" t="s">
        <v>6928</v>
      </c>
      <c r="G4365">
        <v>163.18</v>
      </c>
      <c r="H4365">
        <v>177.37</v>
      </c>
      <c r="I4365">
        <v>177.38</v>
      </c>
      <c r="J4365">
        <v>-0.01</v>
      </c>
    </row>
    <row r="4366" spans="1:10" x14ac:dyDescent="0.3">
      <c r="A4366" t="str">
        <f>HYPERLINK("https://us2.cloudbeds.com/connect/10074733072513#/reservations/31680915407100?display=MHBUR1942&amp;reservation_id=31680915407100", "MHBUR1942")</f>
        <v>MHBUR1942</v>
      </c>
      <c r="B4366" t="s">
        <v>10</v>
      </c>
      <c r="C4366" t="s">
        <v>20</v>
      </c>
      <c r="D4366" t="str">
        <f>HYPERLINK("https://us2.cloudbeds.com/connect/10074733072513#/reservations/31680915407100?display=Jennifer%20Summerton&amp;reservation_id=31680915407100&amp;guest_id=31680915407097", "Jennifer Summerton")</f>
        <v>Jennifer Summerton</v>
      </c>
      <c r="E4366" t="s">
        <v>6958</v>
      </c>
      <c r="F4366" t="s">
        <v>6490</v>
      </c>
      <c r="G4366">
        <v>134.1</v>
      </c>
      <c r="H4366">
        <v>145.76</v>
      </c>
      <c r="I4366">
        <v>145.77000000000001</v>
      </c>
      <c r="J4366">
        <v>-0.01</v>
      </c>
    </row>
    <row r="4367" spans="1:10" x14ac:dyDescent="0.3">
      <c r="A4367" t="str">
        <f>HYPERLINK("https://us2.cloudbeds.com/connect/10074733072513#/reservations/31680888967340?display=MHBU4ZX67&amp;reservation_id=31680888967340", "MHBU4ZX67")</f>
        <v>MHBU4ZX67</v>
      </c>
      <c r="B4367" t="s">
        <v>10</v>
      </c>
      <c r="C4367" t="s">
        <v>20</v>
      </c>
      <c r="D4367" t="str">
        <f>HYPERLINK("https://us2.cloudbeds.com/connect/10074733072513#/reservations/31680888967340?display=Anne%20Sturdevant&amp;reservation_id=31680888967340&amp;guest_id=31680888967325", "Anne Sturdevant")</f>
        <v>Anne Sturdevant</v>
      </c>
      <c r="E4367" t="s">
        <v>6959</v>
      </c>
      <c r="F4367" t="s">
        <v>6884</v>
      </c>
      <c r="G4367">
        <v>134.1</v>
      </c>
      <c r="H4367">
        <v>145.76</v>
      </c>
      <c r="I4367">
        <v>145.77000000000001</v>
      </c>
      <c r="J4367">
        <v>-0.01</v>
      </c>
    </row>
    <row r="4368" spans="1:10" x14ac:dyDescent="0.3">
      <c r="A4368" t="str">
        <f>HYPERLINK("https://us2.cloudbeds.com/connect/10074733072513#/reservations/31680933802217?display=MHBV9X4SR&amp;reservation_id=31680933802217", "MHBV9X4SR")</f>
        <v>MHBV9X4SR</v>
      </c>
      <c r="B4368" t="s">
        <v>10</v>
      </c>
      <c r="C4368" t="s">
        <v>20</v>
      </c>
      <c r="D4368" t="str">
        <f>HYPERLINK("https://us2.cloudbeds.com/connect/10074733072513#/reservations/31680933802217?display=Connie%20Stalcup&amp;reservation_id=31680933802217&amp;guest_id=31680924684431", "Connie Stalcup")</f>
        <v>Connie Stalcup</v>
      </c>
      <c r="E4368" t="s">
        <v>6963</v>
      </c>
      <c r="F4368" t="s">
        <v>6953</v>
      </c>
      <c r="G4368">
        <v>134.1</v>
      </c>
      <c r="H4368">
        <v>145.76</v>
      </c>
      <c r="I4368">
        <v>145.77000000000001</v>
      </c>
      <c r="J4368">
        <v>-0.01</v>
      </c>
    </row>
    <row r="4369" spans="1:10" x14ac:dyDescent="0.3">
      <c r="A4369" t="str">
        <f>HYPERLINK("https://us2.cloudbeds.com/connect/10074733072513#/reservations/31681307705551?display=MHC7RRXEU&amp;reservation_id=31681307705551", "MHC7RRXEU")</f>
        <v>MHC7RRXEU</v>
      </c>
      <c r="B4369" t="s">
        <v>10</v>
      </c>
      <c r="C4369" t="s">
        <v>20</v>
      </c>
      <c r="D4369" t="str">
        <f>HYPERLINK("https://us2.cloudbeds.com/connect/10074733072513#/reservations/31681307705551?display=Erik%20Mathys&amp;reservation_id=31681307705551&amp;guest_id=31681307705549", "Erik Mathys")</f>
        <v>Erik Mathys</v>
      </c>
      <c r="E4369" t="s">
        <v>6966</v>
      </c>
      <c r="F4369" t="s">
        <v>6698</v>
      </c>
      <c r="G4369">
        <v>134.1</v>
      </c>
      <c r="H4369">
        <v>145.76</v>
      </c>
      <c r="I4369">
        <v>145.77000000000001</v>
      </c>
      <c r="J4369">
        <v>-0.01</v>
      </c>
    </row>
    <row r="4370" spans="1:10" x14ac:dyDescent="0.3">
      <c r="A4370" t="str">
        <f>HYPERLINK("https://us2.cloudbeds.com/connect/10074733072513#/reservations/31687490965697?display=MHH0RNT9G&amp;reservation_id=31687490965697", "MHH0RNT9G")</f>
        <v>MHH0RNT9G</v>
      </c>
      <c r="B4370" t="s">
        <v>10</v>
      </c>
      <c r="C4370" t="s">
        <v>14</v>
      </c>
      <c r="D4370" t="str">
        <f>HYPERLINK("https://us2.cloudbeds.com/connect/10074733072513#/reservations/31687490965697?display=Michael%20Boone&amp;reservation_id=31687490965697&amp;guest_id=31687490961659", "Michael Boone")</f>
        <v>Michael Boone</v>
      </c>
      <c r="E4370" t="s">
        <v>6969</v>
      </c>
      <c r="F4370" t="s">
        <v>6698</v>
      </c>
      <c r="G4370">
        <v>117.42</v>
      </c>
      <c r="H4370">
        <v>127.63</v>
      </c>
      <c r="I4370">
        <v>127.64</v>
      </c>
      <c r="J4370">
        <v>-0.01</v>
      </c>
    </row>
    <row r="4371" spans="1:10" x14ac:dyDescent="0.3">
      <c r="A4371" t="str">
        <f>HYPERLINK("https://us2.cloudbeds.com/connect/10074733072513#/reservations/31687497711817?display=MHH10DK2C&amp;reservation_id=31687497711817", "MHH10DK2C")</f>
        <v>MHH10DK2C</v>
      </c>
      <c r="B4371" t="s">
        <v>10</v>
      </c>
      <c r="C4371" t="s">
        <v>42</v>
      </c>
      <c r="D4371" t="str">
        <f>HYPERLINK("https://us2.cloudbeds.com/connect/10074733072513#/reservations/31687497711817?display=Linda%20Hukill&amp;reservation_id=31687497711817&amp;guest_id=31687497707736", "Linda Hukill")</f>
        <v>Linda Hukill</v>
      </c>
      <c r="E4371" t="s">
        <v>6970</v>
      </c>
      <c r="F4371" t="s">
        <v>6698</v>
      </c>
      <c r="G4371">
        <v>134.1</v>
      </c>
      <c r="H4371">
        <v>145.76</v>
      </c>
      <c r="I4371">
        <v>145.77000000000001</v>
      </c>
      <c r="J4371">
        <v>-0.01</v>
      </c>
    </row>
    <row r="4372" spans="1:10" x14ac:dyDescent="0.3">
      <c r="A4372" t="str">
        <f>HYPERLINK("https://us2.cloudbeds.com/connect/10074733072513#/reservations/31687780606090?display=MHH87VXE3&amp;reservation_id=31687780606090", "MHH87VXE3")</f>
        <v>MHH87VXE3</v>
      </c>
      <c r="B4372" t="s">
        <v>10</v>
      </c>
      <c r="C4372" t="s">
        <v>42</v>
      </c>
      <c r="D4372" t="str">
        <f>HYPERLINK("https://us2.cloudbeds.com/connect/10074733072513#/reservations/31687780606090?display=Phyllis%20Gross&amp;reservation_id=31687780606090&amp;guest_id=31687780606087", "Phyllis Gross")</f>
        <v>Phyllis Gross</v>
      </c>
      <c r="E4372" t="s">
        <v>6977</v>
      </c>
      <c r="F4372" t="s">
        <v>6698</v>
      </c>
      <c r="G4372">
        <v>134.1</v>
      </c>
      <c r="H4372">
        <v>145.76</v>
      </c>
      <c r="I4372">
        <v>145.77000000000001</v>
      </c>
      <c r="J4372">
        <v>-0.01</v>
      </c>
    </row>
    <row r="4373" spans="1:10" x14ac:dyDescent="0.3">
      <c r="A4373" t="str">
        <f>HYPERLINK("https://us2.cloudbeds.com/connect/10074733072513#/reservations/31687475179650?display=MHH0EDKCD&amp;reservation_id=31687475179650", "MHH0EDKCD")</f>
        <v>MHH0EDKCD</v>
      </c>
      <c r="B4373" t="s">
        <v>10</v>
      </c>
      <c r="C4373" t="s">
        <v>42</v>
      </c>
      <c r="D4373" t="str">
        <f>HYPERLINK("https://us2.cloudbeds.com/connect/10074733072513#/reservations/31687475179650?display=Trent%20Summers&amp;reservation_id=31687475179650&amp;guest_id=31687466266850", "Trent Summers")</f>
        <v>Trent Summers</v>
      </c>
      <c r="E4373" t="s">
        <v>6978</v>
      </c>
      <c r="F4373" t="s">
        <v>6698</v>
      </c>
      <c r="G4373">
        <v>134.1</v>
      </c>
      <c r="H4373">
        <v>145.76</v>
      </c>
      <c r="I4373">
        <v>145.77000000000001</v>
      </c>
      <c r="J4373">
        <v>-0.01</v>
      </c>
    </row>
    <row r="4374" spans="1:10" x14ac:dyDescent="0.3">
      <c r="A4374" t="str">
        <f>HYPERLINK("https://us2.cloudbeds.com/connect/10074733072513#/reservations/31687476043990?display=MHH0F4M2X&amp;reservation_id=31687476043990", "MHH0F4M2X")</f>
        <v>MHH0F4M2X</v>
      </c>
      <c r="B4374" t="s">
        <v>10</v>
      </c>
      <c r="C4374" t="s">
        <v>121</v>
      </c>
      <c r="D4374" t="str">
        <f>HYPERLINK("https://us2.cloudbeds.com/connect/10074733072513#/reservations/31687476043990?display=Cosmin%20Vasle%20Ardelean&amp;reservation_id=31687476043990&amp;guest_id=31687476043987", "Cosmin Vasle Ardelean")</f>
        <v>Cosmin Vasle Ardelean</v>
      </c>
      <c r="E4374" t="s">
        <v>6979</v>
      </c>
      <c r="F4374" t="s">
        <v>6698</v>
      </c>
      <c r="G4374">
        <v>108.2</v>
      </c>
      <c r="H4374">
        <v>117.6</v>
      </c>
      <c r="I4374">
        <v>117.61</v>
      </c>
      <c r="J4374">
        <v>-0.01</v>
      </c>
    </row>
    <row r="4375" spans="1:10" x14ac:dyDescent="0.3">
      <c r="A4375" t="str">
        <f>HYPERLINK("https://us2.cloudbeds.com/connect/10074733072513#/reservations/31687434768617?display=MHGWDB3WM&amp;reservation_id=31687434768617", "MHGWDB3WM")</f>
        <v>MHGWDB3WM</v>
      </c>
      <c r="B4375" t="s">
        <v>10</v>
      </c>
      <c r="C4375" t="s">
        <v>121</v>
      </c>
      <c r="D4375" t="str">
        <f>HYPERLINK("https://us2.cloudbeds.com/connect/10074733072513#/reservations/31687434768617?display=Richard%20Welsh&amp;reservation_id=31687434768617&amp;guest_id=31687422587033", "Richard Welsh")</f>
        <v>Richard Welsh</v>
      </c>
      <c r="E4375" t="s">
        <v>6980</v>
      </c>
      <c r="F4375" t="s">
        <v>6698</v>
      </c>
      <c r="G4375">
        <v>134.1</v>
      </c>
      <c r="H4375">
        <v>145.76</v>
      </c>
      <c r="I4375">
        <v>145.77000000000001</v>
      </c>
      <c r="J4375">
        <v>-0.01</v>
      </c>
    </row>
    <row r="4376" spans="1:10" x14ac:dyDescent="0.3">
      <c r="A4376" t="str">
        <f>HYPERLINK("https://us2.cloudbeds.com/connect/10074733072513#/reservations/31680367767680?display=MHBGR89XV&amp;reservation_id=31680367767680", "MHBGR89XV")</f>
        <v>MHBGR89XV</v>
      </c>
      <c r="B4376" t="s">
        <v>10</v>
      </c>
      <c r="C4376" t="s">
        <v>20</v>
      </c>
      <c r="D4376" t="str">
        <f>HYPERLINK("https://us2.cloudbeds.com/connect/10074733072513#/reservations/31680367767680?display=William%20Sadowsky&amp;reservation_id=31680367767680&amp;guest_id=31680367763644", "William Sadowsky")</f>
        <v>William Sadowsky</v>
      </c>
      <c r="E4376" t="s">
        <v>6983</v>
      </c>
      <c r="F4376" t="s">
        <v>6884</v>
      </c>
      <c r="G4376">
        <v>134.1</v>
      </c>
      <c r="H4376">
        <v>145.76</v>
      </c>
      <c r="I4376">
        <v>145.77000000000001</v>
      </c>
      <c r="J4376">
        <v>-0.01</v>
      </c>
    </row>
    <row r="4377" spans="1:10" x14ac:dyDescent="0.3">
      <c r="A4377" t="str">
        <f>HYPERLINK("https://us2.cloudbeds.com/connect/10074733072513#/reservations/31687828717817?display=MHH9FHB56&amp;reservation_id=31687828717817", "MHH9FHB56")</f>
        <v>MHH9FHB56</v>
      </c>
      <c r="B4377" t="s">
        <v>10</v>
      </c>
      <c r="C4377" t="s">
        <v>121</v>
      </c>
      <c r="D4377" t="str">
        <f>HYPERLINK("https://us2.cloudbeds.com/connect/10074733072513#/reservations/31687828717817?display=Janice%20Kay%20Schultz&amp;reservation_id=31687828717817&amp;guest_id=31687828717763", "Janice Kay Schultz")</f>
        <v>Janice Kay Schultz</v>
      </c>
      <c r="E4377" t="s">
        <v>6986</v>
      </c>
      <c r="F4377" t="s">
        <v>6698</v>
      </c>
      <c r="G4377">
        <v>134.1</v>
      </c>
      <c r="H4377">
        <v>145.76</v>
      </c>
      <c r="I4377">
        <v>145.77000000000001</v>
      </c>
      <c r="J4377">
        <v>-0.01</v>
      </c>
    </row>
    <row r="4378" spans="1:10" x14ac:dyDescent="0.3">
      <c r="A4378" t="str">
        <f>HYPERLINK("https://us2.cloudbeds.com/connect/10074733072513#/reservations/31683989270665?display=MHEAC020R&amp;reservation_id=31683989270665", "MHEAC020R")</f>
        <v>MHEAC020R</v>
      </c>
      <c r="B4378" t="s">
        <v>10</v>
      </c>
      <c r="C4378" t="s">
        <v>42</v>
      </c>
      <c r="D4378" t="str">
        <f>HYPERLINK("https://us2.cloudbeds.com/connect/10074733072513#/reservations/31683989270665?display=Ona%20Ebsen&amp;reservation_id=31683989270665&amp;guest_id=31683989270663", "Ona Ebsen")</f>
        <v>Ona Ebsen</v>
      </c>
      <c r="E4378" t="s">
        <v>5411</v>
      </c>
      <c r="F4378" t="s">
        <v>5568</v>
      </c>
      <c r="G4378">
        <v>144.1</v>
      </c>
      <c r="H4378">
        <v>156.63</v>
      </c>
      <c r="I4378">
        <v>156.63999999999999</v>
      </c>
      <c r="J4378">
        <v>-0.01</v>
      </c>
    </row>
    <row r="4379" spans="1:10" x14ac:dyDescent="0.3">
      <c r="A4379" t="str">
        <f>HYPERLINK("https://us2.cloudbeds.com/connect/10074733072513#/reservations/31680924684433?display=MHBV1SE8C&amp;reservation_id=31680924684433", "MHBV1SE8C")</f>
        <v>MHBV1SE8C</v>
      </c>
      <c r="B4379" t="s">
        <v>10</v>
      </c>
      <c r="C4379" t="s">
        <v>11</v>
      </c>
      <c r="D4379" t="str">
        <f>HYPERLINK("https://us2.cloudbeds.com/connect/10074733072513#/reservations/31680924684433?display=Chris%20Jonsen&amp;reservation_id=31680924684433&amp;guest_id=31680924684418", "Chris Jonsen")</f>
        <v>Chris Jonsen</v>
      </c>
      <c r="E4379" t="s">
        <v>6993</v>
      </c>
      <c r="F4379" t="s">
        <v>6490</v>
      </c>
      <c r="G4379">
        <v>123.18</v>
      </c>
      <c r="H4379">
        <v>133.88999999999999</v>
      </c>
      <c r="I4379">
        <v>133.9</v>
      </c>
      <c r="J4379">
        <v>-0.01</v>
      </c>
    </row>
    <row r="4380" spans="1:10" x14ac:dyDescent="0.3">
      <c r="A4380" t="str">
        <f>HYPERLINK("https://us2.cloudbeds.com/connect/10074733072513#/reservations/31688243032228?display=MHHK1T85C&amp;reservation_id=31688243032228", "MHHK1T85C")</f>
        <v>MHHK1T85C</v>
      </c>
      <c r="B4380" t="s">
        <v>10</v>
      </c>
      <c r="C4380" t="s">
        <v>42</v>
      </c>
      <c r="D4380" t="str">
        <f>HYPERLINK("https://us2.cloudbeds.com/connect/10074733072513#/reservations/31688243032228?display=Jeremy%20Sandstrom&amp;reservation_id=31688243032228&amp;guest_id=31688238125241", "Jeremy Sandstrom")</f>
        <v>Jeremy Sandstrom</v>
      </c>
      <c r="E4380" t="s">
        <v>6996</v>
      </c>
      <c r="F4380" t="s">
        <v>6490</v>
      </c>
      <c r="G4380">
        <v>296.48</v>
      </c>
      <c r="H4380">
        <v>322.26</v>
      </c>
      <c r="I4380">
        <v>322.27</v>
      </c>
      <c r="J4380">
        <v>-0.01</v>
      </c>
    </row>
    <row r="4381" spans="1:10" x14ac:dyDescent="0.3">
      <c r="A4381" t="str">
        <f>HYPERLINK("https://us2.cloudbeds.com/connect/10074733072513#/reservations/31680855646416?display=MHBT9YBF8&amp;reservation_id=31680855646416", "MHBT9YBF8")</f>
        <v>MHBT9YBF8</v>
      </c>
      <c r="B4381" t="s">
        <v>10</v>
      </c>
      <c r="C4381" t="s">
        <v>20</v>
      </c>
      <c r="D4381" t="str">
        <f>HYPERLINK("https://us2.cloudbeds.com/connect/10074733072513#/reservations/31680855646416?display=Jerimiah%20Levins&amp;reservation_id=31680855646416&amp;guest_id=31680855646411", "Jerimiah Levins")</f>
        <v>Jerimiah Levins</v>
      </c>
      <c r="E4381" t="s">
        <v>6998</v>
      </c>
      <c r="F4381" t="s">
        <v>6884</v>
      </c>
      <c r="G4381">
        <v>134.1</v>
      </c>
      <c r="H4381">
        <v>145.76</v>
      </c>
      <c r="I4381">
        <v>145.77000000000001</v>
      </c>
      <c r="J4381">
        <v>-0.01</v>
      </c>
    </row>
    <row r="4382" spans="1:10" x14ac:dyDescent="0.3">
      <c r="A4382" t="str">
        <f>HYPERLINK("https://us2.cloudbeds.com/connect/10074733072513#/reservations/31684614463623?display=MHEQB5W7W&amp;reservation_id=31684614463623", "MHEQB5W7W")</f>
        <v>MHEQB5W7W</v>
      </c>
      <c r="B4382" t="s">
        <v>10</v>
      </c>
      <c r="C4382" t="s">
        <v>23</v>
      </c>
      <c r="D4382" t="str">
        <f>HYPERLINK("https://us2.cloudbeds.com/connect/10074733072513#/reservations/31684614463623?display=Kenneth%20Mcneil&amp;reservation_id=31684614463623&amp;guest_id=31684614459531", "Kenneth Mcneil")</f>
        <v>Kenneth Mcneil</v>
      </c>
      <c r="E4382" t="s">
        <v>6999</v>
      </c>
      <c r="F4382" t="s">
        <v>6953</v>
      </c>
      <c r="G4382">
        <v>134.1</v>
      </c>
      <c r="H4382">
        <v>145.76</v>
      </c>
      <c r="I4382">
        <v>145.77000000000001</v>
      </c>
      <c r="J4382">
        <v>-0.01</v>
      </c>
    </row>
    <row r="4383" spans="1:10" x14ac:dyDescent="0.3">
      <c r="A4383" t="str">
        <f>HYPERLINK("https://us2.cloudbeds.com/connect/10074733072513#/reservations/31681887494284?display=MHCMYZ15F&amp;reservation_id=31681887494284", "MHCMYZ15F")</f>
        <v>MHCMYZ15F</v>
      </c>
      <c r="B4383" t="s">
        <v>10</v>
      </c>
      <c r="C4383" t="s">
        <v>11</v>
      </c>
      <c r="D4383" t="str">
        <f>HYPERLINK("https://us2.cloudbeds.com/connect/10074733072513#/reservations/31681887494284?display=Rebecca%20Potthoff&amp;reservation_id=31681887494284&amp;guest_id=31681880531158", "Rebecca Potthoff")</f>
        <v>Rebecca Potthoff</v>
      </c>
      <c r="E4383" t="s">
        <v>7000</v>
      </c>
      <c r="F4383" t="s">
        <v>6413</v>
      </c>
      <c r="G4383">
        <v>103.2</v>
      </c>
      <c r="H4383">
        <v>112.17</v>
      </c>
      <c r="I4383">
        <v>112.18</v>
      </c>
      <c r="J4383">
        <v>-0.01</v>
      </c>
    </row>
    <row r="4384" spans="1:10" x14ac:dyDescent="0.3">
      <c r="A4384" t="str">
        <f>HYPERLINK("https://us2.cloudbeds.com/connect/10074733072513#/reservations/31689775071375?display=MHXQ6ZGB2&amp;reservation_id=31689775071375", "MHXQ6ZGB2")</f>
        <v>MHXQ6ZGB2</v>
      </c>
      <c r="B4384" t="s">
        <v>10</v>
      </c>
      <c r="C4384" t="s">
        <v>14</v>
      </c>
      <c r="D4384" t="str">
        <f>HYPERLINK("https://us2.cloudbeds.com/connect/10074733072513#/reservations/31689775071375?display=Christian%20Carollo&amp;reservation_id=31689775071375&amp;guest_id=31689767772407", "Christian Carollo")</f>
        <v>Christian Carollo</v>
      </c>
      <c r="E4384" t="s">
        <v>7007</v>
      </c>
      <c r="F4384" t="s">
        <v>7008</v>
      </c>
      <c r="G4384">
        <v>103.2</v>
      </c>
      <c r="H4384">
        <v>112.17</v>
      </c>
      <c r="I4384">
        <v>112.18</v>
      </c>
      <c r="J4384">
        <v>-0.01</v>
      </c>
    </row>
    <row r="4385" spans="1:10" x14ac:dyDescent="0.3">
      <c r="A4385" t="str">
        <f>HYPERLINK("https://us2.cloudbeds.com/connect/10074733072513#/reservations/31688467779782?display=MHHPQD5UA&amp;reservation_id=31688467779782", "MHHPQD5UA")</f>
        <v>MHHPQD5UA</v>
      </c>
      <c r="B4385" t="s">
        <v>10</v>
      </c>
      <c r="C4385" t="s">
        <v>42</v>
      </c>
      <c r="D4385" t="str">
        <f>HYPERLINK("https://us2.cloudbeds.com/connect/10074733072513#/reservations/31688467779782?display=Patrick%20Heissel&amp;reservation_id=31688467779782&amp;guest_id=31688467779777", "Patrick Heissel")</f>
        <v>Patrick Heissel</v>
      </c>
      <c r="E4385" t="s">
        <v>7010</v>
      </c>
      <c r="F4385" t="s">
        <v>5875</v>
      </c>
      <c r="G4385">
        <v>430.2</v>
      </c>
      <c r="H4385">
        <v>467.62</v>
      </c>
      <c r="I4385">
        <v>467.63</v>
      </c>
      <c r="J4385">
        <v>-0.01</v>
      </c>
    </row>
    <row r="4386" spans="1:10" x14ac:dyDescent="0.3">
      <c r="A4386" t="str">
        <f>HYPERLINK("https://us2.cloudbeds.com/connect/10074733072513#/reservations/31685857611974?display=MHFP3EDK4&amp;reservation_id=31685857611974", "MHFP3EDK4")</f>
        <v>MHFP3EDK4</v>
      </c>
      <c r="B4386" t="s">
        <v>10</v>
      </c>
      <c r="C4386" t="s">
        <v>42</v>
      </c>
      <c r="D4386" t="str">
        <f>HYPERLINK("https://us2.cloudbeds.com/connect/10074733072513#/reservations/31685857611974?display=Rebecca%20Boyce&amp;reservation_id=31685857611974&amp;guest_id=31685857611971", "Rebecca Boyce")</f>
        <v>Rebecca Boyce</v>
      </c>
      <c r="E4386" t="s">
        <v>7017</v>
      </c>
      <c r="F4386" t="s">
        <v>6973</v>
      </c>
      <c r="G4386">
        <v>405.6</v>
      </c>
      <c r="H4386">
        <v>440.88</v>
      </c>
      <c r="I4386">
        <v>440.89</v>
      </c>
      <c r="J4386">
        <v>-0.01</v>
      </c>
    </row>
    <row r="4387" spans="1:10" x14ac:dyDescent="0.3">
      <c r="A4387" t="str">
        <f>HYPERLINK("https://us2.cloudbeds.com/connect/10074733072513#/reservations/31688476217567?display=MHHQ0GW3P&amp;reservation_id=31688476217567", "MHHQ0GW3P")</f>
        <v>MHHQ0GW3P</v>
      </c>
      <c r="B4387" t="s">
        <v>10</v>
      </c>
      <c r="C4387" t="s">
        <v>11</v>
      </c>
      <c r="D4387" t="str">
        <f>HYPERLINK("https://us2.cloudbeds.com/connect/10074733072513#/reservations/31688476217567?display=Tanner%20Pennington&amp;reservation_id=31688476217567&amp;guest_id=31688476217555", "Tanner Pennington")</f>
        <v>Tanner Pennington</v>
      </c>
      <c r="E4387" t="s">
        <v>7020</v>
      </c>
      <c r="F4387" t="s">
        <v>5875</v>
      </c>
      <c r="G4387">
        <v>645.29999999999995</v>
      </c>
      <c r="H4387">
        <v>701.43</v>
      </c>
      <c r="I4387">
        <v>701.44</v>
      </c>
      <c r="J4387">
        <v>-0.01</v>
      </c>
    </row>
    <row r="4388" spans="1:10" x14ac:dyDescent="0.3">
      <c r="A4388" t="str">
        <f>HYPERLINK("https://us2.cloudbeds.com/connect/10074733072513#/reservations/31681896751331?display=MHCMTHKM1&amp;reservation_id=31681896751331", "MHCMTHKM1")</f>
        <v>MHCMTHKM1</v>
      </c>
      <c r="B4388" t="s">
        <v>10</v>
      </c>
      <c r="C4388" t="s">
        <v>11</v>
      </c>
      <c r="D4388" t="str">
        <f>HYPERLINK("https://us2.cloudbeds.com/connect/10074733072513#/reservations/31681896751331?display=Cody%20Mccann&amp;reservation_id=31681896751331&amp;guest_id=31681896751329", "Cody Mccann")</f>
        <v>Cody Mccann</v>
      </c>
      <c r="E4388" t="s">
        <v>7028</v>
      </c>
      <c r="F4388" t="s">
        <v>6413</v>
      </c>
      <c r="G4388">
        <v>103.2</v>
      </c>
      <c r="H4388">
        <v>112.17</v>
      </c>
      <c r="I4388">
        <v>112.18</v>
      </c>
      <c r="J4388">
        <v>-0.01</v>
      </c>
    </row>
    <row r="4389" spans="1:10" x14ac:dyDescent="0.3">
      <c r="A4389" t="str">
        <f>HYPERLINK("https://us2.cloudbeds.com/connect/10074733072513#/reservations/31687817289952?display=MHH95TB89&amp;reservation_id=31687817289952", "MHH95TB89")</f>
        <v>MHH95TB89</v>
      </c>
      <c r="B4389" t="s">
        <v>10</v>
      </c>
      <c r="C4389" t="s">
        <v>17</v>
      </c>
      <c r="D4389" t="str">
        <f>HYPERLINK("https://us2.cloudbeds.com/connect/10074733072513#/reservations/31687817289952?display=Roselyn%20Dunn&amp;reservation_id=31687817289952&amp;guest_id=31687817289936", "Roselyn Dunn")</f>
        <v>Roselyn Dunn</v>
      </c>
      <c r="E4389" t="s">
        <v>7032</v>
      </c>
      <c r="F4389" t="s">
        <v>7025</v>
      </c>
      <c r="G4389">
        <v>134.1</v>
      </c>
      <c r="H4389">
        <v>145.76</v>
      </c>
      <c r="I4389">
        <v>145.77000000000001</v>
      </c>
      <c r="J4389">
        <v>-0.01</v>
      </c>
    </row>
    <row r="4390" spans="1:10" x14ac:dyDescent="0.3">
      <c r="A4390" t="str">
        <f>HYPERLINK("https://us2.cloudbeds.com/connect/10074733072513#/reservations/31687827529909?display=MHH9EH9B0&amp;reservation_id=31687827529909", "MHH9EH9B0")</f>
        <v>MHH9EH9B0</v>
      </c>
      <c r="B4390" t="s">
        <v>10</v>
      </c>
      <c r="C4390" t="s">
        <v>11</v>
      </c>
      <c r="D4390" t="str">
        <f>HYPERLINK("https://us2.cloudbeds.com/connect/10074733072513#/reservations/31687827529909?display=Vicki%20Lawton&amp;reservation_id=31687827529909&amp;guest_id=31687817294043", "Vicki Lawton")</f>
        <v>Vicki Lawton</v>
      </c>
      <c r="E4390" t="s">
        <v>7042</v>
      </c>
      <c r="F4390" t="s">
        <v>7025</v>
      </c>
      <c r="G4390">
        <v>117.42</v>
      </c>
      <c r="H4390">
        <v>127.63</v>
      </c>
      <c r="I4390">
        <v>127.64</v>
      </c>
      <c r="J4390">
        <v>-0.01</v>
      </c>
    </row>
    <row r="4391" spans="1:10" x14ac:dyDescent="0.3">
      <c r="A4391" t="str">
        <f>HYPERLINK("https://us2.cloudbeds.com/connect/10074733072513#/reservations/31684623220962?display=MHEQXXYST&amp;reservation_id=31684623220962", "MHEQXXYST")</f>
        <v>MHEQXXYST</v>
      </c>
      <c r="B4391" t="s">
        <v>10</v>
      </c>
      <c r="C4391" t="s">
        <v>42</v>
      </c>
      <c r="D4391" t="str">
        <f>HYPERLINK("https://us2.cloudbeds.com/connect/10074733072513#/reservations/31684623220962?display=Bruce%20Anderson&amp;reservation_id=31684623220962&amp;guest_id=31684623220960", "Bruce Anderson")</f>
        <v>Bruce Anderson</v>
      </c>
      <c r="E4391" t="s">
        <v>7053</v>
      </c>
      <c r="F4391" t="s">
        <v>5582</v>
      </c>
      <c r="G4391">
        <v>184.66</v>
      </c>
      <c r="H4391">
        <v>200.72</v>
      </c>
      <c r="I4391">
        <v>200.73</v>
      </c>
      <c r="J4391">
        <v>-0.01</v>
      </c>
    </row>
    <row r="4392" spans="1:10" x14ac:dyDescent="0.3">
      <c r="A4392" t="str">
        <f>HYPERLINK("https://us2.cloudbeds.com/connect/10074733072513#/reservations/31681359565014?display=MHC95XKKQ&amp;reservation_id=31681359565014", "MHC95XKKQ")</f>
        <v>MHC95XKKQ</v>
      </c>
      <c r="B4392" t="s">
        <v>10</v>
      </c>
      <c r="C4392" t="s">
        <v>121</v>
      </c>
      <c r="D4392" t="str">
        <f>HYPERLINK("https://us2.cloudbeds.com/connect/10074733072513#/reservations/31681359565014?display=Michelle%20Johnson&amp;reservation_id=31681359565014&amp;guest_id=31681347833990", "Michelle Johnson")</f>
        <v>Michelle Johnson</v>
      </c>
      <c r="E4392" t="s">
        <v>7054</v>
      </c>
      <c r="F4392" t="s">
        <v>6736</v>
      </c>
      <c r="G4392">
        <v>103.2</v>
      </c>
      <c r="H4392">
        <v>112.17</v>
      </c>
      <c r="I4392">
        <v>112.18</v>
      </c>
      <c r="J4392">
        <v>-0.01</v>
      </c>
    </row>
    <row r="4393" spans="1:10" x14ac:dyDescent="0.3">
      <c r="A4393" t="str">
        <f>HYPERLINK("https://us2.cloudbeds.com/connect/10074733072513#/reservations/31686748762330?display=MHGESSWGC&amp;reservation_id=31686748762330", "MHGESSWGC")</f>
        <v>MHGESSWGC</v>
      </c>
      <c r="B4393" t="s">
        <v>10</v>
      </c>
      <c r="C4393" t="s">
        <v>17</v>
      </c>
      <c r="D4393" t="str">
        <f>HYPERLINK("https://us2.cloudbeds.com/connect/10074733072513#/reservations/31686748762330?display=Glennis%20Rasmussen&amp;reservation_id=31686748762330&amp;guest_id=31686748762317", "Glennis Rasmussen")</f>
        <v>Glennis Rasmussen</v>
      </c>
      <c r="E4393" t="s">
        <v>7068</v>
      </c>
      <c r="F4393" t="s">
        <v>7069</v>
      </c>
      <c r="G4393">
        <v>456.3</v>
      </c>
      <c r="H4393">
        <v>495.99</v>
      </c>
      <c r="I4393">
        <v>496</v>
      </c>
      <c r="J4393">
        <v>-0.01</v>
      </c>
    </row>
    <row r="4394" spans="1:10" x14ac:dyDescent="0.3">
      <c r="A4394" t="str">
        <f>HYPERLINK("https://us2.cloudbeds.com/connect/10074733072513#/reservations/31681964576969?display=MHCZKNW5D&amp;reservation_id=31681964576969", "MHCZKNW5D")</f>
        <v>MHCZKNW5D</v>
      </c>
      <c r="B4394" t="s">
        <v>10</v>
      </c>
      <c r="C4394" t="s">
        <v>42</v>
      </c>
      <c r="D4394" t="str">
        <f>HYPERLINK("https://us2.cloudbeds.com/connect/10074733072513#/reservations/31681964576969?display=Larry%20Schmidt&amp;reservation_id=31681964576969&amp;guest_id=31681964572924", "Larry Schmidt")</f>
        <v>Larry Schmidt</v>
      </c>
      <c r="E4394" t="s">
        <v>7078</v>
      </c>
      <c r="F4394" t="s">
        <v>7079</v>
      </c>
      <c r="G4394">
        <v>103.2</v>
      </c>
      <c r="H4394">
        <v>112.17</v>
      </c>
      <c r="I4394">
        <v>112.18</v>
      </c>
      <c r="J4394">
        <v>-0.01</v>
      </c>
    </row>
    <row r="4395" spans="1:10" x14ac:dyDescent="0.3">
      <c r="A4395" t="str">
        <f>HYPERLINK("https://us2.cloudbeds.com/connect/10074733072513#/reservations/31688483999935?display=MHHQ72HF3&amp;reservation_id=31688483999935", "MHHQ72HF3")</f>
        <v>MHHQ72HF3</v>
      </c>
      <c r="B4395" t="s">
        <v>10</v>
      </c>
      <c r="C4395" t="s">
        <v>11</v>
      </c>
      <c r="D4395" t="str">
        <f>HYPERLINK("https://us2.cloudbeds.com/connect/10074733072513#/reservations/31688483999935?display=Shelley%20Welberg&amp;reservation_id=31688483999935&amp;guest_id=31688483999932", "Shelley Welberg")</f>
        <v>Shelley Welberg</v>
      </c>
      <c r="E4395" t="s">
        <v>7082</v>
      </c>
      <c r="F4395" t="s">
        <v>5875</v>
      </c>
      <c r="G4395">
        <v>117.42</v>
      </c>
      <c r="H4395">
        <v>127.63</v>
      </c>
      <c r="I4395">
        <v>127.64</v>
      </c>
      <c r="J4395">
        <v>-0.01</v>
      </c>
    </row>
    <row r="4396" spans="1:10" x14ac:dyDescent="0.3">
      <c r="A4396" t="str">
        <f>HYPERLINK("https://us2.cloudbeds.com/connect/10074733072513#/reservations/31683178266780?display=MHDMY4MHG&amp;reservation_id=31683178266780", "MHDMY4MHG")</f>
        <v>MHDMY4MHG</v>
      </c>
      <c r="B4396" t="s">
        <v>10</v>
      </c>
      <c r="C4396" t="s">
        <v>20</v>
      </c>
      <c r="D4396" t="str">
        <f>HYPERLINK("https://us2.cloudbeds.com/connect/10074733072513#/reservations/31683178266780?display=Tanner%20Gardner&amp;reservation_id=31683178266780&amp;guest_id=31683164016842", "Tanner Gardner")</f>
        <v>Tanner Gardner</v>
      </c>
      <c r="E4396" t="s">
        <v>7088</v>
      </c>
      <c r="F4396" t="s">
        <v>6531</v>
      </c>
      <c r="G4396">
        <v>456.3</v>
      </c>
      <c r="H4396">
        <v>495.99</v>
      </c>
      <c r="I4396">
        <v>496</v>
      </c>
      <c r="J4396">
        <v>-0.01</v>
      </c>
    </row>
    <row r="4397" spans="1:10" x14ac:dyDescent="0.3">
      <c r="A4397" t="str">
        <f>HYPERLINK("https://us2.cloudbeds.com/connect/10074733072513#/reservations/31687389720717?display=MHGV8BJMQ&amp;reservation_id=31687389720717", "MHGV8BJMQ")</f>
        <v>MHGV8BJMQ</v>
      </c>
      <c r="B4397" t="s">
        <v>10</v>
      </c>
      <c r="C4397" t="s">
        <v>11</v>
      </c>
      <c r="D4397" t="str">
        <f>HYPERLINK("https://us2.cloudbeds.com/connect/10074733072513#/reservations/31687389720717?display=Troy%20Witta&amp;reservation_id=31687389720717&amp;guest_id=31687389720714", "Troy Witta")</f>
        <v>Troy Witta</v>
      </c>
      <c r="E4397" t="s">
        <v>7089</v>
      </c>
      <c r="F4397" t="s">
        <v>7090</v>
      </c>
      <c r="G4397">
        <v>103.2</v>
      </c>
      <c r="H4397">
        <v>112.17</v>
      </c>
      <c r="I4397">
        <v>112.18</v>
      </c>
      <c r="J4397">
        <v>-0.01</v>
      </c>
    </row>
    <row r="4398" spans="1:10" x14ac:dyDescent="0.3">
      <c r="A4398" t="str">
        <f>HYPERLINK("https://us2.cloudbeds.com/connect/10074733072513#/reservations/31681589182698?display=MHCF162GE&amp;reservation_id=31681589182698", "MHCF162GE")</f>
        <v>MHCF162GE</v>
      </c>
      <c r="B4398" t="s">
        <v>10</v>
      </c>
      <c r="C4398" t="s">
        <v>121</v>
      </c>
      <c r="D4398" t="str">
        <f>HYPERLINK("https://us2.cloudbeds.com/connect/10074733072513#/reservations/31681589182698?display=Debra%20Kuntz&amp;reservation_id=31681589182698&amp;guest_id=31681589182686", "Debra Kuntz")</f>
        <v>Debra Kuntz</v>
      </c>
      <c r="E4398" t="s">
        <v>7091</v>
      </c>
      <c r="F4398" t="s">
        <v>7064</v>
      </c>
      <c r="G4398">
        <v>134.1</v>
      </c>
      <c r="H4398">
        <v>145.76</v>
      </c>
      <c r="I4398">
        <v>145.77000000000001</v>
      </c>
      <c r="J4398">
        <v>-0.01</v>
      </c>
    </row>
    <row r="4399" spans="1:10" x14ac:dyDescent="0.3">
      <c r="A4399" t="str">
        <f>HYPERLINK("https://us2.cloudbeds.com/connect/10074733072513#/reservations/31681596674179?display=MHCF7GHZ0&amp;reservation_id=31681596674179", "MHCF7GHZ0")</f>
        <v>MHCF7GHZ0</v>
      </c>
      <c r="B4399" t="s">
        <v>10</v>
      </c>
      <c r="C4399" t="s">
        <v>20</v>
      </c>
      <c r="D4399" t="str">
        <f>HYPERLINK("https://us2.cloudbeds.com/connect/10074733072513#/reservations/31681596674179?display=Terry%20Walker&amp;reservation_id=31681596674179&amp;guest_id=31681596670131", "Terry Walker")</f>
        <v>Terry Walker</v>
      </c>
      <c r="E4399" t="s">
        <v>7092</v>
      </c>
      <c r="F4399" t="s">
        <v>7064</v>
      </c>
      <c r="G4399">
        <v>134.1</v>
      </c>
      <c r="H4399">
        <v>145.76</v>
      </c>
      <c r="I4399">
        <v>145.77000000000001</v>
      </c>
      <c r="J4399">
        <v>-0.01</v>
      </c>
    </row>
    <row r="4400" spans="1:10" x14ac:dyDescent="0.3">
      <c r="A4400" t="str">
        <f>HYPERLINK("https://us2.cloudbeds.com/connect/10074733072513#/reservations/31683504992483?display=MHDUWYA4D&amp;reservation_id=31683504992483", "MHDUWYA4D")</f>
        <v>MHDUWYA4D</v>
      </c>
      <c r="B4400" t="s">
        <v>10</v>
      </c>
      <c r="C4400" t="s">
        <v>42</v>
      </c>
      <c r="D4400" t="str">
        <f>HYPERLINK("https://us2.cloudbeds.com/connect/10074733072513#/reservations/31683504992483?display=Ciera%20Bennett&amp;reservation_id=31683504992483&amp;guest_id=31683504988388", "Ciera Bennett")</f>
        <v>Ciera Bennett</v>
      </c>
      <c r="E4400" t="s">
        <v>7094</v>
      </c>
      <c r="F4400" t="s">
        <v>4291</v>
      </c>
      <c r="G4400">
        <v>250.2</v>
      </c>
      <c r="H4400">
        <v>271.95999999999998</v>
      </c>
      <c r="I4400">
        <v>271.97000000000003</v>
      </c>
      <c r="J4400">
        <v>-0.01</v>
      </c>
    </row>
    <row r="4401" spans="1:10" x14ac:dyDescent="0.3">
      <c r="A4401" t="str">
        <f>HYPERLINK("https://us2.cloudbeds.com/connect/10074733072513#/reservations/31691783770284?display=MHKBHHGJW&amp;reservation_id=31691783770284", "MHKBHHGJW")</f>
        <v>MHKBHHGJW</v>
      </c>
      <c r="B4401" t="s">
        <v>10</v>
      </c>
      <c r="C4401" t="s">
        <v>20</v>
      </c>
      <c r="D4401" t="str">
        <f>HYPERLINK("https://us2.cloudbeds.com/connect/10074733072513#/reservations/31691783770284?display=Stephanie%20Reed&amp;reservation_id=31691783770284&amp;guest_id=31691783770261", "Stephanie Reed")</f>
        <v>Stephanie Reed</v>
      </c>
      <c r="E4401" t="s">
        <v>7103</v>
      </c>
      <c r="F4401" t="s">
        <v>5935</v>
      </c>
      <c r="G4401">
        <v>268.2</v>
      </c>
      <c r="H4401">
        <v>291.52</v>
      </c>
      <c r="I4401">
        <v>291.52999999999997</v>
      </c>
      <c r="J4401">
        <v>-0.01</v>
      </c>
    </row>
    <row r="4402" spans="1:10" x14ac:dyDescent="0.3">
      <c r="A4402" t="str">
        <f>HYPERLINK("https://us2.cloudbeds.com/connect/10074733072513#/reservations/31687355199633?display=MHGUC7WTB&amp;reservation_id=31687355199633", "MHGUC7WTB")</f>
        <v>MHGUC7WTB</v>
      </c>
      <c r="B4402" t="s">
        <v>10</v>
      </c>
      <c r="C4402" t="s">
        <v>20</v>
      </c>
      <c r="D4402" t="str">
        <f>HYPERLINK("https://us2.cloudbeds.com/connect/10074733072513#/reservations/31687355199633?display=Raleigh%20Gowrie&amp;reservation_id=31687355199633&amp;guest_id=31687355199631", "Raleigh Gowrie")</f>
        <v>Raleigh Gowrie</v>
      </c>
      <c r="E4402" t="s">
        <v>7104</v>
      </c>
      <c r="F4402" t="s">
        <v>5576</v>
      </c>
      <c r="G4402">
        <v>134.1</v>
      </c>
      <c r="H4402">
        <v>145.76</v>
      </c>
      <c r="I4402">
        <v>145.77000000000001</v>
      </c>
      <c r="J4402">
        <v>-0.01</v>
      </c>
    </row>
    <row r="4403" spans="1:10" x14ac:dyDescent="0.3">
      <c r="A4403" t="str">
        <f>HYPERLINK("https://us2.cloudbeds.com/connect/10074733072513#/reservations/31685500362917?display=MHFFW6E74&amp;reservation_id=31685500362917", "MHFFW6E74")</f>
        <v>MHFFW6E74</v>
      </c>
      <c r="B4403" t="s">
        <v>10</v>
      </c>
      <c r="C4403" t="s">
        <v>11</v>
      </c>
      <c r="D4403" t="str">
        <f>HYPERLINK("https://us2.cloudbeds.com/connect/10074733072513#/reservations/31685500362917?display=Page%20Burkum&amp;reservation_id=31685500362917&amp;guest_id=31685490700421", "Page Burkum")</f>
        <v>Page Burkum</v>
      </c>
      <c r="E4403" t="s">
        <v>7105</v>
      </c>
      <c r="F4403" t="s">
        <v>5842</v>
      </c>
      <c r="G4403">
        <v>253.86</v>
      </c>
      <c r="H4403">
        <v>275.94</v>
      </c>
      <c r="I4403">
        <v>275.95</v>
      </c>
      <c r="J4403">
        <v>-0.01</v>
      </c>
    </row>
    <row r="4404" spans="1:10" x14ac:dyDescent="0.3">
      <c r="A4404" t="str">
        <f>HYPERLINK("https://us2.cloudbeds.com/connect/10074733072513#/reservations/31681780457622?display=MHCJUFJ78&amp;reservation_id=31681780457622", "MHCJUFJ78")</f>
        <v>MHCJUFJ78</v>
      </c>
      <c r="B4404" t="s">
        <v>10</v>
      </c>
      <c r="C4404" t="s">
        <v>121</v>
      </c>
      <c r="D4404" t="str">
        <f>HYPERLINK("https://us2.cloudbeds.com/connect/10074733072513#/reservations/31681780457622?display=Timothy%20Satorie&amp;reservation_id=31681780457622&amp;guest_id=31681780457619", "Timothy Satorie")</f>
        <v>Timothy Satorie</v>
      </c>
      <c r="E4404" t="s">
        <v>7106</v>
      </c>
      <c r="F4404" t="s">
        <v>7098</v>
      </c>
      <c r="G4404">
        <v>118.15</v>
      </c>
      <c r="H4404">
        <v>128.41999999999999</v>
      </c>
      <c r="I4404">
        <v>128.43</v>
      </c>
      <c r="J4404">
        <v>-0.01</v>
      </c>
    </row>
    <row r="4405" spans="1:10" x14ac:dyDescent="0.3">
      <c r="A4405" t="str">
        <f>HYPERLINK("https://us2.cloudbeds.com/connect/10074733072513#/reservations/31681617293446?display=MHCFZT9S9&amp;reservation_id=31681617293446", "MHCFZT9S9")</f>
        <v>MHCFZT9S9</v>
      </c>
      <c r="B4405" t="s">
        <v>10</v>
      </c>
      <c r="C4405" t="s">
        <v>121</v>
      </c>
      <c r="D4405" t="str">
        <f>HYPERLINK("https://us2.cloudbeds.com/connect/10074733072513#/reservations/31681617293446?display=Timothy%20Ted%20Scott&amp;reservation_id=31681617293446&amp;guest_id=31681617289353", "Timothy Ted Scott")</f>
        <v>Timothy Ted Scott</v>
      </c>
      <c r="E4405" t="s">
        <v>7108</v>
      </c>
      <c r="F4405" t="s">
        <v>7064</v>
      </c>
      <c r="G4405">
        <v>134.1</v>
      </c>
      <c r="H4405">
        <v>145.76</v>
      </c>
      <c r="I4405">
        <v>145.77000000000001</v>
      </c>
      <c r="J4405">
        <v>-0.01</v>
      </c>
    </row>
    <row r="4406" spans="1:10" x14ac:dyDescent="0.3">
      <c r="A4406" t="str">
        <f>HYPERLINK("https://us2.cloudbeds.com/connect/10074733072513#/reservations/31683193090211?display=MHDN0Y5GD&amp;reservation_id=31683193090211", "MHDN0Y5GD")</f>
        <v>MHDN0Y5GD</v>
      </c>
      <c r="B4406" t="s">
        <v>10</v>
      </c>
      <c r="C4406" t="s">
        <v>20</v>
      </c>
      <c r="D4406" t="str">
        <f>HYPERLINK("https://us2.cloudbeds.com/connect/10074733072513#/reservations/31683193090211?display=Bruce%20Brodsho&amp;reservation_id=31683193090211&amp;guest_id=31683193086125", "Bruce Brodsho")</f>
        <v>Bruce Brodsho</v>
      </c>
      <c r="E4406" t="s">
        <v>7112</v>
      </c>
      <c r="F4406" t="s">
        <v>6531</v>
      </c>
      <c r="G4406">
        <v>134.1</v>
      </c>
      <c r="H4406">
        <v>145.76</v>
      </c>
      <c r="I4406">
        <v>145.77000000000001</v>
      </c>
      <c r="J4406">
        <v>-0.01</v>
      </c>
    </row>
    <row r="4407" spans="1:10" x14ac:dyDescent="0.3">
      <c r="A4407" t="str">
        <f>HYPERLINK("https://us2.cloudbeds.com/connect/10074733072513#/reservations/31683244536009?display=MHDZB0NQV&amp;reservation_id=31683244536009", "MHDZB0NQV")</f>
        <v>MHDZB0NQV</v>
      </c>
      <c r="B4407" t="s">
        <v>10</v>
      </c>
      <c r="C4407" t="s">
        <v>14</v>
      </c>
      <c r="D4407" t="str">
        <f>HYPERLINK("https://us2.cloudbeds.com/connect/10074733072513#/reservations/31683244536009?display=Alexander%20Gardner&amp;reservation_id=31683244536009&amp;guest_id=31683235614909", "Alexander Gardner")</f>
        <v>Alexander Gardner</v>
      </c>
      <c r="E4407" t="s">
        <v>7118</v>
      </c>
      <c r="F4407" t="s">
        <v>6531</v>
      </c>
      <c r="G4407">
        <v>117.42</v>
      </c>
      <c r="H4407">
        <v>127.63</v>
      </c>
      <c r="I4407">
        <v>127.64</v>
      </c>
      <c r="J4407">
        <v>-0.01</v>
      </c>
    </row>
    <row r="4408" spans="1:10" x14ac:dyDescent="0.3">
      <c r="A4408" t="str">
        <f>HYPERLINK("https://us2.cloudbeds.com/connect/10074733072513#/reservations/31681798623437?display=MHCKCQ2DG&amp;reservation_id=31681798623437", "MHCKCQ2DG")</f>
        <v>MHCKCQ2DG</v>
      </c>
      <c r="B4408" t="s">
        <v>10</v>
      </c>
      <c r="C4408" t="s">
        <v>14</v>
      </c>
      <c r="D4408" t="str">
        <f>HYPERLINK("https://us2.cloudbeds.com/connect/10074733072513#/reservations/31681798623437?display=Alexander%20Gardner&amp;reservation_id=31681798623437&amp;guest_id=31681798619385", "Alexander Gardner")</f>
        <v>Alexander Gardner</v>
      </c>
      <c r="E4408" t="s">
        <v>7119</v>
      </c>
      <c r="F4408" t="s">
        <v>7098</v>
      </c>
      <c r="G4408">
        <v>117.42</v>
      </c>
      <c r="H4408">
        <v>127.63</v>
      </c>
      <c r="I4408">
        <v>127.64</v>
      </c>
      <c r="J4408">
        <v>-0.01</v>
      </c>
    </row>
    <row r="4409" spans="1:10" x14ac:dyDescent="0.3">
      <c r="A4409" t="str">
        <f>HYPERLINK("https://us2.cloudbeds.com/connect/10074733072513#/reservations/31689017876710?display=MHX6S8EE6&amp;reservation_id=31689017876710", "MHX6S8EE6")</f>
        <v>MHX6S8EE6</v>
      </c>
      <c r="B4409" t="s">
        <v>10</v>
      </c>
      <c r="C4409" t="s">
        <v>42</v>
      </c>
      <c r="D4409" t="str">
        <f>HYPERLINK("https://us2.cloudbeds.com/connect/10074733072513#/reservations/31689017876710?display=Sean%20Smith&amp;reservation_id=31689017876710&amp;guest_id=31689010114702", "Sean Smith")</f>
        <v>Sean Smith</v>
      </c>
      <c r="E4409" t="s">
        <v>7122</v>
      </c>
      <c r="F4409" t="s">
        <v>3785</v>
      </c>
      <c r="G4409">
        <v>456.3</v>
      </c>
      <c r="H4409">
        <v>495.99</v>
      </c>
      <c r="I4409">
        <v>496</v>
      </c>
      <c r="J4409">
        <v>-0.01</v>
      </c>
    </row>
    <row r="4410" spans="1:10" x14ac:dyDescent="0.3">
      <c r="A4410" t="str">
        <f>HYPERLINK("https://us2.cloudbeds.com/connect/10074733072513#/reservations/31686119817364?display=MHFVQHYU0&amp;reservation_id=31686119817364", "MHFVQHYU0")</f>
        <v>MHFVQHYU0</v>
      </c>
      <c r="B4410" t="s">
        <v>10</v>
      </c>
      <c r="C4410" t="s">
        <v>14</v>
      </c>
      <c r="D4410" t="str">
        <f>HYPERLINK("https://us2.cloudbeds.com/connect/10074733072513#/reservations/31686119817364?display=Alexander%20Gardner&amp;reservation_id=31686119817364&amp;guest_id=31686119813267", "Alexander Gardner")</f>
        <v>Alexander Gardner</v>
      </c>
      <c r="E4410" t="s">
        <v>7123</v>
      </c>
      <c r="F4410" t="s">
        <v>5548</v>
      </c>
      <c r="G4410">
        <v>117.42</v>
      </c>
      <c r="H4410">
        <v>127.63</v>
      </c>
      <c r="I4410">
        <v>127.64</v>
      </c>
      <c r="J4410">
        <v>-0.01</v>
      </c>
    </row>
    <row r="4411" spans="1:10" x14ac:dyDescent="0.3">
      <c r="A4411" t="str">
        <f>HYPERLINK("https://us2.cloudbeds.com/connect/10074733072513#/reservations/31683561623787?display=MHDWED55H&amp;reservation_id=31683561623787", "MHDWED55H")</f>
        <v>MHDWED55H</v>
      </c>
      <c r="B4411" t="s">
        <v>10</v>
      </c>
      <c r="C4411" t="s">
        <v>11</v>
      </c>
      <c r="D4411" t="str">
        <f>HYPERLINK("https://us2.cloudbeds.com/connect/10074733072513#/reservations/31683561623787?display=Bryant%20Sohm&amp;reservation_id=31683561623787&amp;guest_id=31683554590867", "Bryant Sohm")</f>
        <v>Bryant Sohm</v>
      </c>
      <c r="E4411" t="s">
        <v>7127</v>
      </c>
      <c r="F4411" t="s">
        <v>4291</v>
      </c>
      <c r="G4411">
        <v>103.2</v>
      </c>
      <c r="H4411">
        <v>112.17</v>
      </c>
      <c r="I4411">
        <v>112.18</v>
      </c>
      <c r="J4411">
        <v>-0.01</v>
      </c>
    </row>
    <row r="4412" spans="1:10" x14ac:dyDescent="0.3">
      <c r="A4412" t="str">
        <f>HYPERLINK("https://us2.cloudbeds.com/connect/10074733072513#/reservations/31686704201945?display=MHGDZA0SM&amp;reservation_id=31686704201945", "MHGDZA0SM")</f>
        <v>MHGDZA0SM</v>
      </c>
      <c r="B4412" t="s">
        <v>10</v>
      </c>
      <c r="C4412" t="s">
        <v>17</v>
      </c>
      <c r="D4412" t="str">
        <f>HYPERLINK("https://us2.cloudbeds.com/connect/10074733072513#/reservations/31686704201945?display=David%20Turnberg&amp;reservation_id=31686704201945&amp;guest_id=31686704201929", "David Turnberg")</f>
        <v>David Turnberg</v>
      </c>
      <c r="E4412" t="s">
        <v>7128</v>
      </c>
      <c r="F4412" t="s">
        <v>7069</v>
      </c>
      <c r="G4412">
        <v>250.2</v>
      </c>
      <c r="H4412">
        <v>271.95999999999998</v>
      </c>
      <c r="I4412">
        <v>271.97000000000003</v>
      </c>
      <c r="J4412">
        <v>-0.01</v>
      </c>
    </row>
    <row r="4413" spans="1:10" x14ac:dyDescent="0.3">
      <c r="A4413" t="str">
        <f>HYPERLINK("https://us2.cloudbeds.com/connect/10074733072513#/reservations/31682884993155?display=MHDF4RU2W&amp;reservation_id=31682884993155", "MHDF4RU2W")</f>
        <v>MHDF4RU2W</v>
      </c>
      <c r="B4413" t="s">
        <v>10</v>
      </c>
      <c r="C4413" t="s">
        <v>11</v>
      </c>
      <c r="D4413" t="str">
        <f>HYPERLINK("https://us2.cloudbeds.com/connect/10074733072513#/reservations/31682884993155?display=Robert%20Lowe&amp;reservation_id=31682884993155&amp;guest_id=31682875642065", "Robert Lowe")</f>
        <v>Robert Lowe</v>
      </c>
      <c r="E4413" t="s">
        <v>7129</v>
      </c>
      <c r="F4413" t="s">
        <v>7130</v>
      </c>
      <c r="G4413">
        <v>500.4</v>
      </c>
      <c r="H4413">
        <v>543.91999999999996</v>
      </c>
      <c r="I4413">
        <v>543.92999999999995</v>
      </c>
      <c r="J4413">
        <v>-0.01</v>
      </c>
    </row>
    <row r="4414" spans="1:10" x14ac:dyDescent="0.3">
      <c r="A4414" t="str">
        <f>HYPERLINK("https://us2.cloudbeds.com/connect/10074733072513#/reservations/31683803656413?display=MHE5KG2BH&amp;reservation_id=31683803656413", "MHE5KG2BH")</f>
        <v>MHE5KG2BH</v>
      </c>
      <c r="B4414" t="s">
        <v>10</v>
      </c>
      <c r="C4414" t="s">
        <v>11</v>
      </c>
      <c r="D4414" t="str">
        <f>HYPERLINK("https://us2.cloudbeds.com/connect/10074733072513#/reservations/31683803656413?display=Robert%20Lowe&amp;reservation_id=31683803656413&amp;guest_id=31683803656408", "Robert Lowe")</f>
        <v>Robert Lowe</v>
      </c>
      <c r="E4414" t="s">
        <v>7135</v>
      </c>
      <c r="F4414" t="s">
        <v>7136</v>
      </c>
      <c r="G4414">
        <v>250.2</v>
      </c>
      <c r="H4414">
        <v>271.95999999999998</v>
      </c>
      <c r="I4414">
        <v>271.97000000000003</v>
      </c>
      <c r="J4414">
        <v>-0.01</v>
      </c>
    </row>
    <row r="4415" spans="1:10" x14ac:dyDescent="0.3">
      <c r="A4415" t="str">
        <f>HYPERLINK("https://us2.cloudbeds.com/connect/10074733072513#/reservations/31683495190731?display=MHDUZCXEK&amp;reservation_id=31683495190731", "MHDUZCXEK")</f>
        <v>MHDUZCXEK</v>
      </c>
      <c r="B4415" t="s">
        <v>10</v>
      </c>
      <c r="C4415" t="s">
        <v>121</v>
      </c>
      <c r="D4415" t="str">
        <f>HYPERLINK("https://us2.cloudbeds.com/connect/10074733072513#/reservations/31683495190731?display=Marc%20Kirsch&amp;reservation_id=31683495190731&amp;guest_id=31683495186635", "Marc Kirsch")</f>
        <v>Marc Kirsch</v>
      </c>
      <c r="E4415" t="s">
        <v>7138</v>
      </c>
      <c r="F4415" t="s">
        <v>4291</v>
      </c>
      <c r="G4415">
        <v>103.2</v>
      </c>
      <c r="H4415">
        <v>112.17</v>
      </c>
      <c r="I4415">
        <v>112.18</v>
      </c>
      <c r="J4415">
        <v>-0.01</v>
      </c>
    </row>
    <row r="4416" spans="1:10" x14ac:dyDescent="0.3">
      <c r="A4416" t="str">
        <f>HYPERLINK("https://us2.cloudbeds.com/connect/10074733072513#/reservations/31683872764113?display=MHE7CP348&amp;reservation_id=31683872764113", "MHE7CP348")</f>
        <v>MHE7CP348</v>
      </c>
      <c r="B4416" t="s">
        <v>10</v>
      </c>
      <c r="C4416" t="s">
        <v>42</v>
      </c>
      <c r="D4416" t="str">
        <f>HYPERLINK("https://us2.cloudbeds.com/connect/10074733072513#/reservations/31683872764113?display=Trevor%20Krcil&amp;reservation_id=31683872764113&amp;guest_id=31683868094649", "Trevor Krcil")</f>
        <v>Trevor Krcil</v>
      </c>
      <c r="E4416" t="s">
        <v>7151</v>
      </c>
      <c r="F4416" t="s">
        <v>6638</v>
      </c>
      <c r="G4416">
        <v>170.1</v>
      </c>
      <c r="H4416">
        <v>184.89</v>
      </c>
      <c r="I4416">
        <v>184.9</v>
      </c>
      <c r="J4416">
        <v>-0.01</v>
      </c>
    </row>
    <row r="4417" spans="1:10" x14ac:dyDescent="0.3">
      <c r="A4417" t="str">
        <f>HYPERLINK("https://us2.cloudbeds.com/connect/10074733072513#/reservations/31689192628466?display=MHXBAK5BV&amp;reservation_id=31689192628466", "MHXBAK5BV")</f>
        <v>MHXBAK5BV</v>
      </c>
      <c r="B4417" t="s">
        <v>10</v>
      </c>
      <c r="C4417" t="s">
        <v>11</v>
      </c>
      <c r="D4417" t="str">
        <f>HYPERLINK("https://us2.cloudbeds.com/connect/10074733072513#/reservations/31689192628466?display=Julia%20Katharina%20Runge&amp;reservation_id=31689192628466&amp;guest_id=31689178026145", "Julia Katharina Runge")</f>
        <v>Julia Katharina Runge</v>
      </c>
      <c r="E4417" t="s">
        <v>7152</v>
      </c>
      <c r="F4417" t="s">
        <v>5559</v>
      </c>
      <c r="G4417">
        <v>103.2</v>
      </c>
      <c r="H4417">
        <v>112.17</v>
      </c>
      <c r="I4417">
        <v>112.18</v>
      </c>
      <c r="J4417">
        <v>-0.01</v>
      </c>
    </row>
    <row r="4418" spans="1:10" x14ac:dyDescent="0.3">
      <c r="A4418" t="str">
        <f>HYPERLINK("https://us2.cloudbeds.com/connect/10074733072513#/reservations/31681743077593?display=MHCXVVE43&amp;reservation_id=31681743077593", "MHCXVVE43")</f>
        <v>MHCXVVE43</v>
      </c>
      <c r="B4418" t="s">
        <v>10</v>
      </c>
      <c r="C4418" t="s">
        <v>121</v>
      </c>
      <c r="D4418" t="str">
        <f>HYPERLINK("https://us2.cloudbeds.com/connect/10074733072513#/reservations/31681743077593?display=Troy%20Dan%20Harder&amp;reservation_id=31681743077593&amp;guest_id=31681731027084", "Troy Dan Harder")</f>
        <v>Troy Dan Harder</v>
      </c>
      <c r="E4418" t="s">
        <v>6009</v>
      </c>
      <c r="F4418" t="s">
        <v>6467</v>
      </c>
      <c r="G4418">
        <v>134.1</v>
      </c>
      <c r="H4418">
        <v>145.76</v>
      </c>
      <c r="I4418">
        <v>145.77000000000001</v>
      </c>
      <c r="J4418">
        <v>-0.01</v>
      </c>
    </row>
    <row r="4419" spans="1:10" x14ac:dyDescent="0.3">
      <c r="A4419" t="str">
        <f>HYPERLINK("https://us2.cloudbeds.com/connect/10074733072513#/reservations/31681677459706?display=MHCH9KGV9&amp;reservation_id=31681677459706", "MHCH9KGV9")</f>
        <v>MHCH9KGV9</v>
      </c>
      <c r="B4419" t="s">
        <v>10</v>
      </c>
      <c r="C4419" t="s">
        <v>20</v>
      </c>
      <c r="D4419" t="str">
        <f>HYPERLINK("https://us2.cloudbeds.com/connect/10074733072513#/reservations/31681677459706?display=Robert%20Spaulding&amp;reservation_id=31681677459706&amp;guest_id=31681677459703", "Robert Spaulding")</f>
        <v>Robert Spaulding</v>
      </c>
      <c r="E4419" t="s">
        <v>7155</v>
      </c>
      <c r="F4419" t="s">
        <v>6467</v>
      </c>
      <c r="G4419">
        <v>134.1</v>
      </c>
      <c r="H4419">
        <v>145.76</v>
      </c>
      <c r="I4419">
        <v>145.77000000000001</v>
      </c>
      <c r="J4419">
        <v>-0.01</v>
      </c>
    </row>
    <row r="4420" spans="1:10" x14ac:dyDescent="0.3">
      <c r="A4420" t="str">
        <f>HYPERLINK("https://us2.cloudbeds.com/connect/10074733072513#/reservations/31689021862031?display=MHX6VKB1G&amp;reservation_id=31689021862031", "MHX6VKB1G")</f>
        <v>MHX6VKB1G</v>
      </c>
      <c r="B4420" t="s">
        <v>10</v>
      </c>
      <c r="C4420" t="s">
        <v>20</v>
      </c>
      <c r="D4420" t="str">
        <f>HYPERLINK("https://us2.cloudbeds.com/connect/10074733072513#/reservations/31689021862031?display=Barbara%20Ann%20Drees&amp;reservation_id=31689021862031&amp;guest_id=31689021862029", "Barbara Ann Drees")</f>
        <v>Barbara Ann Drees</v>
      </c>
      <c r="E4420" t="s">
        <v>7161</v>
      </c>
      <c r="F4420" t="s">
        <v>3785</v>
      </c>
      <c r="G4420">
        <v>367.2</v>
      </c>
      <c r="H4420">
        <v>399.14</v>
      </c>
      <c r="I4420">
        <v>399.15</v>
      </c>
      <c r="J4420">
        <v>-0.01</v>
      </c>
    </row>
    <row r="4421" spans="1:10" x14ac:dyDescent="0.3">
      <c r="A4421" t="str">
        <f>HYPERLINK("https://us2.cloudbeds.com/connect/10074733072513#/reservations/31685469110411?display=MHFF5RPSG&amp;reservation_id=31685469110411", "MHFF5RPSG")</f>
        <v>MHFF5RPSG</v>
      </c>
      <c r="B4421" t="s">
        <v>10</v>
      </c>
      <c r="C4421" t="s">
        <v>14</v>
      </c>
      <c r="D4421" t="str">
        <f>HYPERLINK("https://us2.cloudbeds.com/connect/10074733072513#/reservations/31685469110411?display=Margaret%20Simpson&amp;reservation_id=31685469110411&amp;guest_id=31685469106330", "Margaret Simpson")</f>
        <v>Margaret Simpson</v>
      </c>
      <c r="E4421" t="s">
        <v>7165</v>
      </c>
      <c r="F4421" t="s">
        <v>5842</v>
      </c>
      <c r="G4421">
        <v>103.2</v>
      </c>
      <c r="H4421">
        <v>112.17</v>
      </c>
      <c r="I4421">
        <v>112.18</v>
      </c>
      <c r="J4421">
        <v>-0.01</v>
      </c>
    </row>
    <row r="4422" spans="1:10" x14ac:dyDescent="0.3">
      <c r="A4422" t="str">
        <f>HYPERLINK("https://us2.cloudbeds.com/connect/10074733072513#/reservations/31683492180169?display=MHDUYRPUF&amp;reservation_id=31683492180169", "MHDUYRPUF")</f>
        <v>MHDUYRPUF</v>
      </c>
      <c r="B4422" t="s">
        <v>10</v>
      </c>
      <c r="C4422" t="s">
        <v>121</v>
      </c>
      <c r="D4422" t="str">
        <f>HYPERLINK("https://us2.cloudbeds.com/connect/10074733072513#/reservations/31683492180169?display=Debra%20Jean%20Wever&amp;reservation_id=31683492180169&amp;guest_id=31683492176077", "Debra Jean Wever")</f>
        <v>Debra Jean Wever</v>
      </c>
      <c r="E4422" t="s">
        <v>7171</v>
      </c>
      <c r="F4422" t="s">
        <v>5575</v>
      </c>
      <c r="G4422">
        <v>134.1</v>
      </c>
      <c r="H4422">
        <v>145.76</v>
      </c>
      <c r="I4422">
        <v>145.77000000000001</v>
      </c>
      <c r="J4422">
        <v>-0.01</v>
      </c>
    </row>
    <row r="4423" spans="1:10" x14ac:dyDescent="0.3">
      <c r="A4423" t="str">
        <f>HYPERLINK("https://us2.cloudbeds.com/connect/10074733072513#/reservations/31689448431749?display=MHXHSA8PJ&amp;reservation_id=31689448431749", "MHXHSA8PJ")</f>
        <v>MHXHSA8PJ</v>
      </c>
      <c r="B4423" t="s">
        <v>10</v>
      </c>
      <c r="C4423" t="s">
        <v>42</v>
      </c>
      <c r="D4423" t="str">
        <f>HYPERLINK("https://us2.cloudbeds.com/connect/10074733072513#/reservations/31689448431749?display=Donnie%20Hachman&amp;reservation_id=31689448431749&amp;guest_id=31689448431745", "Donnie Hachman")</f>
        <v>Donnie Hachman</v>
      </c>
      <c r="E4423" t="s">
        <v>7174</v>
      </c>
      <c r="F4423" t="s">
        <v>5576</v>
      </c>
      <c r="G4423">
        <v>134.1</v>
      </c>
      <c r="H4423">
        <v>145.76</v>
      </c>
      <c r="I4423">
        <v>145.77000000000001</v>
      </c>
      <c r="J4423">
        <v>-0.01</v>
      </c>
    </row>
    <row r="4424" spans="1:10" x14ac:dyDescent="0.3">
      <c r="A4424" t="str">
        <f>HYPERLINK("https://us2.cloudbeds.com/connect/10074733072513#/reservations/31682042908885?display=MHCQKPM9R&amp;reservation_id=31682042908885", "MHCQKPM9R")</f>
        <v>MHCQKPM9R</v>
      </c>
      <c r="B4424" t="s">
        <v>10</v>
      </c>
      <c r="C4424" t="s">
        <v>121</v>
      </c>
      <c r="D4424" t="str">
        <f>HYPERLINK("https://us2.cloudbeds.com/connect/10074733072513#/reservations/31682042908885?display=Robert%20William%20Pease&amp;reservation_id=31682042908885&amp;guest_id=31682042908882", "Robert William Pease")</f>
        <v>Robert William Pease</v>
      </c>
      <c r="E4424" t="s">
        <v>7176</v>
      </c>
      <c r="F4424" t="s">
        <v>5575</v>
      </c>
      <c r="G4424">
        <v>103.2</v>
      </c>
      <c r="H4424">
        <v>112.17</v>
      </c>
      <c r="I4424">
        <v>112.18</v>
      </c>
      <c r="J4424">
        <v>-0.01</v>
      </c>
    </row>
    <row r="4425" spans="1:10" x14ac:dyDescent="0.3">
      <c r="A4425" t="str">
        <f>HYPERLINK("https://us2.cloudbeds.com/connect/10074733072513#/reservations/31683440832655?display=MHDTBHVS6&amp;reservation_id=31683440832655", "MHDTBHVS6")</f>
        <v>MHDTBHVS6</v>
      </c>
      <c r="B4425" t="s">
        <v>10</v>
      </c>
      <c r="C4425" t="s">
        <v>20</v>
      </c>
      <c r="D4425" t="str">
        <f>HYPERLINK("https://us2.cloudbeds.com/connect/10074733072513#/reservations/31683440832655?display=Kristina%20Lamothe&amp;reservation_id=31683440832655&amp;guest_id=31683440832650", "Kristina Lamothe")</f>
        <v>Kristina Lamothe</v>
      </c>
      <c r="E4425" t="s">
        <v>7180</v>
      </c>
      <c r="F4425" t="s">
        <v>6321</v>
      </c>
      <c r="G4425">
        <v>304.2</v>
      </c>
      <c r="H4425">
        <v>330.66</v>
      </c>
      <c r="I4425">
        <v>330.67</v>
      </c>
      <c r="J4425">
        <v>-0.01</v>
      </c>
    </row>
    <row r="4426" spans="1:10" x14ac:dyDescent="0.3">
      <c r="A4426" t="str">
        <f>HYPERLINK("https://us2.cloudbeds.com/connect/10074733072513#/reservations/31686015115420?display=MHFT485SR&amp;reservation_id=31686015115420", "MHFT485SR")</f>
        <v>MHFT485SR</v>
      </c>
      <c r="B4426" t="s">
        <v>10</v>
      </c>
      <c r="C4426" t="s">
        <v>42</v>
      </c>
      <c r="D4426" t="str">
        <f>HYPERLINK("https://us2.cloudbeds.com/connect/10074733072513#/reservations/31686015115420?display=Dennis%20Carr&amp;reservation_id=31686015115420&amp;guest_id=31686006145220", "Dennis Carr")</f>
        <v>Dennis Carr</v>
      </c>
      <c r="E4426" t="s">
        <v>7191</v>
      </c>
      <c r="F4426" t="s">
        <v>7090</v>
      </c>
      <c r="G4426">
        <v>268.2</v>
      </c>
      <c r="H4426">
        <v>291.52</v>
      </c>
      <c r="I4426">
        <v>291.52999999999997</v>
      </c>
      <c r="J4426">
        <v>-0.01</v>
      </c>
    </row>
    <row r="4427" spans="1:10" x14ac:dyDescent="0.3">
      <c r="A4427" t="str">
        <f>HYPERLINK("https://us2.cloudbeds.com/connect/10074733072513#/reservations/31683718717643?display=MHE3ESHAD&amp;reservation_id=31683718717643", "MHE3ESHAD")</f>
        <v>MHE3ESHAD</v>
      </c>
      <c r="B4427" t="s">
        <v>10</v>
      </c>
      <c r="C4427" t="s">
        <v>42</v>
      </c>
      <c r="D4427" t="str">
        <f>HYPERLINK("https://us2.cloudbeds.com/connect/10074733072513#/reservations/31683718717643?display=Susan%20Waterson&amp;reservation_id=31683718717643&amp;guest_id=31683718717641", "Susan Waterson")</f>
        <v>Susan Waterson</v>
      </c>
      <c r="E4427" t="s">
        <v>7197</v>
      </c>
      <c r="F4427" t="s">
        <v>5717</v>
      </c>
      <c r="G4427">
        <v>268.2</v>
      </c>
      <c r="H4427">
        <v>291.52</v>
      </c>
      <c r="I4427">
        <v>291.52999999999997</v>
      </c>
      <c r="J4427">
        <v>-0.01</v>
      </c>
    </row>
    <row r="4428" spans="1:10" x14ac:dyDescent="0.3">
      <c r="A4428" t="str">
        <f>HYPERLINK("https://us2.cloudbeds.com/connect/10074733072513#/reservations/31689461047444?display=MHXX5VAEC&amp;reservation_id=31689461047444", "MHXX5VAEC")</f>
        <v>MHXX5VAEC</v>
      </c>
      <c r="B4428" t="s">
        <v>10</v>
      </c>
      <c r="C4428" t="s">
        <v>11</v>
      </c>
      <c r="D4428" t="str">
        <f>HYPERLINK("https://us2.cloudbeds.com/connect/10074733072513#/reservations/31689461047444?display=Claire%20Garrison-Anderson&amp;reservation_id=31689461047444&amp;guest_id=31689461047442", "Claire Garrison-Anderson")</f>
        <v>Claire Garrison-Anderson</v>
      </c>
      <c r="E4428" t="s">
        <v>7199</v>
      </c>
      <c r="F4428" t="s">
        <v>7200</v>
      </c>
      <c r="G4428">
        <v>103.2</v>
      </c>
      <c r="H4428">
        <v>112.17</v>
      </c>
      <c r="I4428">
        <v>112.18</v>
      </c>
      <c r="J4428">
        <v>-0.01</v>
      </c>
    </row>
    <row r="4429" spans="1:10" x14ac:dyDescent="0.3">
      <c r="A4429" t="str">
        <f>HYPERLINK("https://us2.cloudbeds.com/connect/10074733072513#/reservations/31687594221696?display=MHH3FQ0RW&amp;reservation_id=31687594221696", "MHH3FQ0RW")</f>
        <v>MHH3FQ0RW</v>
      </c>
      <c r="B4429" t="s">
        <v>10</v>
      </c>
      <c r="C4429" t="s">
        <v>23</v>
      </c>
      <c r="D4429" t="str">
        <f>HYPERLINK("https://us2.cloudbeds.com/connect/10074733072513#/reservations/31687594221696?display=Dan%20Gammeter&amp;reservation_id=31687594221696&amp;guest_id=31675392221430", "Dan Gammeter")</f>
        <v>Dan Gammeter</v>
      </c>
      <c r="E4429" t="s">
        <v>7210</v>
      </c>
      <c r="F4429" t="s">
        <v>7211</v>
      </c>
      <c r="G4429">
        <v>375.3</v>
      </c>
      <c r="H4429">
        <v>407.94</v>
      </c>
      <c r="I4429">
        <v>407.95</v>
      </c>
      <c r="J4429">
        <v>-0.01</v>
      </c>
    </row>
    <row r="4430" spans="1:10" x14ac:dyDescent="0.3">
      <c r="A4430" t="str">
        <f>HYPERLINK("https://us2.cloudbeds.com/connect/10074733072513#/reservations/31685021012193?display=MHF3NWQ2K&amp;reservation_id=31685021012193", "MHF3NWQ2K")</f>
        <v>MHF3NWQ2K</v>
      </c>
      <c r="B4430" t="s">
        <v>10</v>
      </c>
      <c r="C4430" t="s">
        <v>14</v>
      </c>
      <c r="D4430" t="str">
        <f>HYPERLINK("https://us2.cloudbeds.com/connect/10074733072513#/reservations/31685021012193?display=Steve%20Hagen&amp;reservation_id=31685021012193&amp;guest_id=31685013467273", "Steve Hagen")</f>
        <v>Steve Hagen</v>
      </c>
      <c r="E4430" t="s">
        <v>7215</v>
      </c>
      <c r="F4430" t="s">
        <v>5576</v>
      </c>
      <c r="G4430">
        <v>253.86</v>
      </c>
      <c r="H4430">
        <v>275.94</v>
      </c>
      <c r="I4430">
        <v>275.95</v>
      </c>
      <c r="J4430">
        <v>-0.01</v>
      </c>
    </row>
    <row r="4431" spans="1:10" x14ac:dyDescent="0.3">
      <c r="A4431" t="str">
        <f>HYPERLINK("https://us2.cloudbeds.com/connect/10074733072513#/reservations/31685026386103?display=MHF3SHAQC&amp;reservation_id=31685026386103", "MHF3SHAQC")</f>
        <v>MHF3SHAQC</v>
      </c>
      <c r="B4431" t="s">
        <v>10</v>
      </c>
      <c r="C4431" t="s">
        <v>14</v>
      </c>
      <c r="D4431" t="str">
        <f>HYPERLINK("https://us2.cloudbeds.com/connect/10074733072513#/reservations/31685026386103?display=Mitchel%20Roemer&amp;reservation_id=31685026386103&amp;guest_id=31685026386054", "Mitchel Roemer")</f>
        <v>Mitchel Roemer</v>
      </c>
      <c r="E4431" t="s">
        <v>7224</v>
      </c>
      <c r="F4431" t="s">
        <v>5576</v>
      </c>
      <c r="G4431">
        <v>103.2</v>
      </c>
      <c r="H4431">
        <v>112.17</v>
      </c>
      <c r="I4431">
        <v>112.18</v>
      </c>
      <c r="J4431">
        <v>-0.01</v>
      </c>
    </row>
    <row r="4432" spans="1:10" x14ac:dyDescent="0.3">
      <c r="A4432" t="str">
        <f>HYPERLINK("https://us2.cloudbeds.com/connect/10074733072513#/reservations/31683690549456?display=MHE2Z3N6W&amp;reservation_id=31683690549456", "MHE2Z3N6W")</f>
        <v>MHE2Z3N6W</v>
      </c>
      <c r="B4432" t="s">
        <v>10</v>
      </c>
      <c r="C4432" t="s">
        <v>42</v>
      </c>
      <c r="D4432" t="str">
        <f>HYPERLINK("https://us2.cloudbeds.com/connect/10074733072513#/reservations/31683690549456?display=Rella%20Botha&amp;reservation_id=31683690549456&amp;guest_id=31683690549441", "Rella Botha")</f>
        <v>Rella Botha</v>
      </c>
      <c r="E4432" t="s">
        <v>7226</v>
      </c>
      <c r="F4432" t="s">
        <v>7075</v>
      </c>
      <c r="G4432">
        <v>103.2</v>
      </c>
      <c r="H4432">
        <v>112.17</v>
      </c>
      <c r="I4432">
        <v>112.18</v>
      </c>
      <c r="J4432">
        <v>-0.01</v>
      </c>
    </row>
    <row r="4433" spans="1:10" x14ac:dyDescent="0.3">
      <c r="A4433" t="str">
        <f>HYPERLINK("https://us2.cloudbeds.com/connect/10074733072513#/reservations/31687315079352?display=MHGTBDJG8&amp;reservation_id=31687315079352", "MHGTBDJG8")</f>
        <v>MHGTBDJG8</v>
      </c>
      <c r="B4433" t="s">
        <v>10</v>
      </c>
      <c r="C4433" t="s">
        <v>42</v>
      </c>
      <c r="D4433" t="str">
        <f>HYPERLINK("https://us2.cloudbeds.com/connect/10074733072513#/reservations/31687315079352?display=Jason%20Sargent&amp;reservation_id=31687315079352&amp;guest_id=30671178834135", "Jason Sargent")</f>
        <v>Jason Sargent</v>
      </c>
      <c r="E4433" t="s">
        <v>7238</v>
      </c>
      <c r="F4433" t="s">
        <v>5576</v>
      </c>
      <c r="G4433">
        <v>536.4</v>
      </c>
      <c r="H4433">
        <v>583.05999999999995</v>
      </c>
      <c r="I4433">
        <v>583.07000000000005</v>
      </c>
      <c r="J4433">
        <v>-0.01</v>
      </c>
    </row>
    <row r="4434" spans="1:10" x14ac:dyDescent="0.3">
      <c r="A4434" t="str">
        <f>HYPERLINK("https://us2.cloudbeds.com/connect/10074733072513#/reservations/31687558586520?display=MHH2XZHNB&amp;reservation_id=31687558586520", "MHH2XZHNB")</f>
        <v>MHH2XZHNB</v>
      </c>
      <c r="B4434" t="s">
        <v>10</v>
      </c>
      <c r="C4434" t="s">
        <v>11</v>
      </c>
      <c r="D4434" t="str">
        <f>HYPERLINK("https://us2.cloudbeds.com/connect/10074733072513#/reservations/31687558586520?display=Rowan%20Ramey-Dixon&amp;reservation_id=31687558586520&amp;guest_id=31687558582436", "Rowan Ramey-Dixon")</f>
        <v>Rowan Ramey-Dixon</v>
      </c>
      <c r="E4434" t="s">
        <v>7239</v>
      </c>
      <c r="F4434" t="s">
        <v>6866</v>
      </c>
      <c r="G4434">
        <v>103.2</v>
      </c>
      <c r="H4434">
        <v>112.17</v>
      </c>
      <c r="I4434">
        <v>112.18</v>
      </c>
      <c r="J4434">
        <v>-0.01</v>
      </c>
    </row>
    <row r="4435" spans="1:10" x14ac:dyDescent="0.3">
      <c r="A4435" t="str">
        <f>HYPERLINK("https://us2.cloudbeds.com/connect/10074733072513#/reservations/31683889344660?display=MHE7QZFK2&amp;reservation_id=31683889344660", "MHE7QZFK2")</f>
        <v>MHE7QZFK2</v>
      </c>
      <c r="B4435" t="s">
        <v>10</v>
      </c>
      <c r="C4435" t="s">
        <v>121</v>
      </c>
      <c r="D4435" t="str">
        <f>HYPERLINK("https://us2.cloudbeds.com/connect/10074733072513#/reservations/31683889344660?display=Benjamin%20Charles%20Barnes&amp;reservation_id=31683889344660&amp;guest_id=31683889344656", "Benjamin Charles Barnes")</f>
        <v>Benjamin Charles Barnes</v>
      </c>
      <c r="E4435" t="s">
        <v>7242</v>
      </c>
      <c r="F4435" t="s">
        <v>7090</v>
      </c>
      <c r="G4435">
        <v>103.2</v>
      </c>
      <c r="H4435">
        <v>112.17</v>
      </c>
      <c r="I4435">
        <v>112.18</v>
      </c>
      <c r="J4435">
        <v>-0.01</v>
      </c>
    </row>
    <row r="4436" spans="1:10" x14ac:dyDescent="0.3">
      <c r="A4436" t="str">
        <f>HYPERLINK("https://us2.cloudbeds.com/connect/10074733072513#/reservations/31685964091596?display=MHFRR7C1B&amp;reservation_id=31685964091596", "MHFRR7C1B")</f>
        <v>MHFRR7C1B</v>
      </c>
      <c r="B4436" t="s">
        <v>10</v>
      </c>
      <c r="C4436" t="s">
        <v>121</v>
      </c>
      <c r="D4436" t="str">
        <f>HYPERLINK("https://us2.cloudbeds.com/connect/10074733072513#/reservations/31685964091596?display=Andrew%20Hokom&amp;reservation_id=31685964091596&amp;guest_id=31685958840481", "Andrew Hokom")</f>
        <v>Andrew Hokom</v>
      </c>
      <c r="E4436" t="s">
        <v>7243</v>
      </c>
      <c r="F4436" t="s">
        <v>7090</v>
      </c>
      <c r="G4436">
        <v>103.2</v>
      </c>
      <c r="H4436">
        <v>112.17</v>
      </c>
      <c r="I4436">
        <v>112.18</v>
      </c>
      <c r="J4436">
        <v>-0.01</v>
      </c>
    </row>
    <row r="4437" spans="1:10" x14ac:dyDescent="0.3">
      <c r="A4437" t="str">
        <f>HYPERLINK("https://us2.cloudbeds.com/connect/10074733072513#/reservations/31684132159682?display=MHEE0G581&amp;reservation_id=31684132159682", "MHEE0G581")</f>
        <v>MHEE0G581</v>
      </c>
      <c r="B4437" t="s">
        <v>10</v>
      </c>
      <c r="C4437" t="s">
        <v>11</v>
      </c>
      <c r="D4437" t="str">
        <f>HYPERLINK("https://us2.cloudbeds.com/connect/10074733072513#/reservations/31684132159682?display=Lisa%20Koeck&amp;reservation_id=31684132159682&amp;guest_id=31684124434594", "Lisa Koeck")</f>
        <v>Lisa Koeck</v>
      </c>
      <c r="E4437" t="s">
        <v>7247</v>
      </c>
      <c r="F4437" t="s">
        <v>5017</v>
      </c>
      <c r="G4437">
        <v>143.66</v>
      </c>
      <c r="H4437">
        <v>156.15</v>
      </c>
      <c r="I4437">
        <v>156.16</v>
      </c>
      <c r="J4437">
        <v>-0.01</v>
      </c>
    </row>
    <row r="4438" spans="1:10" x14ac:dyDescent="0.3">
      <c r="A4438" t="str">
        <f>HYPERLINK("https://us2.cloudbeds.com/connect/10074733072513#/reservations/31685147750645?display=MHF6VSFYP&amp;reservation_id=31685147750645", "MHF6VSFYP")</f>
        <v>MHF6VSFYP</v>
      </c>
      <c r="B4438" t="s">
        <v>10</v>
      </c>
      <c r="C4438" t="s">
        <v>14</v>
      </c>
      <c r="D4438" t="str">
        <f>HYPERLINK("https://us2.cloudbeds.com/connect/10074733072513#/reservations/31685147750645?display=Maggie%20Daum&amp;reservation_id=31685147750645&amp;guest_id=31685147750643", "Maggie Daum")</f>
        <v>Maggie Daum</v>
      </c>
      <c r="E4438" t="s">
        <v>7260</v>
      </c>
      <c r="F4438" t="s">
        <v>4772</v>
      </c>
      <c r="G4438">
        <v>154.24</v>
      </c>
      <c r="H4438">
        <v>167.65</v>
      </c>
      <c r="I4438">
        <v>167.66</v>
      </c>
      <c r="J4438">
        <v>-0.01</v>
      </c>
    </row>
    <row r="4439" spans="1:10" x14ac:dyDescent="0.3">
      <c r="A4439" t="str">
        <f>HYPERLINK("https://us2.cloudbeds.com/connect/10074733072513#/reservations/31687588343963?display=MHH3ARJ61&amp;reservation_id=31687588343963", "MHH3ARJ61")</f>
        <v>MHH3ARJ61</v>
      </c>
      <c r="B4439" t="s">
        <v>10</v>
      </c>
      <c r="C4439" t="s">
        <v>11</v>
      </c>
      <c r="D4439" t="str">
        <f>HYPERLINK("https://us2.cloudbeds.com/connect/10074733072513#/reservations/31687588343963?display=Wendy%20Roeder&amp;reservation_id=31687588343963&amp;guest_id=31687588343959", "Wendy Roeder")</f>
        <v>Wendy Roeder</v>
      </c>
      <c r="E4439" t="s">
        <v>7262</v>
      </c>
      <c r="F4439" t="s">
        <v>6866</v>
      </c>
      <c r="G4439">
        <v>103.2</v>
      </c>
      <c r="H4439">
        <v>112.17</v>
      </c>
      <c r="I4439">
        <v>112.18</v>
      </c>
      <c r="J4439">
        <v>-0.01</v>
      </c>
    </row>
    <row r="4440" spans="1:10" x14ac:dyDescent="0.3">
      <c r="A4440" t="str">
        <f>HYPERLINK("https://us2.cloudbeds.com/connect/10074733072513#/reservations/31682267086990?display=MHCWBQP4Z&amp;reservation_id=31682267086990", "MHCWBQP4Z")</f>
        <v>MHCWBQP4Z</v>
      </c>
      <c r="B4440" t="s">
        <v>10</v>
      </c>
      <c r="C4440" t="s">
        <v>42</v>
      </c>
      <c r="D4440" t="str">
        <f>HYPERLINK("https://us2.cloudbeds.com/connect/10074733072513#/reservations/31682267086990?display=Linda%20Swanson&amp;reservation_id=31682267086990&amp;guest_id=31682267082898", "Linda Swanson")</f>
        <v>Linda Swanson</v>
      </c>
      <c r="E4440" t="s">
        <v>7264</v>
      </c>
      <c r="F4440" t="s">
        <v>6841</v>
      </c>
      <c r="G4440">
        <v>134.1</v>
      </c>
      <c r="H4440">
        <v>145.76</v>
      </c>
      <c r="I4440">
        <v>145.77000000000001</v>
      </c>
      <c r="J4440">
        <v>-0.01</v>
      </c>
    </row>
    <row r="4441" spans="1:10" x14ac:dyDescent="0.3">
      <c r="A4441" t="str">
        <f>HYPERLINK("https://us2.cloudbeds.com/connect/10074733072513#/reservations/31684937216181?display=MHF1JB1DH&amp;reservation_id=31684937216181", "MHF1JB1DH")</f>
        <v>MHF1JB1DH</v>
      </c>
      <c r="B4441" t="s">
        <v>10</v>
      </c>
      <c r="C4441" t="s">
        <v>20</v>
      </c>
      <c r="D4441" t="str">
        <f>HYPERLINK("https://us2.cloudbeds.com/connect/10074733072513#/reservations/31684937216181?display=Adrianna%20Lefebvere&amp;reservation_id=31684937216181&amp;guest_id=31684924506330", "Adrianna Lefebvere")</f>
        <v>Adrianna Lefebvere</v>
      </c>
      <c r="E4441" t="s">
        <v>7270</v>
      </c>
      <c r="F4441" t="s">
        <v>5741</v>
      </c>
      <c r="G4441">
        <v>304.2</v>
      </c>
      <c r="H4441">
        <v>330.66</v>
      </c>
      <c r="I4441">
        <v>330.67</v>
      </c>
      <c r="J4441">
        <v>-0.01</v>
      </c>
    </row>
    <row r="4442" spans="1:10" x14ac:dyDescent="0.3">
      <c r="A4442" t="str">
        <f>HYPERLINK("https://us2.cloudbeds.com/connect/10074733072513#/reservations/31689217204383?display=MHXBVB0PN&amp;reservation_id=31689217204383", "MHXBVB0PN")</f>
        <v>MHXBVB0PN</v>
      </c>
      <c r="B4442" t="s">
        <v>10</v>
      </c>
      <c r="C4442" t="s">
        <v>11</v>
      </c>
      <c r="D4442" t="str">
        <f>HYPERLINK("https://us2.cloudbeds.com/connect/10074733072513#/reservations/31689217204383?display=Randy%20Buchite&amp;reservation_id=31689217204383&amp;guest_id=31689209663685", "Randy Buchite")</f>
        <v>Randy Buchite</v>
      </c>
      <c r="E4442" t="s">
        <v>7271</v>
      </c>
      <c r="F4442" t="s">
        <v>7008</v>
      </c>
      <c r="G4442">
        <v>338.48</v>
      </c>
      <c r="H4442">
        <v>367.92</v>
      </c>
      <c r="I4442">
        <v>367.93</v>
      </c>
      <c r="J4442">
        <v>-0.01</v>
      </c>
    </row>
    <row r="4443" spans="1:10" x14ac:dyDescent="0.3">
      <c r="A4443" t="str">
        <f>HYPERLINK("https://us2.cloudbeds.com/connect/10074733072513#/reservations/31684850266320?display=MHEWC0HY8&amp;reservation_id=31684850266320", "MHEWC0HY8")</f>
        <v>MHEWC0HY8</v>
      </c>
      <c r="B4443" t="s">
        <v>10</v>
      </c>
      <c r="C4443" t="s">
        <v>11</v>
      </c>
      <c r="D4443" t="str">
        <f>HYPERLINK("https://us2.cloudbeds.com/connect/10074733072513#/reservations/31684850266320?display=Kory%20Reese&amp;reservation_id=31684850266320&amp;guest_id=31684839764217", "Kory Reese")</f>
        <v>Kory Reese</v>
      </c>
      <c r="E4443" t="s">
        <v>7274</v>
      </c>
      <c r="F4443" t="s">
        <v>7008</v>
      </c>
      <c r="G4443">
        <v>338.48</v>
      </c>
      <c r="H4443">
        <v>367.92</v>
      </c>
      <c r="I4443">
        <v>367.93</v>
      </c>
      <c r="J4443">
        <v>-0.01</v>
      </c>
    </row>
    <row r="4444" spans="1:10" x14ac:dyDescent="0.3">
      <c r="A4444" t="str">
        <f>HYPERLINK("https://us2.cloudbeds.com/connect/10074733072513#/reservations/31684795048141?display=MHEUVF083&amp;reservation_id=31684795048141", "MHEUVF083")</f>
        <v>MHEUVF083</v>
      </c>
      <c r="B4444" t="s">
        <v>10</v>
      </c>
      <c r="C4444" t="s">
        <v>11</v>
      </c>
      <c r="D4444" t="str">
        <f>HYPERLINK("https://us2.cloudbeds.com/connect/10074733072513#/reservations/31684795048141?display=Richard%20Selland&amp;reservation_id=31684795048141&amp;guest_id=31684795048136", "Richard Selland")</f>
        <v>Richard Selland</v>
      </c>
      <c r="E4444" t="s">
        <v>7277</v>
      </c>
      <c r="F4444" t="s">
        <v>7008</v>
      </c>
      <c r="G4444">
        <v>338.48</v>
      </c>
      <c r="H4444">
        <v>367.92</v>
      </c>
      <c r="I4444">
        <v>367.93</v>
      </c>
      <c r="J4444">
        <v>-0.01</v>
      </c>
    </row>
    <row r="4445" spans="1:10" x14ac:dyDescent="0.3">
      <c r="A4445" t="str">
        <f>HYPERLINK("https://us2.cloudbeds.com/connect/10074733072513#/reservations/31687106134186?display=MHGZ07CYX&amp;reservation_id=31687106134186", "MHGZ07CYX")</f>
        <v>MHGZ07CYX</v>
      </c>
      <c r="B4445" t="s">
        <v>10</v>
      </c>
      <c r="C4445" t="s">
        <v>42</v>
      </c>
      <c r="D4445" t="str">
        <f>HYPERLINK("https://us2.cloudbeds.com/connect/10074733072513#/reservations/31687106134186?display=Mary%20Mertes&amp;reservation_id=31687106134186&amp;guest_id=31675183210645", "Mary Mertes")</f>
        <v>Mary Mertes</v>
      </c>
      <c r="E4445" t="s">
        <v>7290</v>
      </c>
      <c r="F4445" t="s">
        <v>7291</v>
      </c>
      <c r="G4445">
        <v>768.6</v>
      </c>
      <c r="H4445">
        <v>835.46</v>
      </c>
      <c r="I4445">
        <v>835.47</v>
      </c>
      <c r="J4445">
        <v>-0.01</v>
      </c>
    </row>
    <row r="4446" spans="1:10" x14ac:dyDescent="0.3">
      <c r="A4446" t="str">
        <f>HYPERLINK("https://us2.cloudbeds.com/connect/10074733072513#/reservations/31685850874054?display=MHFZUZUBZ&amp;reservation_id=31685850874054", "MHFZUZUBZ")</f>
        <v>MHFZUZUBZ</v>
      </c>
      <c r="B4446" t="s">
        <v>10</v>
      </c>
      <c r="C4446" t="s">
        <v>42</v>
      </c>
      <c r="D4446" t="str">
        <f>HYPERLINK("https://us2.cloudbeds.com/connect/10074733072513#/reservations/31685850874054?display=Mary%20Mertes&amp;reservation_id=31685850874054&amp;guest_id=31685850869959", "Mary Mertes")</f>
        <v>Mary Mertes</v>
      </c>
      <c r="E4446" t="s">
        <v>7290</v>
      </c>
      <c r="F4446" t="s">
        <v>7291</v>
      </c>
      <c r="G4446">
        <v>768.6</v>
      </c>
      <c r="H4446">
        <v>835.46</v>
      </c>
      <c r="I4446">
        <v>835.47</v>
      </c>
      <c r="J4446">
        <v>-0.01</v>
      </c>
    </row>
    <row r="4447" spans="1:10" x14ac:dyDescent="0.3">
      <c r="A4447" t="str">
        <f>HYPERLINK("https://us2.cloudbeds.com/connect/10074733072513#/reservations/31687054430343?display=MHGMMKYCE&amp;reservation_id=31687054430343", "MHGMMKYCE")</f>
        <v>MHGMMKYCE</v>
      </c>
      <c r="B4447" t="s">
        <v>10</v>
      </c>
      <c r="C4447" t="s">
        <v>17</v>
      </c>
      <c r="D4447" t="str">
        <f>HYPERLINK("https://us2.cloudbeds.com/connect/10074733072513#/reservations/31687054430343?display=James%20Bradley%20White&amp;reservation_id=31687054430343&amp;guest_id=31687045697679", "James Bradley White")</f>
        <v>James Bradley White</v>
      </c>
      <c r="E4447" t="s">
        <v>7292</v>
      </c>
      <c r="F4447" t="s">
        <v>6175</v>
      </c>
      <c r="G4447">
        <v>447.3</v>
      </c>
      <c r="H4447">
        <v>486.21</v>
      </c>
      <c r="I4447">
        <v>486.22</v>
      </c>
      <c r="J4447">
        <v>-0.01</v>
      </c>
    </row>
    <row r="4448" spans="1:10" x14ac:dyDescent="0.3">
      <c r="A4448" t="str">
        <f>HYPERLINK("https://us2.cloudbeds.com/connect/10074733072513#/reservations/31681871241353?display=MHCM80PHD&amp;reservation_id=31681871241353", "MHCM80PHD")</f>
        <v>MHCM80PHD</v>
      </c>
      <c r="B4448" t="s">
        <v>10</v>
      </c>
      <c r="C4448" t="s">
        <v>14</v>
      </c>
      <c r="D4448" t="str">
        <f>HYPERLINK("https://us2.cloudbeds.com/connect/10074733072513#/reservations/31681871241353?display=Erienne%20Fawcett&amp;reservation_id=31681871241353&amp;guest_id=31681871241348", "Erienne Fawcett")</f>
        <v>Erienne Fawcett</v>
      </c>
      <c r="E4448" t="s">
        <v>7293</v>
      </c>
      <c r="F4448" t="s">
        <v>6321</v>
      </c>
      <c r="G4448">
        <v>163.18</v>
      </c>
      <c r="H4448">
        <v>177.37</v>
      </c>
      <c r="I4448">
        <v>177.38</v>
      </c>
      <c r="J4448">
        <v>-0.01</v>
      </c>
    </row>
    <row r="4449" spans="1:10" x14ac:dyDescent="0.3">
      <c r="A4449" t="str">
        <f>HYPERLINK("https://us2.cloudbeds.com/connect/10074733072513#/reservations/31686434676905?display=MHG6S1347&amp;reservation_id=31686434676905", "MHG6S1347")</f>
        <v>MHG6S1347</v>
      </c>
      <c r="B4449" t="s">
        <v>10</v>
      </c>
      <c r="C4449" t="s">
        <v>11</v>
      </c>
      <c r="D4449" t="str">
        <f>HYPERLINK("https://us2.cloudbeds.com/connect/10074733072513#/reservations/31686434676905?display=Timothy%20Kreitz&amp;reservation_id=31686434676905&amp;guest_id=31686434676903", "Timothy Kreitz")</f>
        <v>Timothy Kreitz</v>
      </c>
      <c r="E4449" t="s">
        <v>7298</v>
      </c>
      <c r="F4449" t="s">
        <v>5567</v>
      </c>
      <c r="G4449">
        <v>254.4</v>
      </c>
      <c r="H4449">
        <v>276.52</v>
      </c>
      <c r="I4449">
        <v>276.52999999999997</v>
      </c>
      <c r="J4449">
        <v>-0.01</v>
      </c>
    </row>
    <row r="4450" spans="1:10" x14ac:dyDescent="0.3">
      <c r="A4450" t="str">
        <f>HYPERLINK("https://us2.cloudbeds.com/connect/10074733072513#/reservations/31686425854099?display=MHG6KJJCF&amp;reservation_id=31686425854099", "MHG6KJJCF")</f>
        <v>MHG6KJJCF</v>
      </c>
      <c r="B4450" t="s">
        <v>10</v>
      </c>
      <c r="C4450" t="s">
        <v>14</v>
      </c>
      <c r="D4450" t="str">
        <f>HYPERLINK("https://us2.cloudbeds.com/connect/10074733072513#/reservations/31686425854099?display=Scott%20Smith&amp;reservation_id=31686425854099&amp;guest_id=31686425854094", "Scott Smith")</f>
        <v>Scott Smith</v>
      </c>
      <c r="E4450" t="s">
        <v>7306</v>
      </c>
      <c r="F4450" t="s">
        <v>5567</v>
      </c>
      <c r="G4450">
        <v>103.2</v>
      </c>
      <c r="H4450">
        <v>112.17</v>
      </c>
      <c r="I4450">
        <v>112.18</v>
      </c>
      <c r="J4450">
        <v>-0.01</v>
      </c>
    </row>
    <row r="4451" spans="1:10" x14ac:dyDescent="0.3">
      <c r="A4451" t="str">
        <f>HYPERLINK("https://us2.cloudbeds.com/connect/10074733072513#/reservations/31689254072552?display=MHXCTDURV&amp;reservation_id=31689254072552", "MHXCTDURV")</f>
        <v>MHXCTDURV</v>
      </c>
      <c r="B4451" t="s">
        <v>10</v>
      </c>
      <c r="C4451" t="s">
        <v>14</v>
      </c>
      <c r="D4451" t="str">
        <f>HYPERLINK("https://us2.cloudbeds.com/connect/10074733072513#/reservations/31689254072552?display=William%20Ethridge&amp;reservation_id=31689254072552&amp;guest_id=31689254072541", "William Ethridge")</f>
        <v>William Ethridge</v>
      </c>
      <c r="E4451" t="s">
        <v>7307</v>
      </c>
      <c r="F4451" t="s">
        <v>7308</v>
      </c>
      <c r="G4451">
        <v>103.2</v>
      </c>
      <c r="H4451">
        <v>112.17</v>
      </c>
      <c r="I4451">
        <v>112.18</v>
      </c>
      <c r="J4451">
        <v>-0.01</v>
      </c>
    </row>
    <row r="4452" spans="1:10" x14ac:dyDescent="0.3">
      <c r="A4452" t="str">
        <f>HYPERLINK("https://us2.cloudbeds.com/connect/10074733072513#/reservations/31689825091738?display=MHXRFUCNY&amp;reservation_id=31689825091738", "MHXRFUCNY")</f>
        <v>MHXRFUCNY</v>
      </c>
      <c r="B4452" t="s">
        <v>10</v>
      </c>
      <c r="C4452" t="s">
        <v>42</v>
      </c>
      <c r="D4452" t="str">
        <f>HYPERLINK("https://us2.cloudbeds.com/connect/10074733072513#/reservations/31689825091738?display=Jamie%20Wood&amp;reservation_id=31689825091738&amp;guest_id=31689825091735", "Jamie Wood")</f>
        <v>Jamie Wood</v>
      </c>
      <c r="E4452" t="s">
        <v>7313</v>
      </c>
      <c r="F4452" t="s">
        <v>7008</v>
      </c>
      <c r="G4452">
        <v>103.2</v>
      </c>
      <c r="H4452">
        <v>112.17</v>
      </c>
      <c r="I4452">
        <v>112.18</v>
      </c>
      <c r="J4452">
        <v>-0.01</v>
      </c>
    </row>
    <row r="4453" spans="1:10" x14ac:dyDescent="0.3">
      <c r="A4453" t="str">
        <f>HYPERLINK("https://us2.cloudbeds.com/connect/10074733072513#/reservations/31682750128303?display=MHDBN4389&amp;reservation_id=31682750128303", "MHDBN4389")</f>
        <v>MHDBN4389</v>
      </c>
      <c r="B4453" t="s">
        <v>10</v>
      </c>
      <c r="C4453" t="s">
        <v>11</v>
      </c>
      <c r="D4453" t="str">
        <f>HYPERLINK("https://us2.cloudbeds.com/connect/10074733072513#/reservations/31682750128303?display=April%20Wagner&amp;reservation_id=31682750128303&amp;guest_id=31682742264023", "April Wagner")</f>
        <v>April Wagner</v>
      </c>
      <c r="E4453" t="s">
        <v>7318</v>
      </c>
      <c r="F4453" t="s">
        <v>4853</v>
      </c>
      <c r="G4453">
        <v>103.2</v>
      </c>
      <c r="H4453">
        <v>112.17</v>
      </c>
      <c r="I4453">
        <v>112.18</v>
      </c>
      <c r="J4453">
        <v>-0.01</v>
      </c>
    </row>
    <row r="4454" spans="1:10" x14ac:dyDescent="0.3">
      <c r="A4454" t="str">
        <f>HYPERLINK("https://us2.cloudbeds.com/connect/10074733072513#/reservations/31693289545934?display=MHYH07UN3&amp;reservation_id=31693289545934", "MHYH07UN3")</f>
        <v>MHYH07UN3</v>
      </c>
      <c r="B4454" t="s">
        <v>10</v>
      </c>
      <c r="C4454" t="s">
        <v>11</v>
      </c>
      <c r="D4454" t="str">
        <f>HYPERLINK("https://us2.cloudbeds.com/connect/10074733072513#/reservations/31693289545934?display=Janice%20Irving&amp;reservation_id=31693289545934&amp;guest_id=31693281964252", "Janice Irving")</f>
        <v>Janice Irving</v>
      </c>
      <c r="E4454" t="s">
        <v>7325</v>
      </c>
      <c r="F4454" t="s">
        <v>7269</v>
      </c>
      <c r="G4454">
        <v>247.3</v>
      </c>
      <c r="H4454">
        <v>268.81</v>
      </c>
      <c r="I4454">
        <v>268.82</v>
      </c>
      <c r="J4454">
        <v>-0.01</v>
      </c>
    </row>
    <row r="4455" spans="1:10" x14ac:dyDescent="0.3">
      <c r="A4455" t="str">
        <f>HYPERLINK("https://us2.cloudbeds.com/connect/10074733072513#/reservations/31684345954493?display=MHEJFPACM&amp;reservation_id=31684345954493", "MHEJFPACM")</f>
        <v>MHEJFPACM</v>
      </c>
      <c r="B4455" t="s">
        <v>10</v>
      </c>
      <c r="C4455" t="s">
        <v>11</v>
      </c>
      <c r="D4455" t="str">
        <f>HYPERLINK("https://us2.cloudbeds.com/connect/10074733072513#/reservations/31684345954493?display=Thomas%20Desmarais&amp;reservation_id=31684345954493&amp;guest_id=31684345954433", "Thomas Desmarais")</f>
        <v>Thomas Desmarais</v>
      </c>
      <c r="E4455" t="s">
        <v>7328</v>
      </c>
      <c r="F4455" t="s">
        <v>7130</v>
      </c>
      <c r="G4455">
        <v>103.2</v>
      </c>
      <c r="H4455">
        <v>112.17</v>
      </c>
      <c r="I4455">
        <v>112.18</v>
      </c>
      <c r="J4455">
        <v>-0.01</v>
      </c>
    </row>
    <row r="4456" spans="1:10" x14ac:dyDescent="0.3">
      <c r="A4456" t="str">
        <f>HYPERLINK("https://us2.cloudbeds.com/connect/10074733072513#/reservations/31689616052373?display=MHXM4YXCE&amp;reservation_id=31689616052373", "MHXM4YXCE")</f>
        <v>MHXM4YXCE</v>
      </c>
      <c r="B4456" t="s">
        <v>10</v>
      </c>
      <c r="C4456" t="s">
        <v>11</v>
      </c>
      <c r="D4456" t="str">
        <f>HYPERLINK("https://us2.cloudbeds.com/connect/10074733072513#/reservations/31689616052373?display=Greg%20Vester&amp;reservation_id=31689616052373&amp;guest_id=31689608675464", "Greg Vester")</f>
        <v>Greg Vester</v>
      </c>
      <c r="E4456" t="s">
        <v>7335</v>
      </c>
      <c r="F4456" t="s">
        <v>5554</v>
      </c>
      <c r="G4456">
        <v>103.2</v>
      </c>
      <c r="H4456">
        <v>112.17</v>
      </c>
      <c r="I4456">
        <v>112.18</v>
      </c>
      <c r="J4456">
        <v>-0.01</v>
      </c>
    </row>
    <row r="4457" spans="1:10" x14ac:dyDescent="0.3">
      <c r="A4457" t="str">
        <f>HYPERLINK("https://us2.cloudbeds.com/connect/10074733072513#/reservations/31684395913377?display=MHEKZTGA8&amp;reservation_id=31684395913377", "MHEKZTGA8")</f>
        <v>MHEKZTGA8</v>
      </c>
      <c r="B4457" t="s">
        <v>10</v>
      </c>
      <c r="C4457" t="s">
        <v>14</v>
      </c>
      <c r="D4457" t="str">
        <f>HYPERLINK("https://us2.cloudbeds.com/connect/10074733072513#/reservations/31684395913377?display=William%20Ethridge&amp;reservation_id=31684395913377&amp;guest_id=31684384002244", "William Ethridge")</f>
        <v>William Ethridge</v>
      </c>
      <c r="E4457" t="s">
        <v>7338</v>
      </c>
      <c r="F4457" t="s">
        <v>7130</v>
      </c>
      <c r="G4457">
        <v>103.2</v>
      </c>
      <c r="H4457">
        <v>112.17</v>
      </c>
      <c r="I4457">
        <v>112.18</v>
      </c>
      <c r="J4457">
        <v>-0.01</v>
      </c>
    </row>
    <row r="4458" spans="1:10" x14ac:dyDescent="0.3">
      <c r="A4458" t="str">
        <f>HYPERLINK("https://us2.cloudbeds.com/connect/10074733072513#/reservations/31684381065357?display=MHEKCCAP7&amp;reservation_id=31684381065357", "MHEKCCAP7")</f>
        <v>MHEKCCAP7</v>
      </c>
      <c r="B4458" t="s">
        <v>10</v>
      </c>
      <c r="C4458" t="s">
        <v>121</v>
      </c>
      <c r="D4458" t="str">
        <f>HYPERLINK("https://us2.cloudbeds.com/connect/10074733072513#/reservations/31684381065357?display=Allen%20Allan&amp;reservation_id=31684381065357&amp;guest_id=31684368847042", "Allen Allan")</f>
        <v>Allen Allan</v>
      </c>
      <c r="E4458" t="s">
        <v>7357</v>
      </c>
      <c r="F4458" t="s">
        <v>7130</v>
      </c>
      <c r="G4458">
        <v>134.1</v>
      </c>
      <c r="H4458">
        <v>145.76</v>
      </c>
      <c r="I4458">
        <v>145.77000000000001</v>
      </c>
      <c r="J4458">
        <v>-0.01</v>
      </c>
    </row>
    <row r="4459" spans="1:10" x14ac:dyDescent="0.3">
      <c r="A4459" t="str">
        <f>HYPERLINK("https://us2.cloudbeds.com/connect/10074733072513#/reservations/31682905936071?display=MHDFMGMDQ&amp;reservation_id=31682905936071", "MHDFMGMDQ")</f>
        <v>MHDFMGMDQ</v>
      </c>
      <c r="B4459" t="s">
        <v>10</v>
      </c>
      <c r="C4459" t="s">
        <v>42</v>
      </c>
      <c r="D4459" t="str">
        <f>HYPERLINK("https://us2.cloudbeds.com/connect/10074733072513#/reservations/31682905936071?display=Myron%20Storm&amp;reservation_id=31682905936071&amp;guest_id=31682897420538", "Myron Storm")</f>
        <v>Myron Storm</v>
      </c>
      <c r="E4459" t="s">
        <v>7359</v>
      </c>
      <c r="F4459" t="s">
        <v>7339</v>
      </c>
      <c r="G4459">
        <v>152.15</v>
      </c>
      <c r="H4459">
        <v>165.38</v>
      </c>
      <c r="I4459">
        <v>165.39</v>
      </c>
      <c r="J4459">
        <v>-0.01</v>
      </c>
    </row>
    <row r="4460" spans="1:10" x14ac:dyDescent="0.3">
      <c r="A4460" t="str">
        <f>HYPERLINK("https://us2.cloudbeds.com/connect/10074733072513#/reservations/31692177019071?display=MHKYJ47JS&amp;reservation_id=31692177019071", "MHKYJ47JS")</f>
        <v>MHKYJ47JS</v>
      </c>
      <c r="B4460" t="s">
        <v>10</v>
      </c>
      <c r="C4460" t="s">
        <v>14</v>
      </c>
      <c r="D4460" t="str">
        <f>HYPERLINK("https://us2.cloudbeds.com/connect/10074733072513#/reservations/31692177019071?display=Marcy%20Gabbert&amp;reservation_id=31692177019071&amp;guest_id=31692177019018", "Marcy Gabbert")</f>
        <v>Marcy Gabbert</v>
      </c>
      <c r="E4460" t="s">
        <v>7362</v>
      </c>
      <c r="F4460" t="s">
        <v>7269</v>
      </c>
      <c r="G4460">
        <v>302.39999999999998</v>
      </c>
      <c r="H4460">
        <v>328.7</v>
      </c>
      <c r="I4460">
        <v>328.71</v>
      </c>
      <c r="J4460">
        <v>-0.01</v>
      </c>
    </row>
    <row r="4461" spans="1:10" x14ac:dyDescent="0.3">
      <c r="A4461" t="str">
        <f>HYPERLINK("https://us2.cloudbeds.com/connect/10074733072513#/reservations/31684523786395?display=MHEZ0NZZ6&amp;reservation_id=31684523786395", "MHEZ0NZZ6")</f>
        <v>MHEZ0NZZ6</v>
      </c>
      <c r="B4461" t="s">
        <v>10</v>
      </c>
      <c r="C4461" t="s">
        <v>17</v>
      </c>
      <c r="D4461" t="str">
        <f>HYPERLINK("https://us2.cloudbeds.com/connect/10074733072513#/reservations/31684523786395?display=Rachel%20Hewitt&amp;reservation_id=31684523786395&amp;guest_id=31684523786390", "Rachel Hewitt")</f>
        <v>Rachel Hewitt</v>
      </c>
      <c r="E4461" t="s">
        <v>7370</v>
      </c>
      <c r="F4461" t="s">
        <v>7303</v>
      </c>
      <c r="G4461">
        <v>357.3</v>
      </c>
      <c r="H4461">
        <v>388.38</v>
      </c>
      <c r="I4461">
        <v>388.39</v>
      </c>
      <c r="J4461">
        <v>-0.01</v>
      </c>
    </row>
    <row r="4462" spans="1:10" x14ac:dyDescent="0.3">
      <c r="A4462" t="str">
        <f>HYPERLINK("https://us2.cloudbeds.com/connect/10074733072513#/reservations/31691790389451?display=MHKBN3MQQ&amp;reservation_id=31691790389451", "MHKBN3MQQ")</f>
        <v>MHKBN3MQQ</v>
      </c>
      <c r="B4462" t="s">
        <v>10</v>
      </c>
      <c r="C4462" t="s">
        <v>42</v>
      </c>
      <c r="D4462" t="str">
        <f>HYPERLINK("https://us2.cloudbeds.com/connect/10074733072513#/reservations/31691790389451?display=Dan%20Rew&amp;reservation_id=31691790389451&amp;guest_id=31691790385355", "Dan Rew")</f>
        <v>Dan Rew</v>
      </c>
      <c r="E4462" t="s">
        <v>7378</v>
      </c>
      <c r="F4462" t="s">
        <v>5935</v>
      </c>
      <c r="G4462">
        <v>268.2</v>
      </c>
      <c r="H4462">
        <v>291.52</v>
      </c>
      <c r="I4462">
        <v>291.52999999999997</v>
      </c>
      <c r="J4462">
        <v>-0.01</v>
      </c>
    </row>
    <row r="4463" spans="1:10" x14ac:dyDescent="0.3">
      <c r="A4463" t="str">
        <f>HYPERLINK("https://us2.cloudbeds.com/connect/10074733072513#/reservations/31683834069154?display=MHE6D4BXZ&amp;reservation_id=31683834069154", "MHE6D4BXZ")</f>
        <v>MHE6D4BXZ</v>
      </c>
      <c r="B4463" t="s">
        <v>10</v>
      </c>
      <c r="C4463" t="s">
        <v>20</v>
      </c>
      <c r="D4463" t="str">
        <f>HYPERLINK("https://us2.cloudbeds.com/connect/10074733072513#/reservations/31683834069154?display=Guillermo%20Playan&amp;reservation_id=31683834069154&amp;guest_id=31683834069152", "Guillermo Playan")</f>
        <v>Guillermo Playan</v>
      </c>
      <c r="E4463" t="s">
        <v>7388</v>
      </c>
      <c r="F4463" t="s">
        <v>5554</v>
      </c>
      <c r="G4463">
        <v>375.3</v>
      </c>
      <c r="H4463">
        <v>407.94</v>
      </c>
      <c r="I4463">
        <v>407.95</v>
      </c>
      <c r="J4463">
        <v>-0.01</v>
      </c>
    </row>
    <row r="4464" spans="1:10" x14ac:dyDescent="0.3">
      <c r="A4464" t="str">
        <f>HYPERLINK("https://us2.cloudbeds.com/connect/10074733072513#/reservations/31691240181997?display=MHJUY5BQY&amp;reservation_id=31691240181997", "MHJUY5BQY")</f>
        <v>MHJUY5BQY</v>
      </c>
      <c r="B4464" t="s">
        <v>10</v>
      </c>
      <c r="C4464" t="s">
        <v>42</v>
      </c>
      <c r="D4464" t="str">
        <f>HYPERLINK("https://us2.cloudbeds.com/connect/10074733072513#/reservations/31691240181997?display=Margie%20Caviezel&amp;reservation_id=31691240181997&amp;guest_id=31691231887506", "Margie Caviezel")</f>
        <v>Margie Caviezel</v>
      </c>
      <c r="E4464" t="s">
        <v>7390</v>
      </c>
      <c r="F4464" t="s">
        <v>6604</v>
      </c>
      <c r="G4464">
        <v>500.4</v>
      </c>
      <c r="H4464">
        <v>543.91999999999996</v>
      </c>
      <c r="I4464">
        <v>543.92999999999995</v>
      </c>
      <c r="J4464">
        <v>-0.01</v>
      </c>
    </row>
    <row r="4465" spans="1:10" x14ac:dyDescent="0.3">
      <c r="A4465" t="str">
        <f>HYPERLINK("https://us2.cloudbeds.com/connect/10074733072513#/reservations/31692088045823?display=MHKJA3DQS&amp;reservation_id=31692088045823", "MHKJA3DQS")</f>
        <v>MHKJA3DQS</v>
      </c>
      <c r="B4465" t="s">
        <v>10</v>
      </c>
      <c r="C4465" t="s">
        <v>20</v>
      </c>
      <c r="D4465" t="str">
        <f>HYPERLINK("https://us2.cloudbeds.com/connect/10074733072513#/reservations/31692088045823?display=Rosalie%20Treadway&amp;reservation_id=31692088045823&amp;guest_id=31692088045821", "Rosalie Treadway")</f>
        <v>Rosalie Treadway</v>
      </c>
      <c r="E4465" t="s">
        <v>7395</v>
      </c>
      <c r="F4465" t="s">
        <v>6507</v>
      </c>
      <c r="G4465">
        <v>304.2</v>
      </c>
      <c r="H4465">
        <v>330.66</v>
      </c>
      <c r="I4465">
        <v>330.67</v>
      </c>
      <c r="J4465">
        <v>-0.01</v>
      </c>
    </row>
    <row r="4466" spans="1:10" x14ac:dyDescent="0.3">
      <c r="A4466" t="str">
        <f>HYPERLINK("https://us2.cloudbeds.com/connect/10074733072513#/reservations/31692057419969?display=MHKXAWABN&amp;reservation_id=31692057419969", "MHKXAWABN")</f>
        <v>MHKXAWABN</v>
      </c>
      <c r="B4466" t="s">
        <v>10</v>
      </c>
      <c r="C4466" t="s">
        <v>17</v>
      </c>
      <c r="D4466" t="str">
        <f>HYPERLINK("https://us2.cloudbeds.com/connect/10074733072513#/reservations/31692057419969?display=Wes%20Dreyer&amp;reservation_id=31692057419969&amp;guest_id=31692049948820", "Wes Dreyer")</f>
        <v>Wes Dreyer</v>
      </c>
      <c r="E4466" t="s">
        <v>7400</v>
      </c>
      <c r="F4466" t="s">
        <v>7205</v>
      </c>
      <c r="G4466">
        <v>384.3</v>
      </c>
      <c r="H4466">
        <v>417.72</v>
      </c>
      <c r="I4466">
        <v>417.73</v>
      </c>
      <c r="J4466">
        <v>-0.01</v>
      </c>
    </row>
    <row r="4467" spans="1:10" x14ac:dyDescent="0.3">
      <c r="A4467" t="str">
        <f>HYPERLINK("https://us2.cloudbeds.com/connect/10074733072513#/reservations/31683708813488?display=MHE36GUJG&amp;reservation_id=31683708813488", "MHE36GUJG")</f>
        <v>MHE36GUJG</v>
      </c>
      <c r="B4467" t="s">
        <v>10</v>
      </c>
      <c r="C4467" t="s">
        <v>17</v>
      </c>
      <c r="D4467" t="str">
        <f>HYPERLINK("https://us2.cloudbeds.com/connect/10074733072513#/reservations/31683708813488?display=Conda%20De%20Vries&amp;reservation_id=31683708813488&amp;guest_id=31683708813486", "Conda De Vries")</f>
        <v>Conda De Vries</v>
      </c>
      <c r="E4467" t="s">
        <v>5839</v>
      </c>
      <c r="F4467" t="s">
        <v>7424</v>
      </c>
      <c r="G4467">
        <v>268.2</v>
      </c>
      <c r="H4467">
        <v>291.52</v>
      </c>
      <c r="I4467">
        <v>291.52999999999997</v>
      </c>
      <c r="J4467">
        <v>-0.01</v>
      </c>
    </row>
    <row r="4468" spans="1:10" x14ac:dyDescent="0.3">
      <c r="A4468" t="str">
        <f>HYPERLINK("https://us2.cloudbeds.com/connect/10074733072513#/reservations/31683495186637?display=MHDUZCEMX&amp;reservation_id=31683495186637", "MHDUZCEMX")</f>
        <v>MHDUZCEMX</v>
      </c>
      <c r="B4468" t="s">
        <v>10</v>
      </c>
      <c r="C4468" t="s">
        <v>42</v>
      </c>
      <c r="D4468" t="str">
        <f>HYPERLINK("https://us2.cloudbeds.com/connect/10074733072513#/reservations/31683495186637?display=Erin%20Harwig&amp;reservation_id=31683495186637&amp;guest_id=31683495186634", "Erin Harwig")</f>
        <v>Erin Harwig</v>
      </c>
      <c r="E4468" t="s">
        <v>7454</v>
      </c>
      <c r="F4468" t="s">
        <v>6507</v>
      </c>
      <c r="G4468">
        <v>304.2</v>
      </c>
      <c r="H4468">
        <v>330.66</v>
      </c>
      <c r="I4468">
        <v>330.67</v>
      </c>
      <c r="J4468">
        <v>-0.01</v>
      </c>
    </row>
    <row r="4469" spans="1:10" x14ac:dyDescent="0.3">
      <c r="A4469" t="str">
        <f>HYPERLINK("https://us2.cloudbeds.com/connect/10074733072513#/reservations/31690939932809?display=MHJMVWFTD&amp;reservation_id=31690939932809", "MHJMVWFTD")</f>
        <v>MHJMVWFTD</v>
      </c>
      <c r="B4469" t="s">
        <v>10</v>
      </c>
      <c r="C4469" t="s">
        <v>42</v>
      </c>
      <c r="D4469" t="str">
        <f>HYPERLINK("https://us2.cloudbeds.com/connect/10074733072513#/reservations/31690939932809?display=Brian%20Barber&amp;reservation_id=31690939932809&amp;guest_id=31690939932806", "Brian Barber")</f>
        <v>Brian Barber</v>
      </c>
      <c r="E4469" t="s">
        <v>7466</v>
      </c>
      <c r="F4469" t="s">
        <v>7205</v>
      </c>
      <c r="G4469">
        <v>134.1</v>
      </c>
      <c r="H4469">
        <v>145.76</v>
      </c>
      <c r="I4469">
        <v>145.77000000000001</v>
      </c>
      <c r="J4469">
        <v>-0.01</v>
      </c>
    </row>
    <row r="4470" spans="1:10" x14ac:dyDescent="0.3">
      <c r="A4470" t="str">
        <f>HYPERLINK("https://us2.cloudbeds.com/connect/10074733072513#/reservations/31684975075462?display=MHF2X8HJF&amp;reservation_id=31684975075462", "MHF2X8HJF")</f>
        <v>MHF2X8HJF</v>
      </c>
      <c r="B4470" t="s">
        <v>10</v>
      </c>
      <c r="C4470" t="s">
        <v>17</v>
      </c>
      <c r="D4470" t="str">
        <f>HYPERLINK("https://us2.cloudbeds.com/connect/10074733072513#/reservations/31684975075462?display=Karen%20Stelton&amp;reservation_id=31684975075462&amp;guest_id=31675871084768", "Karen Stelton")</f>
        <v>Karen Stelton</v>
      </c>
      <c r="E4470" t="s">
        <v>5651</v>
      </c>
      <c r="F4470" t="s">
        <v>7469</v>
      </c>
      <c r="G4470">
        <v>268.2</v>
      </c>
      <c r="H4470">
        <v>291.52</v>
      </c>
      <c r="I4470">
        <v>291.52999999999997</v>
      </c>
      <c r="J4470">
        <v>-0.01</v>
      </c>
    </row>
    <row r="4471" spans="1:10" x14ac:dyDescent="0.3">
      <c r="A4471" t="str">
        <f>HYPERLINK("https://us2.cloudbeds.com/connect/10074733072513#/reservations/31691901890799?display=MHKEX4CXG&amp;reservation_id=31691901890799", "MHKEX4CXG")</f>
        <v>MHKEX4CXG</v>
      </c>
      <c r="B4471" t="s">
        <v>10</v>
      </c>
      <c r="C4471" t="s">
        <v>20</v>
      </c>
      <c r="D4471" t="str">
        <f>HYPERLINK("https://us2.cloudbeds.com/connect/10074733072513#/reservations/31691901890799?display=Ashley%20Dorris&amp;reservation_id=31691901890799&amp;guest_id=31691892568221", "Ashley Dorris")</f>
        <v>Ashley Dorris</v>
      </c>
      <c r="E4471" t="s">
        <v>7471</v>
      </c>
      <c r="F4471" t="s">
        <v>7367</v>
      </c>
      <c r="G4471">
        <v>268.2</v>
      </c>
      <c r="H4471">
        <v>291.52</v>
      </c>
      <c r="I4471">
        <v>291.52999999999997</v>
      </c>
      <c r="J4471">
        <v>-0.01</v>
      </c>
    </row>
    <row r="4472" spans="1:10" x14ac:dyDescent="0.3">
      <c r="A4472" t="str">
        <f>HYPERLINK("https://us2.cloudbeds.com/connect/10074733072513#/reservations/31686132793510?display=MHFW4FZXX&amp;reservation_id=31686132793510", "MHFW4FZXX")</f>
        <v>MHFW4FZXX</v>
      </c>
      <c r="B4472" t="s">
        <v>10</v>
      </c>
      <c r="C4472" t="s">
        <v>42</v>
      </c>
      <c r="D4472" t="str">
        <f>HYPERLINK("https://us2.cloudbeds.com/connect/10074733072513#/reservations/31686132793510?display=Sarah%20Goodhart&amp;reservation_id=31686132793510&amp;guest_id=30670696575198", "Sarah Goodhart")</f>
        <v>Sarah Goodhart</v>
      </c>
      <c r="E4472" t="s">
        <v>7476</v>
      </c>
      <c r="F4472" t="s">
        <v>7327</v>
      </c>
      <c r="G4472">
        <v>285.60000000000002</v>
      </c>
      <c r="H4472">
        <v>310.44</v>
      </c>
      <c r="I4472">
        <v>310.45</v>
      </c>
      <c r="J4472">
        <v>-0.01</v>
      </c>
    </row>
    <row r="4473" spans="1:10" x14ac:dyDescent="0.3">
      <c r="A4473" t="str">
        <f>HYPERLINK("https://us2.cloudbeds.com/connect/10074733072513#/reservations/31681840865478?display=MHCYFDH5B&amp;reservation_id=31681840865478", "MHCYFDH5B")</f>
        <v>MHCYFDH5B</v>
      </c>
      <c r="B4473" t="s">
        <v>10</v>
      </c>
      <c r="C4473" t="s">
        <v>42</v>
      </c>
      <c r="D4473" t="str">
        <f>HYPERLINK("https://us2.cloudbeds.com/connect/10074733072513#/reservations/31681840865478?display=Merlyn%20Spare&amp;reservation_id=31681840865478&amp;guest_id=31681840865473", "Merlyn Spare")</f>
        <v>Merlyn Spare</v>
      </c>
      <c r="E4473" t="s">
        <v>7486</v>
      </c>
      <c r="F4473" t="s">
        <v>6321</v>
      </c>
      <c r="G4473">
        <v>277.2</v>
      </c>
      <c r="H4473">
        <v>301.31</v>
      </c>
      <c r="I4473">
        <v>301.32</v>
      </c>
      <c r="J4473">
        <v>-0.01</v>
      </c>
    </row>
    <row r="4474" spans="1:10" x14ac:dyDescent="0.3">
      <c r="A4474" t="str">
        <f>HYPERLINK("https://us2.cloudbeds.com/connect/10074733072513#/reservations/31686655377623?display=MHGCG4DPP&amp;reservation_id=31686655377623", "MHGCG4DPP")</f>
        <v>MHGCG4DPP</v>
      </c>
      <c r="B4474" t="s">
        <v>10</v>
      </c>
      <c r="C4474" t="s">
        <v>42</v>
      </c>
      <c r="D4474" t="str">
        <f>HYPERLINK("https://us2.cloudbeds.com/connect/10074733072513#/reservations/31686655377623?display=Steve%20Benning&amp;reservation_id=31686655377623&amp;guest_id=31686655377619", "Steve Benning")</f>
        <v>Steve Benning</v>
      </c>
      <c r="E4474" t="s">
        <v>7497</v>
      </c>
      <c r="F4474" t="s">
        <v>4181</v>
      </c>
      <c r="G4474">
        <v>134.1</v>
      </c>
      <c r="H4474">
        <v>145.76</v>
      </c>
      <c r="I4474">
        <v>145.77000000000001</v>
      </c>
      <c r="J4474">
        <v>-0.01</v>
      </c>
    </row>
    <row r="4475" spans="1:10" x14ac:dyDescent="0.3">
      <c r="A4475" t="str">
        <f>HYPERLINK("https://us2.cloudbeds.com/connect/10074733072513#/reservations/31687548113136?display=MHH29U391&amp;reservation_id=31687548113136", "MHH29U391")</f>
        <v>MHH29U391</v>
      </c>
      <c r="B4475" t="s">
        <v>10</v>
      </c>
      <c r="C4475" t="s">
        <v>121</v>
      </c>
      <c r="D4475" t="str">
        <f>HYPERLINK("https://us2.cloudbeds.com/connect/10074733072513#/reservations/31687548113136?display=Sandy%20Jons&amp;reservation_id=31687548113136&amp;guest_id=31676716925130", "Sandy Jons")</f>
        <v>Sandy Jons</v>
      </c>
      <c r="E4475" t="s">
        <v>5308</v>
      </c>
      <c r="F4475" t="s">
        <v>7479</v>
      </c>
      <c r="G4475">
        <v>134.1</v>
      </c>
      <c r="H4475">
        <v>145.76</v>
      </c>
      <c r="I4475">
        <v>145.77000000000001</v>
      </c>
      <c r="J4475">
        <v>-0.01</v>
      </c>
    </row>
    <row r="4476" spans="1:10" x14ac:dyDescent="0.3">
      <c r="A4476" t="str">
        <f>HYPERLINK("https://us2.cloudbeds.com/connect/10074733072513#/reservations/31690473607388?display=MHJB1P9X1&amp;reservation_id=31690473607388", "MHJB1P9X1")</f>
        <v>MHJB1P9X1</v>
      </c>
      <c r="B4476" t="s">
        <v>10</v>
      </c>
      <c r="C4476" t="s">
        <v>42</v>
      </c>
      <c r="D4476" t="str">
        <f>HYPERLINK("https://us2.cloudbeds.com/connect/10074733072513#/reservations/31690473607388?display=Robert%20Willanburt&amp;reservation_id=31690473607388&amp;guest_id=31690464440575", "Robert Willanburt")</f>
        <v>Robert Willanburt</v>
      </c>
      <c r="E4476" t="s">
        <v>7502</v>
      </c>
      <c r="F4476" t="s">
        <v>6321</v>
      </c>
      <c r="G4476">
        <v>250.2</v>
      </c>
      <c r="H4476">
        <v>271.95999999999998</v>
      </c>
      <c r="I4476">
        <v>271.97000000000003</v>
      </c>
      <c r="J4476">
        <v>-0.01</v>
      </c>
    </row>
    <row r="4477" spans="1:10" x14ac:dyDescent="0.3">
      <c r="A4477" t="str">
        <f>HYPERLINK("https://us2.cloudbeds.com/connect/10074733072513#/reservations/31690449789127?display=MHJAEMGSX&amp;reservation_id=31690449789127", "MHJAEMGSX")</f>
        <v>MHJAEMGSX</v>
      </c>
      <c r="B4477" t="s">
        <v>10</v>
      </c>
      <c r="C4477" t="s">
        <v>20</v>
      </c>
      <c r="D4477" t="str">
        <f>HYPERLINK("https://us2.cloudbeds.com/connect/10074733072513#/reservations/31690449789127?display=Lori%20Weaver&amp;reservation_id=31690449789127&amp;guest_id=31690449789122", "Lori Weaver")</f>
        <v>Lori Weaver</v>
      </c>
      <c r="E4477" t="s">
        <v>7503</v>
      </c>
      <c r="F4477" t="s">
        <v>6321</v>
      </c>
      <c r="G4477">
        <v>170.1</v>
      </c>
      <c r="H4477">
        <v>184.89</v>
      </c>
      <c r="I4477">
        <v>184.9</v>
      </c>
      <c r="J4477">
        <v>-0.01</v>
      </c>
    </row>
    <row r="4478" spans="1:10" x14ac:dyDescent="0.3">
      <c r="A4478" t="str">
        <f>HYPERLINK("https://us2.cloudbeds.com/connect/10074733072513#/reservations/31681885790337?display=MHCMK9KFN&amp;reservation_id=31681885790337", "MHCMK9KFN")</f>
        <v>MHCMK9KFN</v>
      </c>
      <c r="B4478" t="s">
        <v>10</v>
      </c>
      <c r="C4478" t="s">
        <v>42</v>
      </c>
      <c r="D4478" t="str">
        <f>HYPERLINK("https://us2.cloudbeds.com/connect/10074733072513#/reservations/31681885790337?display=Kimberly%20Lamm&amp;reservation_id=31681885790337&amp;guest_id=31681878126816", "Kimberly Lamm")</f>
        <v>Kimberly Lamm</v>
      </c>
      <c r="E4478" t="s">
        <v>7509</v>
      </c>
      <c r="F4478" t="s">
        <v>6321</v>
      </c>
      <c r="G4478">
        <v>134.1</v>
      </c>
      <c r="H4478">
        <v>145.76</v>
      </c>
      <c r="I4478">
        <v>145.77000000000001</v>
      </c>
      <c r="J4478">
        <v>-0.01</v>
      </c>
    </row>
    <row r="4479" spans="1:10" x14ac:dyDescent="0.3">
      <c r="A4479" t="str">
        <f>HYPERLINK("https://us2.cloudbeds.com/connect/10074733072513#/reservations/31683411321053?display=MHDSJYP46&amp;reservation_id=31683411321053", "MHDSJYP46")</f>
        <v>MHDSJYP46</v>
      </c>
      <c r="B4479" t="s">
        <v>10</v>
      </c>
      <c r="C4479" t="s">
        <v>20</v>
      </c>
      <c r="D4479" t="str">
        <f>HYPERLINK("https://us2.cloudbeds.com/connect/10074733072513#/reservations/31683411321053?display=Dennis%20Krull&amp;reservation_id=31683411321053&amp;guest_id=31683397030096", "Dennis Krull")</f>
        <v>Dennis Krull</v>
      </c>
      <c r="E4479" t="s">
        <v>7514</v>
      </c>
      <c r="F4479" t="s">
        <v>6321</v>
      </c>
      <c r="G4479">
        <v>134.1</v>
      </c>
      <c r="H4479">
        <v>145.76</v>
      </c>
      <c r="I4479">
        <v>145.77000000000001</v>
      </c>
      <c r="J4479">
        <v>-0.01</v>
      </c>
    </row>
    <row r="4480" spans="1:10" x14ac:dyDescent="0.3">
      <c r="A4480" t="str">
        <f>HYPERLINK("https://us2.cloudbeds.com/connect/10074733072513#/reservations/31683462480060?display=MHDTTQB35&amp;reservation_id=31683462480060", "MHDTTQB35")</f>
        <v>MHDTTQB35</v>
      </c>
      <c r="B4480" t="s">
        <v>10</v>
      </c>
      <c r="C4480" t="s">
        <v>23</v>
      </c>
      <c r="D4480" t="str">
        <f>HYPERLINK("https://us2.cloudbeds.com/connect/10074733072513#/reservations/31683462480060?display=Jenn%20Ackerman&amp;reservation_id=31683462480060&amp;guest_id=31683462480058", "Jenn Ackerman")</f>
        <v>Jenn Ackerman</v>
      </c>
      <c r="E4480" t="s">
        <v>7517</v>
      </c>
      <c r="F4480" t="s">
        <v>6321</v>
      </c>
      <c r="G4480">
        <v>170.1</v>
      </c>
      <c r="H4480">
        <v>184.89</v>
      </c>
      <c r="I4480">
        <v>184.9</v>
      </c>
      <c r="J4480">
        <v>-0.01</v>
      </c>
    </row>
    <row r="4481" spans="1:10" x14ac:dyDescent="0.3">
      <c r="A4481" t="str">
        <f>HYPERLINK("https://us2.cloudbeds.com/connect/10074733072513#/reservations/31687674536161?display=MHH5HH06R&amp;reservation_id=31687674536161", "MHH5HH06R")</f>
        <v>MHH5HH06R</v>
      </c>
      <c r="B4481" t="s">
        <v>10</v>
      </c>
      <c r="C4481" t="s">
        <v>42</v>
      </c>
      <c r="D4481" t="str">
        <f>HYPERLINK("https://us2.cloudbeds.com/connect/10074733072513#/reservations/31687674536161?display=Mary%20Mertes&amp;reservation_id=31687674536161&amp;guest_id=31687674532064", "Mary Mertes")</f>
        <v>Mary Mertes</v>
      </c>
      <c r="E4481" t="s">
        <v>7290</v>
      </c>
      <c r="F4481" t="s">
        <v>5822</v>
      </c>
      <c r="G4481">
        <v>268.2</v>
      </c>
      <c r="H4481">
        <v>291.52</v>
      </c>
      <c r="I4481">
        <v>291.52999999999997</v>
      </c>
      <c r="J4481">
        <v>-0.01</v>
      </c>
    </row>
    <row r="4482" spans="1:10" x14ac:dyDescent="0.3">
      <c r="A4482" t="str">
        <f>HYPERLINK("https://us2.cloudbeds.com/connect/10074733072513#/reservations/31692167196818?display=MHKYARU2Z&amp;reservation_id=31692167196818", "MHKYARU2Z")</f>
        <v>MHKYARU2Z</v>
      </c>
      <c r="B4482" t="s">
        <v>10</v>
      </c>
      <c r="C4482" t="s">
        <v>17</v>
      </c>
      <c r="D4482" t="str">
        <f>HYPERLINK("https://us2.cloudbeds.com/connect/10074733072513#/reservations/31692167196818?display=Michelle%20Meyer&amp;reservation_id=31692167196818&amp;guest_id=31692167192727", "Michelle Meyer")</f>
        <v>Michelle Meyer</v>
      </c>
      <c r="E4482" t="s">
        <v>7534</v>
      </c>
      <c r="F4482" t="s">
        <v>7027</v>
      </c>
      <c r="G4482">
        <v>134.1</v>
      </c>
      <c r="H4482">
        <v>145.76</v>
      </c>
      <c r="I4482">
        <v>145.77000000000001</v>
      </c>
      <c r="J4482">
        <v>-0.01</v>
      </c>
    </row>
    <row r="4483" spans="1:10" x14ac:dyDescent="0.3">
      <c r="A4483" t="str">
        <f>HYPERLINK("https://us2.cloudbeds.com/connect/10074733072513#/reservations/31691157618907?display=MHJSHHU9R&amp;reservation_id=31691157618907", "MHJSHHU9R")</f>
        <v>MHJSHHU9R</v>
      </c>
      <c r="B4483" t="s">
        <v>10</v>
      </c>
      <c r="C4483" t="s">
        <v>17</v>
      </c>
      <c r="D4483" t="str">
        <f>HYPERLINK("https://us2.cloudbeds.com/connect/10074733072513#/reservations/31691157618907?display=Jose%20Guardado&amp;reservation_id=31691157618907&amp;guest_id=31691157618897", "Jose Guardado")</f>
        <v>Jose Guardado</v>
      </c>
      <c r="E4483" t="s">
        <v>7542</v>
      </c>
      <c r="F4483" t="s">
        <v>4181</v>
      </c>
      <c r="G4483">
        <v>268.2</v>
      </c>
      <c r="H4483">
        <v>291.52</v>
      </c>
      <c r="I4483">
        <v>291.52999999999997</v>
      </c>
      <c r="J4483">
        <v>-0.01</v>
      </c>
    </row>
    <row r="4484" spans="1:10" x14ac:dyDescent="0.3">
      <c r="A4484" t="str">
        <f>HYPERLINK("https://us2.cloudbeds.com/connect/10074733072513#/reservations/31690156204221?display=MHJ2V42J8&amp;reservation_id=31690156204221", "MHJ2V42J8")</f>
        <v>MHJ2V42J8</v>
      </c>
      <c r="B4484" t="s">
        <v>10</v>
      </c>
      <c r="C4484" t="s">
        <v>121</v>
      </c>
      <c r="D4484" t="str">
        <f>HYPERLINK("https://us2.cloudbeds.com/connect/10074733072513#/reservations/31690156204221?display=Jeffrey%20Dean%20Hoyum&amp;reservation_id=31690156204221&amp;guest_id=31690156204218", "Jeffrey Dean Hoyum")</f>
        <v>Jeffrey Dean Hoyum</v>
      </c>
      <c r="E4484" t="s">
        <v>7557</v>
      </c>
      <c r="F4484" t="s">
        <v>7331</v>
      </c>
      <c r="G4484">
        <v>134.1</v>
      </c>
      <c r="H4484">
        <v>145.76</v>
      </c>
      <c r="I4484">
        <v>145.77000000000001</v>
      </c>
      <c r="J4484">
        <v>-0.01</v>
      </c>
    </row>
    <row r="4485" spans="1:10" x14ac:dyDescent="0.3">
      <c r="A4485" t="str">
        <f>HYPERLINK("https://us2.cloudbeds.com/connect/10074733072513#/reservations/31687691370648?display=MHH5VNESQ&amp;reservation_id=31687691370648", "MHH5VNESQ")</f>
        <v>MHH5VNESQ</v>
      </c>
      <c r="B4485" t="s">
        <v>10</v>
      </c>
      <c r="C4485" t="s">
        <v>20</v>
      </c>
      <c r="D4485" t="str">
        <f>HYPERLINK("https://us2.cloudbeds.com/connect/10074733072513#/reservations/31687691370648?display=Scott%20Nichols&amp;reservation_id=31687691370648&amp;guest_id=31687683993728", "Scott Nichols")</f>
        <v>Scott Nichols</v>
      </c>
      <c r="E4485" t="s">
        <v>7558</v>
      </c>
      <c r="F4485" t="s">
        <v>5822</v>
      </c>
      <c r="G4485">
        <v>134.1</v>
      </c>
      <c r="H4485">
        <v>145.76</v>
      </c>
      <c r="I4485">
        <v>145.77000000000001</v>
      </c>
      <c r="J4485">
        <v>-0.01</v>
      </c>
    </row>
    <row r="4486" spans="1:10" x14ac:dyDescent="0.3">
      <c r="A4486" t="str">
        <f>HYPERLINK("https://us2.cloudbeds.com/connect/10074733072513#/reservations/31685888471278?display=MHFPTF3TX&amp;reservation_id=31685888471278", "MHFPTF3TX")</f>
        <v>MHFPTF3TX</v>
      </c>
      <c r="B4486" t="s">
        <v>10</v>
      </c>
      <c r="C4486" t="s">
        <v>121</v>
      </c>
      <c r="D4486" t="str">
        <f>HYPERLINK("https://us2.cloudbeds.com/connect/10074733072513#/reservations/31685888471278?display=David%20Chamber&amp;reservation_id=31685888471278&amp;guest_id=31685876678866", "David Chamber")</f>
        <v>David Chamber</v>
      </c>
      <c r="E4486" t="s">
        <v>7559</v>
      </c>
      <c r="F4486" t="s">
        <v>7331</v>
      </c>
      <c r="G4486">
        <v>268.2</v>
      </c>
      <c r="H4486">
        <v>291.52</v>
      </c>
      <c r="I4486">
        <v>291.52999999999997</v>
      </c>
      <c r="J4486">
        <v>-0.01</v>
      </c>
    </row>
    <row r="4487" spans="1:10" x14ac:dyDescent="0.3">
      <c r="A4487" t="str">
        <f>HYPERLINK("https://us2.cloudbeds.com/connect/10074733072513#/reservations/31687975850155?display=MHHD7JGTU&amp;reservation_id=31687975850155", "MHHD7JGTU")</f>
        <v>MHHD7JGTU</v>
      </c>
      <c r="B4487" t="s">
        <v>10</v>
      </c>
      <c r="C4487" t="s">
        <v>17</v>
      </c>
      <c r="D4487" t="str">
        <f>HYPERLINK("https://us2.cloudbeds.com/connect/10074733072513#/reservations/31687975850155?display=Larry%20Hultgren&amp;reservation_id=31687975850155&amp;guest_id=31687975850150", "Larry Hultgren")</f>
        <v>Larry Hultgren</v>
      </c>
      <c r="E4487" t="s">
        <v>7576</v>
      </c>
      <c r="F4487" t="s">
        <v>7027</v>
      </c>
      <c r="G4487">
        <v>134.1</v>
      </c>
      <c r="H4487">
        <v>145.76</v>
      </c>
      <c r="I4487">
        <v>145.77000000000001</v>
      </c>
      <c r="J4487">
        <v>-0.01</v>
      </c>
    </row>
    <row r="4488" spans="1:10" x14ac:dyDescent="0.3">
      <c r="A4488" t="str">
        <f>HYPERLINK("https://us2.cloudbeds.com/connect/10074733072513#/reservations/31688141729953?display=MHHHFFBVF&amp;reservation_id=31688141729953", "MHHHFFBVF")</f>
        <v>MHHHFFBVF</v>
      </c>
      <c r="B4488" t="s">
        <v>10</v>
      </c>
      <c r="C4488" t="s">
        <v>17</v>
      </c>
      <c r="D4488" t="str">
        <f>HYPERLINK("https://us2.cloudbeds.com/connect/10074733072513#/reservations/31688141729953?display=Laurie%20Smith&amp;reservation_id=31688141729953&amp;guest_id=31688133443792", "Laurie Smith")</f>
        <v>Laurie Smith</v>
      </c>
      <c r="E4488" t="s">
        <v>7582</v>
      </c>
      <c r="F4488" t="s">
        <v>7367</v>
      </c>
      <c r="G4488">
        <v>268.2</v>
      </c>
      <c r="H4488">
        <v>291.52</v>
      </c>
      <c r="I4488">
        <v>291.52999999999997</v>
      </c>
      <c r="J4488">
        <v>-0.01</v>
      </c>
    </row>
    <row r="4489" spans="1:10" x14ac:dyDescent="0.3">
      <c r="A4489" t="str">
        <f>HYPERLINK("https://us2.cloudbeds.com/connect/10074733072513#/reservations/31685715964140?display=MHFYFWS4H&amp;reservation_id=31685715964140", "MHFYFWS4H")</f>
        <v>MHFYFWS4H</v>
      </c>
      <c r="B4489" t="s">
        <v>10</v>
      </c>
      <c r="C4489" t="s">
        <v>42</v>
      </c>
      <c r="D4489" t="str">
        <f>HYPERLINK("https://us2.cloudbeds.com/connect/10074733072513#/reservations/31685715964140?display=Tanner%20Gassman&amp;reservation_id=31685715964140&amp;guest_id=31685715964135", "Tanner Gassman")</f>
        <v>Tanner Gassman</v>
      </c>
      <c r="E4489" t="s">
        <v>7583</v>
      </c>
      <c r="F4489" t="s">
        <v>4181</v>
      </c>
      <c r="G4489">
        <v>268.2</v>
      </c>
      <c r="H4489">
        <v>291.52</v>
      </c>
      <c r="I4489">
        <v>291.52999999999997</v>
      </c>
      <c r="J4489">
        <v>-0.01</v>
      </c>
    </row>
    <row r="4490" spans="1:10" x14ac:dyDescent="0.3">
      <c r="A4490" t="str">
        <f>HYPERLINK("https://us2.cloudbeds.com/connect/10074733072513#/reservations/31691846226171?display=MHKD46E6K&amp;reservation_id=31691846226171", "MHKD46E6K")</f>
        <v>MHKD46E6K</v>
      </c>
      <c r="B4490" t="s">
        <v>10</v>
      </c>
      <c r="C4490" t="s">
        <v>17</v>
      </c>
      <c r="D4490" t="str">
        <f>HYPERLINK("https://us2.cloudbeds.com/connect/10074733072513#/reservations/31691846226171?display=Jenna%20Diede&amp;reservation_id=31691846226171&amp;guest_id=31691846226165", "Jenna Diede")</f>
        <v>Jenna Diede</v>
      </c>
      <c r="E4490" t="s">
        <v>7589</v>
      </c>
      <c r="F4490" t="s">
        <v>7367</v>
      </c>
      <c r="G4490">
        <v>268.2</v>
      </c>
      <c r="H4490">
        <v>291.52</v>
      </c>
      <c r="I4490">
        <v>291.52999999999997</v>
      </c>
      <c r="J4490">
        <v>-0.01</v>
      </c>
    </row>
    <row r="4491" spans="1:10" x14ac:dyDescent="0.3">
      <c r="A4491" t="str">
        <f>HYPERLINK("https://us2.cloudbeds.com/connect/10074733072513#/reservations/31685697573037?display=MHFY0G32C&amp;reservation_id=31685697573037", "MHFY0G32C")</f>
        <v>MHFY0G32C</v>
      </c>
      <c r="B4491" t="s">
        <v>10</v>
      </c>
      <c r="C4491" t="s">
        <v>42</v>
      </c>
      <c r="D4491" t="str">
        <f>HYPERLINK("https://us2.cloudbeds.com/connect/10074733072513#/reservations/31685697573037?display=Kenneth%20Meyer&amp;reservation_id=31685697573037&amp;guest_id=31685697573025", "Kenneth Meyer")</f>
        <v>Kenneth Meyer</v>
      </c>
      <c r="E4491" t="s">
        <v>7602</v>
      </c>
      <c r="F4491" t="s">
        <v>4181</v>
      </c>
      <c r="G4491">
        <v>304.2</v>
      </c>
      <c r="H4491">
        <v>330.66</v>
      </c>
      <c r="I4491">
        <v>330.67</v>
      </c>
      <c r="J4491">
        <v>-0.01</v>
      </c>
    </row>
    <row r="4492" spans="1:10" x14ac:dyDescent="0.3">
      <c r="A4492" t="str">
        <f>HYPERLINK("https://us2.cloudbeds.com/connect/10074733072513#/reservations/31688059314390?display=MHHFBW0U5&amp;reservation_id=31688059314390", "MHHFBW0U5")</f>
        <v>MHHFBW0U5</v>
      </c>
      <c r="B4492" t="s">
        <v>10</v>
      </c>
      <c r="C4492" t="s">
        <v>23</v>
      </c>
      <c r="D4492" t="str">
        <f>HYPERLINK("https://us2.cloudbeds.com/connect/10074733072513#/reservations/31688059314390?display=James%20White&amp;reservation_id=31688059314390&amp;guest_id=31688052330685", "James White")</f>
        <v>James White</v>
      </c>
      <c r="E4492" t="s">
        <v>7292</v>
      </c>
      <c r="F4492" t="s">
        <v>7367</v>
      </c>
      <c r="G4492">
        <v>268.2</v>
      </c>
      <c r="H4492">
        <v>291.52</v>
      </c>
      <c r="I4492">
        <v>291.52999999999997</v>
      </c>
      <c r="J4492">
        <v>-0.01</v>
      </c>
    </row>
    <row r="4493" spans="1:10" x14ac:dyDescent="0.3">
      <c r="A4493" t="str">
        <f>HYPERLINK("https://us2.cloudbeds.com/connect/10074733072513#/reservations/31691192426741?display=MHJTDTGDM&amp;reservation_id=31691192426741", "MHJTDTGDM")</f>
        <v>MHJTDTGDM</v>
      </c>
      <c r="B4493" t="s">
        <v>10</v>
      </c>
      <c r="C4493" t="s">
        <v>42</v>
      </c>
      <c r="D4493" t="str">
        <f>HYPERLINK("https://us2.cloudbeds.com/connect/10074733072513#/reservations/31691192426741?display=Michael%20Porter&amp;reservation_id=31691192426741&amp;guest_id=31691192426689", "Michael Porter")</f>
        <v>Michael Porter</v>
      </c>
      <c r="E4493" t="s">
        <v>7610</v>
      </c>
      <c r="F4493" t="s">
        <v>4181</v>
      </c>
      <c r="G4493">
        <v>143.65</v>
      </c>
      <c r="H4493">
        <v>156.13999999999999</v>
      </c>
      <c r="I4493">
        <v>156.15</v>
      </c>
      <c r="J4493">
        <v>-0.01</v>
      </c>
    </row>
    <row r="4494" spans="1:10" x14ac:dyDescent="0.3">
      <c r="A4494" t="str">
        <f>HYPERLINK("https://us2.cloudbeds.com/connect/10074733072513#/reservations/31687035769053?display=MHGM6TC6Q&amp;reservation_id=31687035769053", "MHGM6TC6Q")</f>
        <v>MHGM6TC6Q</v>
      </c>
      <c r="B4494" t="s">
        <v>10</v>
      </c>
      <c r="C4494" t="s">
        <v>11</v>
      </c>
      <c r="D4494" t="str">
        <f>HYPERLINK("https://us2.cloudbeds.com/connect/10074733072513#/reservations/31687035769053?display=Wendy%20Adams&amp;reservation_id=31687035769053&amp;guest_id=31687029035142", "Wendy Adams")</f>
        <v>Wendy Adams</v>
      </c>
      <c r="E4494" t="s">
        <v>7613</v>
      </c>
      <c r="F4494" t="s">
        <v>7608</v>
      </c>
      <c r="G4494">
        <v>87.2</v>
      </c>
      <c r="H4494">
        <v>94.78</v>
      </c>
      <c r="I4494">
        <v>94.79</v>
      </c>
      <c r="J4494">
        <v>-0.01</v>
      </c>
    </row>
    <row r="4495" spans="1:10" x14ac:dyDescent="0.3">
      <c r="A4495" t="str">
        <f>HYPERLINK("https://us2.cloudbeds.com/connect/10074733072513#/reservations/31685759934708?display=MHFMK2D4W&amp;reservation_id=31685759934708", "MHFMK2D4W")</f>
        <v>MHFMK2D4W</v>
      </c>
      <c r="B4495" t="s">
        <v>10</v>
      </c>
      <c r="C4495" t="s">
        <v>121</v>
      </c>
      <c r="D4495" t="str">
        <f>HYPERLINK("https://us2.cloudbeds.com/connect/10074733072513#/reservations/31685759934708?display=James%20Clinton%20Rue&amp;reservation_id=31685759934708&amp;guest_id=31685759934703", "James Clinton Rue")</f>
        <v>James Clinton Rue</v>
      </c>
      <c r="E4495" t="s">
        <v>7614</v>
      </c>
      <c r="F4495" t="s">
        <v>4181</v>
      </c>
      <c r="G4495">
        <v>170.1</v>
      </c>
      <c r="H4495">
        <v>184.89</v>
      </c>
      <c r="I4495">
        <v>184.9</v>
      </c>
      <c r="J4495">
        <v>-0.01</v>
      </c>
    </row>
    <row r="4496" spans="1:10" x14ac:dyDescent="0.3">
      <c r="A4496" t="str">
        <f>HYPERLINK("https://us2.cloudbeds.com/connect/10074733072513#/reservations/31688008573126?display=MHHE262X3&amp;reservation_id=31688008573126", "MHHE262X3")</f>
        <v>MHHE262X3</v>
      </c>
      <c r="B4496" t="s">
        <v>10</v>
      </c>
      <c r="C4496" t="s">
        <v>11</v>
      </c>
      <c r="D4496" t="str">
        <f>HYPERLINK("https://us2.cloudbeds.com/connect/10074733072513#/reservations/31688008573126?display=Delcie%20Schofield%20Hall&amp;reservation_id=31688008573126&amp;guest_id=31688008569029", "Delcie Schofield Hall")</f>
        <v>Delcie Schofield Hall</v>
      </c>
      <c r="E4496" t="s">
        <v>7615</v>
      </c>
      <c r="F4496" t="s">
        <v>7426</v>
      </c>
      <c r="G4496">
        <v>127.2</v>
      </c>
      <c r="H4496">
        <v>138.26</v>
      </c>
      <c r="I4496">
        <v>138.27000000000001</v>
      </c>
      <c r="J4496">
        <v>-0.01</v>
      </c>
    </row>
    <row r="4497" spans="1:10" x14ac:dyDescent="0.3">
      <c r="A4497" t="str">
        <f>HYPERLINK("https://us2.cloudbeds.com/connect/10074733072513#/reservations/31688016679076?display=MHHE90Y0V&amp;reservation_id=31688016679076", "MHHE90Y0V")</f>
        <v>MHHE90Y0V</v>
      </c>
      <c r="B4497" t="s">
        <v>10</v>
      </c>
      <c r="C4497" t="s">
        <v>11</v>
      </c>
      <c r="D4497" t="str">
        <f>HYPERLINK("https://us2.cloudbeds.com/connect/10074733072513#/reservations/31688016679076?display=Mark%20Mayer&amp;reservation_id=31688016679076&amp;guest_id=31688016679073", "Mark Mayer")</f>
        <v>Mark Mayer</v>
      </c>
      <c r="E4497" t="s">
        <v>7620</v>
      </c>
      <c r="F4497" t="s">
        <v>7426</v>
      </c>
      <c r="G4497">
        <v>127.2</v>
      </c>
      <c r="H4497">
        <v>138.26</v>
      </c>
      <c r="I4497">
        <v>138.27000000000001</v>
      </c>
      <c r="J4497">
        <v>-0.01</v>
      </c>
    </row>
    <row r="4498" spans="1:10" x14ac:dyDescent="0.3">
      <c r="A4498" t="str">
        <f>HYPERLINK("https://us2.cloudbeds.com/connect/10074733072513#/reservations/31692707709147?display=MHY24KFAB&amp;reservation_id=31692707709147", "MHY24KFAB")</f>
        <v>MHY24KFAB</v>
      </c>
      <c r="B4498" t="s">
        <v>10</v>
      </c>
      <c r="C4498" t="s">
        <v>11</v>
      </c>
      <c r="D4498" t="str">
        <f>HYPERLINK("https://us2.cloudbeds.com/connect/10074733072513#/reservations/31692707709147?display=Jill%20Schuman&amp;reservation_id=31692707709147&amp;guest_id=31692707709131", "Jill Schuman")</f>
        <v>Jill Schuman</v>
      </c>
      <c r="E4498" t="s">
        <v>7628</v>
      </c>
      <c r="F4498" t="s">
        <v>7268</v>
      </c>
      <c r="G4498">
        <v>127.2</v>
      </c>
      <c r="H4498">
        <v>138.26</v>
      </c>
      <c r="I4498">
        <v>138.27000000000001</v>
      </c>
      <c r="J4498">
        <v>-0.01</v>
      </c>
    </row>
    <row r="4499" spans="1:10" x14ac:dyDescent="0.3">
      <c r="A4499" t="str">
        <f>HYPERLINK("https://us2.cloudbeds.com/connect/10074733072513#/reservations/31691218964657?display=MHJU38VFV&amp;reservation_id=31691218964657", "MHJU38VFV")</f>
        <v>MHJU38VFV</v>
      </c>
      <c r="B4499" t="s">
        <v>10</v>
      </c>
      <c r="C4499" t="s">
        <v>42</v>
      </c>
      <c r="D4499" t="str">
        <f>HYPERLINK("https://us2.cloudbeds.com/connect/10074733072513#/reservations/31691218964657?display=Vicci%20Stange&amp;reservation_id=31691218964657&amp;guest_id=31691198857436", "Vicci Stange")</f>
        <v>Vicci Stange</v>
      </c>
      <c r="E4499" t="s">
        <v>7631</v>
      </c>
      <c r="F4499" t="s">
        <v>5552</v>
      </c>
      <c r="G4499">
        <v>196.2</v>
      </c>
      <c r="H4499">
        <v>213.26</v>
      </c>
      <c r="I4499">
        <v>213.27</v>
      </c>
      <c r="J4499">
        <v>-0.01</v>
      </c>
    </row>
    <row r="4500" spans="1:10" x14ac:dyDescent="0.3">
      <c r="A4500" t="str">
        <f>HYPERLINK("https://us2.cloudbeds.com/connect/10074733072513#/reservations/31683075092701?display=MHDK04NG9&amp;reservation_id=31683075092701", "MHDK04NG9")</f>
        <v>MHDK04NG9</v>
      </c>
      <c r="B4500" t="s">
        <v>10</v>
      </c>
      <c r="C4500" t="s">
        <v>14</v>
      </c>
      <c r="D4500" t="str">
        <f>HYPERLINK("https://us2.cloudbeds.com/connect/10074733072513#/reservations/31683075092701?display=Krystina%20Hauck&amp;reservation_id=31683075092701&amp;guest_id=31683063476365", "Krystina Hauck")</f>
        <v>Krystina Hauck</v>
      </c>
      <c r="E4500" t="s">
        <v>7633</v>
      </c>
      <c r="F4500" t="s">
        <v>7269</v>
      </c>
      <c r="G4500">
        <v>143.19999999999999</v>
      </c>
      <c r="H4500">
        <v>155.65</v>
      </c>
      <c r="I4500">
        <v>155.66</v>
      </c>
      <c r="J4500">
        <v>-0.01</v>
      </c>
    </row>
    <row r="4501" spans="1:10" x14ac:dyDescent="0.3">
      <c r="A4501" t="str">
        <f>HYPERLINK("https://us2.cloudbeds.com/connect/10074733072513#/reservations/31686852804743?display=MHGHHK3TP&amp;reservation_id=31686852804743", "MHGHHK3TP")</f>
        <v>MHGHHK3TP</v>
      </c>
      <c r="B4501" t="s">
        <v>10</v>
      </c>
      <c r="C4501" t="s">
        <v>42</v>
      </c>
      <c r="D4501" t="str">
        <f>HYPERLINK("https://us2.cloudbeds.com/connect/10074733072513#/reservations/31686852804743?display=Vicci%20Stange&amp;reservation_id=31686852804743&amp;guest_id=31686852800649", "Vicci Stange")</f>
        <v>Vicci Stange</v>
      </c>
      <c r="E4501" t="s">
        <v>7631</v>
      </c>
      <c r="F4501" t="s">
        <v>5552</v>
      </c>
      <c r="G4501">
        <v>196.2</v>
      </c>
      <c r="H4501">
        <v>213.26</v>
      </c>
      <c r="I4501">
        <v>213.27</v>
      </c>
      <c r="J4501">
        <v>-0.01</v>
      </c>
    </row>
    <row r="4502" spans="1:10" x14ac:dyDescent="0.3">
      <c r="A4502" t="str">
        <f>HYPERLINK("https://us2.cloudbeds.com/connect/10074733072513#/reservations/31691706192060?display=MHK9X3PXM&amp;reservation_id=31691706192060", "MHK9X3PXM")</f>
        <v>MHK9X3PXM</v>
      </c>
      <c r="B4502" t="s">
        <v>10</v>
      </c>
      <c r="C4502" t="s">
        <v>42</v>
      </c>
      <c r="D4502" t="str">
        <f>HYPERLINK("https://us2.cloudbeds.com/connect/10074733072513#/reservations/31691706192060?display=Andria%20Barber&amp;reservation_id=31691706192060&amp;guest_id=31691706192004", "Andria Barber")</f>
        <v>Andria Barber</v>
      </c>
      <c r="E4502" t="s">
        <v>7639</v>
      </c>
      <c r="F4502" t="s">
        <v>6175</v>
      </c>
      <c r="G4502">
        <v>456.3</v>
      </c>
      <c r="H4502">
        <v>495.99</v>
      </c>
      <c r="I4502">
        <v>496</v>
      </c>
      <c r="J4502">
        <v>-0.01</v>
      </c>
    </row>
    <row r="4503" spans="1:10" x14ac:dyDescent="0.3">
      <c r="A4503" t="str">
        <f>HYPERLINK("https://us2.cloudbeds.com/connect/10074733072513#/reservations/31687958982884?display=MHHCQC54G&amp;reservation_id=31687958982884", "MHHCQC54G")</f>
        <v>MHHCQC54G</v>
      </c>
      <c r="B4503" t="s">
        <v>10</v>
      </c>
      <c r="C4503" t="s">
        <v>14</v>
      </c>
      <c r="D4503" t="str">
        <f>HYPERLINK("https://us2.cloudbeds.com/connect/10074733072513#/reservations/31687958982884?display=Dominic%20Desloover&amp;reservation_id=31687958982884&amp;guest_id=31687947051217", "Dominic Desloover")</f>
        <v>Dominic Desloover</v>
      </c>
      <c r="E4503" t="s">
        <v>7644</v>
      </c>
      <c r="F4503" t="s">
        <v>7608</v>
      </c>
      <c r="G4503">
        <v>87.2</v>
      </c>
      <c r="H4503">
        <v>94.78</v>
      </c>
      <c r="I4503">
        <v>94.79</v>
      </c>
      <c r="J4503">
        <v>-0.01</v>
      </c>
    </row>
    <row r="4504" spans="1:10" x14ac:dyDescent="0.3">
      <c r="A4504" t="str">
        <f>HYPERLINK("https://us2.cloudbeds.com/connect/10074733072513#/reservations/31722346881184?display=MXB0G53SZ&amp;reservation_id=31722346881184", "MXB0G53SZ")</f>
        <v>MXB0G53SZ</v>
      </c>
      <c r="B4504" t="s">
        <v>10</v>
      </c>
      <c r="C4504" t="s">
        <v>20</v>
      </c>
      <c r="D4504" t="str">
        <f>HYPERLINK("https://us2.cloudbeds.com/connect/10074733072513#/reservations/31722346881184?display=Cloie%20Jellis&amp;reservation_id=31722346881184&amp;guest_id=31722346881181", "Cloie Jellis")</f>
        <v>Cloie Jellis</v>
      </c>
      <c r="E4504" t="s">
        <v>7648</v>
      </c>
      <c r="F4504" t="s">
        <v>7649</v>
      </c>
      <c r="G4504">
        <v>304.2</v>
      </c>
      <c r="H4504">
        <v>330.66</v>
      </c>
      <c r="I4504">
        <v>330.67</v>
      </c>
      <c r="J4504">
        <v>-0.01</v>
      </c>
    </row>
    <row r="4505" spans="1:10" x14ac:dyDescent="0.3">
      <c r="A4505" t="str">
        <f>HYPERLINK("https://us2.cloudbeds.com/connect/10074733072513#/reservations/31691278368965?display=MHJVKBVTG&amp;reservation_id=31691278368965", "MHJVKBVTG")</f>
        <v>MHJVKBVTG</v>
      </c>
      <c r="B4505" t="s">
        <v>10</v>
      </c>
      <c r="C4505" t="s">
        <v>42</v>
      </c>
      <c r="D4505" t="str">
        <f>HYPERLINK("https://us2.cloudbeds.com/connect/10074733072513#/reservations/31691278368965?display=Stephanie%20Nafus&amp;reservation_id=31691278368965&amp;guest_id=31691278364874", "Stephanie Nafus")</f>
        <v>Stephanie Nafus</v>
      </c>
      <c r="E4505" t="s">
        <v>7650</v>
      </c>
      <c r="F4505" t="s">
        <v>5552</v>
      </c>
      <c r="G4505">
        <v>87.2</v>
      </c>
      <c r="H4505">
        <v>94.78</v>
      </c>
      <c r="I4505">
        <v>94.79</v>
      </c>
      <c r="J4505">
        <v>-0.01</v>
      </c>
    </row>
    <row r="4506" spans="1:10" x14ac:dyDescent="0.3">
      <c r="A4506" t="str">
        <f>HYPERLINK("https://us2.cloudbeds.com/connect/10074733072513#/reservations/31685546913996?display=MHFH5EPRT&amp;reservation_id=31685546913996", "MHFH5EPRT")</f>
        <v>MHFH5EPRT</v>
      </c>
      <c r="B4506" t="s">
        <v>10</v>
      </c>
      <c r="C4506" t="s">
        <v>11</v>
      </c>
      <c r="D4506" t="str">
        <f>HYPERLINK("https://us2.cloudbeds.com/connect/10074733072513#/reservations/31685546913996?display=Angela%20Fischer&amp;reservation_id=31685546913996&amp;guest_id=31685546913990", "Angela Fischer")</f>
        <v>Angela Fischer</v>
      </c>
      <c r="E4506" t="s">
        <v>7656</v>
      </c>
      <c r="F4506" t="s">
        <v>6175</v>
      </c>
      <c r="G4506">
        <v>143.19999999999999</v>
      </c>
      <c r="H4506">
        <v>155.65</v>
      </c>
      <c r="I4506">
        <v>155.66</v>
      </c>
      <c r="J4506">
        <v>-0.01</v>
      </c>
    </row>
    <row r="4507" spans="1:10" x14ac:dyDescent="0.3">
      <c r="A4507" t="str">
        <f>HYPERLINK("https://us2.cloudbeds.com/connect/10074733072513#/reservations/31688990539968?display=MHX5UK3QM&amp;reservation_id=31688990539968", "MHX5UK3QM")</f>
        <v>MHX5UK3QM</v>
      </c>
      <c r="B4507" t="s">
        <v>10</v>
      </c>
      <c r="C4507" t="s">
        <v>14</v>
      </c>
      <c r="D4507" t="str">
        <f>HYPERLINK("https://us2.cloudbeds.com/connect/10074733072513#/reservations/31688990539968?display=Amanda%20Roark&amp;reservation_id=31688990539968&amp;guest_id=31688981532831", "Amanda Roark")</f>
        <v>Amanda Roark</v>
      </c>
      <c r="E4507" t="s">
        <v>7657</v>
      </c>
      <c r="F4507" t="s">
        <v>7658</v>
      </c>
      <c r="G4507">
        <v>87.2</v>
      </c>
      <c r="H4507">
        <v>94.78</v>
      </c>
      <c r="I4507">
        <v>94.79</v>
      </c>
      <c r="J4507">
        <v>-0.01</v>
      </c>
    </row>
    <row r="4508" spans="1:10" x14ac:dyDescent="0.3">
      <c r="A4508" t="str">
        <f>HYPERLINK("https://us2.cloudbeds.com/connect/10074733072513#/reservations/31686991233155?display=MHGKR3V2Z&amp;reservation_id=31686991233155", "MHGKR3V2Z")</f>
        <v>MHGKR3V2Z</v>
      </c>
      <c r="B4508" t="s">
        <v>10</v>
      </c>
      <c r="C4508" t="s">
        <v>11</v>
      </c>
      <c r="D4508" t="str">
        <f>HYPERLINK("https://us2.cloudbeds.com/connect/10074733072513#/reservations/31686991233155?display=Carrie%20Schmidt&amp;reservation_id=31686991233155&amp;guest_id=31686981484715", "Carrie Schmidt")</f>
        <v>Carrie Schmidt</v>
      </c>
      <c r="E4508" t="s">
        <v>7665</v>
      </c>
      <c r="F4508" t="s">
        <v>7666</v>
      </c>
      <c r="G4508">
        <v>460.8</v>
      </c>
      <c r="H4508">
        <v>500.88</v>
      </c>
      <c r="I4508">
        <v>500.89</v>
      </c>
      <c r="J4508">
        <v>-0.01</v>
      </c>
    </row>
    <row r="4509" spans="1:10" x14ac:dyDescent="0.3">
      <c r="A4509" t="str">
        <f>HYPERLINK("https://us2.cloudbeds.com/connect/10074733072513#/reservations/31686160695482?display=MHFWS056S&amp;reservation_id=31686160695482", "MHFWS056S")</f>
        <v>MHFWS056S</v>
      </c>
      <c r="B4509" t="s">
        <v>10</v>
      </c>
      <c r="C4509" t="s">
        <v>121</v>
      </c>
      <c r="D4509" t="str">
        <f>HYPERLINK("https://us2.cloudbeds.com/connect/10074733072513#/reservations/31686160695482?display=Wilbur%20Gabbert&amp;reservation_id=31686160695482&amp;guest_id=31686160695477", "Wilbur Gabbert")</f>
        <v>Wilbur Gabbert</v>
      </c>
      <c r="E4509" t="s">
        <v>7670</v>
      </c>
      <c r="F4509" t="s">
        <v>7618</v>
      </c>
      <c r="G4509">
        <v>196.2</v>
      </c>
      <c r="H4509">
        <v>213.26</v>
      </c>
      <c r="I4509">
        <v>213.27</v>
      </c>
      <c r="J4509">
        <v>-0.01</v>
      </c>
    </row>
    <row r="4510" spans="1:10" x14ac:dyDescent="0.3">
      <c r="A4510" t="str">
        <f>HYPERLINK("https://us2.cloudbeds.com/connect/10074733072513#/reservations/31688117502161?display=MHHGS166U&amp;reservation_id=31688117502161", "MHHGS166U")</f>
        <v>MHHGS166U</v>
      </c>
      <c r="B4510" t="s">
        <v>10</v>
      </c>
      <c r="C4510" t="s">
        <v>11</v>
      </c>
      <c r="D4510" t="str">
        <f>HYPERLINK("https://us2.cloudbeds.com/connect/10074733072513#/reservations/31688117502161?display=Andrea%20Hargens-Flores&amp;reservation_id=31688117502161&amp;guest_id=31688117498080", "Andrea Hargens-Flores")</f>
        <v>Andrea Hargens-Flores</v>
      </c>
      <c r="E4510" t="s">
        <v>7673</v>
      </c>
      <c r="F4510" t="s">
        <v>7367</v>
      </c>
      <c r="G4510">
        <v>117.42</v>
      </c>
      <c r="H4510">
        <v>127.63</v>
      </c>
      <c r="I4510">
        <v>127.64</v>
      </c>
      <c r="J4510">
        <v>-0.01</v>
      </c>
    </row>
    <row r="4511" spans="1:10" x14ac:dyDescent="0.3">
      <c r="A4511" t="str">
        <f>HYPERLINK("https://us2.cloudbeds.com/connect/10074733072513#/reservations/31687664935073?display=MHH59DRPP&amp;reservation_id=31687664935073", "MHH59DRPP")</f>
        <v>MHH59DRPP</v>
      </c>
      <c r="B4511" t="s">
        <v>10</v>
      </c>
      <c r="C4511" t="s">
        <v>42</v>
      </c>
      <c r="D4511" t="str">
        <f>HYPERLINK("https://us2.cloudbeds.com/connect/10074733072513#/reservations/31687664935073?display=Carol%20Fields&amp;reservation_id=31687664935073&amp;guest_id=30682358509702", "Carol Fields")</f>
        <v>Carol Fields</v>
      </c>
      <c r="E4511" t="s">
        <v>7680</v>
      </c>
      <c r="F4511" t="s">
        <v>7681</v>
      </c>
      <c r="G4511">
        <v>294.3</v>
      </c>
      <c r="H4511">
        <v>319.89</v>
      </c>
      <c r="I4511">
        <v>319.89999999999998</v>
      </c>
      <c r="J4511">
        <v>-0.01</v>
      </c>
    </row>
    <row r="4512" spans="1:10" x14ac:dyDescent="0.3">
      <c r="A4512" t="str">
        <f>HYPERLINK("https://us2.cloudbeds.com/connect/10074733072513#/reservations/31685480472818?display=MHFFFDVYS&amp;reservation_id=31685480472818", "MHFFFDVYS")</f>
        <v>MHFFFDVYS</v>
      </c>
      <c r="B4512" t="s">
        <v>10</v>
      </c>
      <c r="C4512" t="s">
        <v>14</v>
      </c>
      <c r="D4512" t="str">
        <f>HYPERLINK("https://us2.cloudbeds.com/connect/10074733072513#/reservations/31685480472818?display=Amy%20Bowar&amp;reservation_id=31685480472818&amp;guest_id=31685480472815", "Amy Bowar")</f>
        <v>Amy Bowar</v>
      </c>
      <c r="E4512" t="s">
        <v>7684</v>
      </c>
      <c r="F4512" t="s">
        <v>6175</v>
      </c>
      <c r="G4512">
        <v>117.42</v>
      </c>
      <c r="H4512">
        <v>127.63</v>
      </c>
      <c r="I4512">
        <v>127.64</v>
      </c>
      <c r="J4512">
        <v>-0.01</v>
      </c>
    </row>
    <row r="4513" spans="1:10" x14ac:dyDescent="0.3">
      <c r="A4513" t="str">
        <f>HYPERLINK("https://us2.cloudbeds.com/connect/10074733072513#/reservations/31692640092359?display=MHY0DJUJP&amp;reservation_id=31692640092359", "MHY0DJUJP")</f>
        <v>MHY0DJUJP</v>
      </c>
      <c r="B4513" t="s">
        <v>10</v>
      </c>
      <c r="C4513" t="s">
        <v>11</v>
      </c>
      <c r="D4513" t="str">
        <f>HYPERLINK("https://us2.cloudbeds.com/connect/10074733072513#/reservations/31692640092359?display=Grant%20Aschinger&amp;reservation_id=31692640092359&amp;guest_id=31692640088310", "Grant Aschinger")</f>
        <v>Grant Aschinger</v>
      </c>
      <c r="E4513" t="s">
        <v>7687</v>
      </c>
      <c r="F4513" t="s">
        <v>7268</v>
      </c>
      <c r="G4513">
        <v>127.2</v>
      </c>
      <c r="H4513">
        <v>138.26</v>
      </c>
      <c r="I4513">
        <v>138.27000000000001</v>
      </c>
      <c r="J4513">
        <v>-0.01</v>
      </c>
    </row>
    <row r="4514" spans="1:10" x14ac:dyDescent="0.3">
      <c r="A4514" t="str">
        <f>HYPERLINK("https://us2.cloudbeds.com/connect/10074733072513#/reservations/31684946718924?display=MHF1RBFHE&amp;reservation_id=31684946718924", "MHF1RBFHE")</f>
        <v>MHF1RBFHE</v>
      </c>
      <c r="B4514" t="s">
        <v>10</v>
      </c>
      <c r="C4514" t="s">
        <v>14</v>
      </c>
      <c r="D4514" t="str">
        <f>HYPERLINK("https://us2.cloudbeds.com/connect/10074733072513#/reservations/31684946718924?display=Chaz%20Bowar&amp;reservation_id=31684946718924&amp;guest_id=31684946718919", "Chaz Bowar")</f>
        <v>Chaz Bowar</v>
      </c>
      <c r="E4514" t="s">
        <v>7688</v>
      </c>
      <c r="F4514" t="s">
        <v>6175</v>
      </c>
      <c r="G4514">
        <v>117.42</v>
      </c>
      <c r="H4514">
        <v>127.63</v>
      </c>
      <c r="I4514">
        <v>127.64</v>
      </c>
      <c r="J4514">
        <v>-0.01</v>
      </c>
    </row>
    <row r="4515" spans="1:10" x14ac:dyDescent="0.3">
      <c r="A4515" t="str">
        <f>HYPERLINK("https://us2.cloudbeds.com/connect/10074733072513#/reservations/31685527163089?display=MHFGYQ63X&amp;reservation_id=31685527163089", "MHFGYQ63X")</f>
        <v>MHFGYQ63X</v>
      </c>
      <c r="B4515" t="s">
        <v>10</v>
      </c>
      <c r="C4515" t="s">
        <v>121</v>
      </c>
      <c r="D4515" t="str">
        <f>HYPERLINK("https://us2.cloudbeds.com/connect/10074733072513#/reservations/31685527163089?display=Scott%20Bauman&amp;reservation_id=31685527163089&amp;guest_id=31685527163086", "Scott Bauman")</f>
        <v>Scott Bauman</v>
      </c>
      <c r="E4515" t="s">
        <v>7694</v>
      </c>
      <c r="F4515" t="s">
        <v>6175</v>
      </c>
      <c r="G4515">
        <v>143.19999999999999</v>
      </c>
      <c r="H4515">
        <v>155.65</v>
      </c>
      <c r="I4515">
        <v>155.66</v>
      </c>
      <c r="J4515">
        <v>-0.01</v>
      </c>
    </row>
    <row r="4516" spans="1:10" x14ac:dyDescent="0.3">
      <c r="A4516" t="str">
        <f>HYPERLINK("https://us2.cloudbeds.com/connect/10074733072513#/reservations/31686715625677?display=MHGE0UTWC&amp;reservation_id=31686715625677", "MHGE0UTWC")</f>
        <v>MHGE0UTWC</v>
      </c>
      <c r="B4516" t="s">
        <v>10</v>
      </c>
      <c r="C4516" t="s">
        <v>20</v>
      </c>
      <c r="D4516" t="str">
        <f>HYPERLINK("https://us2.cloudbeds.com/connect/10074733072513#/reservations/31686715625677?display=Barbara%20Drees&amp;reservation_id=31686715625677&amp;guest_id=31686715625672", "Barbara Drees")</f>
        <v>Barbara Drees</v>
      </c>
      <c r="E4516" t="s">
        <v>7696</v>
      </c>
      <c r="F4516" t="s">
        <v>7697</v>
      </c>
      <c r="G4516">
        <v>196.2</v>
      </c>
      <c r="H4516">
        <v>213.26</v>
      </c>
      <c r="I4516">
        <v>213.27</v>
      </c>
      <c r="J4516">
        <v>-0.01</v>
      </c>
    </row>
    <row r="4517" spans="1:10" x14ac:dyDescent="0.3">
      <c r="A4517" t="str">
        <f>HYPERLINK("https://us2.cloudbeds.com/connect/10074733072513#/reservations/31691041087674?display=MHJPX98ZB&amp;reservation_id=31691041087674", "MHJPX98ZB")</f>
        <v>MHJPX98ZB</v>
      </c>
      <c r="B4517" t="s">
        <v>10</v>
      </c>
      <c r="C4517" t="s">
        <v>42</v>
      </c>
      <c r="D4517" t="str">
        <f>HYPERLINK("https://us2.cloudbeds.com/connect/10074733072513#/reservations/31691041087674?display=Andy%20Sihrer&amp;reservation_id=31691041087674&amp;guest_id=31689137254617", "Andy Sihrer")</f>
        <v>Andy Sihrer</v>
      </c>
      <c r="E4517" t="s">
        <v>7701</v>
      </c>
      <c r="F4517" t="s">
        <v>7324</v>
      </c>
      <c r="G4517">
        <v>196.2</v>
      </c>
      <c r="H4517">
        <v>213.26</v>
      </c>
      <c r="I4517">
        <v>213.27</v>
      </c>
      <c r="J4517">
        <v>-0.01</v>
      </c>
    </row>
    <row r="4518" spans="1:10" x14ac:dyDescent="0.3">
      <c r="A4518" t="str">
        <f>HYPERLINK("https://us2.cloudbeds.com/connect/10074733072513#/reservations/31686286389457?display=MHG31WPM6&amp;reservation_id=31686286389457", "MHG31WPM6")</f>
        <v>MHG31WPM6</v>
      </c>
      <c r="B4518" t="s">
        <v>10</v>
      </c>
      <c r="C4518" t="s">
        <v>42</v>
      </c>
      <c r="D4518" t="str">
        <f>HYPERLINK("https://us2.cloudbeds.com/connect/10074733072513#/reservations/31686286389457?display=Jacob%20Munger&amp;reservation_id=31686286389457&amp;guest_id=31686286385372", "Jacob Munger")</f>
        <v>Jacob Munger</v>
      </c>
      <c r="E4518" t="s">
        <v>7704</v>
      </c>
      <c r="F4518" t="s">
        <v>6899</v>
      </c>
      <c r="G4518">
        <v>268.2</v>
      </c>
      <c r="H4518">
        <v>291.52</v>
      </c>
      <c r="I4518">
        <v>291.52999999999997</v>
      </c>
      <c r="J4518">
        <v>-0.01</v>
      </c>
    </row>
    <row r="4519" spans="1:10" x14ac:dyDescent="0.3">
      <c r="A4519" t="str">
        <f>HYPERLINK("https://us2.cloudbeds.com/connect/10074733072513#/reservations/31684444283019?display=MHEYWMESW&amp;reservation_id=31684444283019", "MHEYWMESW")</f>
        <v>MHEYWMESW</v>
      </c>
      <c r="B4519" t="s">
        <v>10</v>
      </c>
      <c r="C4519" t="s">
        <v>42</v>
      </c>
      <c r="D4519" t="str">
        <f>HYPERLINK("https://us2.cloudbeds.com/connect/10074733072513#/reservations/31684444283019?display=Armando%20Elizalde&amp;reservation_id=31684444283019&amp;guest_id=31684428431614", "Armando Elizalde")</f>
        <v>Armando Elizalde</v>
      </c>
      <c r="E4519" t="s">
        <v>7709</v>
      </c>
      <c r="F4519" t="s">
        <v>7211</v>
      </c>
      <c r="G4519">
        <v>134.1</v>
      </c>
      <c r="H4519">
        <v>145.76</v>
      </c>
      <c r="I4519">
        <v>145.77000000000001</v>
      </c>
      <c r="J4519">
        <v>-0.01</v>
      </c>
    </row>
    <row r="4520" spans="1:10" x14ac:dyDescent="0.3">
      <c r="A4520" t="str">
        <f>HYPERLINK("https://us2.cloudbeds.com/connect/10074733072513#/reservations/31686188929179?display=MHG0XQQFE&amp;reservation_id=31686188929179", "MHG0XQQFE")</f>
        <v>MHG0XQQFE</v>
      </c>
      <c r="B4520" t="s">
        <v>10</v>
      </c>
      <c r="C4520" t="s">
        <v>42</v>
      </c>
      <c r="D4520" t="str">
        <f>HYPERLINK("https://us2.cloudbeds.com/connect/10074733072513#/reservations/31686188929179?display=Jodi%20Weber&amp;reservation_id=31686188929179&amp;guest_id=31686188929168", "Jodi Weber")</f>
        <v>Jodi Weber</v>
      </c>
      <c r="E4520" t="s">
        <v>7712</v>
      </c>
      <c r="F4520" t="s">
        <v>7303</v>
      </c>
      <c r="G4520">
        <v>127.2</v>
      </c>
      <c r="H4520">
        <v>138.26</v>
      </c>
      <c r="I4520">
        <v>138.27000000000001</v>
      </c>
      <c r="J4520">
        <v>-0.01</v>
      </c>
    </row>
    <row r="4521" spans="1:10" x14ac:dyDescent="0.3">
      <c r="A4521" t="str">
        <f>HYPERLINK("https://us2.cloudbeds.com/connect/10074733072513#/reservations/31687564722335?display=MHH2NU924&amp;reservation_id=31687564722335", "MHH2NU924")</f>
        <v>MHH2NU924</v>
      </c>
      <c r="B4521" t="s">
        <v>10</v>
      </c>
      <c r="C4521" t="s">
        <v>42</v>
      </c>
      <c r="D4521" t="str">
        <f>HYPERLINK("https://us2.cloudbeds.com/connect/10074733072513#/reservations/31687564722335?display=Verine%20Blackelk&amp;reservation_id=31687564722335&amp;guest_id=31687564722330", "Verine Blackelk")</f>
        <v>Verine Blackelk</v>
      </c>
      <c r="E4521" t="s">
        <v>7721</v>
      </c>
      <c r="F4521" t="s">
        <v>7211</v>
      </c>
      <c r="G4521">
        <v>134.1</v>
      </c>
      <c r="H4521">
        <v>145.76</v>
      </c>
      <c r="I4521">
        <v>145.77000000000001</v>
      </c>
      <c r="J4521">
        <v>-0.01</v>
      </c>
    </row>
    <row r="4522" spans="1:10" x14ac:dyDescent="0.3">
      <c r="A4522" t="str">
        <f>HYPERLINK("https://us2.cloudbeds.com/connect/10074733072513#/reservations/31685396201633?display=MHFDABWYJ&amp;reservation_id=31685396201633", "MHFDABWYJ")</f>
        <v>MHFDABWYJ</v>
      </c>
      <c r="B4522" t="s">
        <v>10</v>
      </c>
      <c r="C4522" t="s">
        <v>14</v>
      </c>
      <c r="D4522" t="str">
        <f>HYPERLINK("https://us2.cloudbeds.com/connect/10074733072513#/reservations/31685396201633?display=Jr%20Steckline&amp;reservation_id=31685396201633&amp;guest_id=31685396197539", "Jr Steckline")</f>
        <v>Jr Steckline</v>
      </c>
      <c r="E4522" t="s">
        <v>7722</v>
      </c>
      <c r="F4522" t="s">
        <v>6899</v>
      </c>
      <c r="G4522">
        <v>208.6</v>
      </c>
      <c r="H4522">
        <v>226.74</v>
      </c>
      <c r="I4522">
        <v>226.75</v>
      </c>
      <c r="J4522">
        <v>-0.01</v>
      </c>
    </row>
    <row r="4523" spans="1:10" x14ac:dyDescent="0.3">
      <c r="A4523" t="str">
        <f>HYPERLINK("https://us2.cloudbeds.com/connect/10074733072513#/reservations/31687549038733?display=MHH2AMS7F&amp;reservation_id=31687549038733", "MHH2AMS7F")</f>
        <v>MHH2AMS7F</v>
      </c>
      <c r="B4523" t="s">
        <v>10</v>
      </c>
      <c r="C4523" t="s">
        <v>42</v>
      </c>
      <c r="D4523" t="str">
        <f>HYPERLINK("https://us2.cloudbeds.com/connect/10074733072513#/reservations/31687549038733?display=Ronald%20Osborn&amp;reservation_id=31687549038733&amp;guest_id=31687549034649", "Ronald Osborn")</f>
        <v>Ronald Osborn</v>
      </c>
      <c r="E4523" t="s">
        <v>7724</v>
      </c>
      <c r="F4523" t="s">
        <v>7211</v>
      </c>
      <c r="G4523">
        <v>134.1</v>
      </c>
      <c r="H4523">
        <v>145.76</v>
      </c>
      <c r="I4523">
        <v>145.77000000000001</v>
      </c>
      <c r="J4523">
        <v>-0.01</v>
      </c>
    </row>
    <row r="4524" spans="1:10" x14ac:dyDescent="0.3">
      <c r="A4524" t="str">
        <f>HYPERLINK("https://us2.cloudbeds.com/connect/10074733072513#/reservations/31686886412417?display=MHGXCV67U&amp;reservation_id=31686886412417", "MHGXCV67U")</f>
        <v>MHGXCV67U</v>
      </c>
      <c r="B4524" t="s">
        <v>10</v>
      </c>
      <c r="C4524" t="s">
        <v>11</v>
      </c>
      <c r="D4524" t="str">
        <f>HYPERLINK("https://us2.cloudbeds.com/connect/10074733072513#/reservations/31686886412417?display=Mark%20Bosveld&amp;reservation_id=31686886412417&amp;guest_id=31686886408326", "Mark Bosveld")</f>
        <v>Mark Bosveld</v>
      </c>
      <c r="E4524" t="s">
        <v>7725</v>
      </c>
      <c r="F4524" t="s">
        <v>7291</v>
      </c>
      <c r="G4524">
        <v>254.4</v>
      </c>
      <c r="H4524">
        <v>276.52</v>
      </c>
      <c r="I4524">
        <v>276.52999999999997</v>
      </c>
      <c r="J4524">
        <v>-0.01</v>
      </c>
    </row>
    <row r="4525" spans="1:10" x14ac:dyDescent="0.3">
      <c r="A4525" t="str">
        <f>HYPERLINK("https://us2.cloudbeds.com/connect/10074733072513#/reservations/31687142056098?display=MHGZUGS1U&amp;reservation_id=31687142056098", "MHGZUGS1U")</f>
        <v>MHGZUGS1U</v>
      </c>
      <c r="B4525" t="s">
        <v>10</v>
      </c>
      <c r="C4525" t="s">
        <v>11</v>
      </c>
      <c r="D4525" t="str">
        <f>HYPERLINK("https://us2.cloudbeds.com/connect/10074733072513#/reservations/31687142056098?display=Mark%20Bosveld&amp;reservation_id=31687142056098&amp;guest_id=31686886408326", "Mark Bosveld")</f>
        <v>Mark Bosveld</v>
      </c>
      <c r="E4525" t="s">
        <v>7725</v>
      </c>
      <c r="F4525" t="s">
        <v>7291</v>
      </c>
      <c r="G4525">
        <v>254.4</v>
      </c>
      <c r="H4525">
        <v>276.52</v>
      </c>
      <c r="I4525">
        <v>276.52999999999997</v>
      </c>
      <c r="J4525">
        <v>-0.01</v>
      </c>
    </row>
    <row r="4526" spans="1:10" x14ac:dyDescent="0.3">
      <c r="A4526" t="str">
        <f>HYPERLINK("https://us2.cloudbeds.com/connect/10074733072513#/reservations/31685560905860?display=MHFHH846P&amp;reservation_id=31685560905860", "MHFHH846P")</f>
        <v>MHFHH846P</v>
      </c>
      <c r="B4526" t="s">
        <v>10</v>
      </c>
      <c r="C4526" t="s">
        <v>14</v>
      </c>
      <c r="D4526" t="str">
        <f>HYPERLINK("https://us2.cloudbeds.com/connect/10074733072513#/reservations/31685560905860?display=Marc%20Rubben&amp;reservation_id=31685560905860&amp;guest_id=31685560901768", "Marc Rubben")</f>
        <v>Marc Rubben</v>
      </c>
      <c r="E4526" t="s">
        <v>7729</v>
      </c>
      <c r="F4526" t="s">
        <v>7730</v>
      </c>
      <c r="G4526">
        <v>87.2</v>
      </c>
      <c r="H4526">
        <v>94.78</v>
      </c>
      <c r="I4526">
        <v>94.79</v>
      </c>
      <c r="J4526">
        <v>-0.01</v>
      </c>
    </row>
    <row r="4527" spans="1:10" x14ac:dyDescent="0.3">
      <c r="A4527" t="str">
        <f>HYPERLINK("https://us2.cloudbeds.com/connect/10074733072513#/reservations/31693306306705?display=MHYHECAM9&amp;reservation_id=31693306306705", "MHYHECAM9")</f>
        <v>MHYHECAM9</v>
      </c>
      <c r="B4527" t="s">
        <v>10</v>
      </c>
      <c r="C4527" t="s">
        <v>14</v>
      </c>
      <c r="D4527" t="str">
        <f>HYPERLINK("https://us2.cloudbeds.com/connect/10074733072513#/reservations/31693306306705?display=Jim%20Porter&amp;reservation_id=31693306306705&amp;guest_id=31693306306702", "Jim Porter")</f>
        <v>Jim Porter</v>
      </c>
      <c r="E4527" t="s">
        <v>7731</v>
      </c>
      <c r="F4527" t="s">
        <v>7714</v>
      </c>
      <c r="G4527">
        <v>208.6</v>
      </c>
      <c r="H4527">
        <v>226.74</v>
      </c>
      <c r="I4527">
        <v>226.75</v>
      </c>
      <c r="J4527">
        <v>-0.01</v>
      </c>
    </row>
    <row r="4528" spans="1:10" x14ac:dyDescent="0.3">
      <c r="A4528" t="str">
        <f>HYPERLINK("https://us2.cloudbeds.com/connect/10074733072513#/reservations/31693419663495?display=MHYKAVY7H&amp;reservation_id=31693419663495", "MHYKAVY7H")</f>
        <v>MHYKAVY7H</v>
      </c>
      <c r="B4528" t="s">
        <v>10</v>
      </c>
      <c r="C4528" t="s">
        <v>42</v>
      </c>
      <c r="D4528" t="str">
        <f>HYPERLINK("https://us2.cloudbeds.com/connect/10074733072513#/reservations/31693419663495?display=Zac%20Johannsen&amp;reservation_id=31693419663495&amp;guest_id=31685279350997", "Zac Johannsen")</f>
        <v>Zac Johannsen</v>
      </c>
      <c r="E4528" t="s">
        <v>7734</v>
      </c>
      <c r="F4528" t="s">
        <v>7735</v>
      </c>
      <c r="G4528">
        <v>477.3</v>
      </c>
      <c r="H4528">
        <v>518.82000000000005</v>
      </c>
      <c r="I4528">
        <v>518.83000000000004</v>
      </c>
      <c r="J4528">
        <v>-0.01</v>
      </c>
    </row>
    <row r="4529" spans="1:10" x14ac:dyDescent="0.3">
      <c r="A4529" t="str">
        <f>HYPERLINK("https://us2.cloudbeds.com/connect/10074733072513#/reservations/31688168644809?display=MHHX55A55&amp;reservation_id=31688168644809", "MHHX55A55")</f>
        <v>MHHX55A55</v>
      </c>
      <c r="B4529" t="s">
        <v>10</v>
      </c>
      <c r="C4529" t="s">
        <v>20</v>
      </c>
      <c r="D4529" t="str">
        <f>HYPERLINK("https://us2.cloudbeds.com/connect/10074733072513#/reservations/31688168644809?display=Darvin%20Deberg&amp;reservation_id=31688168644809&amp;guest_id=31688168640721", "Darvin Deberg")</f>
        <v>Darvin Deberg</v>
      </c>
      <c r="E4529" t="s">
        <v>7747</v>
      </c>
      <c r="F4529" t="s">
        <v>7748</v>
      </c>
      <c r="G4529">
        <v>250.2</v>
      </c>
      <c r="H4529">
        <v>271.95999999999998</v>
      </c>
      <c r="I4529">
        <v>271.97000000000003</v>
      </c>
      <c r="J4529">
        <v>-0.01</v>
      </c>
    </row>
    <row r="4530" spans="1:10" x14ac:dyDescent="0.3">
      <c r="A4530" t="str">
        <f>HYPERLINK("https://us2.cloudbeds.com/connect/10074733072513#/reservations/31733944230045?display=MXJWRBEMN&amp;reservation_id=31733944230045", "MXJWRBEMN")</f>
        <v>MXJWRBEMN</v>
      </c>
      <c r="B4530" t="s">
        <v>10</v>
      </c>
      <c r="C4530" t="s">
        <v>20</v>
      </c>
      <c r="D4530" t="str">
        <f>HYPERLINK("https://us2.cloudbeds.com/connect/10074733072513#/reservations/31733944230045?display=Robin%20Opitz&amp;reservation_id=31733944230045&amp;guest_id=31733944230029", "Robin Opitz")</f>
        <v>Robin Opitz</v>
      </c>
      <c r="E4530" t="s">
        <v>7750</v>
      </c>
      <c r="F4530" t="s">
        <v>7751</v>
      </c>
      <c r="G4530">
        <v>376.2</v>
      </c>
      <c r="H4530">
        <v>408.92</v>
      </c>
      <c r="I4530">
        <v>408.93</v>
      </c>
      <c r="J4530">
        <v>-0.01</v>
      </c>
    </row>
    <row r="4531" spans="1:10" x14ac:dyDescent="0.3">
      <c r="A4531" t="str">
        <f>HYPERLINK("https://us2.cloudbeds.com/connect/10074733072513#/reservations/31688187306192?display=MHHXKTJDK&amp;reservation_id=31688187306192", "MHHXKTJDK")</f>
        <v>MHHXKTJDK</v>
      </c>
      <c r="B4531" t="s">
        <v>10</v>
      </c>
      <c r="C4531" t="s">
        <v>23</v>
      </c>
      <c r="D4531" t="str">
        <f>HYPERLINK("https://us2.cloudbeds.com/connect/10074733072513#/reservations/31688187306192?display=Erin%20Hufford&amp;reservation_id=31688187306192&amp;guest_id=30671148142737", "Erin Hufford")</f>
        <v>Erin Hufford</v>
      </c>
      <c r="E4531" t="s">
        <v>4028</v>
      </c>
      <c r="F4531" t="s">
        <v>7759</v>
      </c>
      <c r="G4531">
        <v>134.1</v>
      </c>
      <c r="H4531">
        <v>145.76</v>
      </c>
      <c r="I4531">
        <v>145.77000000000001</v>
      </c>
      <c r="J4531">
        <v>-0.01</v>
      </c>
    </row>
    <row r="4532" spans="1:10" x14ac:dyDescent="0.3">
      <c r="A4532" t="str">
        <f>HYPERLINK("https://us2.cloudbeds.com/connect/10074733072513#/reservations/31687620305094?display=MHH44PV85&amp;reservation_id=31687620305094", "MHH44PV85")</f>
        <v>MHH44PV85</v>
      </c>
      <c r="B4532" t="s">
        <v>10</v>
      </c>
      <c r="C4532" t="s">
        <v>42</v>
      </c>
      <c r="D4532" t="str">
        <f>HYPERLINK("https://us2.cloudbeds.com/connect/10074733072513#/reservations/31687620305094?display=Doug%20Roggow&amp;reservation_id=31687620305094&amp;guest_id=31687620305092", "Doug Roggow")</f>
        <v>Doug Roggow</v>
      </c>
      <c r="E4532" t="s">
        <v>1458</v>
      </c>
      <c r="F4532" t="s">
        <v>7666</v>
      </c>
      <c r="G4532">
        <v>134.1</v>
      </c>
      <c r="H4532">
        <v>145.76</v>
      </c>
      <c r="I4532">
        <v>145.77000000000001</v>
      </c>
      <c r="J4532">
        <v>-0.01</v>
      </c>
    </row>
    <row r="4533" spans="1:10" x14ac:dyDescent="0.3">
      <c r="A4533" t="str">
        <f>HYPERLINK("https://us2.cloudbeds.com/connect/10074733072513#/reservations/31681851130021?display=MHCYZ24R3&amp;reservation_id=31681851130021", "MHCYZ24R3")</f>
        <v>MHCYZ24R3</v>
      </c>
      <c r="B4533" t="s">
        <v>10</v>
      </c>
      <c r="C4533" t="s">
        <v>121</v>
      </c>
      <c r="D4533" t="str">
        <f>HYPERLINK("https://us2.cloudbeds.com/connect/10074733072513#/reservations/31681851130021?display=Austin%20Sigsworth&amp;reservation_id=31681851130021&amp;guest_id=31681840865476", "Austin Sigsworth")</f>
        <v>Austin Sigsworth</v>
      </c>
      <c r="E4533" t="s">
        <v>7775</v>
      </c>
      <c r="F4533" t="s">
        <v>5558</v>
      </c>
      <c r="G4533">
        <v>196.2</v>
      </c>
      <c r="H4533">
        <v>213.26</v>
      </c>
      <c r="I4533">
        <v>213.27</v>
      </c>
      <c r="J4533">
        <v>-0.01</v>
      </c>
    </row>
    <row r="4534" spans="1:10" x14ac:dyDescent="0.3">
      <c r="A4534" t="str">
        <f>HYPERLINK("https://us2.cloudbeds.com/connect/10074733072513#/reservations/31688950792328?display=MHX54MNK4&amp;reservation_id=31688950792328", "MHX54MNK4")</f>
        <v>MHX54MNK4</v>
      </c>
      <c r="B4534" t="s">
        <v>10</v>
      </c>
      <c r="C4534" t="s">
        <v>11</v>
      </c>
      <c r="D4534" t="str">
        <f>HYPERLINK("https://us2.cloudbeds.com/connect/10074733072513#/reservations/31688950792328?display=Scott%20Anderson&amp;reservation_id=31688950792328&amp;guest_id=31688940998903", "Scott Anderson")</f>
        <v>Scott Anderson</v>
      </c>
      <c r="E4534" t="s">
        <v>7776</v>
      </c>
      <c r="F4534" t="s">
        <v>7268</v>
      </c>
      <c r="G4534">
        <v>208.6</v>
      </c>
      <c r="H4534">
        <v>226.74</v>
      </c>
      <c r="I4534">
        <v>226.75</v>
      </c>
      <c r="J4534">
        <v>-0.01</v>
      </c>
    </row>
    <row r="4535" spans="1:10" x14ac:dyDescent="0.3">
      <c r="A4535" t="str">
        <f>HYPERLINK("https://us2.cloudbeds.com/connect/10074733072513#/reservations/31690584449159?display=MHJDT7KKJ&amp;reservation_id=31690584449159", "MHJDT7KKJ")</f>
        <v>MHJDT7KKJ</v>
      </c>
      <c r="B4535" t="s">
        <v>10</v>
      </c>
      <c r="C4535" t="s">
        <v>42</v>
      </c>
      <c r="D4535" t="str">
        <f>HYPERLINK("https://us2.cloudbeds.com/connect/10074733072513#/reservations/31690584449159?display=Jeff%20Keiser&amp;reservation_id=31690584449159&amp;guest_id=31690584445063", "Jeff Keiser")</f>
        <v>Jeff Keiser</v>
      </c>
      <c r="E4535" t="s">
        <v>7778</v>
      </c>
      <c r="F4535" t="s">
        <v>7268</v>
      </c>
      <c r="G4535">
        <v>170.1</v>
      </c>
      <c r="H4535">
        <v>184.89</v>
      </c>
      <c r="I4535">
        <v>184.9</v>
      </c>
      <c r="J4535">
        <v>-0.01</v>
      </c>
    </row>
    <row r="4536" spans="1:10" x14ac:dyDescent="0.3">
      <c r="A4536" t="str">
        <f>HYPERLINK("https://us2.cloudbeds.com/connect/10074733072513#/reservations/31690007670925?display=MHXW4SUC9&amp;reservation_id=31690007670925", "MHXW4SUC9")</f>
        <v>MHXW4SUC9</v>
      </c>
      <c r="B4536" t="s">
        <v>10</v>
      </c>
      <c r="C4536" t="s">
        <v>17</v>
      </c>
      <c r="D4536" t="str">
        <f>HYPERLINK("https://us2.cloudbeds.com/connect/10074733072513#/reservations/31690007670925?display=Steve%20Weber&amp;reservation_id=31690007670925&amp;guest_id=31690007670923", "Steve Weber")</f>
        <v>Steve Weber</v>
      </c>
      <c r="E4536" t="s">
        <v>7779</v>
      </c>
      <c r="F4536" t="s">
        <v>7780</v>
      </c>
      <c r="G4536">
        <v>134.1</v>
      </c>
      <c r="H4536">
        <v>145.76</v>
      </c>
      <c r="I4536">
        <v>145.77000000000001</v>
      </c>
      <c r="J4536">
        <v>-0.01</v>
      </c>
    </row>
    <row r="4537" spans="1:10" x14ac:dyDescent="0.3">
      <c r="A4537" t="str">
        <f>HYPERLINK("https://us2.cloudbeds.com/connect/10074733072513#/reservations/31690572329160?display=MHJDJ0C4T&amp;reservation_id=31690572329160", "MHJDJ0C4T")</f>
        <v>MHJDJ0C4T</v>
      </c>
      <c r="B4537" t="s">
        <v>10</v>
      </c>
      <c r="C4537" t="s">
        <v>14</v>
      </c>
      <c r="D4537" t="str">
        <f>HYPERLINK("https://us2.cloudbeds.com/connect/10074733072513#/reservations/31690572329160?display=Patricia%20Larson&amp;reservation_id=31690572329160&amp;guest_id=31690563682550", "Patricia Larson")</f>
        <v>Patricia Larson</v>
      </c>
      <c r="E4537" t="s">
        <v>7783</v>
      </c>
      <c r="F4537" t="s">
        <v>7268</v>
      </c>
      <c r="G4537">
        <v>208.6</v>
      </c>
      <c r="H4537">
        <v>226.74</v>
      </c>
      <c r="I4537">
        <v>226.75</v>
      </c>
      <c r="J4537">
        <v>-0.01</v>
      </c>
    </row>
    <row r="4538" spans="1:10" x14ac:dyDescent="0.3">
      <c r="A4538" t="str">
        <f>HYPERLINK("https://us2.cloudbeds.com/connect/10074733072513#/reservations/31685764415642?display=MHFMNS2SS&amp;reservation_id=31685764415642", "MHFMNS2SS")</f>
        <v>MHFMNS2SS</v>
      </c>
      <c r="B4538" t="s">
        <v>10</v>
      </c>
      <c r="C4538" t="s">
        <v>17</v>
      </c>
      <c r="D4538" t="str">
        <f>HYPERLINK("https://us2.cloudbeds.com/connect/10074733072513#/reservations/31685764415642?display=William%20Graves&amp;reservation_id=31685764415642&amp;guest_id=31685764415637", "William Graves")</f>
        <v>William Graves</v>
      </c>
      <c r="E4538" t="s">
        <v>447</v>
      </c>
      <c r="F4538" t="s">
        <v>7782</v>
      </c>
      <c r="G4538">
        <v>196.2</v>
      </c>
      <c r="H4538">
        <v>213.26</v>
      </c>
      <c r="I4538">
        <v>213.27</v>
      </c>
      <c r="J4538">
        <v>-0.01</v>
      </c>
    </row>
    <row r="4539" spans="1:10" x14ac:dyDescent="0.3">
      <c r="A4539" t="str">
        <f>HYPERLINK("https://us2.cloudbeds.com/connect/10074733072513#/reservations/31690555306122?display=MHJD4YMB8&amp;reservation_id=31690555306122", "MHJD4YMB8")</f>
        <v>MHJD4YMB8</v>
      </c>
      <c r="B4539" t="s">
        <v>10</v>
      </c>
      <c r="C4539" t="s">
        <v>23</v>
      </c>
      <c r="D4539" t="str">
        <f>HYPERLINK("https://us2.cloudbeds.com/connect/10074733072513#/reservations/31690555306122?display=Mike%20Collison&amp;reservation_id=31690555306122&amp;guest_id=31690555302034", "Mike Collison")</f>
        <v>Mike Collison</v>
      </c>
      <c r="E4539" t="s">
        <v>7784</v>
      </c>
      <c r="F4539" t="s">
        <v>7268</v>
      </c>
      <c r="G4539">
        <v>268.2</v>
      </c>
      <c r="H4539">
        <v>291.52</v>
      </c>
      <c r="I4539">
        <v>291.52999999999997</v>
      </c>
      <c r="J4539">
        <v>-0.01</v>
      </c>
    </row>
    <row r="4540" spans="1:10" x14ac:dyDescent="0.3">
      <c r="A4540" t="str">
        <f>HYPERLINK("https://us2.cloudbeds.com/connect/10074733072513#/reservations/31690504700075?display=MHJBRWG4M&amp;reservation_id=31690504700075", "MHJBRWG4M")</f>
        <v>MHJBRWG4M</v>
      </c>
      <c r="B4540" t="s">
        <v>10</v>
      </c>
      <c r="C4540" t="s">
        <v>14</v>
      </c>
      <c r="D4540" t="str">
        <f>HYPERLINK("https://us2.cloudbeds.com/connect/10074733072513#/reservations/31690504700075?display=Scott%20Mattison&amp;reservation_id=31690504700075&amp;guest_id=31690504700073", "Scott Mattison")</f>
        <v>Scott Mattison</v>
      </c>
      <c r="E4540" t="s">
        <v>7793</v>
      </c>
      <c r="F4540" t="s">
        <v>7268</v>
      </c>
      <c r="G4540">
        <v>127.2</v>
      </c>
      <c r="H4540">
        <v>138.26</v>
      </c>
      <c r="I4540">
        <v>138.27000000000001</v>
      </c>
      <c r="J4540">
        <v>-0.01</v>
      </c>
    </row>
    <row r="4541" spans="1:10" x14ac:dyDescent="0.3">
      <c r="A4541" t="str">
        <f>HYPERLINK("https://us2.cloudbeds.com/connect/10074733072513#/reservations/31688872353966?display=MHX34X1Z2&amp;reservation_id=31688872353966", "MHX34X1Z2")</f>
        <v>MHX34X1Z2</v>
      </c>
      <c r="B4541" t="s">
        <v>10</v>
      </c>
      <c r="C4541" t="s">
        <v>42</v>
      </c>
      <c r="D4541" t="str">
        <f>HYPERLINK("https://us2.cloudbeds.com/connect/10074733072513#/reservations/31688872353966?display=Logan%20Walter%20Redding&amp;reservation_id=31688872353966&amp;guest_id=31688862200020", "Logan Walter Redding")</f>
        <v>Logan Walter Redding</v>
      </c>
      <c r="E4541" t="s">
        <v>7800</v>
      </c>
      <c r="F4541" t="s">
        <v>7771</v>
      </c>
      <c r="G4541">
        <v>250.2</v>
      </c>
      <c r="H4541">
        <v>271.95999999999998</v>
      </c>
      <c r="I4541">
        <v>271.97000000000003</v>
      </c>
      <c r="J4541">
        <v>-0.01</v>
      </c>
    </row>
    <row r="4542" spans="1:10" x14ac:dyDescent="0.3">
      <c r="A4542" t="str">
        <f>HYPERLINK("https://us2.cloudbeds.com/connect/10074733072513#/reservations/31691560018127?display=MHK5QS8TJ&amp;reservation_id=31691560018127", "MHK5QS8TJ")</f>
        <v>MHK5QS8TJ</v>
      </c>
      <c r="B4542" t="s">
        <v>10</v>
      </c>
      <c r="C4542" t="s">
        <v>23</v>
      </c>
      <c r="D4542" t="str">
        <f>HYPERLINK("https://us2.cloudbeds.com/connect/10074733072513#/reservations/31691560018127?display=Jordan%20Freese&amp;reservation_id=31691560018127&amp;guest_id=31691560018125", "Jordan Freese")</f>
        <v>Jordan Freese</v>
      </c>
      <c r="E4542" t="s">
        <v>7803</v>
      </c>
      <c r="F4542" t="s">
        <v>7372</v>
      </c>
      <c r="G4542">
        <v>268.2</v>
      </c>
      <c r="H4542">
        <v>291.52</v>
      </c>
      <c r="I4542">
        <v>291.52999999999997</v>
      </c>
      <c r="J4542">
        <v>-0.01</v>
      </c>
    </row>
    <row r="4543" spans="1:10" x14ac:dyDescent="0.3">
      <c r="A4543" t="str">
        <f>HYPERLINK("https://us2.cloudbeds.com/connect/10074733072513#/reservations/31687674532066?display=MHH5HGTEZ&amp;reservation_id=31687674532066", "MHH5HGTEZ")</f>
        <v>MHH5HGTEZ</v>
      </c>
      <c r="B4543" t="s">
        <v>10</v>
      </c>
      <c r="C4543" t="s">
        <v>42</v>
      </c>
      <c r="D4543" t="str">
        <f>HYPERLINK("https://us2.cloudbeds.com/connect/10074733072513#/reservations/31687674532066?display=Leroy%20Slater&amp;reservation_id=31687674532066&amp;guest_id=31687674532061", "Leroy Slater")</f>
        <v>Leroy Slater</v>
      </c>
      <c r="E4543" t="s">
        <v>7804</v>
      </c>
      <c r="F4543" t="s">
        <v>7681</v>
      </c>
      <c r="G4543">
        <v>196.2</v>
      </c>
      <c r="H4543">
        <v>213.26</v>
      </c>
      <c r="I4543">
        <v>213.27</v>
      </c>
      <c r="J4543">
        <v>-0.01</v>
      </c>
    </row>
    <row r="4544" spans="1:10" x14ac:dyDescent="0.3">
      <c r="A4544" t="str">
        <f>HYPERLINK("https://us2.cloudbeds.com/connect/10074733072513#/reservations/31692931137731?display=MHY7S0MTG&amp;reservation_id=31692931137731", "MHY7S0MTG")</f>
        <v>MHY7S0MTG</v>
      </c>
      <c r="B4544" t="s">
        <v>10</v>
      </c>
      <c r="C4544" t="s">
        <v>14</v>
      </c>
      <c r="D4544" t="str">
        <f>HYPERLINK("https://us2.cloudbeds.com/connect/10074733072513#/reservations/31692931137731?display=Eric%20Laufmann&amp;reservation_id=31692931137731&amp;guest_id=31692931137729", "Eric Laufmann")</f>
        <v>Eric Laufmann</v>
      </c>
      <c r="E4544" t="s">
        <v>7816</v>
      </c>
      <c r="F4544" t="s">
        <v>7735</v>
      </c>
      <c r="G4544">
        <v>254.4</v>
      </c>
      <c r="H4544">
        <v>276.52</v>
      </c>
      <c r="I4544">
        <v>276.52999999999997</v>
      </c>
      <c r="J4544">
        <v>-0.01</v>
      </c>
    </row>
    <row r="4545" spans="1:10" x14ac:dyDescent="0.3">
      <c r="A4545" t="str">
        <f>HYPERLINK("https://us2.cloudbeds.com/connect/10074733072513#/reservations/31694761689256?display=MHMYKJG3R&amp;reservation_id=31694761689256", "MHMYKJG3R")</f>
        <v>MHMYKJG3R</v>
      </c>
      <c r="B4545" t="s">
        <v>10</v>
      </c>
      <c r="C4545" t="s">
        <v>11</v>
      </c>
      <c r="D4545" t="str">
        <f>HYPERLINK("https://us2.cloudbeds.com/connect/10074733072513#/reservations/31694761689256?display=Roxanne%20Hulick&amp;reservation_id=31694761689256&amp;guest_id=31694747656335", "Roxanne Hulick")</f>
        <v>Roxanne Hulick</v>
      </c>
      <c r="E4545" t="s">
        <v>7833</v>
      </c>
      <c r="F4545" t="s">
        <v>7795</v>
      </c>
      <c r="G4545">
        <v>182.36</v>
      </c>
      <c r="H4545">
        <v>198.22</v>
      </c>
      <c r="I4545">
        <v>198.23</v>
      </c>
      <c r="J4545">
        <v>-0.01</v>
      </c>
    </row>
    <row r="4546" spans="1:10" x14ac:dyDescent="0.3">
      <c r="A4546" t="str">
        <f>HYPERLINK("https://us2.cloudbeds.com/connect/10074733072513#/reservations/31693820621005?display=MHYUJ1SV3&amp;reservation_id=31693820621005", "MHYUJ1SV3")</f>
        <v>MHYUJ1SV3</v>
      </c>
      <c r="B4546" t="s">
        <v>10</v>
      </c>
      <c r="C4546" t="s">
        <v>121</v>
      </c>
      <c r="D4546" t="str">
        <f>HYPERLINK("https://us2.cloudbeds.com/connect/10074733072513#/reservations/31693820621005?display=Randall%20Mays&amp;reservation_id=31693820621005&amp;guest_id=31693812789420", "Randall Mays")</f>
        <v>Randall Mays</v>
      </c>
      <c r="E4546" t="s">
        <v>7841</v>
      </c>
      <c r="F4546" t="s">
        <v>7817</v>
      </c>
      <c r="G4546">
        <v>174.4</v>
      </c>
      <c r="H4546">
        <v>189.56</v>
      </c>
      <c r="I4546">
        <v>189.57</v>
      </c>
      <c r="J4546">
        <v>-0.01</v>
      </c>
    </row>
    <row r="4547" spans="1:10" x14ac:dyDescent="0.3">
      <c r="A4547" t="str">
        <f>HYPERLINK("https://us2.cloudbeds.com/connect/10074733072513#/reservations/31687873298676?display=MHHAK3SJB&amp;reservation_id=31687873298676", "MHHAK3SJB")</f>
        <v>MHHAK3SJB</v>
      </c>
      <c r="B4547" t="s">
        <v>10</v>
      </c>
      <c r="C4547" t="s">
        <v>121</v>
      </c>
      <c r="D4547" t="str">
        <f>HYPERLINK("https://us2.cloudbeds.com/connect/10074733072513#/reservations/31687873298676?display=Vicky%20Studelska&amp;reservation_id=31687873298676&amp;guest_id=31687873298670", "Vicky Studelska")</f>
        <v>Vicky Studelska</v>
      </c>
      <c r="E4547" t="s">
        <v>7853</v>
      </c>
      <c r="F4547" t="s">
        <v>7854</v>
      </c>
      <c r="G4547">
        <v>294.3</v>
      </c>
      <c r="H4547">
        <v>319.89</v>
      </c>
      <c r="I4547">
        <v>319.89999999999998</v>
      </c>
      <c r="J4547">
        <v>-0.01</v>
      </c>
    </row>
    <row r="4548" spans="1:10" x14ac:dyDescent="0.3">
      <c r="A4548" t="str">
        <f>HYPERLINK("https://us2.cloudbeds.com/connect/10074733072513#/reservations/31688994824348?display=MHX68QW1P&amp;reservation_id=31688994824348", "MHX68QW1P")</f>
        <v>MHX68QW1P</v>
      </c>
      <c r="B4548" t="s">
        <v>10</v>
      </c>
      <c r="C4548" t="s">
        <v>121</v>
      </c>
      <c r="D4548" t="str">
        <f>HYPERLINK("https://us2.cloudbeds.com/connect/10074733072513#/reservations/31688994824348?display=Christopher%20Lounsbery&amp;reservation_id=31688994824348&amp;guest_id=31688988090564", "Christopher Lounsbery")</f>
        <v>Christopher Lounsbery</v>
      </c>
      <c r="E4548" t="s">
        <v>7860</v>
      </c>
      <c r="F4548" t="s">
        <v>7854</v>
      </c>
      <c r="G4548">
        <v>196.2</v>
      </c>
      <c r="H4548">
        <v>213.26</v>
      </c>
      <c r="I4548">
        <v>213.27</v>
      </c>
      <c r="J4548">
        <v>-0.01</v>
      </c>
    </row>
    <row r="4549" spans="1:10" x14ac:dyDescent="0.3">
      <c r="A4549" t="str">
        <f>HYPERLINK("https://us2.cloudbeds.com/connect/10074733072513#/reservations/31683027058873?display=MHDXPY39Z&amp;reservation_id=31683027058873", "MHDXPY39Z")</f>
        <v>MHDXPY39Z</v>
      </c>
      <c r="B4549" t="s">
        <v>10</v>
      </c>
      <c r="C4549" t="s">
        <v>42</v>
      </c>
      <c r="D4549" t="str">
        <f>HYPERLINK("https://us2.cloudbeds.com/connect/10074733072513#/reservations/31683027058873?display=Rodger%20Godfrey&amp;reservation_id=31683027058873&amp;guest_id=31683027058870", "Rodger Godfrey")</f>
        <v>Rodger Godfrey</v>
      </c>
      <c r="E4549" t="s">
        <v>7870</v>
      </c>
      <c r="F4549" t="s">
        <v>7871</v>
      </c>
      <c r="G4549">
        <v>87.2</v>
      </c>
      <c r="H4549">
        <v>94.78</v>
      </c>
      <c r="I4549">
        <v>94.79</v>
      </c>
      <c r="J4549">
        <v>-0.01</v>
      </c>
    </row>
    <row r="4550" spans="1:10" x14ac:dyDescent="0.3">
      <c r="A4550" t="str">
        <f>HYPERLINK("https://us2.cloudbeds.com/connect/10074733072513#/reservations/31692941541534?display=MHY83Q6E8&amp;reservation_id=31692941541534", "MHY83Q6E8")</f>
        <v>MHY83Q6E8</v>
      </c>
      <c r="B4550" t="s">
        <v>10</v>
      </c>
      <c r="C4550" t="s">
        <v>14</v>
      </c>
      <c r="D4550" t="str">
        <f>HYPERLINK("https://us2.cloudbeds.com/connect/10074733072513#/reservations/31692941541534?display=Tammy%20Wichner&amp;reservation_id=31692941541534&amp;guest_id=31692941541518", "Tammy Wichner")</f>
        <v>Tammy Wichner</v>
      </c>
      <c r="E4550" t="s">
        <v>7874</v>
      </c>
      <c r="F4550" t="s">
        <v>7735</v>
      </c>
      <c r="G4550">
        <v>127.2</v>
      </c>
      <c r="H4550">
        <v>138.26</v>
      </c>
      <c r="I4550">
        <v>138.27000000000001</v>
      </c>
      <c r="J4550">
        <v>-0.01</v>
      </c>
    </row>
    <row r="4551" spans="1:10" x14ac:dyDescent="0.3">
      <c r="A4551" t="str">
        <f>HYPERLINK("https://us2.cloudbeds.com/connect/10074733072513#/reservations/31683015360659?display=MHDXFPJ4D&amp;reservation_id=31683015360659", "MHDXFPJ4D")</f>
        <v>MHDXFPJ4D</v>
      </c>
      <c r="B4551" t="s">
        <v>10</v>
      </c>
      <c r="C4551" t="s">
        <v>121</v>
      </c>
      <c r="D4551" t="str">
        <f>HYPERLINK("https://us2.cloudbeds.com/connect/10074733072513#/reservations/31683015360659?display=Derek%20Dvorak&amp;reservation_id=31683015360659&amp;guest_id=31683015356569", "Derek Dvorak")</f>
        <v>Derek Dvorak</v>
      </c>
      <c r="E4551" t="s">
        <v>7875</v>
      </c>
      <c r="F4551" t="s">
        <v>7871</v>
      </c>
      <c r="G4551">
        <v>118.15</v>
      </c>
      <c r="H4551">
        <v>128.41999999999999</v>
      </c>
      <c r="I4551">
        <v>128.43</v>
      </c>
      <c r="J4551">
        <v>-0.01</v>
      </c>
    </row>
    <row r="4552" spans="1:10" x14ac:dyDescent="0.3">
      <c r="A4552" t="str">
        <f>HYPERLINK("https://us2.cloudbeds.com/connect/10074733072513#/reservations/31685827350749?display=MHFZAUBHA&amp;reservation_id=31685827350749", "MHFZAUBHA")</f>
        <v>MHFZAUBHA</v>
      </c>
      <c r="B4552" t="s">
        <v>10</v>
      </c>
      <c r="C4552" t="s">
        <v>42</v>
      </c>
      <c r="D4552" t="str">
        <f>HYPERLINK("https://us2.cloudbeds.com/connect/10074733072513#/reservations/31685827350749?display=Jeremy%20Wilkening&amp;reservation_id=31685827350749&amp;guest_id=31685810262224", "Jeremy Wilkening")</f>
        <v>Jeremy Wilkening</v>
      </c>
      <c r="E4552" t="s">
        <v>7877</v>
      </c>
      <c r="F4552" t="s">
        <v>7291</v>
      </c>
      <c r="G4552">
        <v>170.1</v>
      </c>
      <c r="H4552">
        <v>184.89</v>
      </c>
      <c r="I4552">
        <v>184.9</v>
      </c>
      <c r="J4552">
        <v>-0.01</v>
      </c>
    </row>
    <row r="4553" spans="1:10" x14ac:dyDescent="0.3">
      <c r="A4553" t="str">
        <f>HYPERLINK("https://us2.cloudbeds.com/connect/10074733072513#/reservations/31686789386492?display=MHGFU4DJX&amp;reservation_id=31686789386492", "MHGFU4DJX")</f>
        <v>MHGFU4DJX</v>
      </c>
      <c r="B4553" t="s">
        <v>10</v>
      </c>
      <c r="C4553" t="s">
        <v>121</v>
      </c>
      <c r="D4553" t="str">
        <f>HYPERLINK("https://us2.cloudbeds.com/connect/10074733072513#/reservations/31686789386492?display=Taban%20Thok&amp;reservation_id=31686789386492&amp;guest_id=31686789386438", "Taban Thok")</f>
        <v>Taban Thok</v>
      </c>
      <c r="E4553" t="s">
        <v>7878</v>
      </c>
      <c r="F4553" t="s">
        <v>7871</v>
      </c>
      <c r="G4553">
        <v>118.15</v>
      </c>
      <c r="H4553">
        <v>128.41999999999999</v>
      </c>
      <c r="I4553">
        <v>128.43</v>
      </c>
      <c r="J4553">
        <v>-0.01</v>
      </c>
    </row>
    <row r="4554" spans="1:10" x14ac:dyDescent="0.3">
      <c r="A4554" t="str">
        <f>HYPERLINK("https://us2.cloudbeds.com/connect/10074733072513#/reservations/31690840064242?display=MHJKDPG76&amp;reservation_id=31690840064242", "MHJKDPG76")</f>
        <v>MHJKDPG76</v>
      </c>
      <c r="B4554" t="s">
        <v>10</v>
      </c>
      <c r="C4554" t="s">
        <v>14</v>
      </c>
      <c r="D4554" t="str">
        <f>HYPERLINK("https://us2.cloudbeds.com/connect/10074733072513#/reservations/31690840064242?display=Jessica%20Gonchar&amp;reservation_id=31690840064242&amp;guest_id=31690840064237", "Jessica Gonchar")</f>
        <v>Jessica Gonchar</v>
      </c>
      <c r="E4554" t="s">
        <v>7884</v>
      </c>
      <c r="F4554" t="s">
        <v>7885</v>
      </c>
      <c r="G4554">
        <v>103.2</v>
      </c>
      <c r="H4554">
        <v>112.17</v>
      </c>
      <c r="I4554">
        <v>112.18</v>
      </c>
      <c r="J4554">
        <v>-0.01</v>
      </c>
    </row>
    <row r="4555" spans="1:10" x14ac:dyDescent="0.3">
      <c r="A4555" t="str">
        <f>HYPERLINK("https://us2.cloudbeds.com/connect/10074733072513#/reservations/31692985381082?display=MHY97P34D&amp;reservation_id=31692985381082", "MHY97P34D")</f>
        <v>MHY97P34D</v>
      </c>
      <c r="B4555" t="s">
        <v>10</v>
      </c>
      <c r="C4555" t="s">
        <v>14</v>
      </c>
      <c r="D4555" t="str">
        <f>HYPERLINK("https://us2.cloudbeds.com/connect/10074733072513#/reservations/31692985381082?display=Dwaine%20Trease&amp;reservation_id=31692985381082&amp;guest_id=31692985381072", "Dwaine Trease")</f>
        <v>Dwaine Trease</v>
      </c>
      <c r="E4555" t="s">
        <v>7893</v>
      </c>
      <c r="F4555" t="s">
        <v>7735</v>
      </c>
      <c r="G4555">
        <v>222.4</v>
      </c>
      <c r="H4555">
        <v>241.74</v>
      </c>
      <c r="I4555">
        <v>241.75</v>
      </c>
      <c r="J4555">
        <v>-0.01</v>
      </c>
    </row>
    <row r="4556" spans="1:10" x14ac:dyDescent="0.3">
      <c r="A4556" t="str">
        <f>HYPERLINK("https://us2.cloudbeds.com/connect/10074733072513#/reservations/31688980549781?display=MHX5TPP34&amp;reservation_id=31688980549781", "MHX5TPP34")</f>
        <v>MHX5TPP34</v>
      </c>
      <c r="B4556" t="s">
        <v>10</v>
      </c>
      <c r="C4556" t="s">
        <v>42</v>
      </c>
      <c r="D4556" t="str">
        <f>HYPERLINK("https://us2.cloudbeds.com/connect/10074733072513#/reservations/31688980549781?display=Cory%20Atchison&amp;reservation_id=31688980549781&amp;guest_id=31677010882767", "Cory Atchison")</f>
        <v>Cory Atchison</v>
      </c>
      <c r="E4556" t="s">
        <v>7556</v>
      </c>
      <c r="F4556" t="s">
        <v>7883</v>
      </c>
      <c r="G4556">
        <v>294.3</v>
      </c>
      <c r="H4556">
        <v>319.89</v>
      </c>
      <c r="I4556">
        <v>319.89999999999998</v>
      </c>
      <c r="J4556">
        <v>-0.01</v>
      </c>
    </row>
    <row r="4557" spans="1:10" x14ac:dyDescent="0.3">
      <c r="A4557" t="str">
        <f>HYPERLINK("https://us2.cloudbeds.com/connect/10074733072513#/reservations/31692789424316?display=MHY47HA6J&amp;reservation_id=31692789424316", "MHY47HA6J")</f>
        <v>MHY47HA6J</v>
      </c>
      <c r="B4557" t="s">
        <v>10</v>
      </c>
      <c r="C4557" t="s">
        <v>121</v>
      </c>
      <c r="D4557" t="str">
        <f>HYPERLINK("https://us2.cloudbeds.com/connect/10074733072513#/reservations/31692789424316?display=Geovanty%20Redeemer&amp;reservation_id=31692789424316&amp;guest_id=31692780085474", "Geovanty Redeemer")</f>
        <v>Geovanty Redeemer</v>
      </c>
      <c r="E4557" t="s">
        <v>7916</v>
      </c>
      <c r="F4557" t="s">
        <v>7844</v>
      </c>
      <c r="G4557">
        <v>118.15</v>
      </c>
      <c r="H4557">
        <v>128.41999999999999</v>
      </c>
      <c r="I4557">
        <v>128.43</v>
      </c>
      <c r="J4557">
        <v>-0.01</v>
      </c>
    </row>
    <row r="4558" spans="1:10" x14ac:dyDescent="0.3">
      <c r="A4558" t="str">
        <f>HYPERLINK("https://us2.cloudbeds.com/connect/10074733072513#/reservations/31692775411854?display=MHY3SNCUH&amp;reservation_id=31692775411854", "MHY3SNCUH")</f>
        <v>MHY3SNCUH</v>
      </c>
      <c r="B4558" t="s">
        <v>10</v>
      </c>
      <c r="C4558" t="s">
        <v>121</v>
      </c>
      <c r="D4558" t="str">
        <f>HYPERLINK("https://us2.cloudbeds.com/connect/10074733072513#/reservations/31692775411854?display=Wanda%20Hohn&amp;reservation_id=31692775411854&amp;guest_id=31692769939619", "Wanda Hohn")</f>
        <v>Wanda Hohn</v>
      </c>
      <c r="E4558" t="s">
        <v>1870</v>
      </c>
      <c r="F4558" t="s">
        <v>7838</v>
      </c>
      <c r="G4558">
        <v>196.2</v>
      </c>
      <c r="H4558">
        <v>213.26</v>
      </c>
      <c r="I4558">
        <v>213.27</v>
      </c>
      <c r="J4558">
        <v>-0.01</v>
      </c>
    </row>
    <row r="4559" spans="1:10" x14ac:dyDescent="0.3">
      <c r="A4559" t="str">
        <f>HYPERLINK("https://us2.cloudbeds.com/connect/10074733072513#/reservations/31692966727904?display=MHY8P11DJ&amp;reservation_id=31692966727904", "MHY8P11DJ")</f>
        <v>MHY8P11DJ</v>
      </c>
      <c r="B4559" t="s">
        <v>10</v>
      </c>
      <c r="C4559" t="s">
        <v>121</v>
      </c>
      <c r="D4559" t="str">
        <f>HYPERLINK("https://us2.cloudbeds.com/connect/10074733072513#/reservations/31692966727904?display=Ida%20Plate&amp;reservation_id=31692966727904&amp;guest_id=31692966723809", "Ida Plate")</f>
        <v>Ida Plate</v>
      </c>
      <c r="E4559" t="s">
        <v>7917</v>
      </c>
      <c r="F4559" t="s">
        <v>7735</v>
      </c>
      <c r="G4559">
        <v>196.2</v>
      </c>
      <c r="H4559">
        <v>213.26</v>
      </c>
      <c r="I4559">
        <v>213.27</v>
      </c>
      <c r="J4559">
        <v>-0.01</v>
      </c>
    </row>
    <row r="4560" spans="1:10" x14ac:dyDescent="0.3">
      <c r="A4560" t="str">
        <f>HYPERLINK("https://us2.cloudbeds.com/connect/10074733072513#/reservations/31692889342145?display=MHY6PPM3J&amp;reservation_id=31692889342145", "MHY6PPM3J")</f>
        <v>MHY6PPM3J</v>
      </c>
      <c r="B4560" t="s">
        <v>10</v>
      </c>
      <c r="C4560" t="s">
        <v>42</v>
      </c>
      <c r="D4560" t="str">
        <f>HYPERLINK("https://us2.cloudbeds.com/connect/10074733072513#/reservations/31692889342145?display=Rick%20Hurd&amp;reservation_id=31692889342145&amp;guest_id=31692879155348", "Rick Hurd")</f>
        <v>Rick Hurd</v>
      </c>
      <c r="E4560" t="s">
        <v>4521</v>
      </c>
      <c r="F4560" t="s">
        <v>7914</v>
      </c>
      <c r="G4560">
        <v>196.2</v>
      </c>
      <c r="H4560">
        <v>213.26</v>
      </c>
      <c r="I4560">
        <v>213.27</v>
      </c>
      <c r="J4560">
        <v>-0.01</v>
      </c>
    </row>
    <row r="4561" spans="1:10" x14ac:dyDescent="0.3">
      <c r="A4561" t="str">
        <f>HYPERLINK("https://us2.cloudbeds.com/connect/10074733072513#/reservations/31723421520016?display=MXBRVAHCR&amp;reservation_id=31723421520016", "MXBRVAHCR")</f>
        <v>MXBRVAHCR</v>
      </c>
      <c r="B4561" t="s">
        <v>10</v>
      </c>
      <c r="C4561" t="s">
        <v>42</v>
      </c>
      <c r="D4561" t="str">
        <f>HYPERLINK("https://us2.cloudbeds.com/connect/10074733072513#/reservations/31723421520016?display=Carol%20Swane&amp;reservation_id=31723421520016&amp;guest_id=17963759485124", "Carol Swane")</f>
        <v>Carol Swane</v>
      </c>
      <c r="E4561" t="s">
        <v>1834</v>
      </c>
      <c r="F4561" t="s">
        <v>7925</v>
      </c>
      <c r="G4561">
        <v>118.15</v>
      </c>
      <c r="H4561">
        <v>128.41999999999999</v>
      </c>
      <c r="I4561">
        <v>128.43</v>
      </c>
      <c r="J4561">
        <v>-0.01</v>
      </c>
    </row>
    <row r="4562" spans="1:10" x14ac:dyDescent="0.3">
      <c r="A4562" t="str">
        <f>HYPERLINK("https://us2.cloudbeds.com/connect/10074733072513#/reservations/31686642307255?display=MHGC53NK0&amp;reservation_id=31686642307255", "MHGC53NK0")</f>
        <v>MHGC53NK0</v>
      </c>
      <c r="B4562" t="s">
        <v>10</v>
      </c>
      <c r="C4562" t="s">
        <v>42</v>
      </c>
      <c r="D4562" t="str">
        <f>HYPERLINK("https://us2.cloudbeds.com/connect/10074733072513#/reservations/31686642307255?display=Rella%20Botha&amp;reservation_id=31686642307255&amp;guest_id=30671959457942", "Rella Botha")</f>
        <v>Rella Botha</v>
      </c>
      <c r="E4562" t="s">
        <v>3748</v>
      </c>
      <c r="F4562" t="s">
        <v>6570</v>
      </c>
      <c r="G4562">
        <v>196.2</v>
      </c>
      <c r="H4562">
        <v>213.26</v>
      </c>
      <c r="I4562">
        <v>213.27</v>
      </c>
      <c r="J4562">
        <v>-0.01</v>
      </c>
    </row>
    <row r="4563" spans="1:10" x14ac:dyDescent="0.3">
      <c r="A4563" t="str">
        <f>HYPERLINK("https://us2.cloudbeds.com/connect/10074733072513#/reservations/31689692750004?display=MHXZ3APQ2&amp;reservation_id=31689692750004", "MHXZ3APQ2")</f>
        <v>MHXZ3APQ2</v>
      </c>
      <c r="B4563" t="s">
        <v>10</v>
      </c>
      <c r="C4563" t="s">
        <v>11</v>
      </c>
      <c r="D4563" t="str">
        <f>HYPERLINK("https://us2.cloudbeds.com/connect/10074733072513#/reservations/31689692750004?display=William%20Lovell&amp;reservation_id=31689692750004&amp;guest_id=31689692749991", "William Lovell")</f>
        <v>William Lovell</v>
      </c>
      <c r="E4563" t="s">
        <v>7929</v>
      </c>
      <c r="F4563" t="s">
        <v>5553</v>
      </c>
      <c r="G4563">
        <v>87.2</v>
      </c>
      <c r="H4563">
        <v>94.78</v>
      </c>
      <c r="I4563">
        <v>94.79</v>
      </c>
      <c r="J4563">
        <v>-0.01</v>
      </c>
    </row>
    <row r="4564" spans="1:10" x14ac:dyDescent="0.3">
      <c r="A4564" t="str">
        <f>HYPERLINK("https://us2.cloudbeds.com/connect/10074733072513#/reservations/31693243363481?display=MHYFR9RXS&amp;reservation_id=31693243363481", "MHYFR9RXS")</f>
        <v>MHYFR9RXS</v>
      </c>
      <c r="B4564" t="s">
        <v>10</v>
      </c>
      <c r="C4564" t="s">
        <v>11</v>
      </c>
      <c r="D4564" t="str">
        <f>HYPERLINK("https://us2.cloudbeds.com/connect/10074733072513#/reservations/31693243363481?display=Rita%20Waldner&amp;reservation_id=31693243363481&amp;guest_id=31693243363476", "Rita Waldner")</f>
        <v>Rita Waldner</v>
      </c>
      <c r="E4564" t="s">
        <v>7932</v>
      </c>
      <c r="F4564" t="s">
        <v>7740</v>
      </c>
      <c r="G4564">
        <v>174.4</v>
      </c>
      <c r="H4564">
        <v>189.56</v>
      </c>
      <c r="I4564">
        <v>189.57</v>
      </c>
      <c r="J4564">
        <v>-0.01</v>
      </c>
    </row>
    <row r="4565" spans="1:10" x14ac:dyDescent="0.3">
      <c r="A4565" t="str">
        <f>HYPERLINK("https://us2.cloudbeds.com/connect/10074733072513#/reservations/31687317758202?display=MHGTDM4DH&amp;reservation_id=31687317758202", "MHGTDM4DH")</f>
        <v>MHGTDM4DH</v>
      </c>
      <c r="B4565" t="s">
        <v>10</v>
      </c>
      <c r="C4565" t="s">
        <v>42</v>
      </c>
      <c r="D4565" t="str">
        <f>HYPERLINK("https://us2.cloudbeds.com/connect/10074733072513#/reservations/31687317758202?display=Vicent%20Palmer&amp;reservation_id=31687317758202&amp;guest_id=31687317758198", "Vicent Palmer")</f>
        <v>Vicent Palmer</v>
      </c>
      <c r="E4565" t="s">
        <v>7934</v>
      </c>
      <c r="F4565" t="s">
        <v>5553</v>
      </c>
      <c r="G4565">
        <v>87.2</v>
      </c>
      <c r="H4565">
        <v>94.78</v>
      </c>
      <c r="I4565">
        <v>94.79</v>
      </c>
      <c r="J4565">
        <v>-0.01</v>
      </c>
    </row>
    <row r="4566" spans="1:10" x14ac:dyDescent="0.3">
      <c r="A4566" t="str">
        <f>HYPERLINK("https://us2.cloudbeds.com/connect/10074733072513#/reservations/31686592110781?display=MHGASPUGZ&amp;reservation_id=31686592110781", "MHGASPUGZ")</f>
        <v>MHGASPUGZ</v>
      </c>
      <c r="B4566" t="s">
        <v>10</v>
      </c>
      <c r="C4566" t="s">
        <v>42</v>
      </c>
      <c r="D4566" t="str">
        <f>HYPERLINK("https://us2.cloudbeds.com/connect/10074733072513#/reservations/31686592110781?display=Joshua%20Smith&amp;reservation_id=31686592110781&amp;guest_id=31686592110779", "Joshua Smith")</f>
        <v>Joshua Smith</v>
      </c>
      <c r="E4566" t="s">
        <v>7936</v>
      </c>
      <c r="F4566" t="s">
        <v>6570</v>
      </c>
      <c r="G4566">
        <v>170.1</v>
      </c>
      <c r="H4566">
        <v>184.89</v>
      </c>
      <c r="I4566">
        <v>184.9</v>
      </c>
      <c r="J4566">
        <v>-0.01</v>
      </c>
    </row>
    <row r="4567" spans="1:10" x14ac:dyDescent="0.3">
      <c r="A4567" t="str">
        <f>HYPERLINK("https://us2.cloudbeds.com/connect/10074733072513#/reservations/31686135197894?display=MHFW6GYEM&amp;reservation_id=31686135197894", "MHFW6GYEM")</f>
        <v>MHFW6GYEM</v>
      </c>
      <c r="B4567" t="s">
        <v>10</v>
      </c>
      <c r="C4567" t="s">
        <v>14</v>
      </c>
      <c r="D4567" t="str">
        <f>HYPERLINK("https://us2.cloudbeds.com/connect/10074733072513#/reservations/31686135197894?display=Char%20Oltmanns&amp;reservation_id=31686135197894&amp;guest_id=31686135197889", "Char Oltmanns")</f>
        <v>Char Oltmanns</v>
      </c>
      <c r="E4567" t="s">
        <v>7939</v>
      </c>
      <c r="F4567" t="s">
        <v>7727</v>
      </c>
      <c r="G4567">
        <v>144.32</v>
      </c>
      <c r="H4567">
        <v>156.87</v>
      </c>
      <c r="I4567">
        <v>156.88</v>
      </c>
      <c r="J4567">
        <v>-0.01</v>
      </c>
    </row>
    <row r="4568" spans="1:10" x14ac:dyDescent="0.3">
      <c r="A4568" t="str">
        <f>HYPERLINK("https://us2.cloudbeds.com/connect/10074733072513#/reservations/31689744625819?display=MHXPE29WF&amp;reservation_id=31689744625819", "MHXPE29WF")</f>
        <v>MHXPE29WF</v>
      </c>
      <c r="B4568" t="s">
        <v>10</v>
      </c>
      <c r="C4568" t="s">
        <v>121</v>
      </c>
      <c r="D4568" t="str">
        <f>HYPERLINK("https://us2.cloudbeds.com/connect/10074733072513#/reservations/31689744625819?display=Krystle%20Leclaire&amp;reservation_id=31689744625819&amp;guest_id=31673887133833", "Krystle Leclaire")</f>
        <v>Krystle Leclaire</v>
      </c>
      <c r="E4568" t="s">
        <v>7953</v>
      </c>
      <c r="F4568" t="s">
        <v>7740</v>
      </c>
      <c r="G4568">
        <v>134.1</v>
      </c>
      <c r="H4568">
        <v>145.76</v>
      </c>
      <c r="I4568">
        <v>145.77000000000001</v>
      </c>
      <c r="J4568">
        <v>-0.01</v>
      </c>
    </row>
    <row r="4569" spans="1:10" x14ac:dyDescent="0.3">
      <c r="A4569" t="str">
        <f>HYPERLINK("https://us2.cloudbeds.com/connect/10074733072513#/reservations/31688619536546?display=MHHTMC154&amp;reservation_id=31688619536546", "MHHTMC154")</f>
        <v>MHHTMC154</v>
      </c>
      <c r="B4569" t="s">
        <v>10</v>
      </c>
      <c r="C4569" t="s">
        <v>11</v>
      </c>
      <c r="D4569" t="str">
        <f>HYPERLINK("https://us2.cloudbeds.com/connect/10074733072513#/reservations/31688619536546?display=Jamie%20Gillund&amp;reservation_id=31688619536546&amp;guest_id=31688619536529", "Jamie Gillund")</f>
        <v>Jamie Gillund</v>
      </c>
      <c r="E4569" t="s">
        <v>7955</v>
      </c>
      <c r="F4569" t="s">
        <v>7727</v>
      </c>
      <c r="G4569">
        <v>117.42</v>
      </c>
      <c r="H4569">
        <v>127.63</v>
      </c>
      <c r="I4569">
        <v>127.64</v>
      </c>
      <c r="J4569">
        <v>-0.01</v>
      </c>
    </row>
    <row r="4570" spans="1:10" x14ac:dyDescent="0.3">
      <c r="A4570" t="str">
        <f>HYPERLINK("https://us2.cloudbeds.com/connect/10074733072513#/reservations/31686281674883?display=MHG2V0JD9&amp;reservation_id=31686281674883", "MHG2V0JD9")</f>
        <v>MHG2V0JD9</v>
      </c>
      <c r="B4570" t="s">
        <v>10</v>
      </c>
      <c r="C4570" t="s">
        <v>11</v>
      </c>
      <c r="D4570" t="str">
        <f>HYPERLINK("https://us2.cloudbeds.com/connect/10074733072513#/reservations/31686281674883?display=Melissa%20Koch&amp;reservation_id=31686281674883&amp;guest_id=31686281670789", "Melissa Koch")</f>
        <v>Melissa Koch</v>
      </c>
      <c r="E4570" t="s">
        <v>7956</v>
      </c>
      <c r="F4570" t="s">
        <v>7727</v>
      </c>
      <c r="G4570">
        <v>117.42</v>
      </c>
      <c r="H4570">
        <v>127.63</v>
      </c>
      <c r="I4570">
        <v>127.64</v>
      </c>
      <c r="J4570">
        <v>-0.01</v>
      </c>
    </row>
    <row r="4571" spans="1:10" x14ac:dyDescent="0.3">
      <c r="A4571" t="str">
        <f>HYPERLINK("https://us2.cloudbeds.com/connect/10074733072513#/reservations/31688611729612?display=MHHTFPQ8C&amp;reservation_id=31688611729612", "MHHTFPQ8C")</f>
        <v>MHHTFPQ8C</v>
      </c>
      <c r="B4571" t="s">
        <v>10</v>
      </c>
      <c r="C4571" t="s">
        <v>11</v>
      </c>
      <c r="D4571" t="str">
        <f>HYPERLINK("https://us2.cloudbeds.com/connect/10074733072513#/reservations/31688611729612?display=Jamie%20Gillund&amp;reservation_id=31688611729612&amp;guest_id=31688611725518", "Jamie Gillund")</f>
        <v>Jamie Gillund</v>
      </c>
      <c r="E4571" t="s">
        <v>7957</v>
      </c>
      <c r="F4571" t="s">
        <v>7727</v>
      </c>
      <c r="G4571">
        <v>117.42</v>
      </c>
      <c r="H4571">
        <v>127.63</v>
      </c>
      <c r="I4571">
        <v>127.64</v>
      </c>
      <c r="J4571">
        <v>-0.01</v>
      </c>
    </row>
    <row r="4572" spans="1:10" x14ac:dyDescent="0.3">
      <c r="A4572" t="str">
        <f>HYPERLINK("https://us2.cloudbeds.com/connect/10074733072513#/reservations/31688558715129?display=MHHS42JET&amp;reservation_id=31688558715129", "MHHS42JET")</f>
        <v>MHHS42JET</v>
      </c>
      <c r="B4572" t="s">
        <v>10</v>
      </c>
      <c r="C4572" t="s">
        <v>11</v>
      </c>
      <c r="D4572" t="str">
        <f>HYPERLINK("https://us2.cloudbeds.com/connect/10074733072513#/reservations/31688558715129?display=Carrie%20Reider&amp;reservation_id=31688558715129&amp;guest_id=31688549630114", "Carrie Reider")</f>
        <v>Carrie Reider</v>
      </c>
      <c r="E4572" t="s">
        <v>7958</v>
      </c>
      <c r="F4572" t="s">
        <v>6570</v>
      </c>
      <c r="G4572">
        <v>117.42</v>
      </c>
      <c r="H4572">
        <v>127.63</v>
      </c>
      <c r="I4572">
        <v>127.64</v>
      </c>
      <c r="J4572">
        <v>-0.01</v>
      </c>
    </row>
    <row r="4573" spans="1:10" x14ac:dyDescent="0.3">
      <c r="A4573" t="str">
        <f>HYPERLINK("https://us2.cloudbeds.com/connect/10074733072513#/reservations/31686164836588?display=MHFWVGCSU&amp;reservation_id=31686164836588", "MHFWVGCSU")</f>
        <v>MHFWVGCSU</v>
      </c>
      <c r="B4573" t="s">
        <v>10</v>
      </c>
      <c r="C4573" t="s">
        <v>23</v>
      </c>
      <c r="D4573" t="str">
        <f>HYPERLINK("https://us2.cloudbeds.com/connect/10074733072513#/reservations/31686164836588?display=Ruby%20Zuraff&amp;reservation_id=31686164836588&amp;guest_id=31686155419808", "Ruby Zuraff")</f>
        <v>Ruby Zuraff</v>
      </c>
      <c r="E4573" t="s">
        <v>7961</v>
      </c>
      <c r="F4573" t="s">
        <v>7927</v>
      </c>
      <c r="G4573">
        <v>134.1</v>
      </c>
      <c r="H4573">
        <v>145.76</v>
      </c>
      <c r="I4573">
        <v>145.77000000000001</v>
      </c>
      <c r="J4573">
        <v>-0.01</v>
      </c>
    </row>
    <row r="4574" spans="1:10" x14ac:dyDescent="0.3">
      <c r="A4574" t="str">
        <f>HYPERLINK("https://us2.cloudbeds.com/connect/10074733072513#/reservations/31694103793860?display=MHM4QRJ3N&amp;reservation_id=31694103793860", "MHM4QRJ3N")</f>
        <v>MHM4QRJ3N</v>
      </c>
      <c r="B4574" t="s">
        <v>10</v>
      </c>
      <c r="C4574" t="s">
        <v>42</v>
      </c>
      <c r="D4574" t="str">
        <f>HYPERLINK("https://us2.cloudbeds.com/connect/10074733072513#/reservations/31694103793860?display=Richard%20Honke&amp;reservation_id=31694103793860&amp;guest_id=31694103793858", "Richard Honke")</f>
        <v>Richard Honke</v>
      </c>
      <c r="E4574" t="s">
        <v>7967</v>
      </c>
      <c r="F4574" t="s">
        <v>7968</v>
      </c>
      <c r="G4574">
        <v>178</v>
      </c>
      <c r="H4574">
        <v>193.48</v>
      </c>
      <c r="I4574">
        <v>193.49</v>
      </c>
      <c r="J4574">
        <v>-0.01</v>
      </c>
    </row>
    <row r="4575" spans="1:10" x14ac:dyDescent="0.3">
      <c r="A4575" t="str">
        <f>HYPERLINK("https://us2.cloudbeds.com/connect/10074733072513#/reservations/31686217109703?display=MHG19XVTN&amp;reservation_id=31686217109703", "MHG19XVTN")</f>
        <v>MHG19XVTN</v>
      </c>
      <c r="B4575" t="s">
        <v>10</v>
      </c>
      <c r="C4575" t="s">
        <v>121</v>
      </c>
      <c r="D4575" t="str">
        <f>HYPERLINK("https://us2.cloudbeds.com/connect/10074733072513#/reservations/31686217109703?display=Justin%20Bladow&amp;reservation_id=31686217109703&amp;guest_id=30676560072959", "Justin Bladow")</f>
        <v>Justin Bladow</v>
      </c>
      <c r="E4575" t="s">
        <v>7971</v>
      </c>
      <c r="F4575" t="s">
        <v>7927</v>
      </c>
      <c r="G4575">
        <v>196.2</v>
      </c>
      <c r="H4575">
        <v>213.26</v>
      </c>
      <c r="I4575">
        <v>213.27</v>
      </c>
      <c r="J4575">
        <v>-0.01</v>
      </c>
    </row>
    <row r="4576" spans="1:10" x14ac:dyDescent="0.3">
      <c r="A4576" t="str">
        <f>HYPERLINK("https://us2.cloudbeds.com/connect/10074733072513#/reservations/31689559449771?display=MHXKMUGN2&amp;reservation_id=31689559449771", "MHXKMUGN2")</f>
        <v>MHXKMUGN2</v>
      </c>
      <c r="B4576" t="s">
        <v>10</v>
      </c>
      <c r="C4576" t="s">
        <v>42</v>
      </c>
      <c r="D4576" t="str">
        <f>HYPERLINK("https://us2.cloudbeds.com/connect/10074733072513#/reservations/31689559449771?display=Tom%20Glanzer&amp;reservation_id=31689559449771&amp;guest_id=31689559449766", "Tom Glanzer")</f>
        <v>Tom Glanzer</v>
      </c>
      <c r="E4576" t="s">
        <v>7972</v>
      </c>
      <c r="F4576" t="s">
        <v>7802</v>
      </c>
      <c r="G4576">
        <v>134.1</v>
      </c>
      <c r="H4576">
        <v>145.76</v>
      </c>
      <c r="I4576">
        <v>145.77000000000001</v>
      </c>
      <c r="J4576">
        <v>-0.01</v>
      </c>
    </row>
    <row r="4577" spans="1:10" x14ac:dyDescent="0.3">
      <c r="A4577" t="str">
        <f>HYPERLINK("https://us2.cloudbeds.com/connect/10074733072513#/reservations/31694079828222?display=MHM46KN38&amp;reservation_id=31694079828222", "MHM46KN38")</f>
        <v>MHM46KN38</v>
      </c>
      <c r="B4577" t="s">
        <v>10</v>
      </c>
      <c r="C4577" t="s">
        <v>42</v>
      </c>
      <c r="D4577" t="str">
        <f>HYPERLINK("https://us2.cloudbeds.com/connect/10074733072513#/reservations/31694079828222?display=Joe%20Hartzell&amp;reservation_id=31694079828222&amp;guest_id=31694079828161", "Joe Hartzell")</f>
        <v>Joe Hartzell</v>
      </c>
      <c r="E4577" t="s">
        <v>7975</v>
      </c>
      <c r="F4577" t="s">
        <v>7968</v>
      </c>
      <c r="G4577">
        <v>294.95</v>
      </c>
      <c r="H4577">
        <v>320.60000000000002</v>
      </c>
      <c r="I4577">
        <v>320.61</v>
      </c>
      <c r="J4577">
        <v>-0.01</v>
      </c>
    </row>
    <row r="4578" spans="1:10" x14ac:dyDescent="0.3">
      <c r="A4578" t="str">
        <f>HYPERLINK("https://us2.cloudbeds.com/connect/10074733072513#/reservations/31693452116102?display=MHYY5AMJS&amp;reservation_id=31693452116102", "MHYY5AMJS")</f>
        <v>MHYY5AMJS</v>
      </c>
      <c r="B4578" t="s">
        <v>10</v>
      </c>
      <c r="C4578" t="s">
        <v>42</v>
      </c>
      <c r="D4578" t="str">
        <f>HYPERLINK("https://us2.cloudbeds.com/connect/10074733072513#/reservations/31693452116102?display=Bryan%20Thomas&amp;reservation_id=31693452116102&amp;guest_id=31683386163375", "Bryan Thomas")</f>
        <v>Bryan Thomas</v>
      </c>
      <c r="E4578" t="s">
        <v>4065</v>
      </c>
      <c r="F4578" t="s">
        <v>7862</v>
      </c>
      <c r="G4578">
        <v>294.3</v>
      </c>
      <c r="H4578">
        <v>319.89</v>
      </c>
      <c r="I4578">
        <v>319.89999999999998</v>
      </c>
      <c r="J4578">
        <v>-0.01</v>
      </c>
    </row>
    <row r="4579" spans="1:10" x14ac:dyDescent="0.3">
      <c r="A4579" t="str">
        <f>HYPERLINK("https://us2.cloudbeds.com/connect/10074733072513#/reservations/31686669910160?display=MHGCSCQKM&amp;reservation_id=31686669910160", "MHGCSCQKM")</f>
        <v>MHGCSCQKM</v>
      </c>
      <c r="B4579" t="s">
        <v>10</v>
      </c>
      <c r="C4579" t="s">
        <v>42</v>
      </c>
      <c r="D4579" t="str">
        <f>HYPERLINK("https://us2.cloudbeds.com/connect/10074733072513#/reservations/31686669910160?display=John%20Travnicek&amp;reservation_id=31686669910160&amp;guest_id=31686669906079", "John Travnicek")</f>
        <v>John Travnicek</v>
      </c>
      <c r="E4579" t="s">
        <v>7978</v>
      </c>
      <c r="F4579" t="s">
        <v>7974</v>
      </c>
      <c r="G4579">
        <v>87.2</v>
      </c>
      <c r="H4579">
        <v>94.78</v>
      </c>
      <c r="I4579">
        <v>94.79</v>
      </c>
      <c r="J4579">
        <v>-0.01</v>
      </c>
    </row>
    <row r="4580" spans="1:10" x14ac:dyDescent="0.3">
      <c r="A4580" t="str">
        <f>HYPERLINK("https://us2.cloudbeds.com/connect/10074733072513#/reservations/31689624719566?display=MHXMBVZ7Y&amp;reservation_id=31689624719566", "MHXMBVZ7Y")</f>
        <v>MHXMBVZ7Y</v>
      </c>
      <c r="B4580" t="s">
        <v>10</v>
      </c>
      <c r="C4580" t="s">
        <v>17</v>
      </c>
      <c r="D4580" t="str">
        <f>HYPERLINK("https://us2.cloudbeds.com/connect/10074733072513#/reservations/31689624719566?display=Herb%20Hoard&amp;reservation_id=31689624719566&amp;guest_id=31689624715471", "Herb Hoard")</f>
        <v>Herb Hoard</v>
      </c>
      <c r="E4580" t="s">
        <v>7989</v>
      </c>
      <c r="F4580" t="s">
        <v>7807</v>
      </c>
      <c r="G4580">
        <v>500.4</v>
      </c>
      <c r="H4580">
        <v>543.91999999999996</v>
      </c>
      <c r="I4580">
        <v>543.92999999999995</v>
      </c>
      <c r="J4580">
        <v>-0.01</v>
      </c>
    </row>
    <row r="4581" spans="1:10" x14ac:dyDescent="0.3">
      <c r="A4581" t="str">
        <f>HYPERLINK("https://us2.cloudbeds.com/connect/10074733072513#/reservations/31693425651913?display=MHYKG097Z&amp;reservation_id=31693425651913", "MHYKG097Z")</f>
        <v>MHYKG097Z</v>
      </c>
      <c r="B4581" t="s">
        <v>10</v>
      </c>
      <c r="C4581" t="s">
        <v>42</v>
      </c>
      <c r="D4581" t="str">
        <f>HYPERLINK("https://us2.cloudbeds.com/connect/10074733072513#/reservations/31693425651913?display=Brent%20Vonk&amp;reservation_id=31693425651913&amp;guest_id=31693425651910", "Brent Vonk")</f>
        <v>Brent Vonk</v>
      </c>
      <c r="E4581" t="s">
        <v>7999</v>
      </c>
      <c r="F4581" t="s">
        <v>7862</v>
      </c>
      <c r="G4581">
        <v>87.2</v>
      </c>
      <c r="H4581">
        <v>94.78</v>
      </c>
      <c r="I4581">
        <v>94.79</v>
      </c>
      <c r="J4581">
        <v>-0.01</v>
      </c>
    </row>
    <row r="4582" spans="1:10" x14ac:dyDescent="0.3">
      <c r="A4582" t="str">
        <f>HYPERLINK("https://us2.cloudbeds.com/connect/10074733072513#/reservations/31696037028086?display=MHNY6WM51&amp;reservation_id=31696037028086", "MHNY6WM51")</f>
        <v>MHNY6WM51</v>
      </c>
      <c r="B4582" t="s">
        <v>10</v>
      </c>
      <c r="C4582" t="s">
        <v>42</v>
      </c>
      <c r="D4582" t="str">
        <f>HYPERLINK("https://us2.cloudbeds.com/connect/10074733072513#/reservations/31696037028086?display=Kimberly%20Kint&amp;reservation_id=31696037028086&amp;guest_id=31696019337376", "Kimberly Kint")</f>
        <v>Kimberly Kint</v>
      </c>
      <c r="E4582" t="s">
        <v>8000</v>
      </c>
      <c r="F4582" t="s">
        <v>6746</v>
      </c>
      <c r="G4582">
        <v>366.4</v>
      </c>
      <c r="H4582">
        <v>398.27</v>
      </c>
      <c r="I4582">
        <v>398.28</v>
      </c>
      <c r="J4582">
        <v>-0.01</v>
      </c>
    </row>
    <row r="4583" spans="1:10" x14ac:dyDescent="0.3">
      <c r="A4583" t="str">
        <f>HYPERLINK("https://us2.cloudbeds.com/connect/10074733072513#/reservations/31693310578889?display=MHYHHW6ND&amp;reservation_id=31693310578889", "MHYHHW6ND")</f>
        <v>MHYHHW6ND</v>
      </c>
      <c r="B4583" t="s">
        <v>10</v>
      </c>
      <c r="C4583" t="s">
        <v>14</v>
      </c>
      <c r="D4583" t="str">
        <f>HYPERLINK("https://us2.cloudbeds.com/connect/10074733072513#/reservations/31693310578889?display=April%20Krumvieda&amp;reservation_id=31693310578889&amp;guest_id=31693310578887", "April Krumvieda")</f>
        <v>April Krumvieda</v>
      </c>
      <c r="E4583" t="s">
        <v>8001</v>
      </c>
      <c r="F4583" t="s">
        <v>7530</v>
      </c>
      <c r="G4583">
        <v>127.2</v>
      </c>
      <c r="H4583">
        <v>138.26</v>
      </c>
      <c r="I4583">
        <v>138.27000000000001</v>
      </c>
      <c r="J4583">
        <v>-0.01</v>
      </c>
    </row>
    <row r="4584" spans="1:10" x14ac:dyDescent="0.3">
      <c r="A4584" t="str">
        <f>HYPERLINK("https://us2.cloudbeds.com/connect/10074733072513#/reservations/31694060245129?display=MHM3N3PF6&amp;reservation_id=31694060245129", "MHM3N3PF6")</f>
        <v>MHM3N3PF6</v>
      </c>
      <c r="B4584" t="s">
        <v>10</v>
      </c>
      <c r="C4584" t="s">
        <v>121</v>
      </c>
      <c r="D4584" t="str">
        <f>HYPERLINK("https://us2.cloudbeds.com/connect/10074733072513#/reservations/31694060245129?display=Marilyn%20Youmans&amp;reservation_id=31694060245129&amp;guest_id=31694043726054", "Marilyn Youmans")</f>
        <v>Marilyn Youmans</v>
      </c>
      <c r="E4584" t="s">
        <v>8002</v>
      </c>
      <c r="F4584" t="s">
        <v>7968</v>
      </c>
      <c r="G4584">
        <v>196.2</v>
      </c>
      <c r="H4584">
        <v>213.26</v>
      </c>
      <c r="I4584">
        <v>213.27</v>
      </c>
      <c r="J4584">
        <v>-0.01</v>
      </c>
    </row>
    <row r="4585" spans="1:10" x14ac:dyDescent="0.3">
      <c r="A4585" t="str">
        <f>HYPERLINK("https://us2.cloudbeds.com/connect/10074733072513#/reservations/31693512724699?display=MHYMNE6T0&amp;reservation_id=31693512724699", "MHYMNE6T0")</f>
        <v>MHYMNE6T0</v>
      </c>
      <c r="B4585" t="s">
        <v>10</v>
      </c>
      <c r="C4585" t="s">
        <v>121</v>
      </c>
      <c r="D4585" t="str">
        <f>HYPERLINK("https://us2.cloudbeds.com/connect/10074733072513#/reservations/31693512724699?display=Dennis%20Weber&amp;reservation_id=31693512724699&amp;guest_id=31693512724695", "Dennis Weber")</f>
        <v>Dennis Weber</v>
      </c>
      <c r="E4585" t="s">
        <v>8014</v>
      </c>
      <c r="F4585" t="s">
        <v>7748</v>
      </c>
      <c r="G4585">
        <v>196.2</v>
      </c>
      <c r="H4585">
        <v>213.26</v>
      </c>
      <c r="I4585">
        <v>213.27</v>
      </c>
      <c r="J4585">
        <v>-0.01</v>
      </c>
    </row>
    <row r="4586" spans="1:10" x14ac:dyDescent="0.3">
      <c r="A4586" t="str">
        <f>HYPERLINK("https://us2.cloudbeds.com/connect/10074733072513#/reservations/31689113772164?display=MHX9A3SN1&amp;reservation_id=31689113772164", "MHX9A3SN1")</f>
        <v>MHX9A3SN1</v>
      </c>
      <c r="B4586" t="s">
        <v>10</v>
      </c>
      <c r="C4586" t="s">
        <v>42</v>
      </c>
      <c r="D4586" t="str">
        <f>HYPERLINK("https://us2.cloudbeds.com/connect/10074733072513#/reservations/31689113772164?display=Robert%20Bernhardt&amp;reservation_id=31689113772164&amp;guest_id=31689103962339", "Robert Bernhardt")</f>
        <v>Robert Bernhardt</v>
      </c>
      <c r="E4586" t="s">
        <v>4410</v>
      </c>
      <c r="F4586" t="s">
        <v>7759</v>
      </c>
      <c r="G4586">
        <v>174.4</v>
      </c>
      <c r="H4586">
        <v>189.56</v>
      </c>
      <c r="I4586">
        <v>189.57</v>
      </c>
      <c r="J4586">
        <v>-0.01</v>
      </c>
    </row>
    <row r="4587" spans="1:10" x14ac:dyDescent="0.3">
      <c r="A4587" t="str">
        <f>HYPERLINK("https://us2.cloudbeds.com/connect/10074733072513#/reservations/31689816518891?display=MHXR8MRGD&amp;reservation_id=31689816518891", "MHXR8MRGD")</f>
        <v>MHXR8MRGD</v>
      </c>
      <c r="B4587" t="s">
        <v>10</v>
      </c>
      <c r="C4587" t="s">
        <v>11</v>
      </c>
      <c r="D4587" t="str">
        <f>HYPERLINK("https://us2.cloudbeds.com/connect/10074733072513#/reservations/31689816518891?display=Megan%20Shippy&amp;reservation_id=31689816518891&amp;guest_id=31689808871572", "Megan Shippy")</f>
        <v>Megan Shippy</v>
      </c>
      <c r="E4587" t="s">
        <v>8021</v>
      </c>
      <c r="F4587" t="s">
        <v>8012</v>
      </c>
      <c r="G4587">
        <v>87.2</v>
      </c>
      <c r="H4587">
        <v>94.78</v>
      </c>
      <c r="I4587">
        <v>94.79</v>
      </c>
      <c r="J4587">
        <v>-0.01</v>
      </c>
    </row>
    <row r="4588" spans="1:10" x14ac:dyDescent="0.3">
      <c r="A4588" t="str">
        <f>HYPERLINK("https://us2.cloudbeds.com/connect/10074733072513#/reservations/31687179702511?display=MHGPT8HGZ&amp;reservation_id=31687179702511", "MHGPT8HGZ")</f>
        <v>MHGPT8HGZ</v>
      </c>
      <c r="B4588" t="s">
        <v>10</v>
      </c>
      <c r="C4588" t="s">
        <v>42</v>
      </c>
      <c r="D4588" t="str">
        <f>HYPERLINK("https://us2.cloudbeds.com/connect/10074733072513#/reservations/31687179702511?display=Todd%20Trauman&amp;reservation_id=31687179702511&amp;guest_id=31687170388116", "Todd Trauman")</f>
        <v>Todd Trauman</v>
      </c>
      <c r="E4588" t="s">
        <v>8023</v>
      </c>
      <c r="F4588" t="s">
        <v>7802</v>
      </c>
      <c r="G4588">
        <v>482.4</v>
      </c>
      <c r="H4588">
        <v>524.36</v>
      </c>
      <c r="I4588">
        <v>524.37</v>
      </c>
      <c r="J4588">
        <v>-0.01</v>
      </c>
    </row>
    <row r="4589" spans="1:10" x14ac:dyDescent="0.3">
      <c r="A4589" t="str">
        <f>HYPERLINK("https://us2.cloudbeds.com/connect/10074733072513#/reservations/31688137224325?display=MHHHBYWX9&amp;reservation_id=31688137224325", "MHHHBYWX9")</f>
        <v>MHHHBYWX9</v>
      </c>
      <c r="B4589" t="s">
        <v>10</v>
      </c>
      <c r="C4589" t="s">
        <v>42</v>
      </c>
      <c r="D4589" t="str">
        <f>HYPERLINK("https://us2.cloudbeds.com/connect/10074733072513#/reservations/31688137224325?display=Connie%20Shippy&amp;reservation_id=31688137224325&amp;guest_id=31688125575402", "Connie Shippy")</f>
        <v>Connie Shippy</v>
      </c>
      <c r="E4589" t="s">
        <v>8025</v>
      </c>
      <c r="F4589" t="s">
        <v>8012</v>
      </c>
      <c r="G4589">
        <v>210.8</v>
      </c>
      <c r="H4589">
        <v>229.13</v>
      </c>
      <c r="I4589">
        <v>229.14</v>
      </c>
      <c r="J4589">
        <v>-0.01</v>
      </c>
    </row>
    <row r="4590" spans="1:10" x14ac:dyDescent="0.3">
      <c r="A4590" t="str">
        <f>HYPERLINK("https://us2.cloudbeds.com/connect/10074733072513#/reservations/31688110944452?display=MHHGMGNEG&amp;reservation_id=31688110944452", "MHHGMGNEG")</f>
        <v>MHHGMGNEG</v>
      </c>
      <c r="B4590" t="s">
        <v>10</v>
      </c>
      <c r="C4590" t="s">
        <v>11</v>
      </c>
      <c r="D4590" t="str">
        <f>HYPERLINK("https://us2.cloudbeds.com/connect/10074733072513#/reservations/31688110944452?display=Cathy%20Blindauer&amp;reservation_id=31688110944452&amp;guest_id=31688098324649", "Cathy Blindauer")</f>
        <v>Cathy Blindauer</v>
      </c>
      <c r="E4590" t="s">
        <v>8032</v>
      </c>
      <c r="F4590" t="s">
        <v>8012</v>
      </c>
      <c r="G4590">
        <v>103.2</v>
      </c>
      <c r="H4590">
        <v>112.17</v>
      </c>
      <c r="I4590">
        <v>112.18</v>
      </c>
      <c r="J4590">
        <v>-0.01</v>
      </c>
    </row>
    <row r="4591" spans="1:10" x14ac:dyDescent="0.3">
      <c r="A4591" t="str">
        <f>HYPERLINK("https://us2.cloudbeds.com/connect/10074733072513#/reservations/31731208671457?display=MXHSUYGAU&amp;reservation_id=31731208671457", "MXHSUYGAU")</f>
        <v>MXHSUYGAU</v>
      </c>
      <c r="B4591" t="s">
        <v>10</v>
      </c>
      <c r="C4591" t="s">
        <v>20</v>
      </c>
      <c r="D4591" t="str">
        <f>HYPERLINK("https://us2.cloudbeds.com/connect/10074733072513#/reservations/31731208671457?display=Samantha%20Cerny&amp;reservation_id=31731208671457&amp;guest_id=31731208671454", "Samantha Cerny")</f>
        <v>Samantha Cerny</v>
      </c>
      <c r="E4591" t="s">
        <v>8044</v>
      </c>
      <c r="F4591" t="s">
        <v>8045</v>
      </c>
      <c r="G4591">
        <v>376.2</v>
      </c>
      <c r="H4591">
        <v>408.92</v>
      </c>
      <c r="I4591">
        <v>408.93</v>
      </c>
      <c r="J4591">
        <v>-0.01</v>
      </c>
    </row>
    <row r="4592" spans="1:10" x14ac:dyDescent="0.3">
      <c r="A4592" t="str">
        <f>HYPERLINK("https://us2.cloudbeds.com/connect/10074733072513#/reservations/31689039851662?display=MHX7DPUER&amp;reservation_id=31689039851662", "MHX7DPUER")</f>
        <v>MHX7DPUER</v>
      </c>
      <c r="B4592" t="s">
        <v>10</v>
      </c>
      <c r="C4592" t="s">
        <v>121</v>
      </c>
      <c r="D4592" t="str">
        <f>HYPERLINK("https://us2.cloudbeds.com/connect/10074733072513#/reservations/31689039851662?display=Gary%20Lee%20Jones&amp;reservation_id=31689039851662&amp;guest_id=31689039847580", "Gary Lee Jones")</f>
        <v>Gary Lee Jones</v>
      </c>
      <c r="E4592" t="s">
        <v>8052</v>
      </c>
      <c r="F4592" t="s">
        <v>8012</v>
      </c>
      <c r="G4592">
        <v>294.3</v>
      </c>
      <c r="H4592">
        <v>319.89</v>
      </c>
      <c r="I4592">
        <v>319.89999999999998</v>
      </c>
      <c r="J4592">
        <v>-0.01</v>
      </c>
    </row>
    <row r="4593" spans="1:10" x14ac:dyDescent="0.3">
      <c r="A4593" t="str">
        <f>HYPERLINK("https://us2.cloudbeds.com/connect/10074733072513#/reservations/31689514037473?display=MHXJHKRPR&amp;reservation_id=31689514037473", "MHXJHKRPR")</f>
        <v>MHXJHKRPR</v>
      </c>
      <c r="B4593" t="s">
        <v>10</v>
      </c>
      <c r="C4593" t="s">
        <v>20</v>
      </c>
      <c r="D4593" t="str">
        <f>HYPERLINK("https://us2.cloudbeds.com/connect/10074733072513#/reservations/31689514037473?display=Kelsey%20Labat&amp;reservation_id=31689514037473&amp;guest_id=31689514037468", "Kelsey Labat")</f>
        <v>Kelsey Labat</v>
      </c>
      <c r="E4593" t="s">
        <v>8067</v>
      </c>
      <c r="F4593" t="s">
        <v>7802</v>
      </c>
      <c r="G4593">
        <v>304.2</v>
      </c>
      <c r="H4593">
        <v>330.66</v>
      </c>
      <c r="I4593">
        <v>330.67</v>
      </c>
      <c r="J4593">
        <v>-0.01</v>
      </c>
    </row>
    <row r="4594" spans="1:10" x14ac:dyDescent="0.3">
      <c r="A4594" t="str">
        <f>HYPERLINK("https://us2.cloudbeds.com/connect/10074733072513#/reservations/31687146287232?display=MHGZRSYZG&amp;reservation_id=31687146287232", "MHGZRSYZG")</f>
        <v>MHGZRSYZG</v>
      </c>
      <c r="B4594" t="s">
        <v>10</v>
      </c>
      <c r="C4594" t="s">
        <v>42</v>
      </c>
      <c r="D4594" t="str">
        <f>HYPERLINK("https://us2.cloudbeds.com/connect/10074733072513#/reservations/31687146287232?display=Nicholas%20Bruch&amp;reservation_id=31687146287232&amp;guest_id=31687138914531", "Nicholas Bruch")</f>
        <v>Nicholas Bruch</v>
      </c>
      <c r="E4594" t="s">
        <v>8072</v>
      </c>
      <c r="F4594" t="s">
        <v>7802</v>
      </c>
      <c r="G4594">
        <v>250.2</v>
      </c>
      <c r="H4594">
        <v>271.95999999999998</v>
      </c>
      <c r="I4594">
        <v>271.97000000000003</v>
      </c>
      <c r="J4594">
        <v>-0.01</v>
      </c>
    </row>
    <row r="4595" spans="1:10" x14ac:dyDescent="0.3">
      <c r="A4595" t="str">
        <f>HYPERLINK("https://us2.cloudbeds.com/connect/10074733072513#/reservations/31690464444609?display=MHJAR1AK2&amp;reservation_id=31690464444609", "MHJAR1AK2")</f>
        <v>MHJAR1AK2</v>
      </c>
      <c r="B4595" t="s">
        <v>10</v>
      </c>
      <c r="C4595" t="s">
        <v>20</v>
      </c>
      <c r="D4595" t="str">
        <f>HYPERLINK("https://us2.cloudbeds.com/connect/10074733072513#/reservations/31690464444609?display=George%20Thesing&amp;reservation_id=31690464444609&amp;guest_id=31690464440572", "George Thesing")</f>
        <v>George Thesing</v>
      </c>
      <c r="E4595" t="s">
        <v>8077</v>
      </c>
      <c r="F4595" t="s">
        <v>7530</v>
      </c>
      <c r="G4595">
        <v>250.2</v>
      </c>
      <c r="H4595">
        <v>271.95999999999998</v>
      </c>
      <c r="I4595">
        <v>271.97000000000003</v>
      </c>
      <c r="J4595">
        <v>-0.01</v>
      </c>
    </row>
    <row r="4596" spans="1:10" x14ac:dyDescent="0.3">
      <c r="A4596" t="str">
        <f>HYPERLINK("https://us2.cloudbeds.com/connect/10074733072513#/reservations/31685269754041?display=MHFA2ZD5C&amp;reservation_id=31685269754041", "MHFA2ZD5C")</f>
        <v>MHFA2ZD5C</v>
      </c>
      <c r="B4596" t="s">
        <v>10</v>
      </c>
      <c r="C4596" t="s">
        <v>17</v>
      </c>
      <c r="D4596" t="str">
        <f>HYPERLINK("https://us2.cloudbeds.com/connect/10074733072513#/reservations/31685269754041?display=Janie%20Bendewald&amp;reservation_id=31685269754041&amp;guest_id=31685269754039", "Janie Bendewald")</f>
        <v>Janie Bendewald</v>
      </c>
      <c r="E4596" t="s">
        <v>8080</v>
      </c>
      <c r="F4596" t="s">
        <v>7807</v>
      </c>
      <c r="G4596">
        <v>250.2</v>
      </c>
      <c r="H4596">
        <v>271.95999999999998</v>
      </c>
      <c r="I4596">
        <v>271.97000000000003</v>
      </c>
      <c r="J4596">
        <v>-0.01</v>
      </c>
    </row>
    <row r="4597" spans="1:10" x14ac:dyDescent="0.3">
      <c r="A4597" t="str">
        <f>HYPERLINK("https://us2.cloudbeds.com/connect/10074733072513#/reservations/31686519062764?display=MHG9068EF&amp;reservation_id=31686519062764", "MHG9068EF")</f>
        <v>MHG9068EF</v>
      </c>
      <c r="B4597" t="s">
        <v>10</v>
      </c>
      <c r="C4597" t="s">
        <v>42</v>
      </c>
      <c r="D4597" t="str">
        <f>HYPERLINK("https://us2.cloudbeds.com/connect/10074733072513#/reservations/31686519062764?display=Jacque%20Rieffer&amp;reservation_id=31686519062764&amp;guest_id=31686241718473", "Jacque Rieffer")</f>
        <v>Jacque Rieffer</v>
      </c>
      <c r="E4597" t="s">
        <v>8081</v>
      </c>
      <c r="F4597" t="s">
        <v>7807</v>
      </c>
      <c r="G4597">
        <v>250.2</v>
      </c>
      <c r="H4597">
        <v>271.95999999999998</v>
      </c>
      <c r="I4597">
        <v>271.97000000000003</v>
      </c>
      <c r="J4597">
        <v>-0.01</v>
      </c>
    </row>
    <row r="4598" spans="1:10" x14ac:dyDescent="0.3">
      <c r="A4598" t="str">
        <f>HYPERLINK("https://us2.cloudbeds.com/connect/10074733072513#/reservations/31736022691987?display=MXYJUVNGU&amp;reservation_id=31736022691987", "MXYJUVNGU")</f>
        <v>MXYJUVNGU</v>
      </c>
      <c r="B4598" t="s">
        <v>10</v>
      </c>
      <c r="C4598" t="s">
        <v>14</v>
      </c>
      <c r="D4598" t="str">
        <f>HYPERLINK("https://us2.cloudbeds.com/connect/10074733072513#/reservations/31736022691987?display=Becki%20Peterson&amp;reservation_id=31736022691987&amp;guest_id=31736022687889", "Becki Peterson")</f>
        <v>Becki Peterson</v>
      </c>
      <c r="E4598" t="s">
        <v>8084</v>
      </c>
      <c r="F4598" t="s">
        <v>8085</v>
      </c>
      <c r="G4598">
        <v>134.1</v>
      </c>
      <c r="H4598">
        <v>145.76</v>
      </c>
      <c r="I4598">
        <v>145.77000000000001</v>
      </c>
      <c r="J4598">
        <v>-0.01</v>
      </c>
    </row>
    <row r="4599" spans="1:10" x14ac:dyDescent="0.3">
      <c r="A4599" t="str">
        <f>HYPERLINK("https://us2.cloudbeds.com/connect/10074733072513#/reservations/31690696982743?display=MHJGP4186&amp;reservation_id=31690696982743", "MHJGP4186")</f>
        <v>MHJGP4186</v>
      </c>
      <c r="B4599" t="s">
        <v>10</v>
      </c>
      <c r="C4599" t="s">
        <v>11</v>
      </c>
      <c r="D4599" t="str">
        <f>HYPERLINK("https://us2.cloudbeds.com/connect/10074733072513#/reservations/31690696982743?display=Ashlee%20Hogan&amp;reservation_id=31690696982743&amp;guest_id=31690696982730", "Ashlee Hogan")</f>
        <v>Ashlee Hogan</v>
      </c>
      <c r="E4599" t="s">
        <v>8087</v>
      </c>
      <c r="F4599" t="s">
        <v>7795</v>
      </c>
      <c r="G4599">
        <v>182.36</v>
      </c>
      <c r="H4599">
        <v>198.22</v>
      </c>
      <c r="I4599">
        <v>198.23</v>
      </c>
      <c r="J4599">
        <v>-0.01</v>
      </c>
    </row>
    <row r="4600" spans="1:10" x14ac:dyDescent="0.3">
      <c r="A4600" t="str">
        <f>HYPERLINK("https://us2.cloudbeds.com/connect/10074733072513#/reservations/31685952114900?display=MHFRH4355&amp;reservation_id=31685952114900", "MHFRH4355")</f>
        <v>MHFRH4355</v>
      </c>
      <c r="B4600" t="s">
        <v>10</v>
      </c>
      <c r="C4600" t="s">
        <v>17</v>
      </c>
      <c r="D4600" t="str">
        <f>HYPERLINK("https://us2.cloudbeds.com/connect/10074733072513#/reservations/31685952114900?display=Gerald%20Williams&amp;reservation_id=31685952114900&amp;guest_id=30678834151587", "Gerald Williams")</f>
        <v>Gerald Williams</v>
      </c>
      <c r="E4600" t="s">
        <v>8089</v>
      </c>
      <c r="F4600" t="s">
        <v>8090</v>
      </c>
      <c r="G4600">
        <v>134.1</v>
      </c>
      <c r="H4600">
        <v>145.76</v>
      </c>
      <c r="I4600">
        <v>145.77000000000001</v>
      </c>
      <c r="J4600">
        <v>-0.01</v>
      </c>
    </row>
    <row r="4601" spans="1:10" x14ac:dyDescent="0.3">
      <c r="A4601" t="str">
        <f>HYPERLINK("https://us2.cloudbeds.com/connect/10074733072513#/reservations/31687005470895?display=MHGYEB96Q&amp;reservation_id=31687005470895", "MHGYEB96Q")</f>
        <v>MHGYEB96Q</v>
      </c>
      <c r="B4601" t="s">
        <v>10</v>
      </c>
      <c r="C4601" t="s">
        <v>42</v>
      </c>
      <c r="D4601" t="str">
        <f>HYPERLINK("https://us2.cloudbeds.com/connect/10074733072513#/reservations/31687005470895?display=Scott%20Sauder&amp;reservation_id=31687005470895&amp;guest_id=31687005470890", "Scott Sauder")</f>
        <v>Scott Sauder</v>
      </c>
      <c r="E4601" t="s">
        <v>8093</v>
      </c>
      <c r="F4601" t="s">
        <v>7006</v>
      </c>
      <c r="G4601">
        <v>268.2</v>
      </c>
      <c r="H4601">
        <v>291.52</v>
      </c>
      <c r="I4601">
        <v>291.52999999999997</v>
      </c>
      <c r="J4601">
        <v>-0.01</v>
      </c>
    </row>
    <row r="4602" spans="1:10" x14ac:dyDescent="0.3">
      <c r="A4602" t="str">
        <f>HYPERLINK("https://us2.cloudbeds.com/connect/10074733072513#/reservations/31689983352977?display=MHXVHC7RP&amp;reservation_id=31689983352977", "MHXVHC7RP")</f>
        <v>MHXVHC7RP</v>
      </c>
      <c r="B4602" t="s">
        <v>10</v>
      </c>
      <c r="C4602" t="s">
        <v>42</v>
      </c>
      <c r="D4602" t="str">
        <f>HYPERLINK("https://us2.cloudbeds.com/connect/10074733072513#/reservations/31689983352977?display=Ferris%20Bauman&amp;reservation_id=31689983352977&amp;guest_id=31689983348880", "Ferris Bauman")</f>
        <v>Ferris Bauman</v>
      </c>
      <c r="E4602" t="s">
        <v>8099</v>
      </c>
      <c r="F4602" t="s">
        <v>8100</v>
      </c>
      <c r="G4602">
        <v>500.8</v>
      </c>
      <c r="H4602">
        <v>544.36</v>
      </c>
      <c r="I4602">
        <v>544.37</v>
      </c>
      <c r="J4602">
        <v>-0.01</v>
      </c>
    </row>
    <row r="4603" spans="1:10" x14ac:dyDescent="0.3">
      <c r="A4603" t="str">
        <f>HYPERLINK("https://us2.cloudbeds.com/connect/10074733072513#/reservations/31685586223351?display=MHFX5JKJF&amp;reservation_id=31685586223351", "MHFX5JKJF")</f>
        <v>MHFX5JKJF</v>
      </c>
      <c r="B4603" t="s">
        <v>10</v>
      </c>
      <c r="C4603" t="s">
        <v>121</v>
      </c>
      <c r="D4603" t="str">
        <f>HYPERLINK("https://us2.cloudbeds.com/connect/10074733072513#/reservations/31685586223351?display=Brandi%20Haaven&amp;reservation_id=31685586223351&amp;guest_id=31685586223341", "Brandi Haaven")</f>
        <v>Brandi Haaven</v>
      </c>
      <c r="E4603" t="s">
        <v>8108</v>
      </c>
      <c r="F4603" t="s">
        <v>8049</v>
      </c>
      <c r="G4603">
        <v>196.2</v>
      </c>
      <c r="H4603">
        <v>213.26</v>
      </c>
      <c r="I4603">
        <v>213.27</v>
      </c>
      <c r="J4603">
        <v>-0.01</v>
      </c>
    </row>
    <row r="4604" spans="1:10" x14ac:dyDescent="0.3">
      <c r="A4604" t="str">
        <f>HYPERLINK("https://us2.cloudbeds.com/connect/10074733072513#/reservations/31686502756578?display=MHG8JEGTK&amp;reservation_id=31686502756578", "MHG8JEGTK")</f>
        <v>MHG8JEGTK</v>
      </c>
      <c r="B4604" t="s">
        <v>10</v>
      </c>
      <c r="C4604" t="s">
        <v>14</v>
      </c>
      <c r="D4604" t="str">
        <f>HYPERLINK("https://us2.cloudbeds.com/connect/10074733072513#/reservations/31686502756578?display=Daniel%20Andrus&amp;reservation_id=31686502756578&amp;guest_id=31686502752498", "Daniel Andrus")</f>
        <v>Daniel Andrus</v>
      </c>
      <c r="E4604" t="s">
        <v>8114</v>
      </c>
      <c r="F4604" t="s">
        <v>7807</v>
      </c>
      <c r="G4604">
        <v>333.6</v>
      </c>
      <c r="H4604">
        <v>362.61</v>
      </c>
      <c r="I4604">
        <v>362.62</v>
      </c>
      <c r="J4604">
        <v>-0.01</v>
      </c>
    </row>
    <row r="4605" spans="1:10" x14ac:dyDescent="0.3">
      <c r="A4605" t="str">
        <f>HYPERLINK("https://us2.cloudbeds.com/connect/10074733072513#/reservations/31690668220647?display=MHJG0SMPH&amp;reservation_id=31690668220647", "MHJG0SMPH")</f>
        <v>MHJG0SMPH</v>
      </c>
      <c r="B4605" t="s">
        <v>10</v>
      </c>
      <c r="C4605" t="s">
        <v>20</v>
      </c>
      <c r="D4605" t="str">
        <f>HYPERLINK("https://us2.cloudbeds.com/connect/10074733072513#/reservations/31690668220647?display=Cale%20Edstrom&amp;reservation_id=31690668220647&amp;guest_id=31690668220645", "Cale Edstrom")</f>
        <v>Cale Edstrom</v>
      </c>
      <c r="E4605" t="s">
        <v>8120</v>
      </c>
      <c r="F4605" t="s">
        <v>7795</v>
      </c>
      <c r="G4605">
        <v>268.2</v>
      </c>
      <c r="H4605">
        <v>291.52</v>
      </c>
      <c r="I4605">
        <v>291.52999999999997</v>
      </c>
      <c r="J4605">
        <v>-0.01</v>
      </c>
    </row>
    <row r="4606" spans="1:10" x14ac:dyDescent="0.3">
      <c r="A4606" t="str">
        <f>HYPERLINK("https://us2.cloudbeds.com/connect/10074733072513#/reservations/31694236344468?display=MHM86JWRQ&amp;reservation_id=31694236344468", "MHM86JWRQ")</f>
        <v>MHM86JWRQ</v>
      </c>
      <c r="B4606" t="s">
        <v>10</v>
      </c>
      <c r="C4606" t="s">
        <v>14</v>
      </c>
      <c r="D4606" t="str">
        <f>HYPERLINK("https://us2.cloudbeds.com/connect/10074733072513#/reservations/31694236344468?display=Dennis%20Lockwood&amp;reservation_id=31694236344468&amp;guest_id=31694236340383", "Dennis Lockwood")</f>
        <v>Dennis Lockwood</v>
      </c>
      <c r="E4606" t="s">
        <v>8129</v>
      </c>
      <c r="F4606" t="s">
        <v>7952</v>
      </c>
      <c r="G4606">
        <v>208.6</v>
      </c>
      <c r="H4606">
        <v>226.74</v>
      </c>
      <c r="I4606">
        <v>226.75</v>
      </c>
      <c r="J4606">
        <v>-0.01</v>
      </c>
    </row>
    <row r="4607" spans="1:10" x14ac:dyDescent="0.3">
      <c r="A4607" t="str">
        <f>HYPERLINK("https://us2.cloudbeds.com/connect/10074733072513#/reservations/31685247791328?display=MHF9H78CK&amp;reservation_id=31685247791328", "MHF9H78CK")</f>
        <v>MHF9H78CK</v>
      </c>
      <c r="B4607" t="s">
        <v>10</v>
      </c>
      <c r="C4607" t="s">
        <v>20</v>
      </c>
      <c r="D4607" t="str">
        <f>HYPERLINK("https://us2.cloudbeds.com/connect/10074733072513#/reservations/31685247791328?display=Nataliia%20Musyk&amp;reservation_id=31685247791328&amp;guest_id=31685247791326", "Nataliia Musyk")</f>
        <v>Nataliia Musyk</v>
      </c>
      <c r="E4607" t="s">
        <v>8132</v>
      </c>
      <c r="F4607" t="s">
        <v>7807</v>
      </c>
      <c r="G4607">
        <v>134.1</v>
      </c>
      <c r="H4607">
        <v>145.76</v>
      </c>
      <c r="I4607">
        <v>145.77000000000001</v>
      </c>
      <c r="J4607">
        <v>-0.01</v>
      </c>
    </row>
    <row r="4608" spans="1:10" x14ac:dyDescent="0.3">
      <c r="A4608" t="str">
        <f>HYPERLINK("https://us2.cloudbeds.com/connect/10074733072513#/reservations/31687348138135?display=MHGU69GGX&amp;reservation_id=31687348138135", "MHGU69GGX")</f>
        <v>MHGU69GGX</v>
      </c>
      <c r="B4608" t="s">
        <v>10</v>
      </c>
      <c r="C4608" t="s">
        <v>17</v>
      </c>
      <c r="D4608" t="str">
        <f>HYPERLINK("https://us2.cloudbeds.com/connect/10074733072513#/reservations/31687348138135?display=Dan%20And%20Lavonne%20Delores%20Murphy&amp;reservation_id=31687348138135&amp;guest_id=31687348134043", "Dan And Lavonne Delores Murphy")</f>
        <v>Dan And Lavonne Delores Murphy</v>
      </c>
      <c r="E4608" t="s">
        <v>8134</v>
      </c>
      <c r="F4608" t="s">
        <v>8135</v>
      </c>
      <c r="G4608">
        <v>250.2</v>
      </c>
      <c r="H4608">
        <v>271.95999999999998</v>
      </c>
      <c r="I4608">
        <v>271.97000000000003</v>
      </c>
      <c r="J4608">
        <v>-0.01</v>
      </c>
    </row>
    <row r="4609" spans="1:10" x14ac:dyDescent="0.3">
      <c r="A4609" t="str">
        <f>HYPERLINK("https://us2.cloudbeds.com/connect/10074733072513#/reservations/31686544527505?display=MHG9YYS19&amp;reservation_id=31686544527505", "MHG9YYS19")</f>
        <v>MHG9YYS19</v>
      </c>
      <c r="B4609" t="s">
        <v>10</v>
      </c>
      <c r="C4609" t="s">
        <v>121</v>
      </c>
      <c r="D4609" t="str">
        <f>HYPERLINK("https://us2.cloudbeds.com/connect/10074733072513#/reservations/31686544527505?display=Aldena%20Ecklein&amp;reservation_id=31686544527505&amp;guest_id=31686538453242", "Aldena Ecklein")</f>
        <v>Aldena Ecklein</v>
      </c>
      <c r="E4609" t="s">
        <v>8138</v>
      </c>
      <c r="F4609" t="s">
        <v>7807</v>
      </c>
      <c r="G4609">
        <v>134.1</v>
      </c>
      <c r="H4609">
        <v>145.76</v>
      </c>
      <c r="I4609">
        <v>145.77000000000001</v>
      </c>
      <c r="J4609">
        <v>-0.01</v>
      </c>
    </row>
    <row r="4610" spans="1:10" x14ac:dyDescent="0.3">
      <c r="A4610" t="str">
        <f>HYPERLINK("https://us2.cloudbeds.com/connect/10074733072513#/reservations/31694787641574?display=MHMM9FYEN&amp;reservation_id=31694787641574", "MHMM9FYEN")</f>
        <v>MHMM9FYEN</v>
      </c>
      <c r="B4610" t="s">
        <v>10</v>
      </c>
      <c r="C4610" t="s">
        <v>121</v>
      </c>
      <c r="D4610" t="str">
        <f>HYPERLINK("https://us2.cloudbeds.com/connect/10074733072513#/reservations/31694787641574?display=Jerome%20Georgeson&amp;reservation_id=31694787641574&amp;guest_id=30673168224461", "Jerome Georgeson")</f>
        <v>Jerome Georgeson</v>
      </c>
      <c r="E4610" t="s">
        <v>8141</v>
      </c>
      <c r="F4610" t="s">
        <v>7807</v>
      </c>
      <c r="G4610">
        <v>134.1</v>
      </c>
      <c r="H4610">
        <v>145.76</v>
      </c>
      <c r="I4610">
        <v>145.77000000000001</v>
      </c>
      <c r="J4610">
        <v>-0.01</v>
      </c>
    </row>
    <row r="4611" spans="1:10" x14ac:dyDescent="0.3">
      <c r="A4611" t="str">
        <f>HYPERLINK("https://us2.cloudbeds.com/connect/10074733072513#/reservations/31694818287772?display=MHMN2AE1C&amp;reservation_id=31694818287772", "MHMN2AE1C")</f>
        <v>MHMN2AE1C</v>
      </c>
      <c r="B4611" t="s">
        <v>10</v>
      </c>
      <c r="C4611" t="s">
        <v>20</v>
      </c>
      <c r="D4611" t="str">
        <f>HYPERLINK("https://us2.cloudbeds.com/connect/10074733072513#/reservations/31694818287772?display=James%20Brandt&amp;reservation_id=31694818287772&amp;guest_id=31694818287751", "James Brandt")</f>
        <v>James Brandt</v>
      </c>
      <c r="E4611" t="s">
        <v>8142</v>
      </c>
      <c r="F4611" t="s">
        <v>7795</v>
      </c>
      <c r="G4611">
        <v>268.2</v>
      </c>
      <c r="H4611">
        <v>291.52</v>
      </c>
      <c r="I4611">
        <v>291.52999999999997</v>
      </c>
      <c r="J4611">
        <v>-0.01</v>
      </c>
    </row>
    <row r="4612" spans="1:10" x14ac:dyDescent="0.3">
      <c r="A4612" t="str">
        <f>HYPERLINK("https://us2.cloudbeds.com/connect/10074733072513#/reservations/31694747656337?display=MHMY8P01S&amp;reservation_id=31694747656337", "MHMY8P01S")</f>
        <v>MHMY8P01S</v>
      </c>
      <c r="B4612" t="s">
        <v>10</v>
      </c>
      <c r="C4612" t="s">
        <v>121</v>
      </c>
      <c r="D4612" t="str">
        <f>HYPERLINK("https://us2.cloudbeds.com/connect/10074733072513#/reservations/31694747656337?display=James%20Polk&amp;reservation_id=31694747656337&amp;guest_id=31694747656334", "James Polk")</f>
        <v>James Polk</v>
      </c>
      <c r="E4612" t="s">
        <v>8145</v>
      </c>
      <c r="F4612" t="s">
        <v>7807</v>
      </c>
      <c r="G4612">
        <v>134.1</v>
      </c>
      <c r="H4612">
        <v>145.76</v>
      </c>
      <c r="I4612">
        <v>145.77000000000001</v>
      </c>
      <c r="J4612">
        <v>-0.01</v>
      </c>
    </row>
    <row r="4613" spans="1:10" x14ac:dyDescent="0.3">
      <c r="A4613" t="str">
        <f>HYPERLINK("https://us2.cloudbeds.com/connect/10074733072513#/reservations/31685581832399?display=MHFX1TEGA&amp;reservation_id=31685581832399", "MHFX1TEGA")</f>
        <v>MHFX1TEGA</v>
      </c>
      <c r="B4613" t="s">
        <v>10</v>
      </c>
      <c r="C4613" t="s">
        <v>42</v>
      </c>
      <c r="D4613" t="str">
        <f>HYPERLINK("https://us2.cloudbeds.com/connect/10074733072513#/reservations/31685581832399?display=Ron%20Paradeis&amp;reservation_id=31685581832399&amp;guest_id=31685581832396", "Ron Paradeis")</f>
        <v>Ron Paradeis</v>
      </c>
      <c r="E4613" t="s">
        <v>285</v>
      </c>
      <c r="F4613" t="s">
        <v>8007</v>
      </c>
      <c r="G4613">
        <v>134.1</v>
      </c>
      <c r="H4613">
        <v>145.76</v>
      </c>
      <c r="I4613">
        <v>145.77000000000001</v>
      </c>
      <c r="J4613">
        <v>-0.01</v>
      </c>
    </row>
    <row r="4614" spans="1:10" x14ac:dyDescent="0.3">
      <c r="A4614" t="str">
        <f>HYPERLINK("https://us2.cloudbeds.com/connect/10074733072513#/reservations/31689616056479?display=MHXM4YM4S&amp;reservation_id=31689616056479", "MHXM4YM4S")</f>
        <v>MHXM4YM4S</v>
      </c>
      <c r="B4614" t="s">
        <v>10</v>
      </c>
      <c r="C4614" t="s">
        <v>121</v>
      </c>
      <c r="D4614" t="str">
        <f>HYPERLINK("https://us2.cloudbeds.com/connect/10074733072513#/reservations/31689616056479?display=Cheri%20underhill&amp;reservation_id=31689616056479&amp;guest_id=31689616056477", "Cheri underhill")</f>
        <v>Cheri underhill</v>
      </c>
      <c r="E4614" t="s">
        <v>8152</v>
      </c>
      <c r="F4614" t="s">
        <v>7807</v>
      </c>
      <c r="G4614">
        <v>134.1</v>
      </c>
      <c r="H4614">
        <v>145.76</v>
      </c>
      <c r="I4614">
        <v>145.77000000000001</v>
      </c>
      <c r="J4614">
        <v>-0.01</v>
      </c>
    </row>
    <row r="4615" spans="1:10" x14ac:dyDescent="0.3">
      <c r="A4615" t="str">
        <f>HYPERLINK("https://us2.cloudbeds.com/connect/10074733072513#/reservations/31693321826462?display=MHYHRF61V&amp;reservation_id=31693321826462", "MHYHRF61V")</f>
        <v>MHYHRF61V</v>
      </c>
      <c r="B4615" t="s">
        <v>10</v>
      </c>
      <c r="C4615" t="s">
        <v>14</v>
      </c>
      <c r="D4615" t="str">
        <f>HYPERLINK("https://us2.cloudbeds.com/connect/10074733072513#/reservations/31693321826462?display=June%20Olson&amp;reservation_id=31693321826462&amp;guest_id=31693321826460", "June Olson")</f>
        <v>June Olson</v>
      </c>
      <c r="E4615" t="s">
        <v>8157</v>
      </c>
      <c r="F4615" t="s">
        <v>7530</v>
      </c>
      <c r="G4615">
        <v>127.2</v>
      </c>
      <c r="H4615">
        <v>138.26</v>
      </c>
      <c r="I4615">
        <v>138.27000000000001</v>
      </c>
      <c r="J4615">
        <v>-0.01</v>
      </c>
    </row>
    <row r="4616" spans="1:10" x14ac:dyDescent="0.3">
      <c r="A4616" t="str">
        <f>HYPERLINK("https://us2.cloudbeds.com/connect/10074733072513#/reservations/31688611930280?display=MHHTFVCH7&amp;reservation_id=31688611930280", "MHHTFVCH7")</f>
        <v>MHHTFVCH7</v>
      </c>
      <c r="B4616" t="s">
        <v>10</v>
      </c>
      <c r="C4616" t="s">
        <v>14</v>
      </c>
      <c r="D4616" t="str">
        <f>HYPERLINK("https://us2.cloudbeds.com/connect/10074733072513#/reservations/31688611930280?display=Sarah%20Wright&amp;reservation_id=31688611930280&amp;guest_id=31688611930277", "Sarah Wright")</f>
        <v>Sarah Wright</v>
      </c>
      <c r="E4616" t="s">
        <v>8158</v>
      </c>
      <c r="F4616" t="s">
        <v>8159</v>
      </c>
      <c r="G4616">
        <v>87.2</v>
      </c>
      <c r="H4616">
        <v>94.78</v>
      </c>
      <c r="I4616">
        <v>94.79</v>
      </c>
      <c r="J4616">
        <v>-0.01</v>
      </c>
    </row>
    <row r="4617" spans="1:10" x14ac:dyDescent="0.3">
      <c r="A4617" t="str">
        <f>HYPERLINK("https://us2.cloudbeds.com/connect/10074733072513#/reservations/31688595370197?display=MHHT1WXRH&amp;reservation_id=31688595370197", "MHHT1WXRH")</f>
        <v>MHHT1WXRH</v>
      </c>
      <c r="B4617" t="s">
        <v>10</v>
      </c>
      <c r="C4617" t="s">
        <v>42</v>
      </c>
      <c r="D4617" t="str">
        <f>HYPERLINK("https://us2.cloudbeds.com/connect/10074733072513#/reservations/31688595370197?display=Francis%20Voracek&amp;reservation_id=31688595370197&amp;guest_id=31688595366104", "Francis Voracek")</f>
        <v>Francis Voracek</v>
      </c>
      <c r="E4617" t="s">
        <v>8168</v>
      </c>
      <c r="F4617" t="s">
        <v>8165</v>
      </c>
      <c r="G4617">
        <v>196.2</v>
      </c>
      <c r="H4617">
        <v>213.26</v>
      </c>
      <c r="I4617">
        <v>213.27</v>
      </c>
      <c r="J4617">
        <v>-0.01</v>
      </c>
    </row>
    <row r="4618" spans="1:10" x14ac:dyDescent="0.3">
      <c r="A4618" t="str">
        <f>HYPERLINK("https://us2.cloudbeds.com/connect/10074733072513#/reservations/31732047585530?display=MXXHC1H0G&amp;reservation_id=31732047585530", "MXXHC1H0G")</f>
        <v>MXXHC1H0G</v>
      </c>
      <c r="B4618" t="s">
        <v>10</v>
      </c>
      <c r="C4618" t="s">
        <v>14</v>
      </c>
      <c r="D4618" t="str">
        <f>HYPERLINK("https://us2.cloudbeds.com/connect/10074733072513#/reservations/31732047585530?display=Jason%20Renneke&amp;reservation_id=31732047585530&amp;guest_id=31732047585481", "Jason Renneke")</f>
        <v>Jason Renneke</v>
      </c>
      <c r="E4618" t="s">
        <v>8172</v>
      </c>
      <c r="F4618" t="s">
        <v>7468</v>
      </c>
      <c r="G4618">
        <v>430.2</v>
      </c>
      <c r="H4618">
        <v>467.62</v>
      </c>
      <c r="I4618">
        <v>467.63</v>
      </c>
      <c r="J4618">
        <v>-0.01</v>
      </c>
    </row>
    <row r="4619" spans="1:10" x14ac:dyDescent="0.3">
      <c r="A4619" t="str">
        <f>HYPERLINK("https://us2.cloudbeds.com/connect/10074733072513#/reservations/31688638390407?display=MHHU58M58&amp;reservation_id=31688638390407", "MHHU58M58")</f>
        <v>MHHU58M58</v>
      </c>
      <c r="B4619" t="s">
        <v>10</v>
      </c>
      <c r="C4619" t="s">
        <v>121</v>
      </c>
      <c r="D4619" t="str">
        <f>HYPERLINK("https://us2.cloudbeds.com/connect/10074733072513#/reservations/31688638390407?display=Jerry%20Kosner&amp;reservation_id=31688638390407&amp;guest_id=31688628363514", "Jerry Kosner")</f>
        <v>Jerry Kosner</v>
      </c>
      <c r="E4619" t="s">
        <v>8184</v>
      </c>
      <c r="F4619" t="s">
        <v>8159</v>
      </c>
      <c r="G4619">
        <v>87.2</v>
      </c>
      <c r="H4619">
        <v>94.78</v>
      </c>
      <c r="I4619">
        <v>94.79</v>
      </c>
      <c r="J4619">
        <v>-0.01</v>
      </c>
    </row>
    <row r="4620" spans="1:10" x14ac:dyDescent="0.3">
      <c r="A4620" t="str">
        <f>HYPERLINK("https://us2.cloudbeds.com/connect/10074733072513#/reservations/31689976950940?display=MHXVBW30Y&amp;reservation_id=31689976950940", "MHXVBW30Y")</f>
        <v>MHXVBW30Y</v>
      </c>
      <c r="B4620" t="s">
        <v>10</v>
      </c>
      <c r="C4620" t="s">
        <v>11</v>
      </c>
      <c r="D4620" t="str">
        <f>HYPERLINK("https://us2.cloudbeds.com/connect/10074733072513#/reservations/31689976950940?display=Shane%20Irwin&amp;reservation_id=31689976950940&amp;guest_id=31689976950938", "Shane Irwin")</f>
        <v>Shane Irwin</v>
      </c>
      <c r="E4620" t="s">
        <v>8188</v>
      </c>
      <c r="F4620" t="s">
        <v>7780</v>
      </c>
      <c r="G4620">
        <v>134.1</v>
      </c>
      <c r="H4620">
        <v>145.76</v>
      </c>
      <c r="I4620">
        <v>145.77000000000001</v>
      </c>
      <c r="J4620">
        <v>-0.01</v>
      </c>
    </row>
    <row r="4621" spans="1:10" x14ac:dyDescent="0.3">
      <c r="A4621" t="str">
        <f>HYPERLINK("https://us2.cloudbeds.com/connect/10074733072513#/reservations/31694634758380?display=MHMXCXERY&amp;reservation_id=31694634758380", "MHMXCXERY")</f>
        <v>MHMXCXERY</v>
      </c>
      <c r="B4621" t="s">
        <v>10</v>
      </c>
      <c r="C4621" t="s">
        <v>23</v>
      </c>
      <c r="D4621" t="str">
        <f>HYPERLINK("https://us2.cloudbeds.com/connect/10074733072513#/reservations/31694634758380?display=Susan%20Johnson&amp;reservation_id=31694634758380&amp;guest_id=31694634758376", "Susan Johnson")</f>
        <v>Susan Johnson</v>
      </c>
      <c r="E4621" t="s">
        <v>8198</v>
      </c>
      <c r="F4621" t="s">
        <v>8186</v>
      </c>
      <c r="G4621">
        <v>250.2</v>
      </c>
      <c r="H4621">
        <v>271.95999999999998</v>
      </c>
      <c r="I4621">
        <v>271.97000000000003</v>
      </c>
      <c r="J4621">
        <v>-0.01</v>
      </c>
    </row>
    <row r="4622" spans="1:10" x14ac:dyDescent="0.3">
      <c r="A4622" t="str">
        <f>HYPERLINK("https://us2.cloudbeds.com/connect/10074733072513#/reservations/31690685071584?display=MHJGF2JHV&amp;reservation_id=31690685071584", "MHJGF2JHV")</f>
        <v>MHJGF2JHV</v>
      </c>
      <c r="B4622" t="s">
        <v>10</v>
      </c>
      <c r="C4622" t="s">
        <v>11</v>
      </c>
      <c r="D4622" t="str">
        <f>HYPERLINK("https://us2.cloudbeds.com/connect/10074733072513#/reservations/31690685071584?display=Amanda%20Miiller&amp;reservation_id=31690685071584&amp;guest_id=31690685067490", "Amanda Miiller")</f>
        <v>Amanda Miiller</v>
      </c>
      <c r="E4622" t="s">
        <v>8199</v>
      </c>
      <c r="F4622" t="s">
        <v>7795</v>
      </c>
      <c r="G4622">
        <v>234.84</v>
      </c>
      <c r="H4622">
        <v>255.26</v>
      </c>
      <c r="I4622">
        <v>255.27</v>
      </c>
      <c r="J4622">
        <v>-0.01</v>
      </c>
    </row>
    <row r="4623" spans="1:10" x14ac:dyDescent="0.3">
      <c r="A4623" t="str">
        <f>HYPERLINK("https://us2.cloudbeds.com/connect/10074733072513#/reservations/31691982504150?display=MHKGK3XMB&amp;reservation_id=31691982504150", "MHKGK3XMB")</f>
        <v>MHKGK3XMB</v>
      </c>
      <c r="B4623" t="s">
        <v>10</v>
      </c>
      <c r="C4623" t="s">
        <v>23</v>
      </c>
      <c r="D4623" t="str">
        <f>HYPERLINK("https://us2.cloudbeds.com/connect/10074733072513#/reservations/31691982504150?display=Gail%20Miller&amp;reservation_id=31691982504150&amp;guest_id=31691928498421", "Gail Miller")</f>
        <v>Gail Miller</v>
      </c>
      <c r="E4623" t="s">
        <v>8202</v>
      </c>
      <c r="F4623" t="s">
        <v>7780</v>
      </c>
      <c r="G4623">
        <v>250.2</v>
      </c>
      <c r="H4623">
        <v>271.95999999999998</v>
      </c>
      <c r="I4623">
        <v>271.97000000000003</v>
      </c>
      <c r="J4623">
        <v>-0.01</v>
      </c>
    </row>
    <row r="4624" spans="1:10" x14ac:dyDescent="0.3">
      <c r="A4624" t="str">
        <f>HYPERLINK("https://us2.cloudbeds.com/connect/10074733072513#/reservations/31690393874561?display=MHJ90HJWP&amp;reservation_id=31690393874561", "MHJ90HJWP")</f>
        <v>MHJ90HJWP</v>
      </c>
      <c r="B4624" t="s">
        <v>10</v>
      </c>
      <c r="C4624" t="s">
        <v>11</v>
      </c>
      <c r="D4624" t="str">
        <f>HYPERLINK("https://us2.cloudbeds.com/connect/10074733072513#/reservations/31690393874561?display=Blair%20Lonneke&amp;reservation_id=31690393874561&amp;guest_id=31690393870526", "Blair Lonneke")</f>
        <v>Blair Lonneke</v>
      </c>
      <c r="E4624" t="s">
        <v>8203</v>
      </c>
      <c r="F4624" t="s">
        <v>8174</v>
      </c>
      <c r="G4624">
        <v>87.2</v>
      </c>
      <c r="H4624">
        <v>94.78</v>
      </c>
      <c r="I4624">
        <v>94.79</v>
      </c>
      <c r="J4624">
        <v>-0.01</v>
      </c>
    </row>
    <row r="4625" spans="1:10" x14ac:dyDescent="0.3">
      <c r="A4625" t="str">
        <f>HYPERLINK("https://us2.cloudbeds.com/connect/10074733072513#/reservations/31693351153805?display=MHYXJ68JA&amp;reservation_id=31693351153805", "MHYXJ68JA")</f>
        <v>MHYXJ68JA</v>
      </c>
      <c r="B4625" t="s">
        <v>10</v>
      </c>
      <c r="C4625" t="s">
        <v>11</v>
      </c>
      <c r="D4625" t="str">
        <f>HYPERLINK("https://us2.cloudbeds.com/connect/10074733072513#/reservations/31693351153805?display=Loren%20Bettermann&amp;reservation_id=31693351153805&amp;guest_id=31693345255604", "Loren Bettermann")</f>
        <v>Loren Bettermann</v>
      </c>
      <c r="E4625" t="s">
        <v>8206</v>
      </c>
      <c r="F4625" t="s">
        <v>7780</v>
      </c>
      <c r="G4625">
        <v>117.42</v>
      </c>
      <c r="H4625">
        <v>127.63</v>
      </c>
      <c r="I4625">
        <v>127.64</v>
      </c>
      <c r="J4625">
        <v>-0.01</v>
      </c>
    </row>
    <row r="4626" spans="1:10" x14ac:dyDescent="0.3">
      <c r="A4626" t="str">
        <f>HYPERLINK("https://us2.cloudbeds.com/connect/10074733072513#/reservations/31694661353640?display=MHMJ1WGXK&amp;reservation_id=31694661353640", "MHMJ1WGXK")</f>
        <v>MHMJ1WGXK</v>
      </c>
      <c r="B4626" t="s">
        <v>10</v>
      </c>
      <c r="C4626" t="s">
        <v>11</v>
      </c>
      <c r="D4626" t="str">
        <f>HYPERLINK("https://us2.cloudbeds.com/connect/10074733072513#/reservations/31694661353640?display=Robert%20Hoffmann&amp;reservation_id=31694661353640&amp;guest_id=31694652657880", "Robert Hoffmann")</f>
        <v>Robert Hoffmann</v>
      </c>
      <c r="E4626" t="s">
        <v>8214</v>
      </c>
      <c r="F4626" t="s">
        <v>8186</v>
      </c>
      <c r="G4626">
        <v>87.2</v>
      </c>
      <c r="H4626">
        <v>94.78</v>
      </c>
      <c r="I4626">
        <v>94.79</v>
      </c>
      <c r="J4626">
        <v>-0.01</v>
      </c>
    </row>
    <row r="4627" spans="1:10" x14ac:dyDescent="0.3">
      <c r="A4627" t="str">
        <f>HYPERLINK("https://us2.cloudbeds.com/connect/10074733072513#/reservations/31689300078766?display=MHXE2744Y&amp;reservation_id=31689300078766", "MHXE2744Y")</f>
        <v>MHXE2744Y</v>
      </c>
      <c r="B4627" t="s">
        <v>10</v>
      </c>
      <c r="C4627" t="s">
        <v>14</v>
      </c>
      <c r="D4627" t="str">
        <f>HYPERLINK("https://us2.cloudbeds.com/connect/10074733072513#/reservations/31689300078766?display=David%20Fischer&amp;reservation_id=31689300078766&amp;guest_id=31689300078751", "David Fischer")</f>
        <v>David Fischer</v>
      </c>
      <c r="E4627" t="s">
        <v>8217</v>
      </c>
      <c r="F4627" t="s">
        <v>7952</v>
      </c>
      <c r="G4627">
        <v>254.4</v>
      </c>
      <c r="H4627">
        <v>276.52</v>
      </c>
      <c r="I4627">
        <v>276.52999999999997</v>
      </c>
      <c r="J4627">
        <v>-0.01</v>
      </c>
    </row>
    <row r="4628" spans="1:10" x14ac:dyDescent="0.3">
      <c r="A4628" t="str">
        <f>HYPERLINK("https://us2.cloudbeds.com/connect/10074733072513#/reservations/31689307959547?display=MHXE8SDS6&amp;reservation_id=31689307959547", "MHXE8SDS6")</f>
        <v>MHXE8SDS6</v>
      </c>
      <c r="B4628" t="s">
        <v>10</v>
      </c>
      <c r="C4628" t="s">
        <v>14</v>
      </c>
      <c r="D4628" t="str">
        <f>HYPERLINK("https://us2.cloudbeds.com/connect/10074733072513#/reservations/31689307959547?display=Shancee%20Porter&amp;reservation_id=31689307959547&amp;guest_id=31689307959499", "Shancee Porter")</f>
        <v>Shancee Porter</v>
      </c>
      <c r="E4628" t="s">
        <v>8219</v>
      </c>
      <c r="F4628" t="s">
        <v>7952</v>
      </c>
      <c r="G4628">
        <v>254.4</v>
      </c>
      <c r="H4628">
        <v>276.52</v>
      </c>
      <c r="I4628">
        <v>276.52999999999997</v>
      </c>
      <c r="J4628">
        <v>-0.01</v>
      </c>
    </row>
    <row r="4629" spans="1:10" x14ac:dyDescent="0.3">
      <c r="A4629" t="str">
        <f>HYPERLINK("https://us2.cloudbeds.com/connect/10074733072513#/reservations/31693220999313?display=MHYF8EH4Q&amp;reservation_id=31693220999313", "MHYF8EH4Q")</f>
        <v>MHYF8EH4Q</v>
      </c>
      <c r="B4629" t="s">
        <v>10</v>
      </c>
      <c r="C4629" t="s">
        <v>14</v>
      </c>
      <c r="D4629" t="str">
        <f>HYPERLINK("https://us2.cloudbeds.com/connect/10074733072513#/reservations/31693220999313?display=Terica%20Moravetz&amp;reservation_id=31693220999313&amp;guest_id=31693220995218", "Terica Moravetz")</f>
        <v>Terica Moravetz</v>
      </c>
      <c r="E4629" t="s">
        <v>8224</v>
      </c>
      <c r="F4629" t="s">
        <v>7530</v>
      </c>
      <c r="G4629">
        <v>127.2</v>
      </c>
      <c r="H4629">
        <v>138.26</v>
      </c>
      <c r="I4629">
        <v>138.27000000000001</v>
      </c>
      <c r="J4629">
        <v>-0.01</v>
      </c>
    </row>
    <row r="4630" spans="1:10" x14ac:dyDescent="0.3">
      <c r="A4630" t="str">
        <f>HYPERLINK("https://us2.cloudbeds.com/connect/10074733072513#/reservations/31735185199312?display=MXKVHP820&amp;reservation_id=31735185199312", "MXKVHP820")</f>
        <v>MXKVHP820</v>
      </c>
      <c r="B4630" t="s">
        <v>10</v>
      </c>
      <c r="C4630" t="s">
        <v>23</v>
      </c>
      <c r="D4630" t="str">
        <f>HYPERLINK("https://us2.cloudbeds.com/connect/10074733072513#/reservations/31735185199312?display=Joyce%20Nischbach&amp;reservation_id=31735185199312&amp;guest_id=31735185199307", "Joyce Nischbach")</f>
        <v>Joyce Nischbach</v>
      </c>
      <c r="E4630" t="s">
        <v>3157</v>
      </c>
      <c r="F4630" t="s">
        <v>8253</v>
      </c>
      <c r="G4630">
        <v>134.1</v>
      </c>
      <c r="H4630">
        <v>145.76</v>
      </c>
      <c r="I4630">
        <v>145.77000000000001</v>
      </c>
      <c r="J4630">
        <v>-0.01</v>
      </c>
    </row>
    <row r="4631" spans="1:10" x14ac:dyDescent="0.3">
      <c r="A4631" t="str">
        <f>HYPERLINK("https://us2.cloudbeds.com/connect/10074733072513#/reservations/31683397025993?display=MHDS7JWBJ&amp;reservation_id=31683397025993", "MHDS7JWBJ")</f>
        <v>MHDS7JWBJ</v>
      </c>
      <c r="B4631" t="s">
        <v>10</v>
      </c>
      <c r="C4631" t="s">
        <v>121</v>
      </c>
      <c r="D4631" t="str">
        <f>HYPERLINK("https://us2.cloudbeds.com/connect/10074733072513#/reservations/31683397025993?display=Bryan%20Thomas&amp;reservation_id=31683397025993&amp;guest_id=31683386163375", "Bryan Thomas")</f>
        <v>Bryan Thomas</v>
      </c>
      <c r="E4631" t="s">
        <v>4065</v>
      </c>
      <c r="F4631" t="s">
        <v>8267</v>
      </c>
      <c r="G4631">
        <v>294.3</v>
      </c>
      <c r="H4631">
        <v>319.89</v>
      </c>
      <c r="I4631">
        <v>319.89999999999998</v>
      </c>
      <c r="J4631">
        <v>-0.01</v>
      </c>
    </row>
    <row r="4632" spans="1:10" x14ac:dyDescent="0.3">
      <c r="A4632" t="str">
        <f>HYPERLINK("https://us2.cloudbeds.com/connect/10074733072513#/reservations/31690293526663?display=MHJ6EU95C&amp;reservation_id=31690293526663", "MHJ6EU95C")</f>
        <v>MHJ6EU95C</v>
      </c>
      <c r="B4632" t="s">
        <v>10</v>
      </c>
      <c r="C4632" t="s">
        <v>42</v>
      </c>
      <c r="D4632" t="str">
        <f>HYPERLINK("https://us2.cloudbeds.com/connect/10074733072513#/reservations/31690293526663?display=Katie%20Roggow&amp;reservation_id=31690293526663&amp;guest_id=31690293522571", "Katie Roggow")</f>
        <v>Katie Roggow</v>
      </c>
      <c r="E4632" t="s">
        <v>8275</v>
      </c>
      <c r="F4632" t="s">
        <v>8221</v>
      </c>
      <c r="G4632">
        <v>87.2</v>
      </c>
      <c r="H4632">
        <v>94.78</v>
      </c>
      <c r="I4632">
        <v>94.79</v>
      </c>
      <c r="J4632">
        <v>-0.01</v>
      </c>
    </row>
    <row r="4633" spans="1:10" x14ac:dyDescent="0.3">
      <c r="A4633" t="str">
        <f>HYPERLINK("https://us2.cloudbeds.com/connect/10074733072513#/reservations/31687389724809?display=MHGV8BNEQ&amp;reservation_id=31687389724809", "MHGV8BNEQ")</f>
        <v>MHGV8BNEQ</v>
      </c>
      <c r="B4633" t="s">
        <v>10</v>
      </c>
      <c r="C4633" t="s">
        <v>42</v>
      </c>
      <c r="D4633" t="str">
        <f>HYPERLINK("https://us2.cloudbeds.com/connect/10074733072513#/reservations/31687389724809?display=Concrete%20Northland&amp;reservation_id=31687389724809&amp;guest_id=31687389720715", "Concrete Northland")</f>
        <v>Concrete Northland</v>
      </c>
      <c r="E4633" t="s">
        <v>8279</v>
      </c>
      <c r="F4633" t="s">
        <v>8245</v>
      </c>
      <c r="G4633">
        <v>294.3</v>
      </c>
      <c r="H4633">
        <v>319.89</v>
      </c>
      <c r="I4633">
        <v>319.89999999999998</v>
      </c>
      <c r="J4633">
        <v>-0.01</v>
      </c>
    </row>
    <row r="4634" spans="1:10" x14ac:dyDescent="0.3">
      <c r="A4634" t="str">
        <f>HYPERLINK("https://us2.cloudbeds.com/connect/10074733072513#/reservations/31690323067099?display=MHJ76R9C3&amp;reservation_id=31690323067099", "MHJ76R9C3")</f>
        <v>MHJ76R9C3</v>
      </c>
      <c r="B4634" t="s">
        <v>10</v>
      </c>
      <c r="C4634" t="s">
        <v>42</v>
      </c>
      <c r="D4634" t="str">
        <f>HYPERLINK("https://us2.cloudbeds.com/connect/10074733072513#/reservations/31690323067099?display=Stacy%20Te%20Slaa&amp;reservation_id=31690323067099&amp;guest_id=31676607643779", "Stacy Te Slaa")</f>
        <v>Stacy Te Slaa</v>
      </c>
      <c r="E4634" t="s">
        <v>8280</v>
      </c>
      <c r="F4634" t="s">
        <v>8281</v>
      </c>
      <c r="G4634">
        <v>313.2</v>
      </c>
      <c r="H4634">
        <v>340.44</v>
      </c>
      <c r="I4634">
        <v>340.45</v>
      </c>
      <c r="J4634">
        <v>-0.01</v>
      </c>
    </row>
    <row r="4635" spans="1:10" x14ac:dyDescent="0.3">
      <c r="A4635" t="str">
        <f>HYPERLINK("https://us2.cloudbeds.com/connect/10074733072513#/reservations/31690045337814?display=MHJ03Y1T5&amp;reservation_id=31690045337814", "MHJ03Y1T5")</f>
        <v>MHJ03Y1T5</v>
      </c>
      <c r="B4635" t="s">
        <v>10</v>
      </c>
      <c r="C4635" t="s">
        <v>20</v>
      </c>
      <c r="D4635" t="str">
        <f>HYPERLINK("https://us2.cloudbeds.com/connect/10074733072513#/reservations/31690045337814?display=Ryan%20Demers&amp;reservation_id=31690045337814&amp;guest_id=31690045337812", "Ryan Demers")</f>
        <v>Ryan Demers</v>
      </c>
      <c r="E4635" t="s">
        <v>8289</v>
      </c>
      <c r="F4635" t="s">
        <v>7780</v>
      </c>
      <c r="G4635">
        <v>250.2</v>
      </c>
      <c r="H4635">
        <v>271.95999999999998</v>
      </c>
      <c r="I4635">
        <v>271.97000000000003</v>
      </c>
      <c r="J4635">
        <v>-0.01</v>
      </c>
    </row>
    <row r="4636" spans="1:10" x14ac:dyDescent="0.3">
      <c r="A4636" t="str">
        <f>HYPERLINK("https://us2.cloudbeds.com/connect/10074733072513#/reservations/31693336154331?display=MHYX6HSVP&amp;reservation_id=31693336154331", "MHYX6HSVP")</f>
        <v>MHYX6HSVP</v>
      </c>
      <c r="B4636" t="s">
        <v>10</v>
      </c>
      <c r="C4636" t="s">
        <v>23</v>
      </c>
      <c r="D4636" t="str">
        <f>HYPERLINK("https://us2.cloudbeds.com/connect/10074733072513#/reservations/31693336154331?display=Susan%20Jensen&amp;reservation_id=31693336154331&amp;guest_id=31693336150239", "Susan Jensen")</f>
        <v>Susan Jensen</v>
      </c>
      <c r="E4636" t="s">
        <v>8295</v>
      </c>
      <c r="F4636" t="s">
        <v>7780</v>
      </c>
      <c r="G4636">
        <v>134.1</v>
      </c>
      <c r="H4636">
        <v>145.76</v>
      </c>
      <c r="I4636">
        <v>145.77000000000001</v>
      </c>
      <c r="J4636">
        <v>-0.01</v>
      </c>
    </row>
    <row r="4637" spans="1:10" x14ac:dyDescent="0.3">
      <c r="A4637" t="str">
        <f>HYPERLINK("https://us2.cloudbeds.com/connect/10074733072513#/reservations/31693320667372?display=MHYHQFUN0&amp;reservation_id=31693320667372", "MHYHQFUN0")</f>
        <v>MHYHQFUN0</v>
      </c>
      <c r="B4637" t="s">
        <v>10</v>
      </c>
      <c r="C4637" t="s">
        <v>14</v>
      </c>
      <c r="D4637" t="str">
        <f>HYPERLINK("https://us2.cloudbeds.com/connect/10074733072513#/reservations/31693320667372?display=Rich%20Mcmahon&amp;reservation_id=31693320667372&amp;guest_id=31693306306703", "Rich Mcmahon")</f>
        <v>Rich Mcmahon</v>
      </c>
      <c r="E4637" t="s">
        <v>8296</v>
      </c>
      <c r="F4637" t="s">
        <v>7780</v>
      </c>
      <c r="G4637">
        <v>222.4</v>
      </c>
      <c r="H4637">
        <v>241.74</v>
      </c>
      <c r="I4637">
        <v>241.75</v>
      </c>
      <c r="J4637">
        <v>-0.01</v>
      </c>
    </row>
    <row r="4638" spans="1:10" x14ac:dyDescent="0.3">
      <c r="A4638" t="str">
        <f>HYPERLINK("https://us2.cloudbeds.com/connect/10074733072513#/reservations/31684389122229?display=MHEKJ5H5T&amp;reservation_id=31684389122229", "MHEKJ5H5T")</f>
        <v>MHEKJ5H5T</v>
      </c>
      <c r="B4638" t="s">
        <v>10</v>
      </c>
      <c r="C4638" t="s">
        <v>14</v>
      </c>
      <c r="D4638" t="str">
        <f>HYPERLINK("https://us2.cloudbeds.com/connect/10074733072513#/reservations/31684389122229?display=Robert%20Briggs&amp;reservation_id=31684389122229&amp;guest_id=31684389122216", "Robert Briggs")</f>
        <v>Robert Briggs</v>
      </c>
      <c r="E4638" t="s">
        <v>8297</v>
      </c>
      <c r="F4638" t="s">
        <v>7952</v>
      </c>
      <c r="G4638">
        <v>280.10000000000002</v>
      </c>
      <c r="H4638">
        <v>304.45999999999998</v>
      </c>
      <c r="I4638">
        <v>304.47000000000003</v>
      </c>
      <c r="J4638">
        <v>-0.01</v>
      </c>
    </row>
    <row r="4639" spans="1:10" x14ac:dyDescent="0.3">
      <c r="A4639" t="str">
        <f>HYPERLINK("https://us2.cloudbeds.com/connect/10074733072513#/reservations/31690457084106?display=MHJAKRGYF&amp;reservation_id=31690457084106", "MHJAKRGYF")</f>
        <v>MHJAKRGYF</v>
      </c>
      <c r="B4639" t="s">
        <v>10</v>
      </c>
      <c r="C4639" t="s">
        <v>11</v>
      </c>
      <c r="D4639" t="str">
        <f>HYPERLINK("https://us2.cloudbeds.com/connect/10074733072513#/reservations/31690457084106?display=Michael%20Domeier&amp;reservation_id=31690457084106&amp;guest_id=31690457080026", "Michael Domeier")</f>
        <v>Michael Domeier</v>
      </c>
      <c r="E4639" t="s">
        <v>8302</v>
      </c>
      <c r="F4639" t="s">
        <v>7530</v>
      </c>
      <c r="G4639">
        <v>208.6</v>
      </c>
      <c r="H4639">
        <v>226.74</v>
      </c>
      <c r="I4639">
        <v>226.75</v>
      </c>
      <c r="J4639">
        <v>-0.01</v>
      </c>
    </row>
    <row r="4640" spans="1:10" x14ac:dyDescent="0.3">
      <c r="A4640" t="str">
        <f>HYPERLINK("https://us2.cloudbeds.com/connect/10074733072513#/reservations/31694206419152?display=MHM7EC971&amp;reservation_id=31694206419152", "MHM7EC971")</f>
        <v>MHM7EC971</v>
      </c>
      <c r="B4640" t="s">
        <v>10</v>
      </c>
      <c r="C4640" t="s">
        <v>42</v>
      </c>
      <c r="D4640" t="str">
        <f>HYPERLINK("https://us2.cloudbeds.com/connect/10074733072513#/reservations/31694206419152?display=Stephanie%20Sauder&amp;reservation_id=31694206419152&amp;guest_id=31694206419139", "Stephanie Sauder")</f>
        <v>Stephanie Sauder</v>
      </c>
      <c r="E4640" t="s">
        <v>8303</v>
      </c>
      <c r="F4640" t="s">
        <v>7006</v>
      </c>
      <c r="G4640">
        <v>304.2</v>
      </c>
      <c r="H4640">
        <v>330.66</v>
      </c>
      <c r="I4640">
        <v>330.67</v>
      </c>
      <c r="J4640">
        <v>-0.01</v>
      </c>
    </row>
    <row r="4641" spans="1:10" x14ac:dyDescent="0.3">
      <c r="A4641" t="str">
        <f>HYPERLINK("https://us2.cloudbeds.com/connect/10074733072513#/reservations/31689997205748?display=MHXVT1NFN&amp;reservation_id=31689997205748", "MHXVT1NFN")</f>
        <v>MHXVT1NFN</v>
      </c>
      <c r="B4641" t="s">
        <v>10</v>
      </c>
      <c r="C4641" t="s">
        <v>42</v>
      </c>
      <c r="D4641" t="str">
        <f>HYPERLINK("https://us2.cloudbeds.com/connect/10074733072513#/reservations/31689997205748?display=Steven%20Westley&amp;reservation_id=31689997205748&amp;guest_id=31683455451332", "Steven Westley")</f>
        <v>Steven Westley</v>
      </c>
      <c r="E4641" t="s">
        <v>8225</v>
      </c>
      <c r="F4641" t="s">
        <v>7780</v>
      </c>
      <c r="G4641">
        <v>118.15</v>
      </c>
      <c r="H4641">
        <v>128.41999999999999</v>
      </c>
      <c r="I4641">
        <v>128.43</v>
      </c>
      <c r="J4641">
        <v>-0.01</v>
      </c>
    </row>
    <row r="4642" spans="1:10" x14ac:dyDescent="0.3">
      <c r="A4642" t="str">
        <f>HYPERLINK("https://us2.cloudbeds.com/connect/10074733072513#/reservations/31691928498375?display=MHKF7XPJN&amp;reservation_id=31691928498375", "MHKF7XPJN")</f>
        <v>MHKF7XPJN</v>
      </c>
      <c r="B4642" t="s">
        <v>10</v>
      </c>
      <c r="C4642" t="s">
        <v>23</v>
      </c>
      <c r="D4642" t="str">
        <f>HYPERLINK("https://us2.cloudbeds.com/connect/10074733072513#/reservations/31691928498375?display=Rochelle%20Smith&amp;reservation_id=31691928498375&amp;guest_id=31691921547482", "Rochelle Smith")</f>
        <v>Rochelle Smith</v>
      </c>
      <c r="E4642" t="s">
        <v>8309</v>
      </c>
      <c r="F4642" t="s">
        <v>7780</v>
      </c>
      <c r="G4642">
        <v>134.1</v>
      </c>
      <c r="H4642">
        <v>145.76</v>
      </c>
      <c r="I4642">
        <v>145.77000000000001</v>
      </c>
      <c r="J4642">
        <v>-0.01</v>
      </c>
    </row>
    <row r="4643" spans="1:10" x14ac:dyDescent="0.3">
      <c r="A4643" t="str">
        <f>HYPERLINK("https://us2.cloudbeds.com/connect/10074733072513#/reservations/31694866788493?display=MHMZA70W6&amp;reservation_id=31694866788493", "MHMZA70W6")</f>
        <v>MHMZA70W6</v>
      </c>
      <c r="B4643" t="s">
        <v>10</v>
      </c>
      <c r="C4643" t="s">
        <v>121</v>
      </c>
      <c r="D4643" t="str">
        <f>HYPERLINK("https://us2.cloudbeds.com/connect/10074733072513#/reservations/31694866788493?display=Joshua%20Pape&amp;reservation_id=31694866788493&amp;guest_id=31694866784446", "Joshua Pape")</f>
        <v>Joshua Pape</v>
      </c>
      <c r="E4643" t="s">
        <v>8334</v>
      </c>
      <c r="F4643" t="s">
        <v>8243</v>
      </c>
      <c r="G4643">
        <v>196.2</v>
      </c>
      <c r="H4643">
        <v>213.26</v>
      </c>
      <c r="I4643">
        <v>213.27</v>
      </c>
      <c r="J4643">
        <v>-0.01</v>
      </c>
    </row>
    <row r="4644" spans="1:10" x14ac:dyDescent="0.3">
      <c r="A4644" t="str">
        <f>HYPERLINK("https://us2.cloudbeds.com/connect/10074733072513#/reservations/31734666531047?display=MXKX9DHYS&amp;reservation_id=31734666531047", "MXKX9DHYS")</f>
        <v>MXKX9DHYS</v>
      </c>
      <c r="B4644" t="s">
        <v>10</v>
      </c>
      <c r="C4644" t="s">
        <v>17</v>
      </c>
      <c r="D4644" t="str">
        <f>HYPERLINK("https://us2.cloudbeds.com/connect/10074733072513#/reservations/31734666531047?display=Donald%20Duncan&amp;reservation_id=31734666531047&amp;guest_id=31734653460608", "Donald Duncan")</f>
        <v>Donald Duncan</v>
      </c>
      <c r="E4644" t="s">
        <v>8339</v>
      </c>
      <c r="F4644" t="s">
        <v>8340</v>
      </c>
      <c r="G4644">
        <v>456.3</v>
      </c>
      <c r="H4644">
        <v>495.99</v>
      </c>
      <c r="I4644">
        <v>496</v>
      </c>
      <c r="J4644">
        <v>-0.01</v>
      </c>
    </row>
    <row r="4645" spans="1:10" x14ac:dyDescent="0.3">
      <c r="A4645" t="str">
        <f>HYPERLINK("https://us2.cloudbeds.com/connect/10074733072513#/reservations/31689870291072?display=MHXS9K6NK&amp;reservation_id=31689870291072", "MHXS9K6NK")</f>
        <v>MHXS9K6NK</v>
      </c>
      <c r="B4645" t="s">
        <v>10</v>
      </c>
      <c r="C4645" t="s">
        <v>42</v>
      </c>
      <c r="D4645" t="str">
        <f>HYPERLINK("https://us2.cloudbeds.com/connect/10074733072513#/reservations/31689870291072?display=Michelle%20Heeren&amp;reservation_id=31689870291072&amp;guest_id=31689856741604", "Michelle Heeren")</f>
        <v>Michelle Heeren</v>
      </c>
      <c r="E4645" t="s">
        <v>8344</v>
      </c>
      <c r="F4645" t="s">
        <v>8178</v>
      </c>
      <c r="G4645">
        <v>196.2</v>
      </c>
      <c r="H4645">
        <v>213.26</v>
      </c>
      <c r="I4645">
        <v>213.27</v>
      </c>
      <c r="J4645">
        <v>-0.01</v>
      </c>
    </row>
    <row r="4646" spans="1:10" x14ac:dyDescent="0.3">
      <c r="A4646" t="str">
        <f>HYPERLINK("https://us2.cloudbeds.com/connect/10074733072513#/reservations/31690445123744?display=MHJAAZMPA&amp;reservation_id=31690445123744", "MHJAAZMPA")</f>
        <v>MHJAAZMPA</v>
      </c>
      <c r="B4646" t="s">
        <v>10</v>
      </c>
      <c r="C4646" t="s">
        <v>14</v>
      </c>
      <c r="D4646" t="str">
        <f>HYPERLINK("https://us2.cloudbeds.com/connect/10074733072513#/reservations/31690445123744?display=Becky%20Tuholsky&amp;reservation_id=31690445123744&amp;guest_id=31690437804239", "Becky Tuholsky")</f>
        <v>Becky Tuholsky</v>
      </c>
      <c r="E4646" t="s">
        <v>8345</v>
      </c>
      <c r="F4646" t="s">
        <v>7530</v>
      </c>
      <c r="G4646">
        <v>254.4</v>
      </c>
      <c r="H4646">
        <v>276.52</v>
      </c>
      <c r="I4646">
        <v>276.52999999999997</v>
      </c>
      <c r="J4646">
        <v>-0.01</v>
      </c>
    </row>
    <row r="4647" spans="1:10" x14ac:dyDescent="0.3">
      <c r="A4647" t="str">
        <f>HYPERLINK("https://us2.cloudbeds.com/connect/10074733072513#/reservations/31690028494978?display=MHXWMECX6&amp;reservation_id=31690028494978", "MHXWMECX6")</f>
        <v>MHXWMECX6</v>
      </c>
      <c r="B4647" t="s">
        <v>10</v>
      </c>
      <c r="C4647" t="s">
        <v>14</v>
      </c>
      <c r="D4647" t="str">
        <f>HYPERLINK("https://us2.cloudbeds.com/connect/10074733072513#/reservations/31690028494978?display=Tiffany%20Sanderson&amp;reservation_id=31690028494978&amp;guest_id=31690022187169", "Tiffany Sanderson")</f>
        <v>Tiffany Sanderson</v>
      </c>
      <c r="E4647" t="s">
        <v>8346</v>
      </c>
      <c r="F4647" t="s">
        <v>8347</v>
      </c>
      <c r="G4647">
        <v>103.2</v>
      </c>
      <c r="H4647">
        <v>112.17</v>
      </c>
      <c r="I4647">
        <v>112.18</v>
      </c>
      <c r="J4647">
        <v>-0.01</v>
      </c>
    </row>
    <row r="4648" spans="1:10" x14ac:dyDescent="0.3">
      <c r="A4648" t="str">
        <f>HYPERLINK("https://us2.cloudbeds.com/connect/10074733072513#/reservations/31685978181766?display=MHFS63EM6&amp;reservation_id=31685978181766", "MHFS63EM6")</f>
        <v>MHFS63EM6</v>
      </c>
      <c r="B4648" t="s">
        <v>10</v>
      </c>
      <c r="C4648" t="s">
        <v>14</v>
      </c>
      <c r="D4648" t="str">
        <f>HYPERLINK("https://us2.cloudbeds.com/connect/10074733072513#/reservations/31685978181766?display=Lance%20Haug&amp;reservation_id=31685978181766&amp;guest_id=31685978181761", "Lance Haug")</f>
        <v>Lance Haug</v>
      </c>
      <c r="E4648" t="s">
        <v>8352</v>
      </c>
      <c r="F4648" t="s">
        <v>8090</v>
      </c>
      <c r="G4648">
        <v>143.19999999999999</v>
      </c>
      <c r="H4648">
        <v>155.65</v>
      </c>
      <c r="I4648">
        <v>155.66</v>
      </c>
      <c r="J4648">
        <v>-0.01</v>
      </c>
    </row>
    <row r="4649" spans="1:10" x14ac:dyDescent="0.3">
      <c r="A4649" t="str">
        <f>HYPERLINK("https://us2.cloudbeds.com/connect/10074733072513#/reservations/31730972975328?display=MXHMTTTPW&amp;reservation_id=31730972975328", "MXHMTTTPW")</f>
        <v>MXHMTTTPW</v>
      </c>
      <c r="B4649" t="s">
        <v>10</v>
      </c>
      <c r="C4649" t="s">
        <v>11</v>
      </c>
      <c r="D4649" t="str">
        <f>HYPERLINK("https://us2.cloudbeds.com/connect/10074733072513#/reservations/31730972975328?display=Rex%20Raper&amp;reservation_id=31730972975328&amp;guest_id=31730972971244", "Rex Raper")</f>
        <v>Rex Raper</v>
      </c>
      <c r="E4649" t="s">
        <v>8354</v>
      </c>
      <c r="F4649" t="s">
        <v>8355</v>
      </c>
      <c r="G4649">
        <v>134.1</v>
      </c>
      <c r="H4649">
        <v>145.76</v>
      </c>
      <c r="I4649">
        <v>145.77000000000001</v>
      </c>
      <c r="J4649">
        <v>-0.01</v>
      </c>
    </row>
    <row r="4650" spans="1:10" x14ac:dyDescent="0.3">
      <c r="A4650" t="str">
        <f>HYPERLINK("https://us2.cloudbeds.com/connect/10074733072513#/reservations/31690339061908?display=MHJ7KABW9&amp;reservation_id=31690339061908", "MHJ7KABW9")</f>
        <v>MHJ7KABW9</v>
      </c>
      <c r="B4650" t="s">
        <v>10</v>
      </c>
      <c r="C4650" t="s">
        <v>42</v>
      </c>
      <c r="D4650" t="str">
        <f>HYPERLINK("https://us2.cloudbeds.com/connect/10074733072513#/reservations/31690339061908?display=Lori%20Bryant&amp;reservation_id=31690339061908&amp;guest_id=31674370257036", "Lori Bryant")</f>
        <v>Lori Bryant</v>
      </c>
      <c r="E4650" t="s">
        <v>5279</v>
      </c>
      <c r="F4650" t="s">
        <v>8221</v>
      </c>
      <c r="G4650">
        <v>87.2</v>
      </c>
      <c r="H4650">
        <v>94.78</v>
      </c>
      <c r="I4650">
        <v>94.79</v>
      </c>
      <c r="J4650">
        <v>-0.01</v>
      </c>
    </row>
    <row r="4651" spans="1:10" x14ac:dyDescent="0.3">
      <c r="A4651" t="str">
        <f>HYPERLINK("https://us2.cloudbeds.com/connect/10074733072513#/reservations/31693243359380?display=MHYFR9NQJ&amp;reservation_id=31693243359380", "MHYFR9NQJ")</f>
        <v>MHYFR9NQJ</v>
      </c>
      <c r="B4651" t="s">
        <v>10</v>
      </c>
      <c r="C4651" t="s">
        <v>14</v>
      </c>
      <c r="D4651" t="str">
        <f>HYPERLINK("https://us2.cloudbeds.com/connect/10074733072513#/reservations/31693243359380?display=Tina%20Jacobson&amp;reservation_id=31693243359380&amp;guest_id=31693236748476", "Tina Jacobson")</f>
        <v>Tina Jacobson</v>
      </c>
      <c r="E4651" t="s">
        <v>8357</v>
      </c>
      <c r="F4651" t="s">
        <v>7530</v>
      </c>
      <c r="G4651">
        <v>254.4</v>
      </c>
      <c r="H4651">
        <v>276.52</v>
      </c>
      <c r="I4651">
        <v>276.52999999999997</v>
      </c>
      <c r="J4651">
        <v>-0.01</v>
      </c>
    </row>
    <row r="4652" spans="1:10" x14ac:dyDescent="0.3">
      <c r="A4652" t="str">
        <f>HYPERLINK("https://us2.cloudbeds.com/connect/10074733072513#/reservations/31689858650240?display=MHXS4U2YY&amp;reservation_id=31689858650240", "MHXS4U2YY")</f>
        <v>MHXS4U2YY</v>
      </c>
      <c r="B4652" t="s">
        <v>10</v>
      </c>
      <c r="C4652" t="s">
        <v>42</v>
      </c>
      <c r="D4652" t="str">
        <f>HYPERLINK("https://us2.cloudbeds.com/connect/10074733072513#/reservations/31689858650240?display=Chris%20Engeseth&amp;reservation_id=31689858650240&amp;guest_id=31688667291804", "Chris Engeseth")</f>
        <v>Chris Engeseth</v>
      </c>
      <c r="E4652" t="s">
        <v>8362</v>
      </c>
      <c r="F4652" t="s">
        <v>8249</v>
      </c>
      <c r="G4652">
        <v>392.3</v>
      </c>
      <c r="H4652">
        <v>426.42</v>
      </c>
      <c r="I4652">
        <v>426.43</v>
      </c>
      <c r="J4652">
        <v>-0.01</v>
      </c>
    </row>
    <row r="4653" spans="1:10" x14ac:dyDescent="0.3">
      <c r="A4653" t="str">
        <f>HYPERLINK("https://us2.cloudbeds.com/connect/10074733072513#/reservations/31690379493626?display=MHJ8YDEBH&amp;reservation_id=31690379493626", "MHJ8YDEBH")</f>
        <v>MHJ8YDEBH</v>
      </c>
      <c r="B4653" t="s">
        <v>10</v>
      </c>
      <c r="C4653" t="s">
        <v>20</v>
      </c>
      <c r="D4653" t="str">
        <f>HYPERLINK("https://us2.cloudbeds.com/connect/10074733072513#/reservations/31690379493626?display=Barbara%20Drees&amp;reservation_id=31690379493626&amp;guest_id=31690364461209", "Barbara Drees")</f>
        <v>Barbara Drees</v>
      </c>
      <c r="E4653" t="s">
        <v>8363</v>
      </c>
      <c r="F4653" t="s">
        <v>8268</v>
      </c>
      <c r="G4653">
        <v>196.2</v>
      </c>
      <c r="H4653">
        <v>213.26</v>
      </c>
      <c r="I4653">
        <v>213.27</v>
      </c>
      <c r="J4653">
        <v>-0.01</v>
      </c>
    </row>
    <row r="4654" spans="1:10" x14ac:dyDescent="0.3">
      <c r="A4654" t="str">
        <f>HYPERLINK("https://us2.cloudbeds.com/connect/10074733072513#/reservations/31688814366918?display=MHX1YYFZQ&amp;reservation_id=31688814366918", "MHX1YYFZQ")</f>
        <v>MHX1YYFZQ</v>
      </c>
      <c r="B4654" t="s">
        <v>10</v>
      </c>
      <c r="C4654" t="s">
        <v>14</v>
      </c>
      <c r="D4654" t="str">
        <f>HYPERLINK("https://us2.cloudbeds.com/connect/10074733072513#/reservations/31688814366918?display=Judah%20Pike&amp;reservation_id=31688814366918&amp;guest_id=31688814366914", "Judah Pike")</f>
        <v>Judah Pike</v>
      </c>
      <c r="E4654" t="s">
        <v>8365</v>
      </c>
      <c r="F4654" t="s">
        <v>8350</v>
      </c>
      <c r="G4654">
        <v>390.3</v>
      </c>
      <c r="H4654">
        <v>424.25</v>
      </c>
      <c r="I4654">
        <v>424.26</v>
      </c>
      <c r="J4654">
        <v>-0.01</v>
      </c>
    </row>
    <row r="4655" spans="1:10" x14ac:dyDescent="0.3">
      <c r="A4655" t="str">
        <f>HYPERLINK("https://us2.cloudbeds.com/connect/10074733072513#/reservations/31689895596256?display=MHXT9C956&amp;reservation_id=31689895596256", "MHXT9C956")</f>
        <v>MHXT9C956</v>
      </c>
      <c r="B4655" t="s">
        <v>10</v>
      </c>
      <c r="C4655" t="s">
        <v>121</v>
      </c>
      <c r="D4655" t="str">
        <f>HYPERLINK("https://us2.cloudbeds.com/connect/10074733072513#/reservations/31689895596256?display=Abelardo%20Nunez%20Aguilar&amp;reservation_id=31689895596256&amp;guest_id=31689895596252", "Abelardo Nunez Aguilar")</f>
        <v>Abelardo Nunez Aguilar</v>
      </c>
      <c r="E4655" t="s">
        <v>8373</v>
      </c>
      <c r="F4655" t="s">
        <v>8249</v>
      </c>
      <c r="G4655">
        <v>298</v>
      </c>
      <c r="H4655">
        <v>323.92</v>
      </c>
      <c r="I4655">
        <v>323.93</v>
      </c>
      <c r="J4655">
        <v>-0.01</v>
      </c>
    </row>
    <row r="4656" spans="1:10" x14ac:dyDescent="0.3">
      <c r="A4656" t="str">
        <f>HYPERLINK("https://us2.cloudbeds.com/connect/10074733072513#/reservations/31693755203837?display=MHYSTTX2M&amp;reservation_id=31693755203837", "MHYSTTX2M")</f>
        <v>MHYSTTX2M</v>
      </c>
      <c r="B4656" t="s">
        <v>10</v>
      </c>
      <c r="C4656" t="s">
        <v>42</v>
      </c>
      <c r="D4656" t="str">
        <f>HYPERLINK("https://us2.cloudbeds.com/connect/10074733072513#/reservations/31693755203837?display=Marvin%20Welch&amp;reservation_id=31693755203837&amp;guest_id=31693755203833", "Marvin Welch")</f>
        <v>Marvin Welch</v>
      </c>
      <c r="E4656" t="s">
        <v>8382</v>
      </c>
      <c r="F4656" t="s">
        <v>6742</v>
      </c>
      <c r="G4656">
        <v>170.1</v>
      </c>
      <c r="H4656">
        <v>184.89</v>
      </c>
      <c r="I4656">
        <v>184.9</v>
      </c>
      <c r="J4656">
        <v>-0.01</v>
      </c>
    </row>
    <row r="4657" spans="1:10" x14ac:dyDescent="0.3">
      <c r="A4657" t="str">
        <f>HYPERLINK("https://us2.cloudbeds.com/connect/10074733072513#/reservations/31695495864486?display=MHN7CYWT2&amp;reservation_id=31695495864486", "MHN7CYWT2")</f>
        <v>MHN7CYWT2</v>
      </c>
      <c r="B4657" t="s">
        <v>10</v>
      </c>
      <c r="C4657" t="s">
        <v>20</v>
      </c>
      <c r="D4657" t="str">
        <f>HYPERLINK("https://us2.cloudbeds.com/connect/10074733072513#/reservations/31695495864486?display=Sandra%20Hall&amp;reservation_id=31695495864486&amp;guest_id=31695487221903", "Sandra Hall")</f>
        <v>Sandra Hall</v>
      </c>
      <c r="E4657" t="s">
        <v>8386</v>
      </c>
      <c r="F4657" t="s">
        <v>8387</v>
      </c>
      <c r="G4657">
        <v>268.2</v>
      </c>
      <c r="H4657">
        <v>291.52</v>
      </c>
      <c r="I4657">
        <v>291.52999999999997</v>
      </c>
      <c r="J4657">
        <v>-0.01</v>
      </c>
    </row>
    <row r="4658" spans="1:10" x14ac:dyDescent="0.3">
      <c r="A4658" t="str">
        <f>HYPERLINK("https://us2.cloudbeds.com/connect/10074733072513#/reservations/31688357724359?display=MHHMWJNUG&amp;reservation_id=31688357724359", "MHHMWJNUG")</f>
        <v>MHHMWJNUG</v>
      </c>
      <c r="B4658" t="s">
        <v>10</v>
      </c>
      <c r="C4658" t="s">
        <v>42</v>
      </c>
      <c r="D4658" t="str">
        <f>HYPERLINK("https://us2.cloudbeds.com/connect/10074733072513#/reservations/31688357724359?display=Rella%20Botha&amp;reservation_id=31688357724359&amp;guest_id=31688357724357", "Rella Botha")</f>
        <v>Rella Botha</v>
      </c>
      <c r="E4658" t="s">
        <v>3748</v>
      </c>
      <c r="F4658" t="s">
        <v>8350</v>
      </c>
      <c r="G4658">
        <v>294.3</v>
      </c>
      <c r="H4658">
        <v>319.89</v>
      </c>
      <c r="I4658">
        <v>319.89999999999998</v>
      </c>
      <c r="J4658">
        <v>-0.01</v>
      </c>
    </row>
    <row r="4659" spans="1:10" x14ac:dyDescent="0.3">
      <c r="A4659" t="str">
        <f>HYPERLINK("https://us2.cloudbeds.com/connect/10074733072513#/reservations/31689873150149?display=MHXSNEMG4&amp;reservation_id=31689873150149", "MHXSNEMG4")</f>
        <v>MHXSNEMG4</v>
      </c>
      <c r="B4659" t="s">
        <v>10</v>
      </c>
      <c r="C4659" t="s">
        <v>42</v>
      </c>
      <c r="D4659" t="str">
        <f>HYPERLINK("https://us2.cloudbeds.com/connect/10074733072513#/reservations/31689873150149?display=Robin%20Berens&amp;reservation_id=31689873150149&amp;guest_id=31689873150145", "Robin Berens")</f>
        <v>Robin Berens</v>
      </c>
      <c r="E4659" t="s">
        <v>8396</v>
      </c>
      <c r="F4659" t="s">
        <v>8249</v>
      </c>
      <c r="G4659">
        <v>87.2</v>
      </c>
      <c r="H4659">
        <v>94.78</v>
      </c>
      <c r="I4659">
        <v>94.79</v>
      </c>
      <c r="J4659">
        <v>-0.01</v>
      </c>
    </row>
    <row r="4660" spans="1:10" x14ac:dyDescent="0.3">
      <c r="A4660" t="str">
        <f>HYPERLINK("https://us2.cloudbeds.com/connect/10074733072513#/reservations/31693586116743?display=MHYZJAESB&amp;reservation_id=31693586116743", "MHYZJAESB")</f>
        <v>MHYZJAESB</v>
      </c>
      <c r="B4660" t="s">
        <v>10</v>
      </c>
      <c r="C4660" t="s">
        <v>42</v>
      </c>
      <c r="D4660" t="str">
        <f>HYPERLINK("https://us2.cloudbeds.com/connect/10074733072513#/reservations/31693586116743?display=Mikele%20Wissing&amp;reservation_id=31693586116743&amp;guest_id=31693576511721", "Mikele Wissing")</f>
        <v>Mikele Wissing</v>
      </c>
      <c r="E4660" t="s">
        <v>8397</v>
      </c>
      <c r="F4660" t="s">
        <v>8389</v>
      </c>
      <c r="G4660">
        <v>333.6</v>
      </c>
      <c r="H4660">
        <v>362.61</v>
      </c>
      <c r="I4660">
        <v>362.62</v>
      </c>
      <c r="J4660">
        <v>-0.01</v>
      </c>
    </row>
    <row r="4661" spans="1:10" x14ac:dyDescent="0.3">
      <c r="A4661" t="str">
        <f>HYPERLINK("https://us2.cloudbeds.com/connect/10074733072513#/reservations/31693379903633?display=MHYJAE8Q7&amp;reservation_id=31693379903633", "MHYJAE8Q7")</f>
        <v>MHYJAE8Q7</v>
      </c>
      <c r="B4661" t="s">
        <v>10</v>
      </c>
      <c r="C4661" t="s">
        <v>11</v>
      </c>
      <c r="D4661" t="str">
        <f>HYPERLINK("https://us2.cloudbeds.com/connect/10074733072513#/reservations/31693379903633?display=June%20Wenande&amp;reservation_id=31693379903633&amp;guest_id=31693379903616", "June Wenande")</f>
        <v>June Wenande</v>
      </c>
      <c r="E4661" t="s">
        <v>8399</v>
      </c>
      <c r="F4661" t="s">
        <v>7952</v>
      </c>
      <c r="G4661">
        <v>117.42</v>
      </c>
      <c r="H4661">
        <v>127.63</v>
      </c>
      <c r="I4661">
        <v>127.64</v>
      </c>
      <c r="J4661">
        <v>-0.01</v>
      </c>
    </row>
    <row r="4662" spans="1:10" x14ac:dyDescent="0.3">
      <c r="A4662" t="str">
        <f>HYPERLINK("https://us2.cloudbeds.com/connect/10074733072513#/reservations/31693374394555?display=MHYJ5PVVF&amp;reservation_id=31693374394555", "MHYJ5PVVF")</f>
        <v>MHYJ5PVVF</v>
      </c>
      <c r="B4662" t="s">
        <v>10</v>
      </c>
      <c r="C4662" t="s">
        <v>11</v>
      </c>
      <c r="D4662" t="str">
        <f>HYPERLINK("https://us2.cloudbeds.com/connect/10074733072513#/reservations/31693374394555?display=Laura%20Wenande&amp;reservation_id=31693374394555&amp;guest_id=31693374394539", "Laura Wenande")</f>
        <v>Laura Wenande</v>
      </c>
      <c r="E4662" t="s">
        <v>8402</v>
      </c>
      <c r="F4662" t="s">
        <v>7952</v>
      </c>
      <c r="G4662">
        <v>117.42</v>
      </c>
      <c r="H4662">
        <v>127.63</v>
      </c>
      <c r="I4662">
        <v>127.64</v>
      </c>
      <c r="J4662">
        <v>-0.01</v>
      </c>
    </row>
    <row r="4663" spans="1:10" x14ac:dyDescent="0.3">
      <c r="A4663" t="str">
        <f>HYPERLINK("https://us2.cloudbeds.com/connect/10074733072513#/reservations/31694919905496?display=MHMPM02UB&amp;reservation_id=31694919905496", "MHMPM02UB")</f>
        <v>MHMPM02UB</v>
      </c>
      <c r="B4663" t="s">
        <v>10</v>
      </c>
      <c r="C4663" t="s">
        <v>14</v>
      </c>
      <c r="D4663" t="str">
        <f>HYPERLINK("https://us2.cloudbeds.com/connect/10074733072513#/reservations/31694919905496?display=Lynda%20Wolfe&amp;reservation_id=31694919905496&amp;guest_id=31694910890157", "Lynda Wolfe")</f>
        <v>Lynda Wolfe</v>
      </c>
      <c r="E4663" t="s">
        <v>8403</v>
      </c>
      <c r="F4663" t="s">
        <v>8266</v>
      </c>
      <c r="G4663">
        <v>87.2</v>
      </c>
      <c r="H4663">
        <v>94.78</v>
      </c>
      <c r="I4663">
        <v>94.79</v>
      </c>
      <c r="J4663">
        <v>-0.01</v>
      </c>
    </row>
    <row r="4664" spans="1:10" x14ac:dyDescent="0.3">
      <c r="A4664" t="str">
        <f>HYPERLINK("https://us2.cloudbeds.com/connect/10074733072513#/reservations/31694197952677?display=MHM777MM6&amp;reservation_id=31694197952677", "MHM777MM6")</f>
        <v>MHM777MM6</v>
      </c>
      <c r="B4664" t="s">
        <v>10</v>
      </c>
      <c r="C4664" t="s">
        <v>11</v>
      </c>
      <c r="D4664" t="str">
        <f>HYPERLINK("https://us2.cloudbeds.com/connect/10074733072513#/reservations/31694197952677?display=Janis%20Johnson&amp;reservation_id=31694197952677&amp;guest_id=31694197952665", "Janis Johnson")</f>
        <v>Janis Johnson</v>
      </c>
      <c r="E4664" t="s">
        <v>8404</v>
      </c>
      <c r="F4664" t="s">
        <v>8213</v>
      </c>
      <c r="G4664">
        <v>143.19999999999999</v>
      </c>
      <c r="H4664">
        <v>155.65</v>
      </c>
      <c r="I4664">
        <v>155.66</v>
      </c>
      <c r="J4664">
        <v>-0.01</v>
      </c>
    </row>
    <row r="4665" spans="1:10" x14ac:dyDescent="0.3">
      <c r="A4665" t="str">
        <f>HYPERLINK("https://us2.cloudbeds.com/connect/10074733072513#/reservations/31694948257938?display=MHMQCU178&amp;reservation_id=31694948257938", "MHMQCU178")</f>
        <v>MHMQCU178</v>
      </c>
      <c r="B4665" t="s">
        <v>10</v>
      </c>
      <c r="C4665" t="s">
        <v>14</v>
      </c>
      <c r="D4665" t="str">
        <f>HYPERLINK("https://us2.cloudbeds.com/connect/10074733072513#/reservations/31694948257938?display=Carolyn%20Febr&amp;reservation_id=31694948257938&amp;guest_id=31694948257922", "Carolyn Febr")</f>
        <v>Carolyn Febr</v>
      </c>
      <c r="E4665" t="s">
        <v>8405</v>
      </c>
      <c r="F4665" t="s">
        <v>8266</v>
      </c>
      <c r="G4665">
        <v>87.2</v>
      </c>
      <c r="H4665">
        <v>94.78</v>
      </c>
      <c r="I4665">
        <v>94.79</v>
      </c>
      <c r="J4665">
        <v>-0.01</v>
      </c>
    </row>
    <row r="4666" spans="1:10" x14ac:dyDescent="0.3">
      <c r="A4666" t="str">
        <f>HYPERLINK("https://us2.cloudbeds.com/connect/10074733072513#/reservations/31684408119493?display=MHEY264SX&amp;reservation_id=31684408119493", "MHEY264SX")</f>
        <v>MHEY264SX</v>
      </c>
      <c r="B4666" t="s">
        <v>10</v>
      </c>
      <c r="C4666" t="s">
        <v>14</v>
      </c>
      <c r="D4666" t="str">
        <f>HYPERLINK("https://us2.cloudbeds.com/connect/10074733072513#/reservations/31684408119493?display=Kaey%20Wooden&amp;reservation_id=31684408119493&amp;guest_id=31684404297887", "Kaey Wooden")</f>
        <v>Kaey Wooden</v>
      </c>
      <c r="E4666" t="s">
        <v>8409</v>
      </c>
      <c r="F4666" t="s">
        <v>7952</v>
      </c>
      <c r="G4666">
        <v>234.84</v>
      </c>
      <c r="H4666">
        <v>255.26</v>
      </c>
      <c r="I4666">
        <v>255.27</v>
      </c>
      <c r="J4666">
        <v>-0.01</v>
      </c>
    </row>
    <row r="4667" spans="1:10" x14ac:dyDescent="0.3">
      <c r="A4667" t="str">
        <f>HYPERLINK("https://us2.cloudbeds.com/connect/10074733072513#/reservations/31691295133936?display=MHJW1GFNU&amp;reservation_id=31691295133936", "MHJW1GFNU")</f>
        <v>MHJW1GFNU</v>
      </c>
      <c r="B4667" t="s">
        <v>10</v>
      </c>
      <c r="C4667" t="s">
        <v>23</v>
      </c>
      <c r="D4667" t="str">
        <f>HYPERLINK("https://us2.cloudbeds.com/connect/10074733072513#/reservations/31691295133936?display=Linda%20Klebel&amp;reservation_id=31691295133936&amp;guest_id=31691287109779", "Linda Klebel")</f>
        <v>Linda Klebel</v>
      </c>
      <c r="E4667" t="s">
        <v>8412</v>
      </c>
      <c r="F4667" t="s">
        <v>8413</v>
      </c>
      <c r="G4667">
        <v>259.2</v>
      </c>
      <c r="H4667">
        <v>281.74</v>
      </c>
      <c r="I4667">
        <v>281.75</v>
      </c>
      <c r="J4667">
        <v>-0.01</v>
      </c>
    </row>
    <row r="4668" spans="1:10" x14ac:dyDescent="0.3">
      <c r="A4668" t="str">
        <f>HYPERLINK("https://us2.cloudbeds.com/connect/10074733072513#/reservations/31693398098115?display=MHYJPPXA5&amp;reservation_id=31693398098115", "MHYJPPXA5")</f>
        <v>MHYJPPXA5</v>
      </c>
      <c r="B4668" t="s">
        <v>10</v>
      </c>
      <c r="C4668" t="s">
        <v>11</v>
      </c>
      <c r="D4668" t="str">
        <f>HYPERLINK("https://us2.cloudbeds.com/connect/10074733072513#/reservations/31693398098115?display=Jennifer%20Lillis&amp;reservation_id=31693398098115&amp;guest_id=31693389537492", "Jennifer Lillis")</f>
        <v>Jennifer Lillis</v>
      </c>
      <c r="E4668" t="s">
        <v>8415</v>
      </c>
      <c r="F4668" t="s">
        <v>7952</v>
      </c>
      <c r="G4668">
        <v>143.19999999999999</v>
      </c>
      <c r="H4668">
        <v>155.65</v>
      </c>
      <c r="I4668">
        <v>155.66</v>
      </c>
      <c r="J4668">
        <v>-0.01</v>
      </c>
    </row>
    <row r="4669" spans="1:10" x14ac:dyDescent="0.3">
      <c r="A4669" t="str">
        <f>HYPERLINK("https://us2.cloudbeds.com/connect/10074733072513#/reservations/31692454166751?display=MHKSYR90E&amp;reservation_id=31692454166751", "MHKSYR90E")</f>
        <v>MHKSYR90E</v>
      </c>
      <c r="B4669" t="s">
        <v>10</v>
      </c>
      <c r="C4669" t="s">
        <v>11</v>
      </c>
      <c r="D4669" t="str">
        <f>HYPERLINK("https://us2.cloudbeds.com/connect/10074733072513#/reservations/31692454166751?display=Trent%20Herman&amp;reservation_id=31692454166751&amp;guest_id=31692446273669", "Trent Herman")</f>
        <v>Trent Herman</v>
      </c>
      <c r="E4669" t="s">
        <v>8416</v>
      </c>
      <c r="F4669" t="s">
        <v>8247</v>
      </c>
      <c r="G4669">
        <v>196.2</v>
      </c>
      <c r="H4669">
        <v>213.26</v>
      </c>
      <c r="I4669">
        <v>213.27</v>
      </c>
      <c r="J4669">
        <v>-0.01</v>
      </c>
    </row>
    <row r="4670" spans="1:10" x14ac:dyDescent="0.3">
      <c r="A4670" t="str">
        <f>HYPERLINK("https://us2.cloudbeds.com/connect/10074733072513#/reservations/31690134143119?display=MHJ2CH6F0&amp;reservation_id=31690134143119", "MHJ2CH6F0")</f>
        <v>MHJ2CH6F0</v>
      </c>
      <c r="B4670" t="s">
        <v>10</v>
      </c>
      <c r="C4670" t="s">
        <v>14</v>
      </c>
      <c r="D4670" t="str">
        <f>HYPERLINK("https://us2.cloudbeds.com/connect/10074733072513#/reservations/31690134143119?display=Jenni%20Carter&amp;reservation_id=31690134143119&amp;guest_id=31690134143115", "Jenni Carter")</f>
        <v>Jenni Carter</v>
      </c>
      <c r="E4670" t="s">
        <v>8421</v>
      </c>
      <c r="F4670" t="s">
        <v>7567</v>
      </c>
      <c r="G4670">
        <v>254.4</v>
      </c>
      <c r="H4670">
        <v>276.52</v>
      </c>
      <c r="I4670">
        <v>276.52999999999997</v>
      </c>
      <c r="J4670">
        <v>-0.01</v>
      </c>
    </row>
    <row r="4671" spans="1:10" x14ac:dyDescent="0.3">
      <c r="A4671" t="str">
        <f>HYPERLINK("https://us2.cloudbeds.com/connect/10074733072513#/reservations/31691372536022?display=MHK10PA0M&amp;reservation_id=31691372536022", "MHK10PA0M")</f>
        <v>MHK10PA0M</v>
      </c>
      <c r="B4671" t="s">
        <v>10</v>
      </c>
      <c r="C4671" t="s">
        <v>14</v>
      </c>
      <c r="D4671" t="str">
        <f>HYPERLINK("https://us2.cloudbeds.com/connect/10074733072513#/reservations/31691372536022?display=Chris%20Heim&amp;reservation_id=31691372536022&amp;guest_id=31691372536017", "Chris Heim")</f>
        <v>Chris Heim</v>
      </c>
      <c r="E4671" t="s">
        <v>8424</v>
      </c>
      <c r="F4671" t="s">
        <v>7567</v>
      </c>
      <c r="G4671">
        <v>254.4</v>
      </c>
      <c r="H4671">
        <v>276.52</v>
      </c>
      <c r="I4671">
        <v>276.52999999999997</v>
      </c>
      <c r="J4671">
        <v>-0.01</v>
      </c>
    </row>
    <row r="4672" spans="1:10" x14ac:dyDescent="0.3">
      <c r="A4672" t="str">
        <f>HYPERLINK("https://us2.cloudbeds.com/connect/10074733072513#/reservations/31693403689115?display=MHYJUG4CD&amp;reservation_id=31693403689115", "MHYJUG4CD")</f>
        <v>MHYJUG4CD</v>
      </c>
      <c r="B4672" t="s">
        <v>10</v>
      </c>
      <c r="C4672" t="s">
        <v>14</v>
      </c>
      <c r="D4672" t="str">
        <f>HYPERLINK("https://us2.cloudbeds.com/connect/10074733072513#/reservations/31693403689115?display=Amy%20Johnson&amp;reservation_id=31693403689115&amp;guest_id=31693398098174", "Amy Johnson")</f>
        <v>Amy Johnson</v>
      </c>
      <c r="E4672" t="s">
        <v>8431</v>
      </c>
      <c r="F4672" t="s">
        <v>7952</v>
      </c>
      <c r="G4672">
        <v>167.2</v>
      </c>
      <c r="H4672">
        <v>181.74</v>
      </c>
      <c r="I4672">
        <v>181.75</v>
      </c>
      <c r="J4672">
        <v>-0.01</v>
      </c>
    </row>
    <row r="4673" spans="1:10" x14ac:dyDescent="0.3">
      <c r="A4673" t="str">
        <f>HYPERLINK("https://us2.cloudbeds.com/connect/10074733072513#/reservations/31695419945180?display=MHN5EYE60&amp;reservation_id=31695419945180", "MHN5EYE60")</f>
        <v>MHN5EYE60</v>
      </c>
      <c r="B4673" t="s">
        <v>10</v>
      </c>
      <c r="C4673" t="s">
        <v>42</v>
      </c>
      <c r="D4673" t="str">
        <f>HYPERLINK("https://us2.cloudbeds.com/connect/10074733072513#/reservations/31695419945180?display=Rick%20Hurd&amp;reservation_id=31695419945180&amp;guest_id=30651229962403", "Rick Hurd")</f>
        <v>Rick Hurd</v>
      </c>
      <c r="E4673" t="s">
        <v>4521</v>
      </c>
      <c r="F4673" t="s">
        <v>8266</v>
      </c>
      <c r="G4673">
        <v>196.2</v>
      </c>
      <c r="H4673">
        <v>213.26</v>
      </c>
      <c r="I4673">
        <v>213.27</v>
      </c>
      <c r="J4673">
        <v>-0.01</v>
      </c>
    </row>
    <row r="4674" spans="1:10" x14ac:dyDescent="0.3">
      <c r="A4674" t="str">
        <f>HYPERLINK("https://us2.cloudbeds.com/connect/10074733072513#/reservations/31695138599115?display=MHMV8DXGN&amp;reservation_id=31695138599115", "MHMV8DXGN")</f>
        <v>MHMV8DXGN</v>
      </c>
      <c r="B4674" t="s">
        <v>10</v>
      </c>
      <c r="C4674" t="s">
        <v>42</v>
      </c>
      <c r="D4674" t="str">
        <f>HYPERLINK("https://us2.cloudbeds.com/connect/10074733072513#/reservations/31695138599115?display=Jessica%20Voelker&amp;reservation_id=31695138599115&amp;guest_id=31695128096943", "Jessica Voelker")</f>
        <v>Jessica Voelker</v>
      </c>
      <c r="E4674" t="s">
        <v>3773</v>
      </c>
      <c r="F4674" t="s">
        <v>8452</v>
      </c>
      <c r="G4674">
        <v>127.2</v>
      </c>
      <c r="H4674">
        <v>138.26</v>
      </c>
      <c r="I4674">
        <v>138.27000000000001</v>
      </c>
      <c r="J4674">
        <v>-0.01</v>
      </c>
    </row>
    <row r="4675" spans="1:10" x14ac:dyDescent="0.3">
      <c r="A4675" t="str">
        <f>HYPERLINK("https://us2.cloudbeds.com/connect/10074733072513#/reservations/31692564783300?display=MHKVG3B92&amp;reservation_id=31692564783300", "MHKVG3B92")</f>
        <v>MHKVG3B92</v>
      </c>
      <c r="B4675" t="s">
        <v>10</v>
      </c>
      <c r="C4675" t="s">
        <v>23</v>
      </c>
      <c r="D4675" t="str">
        <f>HYPERLINK("https://us2.cloudbeds.com/connect/10074733072513#/reservations/31692564783300?display=Dawn%20Matlock&amp;reservation_id=31692564783300&amp;guest_id=31681589182696", "Dawn Matlock")</f>
        <v>Dawn Matlock</v>
      </c>
      <c r="E4675" t="s">
        <v>2960</v>
      </c>
      <c r="F4675" t="s">
        <v>8453</v>
      </c>
      <c r="G4675">
        <v>375.3</v>
      </c>
      <c r="H4675">
        <v>407.94</v>
      </c>
      <c r="I4675">
        <v>407.95</v>
      </c>
      <c r="J4675">
        <v>-0.01</v>
      </c>
    </row>
    <row r="4676" spans="1:10" x14ac:dyDescent="0.3">
      <c r="A4676" t="str">
        <f>HYPERLINK("https://us2.cloudbeds.com/connect/10074733072513#/reservations/31691870511274?display=MHKDZM6XR&amp;reservation_id=31691870511274", "MHKDZM6XR")</f>
        <v>MHKDZM6XR</v>
      </c>
      <c r="B4676" t="s">
        <v>10</v>
      </c>
      <c r="C4676" t="s">
        <v>14</v>
      </c>
      <c r="D4676" t="str">
        <f>HYPERLINK("https://us2.cloudbeds.com/connect/10074733072513#/reservations/31691870511274?display=Keaton%20Beaudette&amp;reservation_id=31691870511274&amp;guest_id=31691860062368", "Keaton Beaudette")</f>
        <v>Keaton Beaudette</v>
      </c>
      <c r="E4676" t="s">
        <v>8456</v>
      </c>
      <c r="F4676" t="s">
        <v>8034</v>
      </c>
      <c r="G4676">
        <v>127.2</v>
      </c>
      <c r="H4676">
        <v>138.26</v>
      </c>
      <c r="I4676">
        <v>138.27000000000001</v>
      </c>
      <c r="J4676">
        <v>-0.01</v>
      </c>
    </row>
    <row r="4677" spans="1:10" x14ac:dyDescent="0.3">
      <c r="A4677" t="str">
        <f>HYPERLINK("https://us2.cloudbeds.com/connect/10074733072513#/reservations/31689339887775?display=MHXF2PSN8&amp;reservation_id=31689339887775", "MHXF2PSN8")</f>
        <v>MHXF2PSN8</v>
      </c>
      <c r="B4677" t="s">
        <v>10</v>
      </c>
      <c r="C4677" t="s">
        <v>42</v>
      </c>
      <c r="D4677" t="str">
        <f>HYPERLINK("https://us2.cloudbeds.com/connect/10074733072513#/reservations/31689339887775?display=Holly%20Bradford&amp;reservation_id=31689339887775&amp;guest_id=31689339887773", "Holly Bradford")</f>
        <v>Holly Bradford</v>
      </c>
      <c r="E4677" t="s">
        <v>8457</v>
      </c>
      <c r="F4677" t="s">
        <v>7952</v>
      </c>
      <c r="G4677">
        <v>254.4</v>
      </c>
      <c r="H4677">
        <v>276.52</v>
      </c>
      <c r="I4677">
        <v>276.52999999999997</v>
      </c>
      <c r="J4677">
        <v>-0.01</v>
      </c>
    </row>
    <row r="4678" spans="1:10" x14ac:dyDescent="0.3">
      <c r="A4678" t="str">
        <f>HYPERLINK("https://us2.cloudbeds.com/connect/10074733072513#/reservations/31691121664173?display=MHJRK7E0E&amp;reservation_id=31691121664173", "MHJRK7E0E")</f>
        <v>MHJRK7E0E</v>
      </c>
      <c r="B4678" t="s">
        <v>10</v>
      </c>
      <c r="C4678" t="s">
        <v>42</v>
      </c>
      <c r="D4678" t="str">
        <f>HYPERLINK("https://us2.cloudbeds.com/connect/10074733072513#/reservations/31691121664173?display=Alison%20Buckmen&amp;reservation_id=31691121664173&amp;guest_id=31691109183699", "Alison Buckmen")</f>
        <v>Alison Buckmen</v>
      </c>
      <c r="E4678" t="s">
        <v>8458</v>
      </c>
      <c r="F4678" t="s">
        <v>8338</v>
      </c>
      <c r="G4678">
        <v>196.2</v>
      </c>
      <c r="H4678">
        <v>213.26</v>
      </c>
      <c r="I4678">
        <v>213.27</v>
      </c>
      <c r="J4678">
        <v>-0.01</v>
      </c>
    </row>
    <row r="4679" spans="1:10" x14ac:dyDescent="0.3">
      <c r="A4679" t="str">
        <f>HYPERLINK("https://us2.cloudbeds.com/connect/10074733072513#/reservations/31692349694192?display=MHKPWZ5KA&amp;reservation_id=31692349694192", "MHKPWZ5KA")</f>
        <v>MHKPWZ5KA</v>
      </c>
      <c r="B4679" t="s">
        <v>10</v>
      </c>
      <c r="C4679" t="s">
        <v>42</v>
      </c>
      <c r="D4679" t="str">
        <f>HYPERLINK("https://us2.cloudbeds.com/connect/10074733072513#/reservations/31692349694192?display=Ashley%20Steeneck&amp;reservation_id=31692349694192&amp;guest_id=31692342542489", "Ashley Steeneck")</f>
        <v>Ashley Steeneck</v>
      </c>
      <c r="E4679" t="s">
        <v>8465</v>
      </c>
      <c r="F4679" t="s">
        <v>8338</v>
      </c>
      <c r="G4679">
        <v>196.2</v>
      </c>
      <c r="H4679">
        <v>213.26</v>
      </c>
      <c r="I4679">
        <v>213.27</v>
      </c>
      <c r="J4679">
        <v>-0.01</v>
      </c>
    </row>
    <row r="4680" spans="1:10" x14ac:dyDescent="0.3">
      <c r="A4680" t="str">
        <f>HYPERLINK("https://us2.cloudbeds.com/connect/10074733072513#/reservations/31690040713399?display=MHXWWZCDC&amp;reservation_id=31690040713399", "MHXWWZCDC")</f>
        <v>MHXWWZCDC</v>
      </c>
      <c r="B4680" t="s">
        <v>10</v>
      </c>
      <c r="C4680" t="s">
        <v>42</v>
      </c>
      <c r="D4680" t="str">
        <f>HYPERLINK("https://us2.cloudbeds.com/connect/10074733072513#/reservations/31690040713399?display=Helan%20Crow&amp;reservation_id=31690040713399&amp;guest_id=31690040713395", "Helan Crow")</f>
        <v>Helan Crow</v>
      </c>
      <c r="E4680" t="s">
        <v>8466</v>
      </c>
      <c r="F4680" t="s">
        <v>8347</v>
      </c>
      <c r="G4680">
        <v>134.1</v>
      </c>
      <c r="H4680">
        <v>145.76</v>
      </c>
      <c r="I4680">
        <v>145.77000000000001</v>
      </c>
      <c r="J4680">
        <v>-0.01</v>
      </c>
    </row>
    <row r="4681" spans="1:10" x14ac:dyDescent="0.3">
      <c r="A4681" t="str">
        <f>HYPERLINK("https://us2.cloudbeds.com/connect/10074733072513#/reservations/31688199479502?display=MHHXV5ARQ&amp;reservation_id=31688199479502", "MHHXV5ARQ")</f>
        <v>MHHXV5ARQ</v>
      </c>
      <c r="B4681" t="s">
        <v>10</v>
      </c>
      <c r="C4681" t="s">
        <v>121</v>
      </c>
      <c r="D4681" t="str">
        <f>HYPERLINK("https://us2.cloudbeds.com/connect/10074733072513#/reservations/31688199479502?display=Tiffany%20White%20Eyes&amp;reservation_id=31688199479502&amp;guest_id=31688195760282", "Tiffany White Eyes")</f>
        <v>Tiffany White Eyes</v>
      </c>
      <c r="E4681" t="s">
        <v>8469</v>
      </c>
      <c r="F4681" t="s">
        <v>8434</v>
      </c>
      <c r="G4681">
        <v>90.2</v>
      </c>
      <c r="H4681">
        <v>98.04</v>
      </c>
      <c r="I4681">
        <v>98.05</v>
      </c>
      <c r="J4681">
        <v>-0.01</v>
      </c>
    </row>
    <row r="4682" spans="1:10" x14ac:dyDescent="0.3">
      <c r="A4682" t="str">
        <f>HYPERLINK("https://us2.cloudbeds.com/connect/10074733072513#/reservations/31691192426691?display=MHJTDTGC5&amp;reservation_id=31691192426691", "MHJTDTGC5")</f>
        <v>MHJTDTGC5</v>
      </c>
      <c r="B4682" t="s">
        <v>10</v>
      </c>
      <c r="C4682" t="s">
        <v>23</v>
      </c>
      <c r="D4682" t="str">
        <f>HYPERLINK("https://us2.cloudbeds.com/connect/10074733072513#/reservations/31691192426691?display=Holly%20Hubers&amp;reservation_id=31691192426691&amp;guest_id=31691186487458", "Holly Hubers")</f>
        <v>Holly Hubers</v>
      </c>
      <c r="E4682" t="s">
        <v>3152</v>
      </c>
      <c r="F4682" t="s">
        <v>8470</v>
      </c>
      <c r="G4682">
        <v>250.2</v>
      </c>
      <c r="H4682">
        <v>271.95999999999998</v>
      </c>
      <c r="I4682">
        <v>271.97000000000003</v>
      </c>
      <c r="J4682">
        <v>-0.01</v>
      </c>
    </row>
    <row r="4683" spans="1:10" x14ac:dyDescent="0.3">
      <c r="A4683" t="str">
        <f>HYPERLINK("https://us2.cloudbeds.com/connect/10074733072513#/reservations/31693740622067?display=MHYSHJQ0S&amp;reservation_id=31693740622067", "MHYSHJQ0S")</f>
        <v>MHYSHJQ0S</v>
      </c>
      <c r="B4683" t="s">
        <v>10</v>
      </c>
      <c r="C4683" t="s">
        <v>42</v>
      </c>
      <c r="D4683" t="str">
        <f>HYPERLINK("https://us2.cloudbeds.com/connect/10074733072513#/reservations/31693740622067?display=Steve%20Soldan%20Surprise%20Guest%20Shhh%20Don'%20Tell&amp;reservation_id=31693740622067&amp;guest_id=31693740622050", "Steve Soldan Surprise Guest Shhh Don' Tell")</f>
        <v>Steve Soldan Surprise Guest Shhh Don' Tell</v>
      </c>
      <c r="E4683" t="s">
        <v>8472</v>
      </c>
      <c r="F4683" t="s">
        <v>8210</v>
      </c>
      <c r="G4683">
        <v>196.2</v>
      </c>
      <c r="H4683">
        <v>213.26</v>
      </c>
      <c r="I4683">
        <v>213.27</v>
      </c>
      <c r="J4683">
        <v>-0.01</v>
      </c>
    </row>
    <row r="4684" spans="1:10" x14ac:dyDescent="0.3">
      <c r="A4684" t="str">
        <f>HYPERLINK("https://us2.cloudbeds.com/connect/10074733072513#/reservations/31690276782236?display=MHJ60QB6G&amp;reservation_id=31690276782236", "MHJ60QB6G")</f>
        <v>MHJ60QB6G</v>
      </c>
      <c r="B4684" t="s">
        <v>10</v>
      </c>
      <c r="C4684" t="s">
        <v>14</v>
      </c>
      <c r="D4684" t="str">
        <f>HYPERLINK("https://us2.cloudbeds.com/connect/10074733072513#/reservations/31690276782236?display=Natalie%20Oellien&amp;reservation_id=31690276782236&amp;guest_id=31690276782221", "Natalie Oellien")</f>
        <v>Natalie Oellien</v>
      </c>
      <c r="E4684" t="s">
        <v>8479</v>
      </c>
      <c r="F4684" t="s">
        <v>8281</v>
      </c>
      <c r="G4684">
        <v>127.2</v>
      </c>
      <c r="H4684">
        <v>138.26</v>
      </c>
      <c r="I4684">
        <v>138.27000000000001</v>
      </c>
      <c r="J4684">
        <v>-0.01</v>
      </c>
    </row>
    <row r="4685" spans="1:10" x14ac:dyDescent="0.3">
      <c r="A4685" t="str">
        <f>HYPERLINK("https://us2.cloudbeds.com/connect/10074733072513#/reservations/31690721951943?display=MHJHD5RQK&amp;reservation_id=31690721951943", "MHJHD5RQK")</f>
        <v>MHJHD5RQK</v>
      </c>
      <c r="B4685" t="s">
        <v>10</v>
      </c>
      <c r="C4685" t="s">
        <v>23</v>
      </c>
      <c r="D4685" t="str">
        <f>HYPERLINK("https://us2.cloudbeds.com/connect/10074733072513#/reservations/31690721951943?display=Cassie%20Shirley&amp;reservation_id=31690721951943&amp;guest_id=31690721280235", "Cassie Shirley")</f>
        <v>Cassie Shirley</v>
      </c>
      <c r="E4685" t="s">
        <v>8483</v>
      </c>
      <c r="F4685" t="s">
        <v>8281</v>
      </c>
      <c r="G4685">
        <v>170.1</v>
      </c>
      <c r="H4685">
        <v>184.89</v>
      </c>
      <c r="I4685">
        <v>184.9</v>
      </c>
      <c r="J4685">
        <v>-0.01</v>
      </c>
    </row>
    <row r="4686" spans="1:10" x14ac:dyDescent="0.3">
      <c r="A4686" t="str">
        <f>HYPERLINK("https://us2.cloudbeds.com/connect/10074733072513#/reservations/31691921543400?display=MHKF1N80S&amp;reservation_id=31691921543400", "MHKF1N80S")</f>
        <v>MHKF1N80S</v>
      </c>
      <c r="B4686" t="s">
        <v>10</v>
      </c>
      <c r="C4686" t="s">
        <v>14</v>
      </c>
      <c r="D4686" t="str">
        <f>HYPERLINK("https://us2.cloudbeds.com/connect/10074733072513#/reservations/31691921543400?display=Troy%20Black&amp;reservation_id=31691921543400&amp;guest_id=31691921543382", "Troy Black")</f>
        <v>Troy Black</v>
      </c>
      <c r="E4686" t="s">
        <v>8490</v>
      </c>
      <c r="F4686" t="s">
        <v>8034</v>
      </c>
      <c r="G4686">
        <v>254.4</v>
      </c>
      <c r="H4686">
        <v>276.52</v>
      </c>
      <c r="I4686">
        <v>276.52999999999997</v>
      </c>
      <c r="J4686">
        <v>-0.01</v>
      </c>
    </row>
    <row r="4687" spans="1:10" x14ac:dyDescent="0.3">
      <c r="A4687" t="str">
        <f>HYPERLINK("https://us2.cloudbeds.com/connect/10074733072513#/reservations/31692234162323?display=MHKN1AAZJ&amp;reservation_id=31692234162323", "MHKN1AAZJ")</f>
        <v>MHKN1AAZJ</v>
      </c>
      <c r="B4687" t="s">
        <v>10</v>
      </c>
      <c r="C4687" t="s">
        <v>11</v>
      </c>
      <c r="D4687" t="str">
        <f>HYPERLINK("https://us2.cloudbeds.com/connect/10074733072513#/reservations/31692234162323?display=Ha%20Le&amp;reservation_id=31692234162323&amp;guest_id=31692234162321", "Ha Le")</f>
        <v>Ha Le</v>
      </c>
      <c r="E4687" t="s">
        <v>8491</v>
      </c>
      <c r="F4687" t="s">
        <v>8281</v>
      </c>
      <c r="G4687">
        <v>127.2</v>
      </c>
      <c r="H4687">
        <v>138.26</v>
      </c>
      <c r="I4687">
        <v>138.27000000000001</v>
      </c>
      <c r="J4687">
        <v>-0.01</v>
      </c>
    </row>
    <row r="4688" spans="1:10" x14ac:dyDescent="0.3">
      <c r="A4688" t="str">
        <f>HYPERLINK("https://us2.cloudbeds.com/connect/10074733072513#/reservations/31692369997953?display=MHKQGS50Q&amp;reservation_id=31692369997953", "MHKQGS50Q")</f>
        <v>MHKQGS50Q</v>
      </c>
      <c r="B4688" t="s">
        <v>10</v>
      </c>
      <c r="C4688" t="s">
        <v>17</v>
      </c>
      <c r="D4688" t="str">
        <f>HYPERLINK("https://us2.cloudbeds.com/connect/10074733072513#/reservations/31692369997953?display=Elizabeth%20Kelley&amp;reservation_id=31692369997953&amp;guest_id=31692369993916", "Elizabeth Kelley")</f>
        <v>Elizabeth Kelley</v>
      </c>
      <c r="E4688" t="s">
        <v>8494</v>
      </c>
      <c r="F4688" t="s">
        <v>8338</v>
      </c>
      <c r="G4688">
        <v>170.1</v>
      </c>
      <c r="H4688">
        <v>184.89</v>
      </c>
      <c r="I4688">
        <v>184.9</v>
      </c>
      <c r="J4688">
        <v>-0.01</v>
      </c>
    </row>
    <row r="4689" spans="1:10" x14ac:dyDescent="0.3">
      <c r="A4689" t="str">
        <f>HYPERLINK("https://us2.cloudbeds.com/connect/10074733072513#/reservations/31730917494930?display=MXHYG42JP&amp;reservation_id=31730917494930", "MXHYG42JP")</f>
        <v>MXHYG42JP</v>
      </c>
      <c r="B4689" t="s">
        <v>10</v>
      </c>
      <c r="C4689" t="s">
        <v>11</v>
      </c>
      <c r="D4689" t="str">
        <f>HYPERLINK("https://us2.cloudbeds.com/connect/10074733072513#/reservations/31730917494930?display=Elizabeth%20Barham&amp;reservation_id=31730917494930&amp;guest_id=31730903130240", "Elizabeth Barham")</f>
        <v>Elizabeth Barham</v>
      </c>
      <c r="E4689" t="s">
        <v>8510</v>
      </c>
      <c r="F4689" t="s">
        <v>8511</v>
      </c>
      <c r="G4689">
        <v>122.18</v>
      </c>
      <c r="H4689">
        <v>132.80000000000001</v>
      </c>
      <c r="I4689">
        <v>132.81</v>
      </c>
      <c r="J4689">
        <v>-0.01</v>
      </c>
    </row>
    <row r="4690" spans="1:10" x14ac:dyDescent="0.3">
      <c r="A4690" t="str">
        <f>HYPERLINK("https://us2.cloudbeds.com/connect/10074733072513#/reservations/31690304389345?display=MHJ6Z2X2X&amp;reservation_id=31690304389345", "MHJ6Z2X2X")</f>
        <v>MHJ6Z2X2X</v>
      </c>
      <c r="B4690" t="s">
        <v>10</v>
      </c>
      <c r="C4690" t="s">
        <v>14</v>
      </c>
      <c r="D4690" t="str">
        <f>HYPERLINK("https://us2.cloudbeds.com/connect/10074733072513#/reservations/31690304389345?display=Karen%20Peterson&amp;reservation_id=31690304389345&amp;guest_id=31690304389335", "Karen Peterson")</f>
        <v>Karen Peterson</v>
      </c>
      <c r="E4690" t="s">
        <v>8514</v>
      </c>
      <c r="F4690" t="s">
        <v>8281</v>
      </c>
      <c r="G4690">
        <v>127.2</v>
      </c>
      <c r="H4690">
        <v>138.26</v>
      </c>
      <c r="I4690">
        <v>138.27000000000001</v>
      </c>
      <c r="J4690">
        <v>-0.01</v>
      </c>
    </row>
    <row r="4691" spans="1:10" x14ac:dyDescent="0.3">
      <c r="A4691" t="str">
        <f>HYPERLINK("https://us2.cloudbeds.com/connect/10074733072513#/reservations/31690277384434?display=MHJ61A35U&amp;reservation_id=31690277384434", "MHJ61A35U")</f>
        <v>MHJ61A35U</v>
      </c>
      <c r="B4691" t="s">
        <v>10</v>
      </c>
      <c r="C4691" t="s">
        <v>14</v>
      </c>
      <c r="D4691" t="str">
        <f>HYPERLINK("https://us2.cloudbeds.com/connect/10074733072513#/reservations/31690277384434?display=Jorma%20Krause&amp;reservation_id=31690277384434&amp;guest_id=31690269835426", "Jorma Krause")</f>
        <v>Jorma Krause</v>
      </c>
      <c r="E4691" t="s">
        <v>8516</v>
      </c>
      <c r="F4691" t="s">
        <v>8408</v>
      </c>
      <c r="G4691">
        <v>208.6</v>
      </c>
      <c r="H4691">
        <v>226.74</v>
      </c>
      <c r="I4691">
        <v>226.75</v>
      </c>
      <c r="J4691">
        <v>-0.01</v>
      </c>
    </row>
    <row r="4692" spans="1:10" x14ac:dyDescent="0.3">
      <c r="A4692" t="str">
        <f>HYPERLINK("https://us2.cloudbeds.com/connect/10074733072513#/reservations/31691177066692?display=MHJT0V2MY&amp;reservation_id=31691177066692", "MHJT0V2MY")</f>
        <v>MHJT0V2MY</v>
      </c>
      <c r="B4692" t="s">
        <v>10</v>
      </c>
      <c r="C4692" t="s">
        <v>121</v>
      </c>
      <c r="D4692" t="str">
        <f>HYPERLINK("https://us2.cloudbeds.com/connect/10074733072513#/reservations/31691177066692?display=Danielle%20Lucas&amp;reservation_id=31691177066692&amp;guest_id=31691167768755", "Danielle Lucas")</f>
        <v>Danielle Lucas</v>
      </c>
      <c r="E4692" t="s">
        <v>8521</v>
      </c>
      <c r="F4692" t="s">
        <v>8338</v>
      </c>
      <c r="G4692">
        <v>127.2</v>
      </c>
      <c r="H4692">
        <v>138.26</v>
      </c>
      <c r="I4692">
        <v>138.27000000000001</v>
      </c>
      <c r="J4692">
        <v>-0.01</v>
      </c>
    </row>
    <row r="4693" spans="1:10" x14ac:dyDescent="0.3">
      <c r="A4693" t="str">
        <f>HYPERLINK("https://us2.cloudbeds.com/connect/10074733072513#/reservations/31689878581410?display=MHXSS0QSQ&amp;reservation_id=31689878581410", "MHXSS0QSQ")</f>
        <v>MHXSS0QSQ</v>
      </c>
      <c r="B4693" t="s">
        <v>10</v>
      </c>
      <c r="C4693" t="s">
        <v>11</v>
      </c>
      <c r="D4693" t="str">
        <f>HYPERLINK("https://us2.cloudbeds.com/connect/10074733072513#/reservations/31689878581410?display=Donna%20Rossow&amp;reservation_id=31689878581410&amp;guest_id=31689878581405", "Donna Rossow")</f>
        <v>Donna Rossow</v>
      </c>
      <c r="E4693" t="s">
        <v>8526</v>
      </c>
      <c r="F4693" t="s">
        <v>8102</v>
      </c>
      <c r="G4693">
        <v>208.6</v>
      </c>
      <c r="H4693">
        <v>226.74</v>
      </c>
      <c r="I4693">
        <v>226.75</v>
      </c>
      <c r="J4693">
        <v>-0.01</v>
      </c>
    </row>
    <row r="4694" spans="1:10" x14ac:dyDescent="0.3">
      <c r="A4694" t="str">
        <f>HYPERLINK("https://us2.cloudbeds.com/connect/10074733072513#/reservations/31693136679122?display=MHYD3B64G&amp;reservation_id=31693136679122", "MHYD3B64G")</f>
        <v>MHYD3B64G</v>
      </c>
      <c r="B4694" t="s">
        <v>10</v>
      </c>
      <c r="C4694" t="s">
        <v>17</v>
      </c>
      <c r="D4694" t="str">
        <f>HYPERLINK("https://us2.cloudbeds.com/connect/10074733072513#/reservations/31693136679122?display=Nicole%20Watson&amp;reservation_id=31693136679122&amp;guest_id=30668194078930", "Nicole Watson")</f>
        <v>Nicole Watson</v>
      </c>
      <c r="E4694" t="s">
        <v>539</v>
      </c>
      <c r="F4694" t="s">
        <v>8410</v>
      </c>
      <c r="G4694">
        <v>366.3</v>
      </c>
      <c r="H4694">
        <v>398.16</v>
      </c>
      <c r="I4694">
        <v>398.17</v>
      </c>
      <c r="J4694">
        <v>-0.01</v>
      </c>
    </row>
    <row r="4695" spans="1:10" x14ac:dyDescent="0.3">
      <c r="A4695" t="str">
        <f>HYPERLINK("https://us2.cloudbeds.com/connect/10074733072513#/reservations/31688560918676?display=MHHS5UTU1&amp;reservation_id=31688560918676", "MHHS5UTU1")</f>
        <v>MHHS5UTU1</v>
      </c>
      <c r="B4695" t="s">
        <v>10</v>
      </c>
      <c r="C4695" t="s">
        <v>42</v>
      </c>
      <c r="D4695" t="str">
        <f>HYPERLINK("https://us2.cloudbeds.com/connect/10074733072513#/reservations/31688560918676?display=Rick%20Hurd&amp;reservation_id=31688560918676&amp;guest_id=31680841072768", "Rick Hurd")</f>
        <v>Rick Hurd</v>
      </c>
      <c r="E4695" t="s">
        <v>6824</v>
      </c>
      <c r="F4695" t="s">
        <v>8482</v>
      </c>
      <c r="G4695">
        <v>222.4</v>
      </c>
      <c r="H4695">
        <v>241.74</v>
      </c>
      <c r="I4695">
        <v>241.75</v>
      </c>
      <c r="J4695">
        <v>-0.01</v>
      </c>
    </row>
    <row r="4696" spans="1:10" x14ac:dyDescent="0.3">
      <c r="A4696" t="str">
        <f>HYPERLINK("https://us2.cloudbeds.com/connect/10074733072513#/reservations/31689682149558?display=MHXNRCQME&amp;reservation_id=31689682149558", "MHXNRCQME")</f>
        <v>MHXNRCQME</v>
      </c>
      <c r="B4696" t="s">
        <v>10</v>
      </c>
      <c r="C4696" t="s">
        <v>42</v>
      </c>
      <c r="D4696" t="str">
        <f>HYPERLINK("https://us2.cloudbeds.com/connect/10074733072513#/reservations/31689682149558?display=Tom%20Barbour&amp;reservation_id=31689682149558&amp;guest_id=31689671569559", "Tom Barbour")</f>
        <v>Tom Barbour</v>
      </c>
      <c r="E4696" t="s">
        <v>8531</v>
      </c>
      <c r="F4696" t="s">
        <v>8470</v>
      </c>
      <c r="G4696">
        <v>223.2</v>
      </c>
      <c r="H4696">
        <v>242.61</v>
      </c>
      <c r="I4696">
        <v>242.62</v>
      </c>
      <c r="J4696">
        <v>-0.01</v>
      </c>
    </row>
    <row r="4697" spans="1:10" x14ac:dyDescent="0.3">
      <c r="A4697" t="str">
        <f>HYPERLINK("https://us2.cloudbeds.com/connect/10074733072513#/reservations/31692263854242?display=MHKNQBX1N&amp;reservation_id=31692263854242", "MHKNQBX1N")</f>
        <v>MHKNQBX1N</v>
      </c>
      <c r="B4697" t="s">
        <v>10</v>
      </c>
      <c r="C4697" t="s">
        <v>14</v>
      </c>
      <c r="D4697" t="str">
        <f>HYPERLINK("https://us2.cloudbeds.com/connect/10074733072513#/reservations/31692263854242?display=Tony%20Witte&amp;reservation_id=31692263854242&amp;guest_id=31692263854236", "Tony Witte")</f>
        <v>Tony Witte</v>
      </c>
      <c r="E4697" t="s">
        <v>8539</v>
      </c>
      <c r="F4697" t="s">
        <v>8281</v>
      </c>
      <c r="G4697">
        <v>127.2</v>
      </c>
      <c r="H4697">
        <v>138.26</v>
      </c>
      <c r="I4697">
        <v>138.27000000000001</v>
      </c>
      <c r="J4697">
        <v>-0.01</v>
      </c>
    </row>
    <row r="4698" spans="1:10" x14ac:dyDescent="0.3">
      <c r="A4698" t="str">
        <f>HYPERLINK("https://us2.cloudbeds.com/connect/10074733072513#/reservations/31692743565462?display=MHY31S77B&amp;reservation_id=31692743565462", "MHY31S77B")</f>
        <v>MHY31S77B</v>
      </c>
      <c r="B4698" t="s">
        <v>10</v>
      </c>
      <c r="C4698" t="s">
        <v>11</v>
      </c>
      <c r="D4698" t="str">
        <f>HYPERLINK("https://us2.cloudbeds.com/connect/10074733072513#/reservations/31692743565462?display=Stacy%20Squibbs&amp;reservation_id=31692743565462&amp;guest_id=31692743565448", "Stacy Squibbs")</f>
        <v>Stacy Squibbs</v>
      </c>
      <c r="E4698" t="s">
        <v>8547</v>
      </c>
      <c r="F4698" t="s">
        <v>8548</v>
      </c>
      <c r="G4698">
        <v>222.4</v>
      </c>
      <c r="H4698">
        <v>241.74</v>
      </c>
      <c r="I4698">
        <v>241.75</v>
      </c>
      <c r="J4698">
        <v>-0.01</v>
      </c>
    </row>
    <row r="4699" spans="1:10" x14ac:dyDescent="0.3">
      <c r="A4699" t="str">
        <f>HYPERLINK("https://us2.cloudbeds.com/connect/10074733072513#/reservations/31690168754399?display=MHJ38NA2M&amp;reservation_id=31690168754399", "MHJ38NA2M")</f>
        <v>MHJ38NA2M</v>
      </c>
      <c r="B4699" t="s">
        <v>10</v>
      </c>
      <c r="C4699" t="s">
        <v>11</v>
      </c>
      <c r="D4699" t="str">
        <f>HYPERLINK("https://us2.cloudbeds.com/connect/10074733072513#/reservations/31690168754399?display=Jenna%20Carl&amp;reservation_id=31690168754399&amp;guest_id=31690160050311", "Jenna Carl")</f>
        <v>Jenna Carl</v>
      </c>
      <c r="E4699" t="s">
        <v>8551</v>
      </c>
      <c r="F4699" t="s">
        <v>7567</v>
      </c>
      <c r="G4699">
        <v>208.6</v>
      </c>
      <c r="H4699">
        <v>226.74</v>
      </c>
      <c r="I4699">
        <v>226.75</v>
      </c>
      <c r="J4699">
        <v>-0.01</v>
      </c>
    </row>
    <row r="4700" spans="1:10" x14ac:dyDescent="0.3">
      <c r="A4700" t="str">
        <f>HYPERLINK("https://us2.cloudbeds.com/connect/10074733072513#/reservations/31690860413176?display=MHJKUUZ3X&amp;reservation_id=31690860413176", "MHJKUUZ3X")</f>
        <v>MHJKUUZ3X</v>
      </c>
      <c r="B4700" t="s">
        <v>10</v>
      </c>
      <c r="C4700" t="s">
        <v>11</v>
      </c>
      <c r="D4700" t="str">
        <f>HYPERLINK("https://us2.cloudbeds.com/connect/10074733072513#/reservations/31690860413176?display=Rocky%20Brinkman&amp;reservation_id=31690860413176&amp;guest_id=31690860413160", "Rocky Brinkman")</f>
        <v>Rocky Brinkman</v>
      </c>
      <c r="E4700" t="s">
        <v>8563</v>
      </c>
      <c r="F4700" t="s">
        <v>8436</v>
      </c>
      <c r="G4700">
        <v>250.18</v>
      </c>
      <c r="H4700">
        <v>271.94</v>
      </c>
      <c r="I4700">
        <v>271.95</v>
      </c>
      <c r="J4700">
        <v>-0.01</v>
      </c>
    </row>
    <row r="4701" spans="1:10" x14ac:dyDescent="0.3">
      <c r="A4701" t="str">
        <f>HYPERLINK("https://us2.cloudbeds.com/connect/10074733072513#/reservations/31695463383275?display=MHN6X957V&amp;reservation_id=31695463383275", "MHN6X957V")</f>
        <v>MHN6X957V</v>
      </c>
      <c r="B4701" t="s">
        <v>10</v>
      </c>
      <c r="C4701" t="s">
        <v>14</v>
      </c>
      <c r="D4701" t="str">
        <f>HYPERLINK("https://us2.cloudbeds.com/connect/10074733072513#/reservations/31695463383275?display=Beth%20Zimmerman&amp;reservation_id=31695463383275&amp;guest_id=31695449907358", "Beth Zimmerman")</f>
        <v>Beth Zimmerman</v>
      </c>
      <c r="E4701" t="s">
        <v>8565</v>
      </c>
      <c r="F4701" t="s">
        <v>8034</v>
      </c>
      <c r="G4701">
        <v>254.4</v>
      </c>
      <c r="H4701">
        <v>276.52</v>
      </c>
      <c r="I4701">
        <v>276.52999999999997</v>
      </c>
      <c r="J4701">
        <v>-0.01</v>
      </c>
    </row>
    <row r="4702" spans="1:10" x14ac:dyDescent="0.3">
      <c r="A4702" t="str">
        <f>HYPERLINK("https://us2.cloudbeds.com/connect/10074733072513#/reservations/31688363307159?display=MHHN4A2F7&amp;reservation_id=31688363307159", "MHHN4A2F7")</f>
        <v>MHHN4A2F7</v>
      </c>
      <c r="B4702" t="s">
        <v>10</v>
      </c>
      <c r="C4702" t="s">
        <v>14</v>
      </c>
      <c r="D4702" t="str">
        <f>HYPERLINK("https://us2.cloudbeds.com/connect/10074733072513#/reservations/31688363307159?display=Katie%20Engel&amp;reservation_id=31688363307159&amp;guest_id=31688357466365", "Katie Engel")</f>
        <v>Katie Engel</v>
      </c>
      <c r="E4702" t="s">
        <v>8567</v>
      </c>
      <c r="F4702" t="s">
        <v>8548</v>
      </c>
      <c r="G4702">
        <v>127.2</v>
      </c>
      <c r="H4702">
        <v>138.26</v>
      </c>
      <c r="I4702">
        <v>138.27000000000001</v>
      </c>
      <c r="J4702">
        <v>-0.01</v>
      </c>
    </row>
    <row r="4703" spans="1:10" x14ac:dyDescent="0.3">
      <c r="A4703" t="str">
        <f>HYPERLINK("https://us2.cloudbeds.com/connect/10074733072513#/reservations/31692719280337?display=MHY2ECERF&amp;reservation_id=31692719280337", "MHY2ECERF")</f>
        <v>MHY2ECERF</v>
      </c>
      <c r="B4703" t="s">
        <v>10</v>
      </c>
      <c r="C4703" t="s">
        <v>20</v>
      </c>
      <c r="D4703" t="str">
        <f>HYPERLINK("https://us2.cloudbeds.com/connect/10074733072513#/reservations/31692719280337?display=Tara%20Kremin&amp;reservation_id=31692719280337&amp;guest_id=31692719280321", "Tara Kremin")</f>
        <v>Tara Kremin</v>
      </c>
      <c r="E4703" t="s">
        <v>8568</v>
      </c>
      <c r="F4703" t="s">
        <v>8548</v>
      </c>
      <c r="G4703">
        <v>134.1</v>
      </c>
      <c r="H4703">
        <v>145.76</v>
      </c>
      <c r="I4703">
        <v>145.77000000000001</v>
      </c>
      <c r="J4703">
        <v>-0.01</v>
      </c>
    </row>
    <row r="4704" spans="1:10" x14ac:dyDescent="0.3">
      <c r="A4704" t="str">
        <f>HYPERLINK("https://us2.cloudbeds.com/connect/10074733072513#/reservations/31691413385345?display=MHK226WSV&amp;reservation_id=31691413385345", "MHK226WSV")</f>
        <v>MHK226WSV</v>
      </c>
      <c r="B4704" t="s">
        <v>10</v>
      </c>
      <c r="C4704" t="s">
        <v>11</v>
      </c>
      <c r="D4704" t="str">
        <f>HYPERLINK("https://us2.cloudbeds.com/connect/10074733072513#/reservations/31691413385345?display=Jerome%20Nesheim&amp;reservation_id=31691413385345&amp;guest_id=31691403948244", "Jerome Nesheim")</f>
        <v>Jerome Nesheim</v>
      </c>
      <c r="E4704" t="s">
        <v>8571</v>
      </c>
      <c r="F4704" t="s">
        <v>8436</v>
      </c>
      <c r="G4704">
        <v>268.2</v>
      </c>
      <c r="H4704">
        <v>291.52</v>
      </c>
      <c r="I4704">
        <v>291.52999999999997</v>
      </c>
      <c r="J4704">
        <v>-0.01</v>
      </c>
    </row>
    <row r="4705" spans="1:10" x14ac:dyDescent="0.3">
      <c r="A4705" t="str">
        <f>HYPERLINK("https://us2.cloudbeds.com/connect/10074733072513#/reservations/31691413389440?display=MHK226WUS&amp;reservation_id=31691413389440", "MHK226WUS")</f>
        <v>MHK226WUS</v>
      </c>
      <c r="B4705" t="s">
        <v>10</v>
      </c>
      <c r="C4705" t="s">
        <v>14</v>
      </c>
      <c r="D4705" t="str">
        <f>HYPERLINK("https://us2.cloudbeds.com/connect/10074733072513#/reservations/31691413389440?display=Jill%20Doberstein&amp;reservation_id=31691413389440&amp;guest_id=31691403948259", "Jill Doberstein")</f>
        <v>Jill Doberstein</v>
      </c>
      <c r="E4705" t="s">
        <v>8575</v>
      </c>
      <c r="F4705" t="s">
        <v>7567</v>
      </c>
      <c r="G4705">
        <v>254.4</v>
      </c>
      <c r="H4705">
        <v>276.52</v>
      </c>
      <c r="I4705">
        <v>276.52999999999997</v>
      </c>
      <c r="J4705">
        <v>-0.01</v>
      </c>
    </row>
    <row r="4706" spans="1:10" x14ac:dyDescent="0.3">
      <c r="A4706" t="str">
        <f>HYPERLINK("https://us2.cloudbeds.com/connect/10074733072513#/reservations/31691417841885?display=MHK25W06K&amp;reservation_id=31691417841885", "MHK25W06K")</f>
        <v>MHK25W06K</v>
      </c>
      <c r="B4706" t="s">
        <v>10</v>
      </c>
      <c r="C4706" t="s">
        <v>11</v>
      </c>
      <c r="D4706" t="str">
        <f>HYPERLINK("https://us2.cloudbeds.com/connect/10074733072513#/reservations/31691417841885?display=Angela%20Khalar&amp;reservation_id=31691417841885&amp;guest_id=31691417837791", "Angela Khalar")</f>
        <v>Angela Khalar</v>
      </c>
      <c r="E4706" t="s">
        <v>8580</v>
      </c>
      <c r="F4706" t="s">
        <v>7567</v>
      </c>
      <c r="G4706">
        <v>254.4</v>
      </c>
      <c r="H4706">
        <v>276.52</v>
      </c>
      <c r="I4706">
        <v>276.52999999999997</v>
      </c>
      <c r="J4706">
        <v>-0.01</v>
      </c>
    </row>
    <row r="4707" spans="1:10" x14ac:dyDescent="0.3">
      <c r="A4707" t="str">
        <f>HYPERLINK("https://us2.cloudbeds.com/connect/10074733072513#/reservations/31694513971449?display=MHMF9NCCK&amp;reservation_id=31694513971449", "MHMF9NCCK")</f>
        <v>MHMF9NCCK</v>
      </c>
      <c r="B4707" t="s">
        <v>10</v>
      </c>
      <c r="C4707" t="s">
        <v>20</v>
      </c>
      <c r="D4707" t="str">
        <f>HYPERLINK("https://us2.cloudbeds.com/connect/10074733072513#/reservations/31694513971449?display=Brad%20Cain&amp;reservation_id=31694513971449&amp;guest_id=31694513971400", "Brad Cain")</f>
        <v>Brad Cain</v>
      </c>
      <c r="E4707" t="s">
        <v>8582</v>
      </c>
      <c r="F4707" t="s">
        <v>8583</v>
      </c>
      <c r="G4707">
        <v>268.2</v>
      </c>
      <c r="H4707">
        <v>291.52</v>
      </c>
      <c r="I4707">
        <v>291.52999999999997</v>
      </c>
      <c r="J4707">
        <v>-0.01</v>
      </c>
    </row>
    <row r="4708" spans="1:10" x14ac:dyDescent="0.3">
      <c r="A4708" t="str">
        <f>HYPERLINK("https://us2.cloudbeds.com/connect/10074733072513#/reservations/31695473524979?display=MHN6QRC3A&amp;reservation_id=31695473524979", "MHN6QRC3A")</f>
        <v>MHN6QRC3A</v>
      </c>
      <c r="B4708" t="s">
        <v>10</v>
      </c>
      <c r="C4708" t="s">
        <v>14</v>
      </c>
      <c r="D4708" t="str">
        <f>HYPERLINK("https://us2.cloudbeds.com/connect/10074733072513#/reservations/31695473524979?display=Amy%20Isaac-Elkins&amp;reservation_id=31695473524979&amp;guest_id=31695473524976", "Amy Isaac-Elkins")</f>
        <v>Amy Isaac-Elkins</v>
      </c>
      <c r="E4708" t="s">
        <v>8584</v>
      </c>
      <c r="F4708" t="s">
        <v>8387</v>
      </c>
      <c r="G4708">
        <v>435.3</v>
      </c>
      <c r="H4708">
        <v>473.16</v>
      </c>
      <c r="I4708">
        <v>473.17</v>
      </c>
      <c r="J4708">
        <v>-0.01</v>
      </c>
    </row>
    <row r="4709" spans="1:10" x14ac:dyDescent="0.3">
      <c r="A4709" t="str">
        <f>HYPERLINK("https://us2.cloudbeds.com/connect/10074733072513#/reservations/31691952525462?display=MHKFRRC18&amp;reservation_id=31691952525462", "MHKFRRC18")</f>
        <v>MHKFRRC18</v>
      </c>
      <c r="B4709" t="s">
        <v>10</v>
      </c>
      <c r="C4709" t="s">
        <v>11</v>
      </c>
      <c r="D4709" t="str">
        <f>HYPERLINK("https://us2.cloudbeds.com/connect/10074733072513#/reservations/31691952525462?display=Cheri%20Heissel&amp;reservation_id=31691952525462&amp;guest_id=31691952525446", "Cheri Heissel")</f>
        <v>Cheri Heissel</v>
      </c>
      <c r="E4709" t="s">
        <v>8592</v>
      </c>
      <c r="F4709" t="s">
        <v>8034</v>
      </c>
      <c r="G4709">
        <v>127.2</v>
      </c>
      <c r="H4709">
        <v>138.26</v>
      </c>
      <c r="I4709">
        <v>138.27000000000001</v>
      </c>
      <c r="J4709">
        <v>-0.01</v>
      </c>
    </row>
    <row r="4710" spans="1:10" x14ac:dyDescent="0.3">
      <c r="A4710" t="str">
        <f>HYPERLINK("https://us2.cloudbeds.com/connect/10074733072513#/reservations/31690339065997?display=MHJ7KAFZ6&amp;reservation_id=31690339065997", "MHJ7KAFZ6")</f>
        <v>MHJ7KAFZ6</v>
      </c>
      <c r="B4710" t="s">
        <v>10</v>
      </c>
      <c r="C4710" t="s">
        <v>11</v>
      </c>
      <c r="D4710" t="str">
        <f>HYPERLINK("https://us2.cloudbeds.com/connect/10074733072513#/reservations/31690339065997?display=Nicole%20Marlow&amp;reservation_id=31690339065997&amp;guest_id=31690339061906", "Nicole Marlow")</f>
        <v>Nicole Marlow</v>
      </c>
      <c r="E4710" t="s">
        <v>8594</v>
      </c>
      <c r="F4710" t="s">
        <v>8281</v>
      </c>
      <c r="G4710">
        <v>208.6</v>
      </c>
      <c r="H4710">
        <v>226.74</v>
      </c>
      <c r="I4710">
        <v>226.75</v>
      </c>
      <c r="J4710">
        <v>-0.01</v>
      </c>
    </row>
    <row r="4711" spans="1:10" x14ac:dyDescent="0.3">
      <c r="A4711" t="str">
        <f>HYPERLINK("https://us2.cloudbeds.com/connect/10074733072513#/reservations/31690228859023?display=MHJ4QCQXU&amp;reservation_id=31690228859023", "MHJ4QCQXU")</f>
        <v>MHJ4QCQXU</v>
      </c>
      <c r="B4711" t="s">
        <v>10</v>
      </c>
      <c r="C4711" t="s">
        <v>14</v>
      </c>
      <c r="D4711" t="str">
        <f>HYPERLINK("https://us2.cloudbeds.com/connect/10074733072513#/reservations/31690228859023?display=Barbara%20Lange&amp;reservation_id=31690228859023&amp;guest_id=31690228859019", "Barbara Lange")</f>
        <v>Barbara Lange</v>
      </c>
      <c r="E4711" t="s">
        <v>8604</v>
      </c>
      <c r="F4711" t="s">
        <v>8408</v>
      </c>
      <c r="G4711">
        <v>208.6</v>
      </c>
      <c r="H4711">
        <v>226.74</v>
      </c>
      <c r="I4711">
        <v>226.75</v>
      </c>
      <c r="J4711">
        <v>-0.01</v>
      </c>
    </row>
    <row r="4712" spans="1:10" x14ac:dyDescent="0.3">
      <c r="A4712" t="str">
        <f>HYPERLINK("https://us2.cloudbeds.com/connect/10074733072513#/reservations/31688232284320?display=MHHJPR5Y6&amp;reservation_id=31688232284320", "MHHJPR5Y6")</f>
        <v>MHHJPR5Y6</v>
      </c>
      <c r="B4712" t="s">
        <v>10</v>
      </c>
      <c r="C4712" t="s">
        <v>11</v>
      </c>
      <c r="D4712" t="str">
        <f>HYPERLINK("https://us2.cloudbeds.com/connect/10074733072513#/reservations/31688232284320?display=Lynne%20Jahn&amp;reservation_id=31688232284320&amp;guest_id=31688232284301", "Lynne Jahn")</f>
        <v>Lynne Jahn</v>
      </c>
      <c r="E4712" t="s">
        <v>8611</v>
      </c>
      <c r="F4712" t="s">
        <v>8506</v>
      </c>
      <c r="G4712">
        <v>143.19999999999999</v>
      </c>
      <c r="H4712">
        <v>155.65</v>
      </c>
      <c r="I4712">
        <v>155.66</v>
      </c>
      <c r="J4712">
        <v>-0.01</v>
      </c>
    </row>
    <row r="4713" spans="1:10" x14ac:dyDescent="0.3">
      <c r="A4713" t="str">
        <f>HYPERLINK("https://us2.cloudbeds.com/connect/10074733072513#/reservations/31694159163612?display=MHM67HAMW&amp;reservation_id=31694159163612", "MHM67HAMW")</f>
        <v>MHM67HAMW</v>
      </c>
      <c r="B4713" t="s">
        <v>10</v>
      </c>
      <c r="C4713" t="s">
        <v>11</v>
      </c>
      <c r="D4713" t="str">
        <f>HYPERLINK("https://us2.cloudbeds.com/connect/10074733072513#/reservations/31694159163612?display=Josh%20Finstad&amp;reservation_id=31694159163612&amp;guest_id=31694159163609", "Josh Finstad")</f>
        <v>Josh Finstad</v>
      </c>
      <c r="E4713" t="s">
        <v>8617</v>
      </c>
      <c r="F4713" t="s">
        <v>8270</v>
      </c>
      <c r="G4713">
        <v>380.8</v>
      </c>
      <c r="H4713">
        <v>413.92</v>
      </c>
      <c r="I4713">
        <v>413.93</v>
      </c>
      <c r="J4713">
        <v>-0.01</v>
      </c>
    </row>
    <row r="4714" spans="1:10" x14ac:dyDescent="0.3">
      <c r="A4714" t="str">
        <f>HYPERLINK("https://us2.cloudbeds.com/connect/10074733072513#/reservations/31695262613704?display=MHN1DWERX&amp;reservation_id=31695262613704", "MHN1DWERX")</f>
        <v>MHN1DWERX</v>
      </c>
      <c r="B4714" t="s">
        <v>10</v>
      </c>
      <c r="C4714" t="s">
        <v>20</v>
      </c>
      <c r="D4714" t="str">
        <f>HYPERLINK("https://us2.cloudbeds.com/connect/10074733072513#/reservations/31695262613704?display=Sandra%20Hall&amp;reservation_id=31695262613704&amp;guest_id=31695262613700", "Sandra Hall")</f>
        <v>Sandra Hall</v>
      </c>
      <c r="E4714" t="s">
        <v>8619</v>
      </c>
      <c r="F4714" t="s">
        <v>8440</v>
      </c>
      <c r="G4714">
        <v>268.2</v>
      </c>
      <c r="H4714">
        <v>291.52</v>
      </c>
      <c r="I4714">
        <v>291.52999999999997</v>
      </c>
      <c r="J4714">
        <v>-0.01</v>
      </c>
    </row>
    <row r="4715" spans="1:10" x14ac:dyDescent="0.3">
      <c r="A4715" t="str">
        <f>HYPERLINK("https://us2.cloudbeds.com/connect/10074733072513#/reservations/31689518276827?display=MHXJY6QM3&amp;reservation_id=31689518276827", "MHXJY6QM3")</f>
        <v>MHXJY6QM3</v>
      </c>
      <c r="B4715" t="s">
        <v>10</v>
      </c>
      <c r="C4715" t="s">
        <v>11</v>
      </c>
      <c r="D4715" t="str">
        <f>HYPERLINK("https://us2.cloudbeds.com/connect/10074733072513#/reservations/31689518276827?display=Codi%20Albers&amp;reservation_id=31689518276827&amp;guest_id=31689518276822", "Codi Albers")</f>
        <v>Codi Albers</v>
      </c>
      <c r="E4715" t="s">
        <v>8620</v>
      </c>
      <c r="F4715" t="s">
        <v>8034</v>
      </c>
      <c r="G4715">
        <v>127.2</v>
      </c>
      <c r="H4715">
        <v>138.26</v>
      </c>
      <c r="I4715">
        <v>138.27000000000001</v>
      </c>
      <c r="J4715">
        <v>-0.01</v>
      </c>
    </row>
    <row r="4716" spans="1:10" x14ac:dyDescent="0.3">
      <c r="A4716" t="str">
        <f>HYPERLINK("https://us2.cloudbeds.com/connect/10074733072513#/reservations/31695352287408?display=MHN3NJZRH&amp;reservation_id=31695352287408", "MHN3NJZRH")</f>
        <v>MHN3NJZRH</v>
      </c>
      <c r="B4716" t="s">
        <v>10</v>
      </c>
      <c r="C4716" t="s">
        <v>11</v>
      </c>
      <c r="D4716" t="str">
        <f>HYPERLINK("https://us2.cloudbeds.com/connect/10074733072513#/reservations/31695352287408?display=Angela%20Leggio&amp;reservation_id=31695352287408&amp;guest_id=31695352287392", "Angela Leggio")</f>
        <v>Angela Leggio</v>
      </c>
      <c r="E4716" t="s">
        <v>8627</v>
      </c>
      <c r="F4716" t="s">
        <v>8408</v>
      </c>
      <c r="G4716">
        <v>333.6</v>
      </c>
      <c r="H4716">
        <v>362.61</v>
      </c>
      <c r="I4716">
        <v>362.62</v>
      </c>
      <c r="J4716">
        <v>-0.01</v>
      </c>
    </row>
    <row r="4717" spans="1:10" x14ac:dyDescent="0.3">
      <c r="A4717" t="str">
        <f>HYPERLINK("https://us2.cloudbeds.com/connect/10074733072513#/reservations/31695517348023?display=MHN7UPQYB&amp;reservation_id=31695517348023", "MHN7UPQYB")</f>
        <v>MHN7UPQYB</v>
      </c>
      <c r="B4717" t="s">
        <v>10</v>
      </c>
      <c r="C4717" t="s">
        <v>11</v>
      </c>
      <c r="D4717" t="str">
        <f>HYPERLINK("https://us2.cloudbeds.com/connect/10074733072513#/reservations/31695517348023?display=Berardo%20Feliee&amp;reservation_id=31695517348023&amp;guest_id=31695507935451", "Berardo Feliee")</f>
        <v>Berardo Feliee</v>
      </c>
      <c r="E4717" t="s">
        <v>8630</v>
      </c>
      <c r="F4717" t="s">
        <v>8631</v>
      </c>
      <c r="G4717">
        <v>182.36</v>
      </c>
      <c r="H4717">
        <v>198.22</v>
      </c>
      <c r="I4717">
        <v>198.23</v>
      </c>
      <c r="J4717">
        <v>-0.01</v>
      </c>
    </row>
    <row r="4718" spans="1:10" x14ac:dyDescent="0.3">
      <c r="A4718" t="str">
        <f>HYPERLINK("https://us2.cloudbeds.com/connect/10074733072513#/reservations/31695519617237?display=MHN7WMVDD&amp;reservation_id=31695519617237", "MHN7WMVDD")</f>
        <v>MHN7WMVDD</v>
      </c>
      <c r="B4718" t="s">
        <v>10</v>
      </c>
      <c r="C4718" t="s">
        <v>11</v>
      </c>
      <c r="D4718" t="str">
        <f>HYPERLINK("https://us2.cloudbeds.com/connect/10074733072513#/reservations/31695519617237?display=Bernardo%20Felippe&amp;reservation_id=31695519617237&amp;guest_id=31695519613141", "Bernardo Felippe")</f>
        <v>Bernardo Felippe</v>
      </c>
      <c r="E4718" t="s">
        <v>8632</v>
      </c>
      <c r="F4718" t="s">
        <v>8631</v>
      </c>
      <c r="G4718">
        <v>182.36</v>
      </c>
      <c r="H4718">
        <v>198.22</v>
      </c>
      <c r="I4718">
        <v>198.23</v>
      </c>
      <c r="J4718">
        <v>-0.01</v>
      </c>
    </row>
    <row r="4719" spans="1:10" x14ac:dyDescent="0.3">
      <c r="A4719" t="str">
        <f>HYPERLINK("https://us2.cloudbeds.com/connect/10074733072513#/reservations/31690278785182?display=MHJ62G2ER&amp;reservation_id=31690278785182", "MHJ62G2ER")</f>
        <v>MHJ62G2ER</v>
      </c>
      <c r="B4719" t="s">
        <v>10</v>
      </c>
      <c r="C4719" t="s">
        <v>11</v>
      </c>
      <c r="D4719" t="str">
        <f>HYPERLINK("https://us2.cloudbeds.com/connect/10074733072513#/reservations/31690278785182?display=Shairiliz%20Brown&amp;reservation_id=31690278785182&amp;guest_id=31690278781081", "Shairiliz Brown")</f>
        <v>Shairiliz Brown</v>
      </c>
      <c r="E4719" t="s">
        <v>8636</v>
      </c>
      <c r="F4719" t="s">
        <v>8408</v>
      </c>
      <c r="G4719">
        <v>222.4</v>
      </c>
      <c r="H4719">
        <v>241.74</v>
      </c>
      <c r="I4719">
        <v>241.75</v>
      </c>
      <c r="J4719">
        <v>-0.01</v>
      </c>
    </row>
    <row r="4720" spans="1:10" x14ac:dyDescent="0.3">
      <c r="A4720" t="str">
        <f>HYPERLINK("https://us2.cloudbeds.com/connect/10074733072513#/reservations/31695932010654?display=MHNXHEDDK&amp;reservation_id=31695932010654", "MHNXHEDDK")</f>
        <v>MHNXHEDDK</v>
      </c>
      <c r="B4720" t="s">
        <v>10</v>
      </c>
      <c r="C4720" t="s">
        <v>14</v>
      </c>
      <c r="D4720" t="str">
        <f>HYPERLINK("https://us2.cloudbeds.com/connect/10074733072513#/reservations/31695932010654?display=Phillip%20Dunning&amp;reservation_id=31695932010654&amp;guest_id=31695932010649", "Phillip Dunning")</f>
        <v>Phillip Dunning</v>
      </c>
      <c r="E4720" t="s">
        <v>8637</v>
      </c>
      <c r="F4720" t="s">
        <v>8151</v>
      </c>
      <c r="G4720">
        <v>302.39999999999998</v>
      </c>
      <c r="H4720">
        <v>328.7</v>
      </c>
      <c r="I4720">
        <v>328.71</v>
      </c>
      <c r="J4720">
        <v>-0.01</v>
      </c>
    </row>
    <row r="4721" spans="1:10" x14ac:dyDescent="0.3">
      <c r="A4721" t="str">
        <f>HYPERLINK("https://us2.cloudbeds.com/connect/10074733072513#/reservations/31695419941101?display=MHN5EYAEE&amp;reservation_id=31695419941101", "MHN5EYAEE")</f>
        <v>MHN5EYAEE</v>
      </c>
      <c r="B4721" t="s">
        <v>10</v>
      </c>
      <c r="C4721" t="s">
        <v>14</v>
      </c>
      <c r="D4721" t="str">
        <f>HYPERLINK("https://us2.cloudbeds.com/connect/10074733072513#/reservations/31695419941101?display=Mike%20Pahl&amp;reservation_id=31695419941101&amp;guest_id=31695419941099", "Mike Pahl")</f>
        <v>Mike Pahl</v>
      </c>
      <c r="E4721" t="s">
        <v>8644</v>
      </c>
      <c r="F4721" t="s">
        <v>8034</v>
      </c>
      <c r="G4721">
        <v>117.42</v>
      </c>
      <c r="H4721">
        <v>127.63</v>
      </c>
      <c r="I4721">
        <v>127.64</v>
      </c>
      <c r="J4721">
        <v>-0.01</v>
      </c>
    </row>
    <row r="4722" spans="1:10" x14ac:dyDescent="0.3">
      <c r="A4722" t="str">
        <f>HYPERLINK("https://us2.cloudbeds.com/connect/10074733072513#/reservations/31688185336020?display=MHHXJ7P8E&amp;reservation_id=31688185336020", "MHHXJ7P8E")</f>
        <v>MHHXJ7P8E</v>
      </c>
      <c r="B4722" t="s">
        <v>10</v>
      </c>
      <c r="C4722" t="s">
        <v>11</v>
      </c>
      <c r="D4722" t="str">
        <f>HYPERLINK("https://us2.cloudbeds.com/connect/10074733072513#/reservations/31688185336020?display=Gregory%20Harder&amp;reservation_id=31688185336020&amp;guest_id=31688185336015", "Gregory Harder")</f>
        <v>Gregory Harder</v>
      </c>
      <c r="E4722" t="s">
        <v>8645</v>
      </c>
      <c r="F4722" t="s">
        <v>8506</v>
      </c>
      <c r="G4722">
        <v>127.2</v>
      </c>
      <c r="H4722">
        <v>138.26</v>
      </c>
      <c r="I4722">
        <v>138.27000000000001</v>
      </c>
      <c r="J4722">
        <v>-0.01</v>
      </c>
    </row>
    <row r="4723" spans="1:10" x14ac:dyDescent="0.3">
      <c r="A4723" t="str">
        <f>HYPERLINK("https://us2.cloudbeds.com/connect/10074733072513#/reservations/31695715537029?display=MHNCWTNCQ&amp;reservation_id=31695715537029", "MHNCWTNCQ")</f>
        <v>MHNCWTNCQ</v>
      </c>
      <c r="B4723" t="s">
        <v>10</v>
      </c>
      <c r="C4723" t="s">
        <v>11</v>
      </c>
      <c r="D4723" t="str">
        <f>HYPERLINK("https://us2.cloudbeds.com/connect/10074733072513#/reservations/31695715537029?display=Dawn%20Christensen&amp;reservation_id=31695715537029&amp;guest_id=31695715532934", "Dawn Christensen")</f>
        <v>Dawn Christensen</v>
      </c>
      <c r="E4723" t="s">
        <v>8654</v>
      </c>
      <c r="F4723" t="s">
        <v>8506</v>
      </c>
      <c r="G4723">
        <v>222.4</v>
      </c>
      <c r="H4723">
        <v>241.74</v>
      </c>
      <c r="I4723">
        <v>241.75</v>
      </c>
      <c r="J4723">
        <v>-0.01</v>
      </c>
    </row>
    <row r="4724" spans="1:10" x14ac:dyDescent="0.3">
      <c r="A4724" t="str">
        <f>HYPERLINK("https://us2.cloudbeds.com/connect/10074733072513#/reservations/31695708893424?display=MHNCR9RZE&amp;reservation_id=31695708893424", "MHNCR9RZE")</f>
        <v>MHNCR9RZE</v>
      </c>
      <c r="B4724" t="s">
        <v>10</v>
      </c>
      <c r="C4724" t="s">
        <v>42</v>
      </c>
      <c r="D4724" t="str">
        <f>HYPERLINK("https://us2.cloudbeds.com/connect/10074733072513#/reservations/31695708893424?display=Stacy%20Zeisler&amp;reservation_id=31695708893424&amp;guest_id=31695708893409", "Stacy Zeisler")</f>
        <v>Stacy Zeisler</v>
      </c>
      <c r="E4724" t="s">
        <v>8664</v>
      </c>
      <c r="F4724" t="s">
        <v>8506</v>
      </c>
      <c r="G4724">
        <v>152.15</v>
      </c>
      <c r="H4724">
        <v>165.38</v>
      </c>
      <c r="I4724">
        <v>165.39</v>
      </c>
      <c r="J4724">
        <v>-0.01</v>
      </c>
    </row>
    <row r="4725" spans="1:10" x14ac:dyDescent="0.3">
      <c r="A4725" t="str">
        <f>HYPERLINK("https://us2.cloudbeds.com/connect/10074733072513#/reservations/31695247732933?display=MHN11EC73&amp;reservation_id=31695247732933", "MHN11EC73")</f>
        <v>MHN11EC73</v>
      </c>
      <c r="B4725" t="s">
        <v>10</v>
      </c>
      <c r="C4725" t="s">
        <v>11</v>
      </c>
      <c r="D4725" t="str">
        <f>HYPERLINK("https://us2.cloudbeds.com/connect/10074733072513#/reservations/31695247732933?display=Richard%20Eichmueller&amp;reservation_id=31695247732933&amp;guest_id=31695247732929", "Richard Eichmueller")</f>
        <v>Richard Eichmueller</v>
      </c>
      <c r="E4725" t="s">
        <v>8679</v>
      </c>
      <c r="F4725" t="s">
        <v>6746</v>
      </c>
      <c r="G4725">
        <v>299.22000000000003</v>
      </c>
      <c r="H4725">
        <v>325.24</v>
      </c>
      <c r="I4725">
        <v>325.25</v>
      </c>
      <c r="J4725">
        <v>-0.01</v>
      </c>
    </row>
    <row r="4726" spans="1:10" x14ac:dyDescent="0.3">
      <c r="A4726" t="str">
        <f>HYPERLINK("https://us2.cloudbeds.com/connect/10074733072513#/reservations/31691460067547?display=MHK38XWU4&amp;reservation_id=31691460067547", "MHK38XWU4")</f>
        <v>MHK38XWU4</v>
      </c>
      <c r="B4726" t="s">
        <v>10</v>
      </c>
      <c r="C4726" t="s">
        <v>14</v>
      </c>
      <c r="D4726" t="str">
        <f>HYPERLINK("https://us2.cloudbeds.com/connect/10074733072513#/reservations/31691460067547?display=Alanna%20Schany&amp;reservation_id=31691460067547&amp;guest_id=31691460067537", "Alanna Schany")</f>
        <v>Alanna Schany</v>
      </c>
      <c r="E4726" t="s">
        <v>8685</v>
      </c>
      <c r="F4726" t="s">
        <v>7567</v>
      </c>
      <c r="G4726">
        <v>143.19999999999999</v>
      </c>
      <c r="H4726">
        <v>155.65</v>
      </c>
      <c r="I4726">
        <v>155.66</v>
      </c>
      <c r="J4726">
        <v>-0.01</v>
      </c>
    </row>
    <row r="4727" spans="1:10" x14ac:dyDescent="0.3">
      <c r="A4727" t="str">
        <f>HYPERLINK("https://us2.cloudbeds.com/connect/10074733072513#/reservations/31695307710636?display=MHN2J0B58&amp;reservation_id=31695307710636", "MHN2J0B58")</f>
        <v>MHN2J0B58</v>
      </c>
      <c r="B4727" t="s">
        <v>10</v>
      </c>
      <c r="C4727" t="s">
        <v>23</v>
      </c>
      <c r="D4727" t="str">
        <f>HYPERLINK("https://us2.cloudbeds.com/connect/10074733072513#/reservations/31695307710636?display=Edgar%20Rohde&amp;reservation_id=31695307710636&amp;guest_id=31695307710625", "Edgar Rohde")</f>
        <v>Edgar Rohde</v>
      </c>
      <c r="E4727" t="s">
        <v>8689</v>
      </c>
      <c r="F4727" t="s">
        <v>8408</v>
      </c>
      <c r="G4727">
        <v>250.2</v>
      </c>
      <c r="H4727">
        <v>271.95999999999998</v>
      </c>
      <c r="I4727">
        <v>271.97000000000003</v>
      </c>
      <c r="J4727">
        <v>-0.01</v>
      </c>
    </row>
    <row r="4728" spans="1:10" x14ac:dyDescent="0.3">
      <c r="A4728" t="str">
        <f>HYPERLINK("https://us2.cloudbeds.com/connect/10074733072513#/reservations/31691245527258?display=MHJUPM378&amp;reservation_id=31691245527258", "MHJUPM378")</f>
        <v>MHJUPM378</v>
      </c>
      <c r="B4728" t="s">
        <v>10</v>
      </c>
      <c r="C4728" t="s">
        <v>42</v>
      </c>
      <c r="D4728" t="str">
        <f>HYPERLINK("https://us2.cloudbeds.com/connect/10074733072513#/reservations/31691245527258?display=Richard%20Ness&amp;reservation_id=31691245527258&amp;guest_id=31691245527253", "Richard Ness")</f>
        <v>Richard Ness</v>
      </c>
      <c r="E4728" t="s">
        <v>8690</v>
      </c>
      <c r="F4728" t="s">
        <v>8506</v>
      </c>
      <c r="G4728">
        <v>304.2</v>
      </c>
      <c r="H4728">
        <v>330.66</v>
      </c>
      <c r="I4728">
        <v>330.67</v>
      </c>
      <c r="J4728">
        <v>-0.01</v>
      </c>
    </row>
    <row r="4729" spans="1:10" x14ac:dyDescent="0.3">
      <c r="A4729" t="str">
        <f>HYPERLINK("https://us2.cloudbeds.com/connect/10074733072513#/reservations/31690966778048?display=MHJND6CMT&amp;reservation_id=31690966778048", "MHJND6CMT")</f>
        <v>MHJND6CMT</v>
      </c>
      <c r="B4729" t="s">
        <v>10</v>
      </c>
      <c r="C4729" t="s">
        <v>14</v>
      </c>
      <c r="D4729" t="str">
        <f>HYPERLINK("https://us2.cloudbeds.com/connect/10074733072513#/reservations/31690966778048?display=James%20Swallow&amp;reservation_id=31690966778048&amp;guest_id=31690956779695", "James Swallow")</f>
        <v>James Swallow</v>
      </c>
      <c r="E4729" t="s">
        <v>8696</v>
      </c>
      <c r="F4729" t="s">
        <v>7567</v>
      </c>
      <c r="G4729">
        <v>143.19999999999999</v>
      </c>
      <c r="H4729">
        <v>155.65</v>
      </c>
      <c r="I4729">
        <v>155.66</v>
      </c>
      <c r="J4729">
        <v>-0.01</v>
      </c>
    </row>
    <row r="4730" spans="1:10" x14ac:dyDescent="0.3">
      <c r="A4730" t="str">
        <f>HYPERLINK("https://us2.cloudbeds.com/connect/10074733072513#/reservations/31690974396636?display=MHJNS1G3Q&amp;reservation_id=31690974396636", "MHJNS1G3Q")</f>
        <v>MHJNS1G3Q</v>
      </c>
      <c r="B4730" t="s">
        <v>10</v>
      </c>
      <c r="C4730" t="s">
        <v>42</v>
      </c>
      <c r="D4730" t="str">
        <f>HYPERLINK("https://us2.cloudbeds.com/connect/10074733072513#/reservations/31690974396636?display=Joellen%20Heffron&amp;reservation_id=31690974396636&amp;guest_id=31690966782148", "Joellen Heffron")</f>
        <v>Joellen Heffron</v>
      </c>
      <c r="E4730" t="s">
        <v>8703</v>
      </c>
      <c r="F4730" t="s">
        <v>7567</v>
      </c>
      <c r="G4730">
        <v>152.15</v>
      </c>
      <c r="H4730">
        <v>165.38</v>
      </c>
      <c r="I4730">
        <v>165.39</v>
      </c>
      <c r="J4730">
        <v>-0.01</v>
      </c>
    </row>
    <row r="4731" spans="1:10" x14ac:dyDescent="0.3">
      <c r="A4731" t="str">
        <f>HYPERLINK("https://us2.cloudbeds.com/connect/10074733072513#/reservations/31688207069389?display=MHHJ4XHEC&amp;reservation_id=31688207069389", "MHHJ4XHEC")</f>
        <v>MHHJ4XHEC</v>
      </c>
      <c r="B4731" t="s">
        <v>10</v>
      </c>
      <c r="C4731" t="s">
        <v>14</v>
      </c>
      <c r="D4731" t="str">
        <f>HYPERLINK("https://us2.cloudbeds.com/connect/10074733072513#/reservations/31688207069389?display=Kristen%20Ottenbacher&amp;reservation_id=31688207069389&amp;guest_id=31688207069385", "Kristen Ottenbacher")</f>
        <v>Kristen Ottenbacher</v>
      </c>
      <c r="E4731" t="s">
        <v>8704</v>
      </c>
      <c r="F4731" t="s">
        <v>8506</v>
      </c>
      <c r="G4731">
        <v>143.66</v>
      </c>
      <c r="H4731">
        <v>156.15</v>
      </c>
      <c r="I4731">
        <v>156.16</v>
      </c>
      <c r="J4731">
        <v>-0.01</v>
      </c>
    </row>
    <row r="4732" spans="1:10" x14ac:dyDescent="0.3">
      <c r="A4732" t="str">
        <f>HYPERLINK("https://us2.cloudbeds.com/connect/10074733072513#/reservations/31691439886551?display=MHK2ZXE7P&amp;reservation_id=31691439886551", "MHK2ZXE7P")</f>
        <v>MHK2ZXE7P</v>
      </c>
      <c r="B4732" t="s">
        <v>10</v>
      </c>
      <c r="C4732" t="s">
        <v>14</v>
      </c>
      <c r="D4732" t="str">
        <f>HYPERLINK("https://us2.cloudbeds.com/connect/10074733072513#/reservations/31691439886551?display=Kathryn%20Roebke&amp;reservation_id=31691439886551&amp;guest_id=31691439882458", "Kathryn Roebke")</f>
        <v>Kathryn Roebke</v>
      </c>
      <c r="E4732" t="s">
        <v>8706</v>
      </c>
      <c r="F4732" t="s">
        <v>7567</v>
      </c>
      <c r="G4732">
        <v>170.1</v>
      </c>
      <c r="H4732">
        <v>184.89</v>
      </c>
      <c r="I4732">
        <v>184.9</v>
      </c>
      <c r="J4732">
        <v>-0.01</v>
      </c>
    </row>
    <row r="4733" spans="1:10" x14ac:dyDescent="0.3">
      <c r="A4733" t="str">
        <f>HYPERLINK("https://us2.cloudbeds.com/connect/10074733072513#/reservations/31689971548315?display=MHXV7DZUZ&amp;reservation_id=31689971548315", "MHXV7DZUZ")</f>
        <v>MHXV7DZUZ</v>
      </c>
      <c r="B4733" t="s">
        <v>10</v>
      </c>
      <c r="C4733" t="s">
        <v>23</v>
      </c>
      <c r="D4733" t="str">
        <f>HYPERLINK("https://us2.cloudbeds.com/connect/10074733072513#/reservations/31689971548315?display=Candice%20Bloom&amp;reservation_id=31689971548315&amp;guest_id=31689971548303", "Candice Bloom")</f>
        <v>Candice Bloom</v>
      </c>
      <c r="E4733" t="s">
        <v>8710</v>
      </c>
      <c r="F4733" t="s">
        <v>8210</v>
      </c>
      <c r="G4733">
        <v>250.2</v>
      </c>
      <c r="H4733">
        <v>271.95999999999998</v>
      </c>
      <c r="I4733">
        <v>271.97000000000003</v>
      </c>
      <c r="J4733">
        <v>-0.01</v>
      </c>
    </row>
    <row r="4734" spans="1:10" x14ac:dyDescent="0.3">
      <c r="A4734" t="str">
        <f>HYPERLINK("https://us2.cloudbeds.com/connect/10074733072513#/reservations/31690296545433?display=MHJ6HF978&amp;reservation_id=31690296545433", "MHJ6HF978")</f>
        <v>MHJ6HF978</v>
      </c>
      <c r="B4734" t="s">
        <v>10</v>
      </c>
      <c r="C4734" t="s">
        <v>11</v>
      </c>
      <c r="D4734" t="str">
        <f>HYPERLINK("https://us2.cloudbeds.com/connect/10074733072513#/reservations/31690296545433?display=Jaqueline%20Cabrera&amp;reservation_id=31690296545433&amp;guest_id=31690296541341", "Jaqueline Cabrera")</f>
        <v>Jaqueline Cabrera</v>
      </c>
      <c r="E4734" t="s">
        <v>8711</v>
      </c>
      <c r="F4734" t="s">
        <v>8408</v>
      </c>
      <c r="G4734">
        <v>182.36</v>
      </c>
      <c r="H4734">
        <v>198.22</v>
      </c>
      <c r="I4734">
        <v>198.23</v>
      </c>
      <c r="J4734">
        <v>-0.01</v>
      </c>
    </row>
    <row r="4735" spans="1:10" x14ac:dyDescent="0.3">
      <c r="A4735" t="str">
        <f>HYPERLINK("https://us2.cloudbeds.com/connect/10074733072513#/reservations/31691756081357?display=MHKAR60JJ&amp;reservation_id=31691756081357", "MHKAR60JJ")</f>
        <v>MHKAR60JJ</v>
      </c>
      <c r="B4735" t="s">
        <v>10</v>
      </c>
      <c r="C4735" t="s">
        <v>14</v>
      </c>
      <c r="D4735" t="str">
        <f>HYPERLINK("https://us2.cloudbeds.com/connect/10074733072513#/reservations/31691756081357?display=Mark%20Okeson&amp;reservation_id=31691756081357&amp;guest_id=31691756077310", "Mark Okeson")</f>
        <v>Mark Okeson</v>
      </c>
      <c r="E4735" t="s">
        <v>8712</v>
      </c>
      <c r="F4735" t="s">
        <v>8695</v>
      </c>
      <c r="G4735">
        <v>285.60000000000002</v>
      </c>
      <c r="H4735">
        <v>310.44</v>
      </c>
      <c r="I4735">
        <v>310.45</v>
      </c>
      <c r="J4735">
        <v>-0.01</v>
      </c>
    </row>
    <row r="4736" spans="1:10" x14ac:dyDescent="0.3">
      <c r="A4736" t="str">
        <f>HYPERLINK("https://us2.cloudbeds.com/connect/10074733072513#/reservations/31693745983623?display=MHYSM3WD8&amp;reservation_id=31693745983623", "MHYSM3WD8")</f>
        <v>MHYSM3WD8</v>
      </c>
      <c r="B4736" t="s">
        <v>10</v>
      </c>
      <c r="C4736" t="s">
        <v>42</v>
      </c>
      <c r="D4736" t="str">
        <f>HYPERLINK("https://us2.cloudbeds.com/connect/10074733072513#/reservations/31693745983623?display=Teandra%20Schneider&amp;reservation_id=31693745983623&amp;guest_id=31693745979535", "Teandra Schneider")</f>
        <v>Teandra Schneider</v>
      </c>
      <c r="E4736" t="s">
        <v>8719</v>
      </c>
      <c r="F4736" t="s">
        <v>8210</v>
      </c>
      <c r="G4736">
        <v>524.20000000000005</v>
      </c>
      <c r="H4736">
        <v>569.79999999999995</v>
      </c>
      <c r="I4736">
        <v>569.80999999999995</v>
      </c>
      <c r="J4736">
        <v>-0.01</v>
      </c>
    </row>
    <row r="4737" spans="1:10" x14ac:dyDescent="0.3">
      <c r="A4737" t="str">
        <f>HYPERLINK("https://us2.cloudbeds.com/connect/10074733072513#/reservations/31693102919811?display=MHYC7SPS2&amp;reservation_id=31693102919811", "MHYC7SPS2")</f>
        <v>MHYC7SPS2</v>
      </c>
      <c r="B4737" t="s">
        <v>10</v>
      </c>
      <c r="C4737" t="s">
        <v>14</v>
      </c>
      <c r="D4737" t="str">
        <f>HYPERLINK("https://us2.cloudbeds.com/connect/10074733072513#/reservations/31693102919811?display=Marlene%20Timm&amp;reservation_id=31693102919811&amp;guest_id=31693093712067", "Marlene Timm")</f>
        <v>Marlene Timm</v>
      </c>
      <c r="E4737" t="s">
        <v>8728</v>
      </c>
      <c r="F4737" t="s">
        <v>8102</v>
      </c>
      <c r="G4737">
        <v>117.42</v>
      </c>
      <c r="H4737">
        <v>127.63</v>
      </c>
      <c r="I4737">
        <v>127.64</v>
      </c>
      <c r="J4737">
        <v>-0.01</v>
      </c>
    </row>
    <row r="4738" spans="1:10" x14ac:dyDescent="0.3">
      <c r="A4738" t="str">
        <f>HYPERLINK("https://us2.cloudbeds.com/connect/10074733072513#/reservations/31693726847185?display=MHYS5WFU6&amp;reservation_id=31693726847185", "MHYS5WFU6")</f>
        <v>MHYS5WFU6</v>
      </c>
      <c r="B4738" t="s">
        <v>10</v>
      </c>
      <c r="C4738" t="s">
        <v>11</v>
      </c>
      <c r="D4738" t="str">
        <f>HYPERLINK("https://us2.cloudbeds.com/connect/10074733072513#/reservations/31693726847185?display=Erica%20Chase&amp;reservation_id=31693726847185&amp;guest_id=31693726847183", "Erica Chase")</f>
        <v>Erica Chase</v>
      </c>
      <c r="E4738" t="s">
        <v>8733</v>
      </c>
      <c r="F4738" t="s">
        <v>8210</v>
      </c>
      <c r="G4738">
        <v>250.2</v>
      </c>
      <c r="H4738">
        <v>271.95999999999998</v>
      </c>
      <c r="I4738">
        <v>271.97000000000003</v>
      </c>
      <c r="J4738">
        <v>-0.01</v>
      </c>
    </row>
    <row r="4739" spans="1:10" x14ac:dyDescent="0.3">
      <c r="A4739" t="str">
        <f>HYPERLINK("https://us2.cloudbeds.com/connect/10074733072513#/reservations/31694386905255?display=MHMC1XXRT&amp;reservation_id=31694386905255", "MHMC1XXRT")</f>
        <v>MHMC1XXRT</v>
      </c>
      <c r="B4739" t="s">
        <v>10</v>
      </c>
      <c r="C4739" t="s">
        <v>11</v>
      </c>
      <c r="D4739" t="str">
        <f>HYPERLINK("https://us2.cloudbeds.com/connect/10074733072513#/reservations/31694386905255?display=Laurel%20Haeuszer&amp;reservation_id=31694386905255&amp;guest_id=31694386905241", "Laurel Haeuszer")</f>
        <v>Laurel Haeuszer</v>
      </c>
      <c r="E4739" t="s">
        <v>8736</v>
      </c>
      <c r="F4739" t="s">
        <v>8600</v>
      </c>
      <c r="G4739">
        <v>117.42</v>
      </c>
      <c r="H4739">
        <v>127.63</v>
      </c>
      <c r="I4739">
        <v>127.64</v>
      </c>
      <c r="J4739">
        <v>-0.01</v>
      </c>
    </row>
    <row r="4740" spans="1:10" x14ac:dyDescent="0.3">
      <c r="A4740" t="str">
        <f>HYPERLINK("https://us2.cloudbeds.com/connect/10074733072513#/reservations/31695326499040?display=MHN31S51R&amp;reservation_id=31695326499040", "MHN31S51R")</f>
        <v>MHN31S51R</v>
      </c>
      <c r="B4740" t="s">
        <v>10</v>
      </c>
      <c r="C4740" t="s">
        <v>42</v>
      </c>
      <c r="D4740" t="str">
        <f>HYPERLINK("https://us2.cloudbeds.com/connect/10074733072513#/reservations/31695326499040?display=Kathleen%20Dockter&amp;reservation_id=31695326499040&amp;guest_id=31695326499025", "Kathleen Dockter")</f>
        <v>Kathleen Dockter</v>
      </c>
      <c r="E4740" t="s">
        <v>8749</v>
      </c>
      <c r="F4740" t="s">
        <v>8408</v>
      </c>
      <c r="G4740">
        <v>254.4</v>
      </c>
      <c r="H4740">
        <v>276.52</v>
      </c>
      <c r="I4740">
        <v>276.52999999999997</v>
      </c>
      <c r="J4740">
        <v>-0.01</v>
      </c>
    </row>
    <row r="4741" spans="1:10" x14ac:dyDescent="0.3">
      <c r="A4741" t="str">
        <f>HYPERLINK("https://us2.cloudbeds.com/connect/10074733072513#/reservations/31692160704707?display=MHKY5C8X7&amp;reservation_id=31692160704707", "MHKY5C8X7")</f>
        <v>MHKY5C8X7</v>
      </c>
      <c r="B4741" t="s">
        <v>10</v>
      </c>
      <c r="C4741" t="s">
        <v>11</v>
      </c>
      <c r="D4741" t="str">
        <f>HYPERLINK("https://us2.cloudbeds.com/connect/10074733072513#/reservations/31692160704707?display=Roseanne%20Lysne&amp;reservation_id=31692160704707&amp;guest_id=31692160704705", "Roseanne Lysne")</f>
        <v>Roseanne Lysne</v>
      </c>
      <c r="E4741" t="s">
        <v>8751</v>
      </c>
      <c r="F4741" t="s">
        <v>8452</v>
      </c>
      <c r="G4741">
        <v>150.22</v>
      </c>
      <c r="H4741">
        <v>163.28</v>
      </c>
      <c r="I4741">
        <v>163.29</v>
      </c>
      <c r="J4741">
        <v>-0.01</v>
      </c>
    </row>
    <row r="4742" spans="1:10" x14ac:dyDescent="0.3">
      <c r="A4742" t="str">
        <f>HYPERLINK("https://us2.cloudbeds.com/connect/10074733072513#/reservations/31728161845494?display=MXFH2G2BE&amp;reservation_id=31728161845494", "MXFH2G2BE")</f>
        <v>MXFH2G2BE</v>
      </c>
      <c r="B4742" t="s">
        <v>10</v>
      </c>
      <c r="C4742" t="s">
        <v>23</v>
      </c>
      <c r="D4742" t="str">
        <f>HYPERLINK("https://us2.cloudbeds.com/connect/10074733072513#/reservations/31728161845494?display=Robert%20Moore&amp;reservation_id=31728161845494&amp;guest_id=31728161845481", "Robert Moore")</f>
        <v>Robert Moore</v>
      </c>
      <c r="E4742" t="s">
        <v>8768</v>
      </c>
      <c r="F4742" t="s">
        <v>6916</v>
      </c>
      <c r="G4742">
        <v>376.2</v>
      </c>
      <c r="H4742">
        <v>408.92</v>
      </c>
      <c r="I4742">
        <v>408.93</v>
      </c>
      <c r="J4742">
        <v>-0.01</v>
      </c>
    </row>
    <row r="4743" spans="1:10" x14ac:dyDescent="0.3">
      <c r="A4743" t="str">
        <f>HYPERLINK("https://us2.cloudbeds.com/connect/10074733072513#/reservations/31694043726057?display=MHM3963E8&amp;reservation_id=31694043726057", "MHM3963E8")</f>
        <v>MHM3963E8</v>
      </c>
      <c r="B4743" t="s">
        <v>10</v>
      </c>
      <c r="C4743" t="s">
        <v>11</v>
      </c>
      <c r="D4743" t="str">
        <f>HYPERLINK("https://us2.cloudbeds.com/connect/10074733072513#/reservations/31694043726057?display=Nick%20Engen&amp;reservation_id=31694043726057&amp;guest_id=31694043726055", "Nick Engen")</f>
        <v>Nick Engen</v>
      </c>
      <c r="E4743" t="s">
        <v>8773</v>
      </c>
      <c r="F4743" t="s">
        <v>8410</v>
      </c>
      <c r="G4743">
        <v>253.86</v>
      </c>
      <c r="H4743">
        <v>275.94</v>
      </c>
      <c r="I4743">
        <v>275.95</v>
      </c>
      <c r="J4743">
        <v>-0.01</v>
      </c>
    </row>
    <row r="4744" spans="1:10" x14ac:dyDescent="0.3">
      <c r="A4744" t="str">
        <f>HYPERLINK("https://us2.cloudbeds.com/connect/10074733072513#/reservations/31694100967666?display=MHM4ZEUTF&amp;reservation_id=31694100967666", "MHM4ZEUTF")</f>
        <v>MHM4ZEUTF</v>
      </c>
      <c r="B4744" t="s">
        <v>10</v>
      </c>
      <c r="C4744" t="s">
        <v>11</v>
      </c>
      <c r="D4744" t="str">
        <f>HYPERLINK("https://us2.cloudbeds.com/connect/10074733072513#/reservations/31694100967666?display=Rory%20Beyer&amp;reservation_id=31694100967666&amp;guest_id=31694087790747", "Rory Beyer")</f>
        <v>Rory Beyer</v>
      </c>
      <c r="E4744" t="s">
        <v>8778</v>
      </c>
      <c r="F4744" t="s">
        <v>8270</v>
      </c>
      <c r="G4744">
        <v>380.8</v>
      </c>
      <c r="H4744">
        <v>413.92</v>
      </c>
      <c r="I4744">
        <v>413.93</v>
      </c>
      <c r="J4744">
        <v>-0.01</v>
      </c>
    </row>
    <row r="4745" spans="1:10" x14ac:dyDescent="0.3">
      <c r="A4745" t="str">
        <f>HYPERLINK("https://us2.cloudbeds.com/connect/10074733072513#/reservations/31695826542817?display=MHNFRGK2X&amp;reservation_id=31695826542817", "MHNFRGK2X")</f>
        <v>MHNFRGK2X</v>
      </c>
      <c r="B4745" t="s">
        <v>10</v>
      </c>
      <c r="C4745" t="s">
        <v>20</v>
      </c>
      <c r="D4745" t="str">
        <f>HYPERLINK("https://us2.cloudbeds.com/connect/10074733072513#/reservations/31695826542817?display=Michelle%20Harmon&amp;reservation_id=31695826542817&amp;guest_id=31695816224975", "Michelle Harmon")</f>
        <v>Michelle Harmon</v>
      </c>
      <c r="E4745" t="s">
        <v>8782</v>
      </c>
      <c r="F4745" t="s">
        <v>8450</v>
      </c>
      <c r="G4745">
        <v>250.2</v>
      </c>
      <c r="H4745">
        <v>271.95999999999998</v>
      </c>
      <c r="I4745">
        <v>271.97000000000003</v>
      </c>
      <c r="J4745">
        <v>-0.01</v>
      </c>
    </row>
    <row r="4746" spans="1:10" x14ac:dyDescent="0.3">
      <c r="A4746" t="str">
        <f>HYPERLINK("https://us2.cloudbeds.com/connect/10074733072513#/reservations/31727689162890?display=MXF4WTWC5&amp;reservation_id=31727689162890", "MXF4WTWC5")</f>
        <v>MXF4WTWC5</v>
      </c>
      <c r="B4746" t="s">
        <v>10</v>
      </c>
      <c r="C4746" t="s">
        <v>17</v>
      </c>
      <c r="D4746" t="str">
        <f>HYPERLINK("https://us2.cloudbeds.com/connect/10074733072513#/reservations/31727689162890?display=Roxann%20Jandahl&amp;reservation_id=31727689162890&amp;guest_id=31727680614640", "Roxann Jandahl")</f>
        <v>Roxann Jandahl</v>
      </c>
      <c r="E4746" t="s">
        <v>8783</v>
      </c>
      <c r="F4746" t="s">
        <v>8544</v>
      </c>
      <c r="G4746">
        <v>259.2</v>
      </c>
      <c r="H4746">
        <v>281.74</v>
      </c>
      <c r="I4746">
        <v>281.75</v>
      </c>
      <c r="J4746">
        <v>-0.01</v>
      </c>
    </row>
    <row r="4747" spans="1:10" x14ac:dyDescent="0.3">
      <c r="A4747" t="str">
        <f>HYPERLINK("https://us2.cloudbeds.com/connect/10074733072513#/reservations/31695830220938?display=MHNFUJVJP&amp;reservation_id=31695830220938", "MHNFUJVJP")</f>
        <v>MHNFUJVJP</v>
      </c>
      <c r="B4747" t="s">
        <v>10</v>
      </c>
      <c r="C4747" t="s">
        <v>20</v>
      </c>
      <c r="D4747" t="str">
        <f>HYPERLINK("https://us2.cloudbeds.com/connect/10074733072513#/reservations/31695830220938?display=Kim%20Kathol&amp;reservation_id=31695830220938&amp;guest_id=31695830216842", "Kim Kathol")</f>
        <v>Kim Kathol</v>
      </c>
      <c r="E4747" t="s">
        <v>8785</v>
      </c>
      <c r="F4747" t="s">
        <v>8450</v>
      </c>
      <c r="G4747">
        <v>250.2</v>
      </c>
      <c r="H4747">
        <v>271.95999999999998</v>
      </c>
      <c r="I4747">
        <v>271.97000000000003</v>
      </c>
      <c r="J4747">
        <v>-0.01</v>
      </c>
    </row>
    <row r="4748" spans="1:10" x14ac:dyDescent="0.3">
      <c r="A4748" t="str">
        <f>HYPERLINK("https://us2.cloudbeds.com/connect/10074733072513#/reservations/31693964669065?display=MHM18H7FR&amp;reservation_id=31693964669065", "MHM18H7FR")</f>
        <v>MHM18H7FR</v>
      </c>
      <c r="B4748" t="s">
        <v>10</v>
      </c>
      <c r="C4748" t="s">
        <v>11</v>
      </c>
      <c r="D4748" t="str">
        <f>HYPERLINK("https://us2.cloudbeds.com/connect/10074733072513#/reservations/31693964669065?display=Tamra%20Willingham&amp;reservation_id=31693964669065&amp;guest_id=31693964665012", "Tamra Willingham")</f>
        <v>Tamra Willingham</v>
      </c>
      <c r="E4748" t="s">
        <v>8788</v>
      </c>
      <c r="F4748" t="s">
        <v>8641</v>
      </c>
      <c r="G4748">
        <v>259.2</v>
      </c>
      <c r="H4748">
        <v>281.74</v>
      </c>
      <c r="I4748">
        <v>281.75</v>
      </c>
      <c r="J4748">
        <v>-0.01</v>
      </c>
    </row>
    <row r="4749" spans="1:10" x14ac:dyDescent="0.3">
      <c r="A4749" t="str">
        <f>HYPERLINK("https://us2.cloudbeds.com/connect/10074733072513#/reservations/31695069774033?display=MHMTGCD85&amp;reservation_id=31695069774033", "MHMTGCD85")</f>
        <v>MHMTGCD85</v>
      </c>
      <c r="B4749" t="s">
        <v>10</v>
      </c>
      <c r="C4749" t="s">
        <v>121</v>
      </c>
      <c r="D4749" t="str">
        <f>HYPERLINK("https://us2.cloudbeds.com/connect/10074733072513#/reservations/31695069774033?display=Edwin%20Ware&amp;reservation_id=31695069774033&amp;guest_id=31695069774029", "Edwin Ware")</f>
        <v>Edwin Ware</v>
      </c>
      <c r="E4749" t="s">
        <v>7169</v>
      </c>
      <c r="F4749" t="s">
        <v>8784</v>
      </c>
      <c r="G4749">
        <v>134.1</v>
      </c>
      <c r="H4749">
        <v>145.76</v>
      </c>
      <c r="I4749">
        <v>145.77000000000001</v>
      </c>
      <c r="J4749">
        <v>-0.01</v>
      </c>
    </row>
    <row r="4750" spans="1:10" x14ac:dyDescent="0.3">
      <c r="A4750" t="str">
        <f>HYPERLINK("https://us2.cloudbeds.com/connect/10074733072513#/reservations/31695009288408?display=MHMRVC9TE&amp;reservation_id=31695009288408", "MHMRVC9TE")</f>
        <v>MHMRVC9TE</v>
      </c>
      <c r="B4750" t="s">
        <v>10</v>
      </c>
      <c r="C4750" t="s">
        <v>42</v>
      </c>
      <c r="D4750" t="str">
        <f>HYPERLINK("https://us2.cloudbeds.com/connect/10074733072513#/reservations/31695009288408?display=Danny%20Lasoski&amp;reservation_id=31695009288408&amp;guest_id=31694999236736", "Danny Lasoski")</f>
        <v>Danny Lasoski</v>
      </c>
      <c r="E4750" t="s">
        <v>8796</v>
      </c>
      <c r="F4750" t="s">
        <v>8270</v>
      </c>
      <c r="G4750">
        <v>268.2</v>
      </c>
      <c r="H4750">
        <v>291.52</v>
      </c>
      <c r="I4750">
        <v>291.52999999999997</v>
      </c>
      <c r="J4750">
        <v>-0.01</v>
      </c>
    </row>
    <row r="4751" spans="1:10" x14ac:dyDescent="0.3">
      <c r="A4751" t="str">
        <f>HYPERLINK("https://us2.cloudbeds.com/connect/10074733072513#/reservations/31695091302540?display=MHMU1HFA5&amp;reservation_id=31695091302540", "MHMU1HFA5")</f>
        <v>MHMU1HFA5</v>
      </c>
      <c r="B4751" t="s">
        <v>10</v>
      </c>
      <c r="C4751" t="s">
        <v>121</v>
      </c>
      <c r="D4751" t="str">
        <f>HYPERLINK("https://us2.cloudbeds.com/connect/10074733072513#/reservations/31695091302540?display=Jim%20Braun&amp;reservation_id=31695091302540&amp;guest_id=31685035364573", "Jim Braun")</f>
        <v>Jim Braun</v>
      </c>
      <c r="E4751" t="s">
        <v>7100</v>
      </c>
      <c r="F4751" t="s">
        <v>8784</v>
      </c>
      <c r="G4751">
        <v>134.1</v>
      </c>
      <c r="H4751">
        <v>145.76</v>
      </c>
      <c r="I4751">
        <v>145.77000000000001</v>
      </c>
      <c r="J4751">
        <v>-0.01</v>
      </c>
    </row>
    <row r="4752" spans="1:10" x14ac:dyDescent="0.3">
      <c r="A4752" t="str">
        <f>HYPERLINK("https://us2.cloudbeds.com/connect/10074733072513#/reservations/31695069769938?display=MHMTGC9G2&amp;reservation_id=31695069769938", "MHMTGC9G2")</f>
        <v>MHMTGC9G2</v>
      </c>
      <c r="B4752" t="s">
        <v>10</v>
      </c>
      <c r="C4752" t="s">
        <v>14</v>
      </c>
      <c r="D4752" t="str">
        <f>HYPERLINK("https://us2.cloudbeds.com/connect/10074733072513#/reservations/31695069769938?display=Kevin%20Dickey&amp;reservation_id=31695069769938&amp;guest_id=31695069769936", "Kevin Dickey")</f>
        <v>Kevin Dickey</v>
      </c>
      <c r="E4752" t="s">
        <v>8798</v>
      </c>
      <c r="F4752" t="s">
        <v>8784</v>
      </c>
      <c r="G4752">
        <v>117.42</v>
      </c>
      <c r="H4752">
        <v>127.63</v>
      </c>
      <c r="I4752">
        <v>127.64</v>
      </c>
      <c r="J4752">
        <v>-0.01</v>
      </c>
    </row>
    <row r="4753" spans="1:10" x14ac:dyDescent="0.3">
      <c r="A4753" t="str">
        <f>HYPERLINK("https://us2.cloudbeds.com/connect/10074733072513#/reservations/31695900147898?display=MHNHNXPMX&amp;reservation_id=31695900147898", "MHNHNXPMX")</f>
        <v>MHNHNXPMX</v>
      </c>
      <c r="B4753" t="s">
        <v>10</v>
      </c>
      <c r="C4753" t="s">
        <v>20</v>
      </c>
      <c r="D4753" t="str">
        <f>HYPERLINK("https://us2.cloudbeds.com/connect/10074733072513#/reservations/31695900147898?display=Victoria%20Campbell&amp;reservation_id=31695900147898&amp;guest_id=31695900147896", "Victoria Campbell")</f>
        <v>Victoria Campbell</v>
      </c>
      <c r="E4753" t="s">
        <v>8802</v>
      </c>
      <c r="F4753" t="s">
        <v>8450</v>
      </c>
      <c r="G4753">
        <v>250.2</v>
      </c>
      <c r="H4753">
        <v>271.95999999999998</v>
      </c>
      <c r="I4753">
        <v>271.97000000000003</v>
      </c>
      <c r="J4753">
        <v>-0.01</v>
      </c>
    </row>
    <row r="4754" spans="1:10" x14ac:dyDescent="0.3">
      <c r="A4754" t="str">
        <f>HYPERLINK("https://us2.cloudbeds.com/connect/10074733072513#/reservations/31693765148908?display=MHYT599CF&amp;reservation_id=31693765148908", "MHYT599CF")</f>
        <v>MHYT599CF</v>
      </c>
      <c r="B4754" t="s">
        <v>10</v>
      </c>
      <c r="C4754" t="s">
        <v>42</v>
      </c>
      <c r="D4754" t="str">
        <f>HYPERLINK("https://us2.cloudbeds.com/connect/10074733072513#/reservations/31693765148908?display=Susan%20Schavee&amp;reservation_id=31693765148908&amp;guest_id=31693765148892", "Susan Schavee")</f>
        <v>Susan Schavee</v>
      </c>
      <c r="E4754" t="s">
        <v>8805</v>
      </c>
      <c r="F4754" t="s">
        <v>8793</v>
      </c>
      <c r="G4754">
        <v>134.1</v>
      </c>
      <c r="H4754">
        <v>145.76</v>
      </c>
      <c r="I4754">
        <v>145.77000000000001</v>
      </c>
      <c r="J4754">
        <v>-0.01</v>
      </c>
    </row>
    <row r="4755" spans="1:10" x14ac:dyDescent="0.3">
      <c r="A4755" t="str">
        <f>HYPERLINK("https://us2.cloudbeds.com/connect/10074733072513#/reservations/31693154496756?display=MHYDXBWJQ&amp;reservation_id=31693154496756", "MHYDXBWJQ")</f>
        <v>MHYDXBWJQ</v>
      </c>
      <c r="B4755" t="s">
        <v>10</v>
      </c>
      <c r="C4755" t="s">
        <v>121</v>
      </c>
      <c r="D4755" t="str">
        <f>HYPERLINK("https://us2.cloudbeds.com/connect/10074733072513#/reservations/31693154496756?display=Terry%20Lusk&amp;reservation_id=31693154496756&amp;guest_id=31693136683223", "Terry Lusk")</f>
        <v>Terry Lusk</v>
      </c>
      <c r="E4755" t="s">
        <v>8806</v>
      </c>
      <c r="F4755" t="s">
        <v>8410</v>
      </c>
      <c r="G4755">
        <v>134.1</v>
      </c>
      <c r="H4755">
        <v>145.76</v>
      </c>
      <c r="I4755">
        <v>145.77000000000001</v>
      </c>
      <c r="J4755">
        <v>-0.01</v>
      </c>
    </row>
    <row r="4756" spans="1:10" x14ac:dyDescent="0.3">
      <c r="A4756" t="str">
        <f>HYPERLINK("https://us2.cloudbeds.com/connect/10074733072513#/reservations/31690648338646?display=MHJFH3EYY&amp;reservation_id=31690648338646", "MHJFH3EYY")</f>
        <v>MHJFH3EYY</v>
      </c>
      <c r="B4756" t="s">
        <v>10</v>
      </c>
      <c r="C4756" t="s">
        <v>11</v>
      </c>
      <c r="D4756" t="str">
        <f>HYPERLINK("https://us2.cloudbeds.com/connect/10074733072513#/reservations/31690648338646?display=James%20Lane&amp;reservation_id=31690648338646&amp;guest_id=31690648338644", "James Lane")</f>
        <v>James Lane</v>
      </c>
      <c r="E4756" t="s">
        <v>8807</v>
      </c>
      <c r="F4756" t="s">
        <v>8795</v>
      </c>
      <c r="G4756">
        <v>254.4</v>
      </c>
      <c r="H4756">
        <v>276.52</v>
      </c>
      <c r="I4756">
        <v>276.52999999999997</v>
      </c>
      <c r="J4756">
        <v>-0.01</v>
      </c>
    </row>
    <row r="4757" spans="1:10" x14ac:dyDescent="0.3">
      <c r="A4757" t="str">
        <f>HYPERLINK("https://us2.cloudbeds.com/connect/10074733072513#/reservations/31692167192729?display=MHKYARQAV&amp;reservation_id=31692167192729", "MHKYARQAV")</f>
        <v>MHKYARQAV</v>
      </c>
      <c r="B4757" t="s">
        <v>10</v>
      </c>
      <c r="C4757" t="s">
        <v>42</v>
      </c>
      <c r="D4757" t="str">
        <f>HYPERLINK("https://us2.cloudbeds.com/connect/10074733072513#/reservations/31692167192729?display=Melissa%20Jerve&amp;reservation_id=31692167192729&amp;guest_id=31692167192724", "Melissa Jerve")</f>
        <v>Melissa Jerve</v>
      </c>
      <c r="E4757" t="s">
        <v>8813</v>
      </c>
      <c r="F4757" t="s">
        <v>8452</v>
      </c>
      <c r="G4757">
        <v>167.2</v>
      </c>
      <c r="H4757">
        <v>181.74</v>
      </c>
      <c r="I4757">
        <v>181.75</v>
      </c>
      <c r="J4757">
        <v>-0.01</v>
      </c>
    </row>
    <row r="4758" spans="1:10" x14ac:dyDescent="0.3">
      <c r="A4758" t="str">
        <f>HYPERLINK("https://us2.cloudbeds.com/connect/10074733072513#/reservations/31695736877256?display=MHNDHTHXB&amp;reservation_id=31695736877256", "MHNDHTHXB")</f>
        <v>MHNDHTHXB</v>
      </c>
      <c r="B4758" t="s">
        <v>10</v>
      </c>
      <c r="C4758" t="s">
        <v>42</v>
      </c>
      <c r="D4758" t="str">
        <f>HYPERLINK("https://us2.cloudbeds.com/connect/10074733072513#/reservations/31695736877256?display=John%20Mcquistion&amp;reservation_id=31695736877256&amp;guest_id=31695736877252", "John Mcquistion")</f>
        <v>John Mcquistion</v>
      </c>
      <c r="E4758" t="s">
        <v>8815</v>
      </c>
      <c r="F4758" t="s">
        <v>8151</v>
      </c>
      <c r="G4758">
        <v>177.65</v>
      </c>
      <c r="H4758">
        <v>193.1</v>
      </c>
      <c r="I4758">
        <v>193.11</v>
      </c>
      <c r="J4758">
        <v>-0.01</v>
      </c>
    </row>
    <row r="4759" spans="1:10" x14ac:dyDescent="0.3">
      <c r="A4759" t="str">
        <f>HYPERLINK("https://us2.cloudbeds.com/connect/10074733072513#/reservations/31693160149207?display=MHYDN4936&amp;reservation_id=31693160149207", "MHYDN4936")</f>
        <v>MHYDN4936</v>
      </c>
      <c r="B4759" t="s">
        <v>10</v>
      </c>
      <c r="C4759" t="s">
        <v>11</v>
      </c>
      <c r="D4759" t="str">
        <f>HYPERLINK("https://us2.cloudbeds.com/connect/10074733072513#/reservations/31693160149207?display=Kendra%20Ott&amp;reservation_id=31693160149207&amp;guest_id=31693160149194", "Kendra Ott")</f>
        <v>Kendra Ott</v>
      </c>
      <c r="E4759" t="s">
        <v>8817</v>
      </c>
      <c r="F4759" t="s">
        <v>8151</v>
      </c>
      <c r="G4759">
        <v>117.42</v>
      </c>
      <c r="H4759">
        <v>127.63</v>
      </c>
      <c r="I4759">
        <v>127.64</v>
      </c>
      <c r="J4759">
        <v>-0.01</v>
      </c>
    </row>
    <row r="4760" spans="1:10" x14ac:dyDescent="0.3">
      <c r="A4760" t="str">
        <f>HYPERLINK("https://us2.cloudbeds.com/connect/10074733072513#/reservations/31695720497361?display=MHND42ZAT&amp;reservation_id=31695720497361", "MHND42ZAT")</f>
        <v>MHND42ZAT</v>
      </c>
      <c r="B4760" t="s">
        <v>10</v>
      </c>
      <c r="C4760" t="s">
        <v>42</v>
      </c>
      <c r="D4760" t="str">
        <f>HYPERLINK("https://us2.cloudbeds.com/connect/10074733072513#/reservations/31695720497361?display=Forrest%20Scott&amp;reservation_id=31695720497361&amp;guest_id=31695720497356", "Forrest Scott")</f>
        <v>Forrest Scott</v>
      </c>
      <c r="E4760" t="s">
        <v>8818</v>
      </c>
      <c r="F4760" t="s">
        <v>8546</v>
      </c>
      <c r="G4760">
        <v>268.2</v>
      </c>
      <c r="H4760">
        <v>291.52</v>
      </c>
      <c r="I4760">
        <v>291.52999999999997</v>
      </c>
      <c r="J4760">
        <v>-0.01</v>
      </c>
    </row>
    <row r="4761" spans="1:10" x14ac:dyDescent="0.3">
      <c r="A4761" t="str">
        <f>HYPERLINK("https://us2.cloudbeds.com/connect/10074733072513#/reservations/31695890563294?display=MHNHFG2D0&amp;reservation_id=31695890563294", "MHNHFG2D0")</f>
        <v>MHNHFG2D0</v>
      </c>
      <c r="B4761" t="s">
        <v>10</v>
      </c>
      <c r="C4761" t="s">
        <v>11</v>
      </c>
      <c r="D4761" t="str">
        <f>HYPERLINK("https://us2.cloudbeds.com/connect/10074733072513#/reservations/31695890563294?display=Ellyn%20Watters&amp;reservation_id=31695890563294&amp;guest_id=31695890559202", "Ellyn Watters")</f>
        <v>Ellyn Watters</v>
      </c>
      <c r="E4761" t="s">
        <v>8821</v>
      </c>
      <c r="F4761" t="s">
        <v>8450</v>
      </c>
      <c r="G4761">
        <v>134.1</v>
      </c>
      <c r="H4761">
        <v>145.76</v>
      </c>
      <c r="I4761">
        <v>145.77000000000001</v>
      </c>
      <c r="J4761">
        <v>-0.01</v>
      </c>
    </row>
    <row r="4762" spans="1:10" x14ac:dyDescent="0.3">
      <c r="A4762" t="str">
        <f>HYPERLINK("https://us2.cloudbeds.com/connect/10074733072513#/reservations/31691473879241?display=MHK3K7ARA&amp;reservation_id=31691473879241", "MHK3K7ARA")</f>
        <v>MHK3K7ARA</v>
      </c>
      <c r="B4762" t="s">
        <v>10</v>
      </c>
      <c r="C4762" t="s">
        <v>17</v>
      </c>
      <c r="D4762" t="str">
        <f>HYPERLINK("https://us2.cloudbeds.com/connect/10074733072513#/reservations/31691473879241?display=Karen%20Stelton&amp;reservation_id=31691473879241&amp;guest_id=31675871084768", "Karen Stelton")</f>
        <v>Karen Stelton</v>
      </c>
      <c r="E4762" t="s">
        <v>5651</v>
      </c>
      <c r="F4762" t="s">
        <v>8822</v>
      </c>
      <c r="G4762">
        <v>268.2</v>
      </c>
      <c r="H4762">
        <v>291.52</v>
      </c>
      <c r="I4762">
        <v>291.52999999999997</v>
      </c>
      <c r="J4762">
        <v>-0.01</v>
      </c>
    </row>
    <row r="4763" spans="1:10" x14ac:dyDescent="0.3">
      <c r="A4763" t="str">
        <f>HYPERLINK("https://us2.cloudbeds.com/connect/10074733072513#/reservations/31696065069236?display=MHNYUKVJS&amp;reservation_id=31696065069236", "MHNYUKVJS")</f>
        <v>MHNYUKVJS</v>
      </c>
      <c r="B4763" t="s">
        <v>10</v>
      </c>
      <c r="C4763" t="s">
        <v>17</v>
      </c>
      <c r="D4763" t="str">
        <f>HYPERLINK("https://us2.cloudbeds.com/connect/10074733072513#/reservations/31696065069236?display=Amy%20Witt&amp;reservation_id=31696065069236&amp;guest_id=31696065069234", "Amy Witt")</f>
        <v>Amy Witt</v>
      </c>
      <c r="E4763" t="s">
        <v>8823</v>
      </c>
      <c r="F4763" t="s">
        <v>6746</v>
      </c>
      <c r="G4763">
        <v>376.2</v>
      </c>
      <c r="H4763">
        <v>408.92</v>
      </c>
      <c r="I4763">
        <v>408.93</v>
      </c>
      <c r="J4763">
        <v>-0.01</v>
      </c>
    </row>
    <row r="4764" spans="1:10" x14ac:dyDescent="0.3">
      <c r="A4764" t="str">
        <f>HYPERLINK("https://us2.cloudbeds.com/connect/10074733072513#/reservations/31696003088567?display=MHNKBC8CZ&amp;reservation_id=31696003088567", "MHNKBC8CZ")</f>
        <v>MHNKBC8CZ</v>
      </c>
      <c r="B4764" t="s">
        <v>10</v>
      </c>
      <c r="C4764" t="s">
        <v>42</v>
      </c>
      <c r="D4764" t="str">
        <f>HYPERLINK("https://us2.cloudbeds.com/connect/10074733072513#/reservations/31696003088567?display=Frank%20Or%20Carol%20Stukel&amp;reservation_id=31696003088567&amp;guest_id=31696003088516", "Frank Or Carol Stukel")</f>
        <v>Frank Or Carol Stukel</v>
      </c>
      <c r="E4764" t="s">
        <v>8824</v>
      </c>
      <c r="F4764" t="s">
        <v>8419</v>
      </c>
      <c r="G4764">
        <v>268.2</v>
      </c>
      <c r="H4764">
        <v>291.52</v>
      </c>
      <c r="I4764">
        <v>291.52999999999997</v>
      </c>
      <c r="J4764">
        <v>-0.01</v>
      </c>
    </row>
    <row r="4765" spans="1:10" x14ac:dyDescent="0.3">
      <c r="A4765" t="str">
        <f>HYPERLINK("https://us2.cloudbeds.com/connect/10074733072513#/reservations/31693877444822?display=MHYW0W2ZV&amp;reservation_id=31693877444822", "MHYW0W2ZV")</f>
        <v>MHYW0W2ZV</v>
      </c>
      <c r="B4765" t="s">
        <v>10</v>
      </c>
      <c r="C4765" t="s">
        <v>20</v>
      </c>
      <c r="D4765" t="str">
        <f>HYPERLINK("https://us2.cloudbeds.com/connect/10074733072513#/reservations/31693877444822?display=Maria%20Bliss&amp;reservation_id=31693877444822&amp;guest_id=31693877444819", "Maria Bliss")</f>
        <v>Maria Bliss</v>
      </c>
      <c r="E4765" t="s">
        <v>8831</v>
      </c>
      <c r="F4765" t="s">
        <v>8450</v>
      </c>
      <c r="G4765">
        <v>250.2</v>
      </c>
      <c r="H4765">
        <v>271.95999999999998</v>
      </c>
      <c r="I4765">
        <v>271.97000000000003</v>
      </c>
      <c r="J4765">
        <v>-0.01</v>
      </c>
    </row>
    <row r="4766" spans="1:10" x14ac:dyDescent="0.3">
      <c r="A4766" t="str">
        <f>HYPERLINK("https://us2.cloudbeds.com/connect/10074733072513#/reservations/31729904234699?display=MXGSJNKEA&amp;reservation_id=31729904234699", "MXGSJNKEA")</f>
        <v>MXGSJNKEA</v>
      </c>
      <c r="B4766" t="s">
        <v>10</v>
      </c>
      <c r="C4766" t="s">
        <v>14</v>
      </c>
      <c r="D4766" t="str">
        <f>HYPERLINK("https://us2.cloudbeds.com/connect/10074733072513#/reservations/31729904234699?display=Douglas%20Nordaune&amp;reservation_id=31729904234699&amp;guest_id=31729904230608", "Douglas Nordaune")</f>
        <v>Douglas Nordaune</v>
      </c>
      <c r="E4766" t="s">
        <v>8836</v>
      </c>
      <c r="F4766" t="s">
        <v>8443</v>
      </c>
      <c r="G4766">
        <v>170.1</v>
      </c>
      <c r="H4766">
        <v>184.89</v>
      </c>
      <c r="I4766">
        <v>184.9</v>
      </c>
      <c r="J4766">
        <v>-0.01</v>
      </c>
    </row>
    <row r="4767" spans="1:10" x14ac:dyDescent="0.3">
      <c r="A4767" t="str">
        <f>HYPERLINK("https://us2.cloudbeds.com/connect/10074733072513#/reservations/31693834563791?display=MHYUUQS7Z&amp;reservation_id=31693834563791", "MHYUUQS7Z")</f>
        <v>MHYUUQS7Z</v>
      </c>
      <c r="B4767" t="s">
        <v>10</v>
      </c>
      <c r="C4767" t="s">
        <v>11</v>
      </c>
      <c r="D4767" t="str">
        <f>HYPERLINK("https://us2.cloudbeds.com/connect/10074733072513#/reservations/31693834563791?display=Sarah%20Schumann&amp;reservation_id=31693834563791&amp;guest_id=31693825286397", "Sarah Schumann")</f>
        <v>Sarah Schumann</v>
      </c>
      <c r="E4767" t="s">
        <v>8847</v>
      </c>
      <c r="F4767" t="s">
        <v>8450</v>
      </c>
      <c r="G4767">
        <v>182.36</v>
      </c>
      <c r="H4767">
        <v>198.22</v>
      </c>
      <c r="I4767">
        <v>198.23</v>
      </c>
      <c r="J4767">
        <v>-0.01</v>
      </c>
    </row>
    <row r="4768" spans="1:10" x14ac:dyDescent="0.3">
      <c r="A4768" t="str">
        <f>HYPERLINK("https://us2.cloudbeds.com/connect/10074733072513#/reservations/31691996946577?display=MHKGW9EPY&amp;reservation_id=31691996946577", "MHKGW9EPY")</f>
        <v>MHKGW9EPY</v>
      </c>
      <c r="B4768" t="s">
        <v>10</v>
      </c>
      <c r="C4768" t="s">
        <v>42</v>
      </c>
      <c r="D4768" t="str">
        <f>HYPERLINK("https://us2.cloudbeds.com/connect/10074733072513#/reservations/31691996946577?display=Auto%20Geary&amp;reservation_id=31691996946577&amp;guest_id=31691993252024", "Auto Geary")</f>
        <v>Auto Geary</v>
      </c>
      <c r="E4768" t="s">
        <v>8848</v>
      </c>
      <c r="F4768" t="s">
        <v>8811</v>
      </c>
      <c r="G4768">
        <v>224</v>
      </c>
      <c r="H4768">
        <v>243.48</v>
      </c>
      <c r="I4768">
        <v>243.49</v>
      </c>
      <c r="J4768">
        <v>-0.01</v>
      </c>
    </row>
    <row r="4769" spans="1:10" x14ac:dyDescent="0.3">
      <c r="A4769" t="str">
        <f>HYPERLINK("https://us2.cloudbeds.com/connect/10074733072513#/reservations/31690928287932?display=MHJMM5ENB&amp;reservation_id=31690928287932", "MHJMM5ENB")</f>
        <v>MHJMM5ENB</v>
      </c>
      <c r="B4769" t="s">
        <v>10</v>
      </c>
      <c r="C4769" t="s">
        <v>42</v>
      </c>
      <c r="D4769" t="str">
        <f>HYPERLINK("https://us2.cloudbeds.com/connect/10074733072513#/reservations/31690928287932?display=Heather%20Ings&amp;reservation_id=31690928287932&amp;guest_id=31690913763554", "Heather Ings")</f>
        <v>Heather Ings</v>
      </c>
      <c r="E4769" t="s">
        <v>8866</v>
      </c>
      <c r="F4769" t="s">
        <v>8210</v>
      </c>
      <c r="G4769">
        <v>357.3</v>
      </c>
      <c r="H4769">
        <v>388.38</v>
      </c>
      <c r="I4769">
        <v>388.39</v>
      </c>
      <c r="J4769">
        <v>-0.01</v>
      </c>
    </row>
    <row r="4770" spans="1:10" x14ac:dyDescent="0.3">
      <c r="A4770" t="str">
        <f>HYPERLINK("https://us2.cloudbeds.com/connect/10074733072513#/reservations/31727738466466?display=MXF68FUHU&amp;reservation_id=31727738466466", "MXF68FUHU")</f>
        <v>MXF68FUHU</v>
      </c>
      <c r="B4770" t="s">
        <v>10</v>
      </c>
      <c r="C4770" t="s">
        <v>42</v>
      </c>
      <c r="D4770" t="str">
        <f>HYPERLINK("https://us2.cloudbeds.com/connect/10074733072513#/reservations/31727738466466?display=Barbie%20Speck&amp;reservation_id=31727738466466&amp;guest_id=31727738466464", "Barbie Speck")</f>
        <v>Barbie Speck</v>
      </c>
      <c r="E4770" t="s">
        <v>8869</v>
      </c>
      <c r="F4770" t="s">
        <v>8544</v>
      </c>
      <c r="G4770">
        <v>152.15</v>
      </c>
      <c r="H4770">
        <v>165.38</v>
      </c>
      <c r="I4770">
        <v>165.39</v>
      </c>
      <c r="J4770">
        <v>-0.01</v>
      </c>
    </row>
    <row r="4771" spans="1:10" x14ac:dyDescent="0.3">
      <c r="A4771" t="str">
        <f>HYPERLINK("https://us2.cloudbeds.com/connect/10074733072513#/reservations/31693387403455?display=MHYJGZVMX&amp;reservation_id=31693387403455", "MHYJGZVMX")</f>
        <v>MHYJGZVMX</v>
      </c>
      <c r="B4771" t="s">
        <v>10</v>
      </c>
      <c r="C4771" t="s">
        <v>121</v>
      </c>
      <c r="D4771" t="str">
        <f>HYPERLINK("https://us2.cloudbeds.com/connect/10074733072513#/reservations/31693387403455?display=David%20Mendoza&amp;reservation_id=31693387403455&amp;guest_id=31693387403452", "David Mendoza")</f>
        <v>David Mendoza</v>
      </c>
      <c r="E4771" t="s">
        <v>8871</v>
      </c>
      <c r="F4771" t="s">
        <v>8259</v>
      </c>
      <c r="G4771">
        <v>250.2</v>
      </c>
      <c r="H4771">
        <v>271.95999999999998</v>
      </c>
      <c r="I4771">
        <v>271.97000000000003</v>
      </c>
      <c r="J4771">
        <v>-0.01</v>
      </c>
    </row>
    <row r="4772" spans="1:10" x14ac:dyDescent="0.3">
      <c r="A4772" t="str">
        <f>HYPERLINK("https://us2.cloudbeds.com/connect/10074733072513#/reservations/31693697655036?display=MHYREC5HK&amp;reservation_id=31693697655036", "MHYREC5HK")</f>
        <v>MHYREC5HK</v>
      </c>
      <c r="B4772" t="s">
        <v>10</v>
      </c>
      <c r="C4772" t="s">
        <v>14</v>
      </c>
      <c r="D4772" t="str">
        <f>HYPERLINK("https://us2.cloudbeds.com/connect/10074733072513#/reservations/31693697655036?display=Tiffany%20Sanderson&amp;reservation_id=31693697655036&amp;guest_id=31693688643724", "Tiffany Sanderson")</f>
        <v>Tiffany Sanderson</v>
      </c>
      <c r="E4772" t="s">
        <v>8872</v>
      </c>
      <c r="F4772" t="s">
        <v>8210</v>
      </c>
      <c r="G4772">
        <v>222.4</v>
      </c>
      <c r="H4772">
        <v>241.74</v>
      </c>
      <c r="I4772">
        <v>241.75</v>
      </c>
      <c r="J4772">
        <v>-0.01</v>
      </c>
    </row>
    <row r="4773" spans="1:10" x14ac:dyDescent="0.3">
      <c r="A4773" t="str">
        <f>HYPERLINK("https://us2.cloudbeds.com/connect/10074733072513#/reservations/31693698040026?display=MHYREMT1W&amp;reservation_id=31693698040026", "MHYREMT1W")</f>
        <v>MHYREMT1W</v>
      </c>
      <c r="B4773" t="s">
        <v>10</v>
      </c>
      <c r="C4773" t="s">
        <v>14</v>
      </c>
      <c r="D4773" t="str">
        <f>HYPERLINK("https://us2.cloudbeds.com/connect/10074733072513#/reservations/31693698040026?display=Stacey%20Schooley&amp;reservation_id=31693698040026&amp;guest_id=31693698040024", "Stacey Schooley")</f>
        <v>Stacey Schooley</v>
      </c>
      <c r="E4773" t="s">
        <v>8873</v>
      </c>
      <c r="F4773" t="s">
        <v>8210</v>
      </c>
      <c r="G4773">
        <v>182.36</v>
      </c>
      <c r="H4773">
        <v>198.22</v>
      </c>
      <c r="I4773">
        <v>198.23</v>
      </c>
      <c r="J4773">
        <v>-0.01</v>
      </c>
    </row>
    <row r="4774" spans="1:10" x14ac:dyDescent="0.3">
      <c r="A4774" t="str">
        <f>HYPERLINK("https://us2.cloudbeds.com/connect/10074733072513#/reservations/31691821560009?display=MHKCGD1U5&amp;reservation_id=31691821560009", "MHKCGD1U5")</f>
        <v>MHKCGD1U5</v>
      </c>
      <c r="B4774" t="s">
        <v>10</v>
      </c>
      <c r="C4774" t="s">
        <v>14</v>
      </c>
      <c r="D4774" t="str">
        <f>HYPERLINK("https://us2.cloudbeds.com/connect/10074733072513#/reservations/31691821560009?display=Chad%20Ulvestad&amp;reservation_id=31691821560009&amp;guest_id=31691814527192", "Chad Ulvestad")</f>
        <v>Chad Ulvestad</v>
      </c>
      <c r="E4774" t="s">
        <v>8874</v>
      </c>
      <c r="F4774" t="s">
        <v>8791</v>
      </c>
      <c r="G4774">
        <v>134.1</v>
      </c>
      <c r="H4774">
        <v>145.76</v>
      </c>
      <c r="I4774">
        <v>145.77000000000001</v>
      </c>
      <c r="J4774">
        <v>-0.01</v>
      </c>
    </row>
    <row r="4775" spans="1:10" x14ac:dyDescent="0.3">
      <c r="A4775" t="str">
        <f>HYPERLINK("https://us2.cloudbeds.com/connect/10074733072513#/reservations/31690943606994?display=MHJN22NQB&amp;reservation_id=31690943606994", "MHJN22NQB")</f>
        <v>MHJN22NQB</v>
      </c>
      <c r="B4775" t="s">
        <v>10</v>
      </c>
      <c r="C4775" t="s">
        <v>42</v>
      </c>
      <c r="D4775" t="str">
        <f>HYPERLINK("https://us2.cloudbeds.com/connect/10074733072513#/reservations/31690943606994?display=Julie%20Frobish&amp;reservation_id=31690943606994&amp;guest_id=30663860838558", "Julie Frobish")</f>
        <v>Julie Frobish</v>
      </c>
      <c r="E4775" t="s">
        <v>8881</v>
      </c>
      <c r="F4775" t="s">
        <v>8210</v>
      </c>
      <c r="G4775">
        <v>254.4</v>
      </c>
      <c r="H4775">
        <v>276.52</v>
      </c>
      <c r="I4775">
        <v>276.52999999999997</v>
      </c>
      <c r="J4775">
        <v>-0.01</v>
      </c>
    </row>
    <row r="4776" spans="1:10" x14ac:dyDescent="0.3">
      <c r="A4776" t="str">
        <f>HYPERLINK("https://us2.cloudbeds.com/connect/10074733072513#/reservations/31689983348882?display=MHXVHC42M&amp;reservation_id=31689983348882", "MHXVHC42M")</f>
        <v>MHXVHC42M</v>
      </c>
      <c r="B4776" t="s">
        <v>10</v>
      </c>
      <c r="C4776" t="s">
        <v>11</v>
      </c>
      <c r="D4776" t="str">
        <f>HYPERLINK("https://us2.cloudbeds.com/connect/10074733072513#/reservations/31689983348882?display=Jayna%20Kendall&amp;reservation_id=31689983348882&amp;guest_id=31689983348877", "Jayna Kendall")</f>
        <v>Jayna Kendall</v>
      </c>
      <c r="E4776" t="s">
        <v>8882</v>
      </c>
      <c r="F4776" t="s">
        <v>8210</v>
      </c>
      <c r="G4776">
        <v>222.4</v>
      </c>
      <c r="H4776">
        <v>241.74</v>
      </c>
      <c r="I4776">
        <v>241.75</v>
      </c>
      <c r="J4776">
        <v>-0.01</v>
      </c>
    </row>
    <row r="4777" spans="1:10" x14ac:dyDescent="0.3">
      <c r="A4777" t="str">
        <f>HYPERLINK("https://us2.cloudbeds.com/connect/10074733072513#/reservations/31696046170363?display=MHNYEN28M&amp;reservation_id=31696046170363", "MHNYEN28M")</f>
        <v>MHNYEN28M</v>
      </c>
      <c r="B4777" t="s">
        <v>10</v>
      </c>
      <c r="C4777" t="s">
        <v>20</v>
      </c>
      <c r="D4777" t="str">
        <f>HYPERLINK("https://us2.cloudbeds.com/connect/10074733072513#/reservations/31696046170363?display=Edna%20Sobania&amp;reservation_id=31696046170363&amp;guest_id=31696046170311", "Edna Sobania")</f>
        <v>Edna Sobania</v>
      </c>
      <c r="E4777" t="s">
        <v>8894</v>
      </c>
      <c r="F4777" t="s">
        <v>8419</v>
      </c>
      <c r="G4777">
        <v>170.1</v>
      </c>
      <c r="H4777">
        <v>184.89</v>
      </c>
      <c r="I4777">
        <v>184.9</v>
      </c>
      <c r="J4777">
        <v>-0.01</v>
      </c>
    </row>
    <row r="4778" spans="1:10" x14ac:dyDescent="0.3">
      <c r="A4778" t="str">
        <f>HYPERLINK("https://us2.cloudbeds.com/connect/10074733072513#/reservations/31695670341807?display=MHNBRQ2QK&amp;reservation_id=31695670341807", "MHNBRQ2QK")</f>
        <v>MHNBRQ2QK</v>
      </c>
      <c r="B4778" t="s">
        <v>10</v>
      </c>
      <c r="C4778" t="s">
        <v>11</v>
      </c>
      <c r="D4778" t="str">
        <f>HYPERLINK("https://us2.cloudbeds.com/connect/10074733072513#/reservations/31695670341807?display=Jill%20Carlson&amp;reservation_id=31695670341807&amp;guest_id=31695670341794", "Jill Carlson")</f>
        <v>Jill Carlson</v>
      </c>
      <c r="E4778" t="s">
        <v>8895</v>
      </c>
      <c r="F4778" t="s">
        <v>8546</v>
      </c>
      <c r="G4778">
        <v>117.42</v>
      </c>
      <c r="H4778">
        <v>127.63</v>
      </c>
      <c r="I4778">
        <v>127.64</v>
      </c>
      <c r="J4778">
        <v>-0.01</v>
      </c>
    </row>
    <row r="4779" spans="1:10" x14ac:dyDescent="0.3">
      <c r="A4779" t="str">
        <f>HYPERLINK("https://us2.cloudbeds.com/connect/10074733072513#/reservations/31733619732642?display=MXJZHNR92&amp;reservation_id=31733619732642", "MXJZHNR92")</f>
        <v>MXJZHNR92</v>
      </c>
      <c r="B4779" t="s">
        <v>10</v>
      </c>
      <c r="C4779" t="s">
        <v>14</v>
      </c>
      <c r="D4779" t="str">
        <f>HYPERLINK("https://us2.cloudbeds.com/connect/10074733072513#/reservations/31733619732642?display=Jackie%20Zuiderhof&amp;reservation_id=31733619732642&amp;guest_id=31733602570386", "Jackie Zuiderhof")</f>
        <v>Jackie Zuiderhof</v>
      </c>
      <c r="E4779" t="s">
        <v>8896</v>
      </c>
      <c r="F4779" t="s">
        <v>8897</v>
      </c>
      <c r="G4779">
        <v>268.2</v>
      </c>
      <c r="H4779">
        <v>291.52</v>
      </c>
      <c r="I4779">
        <v>291.52999999999997</v>
      </c>
      <c r="J4779">
        <v>-0.01</v>
      </c>
    </row>
    <row r="4780" spans="1:10" x14ac:dyDescent="0.3">
      <c r="A4780" t="str">
        <f>HYPERLINK("https://us2.cloudbeds.com/connect/10074733072513#/reservations/31692145438943?display=MHKKPGFDA&amp;reservation_id=31692145438943", "MHKKPGFDA")</f>
        <v>MHKKPGFDA</v>
      </c>
      <c r="B4780" t="s">
        <v>10</v>
      </c>
      <c r="C4780" t="s">
        <v>42</v>
      </c>
      <c r="D4780" t="str">
        <f>HYPERLINK("https://us2.cloudbeds.com/connect/10074733072513#/reservations/31692145438943?display=Rick%20Hurd&amp;reservation_id=31692145438943&amp;guest_id=30651229962403", "Rick Hurd")</f>
        <v>Rick Hurd</v>
      </c>
      <c r="E4780" t="s">
        <v>4521</v>
      </c>
      <c r="F4780" t="s">
        <v>8901</v>
      </c>
      <c r="G4780">
        <v>250.2</v>
      </c>
      <c r="H4780">
        <v>271.95999999999998</v>
      </c>
      <c r="I4780">
        <v>271.97000000000003</v>
      </c>
      <c r="J4780">
        <v>-0.01</v>
      </c>
    </row>
    <row r="4781" spans="1:10" x14ac:dyDescent="0.3">
      <c r="A4781" t="str">
        <f>HYPERLINK("https://us2.cloudbeds.com/connect/10074733072513#/reservations/31691126780092?display=MHJRZHPR9&amp;reservation_id=31691126780092", "MHJRZHPR9")</f>
        <v>MHJRZHPR9</v>
      </c>
      <c r="B4781" t="s">
        <v>10</v>
      </c>
      <c r="C4781" t="s">
        <v>11</v>
      </c>
      <c r="D4781" t="str">
        <f>HYPERLINK("https://us2.cloudbeds.com/connect/10074733072513#/reservations/31691126780092?display=Fred%20Engebretson&amp;reservation_id=31691126780092&amp;guest_id=31691126780090", "Fred Engebretson")</f>
        <v>Fred Engebretson</v>
      </c>
      <c r="E4781" t="s">
        <v>8905</v>
      </c>
      <c r="F4781" t="s">
        <v>8413</v>
      </c>
      <c r="G4781">
        <v>134.1</v>
      </c>
      <c r="H4781">
        <v>145.76</v>
      </c>
      <c r="I4781">
        <v>145.77000000000001</v>
      </c>
      <c r="J4781">
        <v>-0.01</v>
      </c>
    </row>
    <row r="4782" spans="1:10" x14ac:dyDescent="0.3">
      <c r="A4782" t="str">
        <f>HYPERLINK("https://us2.cloudbeds.com/connect/10074733072513#/reservations/31695119990938?display=MHMUPNP3X&amp;reservation_id=31695119990938", "MHMUPNP3X")</f>
        <v>MHMUPNP3X</v>
      </c>
      <c r="B4782" t="s">
        <v>10</v>
      </c>
      <c r="C4782" t="s">
        <v>11</v>
      </c>
      <c r="D4782" t="str">
        <f>HYPERLINK("https://us2.cloudbeds.com/connect/10074733072513#/reservations/31695119990938?display=Jared%20Suchanek&amp;reservation_id=31695119990938&amp;guest_id=31695119986846", "Jared Suchanek")</f>
        <v>Jared Suchanek</v>
      </c>
      <c r="E4782" t="s">
        <v>8906</v>
      </c>
      <c r="F4782" t="s">
        <v>8151</v>
      </c>
      <c r="G4782">
        <v>143.66</v>
      </c>
      <c r="H4782">
        <v>156.15</v>
      </c>
      <c r="I4782">
        <v>156.16</v>
      </c>
      <c r="J4782">
        <v>-0.01</v>
      </c>
    </row>
    <row r="4783" spans="1:10" x14ac:dyDescent="0.3">
      <c r="A4783" t="str">
        <f>HYPERLINK("https://us2.cloudbeds.com/connect/10074733072513#/reservations/31735933444272?display=MXYHYN8MN&amp;reservation_id=31735933444272", "MXYHYN8MN")</f>
        <v>MXYHYN8MN</v>
      </c>
      <c r="B4783" t="s">
        <v>10</v>
      </c>
      <c r="C4783" t="s">
        <v>42</v>
      </c>
      <c r="D4783" t="str">
        <f>HYPERLINK("https://us2.cloudbeds.com/connect/10074733072513#/reservations/31735933444272?display=Colleen%20Budniak&amp;reservation_id=31735933444272&amp;guest_id=31735921111254", "Colleen Budniak")</f>
        <v>Colleen Budniak</v>
      </c>
      <c r="E4783" t="s">
        <v>8908</v>
      </c>
      <c r="F4783" t="s">
        <v>7751</v>
      </c>
      <c r="G4783">
        <v>170.1</v>
      </c>
      <c r="H4783">
        <v>184.89</v>
      </c>
      <c r="I4783">
        <v>184.9</v>
      </c>
      <c r="J4783">
        <v>-0.01</v>
      </c>
    </row>
    <row r="4784" spans="1:10" x14ac:dyDescent="0.3">
      <c r="A4784" t="str">
        <f>HYPERLINK("https://us2.cloudbeds.com/connect/10074733072513#/reservations/31691316646095?display=MHJWJY2PH&amp;reservation_id=31691316646095", "MHJWJY2PH")</f>
        <v>MHJWJY2PH</v>
      </c>
      <c r="B4784" t="s">
        <v>10</v>
      </c>
      <c r="C4784" t="s">
        <v>11</v>
      </c>
      <c r="D4784" t="str">
        <f>HYPERLINK("https://us2.cloudbeds.com/connect/10074733072513#/reservations/31691316646095?display=Fred%20Engebretson&amp;reservation_id=31691316646095&amp;guest_id=31691316646090", "Fred Engebretson")</f>
        <v>Fred Engebretson</v>
      </c>
      <c r="E4784" t="s">
        <v>8910</v>
      </c>
      <c r="F4784" t="s">
        <v>8413</v>
      </c>
      <c r="G4784">
        <v>134.1</v>
      </c>
      <c r="H4784">
        <v>145.76</v>
      </c>
      <c r="I4784">
        <v>145.77000000000001</v>
      </c>
      <c r="J4784">
        <v>-0.01</v>
      </c>
    </row>
    <row r="4785" spans="1:10" x14ac:dyDescent="0.3">
      <c r="A4785" t="str">
        <f>HYPERLINK("https://us2.cloudbeds.com/connect/10074733072513#/reservations/31690047131856?display=MHJ054WA2&amp;reservation_id=31690047131856", "MHJ054WA2")</f>
        <v>MHJ054WA2</v>
      </c>
      <c r="B4785" t="s">
        <v>10</v>
      </c>
      <c r="C4785" t="s">
        <v>11</v>
      </c>
      <c r="D4785" t="str">
        <f>HYPERLINK("https://us2.cloudbeds.com/connect/10074733072513#/reservations/31690047131856?display=Christie%20Gunkel&amp;reservation_id=31690047131856&amp;guest_id=31690047131840", "Christie Gunkel")</f>
        <v>Christie Gunkel</v>
      </c>
      <c r="E4785" t="s">
        <v>8927</v>
      </c>
      <c r="F4785" t="s">
        <v>8210</v>
      </c>
      <c r="G4785">
        <v>123.2</v>
      </c>
      <c r="H4785">
        <v>133.91</v>
      </c>
      <c r="I4785">
        <v>133.91999999999999</v>
      </c>
      <c r="J4785">
        <v>-0.01</v>
      </c>
    </row>
    <row r="4786" spans="1:10" x14ac:dyDescent="0.3">
      <c r="A4786" t="str">
        <f>HYPERLINK("https://us2.cloudbeds.com/connect/10074733072513#/reservations/31731445309620?display=MXX1W69UB&amp;reservation_id=31731445309620", "MXX1W69UB")</f>
        <v>MXX1W69UB</v>
      </c>
      <c r="B4786" t="s">
        <v>10</v>
      </c>
      <c r="C4786" t="s">
        <v>42</v>
      </c>
      <c r="D4786" t="str">
        <f>HYPERLINK("https://us2.cloudbeds.com/connect/10074733072513#/reservations/31731445309620?display=Tom%20Cody&amp;reservation_id=31731445309620&amp;guest_id=31731428688032", "Tom Cody")</f>
        <v>Tom Cody</v>
      </c>
      <c r="E4786" t="s">
        <v>8934</v>
      </c>
      <c r="F4786" t="s">
        <v>8935</v>
      </c>
      <c r="G4786">
        <v>134.1</v>
      </c>
      <c r="H4786">
        <v>145.76</v>
      </c>
      <c r="I4786">
        <v>145.77000000000001</v>
      </c>
      <c r="J4786">
        <v>-0.01</v>
      </c>
    </row>
    <row r="4787" spans="1:10" x14ac:dyDescent="0.3">
      <c r="A4787" t="str">
        <f>HYPERLINK("https://us2.cloudbeds.com/connect/10074733072513#/reservations/31736065384663?display=MXYY0VN2C&amp;reservation_id=31736065384663", "MXYY0VN2C")</f>
        <v>MXYY0VN2C</v>
      </c>
      <c r="B4787" t="s">
        <v>10</v>
      </c>
      <c r="C4787" t="s">
        <v>14</v>
      </c>
      <c r="D4787" t="str">
        <f>HYPERLINK("https://us2.cloudbeds.com/connect/10074733072513#/reservations/31736065384663?display=Marsha%20Altstiel&amp;reservation_id=31736065384663&amp;guest_id=31736065384660", "Marsha Altstiel")</f>
        <v>Marsha Altstiel</v>
      </c>
      <c r="E4787" t="s">
        <v>8942</v>
      </c>
      <c r="F4787" t="s">
        <v>6916</v>
      </c>
      <c r="G4787">
        <v>376.2</v>
      </c>
      <c r="H4787">
        <v>408.92</v>
      </c>
      <c r="I4787">
        <v>408.93</v>
      </c>
      <c r="J4787">
        <v>-0.01</v>
      </c>
    </row>
    <row r="4788" spans="1:10" x14ac:dyDescent="0.3">
      <c r="A4788" t="str">
        <f>HYPERLINK("https://us2.cloudbeds.com/connect/10074733072513#/reservations/31695697301717?display=MHNCHH9CJ&amp;reservation_id=31695697301717", "MHNCHH9CJ")</f>
        <v>MHNCHH9CJ</v>
      </c>
      <c r="B4788" t="s">
        <v>10</v>
      </c>
      <c r="C4788" t="s">
        <v>42</v>
      </c>
      <c r="D4788" t="str">
        <f>HYPERLINK("https://us2.cloudbeds.com/connect/10074733072513#/reservations/31695697301717?display=Mardell%20Hochstein&amp;reservation_id=31695697301717&amp;guest_id=31693750108352", "Mardell Hochstein")</f>
        <v>Mardell Hochstein</v>
      </c>
      <c r="E4788" t="s">
        <v>8534</v>
      </c>
      <c r="F4788" t="s">
        <v>8795</v>
      </c>
      <c r="G4788">
        <v>103.2</v>
      </c>
      <c r="H4788">
        <v>112.17</v>
      </c>
      <c r="I4788">
        <v>112.18</v>
      </c>
      <c r="J4788">
        <v>-0.01</v>
      </c>
    </row>
    <row r="4789" spans="1:10" x14ac:dyDescent="0.3">
      <c r="A4789" t="str">
        <f>HYPERLINK("https://us2.cloudbeds.com/connect/10074733072513#/reservations/31695228485847?display=MHN0X6Q42&amp;reservation_id=31695228485847", "MHN0X6Q42")</f>
        <v>MHN0X6Q42</v>
      </c>
      <c r="B4789" t="s">
        <v>10</v>
      </c>
      <c r="C4789" t="s">
        <v>42</v>
      </c>
      <c r="D4789" t="str">
        <f>HYPERLINK("https://us2.cloudbeds.com/connect/10074733072513#/reservations/31695228485847?display=Carol%20Fields&amp;reservation_id=31695228485847&amp;guest_id=30682358509702", "Carol Fields")</f>
        <v>Carol Fields</v>
      </c>
      <c r="E4789" t="s">
        <v>7680</v>
      </c>
      <c r="F4789" t="s">
        <v>8945</v>
      </c>
      <c r="G4789">
        <v>406</v>
      </c>
      <c r="H4789">
        <v>441.31</v>
      </c>
      <c r="I4789">
        <v>441.32</v>
      </c>
      <c r="J4789">
        <v>-0.01</v>
      </c>
    </row>
    <row r="4790" spans="1:10" x14ac:dyDescent="0.3">
      <c r="A4790" t="str">
        <f>HYPERLINK("https://us2.cloudbeds.com/connect/10074733072513#/reservations/31695208960203?display=MHN01ZF7T&amp;reservation_id=31695208960203", "MHN01ZF7T")</f>
        <v>MHN01ZF7T</v>
      </c>
      <c r="B4790" t="s">
        <v>10</v>
      </c>
      <c r="C4790" t="s">
        <v>42</v>
      </c>
      <c r="D4790" t="str">
        <f>HYPERLINK("https://us2.cloudbeds.com/connect/10074733072513#/reservations/31695208960203?display=Renee%20Osborne&amp;reservation_id=31695208960203&amp;guest_id=31684033339591", "Renee Osborne")</f>
        <v>Renee Osborne</v>
      </c>
      <c r="E4790" t="s">
        <v>7450</v>
      </c>
      <c r="F4790" t="s">
        <v>8278</v>
      </c>
      <c r="G4790">
        <v>348</v>
      </c>
      <c r="H4790">
        <v>378.27</v>
      </c>
      <c r="I4790">
        <v>378.28</v>
      </c>
      <c r="J4790">
        <v>-0.01</v>
      </c>
    </row>
    <row r="4791" spans="1:10" x14ac:dyDescent="0.3">
      <c r="A4791" t="str">
        <f>HYPERLINK("https://us2.cloudbeds.com/connect/10074733072513#/reservations/31691621703887?display=MHK7CSPA1&amp;reservation_id=31691621703887", "MHK7CSPA1")</f>
        <v>MHK7CSPA1</v>
      </c>
      <c r="B4791" t="s">
        <v>10</v>
      </c>
      <c r="C4791" t="s">
        <v>42</v>
      </c>
      <c r="D4791" t="str">
        <f>HYPERLINK("https://us2.cloudbeds.com/connect/10074733072513#/reservations/31691621703887?display=Mark%20Mcnulty&amp;reservation_id=31691621703887&amp;guest_id=31691621703882", "Mark Mcnulty")</f>
        <v>Mark Mcnulty</v>
      </c>
      <c r="E4791" t="s">
        <v>8950</v>
      </c>
      <c r="F4791" t="s">
        <v>8264</v>
      </c>
      <c r="G4791">
        <v>375.3</v>
      </c>
      <c r="H4791">
        <v>407.94</v>
      </c>
      <c r="I4791">
        <v>407.95</v>
      </c>
      <c r="J4791">
        <v>-0.01</v>
      </c>
    </row>
    <row r="4792" spans="1:10" x14ac:dyDescent="0.3">
      <c r="A4792" t="str">
        <f>HYPERLINK("https://us2.cloudbeds.com/connect/10074733072513#/reservations/31689990398202?display=MHXVNA99E&amp;reservation_id=31689990398202", "MHXVNA99E")</f>
        <v>MHXVNA99E</v>
      </c>
      <c r="B4792" t="s">
        <v>10</v>
      </c>
      <c r="C4792" t="s">
        <v>17</v>
      </c>
      <c r="D4792" t="str">
        <f>HYPERLINK("https://us2.cloudbeds.com/connect/10074733072513#/reservations/31689990398202?display=John%20Seyller&amp;reservation_id=31689990398202&amp;guest_id=31689990398198", "John Seyller")</f>
        <v>John Seyller</v>
      </c>
      <c r="E4792" t="s">
        <v>8954</v>
      </c>
      <c r="F4792" t="s">
        <v>8210</v>
      </c>
      <c r="G4792">
        <v>304.2</v>
      </c>
      <c r="H4792">
        <v>330.66</v>
      </c>
      <c r="I4792">
        <v>330.67</v>
      </c>
      <c r="J4792">
        <v>-0.01</v>
      </c>
    </row>
    <row r="4793" spans="1:10" x14ac:dyDescent="0.3">
      <c r="A4793" t="str">
        <f>HYPERLINK("https://us2.cloudbeds.com/connect/10074733072513#/reservations/31693668180180?display=MHYQMGWX5&amp;reservation_id=31693668180180", "MHYQMGWX5")</f>
        <v>MHYQMGWX5</v>
      </c>
      <c r="B4793" t="s">
        <v>10</v>
      </c>
      <c r="C4793" t="s">
        <v>20</v>
      </c>
      <c r="D4793" t="str">
        <f>HYPERLINK("https://us2.cloudbeds.com/connect/10074733072513#/reservations/31693668180180?display=Carol%20Broderson&amp;reservation_id=31693668180180&amp;guest_id=31693668180177", "Carol Broderson")</f>
        <v>Carol Broderson</v>
      </c>
      <c r="E4793" t="s">
        <v>8956</v>
      </c>
      <c r="F4793" t="s">
        <v>6742</v>
      </c>
      <c r="G4793">
        <v>375.3</v>
      </c>
      <c r="H4793">
        <v>407.94</v>
      </c>
      <c r="I4793">
        <v>407.95</v>
      </c>
      <c r="J4793">
        <v>-0.01</v>
      </c>
    </row>
    <row r="4794" spans="1:10" x14ac:dyDescent="0.3">
      <c r="A4794" t="str">
        <f>HYPERLINK("https://us2.cloudbeds.com/connect/10074733072513#/reservations/31695758246104?display=MHNE2U506&amp;reservation_id=31695758246104", "MHNE2U506")</f>
        <v>MHNE2U506</v>
      </c>
      <c r="B4794" t="s">
        <v>10</v>
      </c>
      <c r="C4794" t="s">
        <v>42</v>
      </c>
      <c r="D4794" t="str">
        <f>HYPERLINK("https://us2.cloudbeds.com/connect/10074733072513#/reservations/31695758246104?display=Alicia%20Schneckloth&amp;reservation_id=31695758246104&amp;guest_id=31695758246098", "Alicia Schneckloth")</f>
        <v>Alicia Schneckloth</v>
      </c>
      <c r="E4794" t="s">
        <v>8957</v>
      </c>
      <c r="F4794" t="s">
        <v>8265</v>
      </c>
      <c r="G4794">
        <v>134.1</v>
      </c>
      <c r="H4794">
        <v>145.76</v>
      </c>
      <c r="I4794">
        <v>145.77000000000001</v>
      </c>
      <c r="J4794">
        <v>-0.01</v>
      </c>
    </row>
    <row r="4795" spans="1:10" x14ac:dyDescent="0.3">
      <c r="A4795" t="str">
        <f>HYPERLINK("https://us2.cloudbeds.com/connect/10074733072513#/reservations/31694629945558?display=MHMX8GHBX&amp;reservation_id=31694629945558", "MHMX8GHBX")</f>
        <v>MHMX8GHBX</v>
      </c>
      <c r="B4795" t="s">
        <v>10</v>
      </c>
      <c r="C4795" t="s">
        <v>42</v>
      </c>
      <c r="D4795" t="str">
        <f>HYPERLINK("https://us2.cloudbeds.com/connect/10074733072513#/reservations/31694629945558?display=Bertley%20Griggs&amp;reservation_id=31694629945558&amp;guest_id=31694629941466", "Bertley Griggs")</f>
        <v>Bertley Griggs</v>
      </c>
      <c r="E4795" t="s">
        <v>1236</v>
      </c>
      <c r="F4795" t="s">
        <v>8795</v>
      </c>
      <c r="G4795">
        <v>134.1</v>
      </c>
      <c r="H4795">
        <v>145.76</v>
      </c>
      <c r="I4795">
        <v>145.77000000000001</v>
      </c>
      <c r="J4795">
        <v>-0.01</v>
      </c>
    </row>
    <row r="4796" spans="1:10" x14ac:dyDescent="0.3">
      <c r="A4796" t="str">
        <f>HYPERLINK("https://us2.cloudbeds.com/connect/10074733072513#/reservations/31691327459525?display=MHJWSZWF7&amp;reservation_id=31691327459525", "MHJWSZWF7")</f>
        <v>MHJWSZWF7</v>
      </c>
      <c r="B4796" t="s">
        <v>10</v>
      </c>
      <c r="C4796" t="s">
        <v>11</v>
      </c>
      <c r="D4796" t="str">
        <f>HYPERLINK("https://us2.cloudbeds.com/connect/10074733072513#/reservations/31691327459525?display=John%20Gilbertson&amp;reservation_id=31691327459525&amp;guest_id=31691327459520", "John Gilbertson")</f>
        <v>John Gilbertson</v>
      </c>
      <c r="E4796" t="s">
        <v>8967</v>
      </c>
      <c r="F4796" t="s">
        <v>8413</v>
      </c>
      <c r="G4796">
        <v>117.42</v>
      </c>
      <c r="H4796">
        <v>127.63</v>
      </c>
      <c r="I4796">
        <v>127.64</v>
      </c>
      <c r="J4796">
        <v>-0.01</v>
      </c>
    </row>
    <row r="4797" spans="1:10" x14ac:dyDescent="0.3">
      <c r="A4797" t="str">
        <f>HYPERLINK("https://us2.cloudbeds.com/connect/10074733072513#/reservations/31691287105686?display=MHJVRZ2JK&amp;reservation_id=31691287105686", "MHJVRZ2JK")</f>
        <v>MHJVRZ2JK</v>
      </c>
      <c r="B4797" t="s">
        <v>10</v>
      </c>
      <c r="C4797" t="s">
        <v>121</v>
      </c>
      <c r="D4797" t="str">
        <f>HYPERLINK("https://us2.cloudbeds.com/connect/10074733072513#/reservations/31691287105686?display=Sheila%20Sanders&amp;reservation_id=31691287105686&amp;guest_id=31691282178238", "Sheila Sanders")</f>
        <v>Sheila Sanders</v>
      </c>
      <c r="E4797" t="s">
        <v>8968</v>
      </c>
      <c r="F4797" t="s">
        <v>8413</v>
      </c>
      <c r="G4797">
        <v>152.15</v>
      </c>
      <c r="H4797">
        <v>165.38</v>
      </c>
      <c r="I4797">
        <v>165.39</v>
      </c>
      <c r="J4797">
        <v>-0.01</v>
      </c>
    </row>
    <row r="4798" spans="1:10" x14ac:dyDescent="0.3">
      <c r="A4798" t="str">
        <f>HYPERLINK("https://us2.cloudbeds.com/connect/10074733072513#/reservations/31690199195838?display=MHJ41CCYH&amp;reservation_id=31690199195838", "MHJ41CCYH")</f>
        <v>MHJ41CCYH</v>
      </c>
      <c r="B4798" t="s">
        <v>10</v>
      </c>
      <c r="C4798" t="s">
        <v>23</v>
      </c>
      <c r="D4798" t="str">
        <f>HYPERLINK("https://us2.cloudbeds.com/connect/10074733072513#/reservations/31690199195838?display=Roger%20Seeger&amp;reservation_id=31690199195838&amp;guest_id=31690199195836", "Roger Seeger")</f>
        <v>Roger Seeger</v>
      </c>
      <c r="E4798" t="s">
        <v>8970</v>
      </c>
      <c r="F4798" t="s">
        <v>8450</v>
      </c>
      <c r="G4798">
        <v>170.1</v>
      </c>
      <c r="H4798">
        <v>184.89</v>
      </c>
      <c r="I4798">
        <v>184.9</v>
      </c>
      <c r="J4798">
        <v>-0.01</v>
      </c>
    </row>
    <row r="4799" spans="1:10" x14ac:dyDescent="0.3">
      <c r="A4799" t="str">
        <f>HYPERLINK("https://us2.cloudbeds.com/connect/10074733072513#/reservations/31695850430703?display=MHNGEYAMT&amp;reservation_id=31695850430703", "MHNGEYAMT")</f>
        <v>MHNGEYAMT</v>
      </c>
      <c r="B4799" t="s">
        <v>10</v>
      </c>
      <c r="C4799" t="s">
        <v>42</v>
      </c>
      <c r="D4799" t="str">
        <f>HYPERLINK("https://us2.cloudbeds.com/connect/10074733072513#/reservations/31695850430703?display=James%20Wunschel&amp;reservation_id=31695850430703&amp;guest_id=31695841853591", "James Wunschel")</f>
        <v>James Wunschel</v>
      </c>
      <c r="E4799" t="s">
        <v>8975</v>
      </c>
      <c r="F4799" t="s">
        <v>8822</v>
      </c>
      <c r="G4799">
        <v>250.2</v>
      </c>
      <c r="H4799">
        <v>271.95999999999998</v>
      </c>
      <c r="I4799">
        <v>271.97000000000003</v>
      </c>
      <c r="J4799">
        <v>-0.01</v>
      </c>
    </row>
    <row r="4800" spans="1:10" x14ac:dyDescent="0.3">
      <c r="A4800" t="str">
        <f>HYPERLINK("https://us2.cloudbeds.com/connect/10074733072513#/reservations/31692517830816?display=MHKU9GR1G&amp;reservation_id=31692517830816", "MHKU9GR1G")</f>
        <v>MHKU9GR1G</v>
      </c>
      <c r="B4800" t="s">
        <v>10</v>
      </c>
      <c r="C4800" t="s">
        <v>121</v>
      </c>
      <c r="D4800" t="str">
        <f>HYPERLINK("https://us2.cloudbeds.com/connect/10074733072513#/reservations/31692517830816?display=Christopher%20Rossan&amp;reservation_id=31692517830816&amp;guest_id=31692517826736", "Christopher Rossan")</f>
        <v>Christopher Rossan</v>
      </c>
      <c r="E4800" t="s">
        <v>8976</v>
      </c>
      <c r="F4800" t="s">
        <v>8737</v>
      </c>
      <c r="G4800">
        <v>134.1</v>
      </c>
      <c r="H4800">
        <v>145.76</v>
      </c>
      <c r="I4800">
        <v>145.77000000000001</v>
      </c>
      <c r="J4800">
        <v>-0.01</v>
      </c>
    </row>
    <row r="4801" spans="1:10" x14ac:dyDescent="0.3">
      <c r="A4801" t="str">
        <f>HYPERLINK("https://us2.cloudbeds.com/connect/10074733072513#/reservations/31694029258897?display=MHM2TWHKF&amp;reservation_id=31694029258897", "MHM2TWHKF")</f>
        <v>MHM2TWHKF</v>
      </c>
      <c r="B4801" t="s">
        <v>10</v>
      </c>
      <c r="C4801" t="s">
        <v>121</v>
      </c>
      <c r="D4801" t="str">
        <f>HYPERLINK("https://us2.cloudbeds.com/connect/10074733072513#/reservations/31694029258897?display=Janeie%20Belisle&amp;reservation_id=31694029258897&amp;guest_id=31694029258888", "Janeie Belisle")</f>
        <v>Janeie Belisle</v>
      </c>
      <c r="E4801" t="s">
        <v>8986</v>
      </c>
      <c r="F4801" t="s">
        <v>8453</v>
      </c>
      <c r="G4801">
        <v>134.1</v>
      </c>
      <c r="H4801">
        <v>145.76</v>
      </c>
      <c r="I4801">
        <v>145.77000000000001</v>
      </c>
      <c r="J4801">
        <v>-0.01</v>
      </c>
    </row>
    <row r="4802" spans="1:10" x14ac:dyDescent="0.3">
      <c r="A4802" t="str">
        <f>HYPERLINK("https://us2.cloudbeds.com/connect/10074733072513#/reservations/31694053843169?display=MHM3HNKND&amp;reservation_id=31694053843169", "MHM3HNKND")</f>
        <v>MHM3HNKND</v>
      </c>
      <c r="B4802" t="s">
        <v>10</v>
      </c>
      <c r="C4802" t="s">
        <v>42</v>
      </c>
      <c r="D4802" t="str">
        <f>HYPERLINK("https://us2.cloudbeds.com/connect/10074733072513#/reservations/31694053843169?display=Alechia%20Flores&amp;reservation_id=31694053843169&amp;guest_id=31694041178256", "Alechia Flores")</f>
        <v>Alechia Flores</v>
      </c>
      <c r="E4802" t="s">
        <v>8989</v>
      </c>
      <c r="F4802" t="s">
        <v>8453</v>
      </c>
      <c r="G4802">
        <v>134.1</v>
      </c>
      <c r="H4802">
        <v>145.76</v>
      </c>
      <c r="I4802">
        <v>145.77000000000001</v>
      </c>
      <c r="J4802">
        <v>-0.01</v>
      </c>
    </row>
    <row r="4803" spans="1:10" x14ac:dyDescent="0.3">
      <c r="A4803" t="str">
        <f>HYPERLINK("https://us2.cloudbeds.com/connect/10074733072513#/reservations/31694577803494?display=MHMGUHJM0&amp;reservation_id=31694577803494", "MHMGUHJM0")</f>
        <v>MHMGUHJM0</v>
      </c>
      <c r="B4803" t="s">
        <v>10</v>
      </c>
      <c r="C4803" t="s">
        <v>42</v>
      </c>
      <c r="D4803" t="str">
        <f>HYPERLINK("https://us2.cloudbeds.com/connect/10074733072513#/reservations/31694577803494?display=Holly%20Moritz&amp;reservation_id=31694577803494&amp;guest_id=31694569615503", "Holly Moritz")</f>
        <v>Holly Moritz</v>
      </c>
      <c r="E4803" t="s">
        <v>2721</v>
      </c>
      <c r="F4803" t="s">
        <v>8027</v>
      </c>
      <c r="G4803">
        <v>304.2</v>
      </c>
      <c r="H4803">
        <v>330.66</v>
      </c>
      <c r="I4803">
        <v>330.67</v>
      </c>
      <c r="J4803">
        <v>-0.01</v>
      </c>
    </row>
    <row r="4804" spans="1:10" x14ac:dyDescent="0.3">
      <c r="A4804" t="str">
        <f>HYPERLINK("https://us2.cloudbeds.com/connect/10074733072513#/reservations/31694006640838?display=MHM2AU51Z&amp;reservation_id=31694006640838", "MHM2AU51Z")</f>
        <v>MHM2AU51Z</v>
      </c>
      <c r="B4804" t="s">
        <v>10</v>
      </c>
      <c r="C4804" t="s">
        <v>11</v>
      </c>
      <c r="D4804" t="str">
        <f>HYPERLINK("https://us2.cloudbeds.com/connect/10074733072513#/reservations/31694006640838?display=Steve%20Vogel&amp;reservation_id=31694006640838&amp;guest_id=31694006636794", "Steve Vogel")</f>
        <v>Steve Vogel</v>
      </c>
      <c r="E4804" t="s">
        <v>8997</v>
      </c>
      <c r="F4804" t="s">
        <v>8641</v>
      </c>
      <c r="G4804">
        <v>286.33999999999997</v>
      </c>
      <c r="H4804">
        <v>311.24</v>
      </c>
      <c r="I4804">
        <v>311.25</v>
      </c>
      <c r="J4804">
        <v>-0.01</v>
      </c>
    </row>
    <row r="4805" spans="1:10" x14ac:dyDescent="0.3">
      <c r="A4805" t="str">
        <f>HYPERLINK("https://us2.cloudbeds.com/connect/10074733072513#/reservations/31693085634803?display=MHYBQ9QFT&amp;reservation_id=31693085634803", "MHYBQ9QFT")</f>
        <v>MHYBQ9QFT</v>
      </c>
      <c r="B4805" t="s">
        <v>10</v>
      </c>
      <c r="C4805" t="s">
        <v>11</v>
      </c>
      <c r="D4805" t="str">
        <f>HYPERLINK("https://us2.cloudbeds.com/connect/10074733072513#/reservations/31693085634803?display=Leslie%20Hopkins&amp;reservation_id=31693085634803&amp;guest_id=31693085634754", "Leslie Hopkins")</f>
        <v>Leslie Hopkins</v>
      </c>
      <c r="E4805" t="s">
        <v>9000</v>
      </c>
      <c r="F4805" t="s">
        <v>9001</v>
      </c>
      <c r="G4805">
        <v>528.4</v>
      </c>
      <c r="H4805">
        <v>574.36</v>
      </c>
      <c r="I4805">
        <v>574.37</v>
      </c>
      <c r="J4805">
        <v>-0.01</v>
      </c>
    </row>
    <row r="4806" spans="1:10" x14ac:dyDescent="0.3">
      <c r="A4806" t="str">
        <f>HYPERLINK("https://us2.cloudbeds.com/connect/10074733072513#/reservations/31691223666943?display=MHJU77QFF&amp;reservation_id=31691223666943", "MHJU77QFF")</f>
        <v>MHJU77QFF</v>
      </c>
      <c r="B4806" t="s">
        <v>10</v>
      </c>
      <c r="C4806" t="s">
        <v>11</v>
      </c>
      <c r="D4806" t="str">
        <f>HYPERLINK("https://us2.cloudbeds.com/connect/10074733072513#/reservations/31691223666943?display=Emmaleigh%20King&amp;reservation_id=31691223666943&amp;guest_id=31691223666939", "Emmaleigh King")</f>
        <v>Emmaleigh King</v>
      </c>
      <c r="E4806" t="s">
        <v>9003</v>
      </c>
      <c r="F4806" t="s">
        <v>8901</v>
      </c>
      <c r="G4806">
        <v>117.42</v>
      </c>
      <c r="H4806">
        <v>127.63</v>
      </c>
      <c r="I4806">
        <v>127.64</v>
      </c>
      <c r="J4806">
        <v>-0.01</v>
      </c>
    </row>
    <row r="4807" spans="1:10" x14ac:dyDescent="0.3">
      <c r="A4807" t="str">
        <f>HYPERLINK("https://us2.cloudbeds.com/connect/10074733072513#/reservations/31691165769946?display=MHJSZDZ60&amp;reservation_id=31691165769946", "MHJSZDZ60")</f>
        <v>MHJSZDZ60</v>
      </c>
      <c r="B4807" t="s">
        <v>10</v>
      </c>
      <c r="C4807" t="s">
        <v>42</v>
      </c>
      <c r="D4807" t="str">
        <f>HYPERLINK("https://us2.cloudbeds.com/connect/10074733072513#/reservations/31691165769946?display=Steven%20Brown&amp;reservation_id=31691165769946&amp;guest_id=31691151823052", "Steven Brown")</f>
        <v>Steven Brown</v>
      </c>
      <c r="E4807" t="s">
        <v>8535</v>
      </c>
      <c r="F4807" t="s">
        <v>8901</v>
      </c>
      <c r="G4807">
        <v>134.1</v>
      </c>
      <c r="H4807">
        <v>145.76</v>
      </c>
      <c r="I4807">
        <v>145.77000000000001</v>
      </c>
      <c r="J4807">
        <v>-0.01</v>
      </c>
    </row>
    <row r="4808" spans="1:10" x14ac:dyDescent="0.3">
      <c r="A4808" t="str">
        <f>HYPERLINK("https://us2.cloudbeds.com/connect/10074733072513#/reservations/31727537500378?display=MXF140ZMF&amp;reservation_id=31727537500378", "MXF140ZMF")</f>
        <v>MXF140ZMF</v>
      </c>
      <c r="B4808" t="s">
        <v>10</v>
      </c>
      <c r="C4808" t="s">
        <v>23</v>
      </c>
      <c r="D4808" t="str">
        <f>HYPERLINK("https://us2.cloudbeds.com/connect/10074733072513#/reservations/31727537500378?display=Shelley%20Jensen&amp;reservation_id=31727537500378&amp;guest_id=31727537500375", "Shelley Jensen")</f>
        <v>Shelley Jensen</v>
      </c>
      <c r="E4808" t="s">
        <v>9013</v>
      </c>
      <c r="F4808" t="s">
        <v>8826</v>
      </c>
      <c r="G4808">
        <v>180.1</v>
      </c>
      <c r="H4808">
        <v>195.76</v>
      </c>
      <c r="I4808">
        <v>195.77</v>
      </c>
      <c r="J4808">
        <v>-0.01</v>
      </c>
    </row>
    <row r="4809" spans="1:10" x14ac:dyDescent="0.3">
      <c r="A4809" t="str">
        <f>HYPERLINK("https://us2.cloudbeds.com/connect/10074733072513#/reservations/31694347104456?display=MHMB101R2&amp;reservation_id=31694347104456", "MHMB101R2")</f>
        <v>MHMB101R2</v>
      </c>
      <c r="B4809" t="s">
        <v>10</v>
      </c>
      <c r="C4809" t="s">
        <v>14</v>
      </c>
      <c r="D4809" t="str">
        <f>HYPERLINK("https://us2.cloudbeds.com/connect/10074733072513#/reservations/31694347104456?display=Elias%20Schlem&amp;reservation_id=31694347104456&amp;guest_id=31694347100360", "Elias Schlem")</f>
        <v>Elias Schlem</v>
      </c>
      <c r="E4809" t="s">
        <v>9015</v>
      </c>
      <c r="F4809" t="s">
        <v>8027</v>
      </c>
      <c r="G4809">
        <v>476</v>
      </c>
      <c r="H4809">
        <v>517.4</v>
      </c>
      <c r="I4809">
        <v>517.41</v>
      </c>
      <c r="J4809">
        <v>-0.01</v>
      </c>
    </row>
    <row r="4810" spans="1:10" x14ac:dyDescent="0.3">
      <c r="A4810" t="str">
        <f>HYPERLINK("https://us2.cloudbeds.com/connect/10074733072513#/reservations/31692177019020?display=MHKYJ47XB&amp;reservation_id=31692177019020", "MHKYJ47XB")</f>
        <v>MHKYJ47XB</v>
      </c>
      <c r="B4810" t="s">
        <v>10</v>
      </c>
      <c r="C4810" t="s">
        <v>20</v>
      </c>
      <c r="D4810" t="str">
        <f>HYPERLINK("https://us2.cloudbeds.com/connect/10074733072513#/reservations/31692177019020?display=Rhonda%20Jurgensen&amp;reservation_id=31692177019020&amp;guest_id=31692177019015", "Rhonda Jurgensen")</f>
        <v>Rhonda Jurgensen</v>
      </c>
      <c r="E4810" t="s">
        <v>9016</v>
      </c>
      <c r="F4810" t="s">
        <v>8891</v>
      </c>
      <c r="G4810">
        <v>134.1</v>
      </c>
      <c r="H4810">
        <v>145.76</v>
      </c>
      <c r="I4810">
        <v>145.77000000000001</v>
      </c>
      <c r="J4810">
        <v>-0.01</v>
      </c>
    </row>
    <row r="4811" spans="1:10" x14ac:dyDescent="0.3">
      <c r="A4811" t="str">
        <f>HYPERLINK("https://us2.cloudbeds.com/connect/10074733072513#/reservations/31693118513301?display=MHYCY0MV2&amp;reservation_id=31693118513301", "MHYCY0MV2")</f>
        <v>MHYCY0MV2</v>
      </c>
      <c r="B4811" t="s">
        <v>10</v>
      </c>
      <c r="C4811" t="s">
        <v>11</v>
      </c>
      <c r="D4811" t="str">
        <f>HYPERLINK("https://us2.cloudbeds.com/connect/10074733072513#/reservations/31693118513301?display=Noel%20Nelson&amp;reservation_id=31693118513301&amp;guest_id=31693112266971", "Noel Nelson")</f>
        <v>Noel Nelson</v>
      </c>
      <c r="E4811" t="s">
        <v>9019</v>
      </c>
      <c r="F4811" t="s">
        <v>9001</v>
      </c>
      <c r="G4811">
        <v>380.8</v>
      </c>
      <c r="H4811">
        <v>413.92</v>
      </c>
      <c r="I4811">
        <v>413.93</v>
      </c>
      <c r="J4811">
        <v>-0.01</v>
      </c>
    </row>
    <row r="4812" spans="1:10" x14ac:dyDescent="0.3">
      <c r="A4812" t="str">
        <f>HYPERLINK("https://us2.cloudbeds.com/connect/10074733072513#/reservations/31734725030025?display=MXKJPZBZ5&amp;reservation_id=31734725030025", "MXKJPZBZ5")</f>
        <v>MXKJPZBZ5</v>
      </c>
      <c r="B4812" t="s">
        <v>10</v>
      </c>
      <c r="C4812" t="s">
        <v>20</v>
      </c>
      <c r="D4812" t="str">
        <f>HYPERLINK("https://us2.cloudbeds.com/connect/10074733072513#/reservations/31734725030025?display=Susan%20Schmidt&amp;reservation_id=31734725030025&amp;guest_id=31734725025931", "Susan Schmidt")</f>
        <v>Susan Schmidt</v>
      </c>
      <c r="E4812" t="s">
        <v>9022</v>
      </c>
      <c r="F4812" t="s">
        <v>9021</v>
      </c>
      <c r="G4812">
        <v>716.4</v>
      </c>
      <c r="H4812">
        <v>778.72</v>
      </c>
      <c r="I4812">
        <v>778.73</v>
      </c>
      <c r="J4812">
        <v>-0.01</v>
      </c>
    </row>
    <row r="4813" spans="1:10" x14ac:dyDescent="0.3">
      <c r="A4813" t="str">
        <f>HYPERLINK("https://us2.cloudbeds.com/connect/10074733072513#/reservations/31733455376552?display=MXJKB4CDG&amp;reservation_id=31733455376552", "MXJKB4CDG")</f>
        <v>MXJKB4CDG</v>
      </c>
      <c r="B4813" t="s">
        <v>10</v>
      </c>
      <c r="C4813" t="s">
        <v>23</v>
      </c>
      <c r="D4813" t="str">
        <f>HYPERLINK("https://us2.cloudbeds.com/connect/10074733072513#/reservations/31733455376552?display=Tasha%20Novotny&amp;reservation_id=31733455376552&amp;guest_id=31733440233624", "Tasha Novotny")</f>
        <v>Tasha Novotny</v>
      </c>
      <c r="E4813" t="s">
        <v>9035</v>
      </c>
      <c r="F4813" t="s">
        <v>9018</v>
      </c>
      <c r="G4813">
        <v>177.65</v>
      </c>
      <c r="H4813">
        <v>193.1</v>
      </c>
      <c r="I4813">
        <v>193.11</v>
      </c>
      <c r="J4813">
        <v>-0.01</v>
      </c>
    </row>
    <row r="4814" spans="1:10" x14ac:dyDescent="0.3">
      <c r="A4814" t="str">
        <f>HYPERLINK("https://us2.cloudbeds.com/connect/10074733072513#/reservations/31735981777146?display=MXYXTF6G8&amp;reservation_id=31735981777146", "MXYXTF6G8")</f>
        <v>MXYXTF6G8</v>
      </c>
      <c r="B4814" t="s">
        <v>10</v>
      </c>
      <c r="C4814" t="s">
        <v>20</v>
      </c>
      <c r="D4814" t="str">
        <f>HYPERLINK("https://us2.cloudbeds.com/connect/10074733072513#/reservations/31735981777146?display=Nanlee%20Reddy&amp;reservation_id=31735981777146&amp;guest_id=31735981777140", "Nanlee Reddy")</f>
        <v>Nanlee Reddy</v>
      </c>
      <c r="E4814" t="s">
        <v>9036</v>
      </c>
      <c r="F4814" t="s">
        <v>8085</v>
      </c>
      <c r="G4814">
        <v>134.1</v>
      </c>
      <c r="H4814">
        <v>145.76</v>
      </c>
      <c r="I4814">
        <v>145.77000000000001</v>
      </c>
      <c r="J4814">
        <v>-0.01</v>
      </c>
    </row>
    <row r="4815" spans="1:10" x14ac:dyDescent="0.3">
      <c r="A4815" t="str">
        <f>HYPERLINK("https://us2.cloudbeds.com/connect/10074733072513#/reservations/31734482469063?display=MXKDJ6ZCW&amp;reservation_id=31734482469063", "MXKDJ6ZCW")</f>
        <v>MXKDJ6ZCW</v>
      </c>
      <c r="B4815" t="s">
        <v>10</v>
      </c>
      <c r="C4815" t="s">
        <v>42</v>
      </c>
      <c r="D4815" t="str">
        <f>HYPERLINK("https://us2.cloudbeds.com/connect/10074733072513#/reservations/31734482469063?display=Gayle%20Smith&amp;reservation_id=31734482469063&amp;guest_id=31734482464970", "Gayle Smith")</f>
        <v>Gayle Smith</v>
      </c>
      <c r="E4815" t="s">
        <v>9038</v>
      </c>
      <c r="F4815" t="s">
        <v>8428</v>
      </c>
      <c r="G4815">
        <v>170.1</v>
      </c>
      <c r="H4815">
        <v>184.89</v>
      </c>
      <c r="I4815">
        <v>184.9</v>
      </c>
      <c r="J4815">
        <v>-0.01</v>
      </c>
    </row>
    <row r="4816" spans="1:10" x14ac:dyDescent="0.3">
      <c r="A4816" t="str">
        <f>HYPERLINK("https://us2.cloudbeds.com/connect/10074733072513#/reservations/31695881662600?display=MHNH7WD40&amp;reservation_id=31695881662600", "MHNH7WD40")</f>
        <v>MHNH7WD40</v>
      </c>
      <c r="B4816" t="s">
        <v>10</v>
      </c>
      <c r="C4816" t="s">
        <v>11</v>
      </c>
      <c r="D4816" t="str">
        <f>HYPERLINK("https://us2.cloudbeds.com/connect/10074733072513#/reservations/31695881662600?display=Annie%20Kloos&amp;reservation_id=31695881662600&amp;guest_id=31695881658509", "Annie Kloos")</f>
        <v>Annie Kloos</v>
      </c>
      <c r="E4816" t="s">
        <v>9042</v>
      </c>
      <c r="F4816" t="s">
        <v>8450</v>
      </c>
      <c r="G4816">
        <v>150.22</v>
      </c>
      <c r="H4816">
        <v>163.28</v>
      </c>
      <c r="I4816">
        <v>163.29</v>
      </c>
      <c r="J4816">
        <v>-0.01</v>
      </c>
    </row>
    <row r="4817" spans="1:10" x14ac:dyDescent="0.3">
      <c r="A4817" t="str">
        <f>HYPERLINK("https://us2.cloudbeds.com/connect/10074733072513#/reservations/31692673499276?display=MHY18PH9J&amp;reservation_id=31692673499276", "MHY18PH9J")</f>
        <v>MHY18PH9J</v>
      </c>
      <c r="B4817" t="s">
        <v>10</v>
      </c>
      <c r="C4817" t="s">
        <v>17</v>
      </c>
      <c r="D4817" t="str">
        <f>HYPERLINK("https://us2.cloudbeds.com/connect/10074733072513#/reservations/31692673499276?display=Diane%20Reid&amp;reservation_id=31692673499276&amp;guest_id=31676858548458", "Diane Reid")</f>
        <v>Diane Reid</v>
      </c>
      <c r="E4817" t="s">
        <v>5291</v>
      </c>
      <c r="F4817" t="s">
        <v>9043</v>
      </c>
      <c r="G4817">
        <v>268.2</v>
      </c>
      <c r="H4817">
        <v>291.52</v>
      </c>
      <c r="I4817">
        <v>291.52999999999997</v>
      </c>
      <c r="J4817">
        <v>-0.01</v>
      </c>
    </row>
    <row r="4818" spans="1:10" x14ac:dyDescent="0.3">
      <c r="A4818" t="str">
        <f>HYPERLINK("https://us2.cloudbeds.com/connect/10074733072513#/reservations/31734962155684?display=MXKPRMNW6&amp;reservation_id=31734962155684", "MXKPRMNW6")</f>
        <v>MXKPRMNW6</v>
      </c>
      <c r="B4818" t="s">
        <v>10</v>
      </c>
      <c r="C4818" t="s">
        <v>20</v>
      </c>
      <c r="D4818" t="str">
        <f>HYPERLINK("https://us2.cloudbeds.com/connect/10074733072513#/reservations/31734962155684?display=Dorance%20Langley&amp;reservation_id=31734962155684&amp;guest_id=31734953758922", "Dorance Langley")</f>
        <v>Dorance Langley</v>
      </c>
      <c r="E4818" t="s">
        <v>9046</v>
      </c>
      <c r="F4818" t="s">
        <v>7751</v>
      </c>
      <c r="G4818">
        <v>170.1</v>
      </c>
      <c r="H4818">
        <v>184.89</v>
      </c>
      <c r="I4818">
        <v>184.9</v>
      </c>
      <c r="J4818">
        <v>-0.01</v>
      </c>
    </row>
    <row r="4819" spans="1:10" x14ac:dyDescent="0.3">
      <c r="A4819" t="str">
        <f>HYPERLINK("https://us2.cloudbeds.com/connect/10074733072513#/reservations/31734962159777?display=MXKPRMRZ7&amp;reservation_id=31734962159777", "MXKPRMRZ7")</f>
        <v>MXKPRMRZ7</v>
      </c>
      <c r="B4819" t="s">
        <v>10</v>
      </c>
      <c r="C4819" t="s">
        <v>20</v>
      </c>
      <c r="D4819" t="str">
        <f>HYPERLINK("https://us2.cloudbeds.com/connect/10074733072513#/reservations/31734962159777?display=Denise%20Langley&amp;reservation_id=31734962159777&amp;guest_id=31734962159775", "Denise Langley")</f>
        <v>Denise Langley</v>
      </c>
      <c r="E4819" t="s">
        <v>9046</v>
      </c>
      <c r="F4819" t="s">
        <v>7751</v>
      </c>
      <c r="G4819">
        <v>170.1</v>
      </c>
      <c r="H4819">
        <v>184.89</v>
      </c>
      <c r="I4819">
        <v>184.9</v>
      </c>
      <c r="J4819">
        <v>-0.01</v>
      </c>
    </row>
    <row r="4820" spans="1:10" x14ac:dyDescent="0.3">
      <c r="A4820" t="str">
        <f>HYPERLINK("https://us2.cloudbeds.com/connect/10074733072513#/reservations/31731075948693?display=MXHPHZ9GV&amp;reservation_id=31731075948693", "MXHPHZ9GV")</f>
        <v>MXHPHZ9GV</v>
      </c>
      <c r="B4820" t="s">
        <v>10</v>
      </c>
      <c r="C4820" t="s">
        <v>17</v>
      </c>
      <c r="D4820" t="str">
        <f>HYPERLINK("https://us2.cloudbeds.com/connect/10074733072513#/reservations/31731075948693?display=Erika%20Hunhoff&amp;reservation_id=31731075948693&amp;guest_id=31731065483466", "Erika Hunhoff")</f>
        <v>Erika Hunhoff</v>
      </c>
      <c r="E4820" t="s">
        <v>9049</v>
      </c>
      <c r="F4820" t="s">
        <v>9050</v>
      </c>
      <c r="G4820">
        <v>716.4</v>
      </c>
      <c r="H4820">
        <v>778.72</v>
      </c>
      <c r="I4820">
        <v>778.73</v>
      </c>
      <c r="J4820">
        <v>-0.01</v>
      </c>
    </row>
    <row r="4821" spans="1:10" x14ac:dyDescent="0.3">
      <c r="A4821" t="str">
        <f>HYPERLINK("https://us2.cloudbeds.com/connect/10074733072513#/reservations/31726035218582?display=MXDSZ8HTM&amp;reservation_id=31726035218582", "MXDSZ8HTM")</f>
        <v>MXDSZ8HTM</v>
      </c>
      <c r="B4821" t="s">
        <v>10</v>
      </c>
      <c r="C4821" t="s">
        <v>14</v>
      </c>
      <c r="D4821" t="str">
        <f>HYPERLINK("https://us2.cloudbeds.com/connect/10074733072513#/reservations/31726035218582?display=Konnie%20Feigum&amp;reservation_id=31726035218582&amp;guest_id=31726035214487", "Konnie Feigum")</f>
        <v>Konnie Feigum</v>
      </c>
      <c r="E4821" t="s">
        <v>9055</v>
      </c>
      <c r="F4821" t="s">
        <v>9056</v>
      </c>
      <c r="G4821">
        <v>520.28</v>
      </c>
      <c r="H4821">
        <v>565.53</v>
      </c>
      <c r="I4821">
        <v>565.54</v>
      </c>
      <c r="J4821">
        <v>-0.01</v>
      </c>
    </row>
    <row r="4822" spans="1:10" x14ac:dyDescent="0.3">
      <c r="A4822" t="str">
        <f>HYPERLINK("https://us2.cloudbeds.com/connect/10074733072513#/reservations/31733768950001?display=MXJSBX0Y7&amp;reservation_id=31733768950001", "MXJSBX0Y7")</f>
        <v>MXJSBX0Y7</v>
      </c>
      <c r="B4822" t="s">
        <v>10</v>
      </c>
      <c r="C4822" t="s">
        <v>17</v>
      </c>
      <c r="D4822" t="str">
        <f>HYPERLINK("https://us2.cloudbeds.com/connect/10074733072513#/reservations/31733768950001?display=Carla%20Sfreddo&amp;reservation_id=31733768950001&amp;guest_id=31733756387552", "Carla Sfreddo")</f>
        <v>Carla Sfreddo</v>
      </c>
      <c r="E4822" t="s">
        <v>9059</v>
      </c>
      <c r="F4822" t="s">
        <v>8428</v>
      </c>
      <c r="G4822">
        <v>170.1</v>
      </c>
      <c r="H4822">
        <v>184.89</v>
      </c>
      <c r="I4822">
        <v>184.9</v>
      </c>
      <c r="J4822">
        <v>-0.01</v>
      </c>
    </row>
    <row r="4823" spans="1:10" x14ac:dyDescent="0.3">
      <c r="A4823" t="str">
        <f>HYPERLINK("https://us2.cloudbeds.com/connect/10074733072513#/reservations/31695819604117?display=MHNFYYHEU&amp;reservation_id=31695819604117", "MHNFYYHEU")</f>
        <v>MHNFYYHEU</v>
      </c>
      <c r="B4823" t="s">
        <v>10</v>
      </c>
      <c r="C4823" t="s">
        <v>42</v>
      </c>
      <c r="D4823" t="str">
        <f>HYPERLINK("https://us2.cloudbeds.com/connect/10074733072513#/reservations/31695819604117?display=Kory%20Kolbe&amp;reservation_id=31695819604117&amp;guest_id=31695819604106", "Kory Kolbe")</f>
        <v>Kory Kolbe</v>
      </c>
      <c r="E4823" t="s">
        <v>9060</v>
      </c>
      <c r="F4823" t="s">
        <v>9051</v>
      </c>
      <c r="G4823">
        <v>222.4</v>
      </c>
      <c r="H4823">
        <v>241.74</v>
      </c>
      <c r="I4823">
        <v>241.75</v>
      </c>
      <c r="J4823">
        <v>-0.01</v>
      </c>
    </row>
    <row r="4824" spans="1:10" x14ac:dyDescent="0.3">
      <c r="A4824" t="str">
        <f>HYPERLINK("https://us2.cloudbeds.com/connect/10074733072513#/reservations/31729664295137?display=MXGMFCV8G&amp;reservation_id=31729664295137", "MXGMFCV8G")</f>
        <v>MXGMFCV8G</v>
      </c>
      <c r="B4824" t="s">
        <v>10</v>
      </c>
      <c r="C4824" t="s">
        <v>42</v>
      </c>
      <c r="D4824" t="str">
        <f>HYPERLINK("https://us2.cloudbeds.com/connect/10074733072513#/reservations/31729664295137?display=Rhea%20Jean%20Mcbride&amp;reservation_id=31729664295137&amp;guest_id=31729648595145", "Rhea Jean Mcbride")</f>
        <v>Rhea Jean Mcbride</v>
      </c>
      <c r="E4824" t="s">
        <v>9066</v>
      </c>
      <c r="F4824" t="s">
        <v>7468</v>
      </c>
      <c r="G4824">
        <v>355.3</v>
      </c>
      <c r="H4824">
        <v>386.2</v>
      </c>
      <c r="I4824">
        <v>386.21</v>
      </c>
      <c r="J4824">
        <v>-0.01</v>
      </c>
    </row>
    <row r="4825" spans="1:10" x14ac:dyDescent="0.3">
      <c r="A4825" t="str">
        <f>HYPERLINK("https://us2.cloudbeds.com/connect/10074733072513#/reservations/31732642033888?display=MXXWX9U93&amp;reservation_id=31732642033888", "MXXWX9U93")</f>
        <v>MXXWX9U93</v>
      </c>
      <c r="B4825" t="s">
        <v>10</v>
      </c>
      <c r="C4825" t="s">
        <v>11</v>
      </c>
      <c r="D4825" t="str">
        <f>HYPERLINK("https://us2.cloudbeds.com/connect/10074733072513#/reservations/31732642033888?display=Shawna%20Andersen&amp;reservation_id=31732642033888&amp;guest_id=31732642033886", "Shawna Andersen")</f>
        <v>Shawna Andersen</v>
      </c>
      <c r="E4825" t="s">
        <v>9086</v>
      </c>
      <c r="F4825" t="s">
        <v>9087</v>
      </c>
      <c r="G4825">
        <v>134.1</v>
      </c>
      <c r="H4825">
        <v>145.76</v>
      </c>
      <c r="I4825">
        <v>145.77000000000001</v>
      </c>
      <c r="J4825">
        <v>-0.01</v>
      </c>
    </row>
    <row r="4826" spans="1:10" x14ac:dyDescent="0.3">
      <c r="A4826" t="str">
        <f>HYPERLINK("https://us2.cloudbeds.com/connect/10074733072513#/reservations/31693678940405?display=MHYQVJDCX&amp;reservation_id=31693678940405", "MHYQVJDCX")</f>
        <v>MHYQVJDCX</v>
      </c>
      <c r="B4826" t="s">
        <v>10</v>
      </c>
      <c r="C4826" t="s">
        <v>42</v>
      </c>
      <c r="D4826" t="str">
        <f>HYPERLINK("https://us2.cloudbeds.com/connect/10074733072513#/reservations/31693678940405?display=Sam%20Mudlin&amp;reservation_id=31693678940405&amp;guest_id=31693678940402", "Sam Mudlin")</f>
        <v>Sam Mudlin</v>
      </c>
      <c r="E4826" t="s">
        <v>9099</v>
      </c>
      <c r="F4826" t="s">
        <v>6742</v>
      </c>
      <c r="G4826">
        <v>170.1</v>
      </c>
      <c r="H4826">
        <v>184.89</v>
      </c>
      <c r="I4826">
        <v>184.9</v>
      </c>
      <c r="J4826">
        <v>-0.01</v>
      </c>
    </row>
    <row r="4827" spans="1:10" x14ac:dyDescent="0.3">
      <c r="A4827" t="str">
        <f>HYPERLINK("https://us2.cloudbeds.com/connect/10074733072513#/reservations/31693970264287?display=MHM1D7UE0&amp;reservation_id=31693970264287", "MHM1D7UE0")</f>
        <v>MHM1D7UE0</v>
      </c>
      <c r="B4827" t="s">
        <v>10</v>
      </c>
      <c r="C4827" t="s">
        <v>17</v>
      </c>
      <c r="D4827" t="str">
        <f>HYPERLINK("https://us2.cloudbeds.com/connect/10074733072513#/reservations/31693970264287?display=Michael%20Darnell&amp;reservation_id=31693970264287&amp;guest_id=31693970260180", "Michael Darnell")</f>
        <v>Michael Darnell</v>
      </c>
      <c r="E4827" t="s">
        <v>9100</v>
      </c>
      <c r="F4827" t="s">
        <v>6742</v>
      </c>
      <c r="G4827">
        <v>170.1</v>
      </c>
      <c r="H4827">
        <v>184.89</v>
      </c>
      <c r="I4827">
        <v>184.9</v>
      </c>
      <c r="J4827">
        <v>-0.01</v>
      </c>
    </row>
    <row r="4828" spans="1:10" x14ac:dyDescent="0.3">
      <c r="A4828" t="str">
        <f>HYPERLINK("https://us2.cloudbeds.com/connect/10074733072513#/reservations/31694036881638?display=MHM33DYCK&amp;reservation_id=31694036881638", "MHM33DYCK")</f>
        <v>MHM33DYCK</v>
      </c>
      <c r="B4828" t="s">
        <v>10</v>
      </c>
      <c r="C4828" t="s">
        <v>11</v>
      </c>
      <c r="D4828" t="str">
        <f>HYPERLINK("https://us2.cloudbeds.com/connect/10074733072513#/reservations/31694036881638?display=Anthony%20Crowder&amp;reservation_id=31694036881638&amp;guest_id=31694029258895", "Anthony Crowder")</f>
        <v>Anthony Crowder</v>
      </c>
      <c r="E4828" t="s">
        <v>9101</v>
      </c>
      <c r="F4828" t="s">
        <v>6742</v>
      </c>
      <c r="G4828">
        <v>520.28</v>
      </c>
      <c r="H4828">
        <v>565.53</v>
      </c>
      <c r="I4828">
        <v>565.54</v>
      </c>
      <c r="J4828">
        <v>-0.01</v>
      </c>
    </row>
    <row r="4829" spans="1:10" x14ac:dyDescent="0.3">
      <c r="A4829" t="str">
        <f>HYPERLINK("https://us2.cloudbeds.com/connect/10074733072513#/reservations/31729466650754?display=MXGHDZ6KP&amp;reservation_id=31729466650754", "MXGHDZ6KP")</f>
        <v>MXGHDZ6KP</v>
      </c>
      <c r="B4829" t="s">
        <v>10</v>
      </c>
      <c r="C4829" t="s">
        <v>14</v>
      </c>
      <c r="D4829" t="str">
        <f>HYPERLINK("https://us2.cloudbeds.com/connect/10074733072513#/reservations/31729466650754?display=Anwesh%20Joshi&amp;reservation_id=31729466650754&amp;guest_id=31729466646717", "Anwesh Joshi")</f>
        <v>Anwesh Joshi</v>
      </c>
      <c r="E4829" t="s">
        <v>9107</v>
      </c>
      <c r="F4829" t="s">
        <v>9108</v>
      </c>
      <c r="G4829">
        <v>170.1</v>
      </c>
      <c r="H4829">
        <v>184.89</v>
      </c>
      <c r="I4829">
        <v>184.9</v>
      </c>
      <c r="J4829">
        <v>-0.01</v>
      </c>
    </row>
    <row r="4830" spans="1:10" x14ac:dyDescent="0.3">
      <c r="A4830" t="str">
        <f>HYPERLINK("https://us2.cloudbeds.com/connect/10074733072513#/reservations/31729457561815?display=MXGH629GC&amp;reservation_id=31729457561815", "MXGH629GC")</f>
        <v>MXGH629GC</v>
      </c>
      <c r="B4830" t="s">
        <v>10</v>
      </c>
      <c r="C4830" t="s">
        <v>14</v>
      </c>
      <c r="D4830" t="str">
        <f>HYPERLINK("https://us2.cloudbeds.com/connect/10074733072513#/reservations/31729457561815?display=Vallari%20Joshi&amp;reservation_id=31729457561815&amp;guest_id=31729457557734", "Vallari Joshi")</f>
        <v>Vallari Joshi</v>
      </c>
      <c r="E4830" t="s">
        <v>9109</v>
      </c>
      <c r="F4830" t="s">
        <v>9108</v>
      </c>
      <c r="G4830">
        <v>170.1</v>
      </c>
      <c r="H4830">
        <v>184.89</v>
      </c>
      <c r="I4830">
        <v>184.9</v>
      </c>
      <c r="J4830">
        <v>-0.01</v>
      </c>
    </row>
    <row r="4831" spans="1:10" x14ac:dyDescent="0.3">
      <c r="A4831" t="str">
        <f>HYPERLINK("https://us2.cloudbeds.com/connect/10074733072513#/reservations/31693984002235?display=MHM1ZR6KF&amp;reservation_id=31693984002235", "MHM1ZR6KF")</f>
        <v>MHM1ZR6KF</v>
      </c>
      <c r="B4831" t="s">
        <v>10</v>
      </c>
      <c r="C4831" t="s">
        <v>42</v>
      </c>
      <c r="D4831" t="str">
        <f>HYPERLINK("https://us2.cloudbeds.com/connect/10074733072513#/reservations/31693984002235?display=Clint%20Hall&amp;reservation_id=31693984002235&amp;guest_id=31693984002230", "Clint Hall")</f>
        <v>Clint Hall</v>
      </c>
      <c r="E4831" t="s">
        <v>1118</v>
      </c>
      <c r="F4831" t="s">
        <v>6742</v>
      </c>
      <c r="G4831">
        <v>170.1</v>
      </c>
      <c r="H4831">
        <v>184.89</v>
      </c>
      <c r="I4831">
        <v>184.9</v>
      </c>
      <c r="J4831">
        <v>-0.01</v>
      </c>
    </row>
    <row r="4832" spans="1:10" x14ac:dyDescent="0.3">
      <c r="A4832" t="str">
        <f>HYPERLINK("https://us2.cloudbeds.com/connect/10074733072513#/reservations/31732325167259?display=MXXZF3Y01&amp;reservation_id=31732325167259", "MXXZF3Y01")</f>
        <v>MXXZF3Y01</v>
      </c>
      <c r="B4832" t="s">
        <v>10</v>
      </c>
      <c r="C4832" t="s">
        <v>42</v>
      </c>
      <c r="D4832" t="str">
        <f>HYPERLINK("https://us2.cloudbeds.com/connect/10074733072513#/reservations/31732325167259?display=Sharon%20Snuttjer&amp;reservation_id=31732325167259&amp;guest_id=31732317307072", "Sharon Snuttjer")</f>
        <v>Sharon Snuttjer</v>
      </c>
      <c r="E4832" t="s">
        <v>9116</v>
      </c>
      <c r="F4832" t="s">
        <v>7468</v>
      </c>
      <c r="G4832">
        <v>355.3</v>
      </c>
      <c r="H4832">
        <v>386.2</v>
      </c>
      <c r="I4832">
        <v>386.21</v>
      </c>
      <c r="J4832">
        <v>-0.01</v>
      </c>
    </row>
    <row r="4833" spans="1:10" x14ac:dyDescent="0.3">
      <c r="A4833" t="str">
        <f>HYPERLINK("https://us2.cloudbeds.com/connect/10074733072513#/reservations/31692024869094?display=MHKHMRE9H&amp;reservation_id=31692024869094", "MHKHMRE9H")</f>
        <v>MHKHMRE9H</v>
      </c>
      <c r="B4833" t="s">
        <v>10</v>
      </c>
      <c r="C4833" t="s">
        <v>14</v>
      </c>
      <c r="D4833" t="str">
        <f>HYPERLINK("https://us2.cloudbeds.com/connect/10074733072513#/reservations/31692024869094?display=Samantha%20Goodwin&amp;reservation_id=31692024869094&amp;guest_id=31692017782963", "Samantha Goodwin")</f>
        <v>Samantha Goodwin</v>
      </c>
      <c r="E4833" t="s">
        <v>9133</v>
      </c>
      <c r="F4833" t="s">
        <v>9127</v>
      </c>
      <c r="G4833">
        <v>134.1</v>
      </c>
      <c r="H4833">
        <v>145.76</v>
      </c>
      <c r="I4833">
        <v>145.77000000000001</v>
      </c>
      <c r="J4833">
        <v>-0.01</v>
      </c>
    </row>
    <row r="4834" spans="1:10" x14ac:dyDescent="0.3">
      <c r="A4834" t="str">
        <f>HYPERLINK("https://us2.cloudbeds.com/connect/10074733072513#/reservations/31694253220054?display=MHM8KRJ86&amp;reservation_id=31694253220054", "MHM8KRJ86")</f>
        <v>MHM8KRJ86</v>
      </c>
      <c r="B4834" t="s">
        <v>10</v>
      </c>
      <c r="C4834" t="s">
        <v>42</v>
      </c>
      <c r="D4834" t="str">
        <f>HYPERLINK("https://us2.cloudbeds.com/connect/10074733072513#/reservations/31694253220054?display=Whitney%20Brost&amp;reservation_id=31694253220054&amp;guest_id=31694253220049", "Whitney Brost")</f>
        <v>Whitney Brost</v>
      </c>
      <c r="E4834" t="s">
        <v>9134</v>
      </c>
      <c r="F4834" t="s">
        <v>6746</v>
      </c>
      <c r="G4834">
        <v>224.1</v>
      </c>
      <c r="H4834">
        <v>243.59</v>
      </c>
      <c r="I4834">
        <v>243.6</v>
      </c>
      <c r="J4834">
        <v>-0.01</v>
      </c>
    </row>
    <row r="4835" spans="1:10" x14ac:dyDescent="0.3">
      <c r="A4835" t="str">
        <f>HYPERLINK("https://us2.cloudbeds.com/connect/10074733072513#/reservations/31734587461838?display=MXKG8ZAG7&amp;reservation_id=31734587461838", "MXKG8ZAG7")</f>
        <v>MXKG8ZAG7</v>
      </c>
      <c r="B4835" t="s">
        <v>10</v>
      </c>
      <c r="C4835" t="s">
        <v>42</v>
      </c>
      <c r="D4835" t="str">
        <f>HYPERLINK("https://us2.cloudbeds.com/connect/10074733072513#/reservations/31734587461838?display=Marilyn%20Winckler&amp;reservation_id=31734587461838&amp;guest_id=31734587457743", "Marilyn Winckler")</f>
        <v>Marilyn Winckler</v>
      </c>
      <c r="E4835" t="s">
        <v>9136</v>
      </c>
      <c r="F4835" t="s">
        <v>8428</v>
      </c>
      <c r="G4835">
        <v>170.1</v>
      </c>
      <c r="H4835">
        <v>184.89</v>
      </c>
      <c r="I4835">
        <v>184.9</v>
      </c>
      <c r="J4835">
        <v>-0.01</v>
      </c>
    </row>
    <row r="4836" spans="1:10" x14ac:dyDescent="0.3">
      <c r="A4836" t="str">
        <f>HYPERLINK("https://us2.cloudbeds.com/connect/10074733072513#/reservations/31694041178258?display=MHM3716S7&amp;reservation_id=31694041178258", "MHM3716S7")</f>
        <v>MHM3716S7</v>
      </c>
      <c r="B4836" t="s">
        <v>10</v>
      </c>
      <c r="C4836" t="s">
        <v>42</v>
      </c>
      <c r="D4836" t="str">
        <f>HYPERLINK("https://us2.cloudbeds.com/connect/10074733072513#/reservations/31694041178258?display=Bob%20Kint&amp;reservation_id=31694041178258&amp;guest_id=31694041178254", "Bob Kint")</f>
        <v>Bob Kint</v>
      </c>
      <c r="E4836" t="s">
        <v>9142</v>
      </c>
      <c r="F4836" t="s">
        <v>6742</v>
      </c>
      <c r="G4836">
        <v>183.2</v>
      </c>
      <c r="H4836">
        <v>199.13</v>
      </c>
      <c r="I4836">
        <v>199.14</v>
      </c>
      <c r="J4836">
        <v>-0.01</v>
      </c>
    </row>
    <row r="4837" spans="1:10" x14ac:dyDescent="0.3">
      <c r="A4837" t="str">
        <f>HYPERLINK("https://us2.cloudbeds.com/connect/10074733072513#/reservations/31731132862607?display=MXHQWZ021&amp;reservation_id=31731132862607", "MXHQWZ021")</f>
        <v>MXHQWZ021</v>
      </c>
      <c r="B4837" t="s">
        <v>10</v>
      </c>
      <c r="C4837" t="s">
        <v>17</v>
      </c>
      <c r="D4837" t="str">
        <f>HYPERLINK("https://us2.cloudbeds.com/connect/10074733072513#/reservations/31731132862607?display=Susan%20Sprouse&amp;reservation_id=31731132862607&amp;guest_id=31731132862605", "Susan Sprouse")</f>
        <v>Susan Sprouse</v>
      </c>
      <c r="E4837" t="s">
        <v>9151</v>
      </c>
      <c r="F4837" t="s">
        <v>9152</v>
      </c>
      <c r="G4837">
        <v>376.2</v>
      </c>
      <c r="H4837">
        <v>408.92</v>
      </c>
      <c r="I4837">
        <v>408.93</v>
      </c>
      <c r="J4837">
        <v>-0.01</v>
      </c>
    </row>
    <row r="4838" spans="1:10" x14ac:dyDescent="0.3">
      <c r="A4838" t="str">
        <f>HYPERLINK("https://us2.cloudbeds.com/connect/10074733072513#/reservations/31691682529484?display=MHK8V5ARV&amp;reservation_id=31691682529484", "MHK8V5ARV")</f>
        <v>MHK8V5ARV</v>
      </c>
      <c r="B4838" t="s">
        <v>10</v>
      </c>
      <c r="C4838" t="s">
        <v>11</v>
      </c>
      <c r="D4838" t="str">
        <f>HYPERLINK("https://us2.cloudbeds.com/connect/10074733072513#/reservations/31691682529484?display=Judy%20Dearduff&amp;reservation_id=31691682529484&amp;guest_id=31691682529479", "Judy Dearduff")</f>
        <v>Judy Dearduff</v>
      </c>
      <c r="E4838" t="s">
        <v>9153</v>
      </c>
      <c r="F4838" t="s">
        <v>8513</v>
      </c>
      <c r="G4838">
        <v>170.1</v>
      </c>
      <c r="H4838">
        <v>184.89</v>
      </c>
      <c r="I4838">
        <v>184.9</v>
      </c>
      <c r="J4838">
        <v>-0.01</v>
      </c>
    </row>
    <row r="4839" spans="1:10" x14ac:dyDescent="0.3">
      <c r="A4839" t="str">
        <f>HYPERLINK("https://us2.cloudbeds.com/connect/10074733072513#/reservations/31736131227804?display=MXYMNFT32&amp;reservation_id=31736131227804", "MXYMNFT32")</f>
        <v>MXYMNFT32</v>
      </c>
      <c r="B4839" t="s">
        <v>10</v>
      </c>
      <c r="C4839" t="s">
        <v>14</v>
      </c>
      <c r="D4839" t="str">
        <f>HYPERLINK("https://us2.cloudbeds.com/connect/10074733072513#/reservations/31736131227804?display=Ashley%20Corcoran&amp;reservation_id=31736131227804&amp;guest_id=31736131227799", "Ashley Corcoran")</f>
        <v>Ashley Corcoran</v>
      </c>
      <c r="E4839" t="s">
        <v>9156</v>
      </c>
      <c r="F4839" t="s">
        <v>9018</v>
      </c>
      <c r="G4839">
        <v>304.2</v>
      </c>
      <c r="H4839">
        <v>330.66</v>
      </c>
      <c r="I4839">
        <v>330.67</v>
      </c>
      <c r="J4839">
        <v>-0.01</v>
      </c>
    </row>
    <row r="4840" spans="1:10" x14ac:dyDescent="0.3">
      <c r="A4840" t="str">
        <f>HYPERLINK("https://us2.cloudbeds.com/connect/10074733072513#/reservations/31734137372832?display=MXK4P6UKE&amp;reservation_id=31734137372832", "MXK4P6UKE")</f>
        <v>MXK4P6UKE</v>
      </c>
      <c r="B4840" t="s">
        <v>10</v>
      </c>
      <c r="C4840" t="s">
        <v>11</v>
      </c>
      <c r="D4840" t="str">
        <f>HYPERLINK("https://us2.cloudbeds.com/connect/10074733072513#/reservations/31734137372832?display=Donnie%20Warren&amp;reservation_id=31734137372832&amp;guest_id=31734122340488", "Donnie Warren")</f>
        <v>Donnie Warren</v>
      </c>
      <c r="E4840" t="s">
        <v>9157</v>
      </c>
      <c r="F4840" t="s">
        <v>9018</v>
      </c>
      <c r="G4840">
        <v>304.2</v>
      </c>
      <c r="H4840">
        <v>330.66</v>
      </c>
      <c r="I4840">
        <v>330.67</v>
      </c>
      <c r="J4840">
        <v>-0.01</v>
      </c>
    </row>
    <row r="4841" spans="1:10" x14ac:dyDescent="0.3">
      <c r="A4841" t="str">
        <f>HYPERLINK("https://us2.cloudbeds.com/connect/10074733072513#/reservations/31734147399934?display=MXK50YV80&amp;reservation_id=31734147399934", "MXK50YV80")</f>
        <v>MXK50YV80</v>
      </c>
      <c r="B4841" t="s">
        <v>10</v>
      </c>
      <c r="C4841" t="s">
        <v>11</v>
      </c>
      <c r="D4841" t="str">
        <f>HYPERLINK("https://us2.cloudbeds.com/connect/10074733072513#/reservations/31734147399934?display=Rich%20Christensen&amp;reservation_id=31734147399934&amp;guest_id=31734137376931", "Rich Christensen")</f>
        <v>Rich Christensen</v>
      </c>
      <c r="E4841" t="s">
        <v>9159</v>
      </c>
      <c r="F4841" t="s">
        <v>9018</v>
      </c>
      <c r="G4841">
        <v>304.2</v>
      </c>
      <c r="H4841">
        <v>330.66</v>
      </c>
      <c r="I4841">
        <v>330.67</v>
      </c>
      <c r="J4841">
        <v>-0.01</v>
      </c>
    </row>
    <row r="4842" spans="1:10" x14ac:dyDescent="0.3">
      <c r="A4842" t="str">
        <f>HYPERLINK("https://us2.cloudbeds.com/connect/10074733072513#/reservations/31734151442591?display=MXK542EGP&amp;reservation_id=31734151442591", "MXK542EGP")</f>
        <v>MXK542EGP</v>
      </c>
      <c r="B4842" t="s">
        <v>10</v>
      </c>
      <c r="C4842" t="s">
        <v>11</v>
      </c>
      <c r="D4842" t="str">
        <f>HYPERLINK("https://us2.cloudbeds.com/connect/10074733072513#/reservations/31734151442591?display=Justin%20Becklun&amp;reservation_id=31734151442591&amp;guest_id=31734151438490", "Justin Becklun")</f>
        <v>Justin Becklun</v>
      </c>
      <c r="E4842" t="s">
        <v>9160</v>
      </c>
      <c r="F4842" t="s">
        <v>9018</v>
      </c>
      <c r="G4842">
        <v>304.2</v>
      </c>
      <c r="H4842">
        <v>330.66</v>
      </c>
      <c r="I4842">
        <v>330.67</v>
      </c>
      <c r="J4842">
        <v>-0.01</v>
      </c>
    </row>
    <row r="4843" spans="1:10" x14ac:dyDescent="0.3">
      <c r="A4843" t="str">
        <f>HYPERLINK("https://us2.cloudbeds.com/connect/10074733072513#/reservations/31734163050750?display=MXK5DSEW5&amp;reservation_id=31734163050750", "MXK5DSEW5")</f>
        <v>MXK5DSEW5</v>
      </c>
      <c r="B4843" t="s">
        <v>10</v>
      </c>
      <c r="C4843" t="s">
        <v>11</v>
      </c>
      <c r="D4843" t="str">
        <f>HYPERLINK("https://us2.cloudbeds.com/connect/10074733072513#/reservations/31734163050750?display=Thomas%20Cooper&amp;reservation_id=31734163050750&amp;guest_id=31734163050748", "Thomas Cooper")</f>
        <v>Thomas Cooper</v>
      </c>
      <c r="E4843" t="s">
        <v>9161</v>
      </c>
      <c r="F4843" t="s">
        <v>9018</v>
      </c>
      <c r="G4843">
        <v>304.2</v>
      </c>
      <c r="H4843">
        <v>330.66</v>
      </c>
      <c r="I4843">
        <v>330.67</v>
      </c>
      <c r="J4843">
        <v>-0.01</v>
      </c>
    </row>
    <row r="4844" spans="1:10" x14ac:dyDescent="0.3">
      <c r="A4844" t="str">
        <f>HYPERLINK("https://us2.cloudbeds.com/connect/10074733072513#/reservations/31736157044972?display=MXYNC89AG&amp;reservation_id=31736157044972", "MXYNC89AG")</f>
        <v>MXYNC89AG</v>
      </c>
      <c r="B4844" t="s">
        <v>10</v>
      </c>
      <c r="C4844" t="s">
        <v>11</v>
      </c>
      <c r="D4844" t="str">
        <f>HYPERLINK("https://us2.cloudbeds.com/connect/10074733072513#/reservations/31736157044972?display=Dana%20Lemberg&amp;reservation_id=31736157044972&amp;guest_id=31736157044970", "Dana Lemberg")</f>
        <v>Dana Lemberg</v>
      </c>
      <c r="E4844" t="s">
        <v>9163</v>
      </c>
      <c r="F4844" t="s">
        <v>9018</v>
      </c>
      <c r="G4844">
        <v>304.2</v>
      </c>
      <c r="H4844">
        <v>330.66</v>
      </c>
      <c r="I4844">
        <v>330.67</v>
      </c>
      <c r="J4844">
        <v>-0.01</v>
      </c>
    </row>
    <row r="4845" spans="1:10" x14ac:dyDescent="0.3">
      <c r="A4845" t="str">
        <f>HYPERLINK("https://us2.cloudbeds.com/connect/10074733072513#/reservations/31696215158978?display=MHNPP6E1S&amp;reservation_id=31696215158978", "MHNPP6E1S")</f>
        <v>MHNPP6E1S</v>
      </c>
      <c r="B4845" t="s">
        <v>10</v>
      </c>
      <c r="C4845" t="s">
        <v>42</v>
      </c>
      <c r="D4845" t="str">
        <f>HYPERLINK("https://us2.cloudbeds.com/connect/10074733072513#/reservations/31696215158978?display=Justin%20Hood&amp;reservation_id=31696215158978&amp;guest_id=31696215158976", "Justin Hood")</f>
        <v>Justin Hood</v>
      </c>
      <c r="E4845" t="s">
        <v>9165</v>
      </c>
      <c r="F4845" t="s">
        <v>8419</v>
      </c>
      <c r="G4845">
        <v>334.4</v>
      </c>
      <c r="H4845">
        <v>363.48</v>
      </c>
      <c r="I4845">
        <v>363.49</v>
      </c>
      <c r="J4845">
        <v>-0.01</v>
      </c>
    </row>
    <row r="4846" spans="1:10" x14ac:dyDescent="0.3">
      <c r="A4846" t="str">
        <f>HYPERLINK("https://us2.cloudbeds.com/connect/10074733072513#/reservations/31736087773334?display=MXYYJRMWV&amp;reservation_id=31736087773334", "MXYYJRMWV")</f>
        <v>MXYYJRMWV</v>
      </c>
      <c r="B4846" t="s">
        <v>10</v>
      </c>
      <c r="C4846" t="s">
        <v>14</v>
      </c>
      <c r="D4846" t="str">
        <f>HYPERLINK("https://us2.cloudbeds.com/connect/10074733072513#/reservations/31736087773334?display=Stacey%20Eckley&amp;reservation_id=31736087773334&amp;guest_id=31736076341434", "Stacey Eckley")</f>
        <v>Stacey Eckley</v>
      </c>
      <c r="E4846" t="s">
        <v>9168</v>
      </c>
      <c r="F4846" t="s">
        <v>9018</v>
      </c>
      <c r="G4846">
        <v>304.2</v>
      </c>
      <c r="H4846">
        <v>330.66</v>
      </c>
      <c r="I4846">
        <v>330.67</v>
      </c>
      <c r="J4846">
        <v>-0.01</v>
      </c>
    </row>
    <row r="4847" spans="1:10" x14ac:dyDescent="0.3">
      <c r="A4847" t="str">
        <f>HYPERLINK("https://us2.cloudbeds.com/connect/10074733072513#/reservations/31696029982924?display=MHNY11KP9&amp;reservation_id=31696029982924", "MHNY11KP9")</f>
        <v>MHNY11KP9</v>
      </c>
      <c r="B4847" t="s">
        <v>10</v>
      </c>
      <c r="C4847" t="s">
        <v>14</v>
      </c>
      <c r="D4847" t="str">
        <f>HYPERLINK("https://us2.cloudbeds.com/connect/10074733072513#/reservations/31696029982924?display=Christian%20Hunhoff&amp;reservation_id=31696029982924&amp;guest_id=31696023888050", "Christian Hunhoff")</f>
        <v>Christian Hunhoff</v>
      </c>
      <c r="E4847" t="s">
        <v>9171</v>
      </c>
      <c r="F4847" t="s">
        <v>8419</v>
      </c>
      <c r="G4847">
        <v>224.1</v>
      </c>
      <c r="H4847">
        <v>243.59</v>
      </c>
      <c r="I4847">
        <v>243.6</v>
      </c>
      <c r="J4847">
        <v>-0.01</v>
      </c>
    </row>
    <row r="4848" spans="1:10" x14ac:dyDescent="0.3">
      <c r="A4848" t="str">
        <f>HYPERLINK("https://us2.cloudbeds.com/connect/10074733072513#/reservations/31696236822688?display=MHNQAF88U&amp;reservation_id=31696236822688", "MHNQAF88U")</f>
        <v>MHNQAF88U</v>
      </c>
      <c r="B4848" t="s">
        <v>10</v>
      </c>
      <c r="C4848" t="s">
        <v>20</v>
      </c>
      <c r="D4848" t="str">
        <f>HYPERLINK("https://us2.cloudbeds.com/connect/10074733072513#/reservations/31696236822688?display=Rachel%20Packard&amp;reservation_id=31696236822688&amp;guest_id=31696236822686", "Rachel Packard")</f>
        <v>Rachel Packard</v>
      </c>
      <c r="E4848" t="s">
        <v>9177</v>
      </c>
      <c r="F4848" t="s">
        <v>8513</v>
      </c>
      <c r="G4848">
        <v>170.1</v>
      </c>
      <c r="H4848">
        <v>184.89</v>
      </c>
      <c r="I4848">
        <v>184.9</v>
      </c>
      <c r="J4848">
        <v>-0.01</v>
      </c>
    </row>
    <row r="4849" spans="1:10" x14ac:dyDescent="0.3">
      <c r="A4849" t="str">
        <f>HYPERLINK("https://us2.cloudbeds.com/connect/10074733072513#/reservations/31696011788506?display=MHNKXNBA9&amp;reservation_id=31696011788506", "MHNKXNBA9")</f>
        <v>MHNKXNBA9</v>
      </c>
      <c r="B4849" t="s">
        <v>10</v>
      </c>
      <c r="C4849" t="s">
        <v>14</v>
      </c>
      <c r="D4849" t="str">
        <f>HYPERLINK("https://us2.cloudbeds.com/connect/10074733072513#/reservations/31696011788506?display=Elizabeth%20Hunhoff&amp;reservation_id=31696011788506&amp;guest_id=31696011784413", "Elizabeth Hunhoff")</f>
        <v>Elizabeth Hunhoff</v>
      </c>
      <c r="E4849" t="s">
        <v>9179</v>
      </c>
      <c r="F4849" t="s">
        <v>8419</v>
      </c>
      <c r="G4849">
        <v>224.1</v>
      </c>
      <c r="H4849">
        <v>243.59</v>
      </c>
      <c r="I4849">
        <v>243.6</v>
      </c>
      <c r="J4849">
        <v>-0.01</v>
      </c>
    </row>
    <row r="4850" spans="1:10" x14ac:dyDescent="0.3">
      <c r="A4850" t="str">
        <f>HYPERLINK("https://us2.cloudbeds.com/connect/10074733072513#/reservations/31733492560068?display=MXJY9G21N&amp;reservation_id=31733492560068", "MXJY9G21N")</f>
        <v>MXJY9G21N</v>
      </c>
      <c r="B4850" t="s">
        <v>10</v>
      </c>
      <c r="C4850" t="s">
        <v>14</v>
      </c>
      <c r="D4850" t="str">
        <f>HYPERLINK("https://us2.cloudbeds.com/connect/10074733072513#/reservations/31733492560068?display=Lou%20Benis&amp;reservation_id=31733492560068&amp;guest_id=31733486756003", "Lou Benis")</f>
        <v>Lou Benis</v>
      </c>
      <c r="E4850" t="s">
        <v>9180</v>
      </c>
      <c r="F4850" t="s">
        <v>9018</v>
      </c>
      <c r="G4850">
        <v>278.95999999999998</v>
      </c>
      <c r="H4850">
        <v>303.22000000000003</v>
      </c>
      <c r="I4850">
        <v>303.23</v>
      </c>
      <c r="J4850">
        <v>-0.01</v>
      </c>
    </row>
    <row r="4851" spans="1:10" x14ac:dyDescent="0.3">
      <c r="A4851" t="str">
        <f>HYPERLINK("https://us2.cloudbeds.com/connect/10074733072513#/reservations/31695262617799?display=MHN1DWXJY&amp;reservation_id=31695262617799", "MHN1DWXJY")</f>
        <v>MHN1DWXJY</v>
      </c>
      <c r="B4851" t="s">
        <v>10</v>
      </c>
      <c r="C4851" t="s">
        <v>23</v>
      </c>
      <c r="D4851" t="str">
        <f>HYPERLINK("https://us2.cloudbeds.com/connect/10074733072513#/reservations/31695262617799?display=Matthew%20Graves&amp;reservation_id=31695262617799&amp;guest_id=31692846903426", "Matthew Graves")</f>
        <v>Matthew Graves</v>
      </c>
      <c r="E4851" t="s">
        <v>8916</v>
      </c>
      <c r="F4851" t="s">
        <v>8945</v>
      </c>
      <c r="G4851">
        <v>134.1</v>
      </c>
      <c r="H4851">
        <v>145.76</v>
      </c>
      <c r="I4851">
        <v>145.77000000000001</v>
      </c>
      <c r="J4851">
        <v>-0.01</v>
      </c>
    </row>
    <row r="4852" spans="1:10" x14ac:dyDescent="0.3">
      <c r="A4852" t="str">
        <f>HYPERLINK("https://us2.cloudbeds.com/connect/10074733072513#/reservations/31733440229527?display=MXJJVBT9Z&amp;reservation_id=31733440229527", "MXJJVBT9Z")</f>
        <v>MXJJVBT9Z</v>
      </c>
      <c r="B4852" t="s">
        <v>10</v>
      </c>
      <c r="C4852" t="s">
        <v>17</v>
      </c>
      <c r="D4852" t="str">
        <f>HYPERLINK("https://us2.cloudbeds.com/connect/10074733072513#/reservations/31733440229527?display=Sara%20Bunker&amp;reservation_id=31733440229527&amp;guest_id=31733440229513", "Sara Bunker")</f>
        <v>Sara Bunker</v>
      </c>
      <c r="E4852" t="s">
        <v>9190</v>
      </c>
      <c r="F4852" t="s">
        <v>9018</v>
      </c>
      <c r="G4852">
        <v>376.2</v>
      </c>
      <c r="H4852">
        <v>408.92</v>
      </c>
      <c r="I4852">
        <v>408.93</v>
      </c>
      <c r="J4852">
        <v>-0.01</v>
      </c>
    </row>
    <row r="4853" spans="1:10" x14ac:dyDescent="0.3">
      <c r="A4853" t="str">
        <f>HYPERLINK("https://us2.cloudbeds.com/connect/10074733072513#/reservations/31734124765410?display=MXK4EJ3XB&amp;reservation_id=31734124765410", "MXK4EJ3XB")</f>
        <v>MXK4EJ3XB</v>
      </c>
      <c r="B4853" t="s">
        <v>10</v>
      </c>
      <c r="C4853" t="s">
        <v>17</v>
      </c>
      <c r="D4853" t="str">
        <f>HYPERLINK("https://us2.cloudbeds.com/connect/10074733072513#/reservations/31734124765410?display=Susan%20Shervin&amp;reservation_id=31734124765410&amp;guest_id=31734113845384", "Susan Shervin")</f>
        <v>Susan Shervin</v>
      </c>
      <c r="E4853" t="s">
        <v>9196</v>
      </c>
      <c r="F4853" t="s">
        <v>9197</v>
      </c>
      <c r="G4853">
        <v>277.2</v>
      </c>
      <c r="H4853">
        <v>301.31</v>
      </c>
      <c r="I4853">
        <v>301.32</v>
      </c>
      <c r="J4853">
        <v>-0.01</v>
      </c>
    </row>
    <row r="4854" spans="1:10" x14ac:dyDescent="0.3">
      <c r="A4854" t="str">
        <f>HYPERLINK("https://us2.cloudbeds.com/connect/10074733072513#/reservations/31691804889237?display=MHKC2B5J8&amp;reservation_id=31691804889237", "MHKC2B5J8")</f>
        <v>MHKC2B5J8</v>
      </c>
      <c r="B4854" t="s">
        <v>10</v>
      </c>
      <c r="C4854" t="s">
        <v>23</v>
      </c>
      <c r="D4854" t="str">
        <f>HYPERLINK("https://us2.cloudbeds.com/connect/10074733072513#/reservations/31691804889237?display=Susan%20Lawson&amp;reservation_id=31691804889237&amp;guest_id=31691804889220", "Susan Lawson")</f>
        <v>Susan Lawson</v>
      </c>
      <c r="E4854" t="s">
        <v>9198</v>
      </c>
      <c r="F4854" t="s">
        <v>8791</v>
      </c>
      <c r="G4854">
        <v>134.1</v>
      </c>
      <c r="H4854">
        <v>145.76</v>
      </c>
      <c r="I4854">
        <v>145.77000000000001</v>
      </c>
      <c r="J4854">
        <v>-0.01</v>
      </c>
    </row>
    <row r="4855" spans="1:10" x14ac:dyDescent="0.3">
      <c r="A4855" t="str">
        <f>HYPERLINK("https://us2.cloudbeds.com/connect/10074733072513#/reservations/31735857365128?display=MXYFNX873&amp;reservation_id=31735857365128", "MXYFNX873")</f>
        <v>MXYFNX873</v>
      </c>
      <c r="B4855" t="s">
        <v>10</v>
      </c>
      <c r="C4855" t="s">
        <v>42</v>
      </c>
      <c r="D4855" t="str">
        <f>HYPERLINK("https://us2.cloudbeds.com/connect/10074733072513#/reservations/31735857365128?display=Jenny%20Spencer&amp;reservation_id=31735857365128&amp;guest_id=31735849291943", "Jenny Spencer")</f>
        <v>Jenny Spencer</v>
      </c>
      <c r="E4855" t="s">
        <v>9202</v>
      </c>
      <c r="F4855" t="s">
        <v>8829</v>
      </c>
      <c r="G4855">
        <v>170.1</v>
      </c>
      <c r="H4855">
        <v>184.89</v>
      </c>
      <c r="I4855">
        <v>184.9</v>
      </c>
      <c r="J4855">
        <v>-0.01</v>
      </c>
    </row>
    <row r="4856" spans="1:10" x14ac:dyDescent="0.3">
      <c r="A4856" t="str">
        <f>HYPERLINK("https://us2.cloudbeds.com/connect/10074733072513#/reservations/31696215163080?display=MHNPP6HR5&amp;reservation_id=31696215163080", "MHNPP6HR5")</f>
        <v>MHNPP6HR5</v>
      </c>
      <c r="B4856" t="s">
        <v>10</v>
      </c>
      <c r="C4856" t="s">
        <v>42</v>
      </c>
      <c r="D4856" t="str">
        <f>HYPERLINK("https://us2.cloudbeds.com/connect/10074733072513#/reservations/31696215163080?display=Robert%20Driscole&amp;reservation_id=31696215163080&amp;guest_id=31696215163078", "Robert Driscole")</f>
        <v>Robert Driscole</v>
      </c>
      <c r="E4856" t="s">
        <v>9206</v>
      </c>
      <c r="F4856" t="s">
        <v>8513</v>
      </c>
      <c r="G4856">
        <v>134.1</v>
      </c>
      <c r="H4856">
        <v>145.76</v>
      </c>
      <c r="I4856">
        <v>145.77000000000001</v>
      </c>
      <c r="J4856">
        <v>-0.01</v>
      </c>
    </row>
    <row r="4857" spans="1:10" x14ac:dyDescent="0.3">
      <c r="A4857" t="str">
        <f>HYPERLINK("https://us2.cloudbeds.com/connect/10074733072513#/reservations/31733746245763?display=MXJRPD7V0&amp;reservation_id=31733746245763", "MXJRPD7V0")</f>
        <v>MXJRPD7V0</v>
      </c>
      <c r="B4857" t="s">
        <v>10</v>
      </c>
      <c r="C4857" t="s">
        <v>11</v>
      </c>
      <c r="D4857" t="str">
        <f>HYPERLINK("https://us2.cloudbeds.com/connect/10074733072513#/reservations/31733746245763?display=Lyle%20Allen&amp;reservation_id=31733746245763&amp;guest_id=31733746241717", "Lyle Allen")</f>
        <v>Lyle Allen</v>
      </c>
      <c r="E4857" t="s">
        <v>9212</v>
      </c>
      <c r="F4857" t="s">
        <v>8428</v>
      </c>
      <c r="G4857">
        <v>319.45999999999998</v>
      </c>
      <c r="H4857">
        <v>347.24</v>
      </c>
      <c r="I4857">
        <v>347.25</v>
      </c>
      <c r="J4857">
        <v>-0.01</v>
      </c>
    </row>
    <row r="4858" spans="1:10" x14ac:dyDescent="0.3">
      <c r="A4858" t="str">
        <f>HYPERLINK("https://us2.cloudbeds.com/connect/10074733072513#/reservations/31696120824023?display=MHNNBYDZS&amp;reservation_id=31696120824023", "MHNNBYDZS")</f>
        <v>MHNNBYDZS</v>
      </c>
      <c r="B4858" t="s">
        <v>10</v>
      </c>
      <c r="C4858" t="s">
        <v>11</v>
      </c>
      <c r="D4858" t="str">
        <f>HYPERLINK("https://us2.cloudbeds.com/connect/10074733072513#/reservations/31696120824023?display=Joe%20Speidel&amp;reservation_id=31696120824023&amp;guest_id=31696120824016", "Joe Speidel")</f>
        <v>Joe Speidel</v>
      </c>
      <c r="E4858" t="s">
        <v>9219</v>
      </c>
      <c r="F4858" t="s">
        <v>8419</v>
      </c>
      <c r="G4858">
        <v>154.24</v>
      </c>
      <c r="H4858">
        <v>167.65</v>
      </c>
      <c r="I4858">
        <v>167.66</v>
      </c>
      <c r="J4858">
        <v>-0.01</v>
      </c>
    </row>
    <row r="4859" spans="1:10" x14ac:dyDescent="0.3">
      <c r="A4859" t="str">
        <f>HYPERLINK("https://us2.cloudbeds.com/connect/10074733072513#/reservations/31731950342372?display=MXXET1J64&amp;reservation_id=31731950342372", "MXXET1J64")</f>
        <v>MXXET1J64</v>
      </c>
      <c r="B4859" t="s">
        <v>10</v>
      </c>
      <c r="C4859" t="s">
        <v>14</v>
      </c>
      <c r="D4859" t="str">
        <f>HYPERLINK("https://us2.cloudbeds.com/connect/10074733072513#/reservations/31731950342372?display=Kris%20Lambertson&amp;reservation_id=31731950342372&amp;guest_id=31731950342369", "Kris Lambertson")</f>
        <v>Kris Lambertson</v>
      </c>
      <c r="E4859" t="s">
        <v>9220</v>
      </c>
      <c r="F4859" t="s">
        <v>8992</v>
      </c>
      <c r="G4859">
        <v>129.6</v>
      </c>
      <c r="H4859">
        <v>140.87</v>
      </c>
      <c r="I4859">
        <v>140.88</v>
      </c>
      <c r="J4859">
        <v>-0.01</v>
      </c>
    </row>
    <row r="4860" spans="1:10" x14ac:dyDescent="0.3">
      <c r="A4860" t="str">
        <f>HYPERLINK("https://us2.cloudbeds.com/connect/10074733072513#/reservations/31696298918100?display=MHNRTR4S2&amp;reservation_id=31696298918100", "MHNRTR4S2")</f>
        <v>MHNRTR4S2</v>
      </c>
      <c r="B4860" t="s">
        <v>10</v>
      </c>
      <c r="C4860" t="s">
        <v>121</v>
      </c>
      <c r="D4860" t="str">
        <f>HYPERLINK("https://us2.cloudbeds.com/connect/10074733072513#/reservations/31696298918100?display=Albert%20Thomerson&amp;reservation_id=31696298918100&amp;guest_id=31696298918098", "Albert Thomerson")</f>
        <v>Albert Thomerson</v>
      </c>
      <c r="E4860" t="s">
        <v>9224</v>
      </c>
      <c r="F4860" t="s">
        <v>8513</v>
      </c>
      <c r="G4860">
        <v>170.1</v>
      </c>
      <c r="H4860">
        <v>184.89</v>
      </c>
      <c r="I4860">
        <v>184.9</v>
      </c>
      <c r="J4860">
        <v>-0.01</v>
      </c>
    </row>
    <row r="4861" spans="1:10" x14ac:dyDescent="0.3">
      <c r="A4861" t="str">
        <f>HYPERLINK("https://us2.cloudbeds.com/connect/10074733072513#/reservations/31729798463720?display=MXGPTHCZ4&amp;reservation_id=31729798463720", "MXGPTHCZ4")</f>
        <v>MXGPTHCZ4</v>
      </c>
      <c r="B4861" t="s">
        <v>10</v>
      </c>
      <c r="C4861" t="s">
        <v>14</v>
      </c>
      <c r="D4861" t="str">
        <f>HYPERLINK("https://us2.cloudbeds.com/connect/10074733072513#/reservations/31729798463720?display=Michelle%20Nilsen&amp;reservation_id=31729798463720&amp;guest_id=31729787084945", "Michelle Nilsen")</f>
        <v>Michelle Nilsen</v>
      </c>
      <c r="E4861" t="s">
        <v>9225</v>
      </c>
      <c r="F4861" t="s">
        <v>9197</v>
      </c>
      <c r="G4861">
        <v>250.2</v>
      </c>
      <c r="H4861">
        <v>271.95999999999998</v>
      </c>
      <c r="I4861">
        <v>271.97000000000003</v>
      </c>
      <c r="J4861">
        <v>-0.01</v>
      </c>
    </row>
    <row r="4862" spans="1:10" x14ac:dyDescent="0.3">
      <c r="A4862" t="str">
        <f>HYPERLINK("https://us2.cloudbeds.com/connect/10074733072513#/reservations/31691385757825?display=MHK15KM1N&amp;reservation_id=31691385757825", "MHK15KM1N")</f>
        <v>MHK15KM1N</v>
      </c>
      <c r="B4862" t="s">
        <v>10</v>
      </c>
      <c r="C4862" t="s">
        <v>11</v>
      </c>
      <c r="D4862" t="str">
        <f>HYPERLINK("https://us2.cloudbeds.com/connect/10074733072513#/reservations/31691385757825?display=William%20Zurilla&amp;reservation_id=31691385757825&amp;guest_id=31691378294959", "William Zurilla")</f>
        <v>William Zurilla</v>
      </c>
      <c r="E4862" t="s">
        <v>9230</v>
      </c>
      <c r="F4862" t="s">
        <v>8681</v>
      </c>
      <c r="G4862">
        <v>250.2</v>
      </c>
      <c r="H4862">
        <v>271.95999999999998</v>
      </c>
      <c r="I4862">
        <v>271.97000000000003</v>
      </c>
      <c r="J4862">
        <v>-0.01</v>
      </c>
    </row>
    <row r="4863" spans="1:10" x14ac:dyDescent="0.3">
      <c r="A4863" t="str">
        <f>HYPERLINK("https://us2.cloudbeds.com/connect/10074733072513#/reservations/31693781532805?display=MHYTJ3696&amp;reservation_id=31693781532805", "MHYTJ3696")</f>
        <v>MHYTJ3696</v>
      </c>
      <c r="B4863" t="s">
        <v>10</v>
      </c>
      <c r="C4863" t="s">
        <v>42</v>
      </c>
      <c r="D4863" t="str">
        <f>HYPERLINK("https://us2.cloudbeds.com/connect/10074733072513#/reservations/31693781532805?display=Thomas%20Mcclelland&amp;reservation_id=31693781532805&amp;guest_id=31693772505326", "Thomas Mcclelland")</f>
        <v>Thomas Mcclelland</v>
      </c>
      <c r="E4863" t="s">
        <v>9231</v>
      </c>
      <c r="F4863" t="s">
        <v>8513</v>
      </c>
      <c r="G4863">
        <v>170.1</v>
      </c>
      <c r="H4863">
        <v>184.89</v>
      </c>
      <c r="I4863">
        <v>184.9</v>
      </c>
      <c r="J4863">
        <v>-0.01</v>
      </c>
    </row>
    <row r="4864" spans="1:10" x14ac:dyDescent="0.3">
      <c r="A4864" t="str">
        <f>HYPERLINK("https://us2.cloudbeds.com/connect/10074733072513#/reservations/31733377978569?display=MXJXBSYT2&amp;reservation_id=31733377978569", "MXJXBSYT2")</f>
        <v>MXJXBSYT2</v>
      </c>
      <c r="B4864" t="s">
        <v>10</v>
      </c>
      <c r="C4864" t="s">
        <v>20</v>
      </c>
      <c r="D4864" t="str">
        <f>HYPERLINK("https://us2.cloudbeds.com/connect/10074733072513#/reservations/31733377978569?display=Laura%20Everett&amp;reservation_id=31733377978569&amp;guest_id=31733368639722", "Laura Everett")</f>
        <v>Laura Everett</v>
      </c>
      <c r="E4864" t="s">
        <v>9236</v>
      </c>
      <c r="F4864" t="s">
        <v>9205</v>
      </c>
      <c r="G4864">
        <v>170.1</v>
      </c>
      <c r="H4864">
        <v>184.89</v>
      </c>
      <c r="I4864">
        <v>184.9</v>
      </c>
      <c r="J4864">
        <v>-0.01</v>
      </c>
    </row>
    <row r="4865" spans="1:10" x14ac:dyDescent="0.3">
      <c r="A4865" t="str">
        <f>HYPERLINK("https://us2.cloudbeds.com/connect/10074733072513#/reservations/31732183081134?display=MXXKR9T1T&amp;reservation_id=31732183081134", "MXXKR9T1T")</f>
        <v>MXXKR9T1T</v>
      </c>
      <c r="B4865" t="s">
        <v>10</v>
      </c>
      <c r="C4865" t="s">
        <v>23</v>
      </c>
      <c r="D4865" t="str">
        <f>HYPERLINK("https://us2.cloudbeds.com/connect/10074733072513#/reservations/31732183081134?display=Deborah%20Muellner&amp;reservation_id=31732183081134&amp;guest_id=31732173873363", "Deborah Muellner")</f>
        <v>Deborah Muellner</v>
      </c>
      <c r="E4865" t="s">
        <v>9238</v>
      </c>
      <c r="F4865" t="s">
        <v>9239</v>
      </c>
      <c r="G4865">
        <v>268.2</v>
      </c>
      <c r="H4865">
        <v>291.52</v>
      </c>
      <c r="I4865">
        <v>291.52999999999997</v>
      </c>
      <c r="J4865">
        <v>-0.01</v>
      </c>
    </row>
    <row r="4866" spans="1:10" x14ac:dyDescent="0.3">
      <c r="A4866" t="str">
        <f>HYPERLINK("https://us2.cloudbeds.com/connect/10074733072513#/reservations/31735293325472?display=MXY19V0FA&amp;reservation_id=31735293325472", "MXY19V0FA")</f>
        <v>MXY19V0FA</v>
      </c>
      <c r="B4866" t="s">
        <v>10</v>
      </c>
      <c r="C4866" t="s">
        <v>11</v>
      </c>
      <c r="D4866" t="str">
        <f>HYPERLINK("https://us2.cloudbeds.com/connect/10074733072513#/reservations/31735293325472?display=Nicholas%20Bauer&amp;reservation_id=31735293325472&amp;guest_id=31735284400328", "Nicholas Bauer")</f>
        <v>Nicholas Bauer</v>
      </c>
      <c r="E4866" t="s">
        <v>9271</v>
      </c>
      <c r="F4866" t="s">
        <v>9214</v>
      </c>
      <c r="G4866">
        <v>182.36</v>
      </c>
      <c r="H4866">
        <v>198.22</v>
      </c>
      <c r="I4866">
        <v>198.23</v>
      </c>
      <c r="J4866">
        <v>-0.01</v>
      </c>
    </row>
    <row r="4867" spans="1:10" x14ac:dyDescent="0.3">
      <c r="A4867" t="str">
        <f>HYPERLINK("https://us2.cloudbeds.com/connect/10074733072513#/reservations/31733892501672?display=MXJVGZ0T8&amp;reservation_id=31733892501672", "MXJVGZ0T8")</f>
        <v>MXJVGZ0T8</v>
      </c>
      <c r="B4867" t="s">
        <v>10</v>
      </c>
      <c r="C4867" t="s">
        <v>11</v>
      </c>
      <c r="D4867" t="str">
        <f>HYPERLINK("https://us2.cloudbeds.com/connect/10074733072513#/reservations/31733892501672?display=Jonathan%20Hein&amp;reservation_id=31733892501672&amp;guest_id=31733882863819", "Jonathan Hein")</f>
        <v>Jonathan Hein</v>
      </c>
      <c r="E4867" t="s">
        <v>9282</v>
      </c>
      <c r="F4867" t="s">
        <v>7751</v>
      </c>
      <c r="G4867">
        <v>170.1</v>
      </c>
      <c r="H4867">
        <v>184.89</v>
      </c>
      <c r="I4867">
        <v>184.9</v>
      </c>
      <c r="J4867">
        <v>-0.01</v>
      </c>
    </row>
    <row r="4868" spans="1:10" x14ac:dyDescent="0.3">
      <c r="A4868" t="str">
        <f>HYPERLINK("https://us2.cloudbeds.com/connect/10074733072513#/reservations/31732173873365?display=MXXKJHYQJ&amp;reservation_id=31732173873365", "MXXKJHYQJ")</f>
        <v>MXXKJHYQJ</v>
      </c>
      <c r="B4868" t="s">
        <v>10</v>
      </c>
      <c r="C4868" t="s">
        <v>17</v>
      </c>
      <c r="D4868" t="str">
        <f>HYPERLINK("https://us2.cloudbeds.com/connect/10074733072513#/reservations/31732173873365?display=Nick%20Blommer&amp;reservation_id=31732173873365&amp;guest_id=17963453169838", "Nick Blommer")</f>
        <v>Nick Blommer</v>
      </c>
      <c r="E4868" t="s">
        <v>9284</v>
      </c>
      <c r="F4868" t="s">
        <v>9285</v>
      </c>
      <c r="G4868">
        <v>134.1</v>
      </c>
      <c r="H4868">
        <v>145.76</v>
      </c>
      <c r="I4868">
        <v>145.77000000000001</v>
      </c>
      <c r="J4868">
        <v>-0.01</v>
      </c>
    </row>
    <row r="4869" spans="1:10" x14ac:dyDescent="0.3">
      <c r="A4869" t="str">
        <f>HYPERLINK("https://us2.cloudbeds.com/connect/10074733072513#/reservations/31735439900895?display=MXY51HMQQ&amp;reservation_id=31735439900895", "MXY51HMQQ")</f>
        <v>MXY51HMQQ</v>
      </c>
      <c r="B4869" t="s">
        <v>10</v>
      </c>
      <c r="C4869" t="s">
        <v>17</v>
      </c>
      <c r="D4869" t="str">
        <f>HYPERLINK("https://us2.cloudbeds.com/connect/10074733072513#/reservations/31735439900895?display=Ilaria%20Blackwell&amp;reservation_id=31735439900895&amp;guest_id=31735430471813", "Ilaria Blackwell")</f>
        <v>Ilaria Blackwell</v>
      </c>
      <c r="E4869" t="s">
        <v>9286</v>
      </c>
      <c r="F4869" t="s">
        <v>9287</v>
      </c>
      <c r="G4869">
        <v>259.2</v>
      </c>
      <c r="H4869">
        <v>281.74</v>
      </c>
      <c r="I4869">
        <v>281.75</v>
      </c>
      <c r="J4869">
        <v>-0.01</v>
      </c>
    </row>
    <row r="4870" spans="1:10" x14ac:dyDescent="0.3">
      <c r="A4870" t="str">
        <f>HYPERLINK("https://us2.cloudbeds.com/connect/10074733072513#/reservations/31729680720027?display=MXGMT7WQE&amp;reservation_id=31729680720027", "MXGMT7WQE")</f>
        <v>MXGMT7WQE</v>
      </c>
      <c r="B4870" t="s">
        <v>10</v>
      </c>
      <c r="C4870" t="s">
        <v>121</v>
      </c>
      <c r="D4870" t="str">
        <f>HYPERLINK("https://us2.cloudbeds.com/connect/10074733072513#/reservations/31729680720027?display=Timothy%20Locken&amp;reservation_id=31729680720027&amp;guest_id=31729680715931", "Timothy Locken")</f>
        <v>Timothy Locken</v>
      </c>
      <c r="E4870" t="s">
        <v>9288</v>
      </c>
      <c r="F4870" t="s">
        <v>9197</v>
      </c>
      <c r="G4870">
        <v>103.2</v>
      </c>
      <c r="H4870">
        <v>112.17</v>
      </c>
      <c r="I4870">
        <v>112.18</v>
      </c>
      <c r="J4870">
        <v>-0.01</v>
      </c>
    </row>
    <row r="4871" spans="1:10" x14ac:dyDescent="0.3">
      <c r="A4871" t="str">
        <f>HYPERLINK("https://us2.cloudbeds.com/connect/10074733072513#/reservations/31735450058893?display=MXY5A3BKU&amp;reservation_id=31735450058893", "MXY5A3BKU")</f>
        <v>MXY5A3BKU</v>
      </c>
      <c r="B4871" t="s">
        <v>10</v>
      </c>
      <c r="C4871" t="s">
        <v>17</v>
      </c>
      <c r="D4871" t="str">
        <f>HYPERLINK("https://us2.cloudbeds.com/connect/10074733072513#/reservations/31735450058893?display=Ilaria%20Blackwell&amp;reservation_id=31735450058893&amp;guest_id=31735450058886", "Ilaria Blackwell")</f>
        <v>Ilaria Blackwell</v>
      </c>
      <c r="E4871" t="s">
        <v>9286</v>
      </c>
      <c r="F4871" t="s">
        <v>9287</v>
      </c>
      <c r="G4871">
        <v>259.2</v>
      </c>
      <c r="H4871">
        <v>281.74</v>
      </c>
      <c r="I4871">
        <v>281.75</v>
      </c>
      <c r="J4871">
        <v>-0.01</v>
      </c>
    </row>
    <row r="4872" spans="1:10" x14ac:dyDescent="0.3">
      <c r="A4872" t="str">
        <f>HYPERLINK("https://us2.cloudbeds.com/connect/10074733072513#/reservations/31731637747917?display=MXX6TF5UT&amp;reservation_id=31731637747917", "MXX6TF5UT")</f>
        <v>MXX6TF5UT</v>
      </c>
      <c r="B4872" t="s">
        <v>10</v>
      </c>
      <c r="C4872" t="s">
        <v>42</v>
      </c>
      <c r="D4872" t="str">
        <f>HYPERLINK("https://us2.cloudbeds.com/connect/10074733072513#/reservations/31731637747917?display=Robert%20Prinsen&amp;reservation_id=31731637747917&amp;guest_id=31731637743823", "Robert Prinsen")</f>
        <v>Robert Prinsen</v>
      </c>
      <c r="E4872" t="s">
        <v>9290</v>
      </c>
      <c r="F4872" t="s">
        <v>8428</v>
      </c>
      <c r="G4872">
        <v>224.1</v>
      </c>
      <c r="H4872">
        <v>243.59</v>
      </c>
      <c r="I4872">
        <v>243.6</v>
      </c>
      <c r="J4872">
        <v>-0.01</v>
      </c>
    </row>
    <row r="4873" spans="1:10" x14ac:dyDescent="0.3">
      <c r="A4873" t="str">
        <f>HYPERLINK("https://us2.cloudbeds.com/connect/10074733072513#/reservations/31734217289963?display=MXK6QJZDM&amp;reservation_id=31734217289963", "MXK6QJZDM")</f>
        <v>MXK6QJZDM</v>
      </c>
      <c r="B4873" t="s">
        <v>10</v>
      </c>
      <c r="C4873" t="s">
        <v>42</v>
      </c>
      <c r="D4873" t="str">
        <f>HYPERLINK("https://us2.cloudbeds.com/connect/10074733072513#/reservations/31734217289963?display=Clint%20Bray&amp;reservation_id=31734217289963&amp;guest_id=31734200107151", "Clint Bray")</f>
        <v>Clint Bray</v>
      </c>
      <c r="E4873" t="s">
        <v>9291</v>
      </c>
      <c r="F4873" t="s">
        <v>9197</v>
      </c>
      <c r="G4873">
        <v>134.1</v>
      </c>
      <c r="H4873">
        <v>145.76</v>
      </c>
      <c r="I4873">
        <v>145.77000000000001</v>
      </c>
      <c r="J4873">
        <v>-0.01</v>
      </c>
    </row>
    <row r="4874" spans="1:10" x14ac:dyDescent="0.3">
      <c r="A4874" t="str">
        <f>HYPERLINK("https://us2.cloudbeds.com/connect/10074733072513#/reservations/31735805952204?display=MXYED6K2N&amp;reservation_id=31735805952204", "MXYED6K2N")</f>
        <v>MXYED6K2N</v>
      </c>
      <c r="B4874" t="s">
        <v>10</v>
      </c>
      <c r="C4874" t="s">
        <v>11</v>
      </c>
      <c r="D4874" t="str">
        <f>HYPERLINK("https://us2.cloudbeds.com/connect/10074733072513#/reservations/31735805952204?display=Danielle%20Lindseth&amp;reservation_id=31735805952204&amp;guest_id=31735795413227", "Danielle Lindseth")</f>
        <v>Danielle Lindseth</v>
      </c>
      <c r="E4874" t="s">
        <v>9293</v>
      </c>
      <c r="F4874" t="s">
        <v>7751</v>
      </c>
      <c r="G4874">
        <v>376.2</v>
      </c>
      <c r="H4874">
        <v>408.92</v>
      </c>
      <c r="I4874">
        <v>408.93</v>
      </c>
      <c r="J4874">
        <v>-0.01</v>
      </c>
    </row>
    <row r="4875" spans="1:10" x14ac:dyDescent="0.3">
      <c r="A4875" t="str">
        <f>HYPERLINK("https://us2.cloudbeds.com/connect/10074733072513#/reservations/31733170581664?display=MXJD1WHPC&amp;reservation_id=31733170581664", "MXJD1WHPC")</f>
        <v>MXJD1WHPC</v>
      </c>
      <c r="B4875" t="s">
        <v>10</v>
      </c>
      <c r="C4875" t="s">
        <v>17</v>
      </c>
      <c r="D4875" t="str">
        <f>HYPERLINK("https://us2.cloudbeds.com/connect/10074733072513#/reservations/31733170581664?display=William%20Graves&amp;reservation_id=31733170581664&amp;guest_id=30648454471826", "William Graves")</f>
        <v>William Graves</v>
      </c>
      <c r="E4875" t="s">
        <v>447</v>
      </c>
      <c r="F4875" t="s">
        <v>9087</v>
      </c>
      <c r="G4875">
        <v>129.6</v>
      </c>
      <c r="H4875">
        <v>140.87</v>
      </c>
      <c r="I4875">
        <v>140.88</v>
      </c>
      <c r="J4875">
        <v>-0.01</v>
      </c>
    </row>
    <row r="4876" spans="1:10" x14ac:dyDescent="0.3">
      <c r="A4876" t="str">
        <f>HYPERLINK("https://us2.cloudbeds.com/connect/10074733072513#/reservations/31733386113165?display=MXJXXZ0YW&amp;reservation_id=31733386113165", "MXJXXZ0YW")</f>
        <v>MXJXXZ0YW</v>
      </c>
      <c r="B4876" t="s">
        <v>10</v>
      </c>
      <c r="C4876" t="s">
        <v>14</v>
      </c>
      <c r="D4876" t="str">
        <f>HYPERLINK("https://us2.cloudbeds.com/connect/10074733072513#/reservations/31733386113165?display=Ben%20Scheef&amp;reservation_id=31733386113165&amp;guest_id=31733386113160", "Ben Scheef")</f>
        <v>Ben Scheef</v>
      </c>
      <c r="E4876" t="s">
        <v>9306</v>
      </c>
      <c r="F4876" t="s">
        <v>9256</v>
      </c>
      <c r="G4876">
        <v>154.24</v>
      </c>
      <c r="H4876">
        <v>167.65</v>
      </c>
      <c r="I4876">
        <v>167.66</v>
      </c>
      <c r="J4876">
        <v>-0.01</v>
      </c>
    </row>
    <row r="4877" spans="1:10" x14ac:dyDescent="0.3">
      <c r="A4877" t="str">
        <f>HYPERLINK("https://us2.cloudbeds.com/connect/10074733072513#/reservations/31735771250883?display=MXYDGUWPH&amp;reservation_id=31735771250883", "MXYDGUWPH")</f>
        <v>MXYDGUWPH</v>
      </c>
      <c r="B4877" t="s">
        <v>10</v>
      </c>
      <c r="C4877" t="s">
        <v>14</v>
      </c>
      <c r="D4877" t="str">
        <f>HYPERLINK("https://us2.cloudbeds.com/connect/10074733072513#/reservations/31735771250883?display=Jacob%20Mohs&amp;reservation_id=31735771250883&amp;guest_id=31735760335090", "Jacob Mohs")</f>
        <v>Jacob Mohs</v>
      </c>
      <c r="E4877" t="s">
        <v>9307</v>
      </c>
      <c r="F4877" t="s">
        <v>9256</v>
      </c>
      <c r="G4877">
        <v>154.24</v>
      </c>
      <c r="H4877">
        <v>167.65</v>
      </c>
      <c r="I4877">
        <v>167.66</v>
      </c>
      <c r="J4877">
        <v>-0.01</v>
      </c>
    </row>
    <row r="4878" spans="1:10" x14ac:dyDescent="0.3">
      <c r="A4878" t="str">
        <f>HYPERLINK("https://us2.cloudbeds.com/connect/10074733072513#/reservations/31734439067848?display=MXKCFK16Y&amp;reservation_id=31734439067848", "MXKCFK16Y")</f>
        <v>MXKCFK16Y</v>
      </c>
      <c r="B4878" t="s">
        <v>10</v>
      </c>
      <c r="C4878" t="s">
        <v>14</v>
      </c>
      <c r="D4878" t="str">
        <f>HYPERLINK("https://us2.cloudbeds.com/connect/10074733072513#/reservations/31734439067848?display=Ben%20Welch&amp;reservation_id=31734439067848&amp;guest_id=31734439063752", "Ben Welch")</f>
        <v>Ben Welch</v>
      </c>
      <c r="E4878" t="s">
        <v>9309</v>
      </c>
      <c r="F4878" t="s">
        <v>9256</v>
      </c>
      <c r="G4878">
        <v>154.24</v>
      </c>
      <c r="H4878">
        <v>167.65</v>
      </c>
      <c r="I4878">
        <v>167.66</v>
      </c>
      <c r="J4878">
        <v>-0.01</v>
      </c>
    </row>
    <row r="4879" spans="1:10" x14ac:dyDescent="0.3">
      <c r="A4879" t="str">
        <f>HYPERLINK("https://us2.cloudbeds.com/connect/10074733072513#/reservations/31733421121696?display=MXJJF862X&amp;reservation_id=31733421121696", "MXJJF862X")</f>
        <v>MXJJF862X</v>
      </c>
      <c r="B4879" t="s">
        <v>10</v>
      </c>
      <c r="C4879" t="s">
        <v>14</v>
      </c>
      <c r="D4879" t="str">
        <f>HYPERLINK("https://us2.cloudbeds.com/connect/10074733072513#/reservations/31733421121696?display=Gunner%20Labenz&amp;reservation_id=31733421121696&amp;guest_id=31733421117589", "Gunner Labenz")</f>
        <v>Gunner Labenz</v>
      </c>
      <c r="E4879" t="s">
        <v>9311</v>
      </c>
      <c r="F4879" t="s">
        <v>9256</v>
      </c>
      <c r="G4879">
        <v>154.24</v>
      </c>
      <c r="H4879">
        <v>167.65</v>
      </c>
      <c r="I4879">
        <v>167.66</v>
      </c>
      <c r="J4879">
        <v>-0.01</v>
      </c>
    </row>
    <row r="4880" spans="1:10" x14ac:dyDescent="0.3">
      <c r="A4880" t="str">
        <f>HYPERLINK("https://us2.cloudbeds.com/connect/10074733072513#/reservations/31733402357992?display=MXJXWE1SF&amp;reservation_id=31733402357992", "MXJXWE1SF")</f>
        <v>MXJXWE1SF</v>
      </c>
      <c r="B4880" t="s">
        <v>10</v>
      </c>
      <c r="C4880" t="s">
        <v>14</v>
      </c>
      <c r="D4880" t="str">
        <f>HYPERLINK("https://us2.cloudbeds.com/connect/10074733072513#/reservations/31733402357992?display=Justin%20Appleby&amp;reservation_id=31733402357992&amp;guest_id=31733402357974", "Justin Appleby")</f>
        <v>Justin Appleby</v>
      </c>
      <c r="E4880" t="s">
        <v>9312</v>
      </c>
      <c r="F4880" t="s">
        <v>9256</v>
      </c>
      <c r="G4880">
        <v>154.24</v>
      </c>
      <c r="H4880">
        <v>167.65</v>
      </c>
      <c r="I4880">
        <v>167.66</v>
      </c>
      <c r="J4880">
        <v>-0.01</v>
      </c>
    </row>
    <row r="4881" spans="1:10" x14ac:dyDescent="0.3">
      <c r="A4881" t="str">
        <f>HYPERLINK("https://us2.cloudbeds.com/connect/10074733072513#/reservations/31731788681403?display=MXXAZZ45T&amp;reservation_id=31731788681403", "MXXAZZ45T")</f>
        <v>MXXAZZ45T</v>
      </c>
      <c r="B4881" t="s">
        <v>10</v>
      </c>
      <c r="C4881" t="s">
        <v>17</v>
      </c>
      <c r="D4881" t="str">
        <f>HYPERLINK("https://us2.cloudbeds.com/connect/10074733072513#/reservations/31731788681403?display=Elizabeth%20Erin%20Kamano&amp;reservation_id=31731788681403&amp;guest_id=31731777855712", "Elizabeth Erin Kamano")</f>
        <v>Elizabeth Erin Kamano</v>
      </c>
      <c r="E4881" t="s">
        <v>9318</v>
      </c>
      <c r="F4881" t="s">
        <v>9319</v>
      </c>
      <c r="G4881">
        <v>129.6</v>
      </c>
      <c r="H4881">
        <v>140.87</v>
      </c>
      <c r="I4881">
        <v>140.88</v>
      </c>
      <c r="J4881">
        <v>-0.01</v>
      </c>
    </row>
    <row r="4882" spans="1:10" x14ac:dyDescent="0.3">
      <c r="A4882" t="str">
        <f>HYPERLINK("https://us2.cloudbeds.com/connect/10074733072513#/reservations/31733062078693?display=MXJA9G9BX&amp;reservation_id=31733062078693", "MXJA9G9BX")</f>
        <v>MXJA9G9BX</v>
      </c>
      <c r="B4882" t="s">
        <v>10</v>
      </c>
      <c r="C4882" t="s">
        <v>14</v>
      </c>
      <c r="D4882" t="str">
        <f>HYPERLINK("https://us2.cloudbeds.com/connect/10074733072513#/reservations/31733062078693?display=Fran%20Neat&amp;reservation_id=31733062078693&amp;guest_id=31733044814029", "Fran Neat")</f>
        <v>Fran Neat</v>
      </c>
      <c r="E4882" t="s">
        <v>9328</v>
      </c>
      <c r="F4882" t="s">
        <v>9245</v>
      </c>
      <c r="G4882">
        <v>106.27</v>
      </c>
      <c r="H4882">
        <v>115.51</v>
      </c>
      <c r="I4882">
        <v>115.52</v>
      </c>
      <c r="J4882">
        <v>-0.01</v>
      </c>
    </row>
    <row r="4883" spans="1:10" x14ac:dyDescent="0.3">
      <c r="A4883" t="str">
        <f>HYPERLINK("https://us2.cloudbeds.com/connect/10074733072513#/reservations/31733336527102?display=MXJH9U730&amp;reservation_id=31733336527102", "MXJH9U730")</f>
        <v>MXJH9U730</v>
      </c>
      <c r="B4883" t="s">
        <v>10</v>
      </c>
      <c r="C4883" t="s">
        <v>11</v>
      </c>
      <c r="D4883" t="str">
        <f>HYPERLINK("https://us2.cloudbeds.com/connect/10074733072513#/reservations/31733336527102?display=Todd%20Sanders&amp;reservation_id=31733336527102&amp;guest_id=31733336527097", "Todd Sanders")</f>
        <v>Todd Sanders</v>
      </c>
      <c r="E4883" t="s">
        <v>9334</v>
      </c>
      <c r="F4883" t="s">
        <v>9205</v>
      </c>
      <c r="G4883">
        <v>154.24</v>
      </c>
      <c r="H4883">
        <v>167.65</v>
      </c>
      <c r="I4883">
        <v>167.66</v>
      </c>
      <c r="J4883">
        <v>-0.01</v>
      </c>
    </row>
    <row r="4884" spans="1:10" x14ac:dyDescent="0.3">
      <c r="A4884" t="str">
        <f>HYPERLINK("https://us2.cloudbeds.com/connect/10074733072513#/reservations/31736144232683?display=MXYN1EP4A&amp;reservation_id=31736144232683", "MXYN1EP4A")</f>
        <v>MXYN1EP4A</v>
      </c>
      <c r="B4884" t="s">
        <v>10</v>
      </c>
      <c r="C4884" t="s">
        <v>14</v>
      </c>
      <c r="D4884" t="str">
        <f>HYPERLINK("https://us2.cloudbeds.com/connect/10074733072513#/reservations/31736144232683?display=Nancy%20Abernathy&amp;reservation_id=31736144232683&amp;guest_id=31736131227802", "Nancy Abernathy")</f>
        <v>Nancy Abernathy</v>
      </c>
      <c r="E4884" t="s">
        <v>9339</v>
      </c>
      <c r="F4884" t="s">
        <v>9245</v>
      </c>
      <c r="G4884">
        <v>106.27</v>
      </c>
      <c r="H4884">
        <v>115.51</v>
      </c>
      <c r="I4884">
        <v>115.52</v>
      </c>
      <c r="J4884">
        <v>-0.01</v>
      </c>
    </row>
    <row r="4885" spans="1:10" x14ac:dyDescent="0.3">
      <c r="A4885" t="str">
        <f>HYPERLINK("https://us2.cloudbeds.com/connect/10074733072513#/reservations/31733011251381?display=MXJ8WKUVW&amp;reservation_id=31733011251381", "MXJ8WKUVW")</f>
        <v>MXJ8WKUVW</v>
      </c>
      <c r="B4885" t="s">
        <v>10</v>
      </c>
      <c r="C4885" t="s">
        <v>11</v>
      </c>
      <c r="D4885" t="str">
        <f>HYPERLINK("https://us2.cloudbeds.com/connect/10074733072513#/reservations/31733011251381?display=Michael%20Johnson&amp;reservation_id=31733011251381&amp;guest_id=31732997484764", "Michael Johnson")</f>
        <v>Michael Johnson</v>
      </c>
      <c r="E4885" t="s">
        <v>9340</v>
      </c>
      <c r="F4885" t="s">
        <v>9245</v>
      </c>
      <c r="G4885">
        <v>106.27</v>
      </c>
      <c r="H4885">
        <v>115.51</v>
      </c>
      <c r="I4885">
        <v>115.52</v>
      </c>
      <c r="J4885">
        <v>-0.01</v>
      </c>
    </row>
    <row r="4886" spans="1:10" x14ac:dyDescent="0.3">
      <c r="A4886" t="str">
        <f>HYPERLINK("https://us2.cloudbeds.com/connect/10074733072513#/reservations/31736040476807?display=MXYKCVJRS&amp;reservation_id=31736040476807", "MXYKCVJRS")</f>
        <v>MXYKCVJRS</v>
      </c>
      <c r="B4886" t="s">
        <v>10</v>
      </c>
      <c r="C4886" t="s">
        <v>42</v>
      </c>
      <c r="D4886" t="str">
        <f>HYPERLINK("https://us2.cloudbeds.com/connect/10074733072513#/reservations/31736040476807?display=Wanda%20Pritzel&amp;reservation_id=31736040476807&amp;guest_id=31736033542379", "Wanda Pritzel")</f>
        <v>Wanda Pritzel</v>
      </c>
      <c r="E4886" t="s">
        <v>9342</v>
      </c>
      <c r="F4886" t="s">
        <v>8085</v>
      </c>
      <c r="G4886">
        <v>464</v>
      </c>
      <c r="H4886">
        <v>504.36</v>
      </c>
      <c r="I4886">
        <v>504.37</v>
      </c>
      <c r="J4886">
        <v>-0.01</v>
      </c>
    </row>
    <row r="4887" spans="1:10" x14ac:dyDescent="0.3">
      <c r="A4887" t="str">
        <f>HYPERLINK("https://us2.cloudbeds.com/connect/10074733072513#/reservations/31734819287191?display=MXKM676JU&amp;reservation_id=31734819287191", "MXKM676JU")</f>
        <v>MXKM676JU</v>
      </c>
      <c r="B4887" t="s">
        <v>10</v>
      </c>
      <c r="C4887" t="s">
        <v>11</v>
      </c>
      <c r="D4887" t="str">
        <f>HYPERLINK("https://us2.cloudbeds.com/connect/10074733072513#/reservations/31734819287191?display=Mike%20Krasnesky&amp;reservation_id=31734819287191&amp;guest_id=31734819287187", "Mike Krasnesky")</f>
        <v>Mike Krasnesky</v>
      </c>
      <c r="E4887" t="s">
        <v>9344</v>
      </c>
      <c r="F4887" t="s">
        <v>9256</v>
      </c>
      <c r="G4887">
        <v>154.24</v>
      </c>
      <c r="H4887">
        <v>167.65</v>
      </c>
      <c r="I4887">
        <v>167.66</v>
      </c>
      <c r="J4887">
        <v>-0.01</v>
      </c>
    </row>
    <row r="4888" spans="1:10" x14ac:dyDescent="0.3">
      <c r="A4888" t="str">
        <f>HYPERLINK("https://us2.cloudbeds.com/connect/10074733072513#/reservations/31731829133503?display=MXXBPRP93&amp;reservation_id=31731829133503", "MXXBPRP93")</f>
        <v>MXXBPRP93</v>
      </c>
      <c r="B4888" t="s">
        <v>10</v>
      </c>
      <c r="C4888" t="s">
        <v>14</v>
      </c>
      <c r="D4888" t="str">
        <f>HYPERLINK("https://us2.cloudbeds.com/connect/10074733072513#/reservations/31731829133503?display=Patrick%20Wynja&amp;reservation_id=31731829133503&amp;guest_id=31731815117016", "Patrick Wynja")</f>
        <v>Patrick Wynja</v>
      </c>
      <c r="E4888" t="s">
        <v>9346</v>
      </c>
      <c r="F4888" t="s">
        <v>7203</v>
      </c>
      <c r="G4888">
        <v>224.1</v>
      </c>
      <c r="H4888">
        <v>243.59</v>
      </c>
      <c r="I4888">
        <v>243.6</v>
      </c>
      <c r="J4888">
        <v>-0.01</v>
      </c>
    </row>
    <row r="4889" spans="1:10" x14ac:dyDescent="0.3">
      <c r="A4889" t="str">
        <f>HYPERLINK("https://us2.cloudbeds.com/connect/10074733072513#/reservations/31733516230802?display=MXJYTEZ8M&amp;reservation_id=31733516230802", "MXJYTEZ8M")</f>
        <v>MXJYTEZ8M</v>
      </c>
      <c r="B4889" t="s">
        <v>10</v>
      </c>
      <c r="C4889" t="s">
        <v>11</v>
      </c>
      <c r="D4889" t="str">
        <f>HYPERLINK("https://us2.cloudbeds.com/connect/10074733072513#/reservations/31733516230802?display=Alexander%20Dewaard&amp;reservation_id=31733516230802&amp;guest_id=31733516230800", "Alexander Dewaard")</f>
        <v>Alexander Dewaard</v>
      </c>
      <c r="E4889" t="s">
        <v>9364</v>
      </c>
      <c r="F4889" t="s">
        <v>8085</v>
      </c>
      <c r="G4889">
        <v>106.27</v>
      </c>
      <c r="H4889">
        <v>115.51</v>
      </c>
      <c r="I4889">
        <v>115.52</v>
      </c>
      <c r="J4889">
        <v>-0.01</v>
      </c>
    </row>
    <row r="4890" spans="1:10" x14ac:dyDescent="0.3">
      <c r="A4890" t="str">
        <f>HYPERLINK("https://us2.cloudbeds.com/connect/10074733072513#/reservations/31735828214001?display=MXYEVW2GK&amp;reservation_id=31735828214001", "MXYEVW2GK")</f>
        <v>MXYEVW2GK</v>
      </c>
      <c r="B4890" t="s">
        <v>10</v>
      </c>
      <c r="C4890" t="s">
        <v>14</v>
      </c>
      <c r="D4890" t="str">
        <f>HYPERLINK("https://us2.cloudbeds.com/connect/10074733072513#/reservations/31735828214001?display=Madison%20Rausch&amp;reservation_id=31735828214001&amp;guest_id=31735828213996", "Madison Rausch")</f>
        <v>Madison Rausch</v>
      </c>
      <c r="E4890" t="s">
        <v>9365</v>
      </c>
      <c r="F4890" t="s">
        <v>8829</v>
      </c>
      <c r="G4890">
        <v>170.1</v>
      </c>
      <c r="H4890">
        <v>184.89</v>
      </c>
      <c r="I4890">
        <v>184.9</v>
      </c>
      <c r="J4890">
        <v>-0.01</v>
      </c>
    </row>
    <row r="4891" spans="1:10" x14ac:dyDescent="0.3">
      <c r="A4891" t="str">
        <f>HYPERLINK("https://us2.cloudbeds.com/connect/10074733072513#/reservations/31735199654019?display=MXKVTVFEE&amp;reservation_id=31735199654019", "MXKVTVFEE")</f>
        <v>MXKVTVFEE</v>
      </c>
      <c r="B4891" t="s">
        <v>10</v>
      </c>
      <c r="C4891" t="s">
        <v>17</v>
      </c>
      <c r="D4891" t="str">
        <f>HYPERLINK("https://us2.cloudbeds.com/connect/10074733072513#/reservations/31735199654019?display=Connie%20White&amp;reservation_id=31735199654019&amp;guest_id=31735199649925", "Connie White")</f>
        <v>Connie White</v>
      </c>
      <c r="E4891" t="s">
        <v>9369</v>
      </c>
      <c r="F4891" t="s">
        <v>8829</v>
      </c>
      <c r="G4891">
        <v>170.1</v>
      </c>
      <c r="H4891">
        <v>184.89</v>
      </c>
      <c r="I4891">
        <v>184.9</v>
      </c>
      <c r="J4891">
        <v>-0.01</v>
      </c>
    </row>
    <row r="4892" spans="1:10" x14ac:dyDescent="0.3">
      <c r="A4892" t="str">
        <f>HYPERLINK("https://us2.cloudbeds.com/connect/10074733072513#/reservations/31735920140481?display=MXYHAG25H&amp;reservation_id=31735920140481", "MXYHAG25H")</f>
        <v>MXYHAG25H</v>
      </c>
      <c r="B4892" t="s">
        <v>10</v>
      </c>
      <c r="C4892" t="s">
        <v>20</v>
      </c>
      <c r="D4892" t="str">
        <f>HYPERLINK("https://us2.cloudbeds.com/connect/10074733072513#/reservations/31735920140481?display=Devon%20Nissen&amp;reservation_id=31735920140481&amp;guest_id=31735912788143", "Devon Nissen")</f>
        <v>Devon Nissen</v>
      </c>
      <c r="E4892" t="s">
        <v>9371</v>
      </c>
      <c r="F4892" t="s">
        <v>8085</v>
      </c>
      <c r="G4892">
        <v>129.6</v>
      </c>
      <c r="H4892">
        <v>140.87</v>
      </c>
      <c r="I4892">
        <v>140.88</v>
      </c>
      <c r="J4892">
        <v>-0.01</v>
      </c>
    </row>
    <row r="4893" spans="1:10" x14ac:dyDescent="0.3">
      <c r="A4893" t="str">
        <f>HYPERLINK("https://us2.cloudbeds.com/connect/10074733072513#/reservations/31735920144577?display=MXYHAG5UY&amp;reservation_id=31735920144577", "MXYHAG5UY")</f>
        <v>MXYHAG5UY</v>
      </c>
      <c r="B4893" t="s">
        <v>10</v>
      </c>
      <c r="C4893" t="s">
        <v>11</v>
      </c>
      <c r="D4893" t="str">
        <f>HYPERLINK("https://us2.cloudbeds.com/connect/10074733072513#/reservations/31735920144577?display=Ernst%20Kraus&amp;reservation_id=31735920144577&amp;guest_id=31735920140540", "Ernst Kraus")</f>
        <v>Ernst Kraus</v>
      </c>
      <c r="E4893" t="s">
        <v>9372</v>
      </c>
      <c r="F4893" t="s">
        <v>8085</v>
      </c>
      <c r="G4893">
        <v>106.27</v>
      </c>
      <c r="H4893">
        <v>115.51</v>
      </c>
      <c r="I4893">
        <v>115.52</v>
      </c>
      <c r="J4893">
        <v>-0.01</v>
      </c>
    </row>
    <row r="4894" spans="1:10" x14ac:dyDescent="0.3">
      <c r="A4894" t="str">
        <f>HYPERLINK("https://us2.cloudbeds.com/connect/10074733072513#/reservations/31733492560120?display=MXJY9G239&amp;reservation_id=31733492560120", "MXJY9G239")</f>
        <v>MXJY9G239</v>
      </c>
      <c r="B4894" t="s">
        <v>10</v>
      </c>
      <c r="C4894" t="s">
        <v>11</v>
      </c>
      <c r="D4894" t="str">
        <f>HYPERLINK("https://us2.cloudbeds.com/connect/10074733072513#/reservations/31733492560120?display=Boaz%20Bar&amp;reservation_id=31733492560120&amp;guest_id=31733492560066", "Boaz Bar")</f>
        <v>Boaz Bar</v>
      </c>
      <c r="E4894" t="s">
        <v>9373</v>
      </c>
      <c r="F4894" t="s">
        <v>8085</v>
      </c>
      <c r="G4894">
        <v>106.27</v>
      </c>
      <c r="H4894">
        <v>115.51</v>
      </c>
      <c r="I4894">
        <v>115.52</v>
      </c>
      <c r="J4894">
        <v>-0.01</v>
      </c>
    </row>
    <row r="4895" spans="1:10" x14ac:dyDescent="0.3">
      <c r="A4895" t="str">
        <f>HYPERLINK("https://us2.cloudbeds.com/connect/10074733072513#/reservations/31735476633853?display=MXY5WGRNZ&amp;reservation_id=31735476633853", "MXY5WGRNZ")</f>
        <v>MXY5WGRNZ</v>
      </c>
      <c r="B4895" t="s">
        <v>10</v>
      </c>
      <c r="C4895" t="s">
        <v>11</v>
      </c>
      <c r="D4895" t="str">
        <f>HYPERLINK("https://us2.cloudbeds.com/connect/10074733072513#/reservations/31735476633853?display=Erica%20Guillory&amp;reservation_id=31735476633853&amp;guest_id=31735476633848", "Erica Guillory")</f>
        <v>Erica Guillory</v>
      </c>
      <c r="E4895" t="s">
        <v>9380</v>
      </c>
      <c r="F4895" t="s">
        <v>9381</v>
      </c>
      <c r="G4895">
        <v>103.2</v>
      </c>
      <c r="H4895">
        <v>112.17</v>
      </c>
      <c r="I4895">
        <v>112.18</v>
      </c>
      <c r="J4895">
        <v>-0.01</v>
      </c>
    </row>
    <row r="4896" spans="1:10" x14ac:dyDescent="0.3">
      <c r="A4896" t="str">
        <f>HYPERLINK("https://us2.cloudbeds.com/connect/10074733072513#/reservations/31735433330907?display=MXY4SWSP8&amp;reservation_id=31735433330907", "MXY4SWSP8")</f>
        <v>MXY4SWSP8</v>
      </c>
      <c r="B4896" t="s">
        <v>10</v>
      </c>
      <c r="C4896" t="s">
        <v>11</v>
      </c>
      <c r="D4896" t="str">
        <f>HYPERLINK("https://us2.cloudbeds.com/connect/10074733072513#/reservations/31735433330907?display=Erin%20Martin&amp;reservation_id=31735433330907&amp;guest_id=31735433326813", "Erin Martin")</f>
        <v>Erin Martin</v>
      </c>
      <c r="E4896" t="s">
        <v>9385</v>
      </c>
      <c r="F4896" t="s">
        <v>9381</v>
      </c>
      <c r="G4896">
        <v>103.2</v>
      </c>
      <c r="H4896">
        <v>112.17</v>
      </c>
      <c r="I4896">
        <v>112.18</v>
      </c>
      <c r="J4896">
        <v>-0.01</v>
      </c>
    </row>
    <row r="4897" spans="1:10" x14ac:dyDescent="0.3">
      <c r="A4897" t="str">
        <f>HYPERLINK("https://us2.cloudbeds.com/connect/10074733072513#/reservations/31732842508474?display=MXJ4MBDQX&amp;reservation_id=31732842508474", "MXJ4MBDQX")</f>
        <v>MXJ4MBDQX</v>
      </c>
      <c r="B4897" t="s">
        <v>10</v>
      </c>
      <c r="C4897" t="s">
        <v>20</v>
      </c>
      <c r="D4897" t="str">
        <f>HYPERLINK("https://us2.cloudbeds.com/connect/10074733072513#/reservations/31732842508474?display=Siah%20Wehyee&amp;reservation_id=31732842508474&amp;guest_id=31732842508472", "Siah Wehyee")</f>
        <v>Siah Wehyee</v>
      </c>
      <c r="E4897" t="s">
        <v>9388</v>
      </c>
      <c r="F4897" t="s">
        <v>9021</v>
      </c>
      <c r="G4897">
        <v>170.1</v>
      </c>
      <c r="H4897">
        <v>184.89</v>
      </c>
      <c r="I4897">
        <v>184.9</v>
      </c>
      <c r="J4897">
        <v>-0.01</v>
      </c>
    </row>
    <row r="4898" spans="1:10" x14ac:dyDescent="0.3">
      <c r="A4898" t="str">
        <f>HYPERLINK("https://us2.cloudbeds.com/connect/10074733072513#/reservations/31733754949825?display=MXJRWZEYF&amp;reservation_id=31733754949825", "MXJRWZEYF")</f>
        <v>MXJRWZEYF</v>
      </c>
      <c r="B4898" t="s">
        <v>10</v>
      </c>
      <c r="C4898" t="s">
        <v>11</v>
      </c>
      <c r="D4898" t="str">
        <f>HYPERLINK("https://us2.cloudbeds.com/connect/10074733072513#/reservations/31733754949825?display=Jolene%20Gerberding&amp;reservation_id=31733754949825&amp;guest_id=31733744132258", "Jolene Gerberding")</f>
        <v>Jolene Gerberding</v>
      </c>
      <c r="E4898" t="s">
        <v>9394</v>
      </c>
      <c r="F4898" t="s">
        <v>8596</v>
      </c>
      <c r="G4898">
        <v>170.1</v>
      </c>
      <c r="H4898">
        <v>184.89</v>
      </c>
      <c r="I4898">
        <v>184.9</v>
      </c>
      <c r="J4898">
        <v>-0.01</v>
      </c>
    </row>
    <row r="4899" spans="1:10" x14ac:dyDescent="0.3">
      <c r="A4899" t="str">
        <f>HYPERLINK("https://us2.cloudbeds.com/connect/10074733072513#/reservations/31735801389263?display=MXYE9BY1P&amp;reservation_id=31735801389263", "MXYE9BY1P")</f>
        <v>MXYE9BY1P</v>
      </c>
      <c r="B4899" t="s">
        <v>10</v>
      </c>
      <c r="C4899" t="s">
        <v>42</v>
      </c>
      <c r="D4899" t="str">
        <f>HYPERLINK("https://us2.cloudbeds.com/connect/10074733072513#/reservations/31735801389263?display=Robert%20Krystyniak&amp;reservation_id=31735801389263&amp;guest_id=31735788908733", "Robert Krystyniak")</f>
        <v>Robert Krystyniak</v>
      </c>
      <c r="E4899" t="s">
        <v>9398</v>
      </c>
      <c r="F4899" t="s">
        <v>8829</v>
      </c>
      <c r="G4899">
        <v>224.1</v>
      </c>
      <c r="H4899">
        <v>243.59</v>
      </c>
      <c r="I4899">
        <v>243.6</v>
      </c>
      <c r="J4899">
        <v>-0.01</v>
      </c>
    </row>
    <row r="4900" spans="1:10" x14ac:dyDescent="0.3">
      <c r="A4900" t="str">
        <f>HYPERLINK("https://us2.cloudbeds.com/connect/10074733072513#/reservations/31735374745792?display=MXY320YKZ&amp;reservation_id=31735374745792", "MXY320YKZ")</f>
        <v>MXY320YKZ</v>
      </c>
      <c r="B4900" t="s">
        <v>10</v>
      </c>
      <c r="C4900" t="s">
        <v>42</v>
      </c>
      <c r="D4900" t="str">
        <f>HYPERLINK("https://us2.cloudbeds.com/connect/10074733072513#/reservations/31735374745792?display=Scott%20Davenport&amp;reservation_id=31735374745792&amp;guest_id=31735362203810", "Scott Davenport")</f>
        <v>Scott Davenport</v>
      </c>
      <c r="E4900" t="s">
        <v>9399</v>
      </c>
      <c r="F4900" t="s">
        <v>7751</v>
      </c>
      <c r="G4900">
        <v>224.1</v>
      </c>
      <c r="H4900">
        <v>243.59</v>
      </c>
      <c r="I4900">
        <v>243.6</v>
      </c>
      <c r="J4900">
        <v>-0.01</v>
      </c>
    </row>
    <row r="4901" spans="1:10" x14ac:dyDescent="0.3">
      <c r="A4901" t="str">
        <f>HYPERLINK("https://us2.cloudbeds.com/connect/10074733072513#/reservations/31734861897982?display=MXKN94TW0&amp;reservation_id=31734861897982", "MXKN94TW0")</f>
        <v>MXKN94TW0</v>
      </c>
      <c r="B4901" t="s">
        <v>10</v>
      </c>
      <c r="C4901" t="s">
        <v>20</v>
      </c>
      <c r="D4901" t="str">
        <f>HYPERLINK("https://us2.cloudbeds.com/connect/10074733072513#/reservations/31734861897982?display=Halston%20Witt&amp;reservation_id=31734861897982&amp;guest_id=31734861897921", "Halston Witt")</f>
        <v>Halston Witt</v>
      </c>
      <c r="E4901" t="s">
        <v>9402</v>
      </c>
      <c r="F4901" t="s">
        <v>9033</v>
      </c>
      <c r="G4901">
        <v>170.1</v>
      </c>
      <c r="H4901">
        <v>184.89</v>
      </c>
      <c r="I4901">
        <v>184.9</v>
      </c>
      <c r="J4901">
        <v>-0.01</v>
      </c>
    </row>
    <row r="4902" spans="1:10" x14ac:dyDescent="0.3">
      <c r="A4902" t="str">
        <f>HYPERLINK("https://us2.cloudbeds.com/connect/10074733072513#/reservations/31732402401473?display=MXXQE7Q4P&amp;reservation_id=31732402401473", "MXXQE7Q4P")</f>
        <v>MXXQE7Q4P</v>
      </c>
      <c r="B4902" t="s">
        <v>10</v>
      </c>
      <c r="C4902" t="s">
        <v>14</v>
      </c>
      <c r="D4902" t="str">
        <f>HYPERLINK("https://us2.cloudbeds.com/connect/10074733072513#/reservations/31732402401473?display=Edward%20Baird&amp;reservation_id=31732402401473&amp;guest_id=31732402397436", "Edward Baird")</f>
        <v>Edward Baird</v>
      </c>
      <c r="E4902" t="s">
        <v>9404</v>
      </c>
      <c r="F4902" t="s">
        <v>9122</v>
      </c>
      <c r="G4902">
        <v>154.24</v>
      </c>
      <c r="H4902">
        <v>167.65</v>
      </c>
      <c r="I4902">
        <v>167.66</v>
      </c>
      <c r="J4902">
        <v>-0.01</v>
      </c>
    </row>
    <row r="4903" spans="1:10" x14ac:dyDescent="0.3">
      <c r="A4903" t="str">
        <f>HYPERLINK("https://us2.cloudbeds.com/connect/10074733072513#/reservations/31730356408452?display=MXH7500M8&amp;reservation_id=31730356408452", "MXH7500M8")</f>
        <v>MXH7500M8</v>
      </c>
      <c r="B4903" t="s">
        <v>10</v>
      </c>
      <c r="C4903" t="s">
        <v>20</v>
      </c>
      <c r="D4903" t="str">
        <f>HYPERLINK("https://us2.cloudbeds.com/connect/10074733072513#/reservations/31730356408452?display=Eric%20Saathoff&amp;reservation_id=31730356408452&amp;guest_id=31730356404415", "Eric Saathoff")</f>
        <v>Eric Saathoff</v>
      </c>
      <c r="E4903" t="s">
        <v>9406</v>
      </c>
      <c r="F4903" t="s">
        <v>9407</v>
      </c>
      <c r="G4903">
        <v>129.6</v>
      </c>
      <c r="H4903">
        <v>140.87</v>
      </c>
      <c r="I4903">
        <v>140.88</v>
      </c>
      <c r="J4903">
        <v>-0.01</v>
      </c>
    </row>
    <row r="4904" spans="1:10" x14ac:dyDescent="0.3">
      <c r="A4904" t="str">
        <f>HYPERLINK("https://us2.cloudbeds.com/connect/10074733072513#/reservations/31732252270772?display=MXXMJY62J&amp;reservation_id=31732252270772", "MXXMJY62J")</f>
        <v>MXXMJY62J</v>
      </c>
      <c r="B4904" t="s">
        <v>10</v>
      </c>
      <c r="C4904" t="s">
        <v>11</v>
      </c>
      <c r="D4904" t="str">
        <f>HYPERLINK("https://us2.cloudbeds.com/connect/10074733072513#/reservations/31732252270772?display=Cruis%20Kusmierz&amp;reservation_id=31732252270772&amp;guest_id=31732252270755", "Cruis Kusmierz")</f>
        <v>Cruis Kusmierz</v>
      </c>
      <c r="E4904" t="s">
        <v>9413</v>
      </c>
      <c r="F4904" t="s">
        <v>8767</v>
      </c>
      <c r="G4904">
        <v>264.2</v>
      </c>
      <c r="H4904">
        <v>287.18</v>
      </c>
      <c r="I4904">
        <v>287.19</v>
      </c>
      <c r="J4904">
        <v>-0.01</v>
      </c>
    </row>
    <row r="4905" spans="1:10" x14ac:dyDescent="0.3">
      <c r="A4905" t="str">
        <f>HYPERLINK("https://us2.cloudbeds.com/connect/10074733072513#/reservations/31735570964623?display=MXY8D1Z5U&amp;reservation_id=31735570964623", "MXY8D1Z5U")</f>
        <v>MXY8D1Z5U</v>
      </c>
      <c r="B4905" t="s">
        <v>10</v>
      </c>
      <c r="C4905" t="s">
        <v>11</v>
      </c>
      <c r="D4905" t="str">
        <f>HYPERLINK("https://us2.cloudbeds.com/connect/10074733072513#/reservations/31735570964623?display=Dean%20Nickel&amp;reservation_id=31735570964623&amp;guest_id=31735570964621", "Dean Nickel")</f>
        <v>Dean Nickel</v>
      </c>
      <c r="E4905" t="s">
        <v>9429</v>
      </c>
      <c r="F4905" t="s">
        <v>9397</v>
      </c>
      <c r="G4905">
        <v>182.36</v>
      </c>
      <c r="H4905">
        <v>198.22</v>
      </c>
      <c r="I4905">
        <v>198.23</v>
      </c>
      <c r="J4905">
        <v>-0.01</v>
      </c>
    </row>
    <row r="4906" spans="1:10" x14ac:dyDescent="0.3">
      <c r="A4906" t="str">
        <f>HYPERLINK("https://us2.cloudbeds.com/connect/10074733072513#/reservations/31733602566292?display=MXJZ384SY&amp;reservation_id=31733602566292", "MXJZ384SY")</f>
        <v>MXJZ384SY</v>
      </c>
      <c r="B4906" t="s">
        <v>10</v>
      </c>
      <c r="C4906" t="s">
        <v>11</v>
      </c>
      <c r="D4906" t="str">
        <f>HYPERLINK("https://us2.cloudbeds.com/connect/10074733072513#/reservations/31733602566292?display=Adam%20Walter&amp;reservation_id=31733602566292&amp;guest_id=31733602566290", "Adam Walter")</f>
        <v>Adam Walter</v>
      </c>
      <c r="E4906" t="s">
        <v>9430</v>
      </c>
      <c r="F4906" t="s">
        <v>8897</v>
      </c>
      <c r="G4906">
        <v>129.6</v>
      </c>
      <c r="H4906">
        <v>140.87</v>
      </c>
      <c r="I4906">
        <v>140.88</v>
      </c>
      <c r="J4906">
        <v>-0.01</v>
      </c>
    </row>
    <row r="4907" spans="1:10" x14ac:dyDescent="0.3">
      <c r="A4907" t="str">
        <f>HYPERLINK("https://us2.cloudbeds.com/connect/10074733072513#/reservations/31725381136630?display=MXDC0NZMF&amp;reservation_id=31725381136630", "MXDC0NZMF")</f>
        <v>MXDC0NZMF</v>
      </c>
      <c r="B4907" t="s">
        <v>10</v>
      </c>
      <c r="C4907" t="s">
        <v>17</v>
      </c>
      <c r="D4907" t="str">
        <f>HYPERLINK("https://us2.cloudbeds.com/connect/10074733072513#/reservations/31725381136630?display=Stephen%20Heuser&amp;reservation_id=31725381136630&amp;guest_id=31725381136581", "Stephen Heuser")</f>
        <v>Stephen Heuser</v>
      </c>
      <c r="E4907" t="s">
        <v>9433</v>
      </c>
      <c r="F4907" t="s">
        <v>9434</v>
      </c>
      <c r="G4907">
        <v>612.9</v>
      </c>
      <c r="H4907">
        <v>666.21</v>
      </c>
      <c r="I4907">
        <v>666.22</v>
      </c>
      <c r="J4907">
        <v>-0.01</v>
      </c>
    </row>
    <row r="4908" spans="1:10" x14ac:dyDescent="0.3">
      <c r="A4908" t="str">
        <f>HYPERLINK("https://us2.cloudbeds.com/connect/10074733072513#/reservations/31735715893413?display=MXYC38JFE&amp;reservation_id=31735715893413", "MXYC38JFE")</f>
        <v>MXYC38JFE</v>
      </c>
      <c r="B4908" t="s">
        <v>10</v>
      </c>
      <c r="C4908" t="s">
        <v>42</v>
      </c>
      <c r="D4908" t="str">
        <f>HYPERLINK("https://us2.cloudbeds.com/connect/10074733072513#/reservations/31735715893413?display=Marie%20Palmer&amp;reservation_id=31735715893413&amp;guest_id=31676282900680", "Marie Palmer")</f>
        <v>Marie Palmer</v>
      </c>
      <c r="E4908" t="s">
        <v>7444</v>
      </c>
      <c r="F4908" t="s">
        <v>9361</v>
      </c>
      <c r="G4908">
        <v>222.4</v>
      </c>
      <c r="H4908">
        <v>241.74</v>
      </c>
      <c r="I4908">
        <v>241.75</v>
      </c>
      <c r="J4908">
        <v>-0.01</v>
      </c>
    </row>
    <row r="4909" spans="1:10" x14ac:dyDescent="0.3">
      <c r="A4909" t="str">
        <f>HYPERLINK("https://us2.cloudbeds.com/connect/10074733072513#/reservations/31732613406929?display=MXXVR5ATG&amp;reservation_id=31732613406929", "MXXVR5ATG")</f>
        <v>MXXVR5ATG</v>
      </c>
      <c r="B4909" t="s">
        <v>10</v>
      </c>
      <c r="C4909" t="s">
        <v>42</v>
      </c>
      <c r="D4909" t="str">
        <f>HYPERLINK("https://us2.cloudbeds.com/connect/10074733072513#/reservations/31732613406929?display=Jason%20Thompson&amp;reservation_id=31732613406929&amp;guest_id=31732613406925", "Jason Thompson")</f>
        <v>Jason Thompson</v>
      </c>
      <c r="E4909" t="s">
        <v>9438</v>
      </c>
      <c r="F4909" t="s">
        <v>9087</v>
      </c>
      <c r="G4909">
        <v>103.2</v>
      </c>
      <c r="H4909">
        <v>112.17</v>
      </c>
      <c r="I4909">
        <v>112.18</v>
      </c>
      <c r="J4909">
        <v>-0.01</v>
      </c>
    </row>
    <row r="4910" spans="1:10" x14ac:dyDescent="0.3">
      <c r="A4910" t="str">
        <f>HYPERLINK("https://us2.cloudbeds.com/connect/10074733072513#/reservations/31736115912900?display=MXYMAXNR2&amp;reservation_id=31736115912900", "MXYMAXNR2")</f>
        <v>MXYMAXNR2</v>
      </c>
      <c r="B4910" t="s">
        <v>10</v>
      </c>
      <c r="C4910" t="s">
        <v>11</v>
      </c>
      <c r="D4910" t="str">
        <f>HYPERLINK("https://us2.cloudbeds.com/connect/10074733072513#/reservations/31736115912900?display=Taylor%20Rhode&amp;reservation_id=31736115912900&amp;guest_id=31736107552935", "Taylor Rhode")</f>
        <v>Taylor Rhode</v>
      </c>
      <c r="E4910" t="s">
        <v>9441</v>
      </c>
      <c r="F4910" t="s">
        <v>9087</v>
      </c>
      <c r="G4910">
        <v>113.65</v>
      </c>
      <c r="H4910">
        <v>123.53</v>
      </c>
      <c r="I4910">
        <v>123.54</v>
      </c>
      <c r="J4910">
        <v>-0.01</v>
      </c>
    </row>
    <row r="4911" spans="1:10" x14ac:dyDescent="0.3">
      <c r="A4911" t="str">
        <f>HYPERLINK("https://us2.cloudbeds.com/connect/10074733072513#/reservations/31736107552937?display=MXYM3H32S&amp;reservation_id=31736107552937", "MXYM3H32S")</f>
        <v>MXYM3H32S</v>
      </c>
      <c r="B4911" t="s">
        <v>10</v>
      </c>
      <c r="C4911" t="s">
        <v>11</v>
      </c>
      <c r="D4911" t="str">
        <f>HYPERLINK("https://us2.cloudbeds.com/connect/10074733072513#/reservations/31736107552937?display=Cody%20Curell&amp;reservation_id=31736107552937&amp;guest_id=31736107552921", "Cody Curell")</f>
        <v>Cody Curell</v>
      </c>
      <c r="E4911" t="s">
        <v>9442</v>
      </c>
      <c r="F4911" t="s">
        <v>9087</v>
      </c>
      <c r="G4911">
        <v>201.47</v>
      </c>
      <c r="H4911">
        <v>218.99</v>
      </c>
      <c r="I4911">
        <v>219</v>
      </c>
      <c r="J4911">
        <v>-0.01</v>
      </c>
    </row>
    <row r="4912" spans="1:10" x14ac:dyDescent="0.3">
      <c r="A4912" t="str">
        <f>HYPERLINK("https://us2.cloudbeds.com/connect/10074733072513#/reservations/31734343024884?display=MXKA0KGFQ&amp;reservation_id=31734343024884", "MXKA0KGFQ")</f>
        <v>MXKA0KGFQ</v>
      </c>
      <c r="B4912" t="s">
        <v>10</v>
      </c>
      <c r="C4912" t="s">
        <v>42</v>
      </c>
      <c r="D4912" t="str">
        <f>HYPERLINK("https://us2.cloudbeds.com/connect/10074733072513#/reservations/31734343024884?display=Jerimiah%20Johnson&amp;reservation_id=31734343024884&amp;guest_id=31734343024879", "Jerimiah Johnson")</f>
        <v>Jerimiah Johnson</v>
      </c>
      <c r="E4912" t="s">
        <v>9449</v>
      </c>
      <c r="F4912" t="s">
        <v>9338</v>
      </c>
      <c r="G4912">
        <v>170.1</v>
      </c>
      <c r="H4912">
        <v>184.89</v>
      </c>
      <c r="I4912">
        <v>184.9</v>
      </c>
      <c r="J4912">
        <v>-0.01</v>
      </c>
    </row>
    <row r="4913" spans="1:10" x14ac:dyDescent="0.3">
      <c r="A4913" t="str">
        <f>HYPERLINK("https://us2.cloudbeds.com/connect/10074733072513#/reservations/31734354387081?display=MXKAA6M2Q&amp;reservation_id=31734354387081", "MXKAA6M2Q")</f>
        <v>MXKAA6M2Q</v>
      </c>
      <c r="B4913" t="s">
        <v>10</v>
      </c>
      <c r="C4913" t="s">
        <v>42</v>
      </c>
      <c r="D4913" t="str">
        <f>HYPERLINK("https://us2.cloudbeds.com/connect/10074733072513#/reservations/31734354387081?display=Alice%20Johnson&amp;reservation_id=31734354387081&amp;guest_id=31734354387076", "Alice Johnson")</f>
        <v>Alice Johnson</v>
      </c>
      <c r="E4913" t="s">
        <v>9450</v>
      </c>
      <c r="F4913" t="s">
        <v>9338</v>
      </c>
      <c r="G4913">
        <v>170.1</v>
      </c>
      <c r="H4913">
        <v>184.89</v>
      </c>
      <c r="I4913">
        <v>184.9</v>
      </c>
      <c r="J4913">
        <v>-0.01</v>
      </c>
    </row>
    <row r="4914" spans="1:10" x14ac:dyDescent="0.3">
      <c r="A4914" t="str">
        <f>HYPERLINK("https://us2.cloudbeds.com/connect/10074733072513#/reservations/31733354705118?display=MXJHP81FW&amp;reservation_id=31733354705118", "MXJHP81FW")</f>
        <v>MXJHP81FW</v>
      </c>
      <c r="B4914" t="s">
        <v>10</v>
      </c>
      <c r="C4914" t="s">
        <v>42</v>
      </c>
      <c r="D4914" t="str">
        <f>HYPERLINK("https://us2.cloudbeds.com/connect/10074733072513#/reservations/31733354705118?display=Brian%20Kuhn&amp;reservation_id=31733354705118&amp;guest_id=31733344411857", "Brian Kuhn")</f>
        <v>Brian Kuhn</v>
      </c>
      <c r="E4914" t="s">
        <v>9455</v>
      </c>
      <c r="F4914" t="s">
        <v>9205</v>
      </c>
      <c r="G4914">
        <v>447.3</v>
      </c>
      <c r="H4914">
        <v>486.21</v>
      </c>
      <c r="I4914">
        <v>486.22</v>
      </c>
      <c r="J4914">
        <v>-0.01</v>
      </c>
    </row>
    <row r="4915" spans="1:10" x14ac:dyDescent="0.3">
      <c r="A4915" t="str">
        <f>HYPERLINK("https://us2.cloudbeds.com/connect/10074733072513#/reservations/31725066309865?display=MXD3W87XF&amp;reservation_id=31725066309865", "MXD3W87XF")</f>
        <v>MXD3W87XF</v>
      </c>
      <c r="B4915" t="s">
        <v>10</v>
      </c>
      <c r="C4915" t="s">
        <v>42</v>
      </c>
      <c r="D4915" t="str">
        <f>HYPERLINK("https://us2.cloudbeds.com/connect/10074733072513#/reservations/31725066309865?display=Irene%20Ables&amp;reservation_id=31725066309865&amp;guest_id=31725066309846", "Irene Ables")</f>
        <v>Irene Ables</v>
      </c>
      <c r="E4915" t="s">
        <v>9456</v>
      </c>
      <c r="F4915" t="s">
        <v>8716</v>
      </c>
      <c r="G4915">
        <v>129.6</v>
      </c>
      <c r="H4915">
        <v>140.87</v>
      </c>
      <c r="I4915">
        <v>140.88</v>
      </c>
      <c r="J4915">
        <v>-0.01</v>
      </c>
    </row>
    <row r="4916" spans="1:10" x14ac:dyDescent="0.3">
      <c r="A4916" t="str">
        <f>HYPERLINK("https://us2.cloudbeds.com/connect/10074733072513#/reservations/31735770763456?display=MXYDGHAFR&amp;reservation_id=31735770763456", "MXYDGHAFR")</f>
        <v>MXYDGHAFR</v>
      </c>
      <c r="B4916" t="s">
        <v>10</v>
      </c>
      <c r="C4916" t="s">
        <v>42</v>
      </c>
      <c r="D4916" t="str">
        <f>HYPERLINK("https://us2.cloudbeds.com/connect/10074733072513#/reservations/31735770763456?display=Armando%20Elizalde&amp;reservation_id=31735770763456&amp;guest_id=31692360151275", "Armando Elizalde")</f>
        <v>Armando Elizalde</v>
      </c>
      <c r="E4916" t="s">
        <v>9457</v>
      </c>
      <c r="F4916" t="s">
        <v>9018</v>
      </c>
      <c r="G4916">
        <v>224.1</v>
      </c>
      <c r="H4916">
        <v>243.59</v>
      </c>
      <c r="I4916">
        <v>243.6</v>
      </c>
      <c r="J4916">
        <v>-0.01</v>
      </c>
    </row>
    <row r="4917" spans="1:10" x14ac:dyDescent="0.3">
      <c r="A4917" t="str">
        <f>HYPERLINK("https://us2.cloudbeds.com/connect/10074733072513#/reservations/31732628783247?display=MXXW746XH&amp;reservation_id=31732628783247", "MXXW746XH")</f>
        <v>MXXW746XH</v>
      </c>
      <c r="B4917" t="s">
        <v>10</v>
      </c>
      <c r="C4917" t="s">
        <v>121</v>
      </c>
      <c r="D4917" t="str">
        <f>HYPERLINK("https://us2.cloudbeds.com/connect/10074733072513#/reservations/31732628783247?display=Carole%20Ohme&amp;reservation_id=31732628783247&amp;guest_id=31729394356455", "Carole Ohme")</f>
        <v>Carole Ohme</v>
      </c>
      <c r="E4917" t="s">
        <v>9459</v>
      </c>
      <c r="F4917" t="s">
        <v>9087</v>
      </c>
      <c r="G4917">
        <v>129.6</v>
      </c>
      <c r="H4917">
        <v>140.87</v>
      </c>
      <c r="I4917">
        <v>140.88</v>
      </c>
      <c r="J4917">
        <v>-0.01</v>
      </c>
    </row>
    <row r="4918" spans="1:10" x14ac:dyDescent="0.3">
      <c r="A4918" t="str">
        <f>HYPERLINK("https://us2.cloudbeds.com/connect/10074733072513#/reservations/31732642029795?display=MXXWX9QH2&amp;reservation_id=31732642029795", "MXXWX9QH2")</f>
        <v>MXXWX9QH2</v>
      </c>
      <c r="B4918" t="s">
        <v>10</v>
      </c>
      <c r="C4918" t="s">
        <v>11</v>
      </c>
      <c r="D4918" t="str">
        <f>HYPERLINK("https://us2.cloudbeds.com/connect/10074733072513#/reservations/31732642029795?display=Samuel%20Neemann&amp;reservation_id=31732642029795&amp;guest_id=31732628787337", "Samuel Neemann")</f>
        <v>Samuel Neemann</v>
      </c>
      <c r="E4918" t="s">
        <v>9460</v>
      </c>
      <c r="F4918" t="s">
        <v>9087</v>
      </c>
      <c r="G4918">
        <v>106.27</v>
      </c>
      <c r="H4918">
        <v>115.51</v>
      </c>
      <c r="I4918">
        <v>115.52</v>
      </c>
      <c r="J4918">
        <v>-0.01</v>
      </c>
    </row>
    <row r="4919" spans="1:10" x14ac:dyDescent="0.3">
      <c r="A4919" t="str">
        <f>HYPERLINK("https://us2.cloudbeds.com/connect/10074733072513#/reservations/31725056770187?display=MXD3Z6PHA&amp;reservation_id=31725056770187", "MXD3Z6PHA")</f>
        <v>MXD3Z6PHA</v>
      </c>
      <c r="B4919" t="s">
        <v>10</v>
      </c>
      <c r="C4919" t="s">
        <v>42</v>
      </c>
      <c r="D4919" t="str">
        <f>HYPERLINK("https://us2.cloudbeds.com/connect/10074733072513#/reservations/31725056770187?display=Irene%20Abels&amp;reservation_id=31725056770187&amp;guest_id=31725050089713", "Irene Abels")</f>
        <v>Irene Abels</v>
      </c>
      <c r="E4919" t="s">
        <v>9456</v>
      </c>
      <c r="F4919" t="s">
        <v>8716</v>
      </c>
      <c r="G4919">
        <v>259.2</v>
      </c>
      <c r="H4919">
        <v>281.74</v>
      </c>
      <c r="I4919">
        <v>281.75</v>
      </c>
      <c r="J4919">
        <v>-0.01</v>
      </c>
    </row>
    <row r="4920" spans="1:10" x14ac:dyDescent="0.3">
      <c r="A4920" t="str">
        <f>HYPERLINK("https://us2.cloudbeds.com/connect/10074733072513#/reservations/31730222776544?display=MXH3ZAH0G&amp;reservation_id=31730222776544", "MXH3ZAH0G")</f>
        <v>MXH3ZAH0G</v>
      </c>
      <c r="B4920" t="s">
        <v>10</v>
      </c>
      <c r="C4920" t="s">
        <v>42</v>
      </c>
      <c r="D4920" t="str">
        <f>HYPERLINK("https://us2.cloudbeds.com/connect/10074733072513#/reservations/31730222776544?display=Irene%20Abels&amp;reservation_id=31730222776544&amp;guest_id=31730214326408", "Irene Abels")</f>
        <v>Irene Abels</v>
      </c>
      <c r="E4920" t="s">
        <v>9461</v>
      </c>
      <c r="F4920" t="s">
        <v>8716</v>
      </c>
      <c r="G4920">
        <v>279.2</v>
      </c>
      <c r="H4920">
        <v>303.48</v>
      </c>
      <c r="I4920">
        <v>303.49</v>
      </c>
      <c r="J4920">
        <v>-0.01</v>
      </c>
    </row>
    <row r="4921" spans="1:10" x14ac:dyDescent="0.3">
      <c r="A4921" t="str">
        <f>HYPERLINK("https://us2.cloudbeds.com/connect/10074733072513#/reservations/31729970630800?display=MXGU9N67C&amp;reservation_id=31729970630800", "MXGU9N67C")</f>
        <v>MXGU9N67C</v>
      </c>
      <c r="B4921" t="s">
        <v>10</v>
      </c>
      <c r="C4921" t="s">
        <v>23</v>
      </c>
      <c r="D4921" t="str">
        <f>HYPERLINK("https://us2.cloudbeds.com/connect/10074733072513#/reservations/31729970630800?display=Dawn%20Imrie&amp;reservation_id=31729970630800&amp;guest_id=31710832046283", "Dawn Imrie")</f>
        <v>Dawn Imrie</v>
      </c>
      <c r="E4921" t="s">
        <v>9464</v>
      </c>
      <c r="F4921" t="s">
        <v>6933</v>
      </c>
      <c r="G4921">
        <v>170.1</v>
      </c>
      <c r="H4921">
        <v>184.89</v>
      </c>
      <c r="I4921">
        <v>184.9</v>
      </c>
      <c r="J4921">
        <v>-0.01</v>
      </c>
    </row>
    <row r="4922" spans="1:10" x14ac:dyDescent="0.3">
      <c r="A4922" t="str">
        <f>HYPERLINK("https://us2.cloudbeds.com/connect/10074733072513#/reservations/31733319430324?display=MXJGSGFXR&amp;reservation_id=31733319430324", "MXJGSGFXR")</f>
        <v>MXJGSGFXR</v>
      </c>
      <c r="B4922" t="s">
        <v>10</v>
      </c>
      <c r="C4922" t="s">
        <v>11</v>
      </c>
      <c r="D4922" t="str">
        <f>HYPERLINK("https://us2.cloudbeds.com/connect/10074733072513#/reservations/31733319430324?display=Christopher%20Duz&amp;reservation_id=31733319430324&amp;guest_id=31733319430321", "Christopher Duz")</f>
        <v>Christopher Duz</v>
      </c>
      <c r="E4922" t="s">
        <v>9468</v>
      </c>
      <c r="F4922" t="s">
        <v>8897</v>
      </c>
      <c r="G4922">
        <v>106.27</v>
      </c>
      <c r="H4922">
        <v>115.51</v>
      </c>
      <c r="I4922">
        <v>115.52</v>
      </c>
      <c r="J4922">
        <v>-0.01</v>
      </c>
    </row>
    <row r="4923" spans="1:10" x14ac:dyDescent="0.3">
      <c r="A4923" t="str">
        <f>HYPERLINK("https://us2.cloudbeds.com/connect/10074733072513#/reservations/31734185066662?display=MXK5WE2K0&amp;reservation_id=31734185066662", "MXK5WE2K0")</f>
        <v>MXK5WE2K0</v>
      </c>
      <c r="B4923" t="s">
        <v>10</v>
      </c>
      <c r="C4923" t="s">
        <v>14</v>
      </c>
      <c r="D4923" t="str">
        <f>HYPERLINK("https://us2.cloudbeds.com/connect/10074733072513#/reservations/31734185066662?display=Melanie%20Weiss&amp;reservation_id=31734185066662&amp;guest_id=31734173814934", "Melanie Weiss")</f>
        <v>Melanie Weiss</v>
      </c>
      <c r="E4923" t="s">
        <v>9470</v>
      </c>
      <c r="F4923" t="s">
        <v>9205</v>
      </c>
      <c r="G4923">
        <v>275.27</v>
      </c>
      <c r="H4923">
        <v>299.20999999999998</v>
      </c>
      <c r="I4923">
        <v>299.22000000000003</v>
      </c>
      <c r="J4923">
        <v>-0.01</v>
      </c>
    </row>
    <row r="4924" spans="1:10" x14ac:dyDescent="0.3">
      <c r="A4924" t="str">
        <f>HYPERLINK("https://us2.cloudbeds.com/connect/10074733072513#/reservations/31733393469660?display=MXJXZUNV2&amp;reservation_id=31733393469660", "MXJXZUNV2")</f>
        <v>MXJXZUNV2</v>
      </c>
      <c r="B4924" t="s">
        <v>10</v>
      </c>
      <c r="C4924" t="s">
        <v>42</v>
      </c>
      <c r="D4924" t="str">
        <f>HYPERLINK("https://us2.cloudbeds.com/connect/10074733072513#/reservations/31733393469660?display=Kirk%20Rikansrud&amp;reservation_id=31733393469660&amp;guest_id=31733393469658", "Kirk Rikansrud")</f>
        <v>Kirk Rikansrud</v>
      </c>
      <c r="E4924" t="s">
        <v>9472</v>
      </c>
      <c r="F4924" t="s">
        <v>9205</v>
      </c>
      <c r="G4924">
        <v>224.1</v>
      </c>
      <c r="H4924">
        <v>243.59</v>
      </c>
      <c r="I4924">
        <v>243.6</v>
      </c>
      <c r="J4924">
        <v>-0.01</v>
      </c>
    </row>
    <row r="4925" spans="1:10" x14ac:dyDescent="0.3">
      <c r="A4925" t="str">
        <f>HYPERLINK("https://us2.cloudbeds.com/connect/10074733072513#/reservations/31730535755998?display=MXHBZ7KQC&amp;reservation_id=31730535755998", "MXHBZ7KQC")</f>
        <v>MXHBZ7KQC</v>
      </c>
      <c r="B4925" t="s">
        <v>10</v>
      </c>
      <c r="C4925" t="s">
        <v>14</v>
      </c>
      <c r="D4925" t="str">
        <f>HYPERLINK("https://us2.cloudbeds.com/connect/10074733072513#/reservations/31730535755998?display=Kathleen%20Jeffers&amp;reservation_id=31730535755998&amp;guest_id=31730535751914", "Kathleen Jeffers")</f>
        <v>Kathleen Jeffers</v>
      </c>
      <c r="E4925" t="s">
        <v>9486</v>
      </c>
      <c r="F4925" t="s">
        <v>9487</v>
      </c>
      <c r="G4925">
        <v>106.27</v>
      </c>
      <c r="H4925">
        <v>115.51</v>
      </c>
      <c r="I4925">
        <v>115.52</v>
      </c>
      <c r="J4925">
        <v>-0.01</v>
      </c>
    </row>
    <row r="4926" spans="1:10" x14ac:dyDescent="0.3">
      <c r="A4926" t="str">
        <f>HYPERLINK("https://us2.cloudbeds.com/connect/10074733072513#/reservations/31733844459687?display=MXJU9766H&amp;reservation_id=31733844459687", "MXJU9766H")</f>
        <v>MXJU9766H</v>
      </c>
      <c r="B4926" t="s">
        <v>10</v>
      </c>
      <c r="C4926" t="s">
        <v>14</v>
      </c>
      <c r="D4926" t="str">
        <f>HYPERLINK("https://us2.cloudbeds.com/connect/10074733072513#/reservations/31733844459687?display=Kathleen%20Jeffers&amp;reservation_id=31733844459687&amp;guest_id=31733844459684", "Kathleen Jeffers")</f>
        <v>Kathleen Jeffers</v>
      </c>
      <c r="E4926" t="s">
        <v>9488</v>
      </c>
      <c r="F4926" t="s">
        <v>9489</v>
      </c>
      <c r="G4926">
        <v>129.6</v>
      </c>
      <c r="H4926">
        <v>140.87</v>
      </c>
      <c r="I4926">
        <v>140.88</v>
      </c>
      <c r="J4926">
        <v>-0.01</v>
      </c>
    </row>
    <row r="4927" spans="1:10" x14ac:dyDescent="0.3">
      <c r="A4927" t="str">
        <f>HYPERLINK("https://us2.cloudbeds.com/connect/10074733072513#/reservations/31735149056147?display=MXKUK9GZJ&amp;reservation_id=31735149056147", "MXKUK9GZJ")</f>
        <v>MXKUK9GZJ</v>
      </c>
      <c r="B4927" t="s">
        <v>10</v>
      </c>
      <c r="C4927" t="s">
        <v>42</v>
      </c>
      <c r="D4927" t="str">
        <f>HYPERLINK("https://us2.cloudbeds.com/connect/10074733072513#/reservations/31735149056147?display=Jane%20Myhre&amp;reservation_id=31735149056147&amp;guest_id=31735149052056", "Jane Myhre")</f>
        <v>Jane Myhre</v>
      </c>
      <c r="E4927" t="s">
        <v>9490</v>
      </c>
      <c r="F4927" t="s">
        <v>9491</v>
      </c>
      <c r="G4927">
        <v>103.2</v>
      </c>
      <c r="H4927">
        <v>112.17</v>
      </c>
      <c r="I4927">
        <v>112.18</v>
      </c>
      <c r="J4927">
        <v>-0.01</v>
      </c>
    </row>
    <row r="4928" spans="1:10" x14ac:dyDescent="0.3">
      <c r="A4928" t="str">
        <f>HYPERLINK("https://us2.cloudbeds.com/connect/10074733072513#/reservations/31733269508262?display=MXJFJDAF2&amp;reservation_id=31733269508262", "MXJFJDAF2")</f>
        <v>MXJFJDAF2</v>
      </c>
      <c r="B4928" t="s">
        <v>10</v>
      </c>
      <c r="C4928" t="s">
        <v>14</v>
      </c>
      <c r="D4928" t="str">
        <f>HYPERLINK("https://us2.cloudbeds.com/connect/10074733072513#/reservations/31733269508262?display=James%20Neely&amp;reservation_id=31733269508262&amp;guest_id=31733259886798", "James Neely")</f>
        <v>James Neely</v>
      </c>
      <c r="E4928" t="s">
        <v>9506</v>
      </c>
      <c r="F4928" t="s">
        <v>9079</v>
      </c>
      <c r="G4928">
        <v>106.27</v>
      </c>
      <c r="H4928">
        <v>115.51</v>
      </c>
      <c r="I4928">
        <v>115.52</v>
      </c>
      <c r="J4928">
        <v>-0.01</v>
      </c>
    </row>
    <row r="4929" spans="1:10" x14ac:dyDescent="0.3">
      <c r="A4929" t="str">
        <f>HYPERLINK("https://us2.cloudbeds.com/connect/10074733072513#/reservations/31729488142543?display=MXGHVS7W3&amp;reservation_id=31729488142543", "MXGHVS7W3")</f>
        <v>MXGHVS7W3</v>
      </c>
      <c r="B4929" t="s">
        <v>10</v>
      </c>
      <c r="C4929" t="s">
        <v>23</v>
      </c>
      <c r="D4929" t="str">
        <f>HYPERLINK("https://us2.cloudbeds.com/connect/10074733072513#/reservations/31729488142543?display=Larry%20Weitzel&amp;reservation_id=31729488142543&amp;guest_id=31729488142541", "Larry Weitzel")</f>
        <v>Larry Weitzel</v>
      </c>
      <c r="E4929" t="s">
        <v>9508</v>
      </c>
      <c r="F4929" t="s">
        <v>9108</v>
      </c>
      <c r="G4929">
        <v>170.1</v>
      </c>
      <c r="H4929">
        <v>184.89</v>
      </c>
      <c r="I4929">
        <v>184.9</v>
      </c>
      <c r="J4929">
        <v>-0.01</v>
      </c>
    </row>
    <row r="4930" spans="1:10" x14ac:dyDescent="0.3">
      <c r="A4930" t="str">
        <f>HYPERLINK("https://us2.cloudbeds.com/connect/10074733072513#/reservations/31732903563423?display=MXJ67RBVH&amp;reservation_id=31732903563423", "MXJ67RBVH")</f>
        <v>MXJ67RBVH</v>
      </c>
      <c r="B4930" t="s">
        <v>10</v>
      </c>
      <c r="C4930" t="s">
        <v>20</v>
      </c>
      <c r="D4930" t="str">
        <f>HYPERLINK("https://us2.cloudbeds.com/connect/10074733072513#/reservations/31732903563423?display=Jennifer%20Thyen&amp;reservation_id=31732903563423&amp;guest_id=31732903559327", "Jennifer Thyen")</f>
        <v>Jennifer Thyen</v>
      </c>
      <c r="E4930" t="s">
        <v>9510</v>
      </c>
      <c r="F4930" t="s">
        <v>9511</v>
      </c>
      <c r="G4930">
        <v>170.1</v>
      </c>
      <c r="H4930">
        <v>184.89</v>
      </c>
      <c r="I4930">
        <v>184.9</v>
      </c>
      <c r="J4930">
        <v>-0.01</v>
      </c>
    </row>
    <row r="4931" spans="1:10" x14ac:dyDescent="0.3">
      <c r="A4931" t="str">
        <f>HYPERLINK("https://us2.cloudbeds.com/connect/10074733072513#/reservations/31735479939240?display=MXY629QVW&amp;reservation_id=31735479939240", "MXY629QVW")</f>
        <v>MXY629QVW</v>
      </c>
      <c r="B4931" t="s">
        <v>10</v>
      </c>
      <c r="C4931" t="s">
        <v>42</v>
      </c>
      <c r="D4931" t="str">
        <f>HYPERLINK("https://us2.cloudbeds.com/connect/10074733072513#/reservations/31735479939240?display=Jaime%20Duran%20Cortes&amp;reservation_id=31735479939240&amp;guest_id=31735479939235", "Jaime Duran Cortes")</f>
        <v>Jaime Duran Cortes</v>
      </c>
      <c r="E4931" t="s">
        <v>9512</v>
      </c>
      <c r="F4931" t="s">
        <v>9491</v>
      </c>
      <c r="G4931">
        <v>129.6</v>
      </c>
      <c r="H4931">
        <v>140.87</v>
      </c>
      <c r="I4931">
        <v>140.88</v>
      </c>
      <c r="J4931">
        <v>-0.01</v>
      </c>
    </row>
    <row r="4932" spans="1:10" x14ac:dyDescent="0.3">
      <c r="A4932" t="str">
        <f>HYPERLINK("https://us2.cloudbeds.com/connect/10074733072513#/reservations/31729352269970?display=MXGEG9CPD&amp;reservation_id=31729352269970", "MXGEG9CPD")</f>
        <v>MXGEG9CPD</v>
      </c>
      <c r="B4932" t="s">
        <v>10</v>
      </c>
      <c r="C4932" t="s">
        <v>23</v>
      </c>
      <c r="D4932" t="str">
        <f>HYPERLINK("https://us2.cloudbeds.com/connect/10074733072513#/reservations/31729352269970?display=Craig%20Hanson&amp;reservation_id=31729352269970&amp;guest_id=31729347657975", "Craig Hanson")</f>
        <v>Craig Hanson</v>
      </c>
      <c r="E4932" t="s">
        <v>9515</v>
      </c>
      <c r="F4932" t="s">
        <v>9322</v>
      </c>
      <c r="G4932">
        <v>129.6</v>
      </c>
      <c r="H4932">
        <v>140.87</v>
      </c>
      <c r="I4932">
        <v>140.88</v>
      </c>
      <c r="J4932">
        <v>-0.01</v>
      </c>
    </row>
    <row r="4933" spans="1:10" x14ac:dyDescent="0.3">
      <c r="A4933" t="str">
        <f>HYPERLINK("https://us2.cloudbeds.com/connect/10074733072513#/reservations/31735821811844?display=MXYEQXUXS&amp;reservation_id=31735821811844", "MXYEQXUXS")</f>
        <v>MXYEQXUXS</v>
      </c>
      <c r="B4933" t="s">
        <v>10</v>
      </c>
      <c r="C4933" t="s">
        <v>42</v>
      </c>
      <c r="D4933" t="str">
        <f>HYPERLINK("https://us2.cloudbeds.com/connect/10074733072513#/reservations/31735821811844?display=Tom%20Schirber&amp;reservation_id=31735821811844&amp;guest_id=31717346300086", "Tom Schirber")</f>
        <v>Tom Schirber</v>
      </c>
      <c r="E4933" t="s">
        <v>9516</v>
      </c>
      <c r="F4933" t="s">
        <v>9131</v>
      </c>
      <c r="G4933">
        <v>259.2</v>
      </c>
      <c r="H4933">
        <v>281.74</v>
      </c>
      <c r="I4933">
        <v>281.75</v>
      </c>
      <c r="J4933">
        <v>-0.01</v>
      </c>
    </row>
    <row r="4934" spans="1:10" x14ac:dyDescent="0.3">
      <c r="A4934" t="str">
        <f>HYPERLINK("https://us2.cloudbeds.com/connect/10074733072513#/reservations/31735874089098?display=MXYG4YKD2&amp;reservation_id=31735874089098", "MXYG4YKD2")</f>
        <v>MXYG4YKD2</v>
      </c>
      <c r="B4934" t="s">
        <v>10</v>
      </c>
      <c r="C4934" t="s">
        <v>42</v>
      </c>
      <c r="D4934" t="str">
        <f>HYPERLINK("https://us2.cloudbeds.com/connect/10074733072513#/reservations/31735874089098?display=Lucy%20Easterling&amp;reservation_id=31735874089098&amp;guest_id=31735874089094", "Lucy Easterling")</f>
        <v>Lucy Easterling</v>
      </c>
      <c r="E4934" t="s">
        <v>9518</v>
      </c>
      <c r="F4934" t="s">
        <v>9322</v>
      </c>
      <c r="G4934">
        <v>129.6</v>
      </c>
      <c r="H4934">
        <v>140.87</v>
      </c>
      <c r="I4934">
        <v>140.88</v>
      </c>
      <c r="J4934">
        <v>-0.01</v>
      </c>
    </row>
    <row r="4935" spans="1:10" x14ac:dyDescent="0.3">
      <c r="A4935" t="str">
        <f>HYPERLINK("https://us2.cloudbeds.com/connect/10074733072513#/reservations/31732822024417?display=MXJ452DRX&amp;reservation_id=31732822024417", "MXJ452DRX")</f>
        <v>MXJ452DRX</v>
      </c>
      <c r="B4935" t="s">
        <v>10</v>
      </c>
      <c r="C4935" t="s">
        <v>14</v>
      </c>
      <c r="D4935" t="str">
        <f>HYPERLINK("https://us2.cloudbeds.com/connect/10074733072513#/reservations/31732822024417?display=Alycia%20Yochum&amp;reservation_id=31732822024417&amp;guest_id=31732822024415", "Alycia Yochum")</f>
        <v>Alycia Yochum</v>
      </c>
      <c r="E4935" t="s">
        <v>9519</v>
      </c>
      <c r="F4935" t="s">
        <v>9021</v>
      </c>
      <c r="G4935">
        <v>154.24</v>
      </c>
      <c r="H4935">
        <v>167.65</v>
      </c>
      <c r="I4935">
        <v>167.66</v>
      </c>
      <c r="J4935">
        <v>-0.01</v>
      </c>
    </row>
    <row r="4936" spans="1:10" x14ac:dyDescent="0.3">
      <c r="A4936" t="str">
        <f>HYPERLINK("https://us2.cloudbeds.com/connect/10074733072513#/reservations/31735874085003?display=MXYG4YGKW&amp;reservation_id=31735874085003", "MXYG4YGKW")</f>
        <v>MXYG4YGKW</v>
      </c>
      <c r="B4936" t="s">
        <v>10</v>
      </c>
      <c r="C4936" t="s">
        <v>11</v>
      </c>
      <c r="D4936" t="str">
        <f>HYPERLINK("https://us2.cloudbeds.com/connect/10074733072513#/reservations/31735874085003?display=Jennifer%20Willham&amp;reservation_id=31735874085003&amp;guest_id=31735874085001", "Jennifer Willham")</f>
        <v>Jennifer Willham</v>
      </c>
      <c r="E4936" t="s">
        <v>9520</v>
      </c>
      <c r="F4936" t="s">
        <v>9322</v>
      </c>
      <c r="G4936">
        <v>106.27</v>
      </c>
      <c r="H4936">
        <v>115.51</v>
      </c>
      <c r="I4936">
        <v>115.52</v>
      </c>
      <c r="J4936">
        <v>-0.01</v>
      </c>
    </row>
    <row r="4937" spans="1:10" x14ac:dyDescent="0.3">
      <c r="A4937" t="str">
        <f>HYPERLINK("https://us2.cloudbeds.com/connect/10074733072513#/reservations/31734800896132?display=MXKYNNEJ3&amp;reservation_id=31734800896132", "MXKYNNEJ3")</f>
        <v>MXKYNNEJ3</v>
      </c>
      <c r="B4937" t="s">
        <v>10</v>
      </c>
      <c r="C4937" t="s">
        <v>42</v>
      </c>
      <c r="D4937" t="str">
        <f>HYPERLINK("https://us2.cloudbeds.com/connect/10074733072513#/reservations/31734800896132?display=Brenda%20Decurtins&amp;reservation_id=31734800896132&amp;guest_id=31734794211485", "Brenda Decurtins")</f>
        <v>Brenda Decurtins</v>
      </c>
      <c r="E4937" t="s">
        <v>9524</v>
      </c>
      <c r="F4937" t="s">
        <v>9322</v>
      </c>
      <c r="G4937">
        <v>129.6</v>
      </c>
      <c r="H4937">
        <v>140.87</v>
      </c>
      <c r="I4937">
        <v>140.88</v>
      </c>
      <c r="J4937">
        <v>-0.01</v>
      </c>
    </row>
    <row r="4938" spans="1:10" x14ac:dyDescent="0.3">
      <c r="A4938" t="str">
        <f>HYPERLINK("https://us2.cloudbeds.com/connect/10074733072513#/reservations/31729394356470?display=MXGFXPGMT&amp;reservation_id=31729394356470", "MXGFXPGMT")</f>
        <v>MXGFXPGMT</v>
      </c>
      <c r="B4938" t="s">
        <v>10</v>
      </c>
      <c r="C4938" t="s">
        <v>121</v>
      </c>
      <c r="D4938" t="str">
        <f>HYPERLINK("https://us2.cloudbeds.com/connect/10074733072513#/reservations/31729394356470?display=Carole%20Ohme&amp;reservation_id=31729394356470&amp;guest_id=31729394356455", "Carole Ohme")</f>
        <v>Carole Ohme</v>
      </c>
      <c r="E4938" t="s">
        <v>9459</v>
      </c>
      <c r="F4938" t="s">
        <v>9322</v>
      </c>
      <c r="G4938">
        <v>129.6</v>
      </c>
      <c r="H4938">
        <v>140.87</v>
      </c>
      <c r="I4938">
        <v>140.88</v>
      </c>
      <c r="J4938">
        <v>-0.01</v>
      </c>
    </row>
    <row r="4939" spans="1:10" x14ac:dyDescent="0.3">
      <c r="A4939" t="str">
        <f>HYPERLINK("https://us2.cloudbeds.com/connect/10074733072513#/reservations/31729495949483?display=MXGX5EFT1&amp;reservation_id=31729495949483", "MXGX5EFT1")</f>
        <v>MXGX5EFT1</v>
      </c>
      <c r="B4939" t="s">
        <v>10</v>
      </c>
      <c r="C4939" t="s">
        <v>14</v>
      </c>
      <c r="D4939" t="str">
        <f>HYPERLINK("https://us2.cloudbeds.com/connect/10074733072513#/reservations/31729495949483?display=Omar%20Vazquez%20Escobar&amp;reservation_id=31729495949483&amp;guest_id=31729495949480", "Omar Vazquez Escobar")</f>
        <v>Omar Vazquez Escobar</v>
      </c>
      <c r="E4939" t="s">
        <v>9527</v>
      </c>
      <c r="F4939" t="s">
        <v>9108</v>
      </c>
      <c r="G4939">
        <v>170.1</v>
      </c>
      <c r="H4939">
        <v>184.89</v>
      </c>
      <c r="I4939">
        <v>184.9</v>
      </c>
      <c r="J4939">
        <v>-0.01</v>
      </c>
    </row>
    <row r="4940" spans="1:10" x14ac:dyDescent="0.3">
      <c r="A4940" t="str">
        <f>HYPERLINK("https://us2.cloudbeds.com/connect/10074733072513#/reservations/31735858815135?display=MXYFZPJNN&amp;reservation_id=31735858815135", "MXYFZPJNN")</f>
        <v>MXYFZPJNN</v>
      </c>
      <c r="B4940" t="s">
        <v>10</v>
      </c>
      <c r="C4940" t="s">
        <v>42</v>
      </c>
      <c r="D4940" t="str">
        <f>HYPERLINK("https://us2.cloudbeds.com/connect/10074733072513#/reservations/31735858815135?display=Ariel%20Bradley&amp;reservation_id=31735858815135&amp;guest_id=31735858815133", "Ariel Bradley")</f>
        <v>Ariel Bradley</v>
      </c>
      <c r="E4940" t="s">
        <v>9529</v>
      </c>
      <c r="F4940" t="s">
        <v>9131</v>
      </c>
      <c r="G4940">
        <v>129.6</v>
      </c>
      <c r="H4940">
        <v>140.87</v>
      </c>
      <c r="I4940">
        <v>140.88</v>
      </c>
      <c r="J4940">
        <v>-0.01</v>
      </c>
    </row>
    <row r="4941" spans="1:10" x14ac:dyDescent="0.3">
      <c r="A4941" t="str">
        <f>HYPERLINK("https://us2.cloudbeds.com/connect/10074733072513#/reservations/31735760335092?display=MXYD7Z82W&amp;reservation_id=31735760335092", "MXYD7Z82W")</f>
        <v>MXYD7Z82W</v>
      </c>
      <c r="B4941" t="s">
        <v>10</v>
      </c>
      <c r="C4941" t="s">
        <v>11</v>
      </c>
      <c r="D4941" t="str">
        <f>HYPERLINK("https://us2.cloudbeds.com/connect/10074733072513#/reservations/31735760335092?display=Peter%20Schwabe&amp;reservation_id=31735760335092&amp;guest_id=31735760335089", "Peter Schwabe")</f>
        <v>Peter Schwabe</v>
      </c>
      <c r="E4941" t="s">
        <v>9532</v>
      </c>
      <c r="F4941" t="s">
        <v>9131</v>
      </c>
      <c r="G4941">
        <v>106.27</v>
      </c>
      <c r="H4941">
        <v>115.51</v>
      </c>
      <c r="I4941">
        <v>115.52</v>
      </c>
      <c r="J4941">
        <v>-0.01</v>
      </c>
    </row>
    <row r="4942" spans="1:10" x14ac:dyDescent="0.3">
      <c r="A4942" t="str">
        <f>HYPERLINK("https://us2.cloudbeds.com/connect/10074733072513#/reservations/31733085061319?display=MXJASSQMP&amp;reservation_id=31733085061319", "MXJASSQMP")</f>
        <v>MXJASSQMP</v>
      </c>
      <c r="B4942" t="s">
        <v>10</v>
      </c>
      <c r="C4942" t="s">
        <v>11</v>
      </c>
      <c r="D4942" t="str">
        <f>HYPERLINK("https://us2.cloudbeds.com/connect/10074733072513#/reservations/31733085061319?display=Michael%20Oconnor&amp;reservation_id=31733085061319&amp;guest_id=31733076566197", "Michael Oconnor")</f>
        <v>Michael Oconnor</v>
      </c>
      <c r="E4942" t="s">
        <v>9533</v>
      </c>
      <c r="F4942" t="s">
        <v>9108</v>
      </c>
      <c r="G4942">
        <v>304.2</v>
      </c>
      <c r="H4942">
        <v>330.66</v>
      </c>
      <c r="I4942">
        <v>330.67</v>
      </c>
      <c r="J4942">
        <v>-0.01</v>
      </c>
    </row>
    <row r="4943" spans="1:10" x14ac:dyDescent="0.3">
      <c r="A4943" t="str">
        <f>HYPERLINK("https://us2.cloudbeds.com/connect/10074733072513#/reservations/31733824753889?display=MXJTPJZ4M&amp;reservation_id=31733824753889", "MXJTPJZ4M")</f>
        <v>MXJTPJZ4M</v>
      </c>
      <c r="B4943" t="s">
        <v>10</v>
      </c>
      <c r="C4943" t="s">
        <v>11</v>
      </c>
      <c r="D4943" t="str">
        <f>HYPERLINK("https://us2.cloudbeds.com/connect/10074733072513#/reservations/31733824753889?display=David%20Owley&amp;reservation_id=31733824753889&amp;guest_id=31733824749809", "David Owley")</f>
        <v>David Owley</v>
      </c>
      <c r="E4943" t="s">
        <v>9535</v>
      </c>
      <c r="F4943" t="s">
        <v>9079</v>
      </c>
      <c r="G4943">
        <v>129.6</v>
      </c>
      <c r="H4943">
        <v>140.87</v>
      </c>
      <c r="I4943">
        <v>140.88</v>
      </c>
      <c r="J4943">
        <v>-0.01</v>
      </c>
    </row>
    <row r="4944" spans="1:10" x14ac:dyDescent="0.3">
      <c r="A4944" t="str">
        <f>HYPERLINK("https://us2.cloudbeds.com/connect/10074733072513#/reservations/31728073040099?display=MXFEQJUMS&amp;reservation_id=31728073040099", "MXFEQJUMS")</f>
        <v>MXFEQJUMS</v>
      </c>
      <c r="B4944" t="s">
        <v>10</v>
      </c>
      <c r="C4944" t="s">
        <v>11</v>
      </c>
      <c r="D4944" t="str">
        <f>HYPERLINK("https://us2.cloudbeds.com/connect/10074733072513#/reservations/31728073040099?display=Isaac%20Page&amp;reservation_id=31728073040099&amp;guest_id=31728063893644", "Isaac Page")</f>
        <v>Isaac Page</v>
      </c>
      <c r="E4944" t="s">
        <v>9536</v>
      </c>
      <c r="F4944" t="s">
        <v>9079</v>
      </c>
      <c r="G4944">
        <v>129.6</v>
      </c>
      <c r="H4944">
        <v>140.87</v>
      </c>
      <c r="I4944">
        <v>140.88</v>
      </c>
      <c r="J4944">
        <v>-0.01</v>
      </c>
    </row>
    <row r="4945" spans="1:10" x14ac:dyDescent="0.3">
      <c r="A4945" t="str">
        <f>HYPERLINK("https://us2.cloudbeds.com/connect/10074733072513#/reservations/31735117963413?display=MXKTR2A3H&amp;reservation_id=31735117963413", "MXKTR2A3H")</f>
        <v>MXKTR2A3H</v>
      </c>
      <c r="B4945" t="s">
        <v>10</v>
      </c>
      <c r="C4945" t="s">
        <v>11</v>
      </c>
      <c r="D4945" t="str">
        <f>HYPERLINK("https://us2.cloudbeds.com/connect/10074733072513#/reservations/31735117963413?display=Daniel%20Schwabe&amp;reservation_id=31735117963413&amp;guest_id=31735117963411", "Daniel Schwabe")</f>
        <v>Daniel Schwabe</v>
      </c>
      <c r="E4945" t="s">
        <v>9538</v>
      </c>
      <c r="F4945" t="s">
        <v>9131</v>
      </c>
      <c r="G4945">
        <v>106.27</v>
      </c>
      <c r="H4945">
        <v>115.51</v>
      </c>
      <c r="I4945">
        <v>115.52</v>
      </c>
      <c r="J4945">
        <v>-0.01</v>
      </c>
    </row>
    <row r="4946" spans="1:10" x14ac:dyDescent="0.3">
      <c r="A4946" t="str">
        <f>HYPERLINK("https://us2.cloudbeds.com/connect/10074733072513#/reservations/31730510667992?display=MXHB32H4P&amp;reservation_id=31730510667992", "MXHB32H4P")</f>
        <v>MXHB32H4P</v>
      </c>
      <c r="B4946" t="s">
        <v>10</v>
      </c>
      <c r="C4946" t="s">
        <v>17</v>
      </c>
      <c r="D4946" t="str">
        <f>HYPERLINK("https://us2.cloudbeds.com/connect/10074733072513#/reservations/31730510667992?display=Julie%20Umbeger&amp;reservation_id=31730510667992&amp;guest_id=31730510667990", "Julie Umbeger")</f>
        <v>Julie Umbeger</v>
      </c>
      <c r="E4946" t="s">
        <v>9539</v>
      </c>
      <c r="F4946" t="s">
        <v>8920</v>
      </c>
      <c r="G4946">
        <v>376.2</v>
      </c>
      <c r="H4946">
        <v>408.92</v>
      </c>
      <c r="I4946">
        <v>408.93</v>
      </c>
      <c r="J4946">
        <v>-0.01</v>
      </c>
    </row>
    <row r="4947" spans="1:10" x14ac:dyDescent="0.3">
      <c r="A4947" t="str">
        <f>HYPERLINK("https://us2.cloudbeds.com/connect/10074733072513#/reservations/31731043774627?display=MXHZNJWU8&amp;reservation_id=31731043774627", "MXHZNJWU8")</f>
        <v>MXHZNJWU8</v>
      </c>
      <c r="B4947" t="s">
        <v>10</v>
      </c>
      <c r="C4947" t="s">
        <v>11</v>
      </c>
      <c r="D4947" t="str">
        <f>HYPERLINK("https://us2.cloudbeds.com/connect/10074733072513#/reservations/31731043774627?display=Gary%20Goldstein&amp;reservation_id=31731043774627&amp;guest_id=31731033325770", "Gary Goldstein")</f>
        <v>Gary Goldstein</v>
      </c>
      <c r="E4947" t="s">
        <v>9542</v>
      </c>
      <c r="F4947" t="s">
        <v>7819</v>
      </c>
      <c r="G4947">
        <v>129.6</v>
      </c>
      <c r="H4947">
        <v>140.87</v>
      </c>
      <c r="I4947">
        <v>140.88</v>
      </c>
      <c r="J4947">
        <v>-0.01</v>
      </c>
    </row>
    <row r="4948" spans="1:10" x14ac:dyDescent="0.3">
      <c r="A4948" t="str">
        <f>HYPERLINK("https://us2.cloudbeds.com/connect/10074733072513#/reservations/31729432051964?display=MXGGHXEFJ&amp;reservation_id=31729432051964", "MXGGHXEFJ")</f>
        <v>MXGGHXEFJ</v>
      </c>
      <c r="B4948" t="s">
        <v>10</v>
      </c>
      <c r="C4948" t="s">
        <v>11</v>
      </c>
      <c r="D4948" t="str">
        <f>HYPERLINK("https://us2.cloudbeds.com/connect/10074733072513#/reservations/31729432051964?display=Rebecca%20Packard&amp;reservation_id=31729432051964&amp;guest_id=31729432051912", "Rebecca Packard")</f>
        <v>Rebecca Packard</v>
      </c>
      <c r="E4948" t="s">
        <v>9554</v>
      </c>
      <c r="F4948" t="s">
        <v>9108</v>
      </c>
      <c r="G4948">
        <v>154.24</v>
      </c>
      <c r="H4948">
        <v>167.65</v>
      </c>
      <c r="I4948">
        <v>167.66</v>
      </c>
      <c r="J4948">
        <v>-0.01</v>
      </c>
    </row>
    <row r="4949" spans="1:10" x14ac:dyDescent="0.3">
      <c r="A4949" t="str">
        <f>HYPERLINK("https://us2.cloudbeds.com/connect/10074733072513#/reservations/31734825623697?display=MXKMBXH88&amp;reservation_id=31734825623697", "MXKMBXH88")</f>
        <v>MXKMBXH88</v>
      </c>
      <c r="B4949" t="s">
        <v>10</v>
      </c>
      <c r="C4949" t="s">
        <v>42</v>
      </c>
      <c r="D4949" t="str">
        <f>HYPERLINK("https://us2.cloudbeds.com/connect/10074733072513#/reservations/31734825623697?display=Christy%20Koehler&amp;reservation_id=31734825623697&amp;guest_id=31734816465080", "Christy Koehler")</f>
        <v>Christy Koehler</v>
      </c>
      <c r="E4949" t="s">
        <v>9557</v>
      </c>
      <c r="F4949" t="s">
        <v>7751</v>
      </c>
      <c r="G4949">
        <v>154.24</v>
      </c>
      <c r="H4949">
        <v>167.65</v>
      </c>
      <c r="I4949">
        <v>167.66</v>
      </c>
      <c r="J4949">
        <v>-0.01</v>
      </c>
    </row>
    <row r="4950" spans="1:10" x14ac:dyDescent="0.3">
      <c r="A4950" t="str">
        <f>HYPERLINK("https://us2.cloudbeds.com/connect/10074733072513#/reservations/31727757471890?display=MXF6ZGPNS&amp;reservation_id=31727757471890", "MXF6ZGPNS")</f>
        <v>MXF6ZGPNS</v>
      </c>
      <c r="B4950" t="s">
        <v>10</v>
      </c>
      <c r="C4950" t="s">
        <v>14</v>
      </c>
      <c r="D4950" t="str">
        <f>HYPERLINK("https://us2.cloudbeds.com/connect/10074733072513#/reservations/31727757471890?display=Chelsea%20Hauger&amp;reservation_id=31727757471890&amp;guest_id=31727749841147", "Chelsea Hauger")</f>
        <v>Chelsea Hauger</v>
      </c>
      <c r="E4950" t="s">
        <v>9558</v>
      </c>
      <c r="F4950" t="s">
        <v>8544</v>
      </c>
      <c r="G4950">
        <v>154.24</v>
      </c>
      <c r="H4950">
        <v>167.65</v>
      </c>
      <c r="I4950">
        <v>167.66</v>
      </c>
      <c r="J4950">
        <v>-0.01</v>
      </c>
    </row>
    <row r="4951" spans="1:10" x14ac:dyDescent="0.3">
      <c r="A4951" t="str">
        <f>HYPERLINK("https://us2.cloudbeds.com/connect/10074733072513#/reservations/31735066701956?display=MXKSGRT21&amp;reservation_id=31735066701956", "MXKSGRT21")</f>
        <v>MXKSGRT21</v>
      </c>
      <c r="B4951" t="s">
        <v>10</v>
      </c>
      <c r="C4951" t="s">
        <v>42</v>
      </c>
      <c r="D4951" t="str">
        <f>HYPERLINK("https://us2.cloudbeds.com/connect/10074733072513#/reservations/31735066701956?display=Wendy%20Johnson&amp;reservation_id=31735066701956&amp;guest_id=31735066697867", "Wendy Johnson")</f>
        <v>Wendy Johnson</v>
      </c>
      <c r="E4951" t="s">
        <v>9562</v>
      </c>
      <c r="F4951" t="s">
        <v>9500</v>
      </c>
      <c r="G4951">
        <v>119.6</v>
      </c>
      <c r="H4951">
        <v>130</v>
      </c>
      <c r="I4951">
        <v>130.01</v>
      </c>
      <c r="J4951">
        <v>-0.01</v>
      </c>
    </row>
    <row r="4952" spans="1:10" x14ac:dyDescent="0.3">
      <c r="A4952" t="str">
        <f>HYPERLINK("https://us2.cloudbeds.com/connect/10074733072513#/reservations/31735780090007?display=MXYDZCVGP&amp;reservation_id=31735780090007", "MXYDZCVGP")</f>
        <v>MXYDZCVGP</v>
      </c>
      <c r="B4952" t="s">
        <v>10</v>
      </c>
      <c r="C4952" t="s">
        <v>14</v>
      </c>
      <c r="D4952" t="str">
        <f>HYPERLINK("https://us2.cloudbeds.com/connect/10074733072513#/reservations/31735780090007?display=Michelle%20S%20Kalin&amp;reservation_id=31735780090007&amp;guest_id=31735771254983", "Michelle S Kalin")</f>
        <v>Michelle S Kalin</v>
      </c>
      <c r="E4952" t="s">
        <v>9563</v>
      </c>
      <c r="F4952" t="s">
        <v>9256</v>
      </c>
      <c r="G4952">
        <v>170.1</v>
      </c>
      <c r="H4952">
        <v>184.89</v>
      </c>
      <c r="I4952">
        <v>184.9</v>
      </c>
      <c r="J4952">
        <v>-0.01</v>
      </c>
    </row>
    <row r="4953" spans="1:10" x14ac:dyDescent="0.3">
      <c r="A4953" t="str">
        <f>HYPERLINK("https://us2.cloudbeds.com/connect/10074733072513#/reservations/31732388503778?display=MXXQ2H28G&amp;reservation_id=31732388503778", "MXXQ2H28G")</f>
        <v>MXXQ2H28G</v>
      </c>
      <c r="B4953" t="s">
        <v>10</v>
      </c>
      <c r="C4953" t="s">
        <v>11</v>
      </c>
      <c r="D4953" t="str">
        <f>HYPERLINK("https://us2.cloudbeds.com/connect/10074733072513#/reservations/31732388503778?display=Jerry%20Krauth&amp;reservation_id=31732388503778&amp;guest_id=31732388503765", "Jerry Krauth")</f>
        <v>Jerry Krauth</v>
      </c>
      <c r="E4953" t="s">
        <v>9565</v>
      </c>
      <c r="F4953" t="s">
        <v>9122</v>
      </c>
      <c r="G4953">
        <v>309.95999999999998</v>
      </c>
      <c r="H4953">
        <v>336.92</v>
      </c>
      <c r="I4953">
        <v>336.93</v>
      </c>
      <c r="J4953">
        <v>-0.01</v>
      </c>
    </row>
    <row r="4954" spans="1:10" x14ac:dyDescent="0.3">
      <c r="A4954" t="str">
        <f>HYPERLINK("https://us2.cloudbeds.com/connect/10074733072513#/reservations/31734468174038?display=MXKD74VYD&amp;reservation_id=31734468174038", "MXKD74VYD")</f>
        <v>MXKD74VYD</v>
      </c>
      <c r="B4954" t="s">
        <v>10</v>
      </c>
      <c r="C4954" t="s">
        <v>20</v>
      </c>
      <c r="D4954" t="str">
        <f>HYPERLINK("https://us2.cloudbeds.com/connect/10074733072513#/reservations/31734468174038?display=Yehenew%20Negussie&amp;reservation_id=31734468174038&amp;guest_id=31734468169944", "Yehenew Negussie")</f>
        <v>Yehenew Negussie</v>
      </c>
      <c r="E4954" t="s">
        <v>9579</v>
      </c>
      <c r="F4954" t="s">
        <v>9256</v>
      </c>
      <c r="G4954">
        <v>376.2</v>
      </c>
      <c r="H4954">
        <v>408.92</v>
      </c>
      <c r="I4954">
        <v>408.93</v>
      </c>
      <c r="J4954">
        <v>-0.01</v>
      </c>
    </row>
    <row r="4955" spans="1:10" x14ac:dyDescent="0.3">
      <c r="A4955" t="str">
        <f>HYPERLINK("https://us2.cloudbeds.com/connect/10074733072513#/reservations/31724105662681?display=MXCCE6QXZ&amp;reservation_id=31724105662681", "MXCCE6QXZ")</f>
        <v>MXCCE6QXZ</v>
      </c>
      <c r="B4955" t="s">
        <v>10</v>
      </c>
      <c r="C4955" t="s">
        <v>42</v>
      </c>
      <c r="D4955" t="str">
        <f>HYPERLINK("https://us2.cloudbeds.com/connect/10074733072513#/reservations/31724105662681?display=Alvin%20Hartman&amp;reservation_id=31724105662681&amp;guest_id=31724097974401", "Alvin Hartman")</f>
        <v>Alvin Hartman</v>
      </c>
      <c r="E4955" t="s">
        <v>9580</v>
      </c>
      <c r="F4955" t="s">
        <v>9581</v>
      </c>
      <c r="G4955">
        <v>474.3</v>
      </c>
      <c r="H4955">
        <v>515.54999999999995</v>
      </c>
      <c r="I4955">
        <v>515.55999999999995</v>
      </c>
      <c r="J4955">
        <v>-0.01</v>
      </c>
    </row>
    <row r="4956" spans="1:10" x14ac:dyDescent="0.3">
      <c r="A4956" t="str">
        <f>HYPERLINK("https://us2.cloudbeds.com/connect/10074733072513#/reservations/31723912745173?display=MXC7GHJGY&amp;reservation_id=31723912745173", "MXC7GHJGY")</f>
        <v>MXC7GHJGY</v>
      </c>
      <c r="B4956" t="s">
        <v>10</v>
      </c>
      <c r="C4956" t="s">
        <v>11</v>
      </c>
      <c r="D4956" t="str">
        <f>HYPERLINK("https://us2.cloudbeds.com/connect/10074733072513#/reservations/31723912745173?display=Kyle%20Sanders&amp;reservation_id=31723912745173&amp;guest_id=31723912745171", "Kyle Sanders")</f>
        <v>Kyle Sanders</v>
      </c>
      <c r="E4956" t="s">
        <v>9592</v>
      </c>
      <c r="F4956" t="s">
        <v>9381</v>
      </c>
      <c r="G4956">
        <v>106.27</v>
      </c>
      <c r="H4956">
        <v>115.51</v>
      </c>
      <c r="I4956">
        <v>115.52</v>
      </c>
      <c r="J4956">
        <v>-0.01</v>
      </c>
    </row>
    <row r="4957" spans="1:10" x14ac:dyDescent="0.3">
      <c r="A4957" t="str">
        <f>HYPERLINK("https://us2.cloudbeds.com/connect/10074733072513#/reservations/31728183451839?display=MXFHKN9T5&amp;reservation_id=31728183451839", "MXFHKN9T5")</f>
        <v>MXFHKN9T5</v>
      </c>
      <c r="B4957" t="s">
        <v>10</v>
      </c>
      <c r="C4957" t="s">
        <v>17</v>
      </c>
      <c r="D4957" t="str">
        <f>HYPERLINK("https://us2.cloudbeds.com/connect/10074733072513#/reservations/31728183451839?display=Kathleen%20Jandahl&amp;reservation_id=31728183451839&amp;guest_id=31728183451833", "Kathleen Jandahl")</f>
        <v>Kathleen Jandahl</v>
      </c>
      <c r="E4957" t="s">
        <v>9594</v>
      </c>
      <c r="F4957" t="s">
        <v>8544</v>
      </c>
      <c r="G4957">
        <v>367.2</v>
      </c>
      <c r="H4957">
        <v>399.14</v>
      </c>
      <c r="I4957">
        <v>399.15</v>
      </c>
      <c r="J4957">
        <v>-0.01</v>
      </c>
    </row>
    <row r="4958" spans="1:10" x14ac:dyDescent="0.3">
      <c r="A4958" t="str">
        <f>HYPERLINK("https://us2.cloudbeds.com/connect/10074733072513#/reservations/31723877650577?display=MXC6JV121&amp;reservation_id=31723877650577", "MXC6JV121")</f>
        <v>MXC6JV121</v>
      </c>
      <c r="B4958" t="s">
        <v>10</v>
      </c>
      <c r="C4958" t="s">
        <v>11</v>
      </c>
      <c r="D4958" t="str">
        <f>HYPERLINK("https://us2.cloudbeds.com/connect/10074733072513#/reservations/31723877650577?display=Chris%20Sanders&amp;reservation_id=31723877650577&amp;guest_id=31723868545269", "Chris Sanders")</f>
        <v>Chris Sanders</v>
      </c>
      <c r="E4958" t="s">
        <v>9596</v>
      </c>
      <c r="F4958" t="s">
        <v>9381</v>
      </c>
      <c r="G4958">
        <v>106.27</v>
      </c>
      <c r="H4958">
        <v>115.51</v>
      </c>
      <c r="I4958">
        <v>115.52</v>
      </c>
      <c r="J4958">
        <v>-0.01</v>
      </c>
    </row>
    <row r="4959" spans="1:10" x14ac:dyDescent="0.3">
      <c r="A4959" t="str">
        <f>HYPERLINK("https://us2.cloudbeds.com/connect/10074733072513#/reservations/31735181381868?display=MXKVEX0JT&amp;reservation_id=31735181381868", "MXKVEX0JT")</f>
        <v>MXKVEX0JT</v>
      </c>
      <c r="B4959" t="s">
        <v>10</v>
      </c>
      <c r="C4959" t="s">
        <v>17</v>
      </c>
      <c r="D4959" t="str">
        <f>HYPERLINK("https://us2.cloudbeds.com/connect/10074733072513#/reservations/31735181381868?display=Jeff%20Goulet&amp;reservation_id=31735181381868&amp;guest_id=31735181381863", "Jeff Goulet")</f>
        <v>Jeff Goulet</v>
      </c>
      <c r="E4959" t="s">
        <v>9598</v>
      </c>
      <c r="F4959" t="s">
        <v>9500</v>
      </c>
      <c r="G4959">
        <v>129.6</v>
      </c>
      <c r="H4959">
        <v>140.87</v>
      </c>
      <c r="I4959">
        <v>140.88</v>
      </c>
      <c r="J4959">
        <v>-0.01</v>
      </c>
    </row>
    <row r="4960" spans="1:10" x14ac:dyDescent="0.3">
      <c r="A4960" t="str">
        <f>HYPERLINK("https://us2.cloudbeds.com/connect/10074733072513#/reservations/31732159877261?display=MXXK7Z6X7&amp;reservation_id=31732159877261", "MXXK7Z6X7")</f>
        <v>MXXK7Z6X7</v>
      </c>
      <c r="B4960" t="s">
        <v>10</v>
      </c>
      <c r="C4960" t="s">
        <v>17</v>
      </c>
      <c r="D4960" t="str">
        <f>HYPERLINK("https://us2.cloudbeds.com/connect/10074733072513#/reservations/31732159877261?display=Darcie%20Bendix&amp;reservation_id=31732159877261&amp;guest_id=31732159877256", "Darcie Bendix")</f>
        <v>Darcie Bendix</v>
      </c>
      <c r="E4960" t="s">
        <v>9600</v>
      </c>
      <c r="F4960" t="s">
        <v>8596</v>
      </c>
      <c r="G4960">
        <v>170.1</v>
      </c>
      <c r="H4960">
        <v>184.89</v>
      </c>
      <c r="I4960">
        <v>184.9</v>
      </c>
      <c r="J4960">
        <v>-0.01</v>
      </c>
    </row>
    <row r="4961" spans="1:10" x14ac:dyDescent="0.3">
      <c r="A4961" t="str">
        <f>HYPERLINK("https://us2.cloudbeds.com/connect/10074733072513#/reservations/31731565084881?display=MXX5167CN&amp;reservation_id=31731565084881", "MXX5167CN")</f>
        <v>MXX5167CN</v>
      </c>
      <c r="B4961" t="s">
        <v>10</v>
      </c>
      <c r="C4961" t="s">
        <v>42</v>
      </c>
      <c r="D4961" t="str">
        <f>HYPERLINK("https://us2.cloudbeds.com/connect/10074733072513#/reservations/31731565084881?display=Maynard%20Puetz&amp;reservation_id=31731565084881&amp;guest_id=31731565080801", "Maynard Puetz")</f>
        <v>Maynard Puetz</v>
      </c>
      <c r="E4961" t="s">
        <v>9601</v>
      </c>
      <c r="F4961" t="s">
        <v>9338</v>
      </c>
      <c r="G4961">
        <v>170.1</v>
      </c>
      <c r="H4961">
        <v>184.89</v>
      </c>
      <c r="I4961">
        <v>184.9</v>
      </c>
      <c r="J4961">
        <v>-0.01</v>
      </c>
    </row>
    <row r="4962" spans="1:10" x14ac:dyDescent="0.3">
      <c r="A4962" t="str">
        <f>HYPERLINK("https://us2.cloudbeds.com/connect/10074733072513#/reservations/31723887583452?display=MXC6SAE58&amp;reservation_id=31723887583452", "MXC6SAE58")</f>
        <v>MXC6SAE58</v>
      </c>
      <c r="B4962" t="s">
        <v>10</v>
      </c>
      <c r="C4962" t="s">
        <v>20</v>
      </c>
      <c r="D4962" t="str">
        <f>HYPERLINK("https://us2.cloudbeds.com/connect/10074733072513#/reservations/31723887583452?display=Hailey%20Frazer&amp;reservation_id=31723887583452&amp;guest_id=31723877654670", "Hailey Frazer")</f>
        <v>Hailey Frazer</v>
      </c>
      <c r="E4962" t="s">
        <v>9602</v>
      </c>
      <c r="F4962" t="s">
        <v>9381</v>
      </c>
      <c r="G4962">
        <v>129.6</v>
      </c>
      <c r="H4962">
        <v>140.87</v>
      </c>
      <c r="I4962">
        <v>140.88</v>
      </c>
      <c r="J4962">
        <v>-0.01</v>
      </c>
    </row>
    <row r="4963" spans="1:10" x14ac:dyDescent="0.3">
      <c r="A4963" t="str">
        <f>HYPERLINK("https://us2.cloudbeds.com/connect/10074733072513#/reservations/31734725025933?display=MXKJPZ7W5&amp;reservation_id=31734725025933", "MXKJPZ7W5")</f>
        <v>MXKJPZ7W5</v>
      </c>
      <c r="B4963" t="s">
        <v>10</v>
      </c>
      <c r="C4963" t="s">
        <v>121</v>
      </c>
      <c r="D4963" t="str">
        <f>HYPERLINK("https://us2.cloudbeds.com/connect/10074733072513#/reservations/31734725025933?display=Ross%20Johnson&amp;reservation_id=31734725025933&amp;guest_id=31734718529778", "Ross Johnson")</f>
        <v>Ross Johnson</v>
      </c>
      <c r="E4963" t="s">
        <v>9604</v>
      </c>
      <c r="F4963" t="s">
        <v>9531</v>
      </c>
      <c r="G4963">
        <v>134.1</v>
      </c>
      <c r="H4963">
        <v>145.76</v>
      </c>
      <c r="I4963">
        <v>145.77000000000001</v>
      </c>
      <c r="J4963">
        <v>-0.01</v>
      </c>
    </row>
    <row r="4964" spans="1:10" x14ac:dyDescent="0.3">
      <c r="A4964" t="str">
        <f>HYPERLINK("https://us2.cloudbeds.com/connect/10074733072513#/reservations/31735247798480?display=MXY04X57G&amp;reservation_id=31735247798480", "MXY04X57G")</f>
        <v>MXY04X57G</v>
      </c>
      <c r="B4964" t="s">
        <v>10</v>
      </c>
      <c r="C4964" t="s">
        <v>14</v>
      </c>
      <c r="D4964" t="str">
        <f>HYPERLINK("https://us2.cloudbeds.com/connect/10074733072513#/reservations/31735247798480?display=Patricia%20Sperry&amp;reservation_id=31735247798480&amp;guest_id=31735247798477", "Patricia Sperry")</f>
        <v>Patricia Sperry</v>
      </c>
      <c r="E4964" t="s">
        <v>9608</v>
      </c>
      <c r="F4964" t="s">
        <v>9500</v>
      </c>
      <c r="G4964">
        <v>113.65</v>
      </c>
      <c r="H4964">
        <v>123.53</v>
      </c>
      <c r="I4964">
        <v>123.54</v>
      </c>
      <c r="J4964">
        <v>-0.01</v>
      </c>
    </row>
    <row r="4965" spans="1:10" x14ac:dyDescent="0.3">
      <c r="A4965" t="str">
        <f>HYPERLINK("https://us2.cloudbeds.com/connect/10074733072513#/reservations/31731571278037?display=MXX56DXD3&amp;reservation_id=31731571278037", "MXX56DXD3")</f>
        <v>MXX56DXD3</v>
      </c>
      <c r="B4965" t="s">
        <v>10</v>
      </c>
      <c r="C4965" t="s">
        <v>11</v>
      </c>
      <c r="D4965" t="str">
        <f>HYPERLINK("https://us2.cloudbeds.com/connect/10074733072513#/reservations/31731571278037?display=Katherine%20Nowakowski&amp;reservation_id=31731571278037&amp;guest_id=31731571278026", "Katherine Nowakowski")</f>
        <v>Katherine Nowakowski</v>
      </c>
      <c r="E4965" t="s">
        <v>9612</v>
      </c>
      <c r="F4965" t="s">
        <v>9089</v>
      </c>
      <c r="G4965">
        <v>103.2</v>
      </c>
      <c r="H4965">
        <v>112.17</v>
      </c>
      <c r="I4965">
        <v>112.18</v>
      </c>
      <c r="J4965">
        <v>-0.01</v>
      </c>
    </row>
    <row r="4966" spans="1:10" x14ac:dyDescent="0.3">
      <c r="A4966" t="str">
        <f>HYPERLINK("https://us2.cloudbeds.com/connect/10074733072513#/reservations/31735942295790?display=MXYHT5XQH&amp;reservation_id=31735942295790", "MXYHT5XQH")</f>
        <v>MXYHT5XQH</v>
      </c>
      <c r="B4966" t="s">
        <v>10</v>
      </c>
      <c r="C4966" t="s">
        <v>121</v>
      </c>
      <c r="D4966" t="str">
        <f>HYPERLINK("https://us2.cloudbeds.com/connect/10074733072513#/reservations/31735942295790?display=Keith%20Johnson&amp;reservation_id=31735942295790&amp;guest_id=31735931048085", "Keith Johnson")</f>
        <v>Keith Johnson</v>
      </c>
      <c r="E4966" t="s">
        <v>9613</v>
      </c>
      <c r="F4966" t="s">
        <v>9531</v>
      </c>
      <c r="G4966">
        <v>134.1</v>
      </c>
      <c r="H4966">
        <v>145.76</v>
      </c>
      <c r="I4966">
        <v>145.77000000000001</v>
      </c>
      <c r="J4966">
        <v>-0.01</v>
      </c>
    </row>
    <row r="4967" spans="1:10" x14ac:dyDescent="0.3">
      <c r="A4967" t="str">
        <f>HYPERLINK("https://us2.cloudbeds.com/connect/10074733072513#/reservations/31723833733333?display=MXC5FTW0F&amp;reservation_id=31723833733333", "MXC5FTW0F")</f>
        <v>MXC5FTW0F</v>
      </c>
      <c r="B4967" t="s">
        <v>10</v>
      </c>
      <c r="C4967" t="s">
        <v>121</v>
      </c>
      <c r="D4967" t="str">
        <f>HYPERLINK("https://us2.cloudbeds.com/connect/10074733072513#/reservations/31723833733333?display=Rodney%20Henderson&amp;reservation_id=31723833733333&amp;guest_id=31723833733330", "Rodney Henderson")</f>
        <v>Rodney Henderson</v>
      </c>
      <c r="E4967" t="s">
        <v>9615</v>
      </c>
      <c r="F4967" t="s">
        <v>9531</v>
      </c>
      <c r="G4967">
        <v>134.1</v>
      </c>
      <c r="H4967">
        <v>145.76</v>
      </c>
      <c r="I4967">
        <v>145.77000000000001</v>
      </c>
      <c r="J4967">
        <v>-0.01</v>
      </c>
    </row>
    <row r="4968" spans="1:10" x14ac:dyDescent="0.3">
      <c r="A4968" t="str">
        <f>HYPERLINK("https://us2.cloudbeds.com/connect/10074733072513#/reservations/31733066957012?display=MXJADK0WD&amp;reservation_id=31733066957012", "MXJADK0WD")</f>
        <v>MXJADK0WD</v>
      </c>
      <c r="B4968" t="s">
        <v>10</v>
      </c>
      <c r="C4968" t="s">
        <v>11</v>
      </c>
      <c r="D4968" t="str">
        <f>HYPERLINK("https://us2.cloudbeds.com/connect/10074733072513#/reservations/31733066957012?display=Russell%20Smith&amp;reservation_id=31733066957012&amp;guest_id=31733066952927", "Russell Smith")</f>
        <v>Russell Smith</v>
      </c>
      <c r="E4968" t="s">
        <v>9619</v>
      </c>
      <c r="F4968" t="s">
        <v>9108</v>
      </c>
      <c r="G4968">
        <v>150.22</v>
      </c>
      <c r="H4968">
        <v>163.28</v>
      </c>
      <c r="I4968">
        <v>163.29</v>
      </c>
      <c r="J4968">
        <v>-0.01</v>
      </c>
    </row>
    <row r="4969" spans="1:10" x14ac:dyDescent="0.3">
      <c r="A4969" t="str">
        <f>HYPERLINK("https://us2.cloudbeds.com/connect/10074733072513#/reservations/31726608691375?display=MXEACR8S3&amp;reservation_id=31726608691375", "MXEACR8S3")</f>
        <v>MXEACR8S3</v>
      </c>
      <c r="B4969" t="s">
        <v>10</v>
      </c>
      <c r="C4969" t="s">
        <v>11</v>
      </c>
      <c r="D4969" t="str">
        <f>HYPERLINK("https://us2.cloudbeds.com/connect/10074733072513#/reservations/31726608691375?display=Deborah%20Mitchell&amp;reservation_id=31726608691375&amp;guest_id=31726599987405", "Deborah Mitchell")</f>
        <v>Deborah Mitchell</v>
      </c>
      <c r="E4969" t="s">
        <v>9620</v>
      </c>
      <c r="F4969" t="s">
        <v>9621</v>
      </c>
      <c r="G4969">
        <v>474.3</v>
      </c>
      <c r="H4969">
        <v>515.54999999999995</v>
      </c>
      <c r="I4969">
        <v>515.55999999999995</v>
      </c>
      <c r="J4969">
        <v>-0.01</v>
      </c>
    </row>
    <row r="4970" spans="1:10" x14ac:dyDescent="0.3">
      <c r="A4970" t="str">
        <f>HYPERLINK("https://us2.cloudbeds.com/connect/10074733072513#/reservations/31734800896189?display=MXKYNNEKR&amp;reservation_id=31734800896189", "MXKYNNEKR")</f>
        <v>MXKYNNEKR</v>
      </c>
      <c r="B4970" t="s">
        <v>10</v>
      </c>
      <c r="C4970" t="s">
        <v>121</v>
      </c>
      <c r="D4970" t="str">
        <f>HYPERLINK("https://us2.cloudbeds.com/connect/10074733072513#/reservations/31734800896189?display=Arthur%20Wilson&amp;reservation_id=31734800896189&amp;guest_id=31734800896130", "Arthur Wilson")</f>
        <v>Arthur Wilson</v>
      </c>
      <c r="E4970" t="s">
        <v>9624</v>
      </c>
      <c r="F4970" t="s">
        <v>9531</v>
      </c>
      <c r="G4970">
        <v>134.1</v>
      </c>
      <c r="H4970">
        <v>145.76</v>
      </c>
      <c r="I4970">
        <v>145.77000000000001</v>
      </c>
      <c r="J4970">
        <v>-0.01</v>
      </c>
    </row>
    <row r="4971" spans="1:10" x14ac:dyDescent="0.3">
      <c r="A4971" t="str">
        <f>HYPERLINK("https://us2.cloudbeds.com/connect/10074733072513#/reservations/31729415921841?display=MXGG3VJJW&amp;reservation_id=31729415921841", "MXGG3VJJW")</f>
        <v>MXGG3VJJW</v>
      </c>
      <c r="B4971" t="s">
        <v>10</v>
      </c>
      <c r="C4971" t="s">
        <v>11</v>
      </c>
      <c r="D4971" t="str">
        <f>HYPERLINK("https://us2.cloudbeds.com/connect/10074733072513#/reservations/31729415921841?display=Blake%20Sonobe&amp;reservation_id=31729415921841&amp;guest_id=31729415921838", "Blake Sonobe")</f>
        <v>Blake Sonobe</v>
      </c>
      <c r="E4971" t="s">
        <v>9628</v>
      </c>
      <c r="F4971" t="s">
        <v>9108</v>
      </c>
      <c r="G4971">
        <v>154.24</v>
      </c>
      <c r="H4971">
        <v>167.65</v>
      </c>
      <c r="I4971">
        <v>167.66</v>
      </c>
      <c r="J4971">
        <v>-0.01</v>
      </c>
    </row>
    <row r="4972" spans="1:10" x14ac:dyDescent="0.3">
      <c r="A4972" t="str">
        <f>HYPERLINK("https://us2.cloudbeds.com/connect/10074733072513#/reservations/31733116920051?display=MXJBMZANT&amp;reservation_id=31733116920051", "MXJBMZANT")</f>
        <v>MXJBMZANT</v>
      </c>
      <c r="B4972" t="s">
        <v>10</v>
      </c>
      <c r="C4972" t="s">
        <v>14</v>
      </c>
      <c r="D4972" t="str">
        <f>HYPERLINK("https://us2.cloudbeds.com/connect/10074733072513#/reservations/31733116920051?display=Mary%20Beutler&amp;reservation_id=31733116920051&amp;guest_id=31733116920046", "Mary Beutler")</f>
        <v>Mary Beutler</v>
      </c>
      <c r="E4972" t="s">
        <v>9629</v>
      </c>
      <c r="F4972" t="s">
        <v>9500</v>
      </c>
      <c r="G4972">
        <v>106.27</v>
      </c>
      <c r="H4972">
        <v>115.51</v>
      </c>
      <c r="I4972">
        <v>115.52</v>
      </c>
      <c r="J4972">
        <v>-0.01</v>
      </c>
    </row>
    <row r="4973" spans="1:10" x14ac:dyDescent="0.3">
      <c r="A4973" t="str">
        <f>HYPERLINK("https://us2.cloudbeds.com/connect/10074733072513#/reservations/31732084772999?display=MXXXADA9G&amp;reservation_id=31732084772999", "MXXXADA9G")</f>
        <v>MXXXADA9G</v>
      </c>
      <c r="B4973" t="s">
        <v>10</v>
      </c>
      <c r="C4973" t="s">
        <v>11</v>
      </c>
      <c r="D4973" t="str">
        <f>HYPERLINK("https://us2.cloudbeds.com/connect/10074733072513#/reservations/31732084772999?display=Dale%20Otte&amp;reservation_id=31732084772999&amp;guest_id=31732084772996", "Dale Otte")</f>
        <v>Dale Otte</v>
      </c>
      <c r="E4973" t="s">
        <v>9640</v>
      </c>
      <c r="F4973" t="s">
        <v>7468</v>
      </c>
      <c r="G4973">
        <v>170.1</v>
      </c>
      <c r="H4973">
        <v>184.89</v>
      </c>
      <c r="I4973">
        <v>184.9</v>
      </c>
      <c r="J4973">
        <v>-0.01</v>
      </c>
    </row>
    <row r="4974" spans="1:10" x14ac:dyDescent="0.3">
      <c r="A4974" t="str">
        <f>HYPERLINK("https://us2.cloudbeds.com/connect/10074733072513#/reservations/31734411342049?display=MXKBP7HAU&amp;reservation_id=31734411342049", "MXKBP7HAU")</f>
        <v>MXKBP7HAU</v>
      </c>
      <c r="B4974" t="s">
        <v>10</v>
      </c>
      <c r="C4974" t="s">
        <v>11</v>
      </c>
      <c r="D4974" t="str">
        <f>HYPERLINK("https://us2.cloudbeds.com/connect/10074733072513#/reservations/31734411342049?display=Rachel%20Cooke&amp;reservation_id=31734411342049&amp;guest_id=31734411342039", "Rachel Cooke")</f>
        <v>Rachel Cooke</v>
      </c>
      <c r="E4974" t="s">
        <v>9644</v>
      </c>
      <c r="F4974" t="s">
        <v>9152</v>
      </c>
      <c r="G4974">
        <v>143.66</v>
      </c>
      <c r="H4974">
        <v>156.15</v>
      </c>
      <c r="I4974">
        <v>156.16</v>
      </c>
      <c r="J4974">
        <v>-0.01</v>
      </c>
    </row>
    <row r="4975" spans="1:10" x14ac:dyDescent="0.3">
      <c r="A4975" t="str">
        <f>HYPERLINK("https://us2.cloudbeds.com/connect/10074733072513#/reservations/31732802568404?display=MXJ3YM0TD&amp;reservation_id=31732802568404", "MXJ3YM0TD")</f>
        <v>MXJ3YM0TD</v>
      </c>
      <c r="B4975" t="s">
        <v>10</v>
      </c>
      <c r="C4975" t="s">
        <v>42</v>
      </c>
      <c r="D4975" t="str">
        <f>HYPERLINK("https://us2.cloudbeds.com/connect/10074733072513#/reservations/31732802568404?display=Ryan%20Tobin&amp;reservation_id=31732802568404&amp;guest_id=31732802568386", "Ryan Tobin")</f>
        <v>Ryan Tobin</v>
      </c>
      <c r="E4975" t="s">
        <v>9647</v>
      </c>
      <c r="F4975" t="s">
        <v>9152</v>
      </c>
      <c r="G4975">
        <v>170.1</v>
      </c>
      <c r="H4975">
        <v>184.89</v>
      </c>
      <c r="I4975">
        <v>184.9</v>
      </c>
      <c r="J4975">
        <v>-0.01</v>
      </c>
    </row>
    <row r="4976" spans="1:10" x14ac:dyDescent="0.3">
      <c r="A4976" t="str">
        <f>HYPERLINK("https://us2.cloudbeds.com/connect/10074733072513#/reservations/31728425693425?display=MXFNQW0V9&amp;reservation_id=31728425693425", "MXFNQW0V9")</f>
        <v>MXFNQW0V9</v>
      </c>
      <c r="B4976" t="s">
        <v>10</v>
      </c>
      <c r="C4976" t="s">
        <v>23</v>
      </c>
      <c r="D4976" t="str">
        <f>HYPERLINK("https://us2.cloudbeds.com/connect/10074733072513#/reservations/31728425693425?display=Madeline%20Zobel&amp;reservation_id=31728425693425&amp;guest_id=31728415174805", "Madeline Zobel")</f>
        <v>Madeline Zobel</v>
      </c>
      <c r="E4976" t="s">
        <v>9649</v>
      </c>
      <c r="F4976" t="s">
        <v>9379</v>
      </c>
      <c r="G4976">
        <v>250.2</v>
      </c>
      <c r="H4976">
        <v>271.95999999999998</v>
      </c>
      <c r="I4976">
        <v>271.97000000000003</v>
      </c>
      <c r="J4976">
        <v>-0.01</v>
      </c>
    </row>
    <row r="4977" spans="1:10" x14ac:dyDescent="0.3">
      <c r="A4977" t="str">
        <f>HYPERLINK("https://us2.cloudbeds.com/connect/10074733072513#/reservations/31733336527041?display=MXJH9U715&amp;reservation_id=31733336527041", "MXJH9U715")</f>
        <v>MXJH9U715</v>
      </c>
      <c r="B4977" t="s">
        <v>10</v>
      </c>
      <c r="C4977" t="s">
        <v>121</v>
      </c>
      <c r="D4977" t="str">
        <f>HYPERLINK("https://us2.cloudbeds.com/connect/10074733072513#/reservations/31733336527041?display=John%20Harmelink&amp;reservation_id=31733336527041&amp;guest_id=31733323964565", "John Harmelink")</f>
        <v>John Harmelink</v>
      </c>
      <c r="E4977" t="s">
        <v>9650</v>
      </c>
      <c r="F4977" t="s">
        <v>8176</v>
      </c>
      <c r="G4977">
        <v>129.6</v>
      </c>
      <c r="H4977">
        <v>140.87</v>
      </c>
      <c r="I4977">
        <v>140.88</v>
      </c>
      <c r="J4977">
        <v>-0.01</v>
      </c>
    </row>
    <row r="4978" spans="1:10" x14ac:dyDescent="0.3">
      <c r="A4978" t="str">
        <f>HYPERLINK("https://us2.cloudbeds.com/connect/10074733072513#/reservations/31734666014932?display=MXKX8W5Z0&amp;reservation_id=31734666014932", "MXKX8W5Z0")</f>
        <v>MXKX8W5Z0</v>
      </c>
      <c r="B4978" t="s">
        <v>10</v>
      </c>
      <c r="C4978" t="s">
        <v>42</v>
      </c>
      <c r="D4978" t="str">
        <f>HYPERLINK("https://us2.cloudbeds.com/connect/10074733072513#/reservations/31734666014932?display=Rodney%20Henderson&amp;reservation_id=31734666014932&amp;guest_id=31723833733330", "Rodney Henderson")</f>
        <v>Rodney Henderson</v>
      </c>
      <c r="E4978" t="s">
        <v>9615</v>
      </c>
      <c r="F4978" t="s">
        <v>8176</v>
      </c>
      <c r="G4978">
        <v>129.6</v>
      </c>
      <c r="H4978">
        <v>140.87</v>
      </c>
      <c r="I4978">
        <v>140.88</v>
      </c>
      <c r="J4978">
        <v>-0.01</v>
      </c>
    </row>
    <row r="4979" spans="1:10" x14ac:dyDescent="0.3">
      <c r="A4979" t="str">
        <f>HYPERLINK("https://us2.cloudbeds.com/connect/10074733072513#/reservations/31734082470121?display=MXK3BU5TU&amp;reservation_id=31734082470121", "MXK3BU5TU")</f>
        <v>MXK3BU5TU</v>
      </c>
      <c r="B4979" t="s">
        <v>10</v>
      </c>
      <c r="C4979" t="s">
        <v>42</v>
      </c>
      <c r="D4979" t="str">
        <f>HYPERLINK("https://us2.cloudbeds.com/connect/10074733072513#/reservations/31734082470121?display=Breanne%20Noble&amp;reservation_id=31734082470121&amp;guest_id=31734071656591", "Breanne Noble")</f>
        <v>Breanne Noble</v>
      </c>
      <c r="E4979" t="s">
        <v>9651</v>
      </c>
      <c r="F4979" t="s">
        <v>9122</v>
      </c>
      <c r="G4979">
        <v>170.1</v>
      </c>
      <c r="H4979">
        <v>184.89</v>
      </c>
      <c r="I4979">
        <v>184.9</v>
      </c>
      <c r="J4979">
        <v>-0.01</v>
      </c>
    </row>
    <row r="4980" spans="1:10" x14ac:dyDescent="0.3">
      <c r="A4980" t="str">
        <f>HYPERLINK("https://us2.cloudbeds.com/connect/10074733072513#/reservations/31733143032018?display=MXJCBZUYK&amp;reservation_id=31733143032018", "MXJCBZUYK")</f>
        <v>MXJCBZUYK</v>
      </c>
      <c r="B4980" t="s">
        <v>10</v>
      </c>
      <c r="C4980" t="s">
        <v>42</v>
      </c>
      <c r="D4980" t="str">
        <f>HYPERLINK("https://us2.cloudbeds.com/connect/10074733072513#/reservations/31733143032018?display=Deb%20Moorse&amp;reservation_id=31733143032018&amp;guest_id=31733143027925", "Deb Moorse")</f>
        <v>Deb Moorse</v>
      </c>
      <c r="E4980" t="s">
        <v>9652</v>
      </c>
      <c r="F4980" t="s">
        <v>8596</v>
      </c>
      <c r="G4980">
        <v>430.2</v>
      </c>
      <c r="H4980">
        <v>467.62</v>
      </c>
      <c r="I4980">
        <v>467.63</v>
      </c>
      <c r="J4980">
        <v>-0.01</v>
      </c>
    </row>
    <row r="4981" spans="1:10" x14ac:dyDescent="0.3">
      <c r="A4981" t="str">
        <f>HYPERLINK("https://us2.cloudbeds.com/connect/10074733072513#/reservations/31734653460610?display=MXKHVCRE0&amp;reservation_id=31734653460610", "MXKHVCRE0")</f>
        <v>MXKHVCRE0</v>
      </c>
      <c r="B4981" t="s">
        <v>10</v>
      </c>
      <c r="C4981" t="s">
        <v>11</v>
      </c>
      <c r="D4981" t="str">
        <f>HYPERLINK("https://us2.cloudbeds.com/connect/10074733072513#/reservations/31734653460610?display=Roger%20Prochniak&amp;reservation_id=31734653460610&amp;guest_id=31734653456573", "Roger Prochniak")</f>
        <v>Roger Prochniak</v>
      </c>
      <c r="E4981" t="s">
        <v>9654</v>
      </c>
      <c r="F4981" t="s">
        <v>9588</v>
      </c>
      <c r="G4981">
        <v>380.8</v>
      </c>
      <c r="H4981">
        <v>413.92</v>
      </c>
      <c r="I4981">
        <v>413.93</v>
      </c>
      <c r="J4981">
        <v>-0.01</v>
      </c>
    </row>
    <row r="4982" spans="1:10" x14ac:dyDescent="0.3">
      <c r="A4982" t="str">
        <f>HYPERLINK("https://us2.cloudbeds.com/connect/10074733072513#/reservations/31734056857747?display=MXK2NAFZC&amp;reservation_id=31734056857747", "MXK2NAFZC")</f>
        <v>MXK2NAFZC</v>
      </c>
      <c r="B4982" t="s">
        <v>10</v>
      </c>
      <c r="C4982" t="s">
        <v>11</v>
      </c>
      <c r="D4982" t="str">
        <f>HYPERLINK("https://us2.cloudbeds.com/connect/10074733072513#/reservations/31734056857747?display=Ashley%20Beard&amp;reservation_id=31734056857747&amp;guest_id=31734056857742", "Ashley Beard")</f>
        <v>Ashley Beard</v>
      </c>
      <c r="E4982" t="s">
        <v>9655</v>
      </c>
      <c r="F4982" t="s">
        <v>9122</v>
      </c>
      <c r="G4982">
        <v>376.2</v>
      </c>
      <c r="H4982">
        <v>408.92</v>
      </c>
      <c r="I4982">
        <v>408.93</v>
      </c>
      <c r="J4982">
        <v>-0.01</v>
      </c>
    </row>
    <row r="4983" spans="1:10" x14ac:dyDescent="0.3">
      <c r="A4983" t="str">
        <f>HYPERLINK("https://us2.cloudbeds.com/connect/10074733072513#/reservations/31728500306147?display=MXFPNT7RS&amp;reservation_id=31728500306147", "MXFPNT7RS")</f>
        <v>MXFPNT7RS</v>
      </c>
      <c r="B4983" t="s">
        <v>10</v>
      </c>
      <c r="C4983" t="s">
        <v>20</v>
      </c>
      <c r="D4983" t="str">
        <f>HYPERLINK("https://us2.cloudbeds.com/connect/10074733072513#/reservations/31728500306147?display=Brown%20Stacy&amp;reservation_id=31728500306147&amp;guest_id=31728487239817", "Brown Stacy")</f>
        <v>Brown Stacy</v>
      </c>
      <c r="E4983" t="s">
        <v>9658</v>
      </c>
      <c r="F4983" t="s">
        <v>9621</v>
      </c>
      <c r="G4983">
        <v>447.3</v>
      </c>
      <c r="H4983">
        <v>486.21</v>
      </c>
      <c r="I4983">
        <v>486.22</v>
      </c>
      <c r="J4983">
        <v>-0.01</v>
      </c>
    </row>
    <row r="4984" spans="1:10" x14ac:dyDescent="0.3">
      <c r="A4984" t="str">
        <f>HYPERLINK("https://us2.cloudbeds.com/connect/10074733072513#/reservations/31732049867007?display=MXXHDW015&amp;reservation_id=31732049867007", "MXXHDW015")</f>
        <v>MXXHDW015</v>
      </c>
      <c r="B4984" t="s">
        <v>10</v>
      </c>
      <c r="C4984" t="s">
        <v>42</v>
      </c>
      <c r="D4984" t="str">
        <f>HYPERLINK("https://us2.cloudbeds.com/connect/10074733072513#/reservations/31732049867007?display=Joyce%20Radel&amp;reservation_id=31732049867007&amp;guest_id=30664254140642", "Joyce Radel")</f>
        <v>Joyce Radel</v>
      </c>
      <c r="E4984" t="s">
        <v>9666</v>
      </c>
      <c r="F4984" t="s">
        <v>9050</v>
      </c>
      <c r="G4984">
        <v>103.2</v>
      </c>
      <c r="H4984">
        <v>112.17</v>
      </c>
      <c r="I4984">
        <v>112.18</v>
      </c>
      <c r="J4984">
        <v>-0.01</v>
      </c>
    </row>
    <row r="4985" spans="1:10" x14ac:dyDescent="0.3">
      <c r="A4985" t="str">
        <f>HYPERLINK("https://us2.cloudbeds.com/connect/10074733072513#/reservations/31734981095600?display=MXKQAYP01&amp;reservation_id=31734981095600", "MXKQAYP01")</f>
        <v>MXKQAYP01</v>
      </c>
      <c r="B4985" t="s">
        <v>10</v>
      </c>
      <c r="C4985" t="s">
        <v>20</v>
      </c>
      <c r="D4985" t="str">
        <f>HYPERLINK("https://us2.cloudbeds.com/connect/10074733072513#/reservations/31734981095600?display=Justin%20Greene&amp;reservation_id=31734981095600&amp;guest_id=31734981095595", "Justin Greene")</f>
        <v>Justin Greene</v>
      </c>
      <c r="E4985" t="s">
        <v>9667</v>
      </c>
      <c r="F4985" t="s">
        <v>9511</v>
      </c>
      <c r="G4985">
        <v>170.1</v>
      </c>
      <c r="H4985">
        <v>184.89</v>
      </c>
      <c r="I4985">
        <v>184.9</v>
      </c>
      <c r="J4985">
        <v>-0.01</v>
      </c>
    </row>
    <row r="4986" spans="1:10" x14ac:dyDescent="0.3">
      <c r="A4986" t="str">
        <f>HYPERLINK("https://us2.cloudbeds.com/connect/10074733072513#/reservations/31728090407128?display=MXFF886CF&amp;reservation_id=31728090407128", "MXFF886CF")</f>
        <v>MXFF886CF</v>
      </c>
      <c r="B4986" t="s">
        <v>10</v>
      </c>
      <c r="C4986" t="s">
        <v>23</v>
      </c>
      <c r="D4986" t="str">
        <f>HYPERLINK("https://us2.cloudbeds.com/connect/10074733072513#/reservations/31728090407128?display=Karen%20Ask&amp;reservation_id=31728090407128&amp;guest_id=31728090407123", "Karen Ask")</f>
        <v>Karen Ask</v>
      </c>
      <c r="E4986" t="s">
        <v>9691</v>
      </c>
      <c r="F4986" t="s">
        <v>9581</v>
      </c>
      <c r="G4986">
        <v>259.2</v>
      </c>
      <c r="H4986">
        <v>281.74</v>
      </c>
      <c r="I4986">
        <v>281.75</v>
      </c>
      <c r="J4986">
        <v>-0.01</v>
      </c>
    </row>
    <row r="4987" spans="1:10" x14ac:dyDescent="0.3">
      <c r="A4987" t="str">
        <f>HYPERLINK("https://us2.cloudbeds.com/connect/10074733072513#/reservations/31733319434403?display=MXJGSGJAD&amp;reservation_id=31733319434403", "MXJGSGJAD")</f>
        <v>MXJGSGJAD</v>
      </c>
      <c r="B4987" t="s">
        <v>10</v>
      </c>
      <c r="C4987" t="s">
        <v>23</v>
      </c>
      <c r="D4987" t="str">
        <f>HYPERLINK("https://us2.cloudbeds.com/connect/10074733072513#/reservations/31733319434403?display=Ann%20Carroll&amp;reservation_id=31733319434403&amp;guest_id=31733319430322", "Ann Carroll")</f>
        <v>Ann Carroll</v>
      </c>
      <c r="E4987" t="s">
        <v>9696</v>
      </c>
      <c r="F4987" t="s">
        <v>9256</v>
      </c>
      <c r="G4987">
        <v>170.1</v>
      </c>
      <c r="H4987">
        <v>184.89</v>
      </c>
      <c r="I4987">
        <v>184.9</v>
      </c>
      <c r="J4987">
        <v>-0.01</v>
      </c>
    </row>
    <row r="4988" spans="1:10" x14ac:dyDescent="0.3">
      <c r="A4988" t="str">
        <f>HYPERLINK("https://us2.cloudbeds.com/connect/10074733072513#/reservations/31731173494946?display=MXHS0WYM1&amp;reservation_id=31731173494946", "MXHS0WYM1")</f>
        <v>MXHS0WYM1</v>
      </c>
      <c r="B4988" t="s">
        <v>10</v>
      </c>
      <c r="C4988" t="s">
        <v>11</v>
      </c>
      <c r="D4988" t="str">
        <f>HYPERLINK("https://us2.cloudbeds.com/connect/10074733072513#/reservations/31731173494946?display=Manoj%20Kumar%20Nagarajan&amp;reservation_id=31731173494946&amp;guest_id=31731173494944", "Manoj Kumar Nagarajan")</f>
        <v>Manoj Kumar Nagarajan</v>
      </c>
      <c r="E4988" t="s">
        <v>9708</v>
      </c>
      <c r="F4988" t="s">
        <v>9152</v>
      </c>
      <c r="G4988">
        <v>143.66</v>
      </c>
      <c r="H4988">
        <v>156.15</v>
      </c>
      <c r="I4988">
        <v>156.16</v>
      </c>
      <c r="J4988">
        <v>-0.01</v>
      </c>
    </row>
    <row r="4989" spans="1:10" x14ac:dyDescent="0.3">
      <c r="A4989" t="str">
        <f>HYPERLINK("https://us2.cloudbeds.com/connect/10074733072513#/reservations/31734440702115?display=MXKCGWGTT&amp;reservation_id=31734440702115", "MXKCGWGTT")</f>
        <v>MXKCGWGTT</v>
      </c>
      <c r="B4989" t="s">
        <v>10</v>
      </c>
      <c r="C4989" t="s">
        <v>14</v>
      </c>
      <c r="D4989" t="str">
        <f>HYPERLINK("https://us2.cloudbeds.com/connect/10074733072513#/reservations/31734440702115?display=Malachi%20Griffin&amp;reservation_id=31734440702115&amp;guest_id=31734440698020", "Malachi Griffin")</f>
        <v>Malachi Griffin</v>
      </c>
      <c r="E4989" t="s">
        <v>9709</v>
      </c>
      <c r="F4989" t="s">
        <v>9152</v>
      </c>
      <c r="G4989">
        <v>154.24</v>
      </c>
      <c r="H4989">
        <v>167.65</v>
      </c>
      <c r="I4989">
        <v>167.66</v>
      </c>
      <c r="J4989">
        <v>-0.01</v>
      </c>
    </row>
    <row r="4990" spans="1:10" x14ac:dyDescent="0.3">
      <c r="A4990" t="str">
        <f>HYPERLINK("https://us2.cloudbeds.com/connect/10074733072513#/reservations/31732084768901?display=MXXXAD6HA&amp;reservation_id=31732084768901", "MXXXAD6HA")</f>
        <v>MXXXAD6HA</v>
      </c>
      <c r="B4990" t="s">
        <v>10</v>
      </c>
      <c r="C4990" t="s">
        <v>20</v>
      </c>
      <c r="D4990" t="str">
        <f>HYPERLINK("https://us2.cloudbeds.com/connect/10074733072513#/reservations/31732084768901?display=Terry%20Brennan&amp;reservation_id=31732084768901&amp;guest_id=31732076749038", "Terry Brennan")</f>
        <v>Terry Brennan</v>
      </c>
      <c r="E4990" t="s">
        <v>9719</v>
      </c>
      <c r="F4990" t="s">
        <v>7468</v>
      </c>
      <c r="G4990">
        <v>170.1</v>
      </c>
      <c r="H4990">
        <v>184.89</v>
      </c>
      <c r="I4990">
        <v>184.9</v>
      </c>
      <c r="J4990">
        <v>-0.01</v>
      </c>
    </row>
    <row r="4991" spans="1:10" x14ac:dyDescent="0.3">
      <c r="A4991" t="str">
        <f>HYPERLINK("https://us2.cloudbeds.com/connect/10074733072513#/reservations/31734299050178?display=MXK8THRYV&amp;reservation_id=31734299050178", "MXK8THRYV")</f>
        <v>MXK8THRYV</v>
      </c>
      <c r="B4991" t="s">
        <v>10</v>
      </c>
      <c r="C4991" t="s">
        <v>11</v>
      </c>
      <c r="D4991" t="str">
        <f>HYPERLINK("https://us2.cloudbeds.com/connect/10074733072513#/reservations/31734299050178?display=Amanda%20Arndt&amp;reservation_id=31734299050178&amp;guest_id=31734299050176", "Amanda Arndt")</f>
        <v>Amanda Arndt</v>
      </c>
      <c r="E4991" t="s">
        <v>9722</v>
      </c>
      <c r="F4991" t="s">
        <v>9338</v>
      </c>
      <c r="G4991">
        <v>154.24</v>
      </c>
      <c r="H4991">
        <v>167.65</v>
      </c>
      <c r="I4991">
        <v>167.66</v>
      </c>
      <c r="J4991">
        <v>-0.01</v>
      </c>
    </row>
    <row r="4992" spans="1:10" x14ac:dyDescent="0.3">
      <c r="A4992" t="str">
        <f>HYPERLINK("https://us2.cloudbeds.com/connect/10074733072513#/reservations/31727898534085?display=MXFABF1DR&amp;reservation_id=31727898534085", "MXFABF1DR")</f>
        <v>MXFABF1DR</v>
      </c>
      <c r="B4992" t="s">
        <v>10</v>
      </c>
      <c r="C4992" t="s">
        <v>17</v>
      </c>
      <c r="D4992" t="str">
        <f>HYPERLINK("https://us2.cloudbeds.com/connect/10074733072513#/reservations/31727898534085?display=Susan%20Mueller&amp;reservation_id=31727898534085&amp;guest_id=31727886586023", "Susan Mueller")</f>
        <v>Susan Mueller</v>
      </c>
      <c r="E4992" t="s">
        <v>9724</v>
      </c>
      <c r="F4992" t="s">
        <v>9617</v>
      </c>
      <c r="G4992">
        <v>500.4</v>
      </c>
      <c r="H4992">
        <v>543.91999999999996</v>
      </c>
      <c r="I4992">
        <v>543.92999999999995</v>
      </c>
      <c r="J4992">
        <v>-0.01</v>
      </c>
    </row>
    <row r="4993" spans="1:10" x14ac:dyDescent="0.3">
      <c r="A4993" t="str">
        <f>HYPERLINK("https://us2.cloudbeds.com/connect/10074733072513#/reservations/31734623719667?display=MXKH6A83A&amp;reservation_id=31734623719667", "MXKH6A83A")</f>
        <v>MXKH6A83A</v>
      </c>
      <c r="B4993" t="s">
        <v>10</v>
      </c>
      <c r="C4993" t="s">
        <v>11</v>
      </c>
      <c r="D4993" t="str">
        <f>HYPERLINK("https://us2.cloudbeds.com/connect/10074733072513#/reservations/31734623719667?display=Robert%20Krier&amp;reservation_id=31734623719667&amp;guest_id=31734623719662", "Robert Krier")</f>
        <v>Robert Krier</v>
      </c>
      <c r="E4993" t="s">
        <v>9727</v>
      </c>
      <c r="F4993" t="s">
        <v>9152</v>
      </c>
      <c r="G4993">
        <v>150.22</v>
      </c>
      <c r="H4993">
        <v>163.28</v>
      </c>
      <c r="I4993">
        <v>163.29</v>
      </c>
      <c r="J4993">
        <v>-0.01</v>
      </c>
    </row>
    <row r="4994" spans="1:10" x14ac:dyDescent="0.3">
      <c r="A4994" t="str">
        <f>HYPERLINK("https://us2.cloudbeds.com/connect/10074733072513#/reservations/31735407530131?display=MXY477UJX&amp;reservation_id=31735407530131", "MXY477UJX")</f>
        <v>MXY477UJX</v>
      </c>
      <c r="B4994" t="s">
        <v>10</v>
      </c>
      <c r="C4994" t="s">
        <v>42</v>
      </c>
      <c r="D4994" t="str">
        <f>HYPERLINK("https://us2.cloudbeds.com/connect/10074733072513#/reservations/31735407530131?display=Barbara%20Douglas&amp;reservation_id=31735407530131&amp;guest_id=31735407530118", "Barbara Douglas")</f>
        <v>Barbara Douglas</v>
      </c>
      <c r="E4994" t="s">
        <v>9730</v>
      </c>
      <c r="F4994" t="s">
        <v>9287</v>
      </c>
      <c r="G4994">
        <v>230.2</v>
      </c>
      <c r="H4994">
        <v>250.22</v>
      </c>
      <c r="I4994">
        <v>250.23</v>
      </c>
      <c r="J4994">
        <v>-0.01</v>
      </c>
    </row>
    <row r="4995" spans="1:10" x14ac:dyDescent="0.3">
      <c r="A4995" t="str">
        <f>HYPERLINK("https://us2.cloudbeds.com/connect/10074733072513#/reservations/31734433624302?display=MXKCB0XHN&amp;reservation_id=31734433624302", "MXKCB0XHN")</f>
        <v>MXKCB0XHN</v>
      </c>
      <c r="B4995" t="s">
        <v>10</v>
      </c>
      <c r="C4995" t="s">
        <v>11</v>
      </c>
      <c r="D4995" t="str">
        <f>HYPERLINK("https://us2.cloudbeds.com/connect/10074733072513#/reservations/31734433624302?display=Allen%20Amborn&amp;reservation_id=31734433624302&amp;guest_id=31734422335629", "Allen Amborn")</f>
        <v>Allen Amborn</v>
      </c>
      <c r="E4995" t="s">
        <v>9736</v>
      </c>
      <c r="F4995" t="s">
        <v>9256</v>
      </c>
      <c r="G4995">
        <v>150.22</v>
      </c>
      <c r="H4995">
        <v>163.28</v>
      </c>
      <c r="I4995">
        <v>163.29</v>
      </c>
      <c r="J4995">
        <v>-0.01</v>
      </c>
    </row>
    <row r="4996" spans="1:10" x14ac:dyDescent="0.3">
      <c r="A4996" t="str">
        <f>HYPERLINK("https://us2.cloudbeds.com/connect/10074733072513#/reservations/31733443604699?display=MXJK16QKM&amp;reservation_id=31733443604699", "MXJK16QKM")</f>
        <v>MXJK16QKM</v>
      </c>
      <c r="B4996" t="s">
        <v>10</v>
      </c>
      <c r="C4996" t="s">
        <v>42</v>
      </c>
      <c r="D4996" t="str">
        <f>HYPERLINK("https://us2.cloudbeds.com/connect/10074733072513#/reservations/31733443604699?display=Ceridwen%20Escobedo&amp;reservation_id=31733443604699&amp;guest_id=31733434642682", "Ceridwen Escobedo")</f>
        <v>Ceridwen Escobedo</v>
      </c>
      <c r="E4996" t="s">
        <v>9737</v>
      </c>
      <c r="F4996" t="s">
        <v>9256</v>
      </c>
      <c r="G4996">
        <v>376.2</v>
      </c>
      <c r="H4996">
        <v>408.92</v>
      </c>
      <c r="I4996">
        <v>408.93</v>
      </c>
      <c r="J4996">
        <v>-0.01</v>
      </c>
    </row>
    <row r="4997" spans="1:10" x14ac:dyDescent="0.3">
      <c r="A4997" t="str">
        <f>HYPERLINK("https://us2.cloudbeds.com/connect/10074733072513#/reservations/31726430716127?display=MXE5RZRSP&amp;reservation_id=31726430716127", "MXE5RZRSP")</f>
        <v>MXE5RZRSP</v>
      </c>
      <c r="B4997" t="s">
        <v>10</v>
      </c>
      <c r="C4997" t="s">
        <v>14</v>
      </c>
      <c r="D4997" t="str">
        <f>HYPERLINK("https://us2.cloudbeds.com/connect/10074733072513#/reservations/31726430716127?display=Sharon%20Kay%20Bailey&amp;reservation_id=31726430716127&amp;guest_id=31726430716111", "Sharon Kay Bailey")</f>
        <v>Sharon Kay Bailey</v>
      </c>
      <c r="E4997" t="s">
        <v>9745</v>
      </c>
      <c r="F4997" t="s">
        <v>8801</v>
      </c>
      <c r="G4997">
        <v>304.2</v>
      </c>
      <c r="H4997">
        <v>330.66</v>
      </c>
      <c r="I4997">
        <v>330.67</v>
      </c>
      <c r="J4997">
        <v>-0.01</v>
      </c>
    </row>
    <row r="4998" spans="1:10" x14ac:dyDescent="0.3">
      <c r="A4998" t="str">
        <f>HYPERLINK("https://us2.cloudbeds.com/connect/10074733072513#/reservations/31732453138584?display=MXXRZ0KMW&amp;reservation_id=31732453138584", "MXXRZ0KMW")</f>
        <v>MXXRZ0KMW</v>
      </c>
      <c r="B4998" t="s">
        <v>10</v>
      </c>
      <c r="C4998" t="s">
        <v>23</v>
      </c>
      <c r="D4998" t="str">
        <f>HYPERLINK("https://us2.cloudbeds.com/connect/10074733072513#/reservations/31732453138584?display=Cheryl%20Diede&amp;reservation_id=31732453138584&amp;guest_id=31732444102897", "Cheryl Diede")</f>
        <v>Cheryl Diede</v>
      </c>
      <c r="E4998" t="s">
        <v>9747</v>
      </c>
      <c r="F4998" t="s">
        <v>9122</v>
      </c>
      <c r="G4998">
        <v>627.29999999999995</v>
      </c>
      <c r="H4998">
        <v>681.87</v>
      </c>
      <c r="I4998">
        <v>681.88</v>
      </c>
      <c r="J4998">
        <v>-0.01</v>
      </c>
    </row>
    <row r="4999" spans="1:10" x14ac:dyDescent="0.3">
      <c r="A4999" t="str">
        <f>HYPERLINK("https://us2.cloudbeds.com/connect/10074733072513#/reservations/31734861119651?display=MXKN8G887&amp;reservation_id=31734861119651", "MXKN8G887")</f>
        <v>MXKN8G887</v>
      </c>
      <c r="B4999" t="s">
        <v>10</v>
      </c>
      <c r="C4999" t="s">
        <v>42</v>
      </c>
      <c r="D4999" t="str">
        <f>HYPERLINK("https://us2.cloudbeds.com/connect/10074733072513#/reservations/31734861119651?display=Michele%20Keck&amp;reservation_id=31734861119651&amp;guest_id=31723361251556", "Michele Keck")</f>
        <v>Michele Keck</v>
      </c>
      <c r="E4999" t="s">
        <v>9749</v>
      </c>
      <c r="F4999" t="s">
        <v>9256</v>
      </c>
      <c r="G4999">
        <v>224.1</v>
      </c>
      <c r="H4999">
        <v>243.59</v>
      </c>
      <c r="I4999">
        <v>243.6</v>
      </c>
      <c r="J4999">
        <v>-0.01</v>
      </c>
    </row>
    <row r="5000" spans="1:10" x14ac:dyDescent="0.3">
      <c r="A5000" t="str">
        <f>HYPERLINK("https://us2.cloudbeds.com/connect/10074733072513#/reservations/31732473053346?display=MXXS7QPTK&amp;reservation_id=31732473053346", "MXXS7QPTK")</f>
        <v>MXXS7QPTK</v>
      </c>
      <c r="B5000" t="s">
        <v>10</v>
      </c>
      <c r="C5000" t="s">
        <v>23</v>
      </c>
      <c r="D5000" t="str">
        <f>HYPERLINK("https://us2.cloudbeds.com/connect/10074733072513#/reservations/31732473053346?display=Cheryl%20Diede&amp;reservation_id=31732473053346&amp;guest_id=31732463972547", "Cheryl Diede")</f>
        <v>Cheryl Diede</v>
      </c>
      <c r="E5000" t="s">
        <v>9747</v>
      </c>
      <c r="F5000" t="s">
        <v>9122</v>
      </c>
      <c r="G5000">
        <v>627.29999999999995</v>
      </c>
      <c r="H5000">
        <v>681.87</v>
      </c>
      <c r="I5000">
        <v>681.88</v>
      </c>
      <c r="J5000">
        <v>-0.01</v>
      </c>
    </row>
    <row r="5001" spans="1:10" x14ac:dyDescent="0.3">
      <c r="A5001" t="str">
        <f>HYPERLINK("https://us2.cloudbeds.com/connect/10074733072513#/reservations/31731033895096?display=MXHZF92QX&amp;reservation_id=31731033895096", "MXHZF92QX")</f>
        <v>MXHZF92QX</v>
      </c>
      <c r="B5001" t="s">
        <v>10</v>
      </c>
      <c r="C5001" t="s">
        <v>42</v>
      </c>
      <c r="D5001" t="str">
        <f>HYPERLINK("https://us2.cloudbeds.com/connect/10074733072513#/reservations/31731033895096?display=Jacob%20Turk&amp;reservation_id=31731033895096&amp;guest_id=31731033895048", "Jacob Turk")</f>
        <v>Jacob Turk</v>
      </c>
      <c r="E5001" t="s">
        <v>9754</v>
      </c>
      <c r="F5001" t="s">
        <v>7468</v>
      </c>
      <c r="G5001">
        <v>170.1</v>
      </c>
      <c r="H5001">
        <v>184.89</v>
      </c>
      <c r="I5001">
        <v>184.9</v>
      </c>
      <c r="J5001">
        <v>-0.01</v>
      </c>
    </row>
    <row r="5002" spans="1:10" x14ac:dyDescent="0.3">
      <c r="A5002" t="str">
        <f>HYPERLINK("https://us2.cloudbeds.com/connect/10074733072513#/reservations/31731708924038?display=MXX8NFP31&amp;reservation_id=31731708924038", "MXX8NFP31")</f>
        <v>MXX8NFP31</v>
      </c>
      <c r="B5002" t="s">
        <v>10</v>
      </c>
      <c r="C5002" t="s">
        <v>11</v>
      </c>
      <c r="D5002" t="str">
        <f>HYPERLINK("https://us2.cloudbeds.com/connect/10074733072513#/reservations/31731708924038?display=Anna%20Ecabert&amp;reservation_id=31731708924038&amp;guest_id=31731708924033", "Anna Ecabert")</f>
        <v>Anna Ecabert</v>
      </c>
      <c r="E5002" t="s">
        <v>9767</v>
      </c>
      <c r="F5002" t="s">
        <v>8920</v>
      </c>
      <c r="G5002">
        <v>150.22</v>
      </c>
      <c r="H5002">
        <v>163.28</v>
      </c>
      <c r="I5002">
        <v>163.29</v>
      </c>
      <c r="J5002">
        <v>-0.01</v>
      </c>
    </row>
    <row r="5003" spans="1:10" x14ac:dyDescent="0.3">
      <c r="A5003" t="str">
        <f>HYPERLINK("https://us2.cloudbeds.com/connect/10074733072513#/reservations/31734396903657?display=MXKBD1ZUT&amp;reservation_id=31734396903657", "MXKBD1ZUT")</f>
        <v>MXKBD1ZUT</v>
      </c>
      <c r="B5003" t="s">
        <v>10</v>
      </c>
      <c r="C5003" t="s">
        <v>11</v>
      </c>
      <c r="D5003" t="str">
        <f>HYPERLINK("https://us2.cloudbeds.com/connect/10074733072513#/reservations/31734396903657?display=Edward%20B%20Ortmeier&amp;reservation_id=31734396903657&amp;guest_id=31734377832599", "Edward B Ortmeier")</f>
        <v>Edward B Ortmeier</v>
      </c>
      <c r="E5003" t="s">
        <v>9777</v>
      </c>
      <c r="F5003" t="s">
        <v>9453</v>
      </c>
      <c r="G5003">
        <v>154.24</v>
      </c>
      <c r="H5003">
        <v>167.65</v>
      </c>
      <c r="I5003">
        <v>167.66</v>
      </c>
      <c r="J5003">
        <v>-0.01</v>
      </c>
    </row>
    <row r="5004" spans="1:10" x14ac:dyDescent="0.3">
      <c r="A5004" t="str">
        <f>HYPERLINK("https://us2.cloudbeds.com/connect/10074733072513#/reservations/31734248292589?display=MXK7JZEA6&amp;reservation_id=31734248292589", "MXK7JZEA6")</f>
        <v>MXK7JZEA6</v>
      </c>
      <c r="B5004" t="s">
        <v>10</v>
      </c>
      <c r="C5004" t="s">
        <v>11</v>
      </c>
      <c r="D5004" t="str">
        <f>HYPERLINK("https://us2.cloudbeds.com/connect/10074733072513#/reservations/31734248292589?display=Edward%20B%20Ortmire&amp;reservation_id=31734248292589&amp;guest_id=31734248292586", "Edward B Ortmire")</f>
        <v>Edward B Ortmire</v>
      </c>
      <c r="E5004" t="s">
        <v>9782</v>
      </c>
      <c r="F5004" t="s">
        <v>8920</v>
      </c>
      <c r="G5004">
        <v>154.24</v>
      </c>
      <c r="H5004">
        <v>167.65</v>
      </c>
      <c r="I5004">
        <v>167.66</v>
      </c>
      <c r="J5004">
        <v>-0.01</v>
      </c>
    </row>
    <row r="5005" spans="1:10" x14ac:dyDescent="0.3">
      <c r="A5005" t="str">
        <f>HYPERLINK("https://us2.cloudbeds.com/connect/10074733072513#/reservations/31730875523211?display=MXHKDZ52H&amp;reservation_id=31730875523211", "MXHKDZ52H")</f>
        <v>MXHKDZ52H</v>
      </c>
      <c r="B5005" t="s">
        <v>10</v>
      </c>
      <c r="C5005" t="s">
        <v>11</v>
      </c>
      <c r="D5005" t="str">
        <f>HYPERLINK("https://us2.cloudbeds.com/connect/10074733072513#/reservations/31730875523211?display=Lindsey%20Thomas&amp;reservation_id=31730875523211&amp;guest_id=31730875519121", "Lindsey Thomas")</f>
        <v>Lindsey Thomas</v>
      </c>
      <c r="E5005" t="s">
        <v>9784</v>
      </c>
      <c r="F5005" t="s">
        <v>8596</v>
      </c>
      <c r="G5005">
        <v>408.36</v>
      </c>
      <c r="H5005">
        <v>443.88</v>
      </c>
      <c r="I5005">
        <v>443.89</v>
      </c>
      <c r="J5005">
        <v>-0.01</v>
      </c>
    </row>
    <row r="5006" spans="1:10" x14ac:dyDescent="0.3">
      <c r="A5006" t="str">
        <f>HYPERLINK("https://us2.cloudbeds.com/connect/10074733072513#/reservations/31732148744395?display=MXXJVBDHY&amp;reservation_id=31732148744395", "MXXJVBDHY")</f>
        <v>MXXJVBDHY</v>
      </c>
      <c r="B5006" t="s">
        <v>10</v>
      </c>
      <c r="C5006" t="s">
        <v>11</v>
      </c>
      <c r="D5006" t="str">
        <f>HYPERLINK("https://us2.cloudbeds.com/connect/10074733072513#/reservations/31732148744395?display=Nancy%20Weir&amp;reservation_id=31732148744395&amp;guest_id=31732148744392", "Nancy Weir")</f>
        <v>Nancy Weir</v>
      </c>
      <c r="E5006" t="s">
        <v>9787</v>
      </c>
      <c r="F5006" t="s">
        <v>9239</v>
      </c>
      <c r="G5006">
        <v>106.27</v>
      </c>
      <c r="H5006">
        <v>115.51</v>
      </c>
      <c r="I5006">
        <v>115.52</v>
      </c>
      <c r="J5006">
        <v>-0.01</v>
      </c>
    </row>
    <row r="5007" spans="1:10" x14ac:dyDescent="0.3">
      <c r="A5007" t="str">
        <f>HYPERLINK("https://us2.cloudbeds.com/connect/10074733072513#/reservations/31730318024896?display=MXH5VEDJZ&amp;reservation_id=31730318024896", "MXH5VEDJZ")</f>
        <v>MXH5VEDJZ</v>
      </c>
      <c r="B5007" t="s">
        <v>10</v>
      </c>
      <c r="C5007" t="s">
        <v>23</v>
      </c>
      <c r="D5007" t="str">
        <f>HYPERLINK("https://us2.cloudbeds.com/connect/10074733072513#/reservations/31730318024896?display=Scott%20Mortensen&amp;reservation_id=31730318024896&amp;guest_id=31730309488785", "Scott Mortensen")</f>
        <v>Scott Mortensen</v>
      </c>
      <c r="E5007" t="s">
        <v>9788</v>
      </c>
      <c r="F5007" t="s">
        <v>9617</v>
      </c>
      <c r="G5007">
        <v>129.6</v>
      </c>
      <c r="H5007">
        <v>140.87</v>
      </c>
      <c r="I5007">
        <v>140.88</v>
      </c>
      <c r="J5007">
        <v>-0.01</v>
      </c>
    </row>
    <row r="5008" spans="1:10" x14ac:dyDescent="0.3">
      <c r="A5008" t="str">
        <f>HYPERLINK("https://us2.cloudbeds.com/connect/10074733072513#/reservations/31731696341184?display=MXX7WYAXH&amp;reservation_id=31731696341184", "MXX7WYAXH")</f>
        <v>MXX7WYAXH</v>
      </c>
      <c r="B5008" t="s">
        <v>10</v>
      </c>
      <c r="C5008" t="s">
        <v>121</v>
      </c>
      <c r="D5008" t="str">
        <f>HYPERLINK("https://us2.cloudbeds.com/connect/10074733072513#/reservations/31731696341184?display=Lynn%20Anderson&amp;reservation_id=31731696341184&amp;guest_id=31731680661730", "Lynn Anderson")</f>
        <v>Lynn Anderson</v>
      </c>
      <c r="E5008" t="s">
        <v>9790</v>
      </c>
      <c r="F5008" t="s">
        <v>9239</v>
      </c>
      <c r="G5008">
        <v>127.2</v>
      </c>
      <c r="H5008">
        <v>138.26</v>
      </c>
      <c r="I5008">
        <v>138.27000000000001</v>
      </c>
      <c r="J5008">
        <v>-0.01</v>
      </c>
    </row>
    <row r="5009" spans="1:10" x14ac:dyDescent="0.3">
      <c r="A5009" t="str">
        <f>HYPERLINK("https://us2.cloudbeds.com/connect/10074733072513#/reservations/31734562926741?display=MXKFY1JXE&amp;reservation_id=31734562926741", "MXKFY1JXE")</f>
        <v>MXKFY1JXE</v>
      </c>
      <c r="B5009" t="s">
        <v>10</v>
      </c>
      <c r="C5009" t="s">
        <v>11</v>
      </c>
      <c r="D5009" t="str">
        <f>HYPERLINK("https://us2.cloudbeds.com/connect/10074733072513#/reservations/31734562926741?display=Maria%20Sherrard&amp;reservation_id=31734562926741&amp;guest_id=31734562926739", "Maria Sherrard")</f>
        <v>Maria Sherrard</v>
      </c>
      <c r="E5009" t="s">
        <v>9792</v>
      </c>
      <c r="F5009" t="s">
        <v>9660</v>
      </c>
      <c r="G5009">
        <v>182.36</v>
      </c>
      <c r="H5009">
        <v>198.22</v>
      </c>
      <c r="I5009">
        <v>198.23</v>
      </c>
      <c r="J5009">
        <v>-0.01</v>
      </c>
    </row>
    <row r="5010" spans="1:10" x14ac:dyDescent="0.3">
      <c r="A5010" t="str">
        <f>HYPERLINK("https://us2.cloudbeds.com/connect/10074733072513#/reservations/31726090305721?display=MXDU4NDVU&amp;reservation_id=31726090305721", "MXDU4NDVU")</f>
        <v>MXDU4NDVU</v>
      </c>
      <c r="B5010" t="s">
        <v>10</v>
      </c>
      <c r="C5010" t="s">
        <v>20</v>
      </c>
      <c r="D5010" t="str">
        <f>HYPERLINK("https://us2.cloudbeds.com/connect/10074733072513#/reservations/31726090305721?display=James%20Huson&amp;reservation_id=31726090305721&amp;guest_id=31726090305717", "James Huson")</f>
        <v>James Huson</v>
      </c>
      <c r="E5010" t="s">
        <v>9793</v>
      </c>
      <c r="F5010" t="s">
        <v>9794</v>
      </c>
      <c r="G5010">
        <v>129.6</v>
      </c>
      <c r="H5010">
        <v>140.87</v>
      </c>
      <c r="I5010">
        <v>140.88</v>
      </c>
      <c r="J5010">
        <v>-0.01</v>
      </c>
    </row>
    <row r="5011" spans="1:10" x14ac:dyDescent="0.3">
      <c r="A5011" t="str">
        <f>HYPERLINK("https://us2.cloudbeds.com/connect/10074733072513#/reservations/31734261350541?display=MXK7UZQ2N&amp;reservation_id=31734261350541", "MXK7UZQ2N")</f>
        <v>MXK7UZQ2N</v>
      </c>
      <c r="B5011" t="s">
        <v>10</v>
      </c>
      <c r="C5011" t="s">
        <v>42</v>
      </c>
      <c r="D5011" t="str">
        <f>HYPERLINK("https://us2.cloudbeds.com/connect/10074733072513#/reservations/31734261350541?display=Cynthia%20Schlosser&amp;reservation_id=31734261350541&amp;guest_id=31734261346488", "Cynthia Schlosser")</f>
        <v>Cynthia Schlosser</v>
      </c>
      <c r="E5011" t="s">
        <v>9796</v>
      </c>
      <c r="F5011" t="s">
        <v>9453</v>
      </c>
      <c r="G5011">
        <v>224.1</v>
      </c>
      <c r="H5011">
        <v>243.59</v>
      </c>
      <c r="I5011">
        <v>243.6</v>
      </c>
      <c r="J5011">
        <v>-0.01</v>
      </c>
    </row>
    <row r="5012" spans="1:10" x14ac:dyDescent="0.3">
      <c r="A5012" t="str">
        <f>HYPERLINK("https://us2.cloudbeds.com/connect/10074733072513#/reservations/31730323972314?display=MXH6AYEDW&amp;reservation_id=31730323972314", "MXH6AYEDW")</f>
        <v>MXH6AYEDW</v>
      </c>
      <c r="B5012" t="s">
        <v>10</v>
      </c>
      <c r="C5012" t="s">
        <v>20</v>
      </c>
      <c r="D5012" t="str">
        <f>HYPERLINK("https://us2.cloudbeds.com/connect/10074733072513#/reservations/31730323972314?display=Charles%20Anderson&amp;reservation_id=31730323972314&amp;guest_id=31730318024957", "Charles Anderson")</f>
        <v>Charles Anderson</v>
      </c>
      <c r="E5012" t="s">
        <v>9797</v>
      </c>
      <c r="F5012" t="s">
        <v>9617</v>
      </c>
      <c r="G5012">
        <v>129.6</v>
      </c>
      <c r="H5012">
        <v>140.87</v>
      </c>
      <c r="I5012">
        <v>140.88</v>
      </c>
      <c r="J5012">
        <v>-0.01</v>
      </c>
    </row>
    <row r="5013" spans="1:10" x14ac:dyDescent="0.3">
      <c r="A5013" t="str">
        <f>HYPERLINK("https://us2.cloudbeds.com/connect/10074733072513#/reservations/31734363263198?display=MXKAHMYQ1&amp;reservation_id=31734363263198", "MXKAHMYQ1")</f>
        <v>MXKAHMYQ1</v>
      </c>
      <c r="B5013" t="s">
        <v>10</v>
      </c>
      <c r="C5013" t="s">
        <v>14</v>
      </c>
      <c r="D5013" t="str">
        <f>HYPERLINK("https://us2.cloudbeds.com/connect/10074733072513#/reservations/31734363263198?display=Tracey%20Eisenbraun&amp;reservation_id=31734363263198&amp;guest_id=31734363263193", "Tracey Eisenbraun")</f>
        <v>Tracey Eisenbraun</v>
      </c>
      <c r="E5013" t="s">
        <v>9802</v>
      </c>
      <c r="F5013" t="s">
        <v>9338</v>
      </c>
      <c r="G5013">
        <v>154.24</v>
      </c>
      <c r="H5013">
        <v>167.65</v>
      </c>
      <c r="I5013">
        <v>167.66</v>
      </c>
      <c r="J5013">
        <v>-0.01</v>
      </c>
    </row>
    <row r="5014" spans="1:10" x14ac:dyDescent="0.3">
      <c r="A5014" t="str">
        <f>HYPERLINK("https://us2.cloudbeds.com/connect/10074733072513#/reservations/31734071652500?display=MXK32Q5C7&amp;reservation_id=31734071652500", "MXK32Q5C7")</f>
        <v>MXK32Q5C7</v>
      </c>
      <c r="B5014" t="s">
        <v>10</v>
      </c>
      <c r="C5014" t="s">
        <v>14</v>
      </c>
      <c r="D5014" t="str">
        <f>HYPERLINK("https://us2.cloudbeds.com/connect/10074733072513#/reservations/31734071652500?display=Therese%20Marzouk&amp;reservation_id=31734071652500&amp;guest_id=31734071652495", "Therese Marzouk")</f>
        <v>Therese Marzouk</v>
      </c>
      <c r="E5014" t="s">
        <v>9804</v>
      </c>
      <c r="F5014" t="s">
        <v>9122</v>
      </c>
      <c r="G5014">
        <v>154.24</v>
      </c>
      <c r="H5014">
        <v>167.65</v>
      </c>
      <c r="I5014">
        <v>167.66</v>
      </c>
      <c r="J5014">
        <v>-0.01</v>
      </c>
    </row>
    <row r="5015" spans="1:10" x14ac:dyDescent="0.3">
      <c r="A5015" t="str">
        <f>HYPERLINK("https://us2.cloudbeds.com/connect/10074733072513#/reservations/31734327910574?display=MXK9KSUDD&amp;reservation_id=31734327910574", "MXK9KSUDD")</f>
        <v>MXK9KSUDD</v>
      </c>
      <c r="B5015" t="s">
        <v>10</v>
      </c>
      <c r="C5015" t="s">
        <v>23</v>
      </c>
      <c r="D5015" t="str">
        <f>HYPERLINK("https://us2.cloudbeds.com/connect/10074733072513#/reservations/31734327910574?display=Laurie%20Schweitzberger&amp;reservation_id=31734327910574&amp;guest_id=31734314082515", "Laurie Schweitzberger")</f>
        <v>Laurie Schweitzberger</v>
      </c>
      <c r="E5015" t="s">
        <v>9807</v>
      </c>
      <c r="F5015" t="s">
        <v>9338</v>
      </c>
      <c r="G5015">
        <v>224.1</v>
      </c>
      <c r="H5015">
        <v>243.59</v>
      </c>
      <c r="I5015">
        <v>243.6</v>
      </c>
      <c r="J5015">
        <v>-0.01</v>
      </c>
    </row>
    <row r="5016" spans="1:10" x14ac:dyDescent="0.3">
      <c r="A5016" t="str">
        <f>HYPERLINK("https://us2.cloudbeds.com/connect/10074733072513#/reservations/31731087245451?display=MXHPR8Y0W&amp;reservation_id=31731087245451", "MXHPR8Y0W")</f>
        <v>MXHPR8Y0W</v>
      </c>
      <c r="B5016" t="s">
        <v>10</v>
      </c>
      <c r="C5016" t="s">
        <v>14</v>
      </c>
      <c r="D5016" t="str">
        <f>HYPERLINK("https://us2.cloudbeds.com/connect/10074733072513#/reservations/31731087245451?display=Lisa%20Johnson&amp;reservation_id=31731087245451&amp;guest_id=31731087241356", "Lisa Johnson")</f>
        <v>Lisa Johnson</v>
      </c>
      <c r="E5016" t="s">
        <v>9809</v>
      </c>
      <c r="F5016" t="s">
        <v>9810</v>
      </c>
      <c r="G5016">
        <v>154.24</v>
      </c>
      <c r="H5016">
        <v>167.65</v>
      </c>
      <c r="I5016">
        <v>167.66</v>
      </c>
      <c r="J5016">
        <v>-0.01</v>
      </c>
    </row>
    <row r="5017" spans="1:10" x14ac:dyDescent="0.3">
      <c r="A5017" t="str">
        <f>HYPERLINK("https://us2.cloudbeds.com/connect/10074733072513#/reservations/31734164189384?display=MXK5ER4X7&amp;reservation_id=31734164189384", "MXK5ER4X7")</f>
        <v>MXK5ER4X7</v>
      </c>
      <c r="B5017" t="s">
        <v>10</v>
      </c>
      <c r="C5017" t="s">
        <v>42</v>
      </c>
      <c r="D5017" t="str">
        <f>HYPERLINK("https://us2.cloudbeds.com/connect/10074733072513#/reservations/31734164189384?display=Roxanne%20Kraft&amp;reservation_id=31734164189384&amp;guest_id=30660645728456", "Roxanne Kraft")</f>
        <v>Roxanne Kraft</v>
      </c>
      <c r="E5017" t="s">
        <v>3173</v>
      </c>
      <c r="F5017" t="s">
        <v>9635</v>
      </c>
      <c r="G5017">
        <v>129.6</v>
      </c>
      <c r="H5017">
        <v>140.87</v>
      </c>
      <c r="I5017">
        <v>140.88</v>
      </c>
      <c r="J5017">
        <v>-0.01</v>
      </c>
    </row>
    <row r="5018" spans="1:10" x14ac:dyDescent="0.3">
      <c r="A5018" t="str">
        <f>HYPERLINK("https://us2.cloudbeds.com/connect/10074733072513#/reservations/31732444102907?display=MXXRGD6FJ&amp;reservation_id=31732444102907", "MXXRGD6FJ")</f>
        <v>MXXRGD6FJ</v>
      </c>
      <c r="B5018" t="s">
        <v>10</v>
      </c>
      <c r="C5018" t="s">
        <v>42</v>
      </c>
      <c r="D5018" t="str">
        <f>HYPERLINK("https://us2.cloudbeds.com/connect/10074733072513#/reservations/31732444102907?display=Susan%20Benney&amp;reservation_id=31732444102907&amp;guest_id=31687129886858", "Susan Benney")</f>
        <v>Susan Benney</v>
      </c>
      <c r="E5018" t="s">
        <v>7011</v>
      </c>
      <c r="F5018" t="s">
        <v>9122</v>
      </c>
      <c r="G5018">
        <v>430.2</v>
      </c>
      <c r="H5018">
        <v>467.62</v>
      </c>
      <c r="I5018">
        <v>467.63</v>
      </c>
      <c r="J5018">
        <v>-0.01</v>
      </c>
    </row>
    <row r="5019" spans="1:10" x14ac:dyDescent="0.3">
      <c r="A5019" t="str">
        <f>HYPERLINK("https://us2.cloudbeds.com/connect/10074733072513#/reservations/31730074722493?display=MXGWVFMT3&amp;reservation_id=31730074722493", "MXGWVFMT3")</f>
        <v>MXGWVFMT3</v>
      </c>
      <c r="B5019" t="s">
        <v>10</v>
      </c>
      <c r="C5019" t="s">
        <v>42</v>
      </c>
      <c r="D5019" t="str">
        <f>HYPERLINK("https://us2.cloudbeds.com/connect/10074733072513#/reservations/31730074722493?display=Marian%20Poulson&amp;reservation_id=31730074722493&amp;guest_id=31730074722433", "Marian Poulson")</f>
        <v>Marian Poulson</v>
      </c>
      <c r="E5019" t="s">
        <v>9813</v>
      </c>
      <c r="F5019" t="s">
        <v>9247</v>
      </c>
      <c r="G5019">
        <v>250.2</v>
      </c>
      <c r="H5019">
        <v>271.95999999999998</v>
      </c>
      <c r="I5019">
        <v>271.97000000000003</v>
      </c>
      <c r="J5019">
        <v>-0.01</v>
      </c>
    </row>
    <row r="5020" spans="1:10" x14ac:dyDescent="0.3">
      <c r="A5020" t="str">
        <f>HYPERLINK("https://us2.cloudbeds.com/connect/10074733072513#/reservations/31734185062647?display=MXK5WDVUB&amp;reservation_id=31734185062647", "MXK5WDVUB")</f>
        <v>MXK5WDVUB</v>
      </c>
      <c r="B5020" t="s">
        <v>10</v>
      </c>
      <c r="C5020" t="s">
        <v>14</v>
      </c>
      <c r="D5020" t="str">
        <f>HYPERLINK("https://us2.cloudbeds.com/connect/10074733072513#/reservations/31734185062647?display=Matthew%20Volkmar&amp;reservation_id=31734185062647&amp;guest_id=31734185062643", "Matthew Volkmar")</f>
        <v>Matthew Volkmar</v>
      </c>
      <c r="E5020" t="s">
        <v>9819</v>
      </c>
      <c r="F5020" t="s">
        <v>9635</v>
      </c>
      <c r="G5020">
        <v>106.27</v>
      </c>
      <c r="H5020">
        <v>115.51</v>
      </c>
      <c r="I5020">
        <v>115.52</v>
      </c>
      <c r="J5020">
        <v>-0.01</v>
      </c>
    </row>
    <row r="5021" spans="1:10" x14ac:dyDescent="0.3">
      <c r="A5021" t="str">
        <f>HYPERLINK("https://us2.cloudbeds.com/connect/10074733072513#/reservations/31734314082517?display=MXK9974FC&amp;reservation_id=31734314082517", "MXK9974FC")</f>
        <v>MXK9974FC</v>
      </c>
      <c r="B5021" t="s">
        <v>10</v>
      </c>
      <c r="C5021" t="s">
        <v>20</v>
      </c>
      <c r="D5021" t="str">
        <f>HYPERLINK("https://us2.cloudbeds.com/connect/10074733072513#/reservations/31734314082517?display=Maria%20Perfett&amp;reservation_id=31734314082517&amp;guest_id=31734314078422", "Maria Perfett")</f>
        <v>Maria Perfett</v>
      </c>
      <c r="E5021" t="s">
        <v>9820</v>
      </c>
      <c r="F5021" t="s">
        <v>9635</v>
      </c>
      <c r="G5021">
        <v>129.6</v>
      </c>
      <c r="H5021">
        <v>140.87</v>
      </c>
      <c r="I5021">
        <v>140.88</v>
      </c>
      <c r="J5021">
        <v>-0.01</v>
      </c>
    </row>
    <row r="5022" spans="1:10" x14ac:dyDescent="0.3">
      <c r="A5022" t="str">
        <f>HYPERLINK("https://us2.cloudbeds.com/connect/10074733072513#/reservations/31732076749040?display=MXXX3Y137&amp;reservation_id=31732076749040", "MXXX3Y137")</f>
        <v>MXXX3Y137</v>
      </c>
      <c r="B5022" t="s">
        <v>10</v>
      </c>
      <c r="C5022" t="s">
        <v>42</v>
      </c>
      <c r="D5022" t="str">
        <f>HYPERLINK("https://us2.cloudbeds.com/connect/10074733072513#/reservations/31732076749040?display=Jo%20Edwards&amp;reservation_id=31732076749040&amp;guest_id=31732076749035", "Jo Edwards")</f>
        <v>Jo Edwards</v>
      </c>
      <c r="E5022" t="s">
        <v>9826</v>
      </c>
      <c r="F5022" t="s">
        <v>9089</v>
      </c>
      <c r="G5022">
        <v>103.2</v>
      </c>
      <c r="H5022">
        <v>112.17</v>
      </c>
      <c r="I5022">
        <v>112.18</v>
      </c>
      <c r="J5022">
        <v>-0.01</v>
      </c>
    </row>
    <row r="5023" spans="1:10" x14ac:dyDescent="0.3">
      <c r="A5023" t="str">
        <f>HYPERLINK("https://us2.cloudbeds.com/connect/10074733072513#/reservations/31734124769499?display=MXK4EJ7A8&amp;reservation_id=31734124769499", "MXK4EJ7A8")</f>
        <v>MXK4EJ7A8</v>
      </c>
      <c r="B5023" t="s">
        <v>10</v>
      </c>
      <c r="C5023" t="s">
        <v>11</v>
      </c>
      <c r="D5023" t="str">
        <f>HYPERLINK("https://us2.cloudbeds.com/connect/10074733072513#/reservations/31734124769499?display=Michael%20Matias&amp;reservation_id=31734124769499&amp;guest_id=31734124765408", "Michael Matias")</f>
        <v>Michael Matias</v>
      </c>
      <c r="E5023" t="s">
        <v>9828</v>
      </c>
      <c r="F5023" t="s">
        <v>9635</v>
      </c>
      <c r="G5023">
        <v>106.27</v>
      </c>
      <c r="H5023">
        <v>115.51</v>
      </c>
      <c r="I5023">
        <v>115.52</v>
      </c>
      <c r="J5023">
        <v>-0.01</v>
      </c>
    </row>
    <row r="5024" spans="1:10" x14ac:dyDescent="0.3">
      <c r="A5024" t="str">
        <f>HYPERLINK("https://us2.cloudbeds.com/connect/10074733072513#/reservations/31733594341597?display=MXJNTA9BF&amp;reservation_id=31733594341597", "MXJNTA9BF")</f>
        <v>MXJNTA9BF</v>
      </c>
      <c r="B5024" t="s">
        <v>10</v>
      </c>
      <c r="C5024" t="s">
        <v>11</v>
      </c>
      <c r="D5024" t="str">
        <f>HYPERLINK("https://us2.cloudbeds.com/connect/10074733072513#/reservations/31733594341597?display=Eryn%20Clark&amp;reservation_id=31733594341597&amp;guest_id=31733584879747", "Eryn Clark")</f>
        <v>Eryn Clark</v>
      </c>
      <c r="E5024" t="s">
        <v>9830</v>
      </c>
      <c r="F5024" t="s">
        <v>9707</v>
      </c>
      <c r="G5024">
        <v>282.39999999999998</v>
      </c>
      <c r="H5024">
        <v>306.95999999999998</v>
      </c>
      <c r="I5024">
        <v>306.97000000000003</v>
      </c>
      <c r="J5024">
        <v>-0.01</v>
      </c>
    </row>
    <row r="5025" spans="1:10" x14ac:dyDescent="0.3">
      <c r="A5025" t="str">
        <f>HYPERLINK("https://us2.cloudbeds.com/connect/10074733072513#/reservations/31729903861897?display=MXGSJD839&amp;reservation_id=31729903861897", "MXGSJD839")</f>
        <v>MXGSJD839</v>
      </c>
      <c r="B5025" t="s">
        <v>10</v>
      </c>
      <c r="C5025" t="s">
        <v>14</v>
      </c>
      <c r="D5025" t="str">
        <f>HYPERLINK("https://us2.cloudbeds.com/connect/10074733072513#/reservations/31729903861897?display=Jessica%20Bivens&amp;reservation_id=31729903861897&amp;guest_id=31729903861895", "Jessica Bivens")</f>
        <v>Jessica Bivens</v>
      </c>
      <c r="E5025" t="s">
        <v>9845</v>
      </c>
      <c r="F5025" t="s">
        <v>6933</v>
      </c>
      <c r="G5025">
        <v>170.1</v>
      </c>
      <c r="H5025">
        <v>184.89</v>
      </c>
      <c r="I5025">
        <v>184.9</v>
      </c>
      <c r="J5025">
        <v>-0.01</v>
      </c>
    </row>
    <row r="5026" spans="1:10" x14ac:dyDescent="0.3">
      <c r="A5026" t="str">
        <f>HYPERLINK("https://us2.cloudbeds.com/connect/10074733072513#/reservations/31729919152346?display=MXGSW9NU6&amp;reservation_id=31729919152346", "MXGSW9NU6")</f>
        <v>MXGSW9NU6</v>
      </c>
      <c r="B5026" t="s">
        <v>10</v>
      </c>
      <c r="C5026" t="s">
        <v>42</v>
      </c>
      <c r="D5026" t="str">
        <f>HYPERLINK("https://us2.cloudbeds.com/connect/10074733072513#/reservations/31729919152346?display=Staci%20Aesoph&amp;reservation_id=31729919152346&amp;guest_id=31692335329473", "Staci Aesoph")</f>
        <v>Staci Aesoph</v>
      </c>
      <c r="E5026" t="s">
        <v>9846</v>
      </c>
      <c r="F5026" t="s">
        <v>6933</v>
      </c>
      <c r="G5026">
        <v>304.2</v>
      </c>
      <c r="H5026">
        <v>330.66</v>
      </c>
      <c r="I5026">
        <v>330.67</v>
      </c>
      <c r="J5026">
        <v>-0.01</v>
      </c>
    </row>
    <row r="5027" spans="1:10" x14ac:dyDescent="0.3">
      <c r="A5027" t="str">
        <f>HYPERLINK("https://us2.cloudbeds.com/connect/10074733072513#/reservations/31731981885597?display=MXXFMYAGE&amp;reservation_id=31731981885597", "MXXFMYAGE")</f>
        <v>MXXFMYAGE</v>
      </c>
      <c r="B5027" t="s">
        <v>10</v>
      </c>
      <c r="C5027" t="s">
        <v>14</v>
      </c>
      <c r="D5027" t="str">
        <f>HYPERLINK("https://us2.cloudbeds.com/connect/10074733072513#/reservations/31731981885597?display=Tanner%20Christopherson&amp;reservation_id=31731981885597&amp;guest_id=31731969888452", "Tanner Christopherson")</f>
        <v>Tanner Christopherson</v>
      </c>
      <c r="E5027" t="s">
        <v>9849</v>
      </c>
      <c r="F5027" t="s">
        <v>8992</v>
      </c>
      <c r="G5027">
        <v>113.65</v>
      </c>
      <c r="H5027">
        <v>123.53</v>
      </c>
      <c r="I5027">
        <v>123.54</v>
      </c>
      <c r="J5027">
        <v>-0.01</v>
      </c>
    </row>
    <row r="5028" spans="1:10" x14ac:dyDescent="0.3">
      <c r="A5028" t="str">
        <f>HYPERLINK("https://us2.cloudbeds.com/connect/10074733072513#/reservations/31731929895070?display=MXXEBQJVU&amp;reservation_id=31731929895070", "MXXEBQJVU")</f>
        <v>MXXEBQJVU</v>
      </c>
      <c r="B5028" t="s">
        <v>10</v>
      </c>
      <c r="C5028" t="s">
        <v>14</v>
      </c>
      <c r="D5028" t="str">
        <f>HYPERLINK("https://us2.cloudbeds.com/connect/10074733072513#/reservations/31731929895070?display=Robert%20Palanos&amp;reservation_id=31731929895070&amp;guest_id=31731929895065", "Robert Palanos")</f>
        <v>Robert Palanos</v>
      </c>
      <c r="E5028" t="s">
        <v>9850</v>
      </c>
      <c r="F5028" t="s">
        <v>8992</v>
      </c>
      <c r="G5028">
        <v>106.27</v>
      </c>
      <c r="H5028">
        <v>115.51</v>
      </c>
      <c r="I5028">
        <v>115.52</v>
      </c>
      <c r="J5028">
        <v>-0.01</v>
      </c>
    </row>
    <row r="5029" spans="1:10" x14ac:dyDescent="0.3">
      <c r="A5029" t="str">
        <f>HYPERLINK("https://us2.cloudbeds.com/connect/10074733072513#/reservations/31730080608478?display=MXH03EFR9&amp;reservation_id=31730080608478", "MXH03EFR9")</f>
        <v>MXH03EFR9</v>
      </c>
      <c r="B5029" t="s">
        <v>10</v>
      </c>
      <c r="C5029" t="s">
        <v>42</v>
      </c>
      <c r="D5029" t="str">
        <f>HYPERLINK("https://us2.cloudbeds.com/connect/10074733072513#/reservations/31730080608478?display=Nathan%20Opdahl&amp;reservation_id=31730080608478&amp;guest_id=31730080608476", "Nathan Opdahl")</f>
        <v>Nathan Opdahl</v>
      </c>
      <c r="E5029" t="s">
        <v>9851</v>
      </c>
      <c r="F5029" t="s">
        <v>9089</v>
      </c>
      <c r="G5029">
        <v>103.2</v>
      </c>
      <c r="H5029">
        <v>112.17</v>
      </c>
      <c r="I5029">
        <v>112.18</v>
      </c>
      <c r="J5029">
        <v>-0.01</v>
      </c>
    </row>
    <row r="5030" spans="1:10" x14ac:dyDescent="0.3">
      <c r="A5030" t="str">
        <f>HYPERLINK("https://us2.cloudbeds.com/connect/10074733072513#/reservations/31731941306511?display=MXXEYE4Q5&amp;reservation_id=31731941306511", "MXXEYE4Q5")</f>
        <v>MXXEYE4Q5</v>
      </c>
      <c r="B5030" t="s">
        <v>10</v>
      </c>
      <c r="C5030" t="s">
        <v>14</v>
      </c>
      <c r="D5030" t="str">
        <f>HYPERLINK("https://us2.cloudbeds.com/connect/10074733072513#/reservations/31731941306511?display=Tim%20Faucheaux&amp;reservation_id=31731941306511&amp;guest_id=31731941306508", "Tim Faucheaux")</f>
        <v>Tim Faucheaux</v>
      </c>
      <c r="E5030" t="s">
        <v>9853</v>
      </c>
      <c r="F5030" t="s">
        <v>8992</v>
      </c>
      <c r="G5030">
        <v>113.65</v>
      </c>
      <c r="H5030">
        <v>123.53</v>
      </c>
      <c r="I5030">
        <v>123.54</v>
      </c>
      <c r="J5030">
        <v>-0.01</v>
      </c>
    </row>
    <row r="5031" spans="1:10" x14ac:dyDescent="0.3">
      <c r="A5031" t="str">
        <f>HYPERLINK("https://us2.cloudbeds.com/connect/10074733072513#/reservations/31733815828638?display=MXJTX2G1W&amp;reservation_id=31733815828638", "MXJTX2G1W")</f>
        <v>MXJTX2G1W</v>
      </c>
      <c r="B5031" t="s">
        <v>10</v>
      </c>
      <c r="C5031" t="s">
        <v>42</v>
      </c>
      <c r="D5031" t="str">
        <f>HYPERLINK("https://us2.cloudbeds.com/connect/10074733072513#/reservations/31733815828638?display=Danya%20Remboldt&amp;reservation_id=31733815828638&amp;guest_id=31733808271557", "Danya Remboldt")</f>
        <v>Danya Remboldt</v>
      </c>
      <c r="E5031" t="s">
        <v>9854</v>
      </c>
      <c r="F5031" t="s">
        <v>8992</v>
      </c>
      <c r="G5031">
        <v>129.6</v>
      </c>
      <c r="H5031">
        <v>140.87</v>
      </c>
      <c r="I5031">
        <v>140.88</v>
      </c>
      <c r="J5031">
        <v>-0.01</v>
      </c>
    </row>
    <row r="5032" spans="1:10" x14ac:dyDescent="0.3">
      <c r="A5032" t="str">
        <f>HYPERLINK("https://us2.cloudbeds.com/connect/10074733072513#/reservations/31731919618177?display=MXXE34KVU&amp;reservation_id=31731919618177", "MXXE34KVU")</f>
        <v>MXXE34KVU</v>
      </c>
      <c r="B5032" t="s">
        <v>10</v>
      </c>
      <c r="C5032" t="s">
        <v>11</v>
      </c>
      <c r="D5032" t="str">
        <f>HYPERLINK("https://us2.cloudbeds.com/connect/10074733072513#/reservations/31731919618177?display=Megan%20Robbins&amp;reservation_id=31731919618177&amp;guest_id=31731919614142", "Megan Robbins")</f>
        <v>Megan Robbins</v>
      </c>
      <c r="E5032" t="s">
        <v>9855</v>
      </c>
      <c r="F5032" t="s">
        <v>8992</v>
      </c>
      <c r="G5032">
        <v>106.27</v>
      </c>
      <c r="H5032">
        <v>115.51</v>
      </c>
      <c r="I5032">
        <v>115.52</v>
      </c>
      <c r="J5032">
        <v>-0.01</v>
      </c>
    </row>
    <row r="5033" spans="1:10" x14ac:dyDescent="0.3">
      <c r="A5033" t="str">
        <f>HYPERLINK("https://us2.cloudbeds.com/connect/10074733072513#/reservations/31730963239118?display=MXHMYMW9A&amp;reservation_id=31730963239118", "MXHMYMW9A")</f>
        <v>MXHMYMW9A</v>
      </c>
      <c r="B5033" t="s">
        <v>10</v>
      </c>
      <c r="C5033" t="s">
        <v>20</v>
      </c>
      <c r="D5033" t="str">
        <f>HYPERLINK("https://us2.cloudbeds.com/connect/10074733072513#/reservations/31730963239118?display=Jeffrey%20James&amp;reservation_id=31730963239118&amp;guest_id=31730956452023", "Jeffrey James")</f>
        <v>Jeffrey James</v>
      </c>
      <c r="E5033" t="s">
        <v>9867</v>
      </c>
      <c r="F5033" t="s">
        <v>7468</v>
      </c>
      <c r="G5033">
        <v>430.2</v>
      </c>
      <c r="H5033">
        <v>467.62</v>
      </c>
      <c r="I5033">
        <v>467.63</v>
      </c>
      <c r="J5033">
        <v>-0.01</v>
      </c>
    </row>
    <row r="5034" spans="1:10" x14ac:dyDescent="0.3">
      <c r="A5034" t="str">
        <f>HYPERLINK("https://us2.cloudbeds.com/connect/10074733072513#/reservations/31733223555213?display=MXJEDYJWE&amp;reservation_id=31733223555213", "MXJEDYJWE")</f>
        <v>MXJEDYJWE</v>
      </c>
      <c r="B5034" t="s">
        <v>10</v>
      </c>
      <c r="C5034" t="s">
        <v>11</v>
      </c>
      <c r="D5034" t="str">
        <f>HYPERLINK("https://us2.cloudbeds.com/connect/10074733072513#/reservations/31733223555213?display=Laurie%20Tomczak&amp;reservation_id=31733223555213&amp;guest_id=31733223551133", "Laurie Tomczak")</f>
        <v>Laurie Tomczak</v>
      </c>
      <c r="E5034" t="s">
        <v>9868</v>
      </c>
      <c r="F5034" t="s">
        <v>8918</v>
      </c>
      <c r="G5034">
        <v>359.16</v>
      </c>
      <c r="H5034">
        <v>390.4</v>
      </c>
      <c r="I5034">
        <v>390.41</v>
      </c>
      <c r="J5034">
        <v>-0.01</v>
      </c>
    </row>
    <row r="5035" spans="1:10" x14ac:dyDescent="0.3">
      <c r="A5035" t="str">
        <f>HYPERLINK("https://us2.cloudbeds.com/connect/10074733072513#/reservations/31728303423617?display=MXFKMSMQJ&amp;reservation_id=31728303423617", "MXFKMSMQJ")</f>
        <v>MXFKMSMQJ</v>
      </c>
      <c r="B5035" t="s">
        <v>10</v>
      </c>
      <c r="C5035" t="s">
        <v>11</v>
      </c>
      <c r="D5035" t="str">
        <f>HYPERLINK("https://us2.cloudbeds.com/connect/10074733072513#/reservations/31728303423617?display=Tina%20Garr&amp;reservation_id=31728303423617&amp;guest_id=31728303419526", "Tina Garr")</f>
        <v>Tina Garr</v>
      </c>
      <c r="E5035" t="s">
        <v>9869</v>
      </c>
      <c r="F5035" t="s">
        <v>9235</v>
      </c>
      <c r="G5035">
        <v>278.95999999999998</v>
      </c>
      <c r="H5035">
        <v>303.22000000000003</v>
      </c>
      <c r="I5035">
        <v>303.23</v>
      </c>
      <c r="J5035">
        <v>-0.01</v>
      </c>
    </row>
    <row r="5036" spans="1:10" x14ac:dyDescent="0.3">
      <c r="A5036" t="str">
        <f>HYPERLINK("https://us2.cloudbeds.com/connect/10074733072513#/reservations/31729695580406?display=MXGN8PGMV&amp;reservation_id=31729695580406", "MXGN8PGMV")</f>
        <v>MXGN8PGMV</v>
      </c>
      <c r="B5036" t="s">
        <v>10</v>
      </c>
      <c r="C5036" t="s">
        <v>20</v>
      </c>
      <c r="D5036" t="str">
        <f>HYPERLINK("https://us2.cloudbeds.com/connect/10074733072513#/reservations/31729695580406?display=Paul%20Snuttjer&amp;reservation_id=31729695580406&amp;guest_id=31729695580395", "Paul Snuttjer")</f>
        <v>Paul Snuttjer</v>
      </c>
      <c r="E5036" t="s">
        <v>9877</v>
      </c>
      <c r="F5036" t="s">
        <v>7468</v>
      </c>
      <c r="G5036">
        <v>376.2</v>
      </c>
      <c r="H5036">
        <v>408.92</v>
      </c>
      <c r="I5036">
        <v>408.93</v>
      </c>
      <c r="J5036">
        <v>-0.01</v>
      </c>
    </row>
    <row r="5037" spans="1:10" x14ac:dyDescent="0.3">
      <c r="A5037" t="str">
        <f>HYPERLINK("https://us2.cloudbeds.com/connect/10074733072513#/reservations/31728430145679?display=MXFNUNUB2&amp;reservation_id=31728430145679", "MXFNUNUB2")</f>
        <v>MXFNUNUB2</v>
      </c>
      <c r="B5037" t="s">
        <v>10</v>
      </c>
      <c r="C5037" t="s">
        <v>14</v>
      </c>
      <c r="D5037" t="str">
        <f>HYPERLINK("https://us2.cloudbeds.com/connect/10074733072513#/reservations/31728430145679?display=Melissa%20Carlson&amp;reservation_id=31728430145679&amp;guest_id=31728430141584", "Melissa Carlson")</f>
        <v>Melissa Carlson</v>
      </c>
      <c r="E5037" t="s">
        <v>9878</v>
      </c>
      <c r="F5037" t="s">
        <v>9379</v>
      </c>
      <c r="G5037">
        <v>212.54</v>
      </c>
      <c r="H5037">
        <v>231.02</v>
      </c>
      <c r="I5037">
        <v>231.03</v>
      </c>
      <c r="J5037">
        <v>-0.01</v>
      </c>
    </row>
    <row r="5038" spans="1:10" x14ac:dyDescent="0.3">
      <c r="A5038" t="str">
        <f>HYPERLINK("https://us2.cloudbeds.com/connect/10074733072513#/reservations/31731482013874?display=MXX2U4YFF&amp;reservation_id=31731482013874", "MXX2U4YFF")</f>
        <v>MXX2U4YFF</v>
      </c>
      <c r="B5038" t="s">
        <v>10</v>
      </c>
      <c r="C5038" t="s">
        <v>11</v>
      </c>
      <c r="D5038" t="str">
        <f>HYPERLINK("https://us2.cloudbeds.com/connect/10074733072513#/reservations/31731482013874?display=Kyle%20Sanders&amp;reservation_id=31731482013874&amp;guest_id=31731472916696", "Kyle Sanders")</f>
        <v>Kyle Sanders</v>
      </c>
      <c r="E5038" t="s">
        <v>9886</v>
      </c>
      <c r="F5038" t="s">
        <v>9379</v>
      </c>
      <c r="G5038">
        <v>113.65</v>
      </c>
      <c r="H5038">
        <v>123.53</v>
      </c>
      <c r="I5038">
        <v>123.54</v>
      </c>
      <c r="J5038">
        <v>-0.01</v>
      </c>
    </row>
    <row r="5039" spans="1:10" x14ac:dyDescent="0.3">
      <c r="A5039" t="str">
        <f>HYPERLINK("https://us2.cloudbeds.com/connect/10074733072513#/reservations/31728476033258?display=MXFP3DQMP&amp;reservation_id=31728476033258", "MXFP3DQMP")</f>
        <v>MXFP3DQMP</v>
      </c>
      <c r="B5039" t="s">
        <v>10</v>
      </c>
      <c r="C5039" t="s">
        <v>11</v>
      </c>
      <c r="D5039" t="str">
        <f>HYPERLINK("https://us2.cloudbeds.com/connect/10074733072513#/reservations/31728476033258?display=Randal%20Edison&amp;reservation_id=31728476033258&amp;guest_id=31728467390602", "Randal Edison")</f>
        <v>Randal Edison</v>
      </c>
      <c r="E5039" t="s">
        <v>9887</v>
      </c>
      <c r="F5039" t="s">
        <v>9379</v>
      </c>
      <c r="G5039">
        <v>106.27</v>
      </c>
      <c r="H5039">
        <v>115.51</v>
      </c>
      <c r="I5039">
        <v>115.52</v>
      </c>
      <c r="J5039">
        <v>-0.01</v>
      </c>
    </row>
    <row r="5040" spans="1:10" x14ac:dyDescent="0.3">
      <c r="A5040" t="str">
        <f>HYPERLINK("https://us2.cloudbeds.com/connect/10074733072513#/reservations/31731446710422?display=MXX20C97T&amp;reservation_id=31731446710422", "MXX20C97T")</f>
        <v>MXX20C97T</v>
      </c>
      <c r="B5040" t="s">
        <v>10</v>
      </c>
      <c r="C5040" t="s">
        <v>42</v>
      </c>
      <c r="D5040" t="str">
        <f>HYPERLINK("https://us2.cloudbeds.com/connect/10074733072513#/reservations/31731446710422?display=Jennifer%20Janes&amp;reservation_id=31731446710422&amp;guest_id=31731446706329", "Jennifer Janes")</f>
        <v>Jennifer Janes</v>
      </c>
      <c r="E5040" t="s">
        <v>9897</v>
      </c>
      <c r="F5040" t="s">
        <v>9379</v>
      </c>
      <c r="G5040">
        <v>129.6</v>
      </c>
      <c r="H5040">
        <v>140.87</v>
      </c>
      <c r="I5040">
        <v>140.88</v>
      </c>
      <c r="J5040">
        <v>-0.01</v>
      </c>
    </row>
    <row r="5041" spans="1:10" x14ac:dyDescent="0.3">
      <c r="A5041" t="str">
        <f>HYPERLINK("https://us2.cloudbeds.com/connect/10074733072513#/reservations/31732542300290?display=MXXU06MHS&amp;reservation_id=31732542300290", "MXXU06MHS")</f>
        <v>MXXU06MHS</v>
      </c>
      <c r="B5041" t="s">
        <v>10</v>
      </c>
      <c r="C5041" t="s">
        <v>20</v>
      </c>
      <c r="D5041" t="str">
        <f>HYPERLINK("https://us2.cloudbeds.com/connect/10074733072513#/reservations/31732542300290?display=Kyle%20Wahlfeldt&amp;reservation_id=31732542300290&amp;guest_id=31732532998355", "Kyle Wahlfeldt")</f>
        <v>Kyle Wahlfeldt</v>
      </c>
      <c r="E5041" t="s">
        <v>9898</v>
      </c>
      <c r="F5041" t="s">
        <v>9235</v>
      </c>
      <c r="G5041">
        <v>456.3</v>
      </c>
      <c r="H5041">
        <v>495.99</v>
      </c>
      <c r="I5041">
        <v>496</v>
      </c>
      <c r="J5041">
        <v>-0.01</v>
      </c>
    </row>
    <row r="5042" spans="1:10" x14ac:dyDescent="0.3">
      <c r="A5042" t="str">
        <f>HYPERLINK("https://us2.cloudbeds.com/connect/10074733072513#/reservations/31731750961290?display=MXX9PUGQ5&amp;reservation_id=31731750961290", "MXX9PUGQ5")</f>
        <v>MXX9PUGQ5</v>
      </c>
      <c r="B5042" t="s">
        <v>10</v>
      </c>
      <c r="C5042" t="s">
        <v>11</v>
      </c>
      <c r="D5042" t="str">
        <f>HYPERLINK("https://us2.cloudbeds.com/connect/10074733072513#/reservations/31731750961290?display=Mark%20Hoge&amp;reservation_id=31731750961290&amp;guest_id=31731750961286", "Mark Hoge")</f>
        <v>Mark Hoge</v>
      </c>
      <c r="E5042" t="s">
        <v>9902</v>
      </c>
      <c r="F5042" t="s">
        <v>8920</v>
      </c>
      <c r="G5042">
        <v>143.66</v>
      </c>
      <c r="H5042">
        <v>156.15</v>
      </c>
      <c r="I5042">
        <v>156.16</v>
      </c>
      <c r="J5042">
        <v>-0.01</v>
      </c>
    </row>
    <row r="5043" spans="1:10" x14ac:dyDescent="0.3">
      <c r="A5043" t="str">
        <f>HYPERLINK("https://us2.cloudbeds.com/connect/10074733072513#/reservations/31735039729873?display=MXKRR3BA6&amp;reservation_id=31735039729873", "MXKRR3BA6")</f>
        <v>MXKRR3BA6</v>
      </c>
      <c r="B5043" t="s">
        <v>10</v>
      </c>
      <c r="C5043" t="s">
        <v>42</v>
      </c>
      <c r="D5043" t="str">
        <f>HYPERLINK("https://us2.cloudbeds.com/connect/10074733072513#/reservations/31735039729873?display=Liz%20Rhodes&amp;reservation_id=31735039729873&amp;guest_id=31735039725779", "Liz Rhodes")</f>
        <v>Liz Rhodes</v>
      </c>
      <c r="E5043" t="s">
        <v>9905</v>
      </c>
      <c r="F5043" t="s">
        <v>9707</v>
      </c>
      <c r="G5043">
        <v>376.2</v>
      </c>
      <c r="H5043">
        <v>408.92</v>
      </c>
      <c r="I5043">
        <v>408.93</v>
      </c>
      <c r="J5043">
        <v>-0.01</v>
      </c>
    </row>
    <row r="5044" spans="1:10" x14ac:dyDescent="0.3">
      <c r="A5044" t="str">
        <f>HYPERLINK("https://us2.cloudbeds.com/connect/10074733072513#/reservations/31730876010701?display=MXHKE4NNV&amp;reservation_id=31730876010701", "MXHKE4NNV")</f>
        <v>MXHKE4NNV</v>
      </c>
      <c r="B5044" t="s">
        <v>10</v>
      </c>
      <c r="C5044" t="s">
        <v>20</v>
      </c>
      <c r="D5044" t="str">
        <f>HYPERLINK("https://us2.cloudbeds.com/connect/10074733072513#/reservations/31730876010701?display=Rachel%20Jordan&amp;reservation_id=31730876010701&amp;guest_id=31730876010696", "Rachel Jordan")</f>
        <v>Rachel Jordan</v>
      </c>
      <c r="E5044" t="s">
        <v>9909</v>
      </c>
      <c r="F5044" t="s">
        <v>9822</v>
      </c>
      <c r="G5044">
        <v>129.6</v>
      </c>
      <c r="H5044">
        <v>140.87</v>
      </c>
      <c r="I5044">
        <v>140.88</v>
      </c>
      <c r="J5044">
        <v>-0.01</v>
      </c>
    </row>
    <row r="5045" spans="1:10" x14ac:dyDescent="0.3">
      <c r="A5045" t="str">
        <f>HYPERLINK("https://us2.cloudbeds.com/connect/10074733072513#/reservations/31730886230179?display=MXHKMP303&amp;reservation_id=31730886230179", "MXHKMP303")</f>
        <v>MXHKMP303</v>
      </c>
      <c r="B5045" t="s">
        <v>10</v>
      </c>
      <c r="C5045" t="s">
        <v>11</v>
      </c>
      <c r="D5045" t="str">
        <f>HYPERLINK("https://us2.cloudbeds.com/connect/10074733072513#/reservations/31730886230179?display=Lauren%20Kasper&amp;reservation_id=31730886230179&amp;guest_id=31730886230174", "Lauren Kasper")</f>
        <v>Lauren Kasper</v>
      </c>
      <c r="E5045" t="s">
        <v>9912</v>
      </c>
      <c r="F5045" t="s">
        <v>9822</v>
      </c>
      <c r="G5045">
        <v>154.24</v>
      </c>
      <c r="H5045">
        <v>167.65</v>
      </c>
      <c r="I5045">
        <v>167.66</v>
      </c>
      <c r="J5045">
        <v>-0.01</v>
      </c>
    </row>
    <row r="5046" spans="1:10" x14ac:dyDescent="0.3">
      <c r="A5046" t="str">
        <f>HYPERLINK("https://us2.cloudbeds.com/connect/10074733072513#/reservations/31732558303419?display=MXXUDMWQ5&amp;reservation_id=31732558303419", "MXXUDMWQ5")</f>
        <v>MXXUDMWQ5</v>
      </c>
      <c r="B5046" t="s">
        <v>10</v>
      </c>
      <c r="C5046" t="s">
        <v>17</v>
      </c>
      <c r="D5046" t="str">
        <f>HYPERLINK("https://us2.cloudbeds.com/connect/10074733072513#/reservations/31732558303419?display=Jean%20Mcnichols&amp;reservation_id=31732558303419&amp;guest_id=31732558303408", "Jean Mcnichols")</f>
        <v>Jean Mcnichols</v>
      </c>
      <c r="E5046" t="s">
        <v>9917</v>
      </c>
      <c r="F5046" t="s">
        <v>9235</v>
      </c>
      <c r="G5046">
        <v>170.1</v>
      </c>
      <c r="H5046">
        <v>184.89</v>
      </c>
      <c r="I5046">
        <v>184.9</v>
      </c>
      <c r="J5046">
        <v>-0.01</v>
      </c>
    </row>
    <row r="5047" spans="1:10" x14ac:dyDescent="0.3">
      <c r="A5047" t="str">
        <f>HYPERLINK("https://us2.cloudbeds.com/connect/10074733072513#/reservations/31730946171040?display=MXHM7A13R&amp;reservation_id=31730946171040", "MXHM7A13R")</f>
        <v>MXHM7A13R</v>
      </c>
      <c r="B5047" t="s">
        <v>10</v>
      </c>
      <c r="C5047" t="s">
        <v>11</v>
      </c>
      <c r="D5047" t="str">
        <f>HYPERLINK("https://us2.cloudbeds.com/connect/10074733072513#/reservations/31730946171040?display=Patricia%20Fitzgerald&amp;reservation_id=31730946171040&amp;guest_id=31730946166947", "Patricia Fitzgerald")</f>
        <v>Patricia Fitzgerald</v>
      </c>
      <c r="E5047" t="s">
        <v>9920</v>
      </c>
      <c r="F5047" t="s">
        <v>7468</v>
      </c>
      <c r="G5047">
        <v>143.66</v>
      </c>
      <c r="H5047">
        <v>156.15</v>
      </c>
      <c r="I5047">
        <v>156.16</v>
      </c>
      <c r="J5047">
        <v>-0.01</v>
      </c>
    </row>
    <row r="5048" spans="1:10" x14ac:dyDescent="0.3">
      <c r="A5048" t="str">
        <f>HYPERLINK("https://us2.cloudbeds.com/connect/10074733072513#/reservations/31719501598940?display=MX8QPUV5M&amp;reservation_id=31719501598940", "MX8QPUV5M")</f>
        <v>MX8QPUV5M</v>
      </c>
      <c r="B5048" t="s">
        <v>10</v>
      </c>
      <c r="C5048" t="s">
        <v>14</v>
      </c>
      <c r="D5048" t="str">
        <f>HYPERLINK("https://us2.cloudbeds.com/connect/10074733072513#/reservations/31719501598940?display=Kathy%20Lamer&amp;reservation_id=31719501598940&amp;guest_id=31719501598935", "Kathy Lamer")</f>
        <v>Kathy Lamer</v>
      </c>
      <c r="E5048" t="s">
        <v>9925</v>
      </c>
      <c r="F5048" t="s">
        <v>9926</v>
      </c>
      <c r="G5048">
        <v>134.1</v>
      </c>
      <c r="H5048">
        <v>145.76</v>
      </c>
      <c r="I5048">
        <v>145.77000000000001</v>
      </c>
      <c r="J5048">
        <v>-0.01</v>
      </c>
    </row>
    <row r="5049" spans="1:10" x14ac:dyDescent="0.3">
      <c r="A5049" t="str">
        <f>HYPERLINK("https://us2.cloudbeds.com/connect/10074733072513#/reservations/31729768382682?display=MXGP45B3H&amp;reservation_id=31729768382682", "MXGP45B3H")</f>
        <v>MXGP45B3H</v>
      </c>
      <c r="B5049" t="s">
        <v>10</v>
      </c>
      <c r="C5049" t="s">
        <v>11</v>
      </c>
      <c r="D5049" t="str">
        <f>HYPERLINK("https://us2.cloudbeds.com/connect/10074733072513#/reservations/31729768382682?display=David%20Haworth&amp;reservation_id=31729768382682&amp;guest_id=31729754620045", "David Haworth")</f>
        <v>David Haworth</v>
      </c>
      <c r="E5049" t="s">
        <v>9928</v>
      </c>
      <c r="F5049" t="s">
        <v>9707</v>
      </c>
      <c r="G5049">
        <v>143.66</v>
      </c>
      <c r="H5049">
        <v>156.15</v>
      </c>
      <c r="I5049">
        <v>156.16</v>
      </c>
      <c r="J5049">
        <v>-0.01</v>
      </c>
    </row>
    <row r="5050" spans="1:10" x14ac:dyDescent="0.3">
      <c r="A5050" t="str">
        <f>HYPERLINK("https://us2.cloudbeds.com/connect/10074733072513#/reservations/31732204413152?display=MXXYC9FMY&amp;reservation_id=31732204413152", "MXXYC9FMY")</f>
        <v>MXXYC9FMY</v>
      </c>
      <c r="B5050" t="s">
        <v>10</v>
      </c>
      <c r="C5050" t="s">
        <v>42</v>
      </c>
      <c r="D5050" t="str">
        <f>HYPERLINK("https://us2.cloudbeds.com/connect/10074733072513#/reservations/31732204413152?display=Blayne%20Stenersen&amp;reservation_id=31732204413152&amp;guest_id=31731279052988", "Blayne Stenersen")</f>
        <v>Blayne Stenersen</v>
      </c>
      <c r="E5050" t="s">
        <v>9618</v>
      </c>
      <c r="F5050" t="s">
        <v>9247</v>
      </c>
      <c r="G5050">
        <v>612.9</v>
      </c>
      <c r="H5050">
        <v>666.21</v>
      </c>
      <c r="I5050">
        <v>666.22</v>
      </c>
      <c r="J5050">
        <v>-0.01</v>
      </c>
    </row>
    <row r="5051" spans="1:10" x14ac:dyDescent="0.3">
      <c r="A5051" t="str">
        <f>HYPERLINK("https://us2.cloudbeds.com/connect/10074733072513#/reservations/31730845954247?display=MXHJYQBMA&amp;reservation_id=31730845954247", "MXHJYQBMA")</f>
        <v>MXHJYQBMA</v>
      </c>
      <c r="B5051" t="s">
        <v>10</v>
      </c>
      <c r="C5051" t="s">
        <v>11</v>
      </c>
      <c r="D5051" t="str">
        <f>HYPERLINK("https://us2.cloudbeds.com/connect/10074733072513#/reservations/31730845954247?display=Khaying%20Garma&amp;reservation_id=31730845954247&amp;guest_id=31730845954241", "Khaying Garma")</f>
        <v>Khaying Garma</v>
      </c>
      <c r="E5051" t="s">
        <v>9938</v>
      </c>
      <c r="F5051" t="s">
        <v>8511</v>
      </c>
      <c r="G5051">
        <v>129.6</v>
      </c>
      <c r="H5051">
        <v>140.87</v>
      </c>
      <c r="I5051">
        <v>140.88</v>
      </c>
      <c r="J5051">
        <v>-0.01</v>
      </c>
    </row>
    <row r="5052" spans="1:10" x14ac:dyDescent="0.3">
      <c r="A5052" t="str">
        <f>HYPERLINK("https://us2.cloudbeds.com/connect/10074733072513#/reservations/31730984980612?display=MXHN70VUF&amp;reservation_id=31730984980612", "MXHN70VUF")</f>
        <v>MXHN70VUF</v>
      </c>
      <c r="B5052" t="s">
        <v>10</v>
      </c>
      <c r="C5052" t="s">
        <v>23</v>
      </c>
      <c r="D5052" t="str">
        <f>HYPERLINK("https://us2.cloudbeds.com/connect/10074733072513#/reservations/31730984980612?display=Dustin%20Watson&amp;reservation_id=31730984980612&amp;guest_id=31730984976575", "Dustin Watson")</f>
        <v>Dustin Watson</v>
      </c>
      <c r="E5052" t="s">
        <v>9940</v>
      </c>
      <c r="F5052" t="s">
        <v>7819</v>
      </c>
      <c r="G5052">
        <v>515.95000000000005</v>
      </c>
      <c r="H5052">
        <v>560.83000000000004</v>
      </c>
      <c r="I5052">
        <v>560.84</v>
      </c>
      <c r="J5052">
        <v>-0.01</v>
      </c>
    </row>
    <row r="5053" spans="1:10" x14ac:dyDescent="0.3">
      <c r="A5053" t="str">
        <f>HYPERLINK("https://us2.cloudbeds.com/connect/10074733072513#/reservations/31732300066963?display=MXXNQV620&amp;reservation_id=31732300066963", "MXXNQV620")</f>
        <v>MXXNQV620</v>
      </c>
      <c r="B5053" t="s">
        <v>10</v>
      </c>
      <c r="C5053" t="s">
        <v>23</v>
      </c>
      <c r="D5053" t="str">
        <f>HYPERLINK("https://us2.cloudbeds.com/connect/10074733072513#/reservations/31732300066963?display=Cory%20Hanscom&amp;reservation_id=31732300066963&amp;guest_id=31732300066960", "Cory Hanscom")</f>
        <v>Cory Hanscom</v>
      </c>
      <c r="E5053" t="s">
        <v>9943</v>
      </c>
      <c r="F5053" t="s">
        <v>7468</v>
      </c>
      <c r="G5053">
        <v>224.1</v>
      </c>
      <c r="H5053">
        <v>243.59</v>
      </c>
      <c r="I5053">
        <v>243.6</v>
      </c>
      <c r="J5053">
        <v>-0.01</v>
      </c>
    </row>
    <row r="5054" spans="1:10" x14ac:dyDescent="0.3">
      <c r="A5054" t="str">
        <f>HYPERLINK("https://us2.cloudbeds.com/connect/10074733072513#/reservations/31731637743825?display=MXX6TF25T&amp;reservation_id=31731637743825", "MXX6TF25T")</f>
        <v>MXX6TF25T</v>
      </c>
      <c r="B5054" t="s">
        <v>10</v>
      </c>
      <c r="C5054" t="s">
        <v>20</v>
      </c>
      <c r="D5054" t="str">
        <f>HYPERLINK("https://us2.cloudbeds.com/connect/10074733072513#/reservations/31731637743825?display=Kevin%20Liewer&amp;reservation_id=31731637743825&amp;guest_id=31731631276279", "Kevin Liewer")</f>
        <v>Kevin Liewer</v>
      </c>
      <c r="E5054" t="s">
        <v>9946</v>
      </c>
      <c r="F5054" t="s">
        <v>9936</v>
      </c>
      <c r="G5054">
        <v>129.6</v>
      </c>
      <c r="H5054">
        <v>140.87</v>
      </c>
      <c r="I5054">
        <v>140.88</v>
      </c>
      <c r="J5054">
        <v>-0.01</v>
      </c>
    </row>
    <row r="5055" spans="1:10" x14ac:dyDescent="0.3">
      <c r="A5055" t="str">
        <f>HYPERLINK("https://us2.cloudbeds.com/connect/10074733072513#/reservations/31731264008320?display=MXHUBA70C&amp;reservation_id=31731264008320", "MXHUBA70C")</f>
        <v>MXHUBA70C</v>
      </c>
      <c r="B5055" t="s">
        <v>10</v>
      </c>
      <c r="C5055" t="s">
        <v>17</v>
      </c>
      <c r="D5055" t="str">
        <f>HYPERLINK("https://us2.cloudbeds.com/connect/10074733072513#/reservations/31731264008320?display=Tim%20Volk&amp;reservation_id=31731264008320&amp;guest_id=31731264004273", "Tim Volk")</f>
        <v>Tim Volk</v>
      </c>
      <c r="E5055" t="s">
        <v>9949</v>
      </c>
      <c r="F5055" t="s">
        <v>9817</v>
      </c>
      <c r="G5055">
        <v>304.2</v>
      </c>
      <c r="H5055">
        <v>330.66</v>
      </c>
      <c r="I5055">
        <v>330.67</v>
      </c>
      <c r="J5055">
        <v>-0.01</v>
      </c>
    </row>
    <row r="5056" spans="1:10" x14ac:dyDescent="0.3">
      <c r="A5056" t="str">
        <f>HYPERLINK("https://us2.cloudbeds.com/connect/10074733072513#/reservations/31734772928663?display=MXKY046Q1&amp;reservation_id=31734772928663", "MXKY046Q1")</f>
        <v>MXKY046Q1</v>
      </c>
      <c r="B5056" t="s">
        <v>10</v>
      </c>
      <c r="C5056" t="s">
        <v>14</v>
      </c>
      <c r="D5056" t="str">
        <f>HYPERLINK("https://us2.cloudbeds.com/connect/10074733072513#/reservations/31734772928663?display=Melissa%20Yabsley&amp;reservation_id=31734772928663&amp;guest_id=31734772928658", "Melissa Yabsley")</f>
        <v>Melissa Yabsley</v>
      </c>
      <c r="E5056" t="s">
        <v>9953</v>
      </c>
      <c r="F5056" t="s">
        <v>9638</v>
      </c>
      <c r="G5056">
        <v>285.36</v>
      </c>
      <c r="H5056">
        <v>310.18</v>
      </c>
      <c r="I5056">
        <v>310.19</v>
      </c>
      <c r="J5056">
        <v>-0.01</v>
      </c>
    </row>
    <row r="5057" spans="1:10" x14ac:dyDescent="0.3">
      <c r="A5057" t="str">
        <f>HYPERLINK("https://us2.cloudbeds.com/connect/10074733072513#/reservations/31726445584597?display=MXE679J6F&amp;reservation_id=31726445584597", "MXE679J6F")</f>
        <v>MXE679J6F</v>
      </c>
      <c r="B5057" t="s">
        <v>10</v>
      </c>
      <c r="C5057" t="s">
        <v>11</v>
      </c>
      <c r="D5057" t="str">
        <f>HYPERLINK("https://us2.cloudbeds.com/connect/10074733072513#/reservations/31726445584597?display=Rhonda%20Anderson&amp;reservation_id=31726445584597&amp;guest_id=31726445584592", "Rhonda Anderson")</f>
        <v>Rhonda Anderson</v>
      </c>
      <c r="E5057" t="s">
        <v>9954</v>
      </c>
      <c r="F5057" t="s">
        <v>8801</v>
      </c>
      <c r="G5057">
        <v>304.2</v>
      </c>
      <c r="H5057">
        <v>330.66</v>
      </c>
      <c r="I5057">
        <v>330.67</v>
      </c>
      <c r="J5057">
        <v>-0.01</v>
      </c>
    </row>
    <row r="5058" spans="1:10" x14ac:dyDescent="0.3">
      <c r="A5058" t="str">
        <f>HYPERLINK("https://us2.cloudbeds.com/connect/10074733072513#/reservations/31729661550810?display=MXGMD2J72&amp;reservation_id=31729661550810", "MXGMD2J72")</f>
        <v>MXGMD2J72</v>
      </c>
      <c r="B5058" t="s">
        <v>10</v>
      </c>
      <c r="C5058" t="s">
        <v>20</v>
      </c>
      <c r="D5058" t="str">
        <f>HYPERLINK("https://us2.cloudbeds.com/connect/10074733072513#/reservations/31729661550810?display=Bethany%20Gabel&amp;reservation_id=31729661550810&amp;guest_id=31729661546709", "Bethany Gabel")</f>
        <v>Bethany Gabel</v>
      </c>
      <c r="E5058" t="s">
        <v>9958</v>
      </c>
      <c r="F5058" t="s">
        <v>8045</v>
      </c>
      <c r="G5058">
        <v>170.1</v>
      </c>
      <c r="H5058">
        <v>184.89</v>
      </c>
      <c r="I5058">
        <v>184.9</v>
      </c>
      <c r="J5058">
        <v>-0.01</v>
      </c>
    </row>
    <row r="5059" spans="1:10" x14ac:dyDescent="0.3">
      <c r="A5059" t="str">
        <f>HYPERLINK("https://us2.cloudbeds.com/connect/10074733072513#/reservations/31727815962834?display=MXF87RCDM&amp;reservation_id=31727815962834", "MXF87RCDM")</f>
        <v>MXF87RCDM</v>
      </c>
      <c r="B5059" t="s">
        <v>10</v>
      </c>
      <c r="C5059" t="s">
        <v>42</v>
      </c>
      <c r="D5059" t="str">
        <f>HYPERLINK("https://us2.cloudbeds.com/connect/10074733072513#/reservations/31727815962834?display=Sherrie%20Strand&amp;reservation_id=31727815962834&amp;guest_id=31727806681221", "Sherrie Strand")</f>
        <v>Sherrie Strand</v>
      </c>
      <c r="E5059" t="s">
        <v>9959</v>
      </c>
      <c r="F5059" t="s">
        <v>8920</v>
      </c>
      <c r="G5059">
        <v>376.2</v>
      </c>
      <c r="H5059">
        <v>408.92</v>
      </c>
      <c r="I5059">
        <v>408.93</v>
      </c>
      <c r="J5059">
        <v>-0.01</v>
      </c>
    </row>
    <row r="5060" spans="1:10" x14ac:dyDescent="0.3">
      <c r="A5060" t="str">
        <f>HYPERLINK("https://us2.cloudbeds.com/connect/10074733072513#/reservations/31731611611296?display=MXX67DTC2&amp;reservation_id=31731611611296", "MXX67DTC2")</f>
        <v>MXX67DTC2</v>
      </c>
      <c r="B5060" t="s">
        <v>10</v>
      </c>
      <c r="C5060" t="s">
        <v>14</v>
      </c>
      <c r="D5060" t="str">
        <f>HYPERLINK("https://us2.cloudbeds.com/connect/10074733072513#/reservations/31731611611296?display=Renee%20Reitelbach&amp;reservation_id=31731611611296&amp;guest_id=31731611611291", "Renee Reitelbach")</f>
        <v>Renee Reitelbach</v>
      </c>
      <c r="E5060" t="s">
        <v>9960</v>
      </c>
      <c r="F5060" t="s">
        <v>9936</v>
      </c>
      <c r="G5060">
        <v>106.27</v>
      </c>
      <c r="H5060">
        <v>115.51</v>
      </c>
      <c r="I5060">
        <v>115.52</v>
      </c>
      <c r="J5060">
        <v>-0.01</v>
      </c>
    </row>
    <row r="5061" spans="1:10" x14ac:dyDescent="0.3">
      <c r="A5061" t="str">
        <f>HYPERLINK("https://us2.cloudbeds.com/connect/10074733072513#/reservations/31732278493402?display=MXXN8ZSKZ&amp;reservation_id=31732278493402", "MXXN8ZSKZ")</f>
        <v>MXXN8ZSKZ</v>
      </c>
      <c r="B5061" t="s">
        <v>10</v>
      </c>
      <c r="C5061" t="s">
        <v>42</v>
      </c>
      <c r="D5061" t="str">
        <f>HYPERLINK("https://us2.cloudbeds.com/connect/10074733072513#/reservations/31732278493402?display=Marlyn%20Poppens&amp;reservation_id=31732278493402&amp;guest_id=31732263288962", "Marlyn Poppens")</f>
        <v>Marlyn Poppens</v>
      </c>
      <c r="E5061" t="s">
        <v>9963</v>
      </c>
      <c r="F5061" t="s">
        <v>9247</v>
      </c>
      <c r="G5061">
        <v>129.6</v>
      </c>
      <c r="H5061">
        <v>140.87</v>
      </c>
      <c r="I5061">
        <v>140.88</v>
      </c>
      <c r="J5061">
        <v>-0.01</v>
      </c>
    </row>
    <row r="5062" spans="1:10" x14ac:dyDescent="0.3">
      <c r="A5062" t="str">
        <f>HYPERLINK("https://us2.cloudbeds.com/connect/10074733072513#/reservations/31729639628946?display=MXGYRJXV5&amp;reservation_id=31729639628946", "MXGYRJXV5")</f>
        <v>MXGYRJXV5</v>
      </c>
      <c r="B5062" t="s">
        <v>10</v>
      </c>
      <c r="C5062" t="s">
        <v>17</v>
      </c>
      <c r="D5062" t="str">
        <f>HYPERLINK("https://us2.cloudbeds.com/connect/10074733072513#/reservations/31729639628946?display=Patrick%20And%20Lisa%20Mcclure&amp;reservation_id=31729639628946&amp;guest_id=31729639628944", "Patrick And Lisa Mcclure")</f>
        <v>Patrick And Lisa Mcclure</v>
      </c>
      <c r="E5062" t="s">
        <v>9966</v>
      </c>
      <c r="F5062" t="s">
        <v>8045</v>
      </c>
      <c r="G5062">
        <v>546.29999999999995</v>
      </c>
      <c r="H5062">
        <v>593.82000000000005</v>
      </c>
      <c r="I5062">
        <v>593.83000000000004</v>
      </c>
      <c r="J5062">
        <v>-0.01</v>
      </c>
    </row>
    <row r="5063" spans="1:10" x14ac:dyDescent="0.3">
      <c r="A5063" t="str">
        <f>HYPERLINK("https://us2.cloudbeds.com/connect/10074733072513#/reservations/31734576083187?display=MXKFW4MPK&amp;reservation_id=31734576083187", "MXKFW4MPK")</f>
        <v>MXKFW4MPK</v>
      </c>
      <c r="B5063" t="s">
        <v>10</v>
      </c>
      <c r="C5063" t="s">
        <v>11</v>
      </c>
      <c r="D5063" t="str">
        <f>HYPERLINK("https://us2.cloudbeds.com/connect/10074733072513#/reservations/31734576083187?display=Ahmed%20Abd%20Elazim&amp;reservation_id=31734576083187&amp;guest_id=31734576083185", "Ahmed Abd Elazim")</f>
        <v>Ahmed Abd Elazim</v>
      </c>
      <c r="E5063" t="s">
        <v>9971</v>
      </c>
      <c r="F5063" t="s">
        <v>9660</v>
      </c>
      <c r="G5063">
        <v>212.54</v>
      </c>
      <c r="H5063">
        <v>231.02</v>
      </c>
      <c r="I5063">
        <v>231.03</v>
      </c>
      <c r="J5063">
        <v>-0.01</v>
      </c>
    </row>
    <row r="5064" spans="1:10" x14ac:dyDescent="0.3">
      <c r="A5064" t="str">
        <f>HYPERLINK("https://us2.cloudbeds.com/connect/10074733072513#/reservations/31734758580357?display=MXKKY0V3T&amp;reservation_id=31734758580357", "MXKKY0V3T")</f>
        <v>MXKKY0V3T</v>
      </c>
      <c r="B5064" t="s">
        <v>10</v>
      </c>
      <c r="C5064" t="s">
        <v>14</v>
      </c>
      <c r="D5064" t="str">
        <f>HYPERLINK("https://us2.cloudbeds.com/connect/10074733072513#/reservations/31734758580357?display=William%20Kuhn&amp;reservation_id=31734758580357&amp;guest_id=31734750949531", "William Kuhn")</f>
        <v>William Kuhn</v>
      </c>
      <c r="E5064" t="s">
        <v>9973</v>
      </c>
      <c r="F5064" t="s">
        <v>9638</v>
      </c>
      <c r="G5064">
        <v>106.27</v>
      </c>
      <c r="H5064">
        <v>115.51</v>
      </c>
      <c r="I5064">
        <v>115.52</v>
      </c>
      <c r="J5064">
        <v>-0.01</v>
      </c>
    </row>
    <row r="5065" spans="1:10" x14ac:dyDescent="0.3">
      <c r="A5065" t="str">
        <f>HYPERLINK("https://us2.cloudbeds.com/connect/10074733072513#/reservations/31731271229580?display=MXHUHD8QK&amp;reservation_id=31731271229580", "MXHUHD8QK")</f>
        <v>MXHUHD8QK</v>
      </c>
      <c r="B5065" t="s">
        <v>10</v>
      </c>
      <c r="C5065" t="s">
        <v>11</v>
      </c>
      <c r="D5065" t="str">
        <f>HYPERLINK("https://us2.cloudbeds.com/connect/10074733072513#/reservations/31731271229580?display=Jerry%20Sanders&amp;reservation_id=31731271229580&amp;guest_id=31731261186229", "Jerry Sanders")</f>
        <v>Jerry Sanders</v>
      </c>
      <c r="E5065" t="s">
        <v>9974</v>
      </c>
      <c r="F5065" t="s">
        <v>9975</v>
      </c>
      <c r="G5065">
        <v>306.33999999999997</v>
      </c>
      <c r="H5065">
        <v>332.98</v>
      </c>
      <c r="I5065">
        <v>332.99</v>
      </c>
      <c r="J5065">
        <v>-0.01</v>
      </c>
    </row>
    <row r="5066" spans="1:10" x14ac:dyDescent="0.3">
      <c r="A5066" t="str">
        <f>HYPERLINK("https://us2.cloudbeds.com/connect/10074733072513#/reservations/31728629539036?display=MXFT0SB00&amp;reservation_id=31728629539036", "MXFT0SB00")</f>
        <v>MXFT0SB00</v>
      </c>
      <c r="B5066" t="s">
        <v>10</v>
      </c>
      <c r="C5066" t="s">
        <v>14</v>
      </c>
      <c r="D5066" t="str">
        <f>HYPERLINK("https://us2.cloudbeds.com/connect/10074733072513#/reservations/31728629539036?display=Jason%20Voelker&amp;reservation_id=31728629539036&amp;guest_id=31728629539034", "Jason Voelker")</f>
        <v>Jason Voelker</v>
      </c>
      <c r="E5066" t="s">
        <v>9977</v>
      </c>
      <c r="F5066" t="s">
        <v>9638</v>
      </c>
      <c r="G5066">
        <v>106.27</v>
      </c>
      <c r="H5066">
        <v>115.51</v>
      </c>
      <c r="I5066">
        <v>115.52</v>
      </c>
      <c r="J5066">
        <v>-0.01</v>
      </c>
    </row>
    <row r="5067" spans="1:10" x14ac:dyDescent="0.3">
      <c r="A5067" t="str">
        <f>HYPERLINK("https://us2.cloudbeds.com/connect/10074733072513#/reservations/31726144999649?display=MXDVHRBVM&amp;reservation_id=31726144999649", "MXDVHRBVM")</f>
        <v>MXDVHRBVM</v>
      </c>
      <c r="B5067" t="s">
        <v>10</v>
      </c>
      <c r="C5067" t="s">
        <v>14</v>
      </c>
      <c r="D5067" t="str">
        <f>HYPERLINK("https://us2.cloudbeds.com/connect/10074733072513#/reservations/31726144999649?display=Terry%20Blue&amp;reservation_id=31726144999649&amp;guest_id=31726144999633", "Terry Blue")</f>
        <v>Terry Blue</v>
      </c>
      <c r="E5067" t="s">
        <v>9981</v>
      </c>
      <c r="F5067" t="s">
        <v>9445</v>
      </c>
      <c r="G5067">
        <v>304.2</v>
      </c>
      <c r="H5067">
        <v>330.66</v>
      </c>
      <c r="I5067">
        <v>330.67</v>
      </c>
      <c r="J5067">
        <v>-0.01</v>
      </c>
    </row>
    <row r="5068" spans="1:10" x14ac:dyDescent="0.3">
      <c r="A5068" t="str">
        <f>HYPERLINK("https://us2.cloudbeds.com/connect/10074733072513#/reservations/31729639633052?display=MXGYRJMNJ&amp;reservation_id=31729639633052", "MXGYRJMNJ")</f>
        <v>MXGYRJMNJ</v>
      </c>
      <c r="B5068" t="s">
        <v>10</v>
      </c>
      <c r="C5068" t="s">
        <v>11</v>
      </c>
      <c r="D5068" t="str">
        <f>HYPERLINK("https://us2.cloudbeds.com/connect/10074733072513#/reservations/31729639633052?display=Linda%20Danner&amp;reservation_id=31729639633052&amp;guest_id=31729639633047", "Linda Danner")</f>
        <v>Linda Danner</v>
      </c>
      <c r="E5068" t="s">
        <v>9982</v>
      </c>
      <c r="F5068" t="s">
        <v>9983</v>
      </c>
      <c r="G5068">
        <v>253.86</v>
      </c>
      <c r="H5068">
        <v>275.94</v>
      </c>
      <c r="I5068">
        <v>275.95</v>
      </c>
      <c r="J5068">
        <v>-0.01</v>
      </c>
    </row>
    <row r="5069" spans="1:10" x14ac:dyDescent="0.3">
      <c r="A5069" t="str">
        <f>HYPERLINK("https://us2.cloudbeds.com/connect/10074733072513#/reservations/31734695403674?display=MXKJ0ZVKV&amp;reservation_id=31734695403674", "MXKJ0ZVKV")</f>
        <v>MXKJ0ZVKV</v>
      </c>
      <c r="B5069" t="s">
        <v>10</v>
      </c>
      <c r="C5069" t="s">
        <v>11</v>
      </c>
      <c r="D5069" t="str">
        <f>HYPERLINK("https://us2.cloudbeds.com/connect/10074733072513#/reservations/31734695403674?display=Peter%20Schwabe&amp;reservation_id=31734695403674&amp;guest_id=31734675443853", "Peter Schwabe")</f>
        <v>Peter Schwabe</v>
      </c>
      <c r="E5069" t="s">
        <v>9984</v>
      </c>
      <c r="F5069" t="s">
        <v>9660</v>
      </c>
      <c r="G5069">
        <v>106.27</v>
      </c>
      <c r="H5069">
        <v>115.51</v>
      </c>
      <c r="I5069">
        <v>115.52</v>
      </c>
      <c r="J5069">
        <v>-0.01</v>
      </c>
    </row>
    <row r="5070" spans="1:10" x14ac:dyDescent="0.3">
      <c r="A5070" t="str">
        <f>HYPERLINK("https://us2.cloudbeds.com/connect/10074733072513#/reservations/31734516048007?display=MXKEEH41Z&amp;reservation_id=31734516048007", "MXKEEH41Z")</f>
        <v>MXKEEH41Z</v>
      </c>
      <c r="B5070" t="s">
        <v>10</v>
      </c>
      <c r="C5070" t="s">
        <v>11</v>
      </c>
      <c r="D5070" t="str">
        <f>HYPERLINK("https://us2.cloudbeds.com/connect/10074733072513#/reservations/31734516048007?display=Zack%20Nelson&amp;reservation_id=31734516048007&amp;guest_id=31734504526007", "Zack Nelson")</f>
        <v>Zack Nelson</v>
      </c>
      <c r="E5070" t="s">
        <v>9985</v>
      </c>
      <c r="F5070" t="s">
        <v>9660</v>
      </c>
      <c r="G5070">
        <v>106.27</v>
      </c>
      <c r="H5070">
        <v>115.51</v>
      </c>
      <c r="I5070">
        <v>115.52</v>
      </c>
      <c r="J5070">
        <v>-0.01</v>
      </c>
    </row>
    <row r="5071" spans="1:10" x14ac:dyDescent="0.3">
      <c r="A5071" t="str">
        <f>HYPERLINK("https://us2.cloudbeds.com/connect/10074733072513#/reservations/31732306866400?display=MXXNWMCQX&amp;reservation_id=31732306866400", "MXXNWMCQX")</f>
        <v>MXXNWMCQX</v>
      </c>
      <c r="B5071" t="s">
        <v>10</v>
      </c>
      <c r="C5071" t="s">
        <v>23</v>
      </c>
      <c r="D5071" t="str">
        <f>HYPERLINK("https://us2.cloudbeds.com/connect/10074733072513#/reservations/31732306866400?display=Scott%20Lynch&amp;reservation_id=31732306866400&amp;guest_id=31732306866384", "Scott Lynch")</f>
        <v>Scott Lynch</v>
      </c>
      <c r="E5071" t="s">
        <v>9996</v>
      </c>
      <c r="F5071" t="s">
        <v>9660</v>
      </c>
      <c r="G5071">
        <v>129.6</v>
      </c>
      <c r="H5071">
        <v>140.87</v>
      </c>
      <c r="I5071">
        <v>140.88</v>
      </c>
      <c r="J5071">
        <v>-0.01</v>
      </c>
    </row>
    <row r="5072" spans="1:10" x14ac:dyDescent="0.3">
      <c r="A5072" t="str">
        <f>HYPERLINK("https://us2.cloudbeds.com/connect/10074733072513#/reservations/31728273928434?display=MXFJUWV55&amp;reservation_id=31728273928434", "MXFJUWV55")</f>
        <v>MXFJUWV55</v>
      </c>
      <c r="B5072" t="s">
        <v>10</v>
      </c>
      <c r="C5072" t="s">
        <v>42</v>
      </c>
      <c r="D5072" t="str">
        <f>HYPERLINK("https://us2.cloudbeds.com/connect/10074733072513#/reservations/31728273928434?display=Craig%20Foley&amp;reservation_id=31728273928434&amp;guest_id=31723289198743", "Craig Foley")</f>
        <v>Craig Foley</v>
      </c>
      <c r="E5072" t="s">
        <v>9998</v>
      </c>
      <c r="F5072" t="s">
        <v>9453</v>
      </c>
      <c r="G5072">
        <v>1393.2</v>
      </c>
      <c r="H5072">
        <v>1514.4</v>
      </c>
      <c r="I5072">
        <v>1514.41</v>
      </c>
      <c r="J5072">
        <v>-0.01</v>
      </c>
    </row>
    <row r="5073" spans="1:10" x14ac:dyDescent="0.3">
      <c r="A5073" t="str">
        <f>HYPERLINK("https://us2.cloudbeds.com/connect/10074733072513#/reservations/31731815117018?display=MXXBE0ZA4&amp;reservation_id=31731815117018", "MXXBE0ZA4")</f>
        <v>MXXBE0ZA4</v>
      </c>
      <c r="B5073" t="s">
        <v>10</v>
      </c>
      <c r="C5073" t="s">
        <v>17</v>
      </c>
      <c r="D5073" t="str">
        <f>HYPERLINK("https://us2.cloudbeds.com/connect/10074733072513#/reservations/31731815117018?display=Donna%20Burkett&amp;reservation_id=31731815117018&amp;guest_id=31711694631066", "Donna Burkett")</f>
        <v>Donna Burkett</v>
      </c>
      <c r="E5073" t="s">
        <v>10002</v>
      </c>
      <c r="F5073" t="s">
        <v>10003</v>
      </c>
      <c r="G5073">
        <v>500.4</v>
      </c>
      <c r="H5073">
        <v>543.91999999999996</v>
      </c>
      <c r="I5073">
        <v>543.92999999999995</v>
      </c>
      <c r="J5073">
        <v>-0.01</v>
      </c>
    </row>
    <row r="5074" spans="1:10" x14ac:dyDescent="0.3">
      <c r="A5074" t="str">
        <f>HYPERLINK("https://us2.cloudbeds.com/connect/10074733072513#/reservations/31730127478993?display=MXH19VNPU&amp;reservation_id=31730127478993", "MXH19VNPU")</f>
        <v>MXH19VNPU</v>
      </c>
      <c r="B5074" t="s">
        <v>10</v>
      </c>
      <c r="C5074" t="s">
        <v>42</v>
      </c>
      <c r="D5074" t="str">
        <f>HYPERLINK("https://us2.cloudbeds.com/connect/10074733072513#/reservations/31730127478993?display=Dale%20Ann%20Hoyt&amp;reservation_id=31730127478993&amp;guest_id=31730117726394", "Dale Ann Hoyt")</f>
        <v>Dale Ann Hoyt</v>
      </c>
      <c r="E5074" t="s">
        <v>10018</v>
      </c>
      <c r="F5074" t="s">
        <v>9839</v>
      </c>
      <c r="G5074">
        <v>129.6</v>
      </c>
      <c r="H5074">
        <v>140.87</v>
      </c>
      <c r="I5074">
        <v>140.88</v>
      </c>
      <c r="J5074">
        <v>-0.01</v>
      </c>
    </row>
    <row r="5075" spans="1:10" x14ac:dyDescent="0.3">
      <c r="A5075" t="str">
        <f>HYPERLINK("https://us2.cloudbeds.com/connect/10074733072513#/reservations/31731792474324?display=MXXARUM3T&amp;reservation_id=31731792474324", "MXXARUM3T")</f>
        <v>MXXARUM3T</v>
      </c>
      <c r="B5075" t="s">
        <v>10</v>
      </c>
      <c r="C5075" t="s">
        <v>42</v>
      </c>
      <c r="D5075" t="str">
        <f>HYPERLINK("https://us2.cloudbeds.com/connect/10074733072513#/reservations/31731792474324?display=Colin%20Zoellner&amp;reservation_id=31731792474324&amp;guest_id=31731788681401", "Colin Zoellner")</f>
        <v>Colin Zoellner</v>
      </c>
      <c r="E5075" t="s">
        <v>291</v>
      </c>
      <c r="F5075" t="s">
        <v>8920</v>
      </c>
      <c r="G5075">
        <v>376.2</v>
      </c>
      <c r="H5075">
        <v>408.92</v>
      </c>
      <c r="I5075">
        <v>408.93</v>
      </c>
      <c r="J5075">
        <v>-0.01</v>
      </c>
    </row>
    <row r="5076" spans="1:10" x14ac:dyDescent="0.3">
      <c r="A5076" t="str">
        <f>HYPERLINK("https://us2.cloudbeds.com/connect/10074733072513#/reservations/31731605475496?display=MXX62850Z&amp;reservation_id=31731605475496", "MXX62850Z")</f>
        <v>MXX62850Z</v>
      </c>
      <c r="B5076" t="s">
        <v>10</v>
      </c>
      <c r="C5076" t="s">
        <v>23</v>
      </c>
      <c r="D5076" t="str">
        <f>HYPERLINK("https://us2.cloudbeds.com/connect/10074733072513#/reservations/31731605475496?display=Myron%20Melton&amp;reservation_id=31731605475496&amp;guest_id=31731596067024", "Myron Melton")</f>
        <v>Myron Melton</v>
      </c>
      <c r="E5076" t="s">
        <v>10021</v>
      </c>
      <c r="F5076" t="s">
        <v>9892</v>
      </c>
      <c r="G5076">
        <v>144.1</v>
      </c>
      <c r="H5076">
        <v>156.63</v>
      </c>
      <c r="I5076">
        <v>156.63999999999999</v>
      </c>
      <c r="J5076">
        <v>-0.01</v>
      </c>
    </row>
    <row r="5077" spans="1:10" x14ac:dyDescent="0.3">
      <c r="A5077" t="str">
        <f>HYPERLINK("https://us2.cloudbeds.com/connect/10074733072513#/reservations/31733270565089?display=MXJFK9NU4&amp;reservation_id=31733270565089", "MXJFK9NU4")</f>
        <v>MXJFK9NU4</v>
      </c>
      <c r="B5077" t="s">
        <v>10</v>
      </c>
      <c r="C5077" t="s">
        <v>17</v>
      </c>
      <c r="D5077" t="str">
        <f>HYPERLINK("https://us2.cloudbeds.com/connect/10074733072513#/reservations/31733270565089?display=Helen%20Crow&amp;reservation_id=31733270565089&amp;guest_id=31733270560995", "Helen Crow")</f>
        <v>Helen Crow</v>
      </c>
      <c r="E5077" t="s">
        <v>8466</v>
      </c>
      <c r="F5077" t="s">
        <v>8918</v>
      </c>
      <c r="G5077">
        <v>376.2</v>
      </c>
      <c r="H5077">
        <v>408.92</v>
      </c>
      <c r="I5077">
        <v>408.93</v>
      </c>
      <c r="J5077">
        <v>-0.01</v>
      </c>
    </row>
    <row r="5078" spans="1:10" x14ac:dyDescent="0.3">
      <c r="A5078" t="str">
        <f>HYPERLINK("https://us2.cloudbeds.com/connect/10074733072513#/reservations/31726295322759?display=MXE2CJANE&amp;reservation_id=31726295322759", "MXE2CJANE")</f>
        <v>MXE2CJANE</v>
      </c>
      <c r="B5078" t="s">
        <v>10</v>
      </c>
      <c r="C5078" t="s">
        <v>14</v>
      </c>
      <c r="D5078" t="str">
        <f>HYPERLINK("https://us2.cloudbeds.com/connect/10074733072513#/reservations/31726295322759?display=John%20Smid&amp;reservation_id=31726295322759&amp;guest_id=31726295318673", "John Smid")</f>
        <v>John Smid</v>
      </c>
      <c r="E5078" t="s">
        <v>10032</v>
      </c>
      <c r="F5078" t="s">
        <v>9839</v>
      </c>
      <c r="G5078">
        <v>212.54</v>
      </c>
      <c r="H5078">
        <v>231.02</v>
      </c>
      <c r="I5078">
        <v>231.03</v>
      </c>
      <c r="J5078">
        <v>-0.01</v>
      </c>
    </row>
    <row r="5079" spans="1:10" x14ac:dyDescent="0.3">
      <c r="A5079" t="str">
        <f>HYPERLINK("https://us2.cloudbeds.com/connect/10074733072513#/reservations/31731293712545?display=MXHV3BTAJ&amp;reservation_id=31731293712545", "MXHV3BTAJ")</f>
        <v>MXHV3BTAJ</v>
      </c>
      <c r="B5079" t="s">
        <v>10</v>
      </c>
      <c r="C5079" t="s">
        <v>42</v>
      </c>
      <c r="D5079" t="str">
        <f>HYPERLINK("https://us2.cloudbeds.com/connect/10074733072513#/reservations/31731293712545?display=Beverly%20Iverson&amp;reservation_id=31731293712545&amp;guest_id=31731293712543", "Beverly Iverson")</f>
        <v>Beverly Iverson</v>
      </c>
      <c r="E5079" t="s">
        <v>10033</v>
      </c>
      <c r="F5079" t="s">
        <v>9817</v>
      </c>
      <c r="G5079">
        <v>170.1</v>
      </c>
      <c r="H5079">
        <v>184.89</v>
      </c>
      <c r="I5079">
        <v>184.9</v>
      </c>
      <c r="J5079">
        <v>-0.01</v>
      </c>
    </row>
    <row r="5080" spans="1:10" x14ac:dyDescent="0.3">
      <c r="A5080" t="str">
        <f>HYPERLINK("https://us2.cloudbeds.com/connect/10074733072513#/reservations/31733953171655?display=MXK01T8HJ&amp;reservation_id=31733953171655", "MXK01T8HJ")</f>
        <v>MXK01T8HJ</v>
      </c>
      <c r="B5080" t="s">
        <v>10</v>
      </c>
      <c r="C5080" t="s">
        <v>23</v>
      </c>
      <c r="D5080" t="str">
        <f>HYPERLINK("https://us2.cloudbeds.com/connect/10074733072513#/reservations/31733953171655?display=Chase%20Womble&amp;reservation_id=31733953171655&amp;guest_id=31733953167562", "Chase Womble")</f>
        <v>Chase Womble</v>
      </c>
      <c r="E5080" t="s">
        <v>10035</v>
      </c>
      <c r="F5080" t="s">
        <v>9989</v>
      </c>
      <c r="G5080">
        <v>129.6</v>
      </c>
      <c r="H5080">
        <v>140.87</v>
      </c>
      <c r="I5080">
        <v>140.88</v>
      </c>
      <c r="J5080">
        <v>-0.01</v>
      </c>
    </row>
    <row r="5081" spans="1:10" x14ac:dyDescent="0.3">
      <c r="A5081" t="str">
        <f>HYPERLINK("https://us2.cloudbeds.com/connect/10074733072513#/reservations/31733891412204?display=MXJVFQNF2&amp;reservation_id=31733891412204", "MXJVFQNF2")</f>
        <v>MXJVFQNF2</v>
      </c>
      <c r="B5081" t="s">
        <v>10</v>
      </c>
      <c r="C5081" t="s">
        <v>11</v>
      </c>
      <c r="D5081" t="str">
        <f>HYPERLINK("https://us2.cloudbeds.com/connect/10074733072513#/reservations/31733891412204?display=Jonathan%20Saunders&amp;reservation_id=31733891412204&amp;guest_id=31733891412199", "Jonathan Saunders")</f>
        <v>Jonathan Saunders</v>
      </c>
      <c r="E5081" t="s">
        <v>10040</v>
      </c>
      <c r="F5081" t="s">
        <v>9989</v>
      </c>
      <c r="G5081">
        <v>106.27</v>
      </c>
      <c r="H5081">
        <v>115.51</v>
      </c>
      <c r="I5081">
        <v>115.52</v>
      </c>
      <c r="J5081">
        <v>-0.01</v>
      </c>
    </row>
    <row r="5082" spans="1:10" x14ac:dyDescent="0.3">
      <c r="A5082" t="str">
        <f>HYPERLINK("https://us2.cloudbeds.com/connect/10074733072513#/reservations/31726238388363?display=MXE0UJ1BN&amp;reservation_id=31726238388363", "MXE0UJ1BN")</f>
        <v>MXE0UJ1BN</v>
      </c>
      <c r="B5082" t="s">
        <v>10</v>
      </c>
      <c r="C5082" t="s">
        <v>20</v>
      </c>
      <c r="D5082" t="str">
        <f>HYPERLINK("https://us2.cloudbeds.com/connect/10074733072513#/reservations/31726238388363?display=Matthew%20Schick&amp;reservation_id=31726238388363&amp;guest_id=31726238384314", "Matthew Schick")</f>
        <v>Matthew Schick</v>
      </c>
      <c r="E5082" t="s">
        <v>10045</v>
      </c>
      <c r="F5082" t="s">
        <v>9839</v>
      </c>
      <c r="G5082">
        <v>129.6</v>
      </c>
      <c r="H5082">
        <v>140.87</v>
      </c>
      <c r="I5082">
        <v>140.88</v>
      </c>
      <c r="J5082">
        <v>-0.01</v>
      </c>
    </row>
    <row r="5083" spans="1:10" x14ac:dyDescent="0.3">
      <c r="A5083" t="str">
        <f>HYPERLINK("https://us2.cloudbeds.com/connect/10074733072513#/reservations/31733844463770?display=MXJU979V8&amp;reservation_id=31733844463770", "MXJU979V8")</f>
        <v>MXJU979V8</v>
      </c>
      <c r="B5083" t="s">
        <v>10</v>
      </c>
      <c r="C5083" t="s">
        <v>11</v>
      </c>
      <c r="D5083" t="str">
        <f>HYPERLINK("https://us2.cloudbeds.com/connect/10074733072513#/reservations/31733844463770?display=Bethany%20Brown&amp;reservation_id=31733844463770&amp;guest_id=31733844459685", "Bethany Brown")</f>
        <v>Bethany Brown</v>
      </c>
      <c r="E5083" t="s">
        <v>10046</v>
      </c>
      <c r="F5083" t="s">
        <v>9989</v>
      </c>
      <c r="G5083">
        <v>106.27</v>
      </c>
      <c r="H5083">
        <v>115.51</v>
      </c>
      <c r="I5083">
        <v>115.52</v>
      </c>
      <c r="J5083">
        <v>-0.01</v>
      </c>
    </row>
    <row r="5084" spans="1:10" x14ac:dyDescent="0.3">
      <c r="A5084" t="str">
        <f>HYPERLINK("https://us2.cloudbeds.com/connect/10074733072513#/reservations/31730060124388?display=MXGWJ5FR9&amp;reservation_id=31730060124388", "MXGWJ5FR9")</f>
        <v>MXGWJ5FR9</v>
      </c>
      <c r="B5084" t="s">
        <v>10</v>
      </c>
      <c r="C5084" t="s">
        <v>42</v>
      </c>
      <c r="D5084" t="str">
        <f>HYPERLINK("https://us2.cloudbeds.com/connect/10074733072513#/reservations/31730060124388?display=Cindy%20Midas&amp;reservation_id=31730060124388&amp;guest_id=31730049003650", "Cindy Midas")</f>
        <v>Cindy Midas</v>
      </c>
      <c r="E5084" t="s">
        <v>10047</v>
      </c>
      <c r="F5084" t="s">
        <v>8355</v>
      </c>
      <c r="G5084">
        <v>143.65</v>
      </c>
      <c r="H5084">
        <v>156.13999999999999</v>
      </c>
      <c r="I5084">
        <v>156.15</v>
      </c>
      <c r="J5084">
        <v>-0.01</v>
      </c>
    </row>
    <row r="5085" spans="1:10" x14ac:dyDescent="0.3">
      <c r="A5085" t="str">
        <f>HYPERLINK("https://us2.cloudbeds.com/connect/10074733072513#/reservations/31733866729609?display=MXJURWT2Y&amp;reservation_id=31733866729609", "MXJURWT2Y")</f>
        <v>MXJURWT2Y</v>
      </c>
      <c r="B5085" t="s">
        <v>10</v>
      </c>
      <c r="C5085" t="s">
        <v>11</v>
      </c>
      <c r="D5085" t="str">
        <f>HYPERLINK("https://us2.cloudbeds.com/connect/10074733072513#/reservations/31733866729609?display=Alissa%20Fischer&amp;reservation_id=31733866729609&amp;guest_id=31733857063161", "Alissa Fischer")</f>
        <v>Alissa Fischer</v>
      </c>
      <c r="E5085" t="s">
        <v>10049</v>
      </c>
      <c r="F5085" t="s">
        <v>9989</v>
      </c>
      <c r="G5085">
        <v>106.27</v>
      </c>
      <c r="H5085">
        <v>115.51</v>
      </c>
      <c r="I5085">
        <v>115.52</v>
      </c>
      <c r="J5085">
        <v>-0.01</v>
      </c>
    </row>
    <row r="5086" spans="1:10" x14ac:dyDescent="0.3">
      <c r="A5086" t="str">
        <f>HYPERLINK("https://us2.cloudbeds.com/connect/10074733072513#/reservations/31732294078660?display=MXXNYTX59&amp;reservation_id=31732294078660", "MXXNYTX59")</f>
        <v>MXXNYTX59</v>
      </c>
      <c r="B5086" t="s">
        <v>10</v>
      </c>
      <c r="C5086" t="s">
        <v>20</v>
      </c>
      <c r="D5086" t="str">
        <f>HYPERLINK("https://us2.cloudbeds.com/connect/10074733072513#/reservations/31732294078660?display=Jeff%20Weick&amp;reservation_id=31732294078660&amp;guest_id=31732294074569", "Jeff Weick")</f>
        <v>Jeff Weick</v>
      </c>
      <c r="E5086" t="s">
        <v>10050</v>
      </c>
      <c r="F5086" t="s">
        <v>9992</v>
      </c>
      <c r="G5086">
        <v>129.6</v>
      </c>
      <c r="H5086">
        <v>140.87</v>
      </c>
      <c r="I5086">
        <v>140.88</v>
      </c>
      <c r="J5086">
        <v>-0.01</v>
      </c>
    </row>
    <row r="5087" spans="1:10" x14ac:dyDescent="0.3">
      <c r="A5087" t="str">
        <f>HYPERLINK("https://us2.cloudbeds.com/connect/10074733072513#/reservations/31732381896864?display=MXXPTV79W&amp;reservation_id=31732381896864", "MXXPTV79W")</f>
        <v>MXXPTV79W</v>
      </c>
      <c r="B5087" t="s">
        <v>10</v>
      </c>
      <c r="C5087" t="s">
        <v>42</v>
      </c>
      <c r="D5087" t="str">
        <f>HYPERLINK("https://us2.cloudbeds.com/connect/10074733072513#/reservations/31732381896864?display=Timothy%20Cashion&amp;reservation_id=31732381896864&amp;guest_id=31689431007364", "Timothy Cashion")</f>
        <v>Timothy Cashion</v>
      </c>
      <c r="E5087" t="s">
        <v>10051</v>
      </c>
      <c r="F5087" t="s">
        <v>9992</v>
      </c>
      <c r="G5087">
        <v>129.6</v>
      </c>
      <c r="H5087">
        <v>140.87</v>
      </c>
      <c r="I5087">
        <v>140.88</v>
      </c>
      <c r="J5087">
        <v>-0.01</v>
      </c>
    </row>
    <row r="5088" spans="1:10" x14ac:dyDescent="0.3">
      <c r="A5088" t="str">
        <f>HYPERLINK("https://us2.cloudbeds.com/connect/10074733072513#/reservations/31728577552575?display=MXFRN0Z6N&amp;reservation_id=31728577552575", "MXFRN0Z6N")</f>
        <v>MXFRN0Z6N</v>
      </c>
      <c r="B5088" t="s">
        <v>10</v>
      </c>
      <c r="C5088" t="s">
        <v>11</v>
      </c>
      <c r="D5088" t="str">
        <f>HYPERLINK("https://us2.cloudbeds.com/connect/10074733072513#/reservations/31728577552575?display=Leah%20Miller&amp;reservation_id=31728577552575&amp;guest_id=31728577552513", "Leah Miller")</f>
        <v>Leah Miller</v>
      </c>
      <c r="E5088" t="s">
        <v>10053</v>
      </c>
      <c r="F5088" t="s">
        <v>8443</v>
      </c>
      <c r="G5088">
        <v>170.1</v>
      </c>
      <c r="H5088">
        <v>184.89</v>
      </c>
      <c r="I5088">
        <v>184.9</v>
      </c>
      <c r="J5088">
        <v>-0.01</v>
      </c>
    </row>
    <row r="5089" spans="1:10" x14ac:dyDescent="0.3">
      <c r="A5089" t="str">
        <f>HYPERLINK("https://us2.cloudbeds.com/connect/10074733072513#/reservations/31728555335900?display=MXFR49H74&amp;reservation_id=31728555335900", "MXFR49H74")</f>
        <v>MXFR49H74</v>
      </c>
      <c r="B5089" t="s">
        <v>10</v>
      </c>
      <c r="C5089" t="s">
        <v>11</v>
      </c>
      <c r="D5089" t="str">
        <f>HYPERLINK("https://us2.cloudbeds.com/connect/10074733072513#/reservations/31728555335900?display=Marlene%20Nelson&amp;reservation_id=31728555335900&amp;guest_id=31728547184769", "Marlene Nelson")</f>
        <v>Marlene Nelson</v>
      </c>
      <c r="E5089" t="s">
        <v>10054</v>
      </c>
      <c r="F5089" t="s">
        <v>8443</v>
      </c>
      <c r="G5089">
        <v>170.1</v>
      </c>
      <c r="H5089">
        <v>184.89</v>
      </c>
      <c r="I5089">
        <v>184.9</v>
      </c>
      <c r="J5089">
        <v>-0.01</v>
      </c>
    </row>
    <row r="5090" spans="1:10" x14ac:dyDescent="0.3">
      <c r="A5090" t="str">
        <f>HYPERLINK("https://us2.cloudbeds.com/connect/10074733072513#/reservations/31725772411084?display=MXDM0YHN3&amp;reservation_id=31725772411084", "MXDM0YHN3")</f>
        <v>MXDM0YHN3</v>
      </c>
      <c r="B5090" t="s">
        <v>10</v>
      </c>
      <c r="C5090" t="s">
        <v>42</v>
      </c>
      <c r="D5090" t="str">
        <f>HYPERLINK("https://us2.cloudbeds.com/connect/10074733072513#/reservations/31725772411084?display=Rodney%20Lanz&amp;reservation_id=31725772411084&amp;guest_id=31725772407000", "Rodney Lanz")</f>
        <v>Rodney Lanz</v>
      </c>
      <c r="E5090" t="s">
        <v>10056</v>
      </c>
      <c r="F5090" t="s">
        <v>9992</v>
      </c>
      <c r="G5090">
        <v>129.6</v>
      </c>
      <c r="H5090">
        <v>140.87</v>
      </c>
      <c r="I5090">
        <v>140.88</v>
      </c>
      <c r="J5090">
        <v>-0.01</v>
      </c>
    </row>
    <row r="5091" spans="1:10" x14ac:dyDescent="0.3">
      <c r="A5091" t="str">
        <f>HYPERLINK("https://us2.cloudbeds.com/connect/10074733072513#/reservations/31728529260758?display=MXFQF9V3A&amp;reservation_id=31728529260758", "MXFQF9V3A")</f>
        <v>MXFQF9V3A</v>
      </c>
      <c r="B5091" t="s">
        <v>10</v>
      </c>
      <c r="C5091" t="s">
        <v>11</v>
      </c>
      <c r="D5091" t="str">
        <f>HYPERLINK("https://us2.cloudbeds.com/connect/10074733072513#/reservations/31728529260758?display=Heather%20Hubbell&amp;reservation_id=31728529260758&amp;guest_id=31728529256663", "Heather Hubbell")</f>
        <v>Heather Hubbell</v>
      </c>
      <c r="E5091" t="s">
        <v>10057</v>
      </c>
      <c r="F5091" t="s">
        <v>8443</v>
      </c>
      <c r="G5091">
        <v>170.1</v>
      </c>
      <c r="H5091">
        <v>184.89</v>
      </c>
      <c r="I5091">
        <v>184.9</v>
      </c>
      <c r="J5091">
        <v>-0.01</v>
      </c>
    </row>
    <row r="5092" spans="1:10" x14ac:dyDescent="0.3">
      <c r="A5092" t="str">
        <f>HYPERLINK("https://us2.cloudbeds.com/connect/10074733072513#/reservations/31729960186020?display=MXGU0TX1T&amp;reservation_id=31729960186020", "MXGU0TX1T")</f>
        <v>MXGU0TX1T</v>
      </c>
      <c r="B5092" t="s">
        <v>10</v>
      </c>
      <c r="C5092" t="s">
        <v>42</v>
      </c>
      <c r="D5092" t="str">
        <f>HYPERLINK("https://us2.cloudbeds.com/connect/10074733072513#/reservations/31729960186020?display=Gary%20Laibe&amp;reservation_id=31729960186020&amp;guest_id=31729948483787", "Gary Laibe")</f>
        <v>Gary Laibe</v>
      </c>
      <c r="E5092" t="s">
        <v>10058</v>
      </c>
      <c r="F5092" t="s">
        <v>8443</v>
      </c>
      <c r="G5092">
        <v>170.1</v>
      </c>
      <c r="H5092">
        <v>184.89</v>
      </c>
      <c r="I5092">
        <v>184.9</v>
      </c>
      <c r="J5092">
        <v>-0.01</v>
      </c>
    </row>
    <row r="5093" spans="1:10" x14ac:dyDescent="0.3">
      <c r="A5093" t="str">
        <f>HYPERLINK("https://us2.cloudbeds.com/connect/10074733072513#/reservations/31728904315016?display=MXG31XCHS&amp;reservation_id=31728904315016", "MXG31XCHS")</f>
        <v>MXG31XCHS</v>
      </c>
      <c r="B5093" t="s">
        <v>10</v>
      </c>
      <c r="C5093" t="s">
        <v>11</v>
      </c>
      <c r="D5093" t="str">
        <f>HYPERLINK("https://us2.cloudbeds.com/connect/10074733072513#/reservations/31728904315016?display=Jessica%20Calaway&amp;reservation_id=31728904315016&amp;guest_id=31728904315014", "Jessica Calaway")</f>
        <v>Jessica Calaway</v>
      </c>
      <c r="E5093" t="s">
        <v>10059</v>
      </c>
      <c r="F5093" t="s">
        <v>9930</v>
      </c>
      <c r="G5093">
        <v>273.54000000000002</v>
      </c>
      <c r="H5093">
        <v>297.33</v>
      </c>
      <c r="I5093">
        <v>297.33999999999997</v>
      </c>
      <c r="J5093">
        <v>-0.01</v>
      </c>
    </row>
    <row r="5094" spans="1:10" x14ac:dyDescent="0.3">
      <c r="A5094" t="str">
        <f>HYPERLINK("https://us2.cloudbeds.com/connect/10074733072513#/reservations/31732326891662?display=MXXZGXKFY&amp;reservation_id=31732326891662", "MXXZGXKFY")</f>
        <v>MXXZGXKFY</v>
      </c>
      <c r="B5094" t="s">
        <v>10</v>
      </c>
      <c r="C5094" t="s">
        <v>20</v>
      </c>
      <c r="D5094" t="str">
        <f>HYPERLINK("https://us2.cloudbeds.com/connect/10074733072513#/reservations/31732326891662?display=Travis%20James&amp;reservation_id=31732326891662&amp;guest_id=31732318949620", "Travis James")</f>
        <v>Travis James</v>
      </c>
      <c r="E5094" t="s">
        <v>10060</v>
      </c>
      <c r="F5094" t="s">
        <v>9992</v>
      </c>
      <c r="G5094">
        <v>129.6</v>
      </c>
      <c r="H5094">
        <v>140.87</v>
      </c>
      <c r="I5094">
        <v>140.88</v>
      </c>
      <c r="J5094">
        <v>-0.01</v>
      </c>
    </row>
    <row r="5095" spans="1:10" x14ac:dyDescent="0.3">
      <c r="A5095" t="str">
        <f>HYPERLINK("https://us2.cloudbeds.com/connect/10074733072513#/reservations/31732336836836?display=MXXZZVBSJ&amp;reservation_id=31732336836836", "MXXZZVBSJ")</f>
        <v>MXXZZVBSJ</v>
      </c>
      <c r="B5095" t="s">
        <v>10</v>
      </c>
      <c r="C5095" t="s">
        <v>14</v>
      </c>
      <c r="D5095" t="str">
        <f>HYPERLINK("https://us2.cloudbeds.com/connect/10074733072513#/reservations/31732336836836?display=Marco%20Dib&amp;reservation_id=31732336836836&amp;guest_id=31732326895753", "Marco Dib")</f>
        <v>Marco Dib</v>
      </c>
      <c r="E5095" t="s">
        <v>10061</v>
      </c>
      <c r="F5095" t="s">
        <v>9992</v>
      </c>
      <c r="G5095">
        <v>106.27</v>
      </c>
      <c r="H5095">
        <v>115.51</v>
      </c>
      <c r="I5095">
        <v>115.52</v>
      </c>
      <c r="J5095">
        <v>-0.01</v>
      </c>
    </row>
    <row r="5096" spans="1:10" x14ac:dyDescent="0.3">
      <c r="A5096" t="str">
        <f>HYPERLINK("https://us2.cloudbeds.com/connect/10074733072513#/reservations/31732347965625?display=MXXP1B14K&amp;reservation_id=31732347965625", "MXXP1B14K")</f>
        <v>MXXP1B14K</v>
      </c>
      <c r="B5096" t="s">
        <v>10</v>
      </c>
      <c r="C5096" t="s">
        <v>11</v>
      </c>
      <c r="D5096" t="str">
        <f>HYPERLINK("https://us2.cloudbeds.com/connect/10074733072513#/reservations/31732347965625?display=Kyle%20Sanders&amp;reservation_id=31732347965625&amp;guest_id=31732336840927", "Kyle Sanders")</f>
        <v>Kyle Sanders</v>
      </c>
      <c r="E5096" t="s">
        <v>10063</v>
      </c>
      <c r="F5096" t="s">
        <v>9992</v>
      </c>
      <c r="G5096">
        <v>113.65</v>
      </c>
      <c r="H5096">
        <v>123.53</v>
      </c>
      <c r="I5096">
        <v>123.54</v>
      </c>
      <c r="J5096">
        <v>-0.01</v>
      </c>
    </row>
    <row r="5097" spans="1:10" x14ac:dyDescent="0.3">
      <c r="A5097" t="str">
        <f>HYPERLINK("https://us2.cloudbeds.com/connect/10074733072513#/reservations/31725741756670?display=MXDY7QHXE&amp;reservation_id=31725741756670", "MXDY7QHXE")</f>
        <v>MXDY7QHXE</v>
      </c>
      <c r="B5097" t="s">
        <v>10</v>
      </c>
      <c r="C5097" t="s">
        <v>14</v>
      </c>
      <c r="D5097" t="str">
        <f>HYPERLINK("https://us2.cloudbeds.com/connect/10074733072513#/reservations/31725741756670?display=Sharon%20Farrell&amp;reservation_id=31725741756670&amp;guest_id=31725741756621", "Sharon Farrell")</f>
        <v>Sharon Farrell</v>
      </c>
      <c r="E5097" t="s">
        <v>10065</v>
      </c>
      <c r="F5097" t="s">
        <v>9992</v>
      </c>
      <c r="G5097">
        <v>106.27</v>
      </c>
      <c r="H5097">
        <v>115.51</v>
      </c>
      <c r="I5097">
        <v>115.52</v>
      </c>
      <c r="J5097">
        <v>-0.01</v>
      </c>
    </row>
    <row r="5098" spans="1:10" x14ac:dyDescent="0.3">
      <c r="A5098" t="str">
        <f>HYPERLINK("https://us2.cloudbeds.com/connect/10074733072513#/reservations/31728386543865?display=MXFMQVKUW&amp;reservation_id=31728386543865", "MXFMQVKUW")</f>
        <v>MXFMQVKUW</v>
      </c>
      <c r="B5098" t="s">
        <v>10</v>
      </c>
      <c r="C5098" t="s">
        <v>14</v>
      </c>
      <c r="D5098" t="str">
        <f>HYPERLINK("https://us2.cloudbeds.com/connect/10074733072513#/reservations/31728386543865?display=Ryan%20Chepita&amp;reservation_id=31728386543865&amp;guest_id=31728386543860", "Ryan Chepita")</f>
        <v>Ryan Chepita</v>
      </c>
      <c r="E5098" t="s">
        <v>10073</v>
      </c>
      <c r="F5098" t="s">
        <v>9914</v>
      </c>
      <c r="G5098">
        <v>106.27</v>
      </c>
      <c r="H5098">
        <v>115.51</v>
      </c>
      <c r="I5098">
        <v>115.52</v>
      </c>
      <c r="J5098">
        <v>-0.01</v>
      </c>
    </row>
    <row r="5099" spans="1:10" x14ac:dyDescent="0.3">
      <c r="A5099" t="str">
        <f>HYPERLINK("https://us2.cloudbeds.com/connect/10074733072513#/reservations/31730074722435?display=MXGWVFMRB&amp;reservation_id=31730074722435", "MXGWVFMRB")</f>
        <v>MXGWVFMRB</v>
      </c>
      <c r="B5099" t="s">
        <v>10</v>
      </c>
      <c r="C5099" t="s">
        <v>23</v>
      </c>
      <c r="D5099" t="str">
        <f>HYPERLINK("https://us2.cloudbeds.com/connect/10074733072513#/reservations/31730074722435?display=Philip%20Megla&amp;reservation_id=31730074722435&amp;guest_id=31730069696674", "Philip Megla")</f>
        <v>Philip Megla</v>
      </c>
      <c r="E5099" t="s">
        <v>10074</v>
      </c>
      <c r="F5099" t="s">
        <v>9914</v>
      </c>
      <c r="G5099">
        <v>129.6</v>
      </c>
      <c r="H5099">
        <v>140.87</v>
      </c>
      <c r="I5099">
        <v>140.88</v>
      </c>
      <c r="J5099">
        <v>-0.01</v>
      </c>
    </row>
    <row r="5100" spans="1:10" x14ac:dyDescent="0.3">
      <c r="A5100" t="str">
        <f>HYPERLINK("https://us2.cloudbeds.com/connect/10074733072513#/reservations/31728313561314?display=MXFKVDPWH&amp;reservation_id=31728313561314", "MXFKVDPWH")</f>
        <v>MXFKVDPWH</v>
      </c>
      <c r="B5100" t="s">
        <v>10</v>
      </c>
      <c r="C5100" t="s">
        <v>14</v>
      </c>
      <c r="D5100" t="str">
        <f>HYPERLINK("https://us2.cloudbeds.com/connect/10074733072513#/reservations/31728313561314?display=Andrew%20Higgins&amp;reservation_id=31728313561314&amp;guest_id=31728313561296", "Andrew Higgins")</f>
        <v>Andrew Higgins</v>
      </c>
      <c r="E5100" t="s">
        <v>10077</v>
      </c>
      <c r="F5100" t="s">
        <v>9914</v>
      </c>
      <c r="G5100">
        <v>106.27</v>
      </c>
      <c r="H5100">
        <v>115.51</v>
      </c>
      <c r="I5100">
        <v>115.52</v>
      </c>
      <c r="J5100">
        <v>-0.01</v>
      </c>
    </row>
    <row r="5101" spans="1:10" x14ac:dyDescent="0.3">
      <c r="A5101" t="str">
        <f>HYPERLINK("https://us2.cloudbeds.com/connect/10074733072513#/reservations/31728342356107?display=MXFYMN1G0&amp;reservation_id=31728342356107", "MXFYMN1G0")</f>
        <v>MXFYMN1G0</v>
      </c>
      <c r="B5101" t="s">
        <v>10</v>
      </c>
      <c r="C5101" t="s">
        <v>20</v>
      </c>
      <c r="D5101" t="str">
        <f>HYPERLINK("https://us2.cloudbeds.com/connect/10074733072513#/reservations/31728342356107?display=Travis%20James&amp;reservation_id=31728342356107&amp;guest_id=31728331079837", "Travis James")</f>
        <v>Travis James</v>
      </c>
      <c r="E5101" t="s">
        <v>10078</v>
      </c>
      <c r="F5101" t="s">
        <v>9914</v>
      </c>
      <c r="G5101">
        <v>129.6</v>
      </c>
      <c r="H5101">
        <v>140.87</v>
      </c>
      <c r="I5101">
        <v>140.88</v>
      </c>
      <c r="J5101">
        <v>-0.01</v>
      </c>
    </row>
    <row r="5102" spans="1:10" x14ac:dyDescent="0.3">
      <c r="A5102" t="str">
        <f>HYPERLINK("https://us2.cloudbeds.com/connect/10074733072513#/reservations/31726664933529?display=MXEBR89HQ&amp;reservation_id=31726664933529", "MXEBR89HQ")</f>
        <v>MXEBR89HQ</v>
      </c>
      <c r="B5102" t="s">
        <v>10</v>
      </c>
      <c r="C5102" t="s">
        <v>14</v>
      </c>
      <c r="D5102" t="str">
        <f>HYPERLINK("https://us2.cloudbeds.com/connect/10074733072513#/reservations/31726664933529?display=Natasha%20Haukos&amp;reservation_id=31726664933529&amp;guest_id=31726655021260", "Natasha Haukos")</f>
        <v>Natasha Haukos</v>
      </c>
      <c r="E5102" t="s">
        <v>10080</v>
      </c>
      <c r="F5102" t="s">
        <v>9817</v>
      </c>
      <c r="G5102">
        <v>264.2</v>
      </c>
      <c r="H5102">
        <v>287.18</v>
      </c>
      <c r="I5102">
        <v>287.19</v>
      </c>
      <c r="J5102">
        <v>-0.01</v>
      </c>
    </row>
    <row r="5103" spans="1:10" x14ac:dyDescent="0.3">
      <c r="A5103" t="str">
        <f>HYPERLINK("https://us2.cloudbeds.com/connect/10074733072513#/reservations/31734270517474?display=MXK85FSRX&amp;reservation_id=31734270517474", "MXK85FSRX")</f>
        <v>MXK85FSRX</v>
      </c>
      <c r="B5103" t="s">
        <v>10</v>
      </c>
      <c r="C5103" t="s">
        <v>42</v>
      </c>
      <c r="D5103" t="str">
        <f>HYPERLINK("https://us2.cloudbeds.com/connect/10074733072513#/reservations/31734270517474?display=Jeff%20Skulsky&amp;reservation_id=31734270517474&amp;guest_id=31734270513379", "Jeff Skulsky")</f>
        <v>Jeff Skulsky</v>
      </c>
      <c r="E5103" t="s">
        <v>10087</v>
      </c>
      <c r="F5103" t="s">
        <v>9453</v>
      </c>
      <c r="G5103">
        <v>376.2</v>
      </c>
      <c r="H5103">
        <v>408.92</v>
      </c>
      <c r="I5103">
        <v>408.93</v>
      </c>
      <c r="J5103">
        <v>-0.01</v>
      </c>
    </row>
    <row r="5104" spans="1:10" x14ac:dyDescent="0.3">
      <c r="A5104" t="str">
        <f>HYPERLINK("https://us2.cloudbeds.com/connect/10074733072513#/reservations/31716006703324?display=MX63FVAKU&amp;reservation_id=31716006703324", "MX63FVAKU")</f>
        <v>MX63FVAKU</v>
      </c>
      <c r="B5104" t="s">
        <v>10</v>
      </c>
      <c r="C5104" t="s">
        <v>14</v>
      </c>
      <c r="D5104" t="str">
        <f>HYPERLINK("https://us2.cloudbeds.com/connect/10074733072513#/reservations/31716006703324?display=Shanna%20Hoven&amp;reservation_id=31716006703324&amp;guest_id=31715998748866", "Shanna Hoven")</f>
        <v>Shanna Hoven</v>
      </c>
      <c r="E5104" t="s">
        <v>10088</v>
      </c>
      <c r="F5104" t="s">
        <v>9926</v>
      </c>
      <c r="G5104">
        <v>134.1</v>
      </c>
      <c r="H5104">
        <v>145.76</v>
      </c>
      <c r="I5104">
        <v>145.77000000000001</v>
      </c>
      <c r="J5104">
        <v>-0.01</v>
      </c>
    </row>
    <row r="5105" spans="1:10" x14ac:dyDescent="0.3">
      <c r="A5105" t="str">
        <f>HYPERLINK("https://us2.cloudbeds.com/connect/10074733072513#/reservations/31729585873122?display=MXGKF8ZCZ&amp;reservation_id=31729585873122", "MXGKF8ZCZ")</f>
        <v>MXGKF8ZCZ</v>
      </c>
      <c r="B5105" t="s">
        <v>10</v>
      </c>
      <c r="C5105" t="s">
        <v>20</v>
      </c>
      <c r="D5105" t="str">
        <f>HYPERLINK("https://us2.cloudbeds.com/connect/10074733072513#/reservations/31729585873122?display=Roger%20Fischer&amp;reservation_id=31729585873122&amp;guest_id=31729585873117", "Roger Fischer")</f>
        <v>Roger Fischer</v>
      </c>
      <c r="E5105" t="s">
        <v>10092</v>
      </c>
      <c r="F5105" t="s">
        <v>8045</v>
      </c>
      <c r="G5105">
        <v>170.1</v>
      </c>
      <c r="H5105">
        <v>184.89</v>
      </c>
      <c r="I5105">
        <v>184.9</v>
      </c>
      <c r="J5105">
        <v>-0.01</v>
      </c>
    </row>
    <row r="5106" spans="1:10" x14ac:dyDescent="0.3">
      <c r="A5106" t="str">
        <f>HYPERLINK("https://us2.cloudbeds.com/connect/10074733072513#/reservations/31730876014784?display=MXHKE4NPG&amp;reservation_id=31730876014784", "MXHKE4NPG")</f>
        <v>MXHKE4NPG</v>
      </c>
      <c r="B5106" t="s">
        <v>10</v>
      </c>
      <c r="C5106" t="s">
        <v>11</v>
      </c>
      <c r="D5106" t="str">
        <f>HYPERLINK("https://us2.cloudbeds.com/connect/10074733072513#/reservations/31730876014784?display=Latashia%20Cole&amp;reservation_id=31730876014784&amp;guest_id=31730876010699", "Latashia Cole")</f>
        <v>Latashia Cole</v>
      </c>
      <c r="E5106" t="s">
        <v>10093</v>
      </c>
      <c r="F5106" t="s">
        <v>9489</v>
      </c>
      <c r="G5106">
        <v>103.2</v>
      </c>
      <c r="H5106">
        <v>112.17</v>
      </c>
      <c r="I5106">
        <v>112.18</v>
      </c>
      <c r="J5106">
        <v>-0.01</v>
      </c>
    </row>
    <row r="5107" spans="1:10" x14ac:dyDescent="0.3">
      <c r="A5107" t="str">
        <f>HYPERLINK("https://us2.cloudbeds.com/connect/10074733072513#/reservations/31725447409882?display=MXDDNJTYR&amp;reservation_id=31725447409882", "MXDDNJTYR")</f>
        <v>MXDDNJTYR</v>
      </c>
      <c r="B5107" t="s">
        <v>10</v>
      </c>
      <c r="C5107" t="s">
        <v>42</v>
      </c>
      <c r="D5107" t="str">
        <f>HYPERLINK("https://us2.cloudbeds.com/connect/10074733072513#/reservations/31725447409882?display=Robert%20Lammers&amp;reservation_id=31725447409882&amp;guest_id=31725447405798", "Robert Lammers")</f>
        <v>Robert Lammers</v>
      </c>
      <c r="E5107" t="s">
        <v>9944</v>
      </c>
      <c r="F5107" t="s">
        <v>9434</v>
      </c>
      <c r="G5107">
        <v>375.3</v>
      </c>
      <c r="H5107">
        <v>407.94</v>
      </c>
      <c r="I5107">
        <v>407.95</v>
      </c>
      <c r="J5107">
        <v>-0.01</v>
      </c>
    </row>
    <row r="5108" spans="1:10" x14ac:dyDescent="0.3">
      <c r="A5108" t="str">
        <f>HYPERLINK("https://us2.cloudbeds.com/connect/10074733072513#/reservations/31718340968587?display=MX7U48MTU&amp;reservation_id=31718340968587", "MX7U48MTU")</f>
        <v>MX7U48MTU</v>
      </c>
      <c r="B5108" t="s">
        <v>10</v>
      </c>
      <c r="C5108" t="s">
        <v>42</v>
      </c>
      <c r="D5108" t="str">
        <f>HYPERLINK("https://us2.cloudbeds.com/connect/10074733072513#/reservations/31718340968587?display=Karen%20Hoven&amp;reservation_id=31718340968587&amp;guest_id=31718333796581", "Karen Hoven")</f>
        <v>Karen Hoven</v>
      </c>
      <c r="E5108" t="s">
        <v>10099</v>
      </c>
      <c r="F5108" t="s">
        <v>9926</v>
      </c>
      <c r="G5108">
        <v>268.2</v>
      </c>
      <c r="H5108">
        <v>291.52</v>
      </c>
      <c r="I5108">
        <v>291.52999999999997</v>
      </c>
      <c r="J5108">
        <v>-0.01</v>
      </c>
    </row>
    <row r="5109" spans="1:10" x14ac:dyDescent="0.3">
      <c r="A5109" t="str">
        <f>HYPERLINK("https://us2.cloudbeds.com/connect/10074733072513#/reservations/31730507149480?display=MXHB03K66&amp;reservation_id=31730507149480", "MXHB03K66")</f>
        <v>MXHB03K66</v>
      </c>
      <c r="B5109" t="s">
        <v>10</v>
      </c>
      <c r="C5109" t="s">
        <v>11</v>
      </c>
      <c r="D5109" t="str">
        <f>HYPERLINK("https://us2.cloudbeds.com/connect/10074733072513#/reservations/31730507149480?display=Lori%20Pehrson&amp;reservation_id=31730507149480&amp;guest_id=31730507149442", "Lori Pehrson")</f>
        <v>Lori Pehrson</v>
      </c>
      <c r="E5109" t="s">
        <v>10101</v>
      </c>
      <c r="F5109" t="s">
        <v>8355</v>
      </c>
      <c r="G5109">
        <v>129.6</v>
      </c>
      <c r="H5109">
        <v>140.87</v>
      </c>
      <c r="I5109">
        <v>140.88</v>
      </c>
      <c r="J5109">
        <v>-0.01</v>
      </c>
    </row>
    <row r="5110" spans="1:10" x14ac:dyDescent="0.3">
      <c r="A5110" t="str">
        <f>HYPERLINK("https://us2.cloudbeds.com/connect/10074733072513#/reservations/31730002841802?display=MXGV3SGZB&amp;reservation_id=31730002841802", "MXGV3SGZB")</f>
        <v>MXGV3SGZB</v>
      </c>
      <c r="B5110" t="s">
        <v>10</v>
      </c>
      <c r="C5110" t="s">
        <v>14</v>
      </c>
      <c r="D5110" t="str">
        <f>HYPERLINK("https://us2.cloudbeds.com/connect/10074733072513#/reservations/31730002841802?display=Sandra%20Ervin&amp;reservation_id=31730002841802&amp;guest_id=31730002837751", "Sandra Ervin")</f>
        <v>Sandra Ervin</v>
      </c>
      <c r="E5110" t="s">
        <v>10105</v>
      </c>
      <c r="F5110" t="s">
        <v>9434</v>
      </c>
      <c r="G5110">
        <v>129.6</v>
      </c>
      <c r="H5110">
        <v>140.87</v>
      </c>
      <c r="I5110">
        <v>140.88</v>
      </c>
      <c r="J5110">
        <v>-0.01</v>
      </c>
    </row>
    <row r="5111" spans="1:10" x14ac:dyDescent="0.3">
      <c r="A5111" t="str">
        <f>HYPERLINK("https://us2.cloudbeds.com/connect/10074733072513#/reservations/31728756183258?display=MXFW8YD1N&amp;reservation_id=31728756183258", "MXFW8YD1N")</f>
        <v>MXFW8YD1N</v>
      </c>
      <c r="B5111" t="s">
        <v>10</v>
      </c>
      <c r="C5111" t="s">
        <v>11</v>
      </c>
      <c r="D5111" t="str">
        <f>HYPERLINK("https://us2.cloudbeds.com/connect/10074733072513#/reservations/31728756183258?display=Evan%20Borcherding&amp;reservation_id=31728756183258&amp;guest_id=31728756183255", "Evan Borcherding")</f>
        <v>Evan Borcherding</v>
      </c>
      <c r="E5111" t="s">
        <v>10107</v>
      </c>
      <c r="F5111" t="s">
        <v>10000</v>
      </c>
      <c r="G5111">
        <v>385.23</v>
      </c>
      <c r="H5111">
        <v>418.74</v>
      </c>
      <c r="I5111">
        <v>418.75</v>
      </c>
      <c r="J5111">
        <v>-0.01</v>
      </c>
    </row>
    <row r="5112" spans="1:10" x14ac:dyDescent="0.3">
      <c r="A5112" t="str">
        <f>HYPERLINK("https://us2.cloudbeds.com/connect/10074733072513#/reservations/31729402134670?display=MXGFPAV6U&amp;reservation_id=31729402134670", "MXGFPAV6U")</f>
        <v>MXGFPAV6U</v>
      </c>
      <c r="B5112" t="s">
        <v>10</v>
      </c>
      <c r="C5112" t="s">
        <v>14</v>
      </c>
      <c r="D5112" t="str">
        <f>HYPERLINK("https://us2.cloudbeds.com/connect/10074733072513#/reservations/31729402134670?display=Scot%20Dannenbring&amp;reservation_id=31729402134670&amp;guest_id=31729394356468", "Scot Dannenbring")</f>
        <v>Scot Dannenbring</v>
      </c>
      <c r="E5112" t="s">
        <v>10108</v>
      </c>
      <c r="F5112" t="s">
        <v>9434</v>
      </c>
      <c r="G5112">
        <v>106.27</v>
      </c>
      <c r="H5112">
        <v>115.51</v>
      </c>
      <c r="I5112">
        <v>115.52</v>
      </c>
      <c r="J5112">
        <v>-0.01</v>
      </c>
    </row>
    <row r="5113" spans="1:10" x14ac:dyDescent="0.3">
      <c r="A5113" t="str">
        <f>HYPERLINK("https://us2.cloudbeds.com/connect/10074733072513#/reservations/31728624767135?display=MXFSTRX2V&amp;reservation_id=31728624767135", "MXFSTRX2V")</f>
        <v>MXFSTRX2V</v>
      </c>
      <c r="B5113" t="s">
        <v>10</v>
      </c>
      <c r="C5113" t="s">
        <v>20</v>
      </c>
      <c r="D5113" t="str">
        <f>HYPERLINK("https://us2.cloudbeds.com/connect/10074733072513#/reservations/31728624767135?display=Michael%20Taylor&amp;reservation_id=31728624767135&amp;guest_id=31728624763031", "Michael Taylor")</f>
        <v>Michael Taylor</v>
      </c>
      <c r="E5113" t="s">
        <v>10118</v>
      </c>
      <c r="F5113" t="s">
        <v>10000</v>
      </c>
      <c r="G5113">
        <v>259.2</v>
      </c>
      <c r="H5113">
        <v>281.74</v>
      </c>
      <c r="I5113">
        <v>281.75</v>
      </c>
      <c r="J5113">
        <v>-0.01</v>
      </c>
    </row>
    <row r="5114" spans="1:10" x14ac:dyDescent="0.3">
      <c r="A5114" t="str">
        <f>HYPERLINK("https://us2.cloudbeds.com/connect/10074733072513#/reservations/31730486276349?display=MXHAFGPV2&amp;reservation_id=31730486276349", "MXHAFGPV2")</f>
        <v>MXHAFGPV2</v>
      </c>
      <c r="B5114" t="s">
        <v>10</v>
      </c>
      <c r="C5114" t="s">
        <v>42</v>
      </c>
      <c r="D5114" t="str">
        <f>HYPERLINK("https://us2.cloudbeds.com/connect/10074733072513#/reservations/31730486276349?display=Rodney%20Fritz&amp;reservation_id=31730486276349&amp;guest_id=31730486276347", "Rodney Fritz")</f>
        <v>Rodney Fritz</v>
      </c>
      <c r="E5114" t="s">
        <v>10126</v>
      </c>
      <c r="F5114" t="s">
        <v>10127</v>
      </c>
      <c r="G5114">
        <v>170.1</v>
      </c>
      <c r="H5114">
        <v>184.89</v>
      </c>
      <c r="I5114">
        <v>184.9</v>
      </c>
      <c r="J5114">
        <v>-0.01</v>
      </c>
    </row>
    <row r="5115" spans="1:10" x14ac:dyDescent="0.3">
      <c r="A5115" t="str">
        <f>HYPERLINK("https://us2.cloudbeds.com/connect/10074733072513#/reservations/31725360922805?display=MXDBGM8SA&amp;reservation_id=31725360922805", "MXDBGM8SA")</f>
        <v>MXDBGM8SA</v>
      </c>
      <c r="B5115" t="s">
        <v>10</v>
      </c>
      <c r="C5115" t="s">
        <v>42</v>
      </c>
      <c r="D5115" t="str">
        <f>HYPERLINK("https://us2.cloudbeds.com/connect/10074733072513#/reservations/31725360922805?display=Audry%20Or%20Clark%20Mortensen&amp;reservation_id=31725360922805&amp;guest_id=31725345042654", "Audry Or Clark Mortensen")</f>
        <v>Audry Or Clark Mortensen</v>
      </c>
      <c r="E5115" t="s">
        <v>10128</v>
      </c>
      <c r="F5115" t="s">
        <v>10000</v>
      </c>
      <c r="G5115">
        <v>129.6</v>
      </c>
      <c r="H5115">
        <v>140.87</v>
      </c>
      <c r="I5115">
        <v>140.88</v>
      </c>
      <c r="J5115">
        <v>-0.01</v>
      </c>
    </row>
    <row r="5116" spans="1:10" x14ac:dyDescent="0.3">
      <c r="A5116" t="str">
        <f>HYPERLINK("https://us2.cloudbeds.com/connect/10074733072513#/reservations/31730409341063?display=MXH8GKV9P&amp;reservation_id=31730409341063", "MXH8GKV9P")</f>
        <v>MXH8GKV9P</v>
      </c>
      <c r="B5116" t="s">
        <v>10</v>
      </c>
      <c r="C5116" t="s">
        <v>42</v>
      </c>
      <c r="D5116" t="str">
        <f>HYPERLINK("https://us2.cloudbeds.com/connect/10074733072513#/reservations/31730409341063?display=Gary%20Woodbury&amp;reservation_id=31730409341063&amp;guest_id=31686197829764", "Gary Woodbury")</f>
        <v>Gary Woodbury</v>
      </c>
      <c r="E5116" t="s">
        <v>3305</v>
      </c>
      <c r="F5116" t="s">
        <v>8443</v>
      </c>
      <c r="G5116">
        <v>376.2</v>
      </c>
      <c r="H5116">
        <v>408.92</v>
      </c>
      <c r="I5116">
        <v>408.93</v>
      </c>
      <c r="J5116">
        <v>-0.01</v>
      </c>
    </row>
    <row r="5117" spans="1:10" x14ac:dyDescent="0.3">
      <c r="A5117" t="str">
        <f>HYPERLINK("https://us2.cloudbeds.com/connect/10074733072513#/reservations/31725363728525?display=MXDBJ1B94&amp;reservation_id=31725363728525", "MXDBJ1B94")</f>
        <v>MXDBJ1B94</v>
      </c>
      <c r="B5117" t="s">
        <v>10</v>
      </c>
      <c r="C5117" t="s">
        <v>42</v>
      </c>
      <c r="D5117" t="str">
        <f>HYPERLINK("https://us2.cloudbeds.com/connect/10074733072513#/reservations/31725363728525?display=Mike%20Young&amp;reservation_id=31725363728525&amp;guest_id=31725363724430", "Mike Young")</f>
        <v>Mike Young</v>
      </c>
      <c r="E5117" t="s">
        <v>10129</v>
      </c>
      <c r="F5117" t="s">
        <v>10000</v>
      </c>
      <c r="G5117">
        <v>259.2</v>
      </c>
      <c r="H5117">
        <v>281.74</v>
      </c>
      <c r="I5117">
        <v>281.75</v>
      </c>
      <c r="J5117">
        <v>-0.01</v>
      </c>
    </row>
    <row r="5118" spans="1:10" x14ac:dyDescent="0.3">
      <c r="A5118" t="str">
        <f>HYPERLINK("https://us2.cloudbeds.com/connect/10074733072513#/reservations/31728937189628?display=MXG3T95E7&amp;reservation_id=31728937189628", "MXG3T95E7")</f>
        <v>MXG3T95E7</v>
      </c>
      <c r="B5118" t="s">
        <v>10</v>
      </c>
      <c r="C5118" t="s">
        <v>20</v>
      </c>
      <c r="D5118" t="str">
        <f>HYPERLINK("https://us2.cloudbeds.com/connect/10074733072513#/reservations/31728937189628?display=Heiser%20Dave&amp;reservation_id=31728937189628&amp;guest_id=31728927871195", "Heiser Dave")</f>
        <v>Heiser Dave</v>
      </c>
      <c r="E5118" t="s">
        <v>10132</v>
      </c>
      <c r="F5118" t="s">
        <v>10000</v>
      </c>
      <c r="G5118">
        <v>129.6</v>
      </c>
      <c r="H5118">
        <v>140.87</v>
      </c>
      <c r="I5118">
        <v>140.88</v>
      </c>
      <c r="J5118">
        <v>-0.01</v>
      </c>
    </row>
    <row r="5119" spans="1:10" x14ac:dyDescent="0.3">
      <c r="A5119" t="str">
        <f>HYPERLINK("https://us2.cloudbeds.com/connect/10074733072513#/reservations/31730858041543?display=MXHJVWN40&amp;reservation_id=31730858041543", "MXHJVWN40")</f>
        <v>MXHJVWN40</v>
      </c>
      <c r="B5119" t="s">
        <v>10</v>
      </c>
      <c r="C5119" t="s">
        <v>42</v>
      </c>
      <c r="D5119" t="str">
        <f>HYPERLINK("https://us2.cloudbeds.com/connect/10074733072513#/reservations/31730858041543?display=Rodney%20Henderson&amp;reservation_id=31730858041543&amp;guest_id=31723833733330", "Rodney Henderson")</f>
        <v>Rodney Henderson</v>
      </c>
      <c r="E5119" t="s">
        <v>9615</v>
      </c>
      <c r="F5119" t="s">
        <v>9489</v>
      </c>
      <c r="G5119">
        <v>228.6</v>
      </c>
      <c r="H5119">
        <v>248.48</v>
      </c>
      <c r="I5119">
        <v>248.49</v>
      </c>
      <c r="J5119">
        <v>-0.01</v>
      </c>
    </row>
    <row r="5120" spans="1:10" x14ac:dyDescent="0.3">
      <c r="A5120" t="str">
        <f>HYPERLINK("https://us2.cloudbeds.com/connect/10074733072513#/reservations/31730834428110?display=MXHJC2KHE&amp;reservation_id=31730834428110", "MXHJC2KHE")</f>
        <v>MXHJC2KHE</v>
      </c>
      <c r="B5120" t="s">
        <v>10</v>
      </c>
      <c r="C5120" t="s">
        <v>11</v>
      </c>
      <c r="D5120" t="str">
        <f>HYPERLINK("https://us2.cloudbeds.com/connect/10074733072513#/reservations/31730834428110?display=Brandon%20Morton&amp;reservation_id=31730834428110&amp;guest_id=31730834424055", "Brandon Morton")</f>
        <v>Brandon Morton</v>
      </c>
      <c r="E5120" t="s">
        <v>10133</v>
      </c>
      <c r="F5120" t="s">
        <v>9489</v>
      </c>
      <c r="G5120">
        <v>201.47</v>
      </c>
      <c r="H5120">
        <v>218.99</v>
      </c>
      <c r="I5120">
        <v>219</v>
      </c>
      <c r="J5120">
        <v>-0.01</v>
      </c>
    </row>
    <row r="5121" spans="1:10" x14ac:dyDescent="0.3">
      <c r="A5121" t="str">
        <f>HYPERLINK("https://us2.cloudbeds.com/connect/10074733072513#/reservations/31728886280338?display=MXG2JBHPF&amp;reservation_id=31728886280338", "MXG2JBHPF")</f>
        <v>MXG2JBHPF</v>
      </c>
      <c r="B5121" t="s">
        <v>10</v>
      </c>
      <c r="C5121" t="s">
        <v>11</v>
      </c>
      <c r="D5121" t="str">
        <f>HYPERLINK("https://us2.cloudbeds.com/connect/10074733072513#/reservations/31728886280338?display=Phil%20Stamp&amp;reservation_id=31728886280338&amp;guest_id=31728886280334", "Phil Stamp")</f>
        <v>Phil Stamp</v>
      </c>
      <c r="E5121" t="s">
        <v>10134</v>
      </c>
      <c r="F5121" t="s">
        <v>10000</v>
      </c>
      <c r="G5121">
        <v>106.27</v>
      </c>
      <c r="H5121">
        <v>115.51</v>
      </c>
      <c r="I5121">
        <v>115.52</v>
      </c>
      <c r="J5121">
        <v>-0.01</v>
      </c>
    </row>
    <row r="5122" spans="1:10" x14ac:dyDescent="0.3">
      <c r="A5122" t="str">
        <f>HYPERLINK("https://us2.cloudbeds.com/connect/10074733072513#/reservations/31728895971560?display=MXG2RH6VS&amp;reservation_id=31728895971560", "MXG2RH6VS")</f>
        <v>MXG2RH6VS</v>
      </c>
      <c r="B5122" t="s">
        <v>10</v>
      </c>
      <c r="C5122" t="s">
        <v>42</v>
      </c>
      <c r="D5122" t="str">
        <f>HYPERLINK("https://us2.cloudbeds.com/connect/10074733072513#/reservations/31728895971560?display=Bob%20Briscoe&amp;reservation_id=31728895971560&amp;guest_id=31728895971548", "Bob Briscoe")</f>
        <v>Bob Briscoe</v>
      </c>
      <c r="E5122" t="s">
        <v>10141</v>
      </c>
      <c r="F5122" t="s">
        <v>10000</v>
      </c>
      <c r="G5122">
        <v>129.6</v>
      </c>
      <c r="H5122">
        <v>140.87</v>
      </c>
      <c r="I5122">
        <v>140.88</v>
      </c>
      <c r="J5122">
        <v>-0.01</v>
      </c>
    </row>
    <row r="5123" spans="1:10" x14ac:dyDescent="0.3">
      <c r="A5123" t="str">
        <f>HYPERLINK("https://us2.cloudbeds.com/connect/10074733072513#/reservations/31726655017162?display=MXEBXTBJJ&amp;reservation_id=31726655017162", "MXEBXTBJJ")</f>
        <v>MXEBXTBJJ</v>
      </c>
      <c r="B5123" t="s">
        <v>10</v>
      </c>
      <c r="C5123" t="s">
        <v>11</v>
      </c>
      <c r="D5123" t="str">
        <f>HYPERLINK("https://us2.cloudbeds.com/connect/10074733072513#/reservations/31726655017162?display=Rod%20Pierce&amp;reservation_id=31726655017162&amp;guest_id=31726646272169", "Rod Pierce")</f>
        <v>Rod Pierce</v>
      </c>
      <c r="E5123" t="s">
        <v>10144</v>
      </c>
      <c r="F5123" t="s">
        <v>9817</v>
      </c>
      <c r="G5123">
        <v>278.95999999999998</v>
      </c>
      <c r="H5123">
        <v>303.22000000000003</v>
      </c>
      <c r="I5123">
        <v>303.23</v>
      </c>
      <c r="J5123">
        <v>-0.01</v>
      </c>
    </row>
    <row r="5124" spans="1:10" x14ac:dyDescent="0.3">
      <c r="A5124" t="str">
        <f>HYPERLINK("https://us2.cloudbeds.com/connect/10074733072513#/reservations/31729707118801?display=MXGNXGJ39&amp;reservation_id=31729707118801", "MXGNXGJ39")</f>
        <v>MXGNXGJ39</v>
      </c>
      <c r="B5124" t="s">
        <v>10</v>
      </c>
      <c r="C5124" t="s">
        <v>121</v>
      </c>
      <c r="D5124" t="str">
        <f>HYPERLINK("https://us2.cloudbeds.com/connect/10074733072513#/reservations/31729707118801?display=Rickie%20Olson&amp;reservation_id=31729707118801&amp;guest_id=31729707114708", "Rickie Olson")</f>
        <v>Rickie Olson</v>
      </c>
      <c r="E5124" t="s">
        <v>10149</v>
      </c>
      <c r="F5124" t="s">
        <v>9489</v>
      </c>
      <c r="G5124">
        <v>134.1</v>
      </c>
      <c r="H5124">
        <v>145.76</v>
      </c>
      <c r="I5124">
        <v>145.77000000000001</v>
      </c>
      <c r="J5124">
        <v>-0.01</v>
      </c>
    </row>
    <row r="5125" spans="1:10" x14ac:dyDescent="0.3">
      <c r="A5125" t="str">
        <f>HYPERLINK("https://us2.cloudbeds.com/connect/10074733072513#/reservations/31729576276191?display=MXGK75MPN&amp;reservation_id=31729576276191", "MXGK75MPN")</f>
        <v>MXGK75MPN</v>
      </c>
      <c r="B5125" t="s">
        <v>10</v>
      </c>
      <c r="C5125" t="s">
        <v>17</v>
      </c>
      <c r="D5125" t="str">
        <f>HYPERLINK("https://us2.cloudbeds.com/connect/10074733072513#/reservations/31729576276191?display=Chris%20Miller&amp;reservation_id=31729576276191&amp;guest_id=31729576272099", "Chris Miller")</f>
        <v>Chris Miller</v>
      </c>
      <c r="E5125" t="s">
        <v>10157</v>
      </c>
      <c r="F5125" t="s">
        <v>8045</v>
      </c>
      <c r="G5125">
        <v>170.1</v>
      </c>
      <c r="H5125">
        <v>184.89</v>
      </c>
      <c r="I5125">
        <v>184.9</v>
      </c>
      <c r="J5125">
        <v>-0.01</v>
      </c>
    </row>
    <row r="5126" spans="1:10" x14ac:dyDescent="0.3">
      <c r="A5126" t="str">
        <f>HYPERLINK("https://us2.cloudbeds.com/connect/10074733072513#/reservations/31725748416722?display=MXDYDDSA7&amp;reservation_id=31725748416722", "MXDYDDSA7")</f>
        <v>MXDYDDSA7</v>
      </c>
      <c r="B5126" t="s">
        <v>10</v>
      </c>
      <c r="C5126" t="s">
        <v>42</v>
      </c>
      <c r="D5126" t="str">
        <f>HYPERLINK("https://us2.cloudbeds.com/connect/10074733072513#/reservations/31725748416722?display=Jeannette%20Bach&amp;reservation_id=31725748416722&amp;guest_id=31682937245893", "Jeannette Bach")</f>
        <v>Jeannette Bach</v>
      </c>
      <c r="E5126" t="s">
        <v>10169</v>
      </c>
      <c r="F5126" t="s">
        <v>9951</v>
      </c>
      <c r="G5126">
        <v>170.1</v>
      </c>
      <c r="H5126">
        <v>184.89</v>
      </c>
      <c r="I5126">
        <v>184.9</v>
      </c>
      <c r="J5126">
        <v>-0.01</v>
      </c>
    </row>
    <row r="5127" spans="1:10" x14ac:dyDescent="0.3">
      <c r="A5127" t="str">
        <f>HYPERLINK("https://us2.cloudbeds.com/connect/10074733072513#/reservations/31729136406766?display=MXG8W8M96&amp;reservation_id=31729136406766", "MXG8W8M96")</f>
        <v>MXG8W8M96</v>
      </c>
      <c r="B5127" t="s">
        <v>10</v>
      </c>
      <c r="C5127" t="s">
        <v>23</v>
      </c>
      <c r="D5127" t="str">
        <f>HYPERLINK("https://us2.cloudbeds.com/connect/10074733072513#/reservations/31729136406766?display=Jordan%20Gobely&amp;reservation_id=31729136406766&amp;guest_id=31729124876434", "Jordan Gobely")</f>
        <v>Jordan Gobely</v>
      </c>
      <c r="E5127" t="s">
        <v>10185</v>
      </c>
      <c r="F5127" t="s">
        <v>9096</v>
      </c>
      <c r="G5127">
        <v>474.3</v>
      </c>
      <c r="H5127">
        <v>515.54999999999995</v>
      </c>
      <c r="I5127">
        <v>515.55999999999995</v>
      </c>
      <c r="J5127">
        <v>-0.01</v>
      </c>
    </row>
    <row r="5128" spans="1:10" x14ac:dyDescent="0.3">
      <c r="A5128" t="str">
        <f>HYPERLINK("https://us2.cloudbeds.com/connect/10074733072513#/reservations/31724083937473?display=MXCBST8T3&amp;reservation_id=31724083937473", "MXCBST8T3")</f>
        <v>MXCBST8T3</v>
      </c>
      <c r="B5128" t="s">
        <v>10</v>
      </c>
      <c r="C5128" t="s">
        <v>17</v>
      </c>
      <c r="D5128" t="str">
        <f>HYPERLINK("https://us2.cloudbeds.com/connect/10074733072513#/reservations/31724083937473?display=Holly%20Moritz&amp;reservation_id=31724083937473&amp;guest_id=31722468286605", "Holly Moritz")</f>
        <v>Holly Moritz</v>
      </c>
      <c r="E5128" t="s">
        <v>2721</v>
      </c>
      <c r="F5128" t="s">
        <v>9713</v>
      </c>
      <c r="G5128">
        <v>546.29999999999995</v>
      </c>
      <c r="H5128">
        <v>593.82000000000005</v>
      </c>
      <c r="I5128">
        <v>593.83000000000004</v>
      </c>
      <c r="J5128">
        <v>-0.01</v>
      </c>
    </row>
    <row r="5129" spans="1:10" x14ac:dyDescent="0.3">
      <c r="A5129" t="str">
        <f>HYPERLINK("https://us2.cloudbeds.com/connect/10074733072513#/reservations/31730524614835?display=MXHBERK5C&amp;reservation_id=31730524614835", "MXHBERK5C")</f>
        <v>MXHBERK5C</v>
      </c>
      <c r="B5129" t="s">
        <v>10</v>
      </c>
      <c r="C5129" t="s">
        <v>42</v>
      </c>
      <c r="D5129" t="str">
        <f>HYPERLINK("https://us2.cloudbeds.com/connect/10074733072513#/reservations/31730524614835?display=Stephanie%20Hansen&amp;reservation_id=31730524614835&amp;guest_id=31730510667987", "Stephanie Hansen")</f>
        <v>Stephanie Hansen</v>
      </c>
      <c r="E5129" t="s">
        <v>10210</v>
      </c>
      <c r="F5129" t="s">
        <v>8045</v>
      </c>
      <c r="G5129">
        <v>376.2</v>
      </c>
      <c r="H5129">
        <v>408.92</v>
      </c>
      <c r="I5129">
        <v>408.93</v>
      </c>
      <c r="J5129">
        <v>-0.01</v>
      </c>
    </row>
    <row r="5130" spans="1:10" x14ac:dyDescent="0.3">
      <c r="A5130" t="str">
        <f>HYPERLINK("https://us2.cloudbeds.com/connect/10074733072513#/reservations/31727537496271?display=MXF140KU0&amp;reservation_id=31727537496271", "MXF140KU0")</f>
        <v>MXF140KU0</v>
      </c>
      <c r="B5130" t="s">
        <v>10</v>
      </c>
      <c r="C5130" t="s">
        <v>11</v>
      </c>
      <c r="D5130" t="str">
        <f>HYPERLINK("https://us2.cloudbeds.com/connect/10074733072513#/reservations/31727537496271?display=Adam%20Dietze&amp;reservation_id=31727537496271&amp;guest_id=31727522656450", "Adam Dietze")</f>
        <v>Adam Dietze</v>
      </c>
      <c r="E5130" t="s">
        <v>10220</v>
      </c>
      <c r="F5130" t="s">
        <v>9951</v>
      </c>
      <c r="G5130">
        <v>154.24</v>
      </c>
      <c r="H5130">
        <v>167.65</v>
      </c>
      <c r="I5130">
        <v>167.66</v>
      </c>
      <c r="J5130">
        <v>-0.01</v>
      </c>
    </row>
    <row r="5131" spans="1:10" x14ac:dyDescent="0.3">
      <c r="A5131" t="str">
        <f>HYPERLINK("https://us2.cloudbeds.com/connect/10074733072513#/reservations/31727953510623?display=MXFBZQRUH&amp;reservation_id=31727953510623", "MXFBZQRUH")</f>
        <v>MXFBZQRUH</v>
      </c>
      <c r="B5131" t="s">
        <v>10</v>
      </c>
      <c r="C5131" t="s">
        <v>23</v>
      </c>
      <c r="D5131" t="str">
        <f>HYPERLINK("https://us2.cloudbeds.com/connect/10074733072513#/reservations/31727953510623?display=Linda%20Klausen&amp;reservation_id=31727953510623&amp;guest_id=31727953510617", "Linda Klausen")</f>
        <v>Linda Klausen</v>
      </c>
      <c r="E5131" t="s">
        <v>10235</v>
      </c>
      <c r="F5131" t="s">
        <v>10113</v>
      </c>
      <c r="G5131">
        <v>134.1</v>
      </c>
      <c r="H5131">
        <v>145.76</v>
      </c>
      <c r="I5131">
        <v>145.77000000000001</v>
      </c>
      <c r="J5131">
        <v>-0.01</v>
      </c>
    </row>
    <row r="5132" spans="1:10" x14ac:dyDescent="0.3">
      <c r="A5132" t="str">
        <f>HYPERLINK("https://us2.cloudbeds.com/connect/10074733072513#/reservations/31727568371896?display=MXF1U1Q60&amp;reservation_id=31727568371896", "MXF1U1Q60")</f>
        <v>MXF1U1Q60</v>
      </c>
      <c r="B5132" t="s">
        <v>10</v>
      </c>
      <c r="C5132" t="s">
        <v>14</v>
      </c>
      <c r="D5132" t="str">
        <f>HYPERLINK("https://us2.cloudbeds.com/connect/10074733072513#/reservations/31727568371896?display=Thomas%20Woldt&amp;reservation_id=31727568371896&amp;guest_id=31727568371883", "Thomas Woldt")</f>
        <v>Thomas Woldt</v>
      </c>
      <c r="E5132" t="s">
        <v>10264</v>
      </c>
      <c r="F5132" t="s">
        <v>9951</v>
      </c>
      <c r="G5132">
        <v>170.1</v>
      </c>
      <c r="H5132">
        <v>184.89</v>
      </c>
      <c r="I5132">
        <v>184.9</v>
      </c>
      <c r="J5132">
        <v>-0.01</v>
      </c>
    </row>
    <row r="5133" spans="1:10" x14ac:dyDescent="0.3">
      <c r="A5133" t="str">
        <f>HYPERLINK("https://us2.cloudbeds.com/connect/10074733072513#/reservations/31730447753353?display=MXH9G0R9X&amp;reservation_id=31730447753353", "MXH9G0R9X")</f>
        <v>MXH9G0R9X</v>
      </c>
      <c r="B5133" t="s">
        <v>10</v>
      </c>
      <c r="C5133" t="s">
        <v>14</v>
      </c>
      <c r="D5133" t="str">
        <f>HYPERLINK("https://us2.cloudbeds.com/connect/10074733072513#/reservations/31730447753353?display=Adam%20Christianson&amp;reservation_id=31730447753353&amp;guest_id=31730447753349", "Adam Christianson")</f>
        <v>Adam Christianson</v>
      </c>
      <c r="E5133" t="s">
        <v>10265</v>
      </c>
      <c r="F5133" t="s">
        <v>8443</v>
      </c>
      <c r="G5133">
        <v>224.1</v>
      </c>
      <c r="H5133">
        <v>243.59</v>
      </c>
      <c r="I5133">
        <v>243.6</v>
      </c>
      <c r="J5133">
        <v>-0.01</v>
      </c>
    </row>
    <row r="5134" spans="1:10" x14ac:dyDescent="0.3">
      <c r="A5134" t="str">
        <f>HYPERLINK("https://us2.cloudbeds.com/connect/10074733072513#/reservations/31726154399879?display=MXDVPZUV4&amp;reservation_id=31726154399879", "MXDVPZUV4")</f>
        <v>MXDVPZUV4</v>
      </c>
      <c r="B5134" t="s">
        <v>10</v>
      </c>
      <c r="C5134" t="s">
        <v>23</v>
      </c>
      <c r="D5134" t="str">
        <f>HYPERLINK("https://us2.cloudbeds.com/connect/10074733072513#/reservations/31726154399879?display=Gloria%20Olson&amp;reservation_id=31726154399879&amp;guest_id=31726154395825", "Gloria Olson")</f>
        <v>Gloria Olson</v>
      </c>
      <c r="E5134" t="s">
        <v>10276</v>
      </c>
      <c r="F5134" t="s">
        <v>9445</v>
      </c>
      <c r="G5134">
        <v>143.19999999999999</v>
      </c>
      <c r="H5134">
        <v>155.65</v>
      </c>
      <c r="I5134">
        <v>155.66</v>
      </c>
      <c r="J5134">
        <v>-0.01</v>
      </c>
    </row>
    <row r="5135" spans="1:10" x14ac:dyDescent="0.3">
      <c r="A5135" t="str">
        <f>HYPERLINK("https://us2.cloudbeds.com/connect/10074733072513#/reservations/31725743329473?display=MXDY949R5&amp;reservation_id=31725743329473", "MXDY949R5")</f>
        <v>MXDY949R5</v>
      </c>
      <c r="B5135" t="s">
        <v>10</v>
      </c>
      <c r="C5135" t="s">
        <v>11</v>
      </c>
      <c r="D5135" t="str">
        <f>HYPERLINK("https://us2.cloudbeds.com/connect/10074733072513#/reservations/31725743329473?display=Allison%20Renville&amp;reservation_id=31725743329473&amp;guest_id=31725733662946", "Allison Renville")</f>
        <v>Allison Renville</v>
      </c>
      <c r="E5135" t="s">
        <v>10280</v>
      </c>
      <c r="F5135" t="s">
        <v>9951</v>
      </c>
      <c r="G5135">
        <v>154.24</v>
      </c>
      <c r="H5135">
        <v>167.65</v>
      </c>
      <c r="I5135">
        <v>167.66</v>
      </c>
      <c r="J5135">
        <v>-0.01</v>
      </c>
    </row>
    <row r="5136" spans="1:10" x14ac:dyDescent="0.3">
      <c r="A5136" t="str">
        <f>HYPERLINK("https://us2.cloudbeds.com/connect/10074733072513#/reservations/31721170874529?display=MXA3EGWVE&amp;reservation_id=31721170874529", "MXA3EGWVE")</f>
        <v>MXA3EGWVE</v>
      </c>
      <c r="B5136" t="s">
        <v>10</v>
      </c>
      <c r="C5136" t="s">
        <v>42</v>
      </c>
      <c r="D5136" t="str">
        <f>HYPERLINK("https://us2.cloudbeds.com/connect/10074733072513#/reservations/31721170874529?display=Teresa%20Herman&amp;reservation_id=31721170874529&amp;guest_id=31721170874527", "Teresa Herman")</f>
        <v>Teresa Herman</v>
      </c>
      <c r="E5136" t="s">
        <v>10296</v>
      </c>
      <c r="F5136" t="s">
        <v>9931</v>
      </c>
      <c r="G5136">
        <v>494.7</v>
      </c>
      <c r="H5136">
        <v>537.73</v>
      </c>
      <c r="I5136">
        <v>537.74</v>
      </c>
      <c r="J5136">
        <v>-0.01</v>
      </c>
    </row>
    <row r="5137" spans="1:10" x14ac:dyDescent="0.3">
      <c r="A5137" t="str">
        <f>HYPERLINK("https://us2.cloudbeds.com/connect/10074733072513#/reservations/31728824840397?display=MXG10HT32&amp;reservation_id=31728824840397", "MXG10HT32")</f>
        <v>MXG10HT32</v>
      </c>
      <c r="B5137" t="s">
        <v>10</v>
      </c>
      <c r="C5137" t="s">
        <v>20</v>
      </c>
      <c r="D5137" t="str">
        <f>HYPERLINK("https://us2.cloudbeds.com/connect/10074733072513#/reservations/31728824840397?display=Sara%20Goeken&amp;reservation_id=31728824840397&amp;guest_id=31728819151004", "Sara Goeken")</f>
        <v>Sara Goeken</v>
      </c>
      <c r="E5137" t="s">
        <v>10297</v>
      </c>
      <c r="F5137" t="s">
        <v>9056</v>
      </c>
      <c r="G5137">
        <v>500.4</v>
      </c>
      <c r="H5137">
        <v>543.91999999999996</v>
      </c>
      <c r="I5137">
        <v>543.92999999999995</v>
      </c>
      <c r="J5137">
        <v>-0.01</v>
      </c>
    </row>
    <row r="5138" spans="1:10" x14ac:dyDescent="0.3">
      <c r="A5138" t="str">
        <f>HYPERLINK("https://us2.cloudbeds.com/connect/10074733072513#/reservations/31724028383401?display=MXCAF1D1C&amp;reservation_id=31724028383401", "MXCAF1D1C")</f>
        <v>MXCAF1D1C</v>
      </c>
      <c r="B5138" t="s">
        <v>10</v>
      </c>
      <c r="C5138" t="s">
        <v>11</v>
      </c>
      <c r="D5138" t="str">
        <f>HYPERLINK("https://us2.cloudbeds.com/connect/10074733072513#/reservations/31724028383401?display=Valerie%20Warner&amp;reservation_id=31724028383401&amp;guest_id=31724028383389", "Valerie Warner")</f>
        <v>Valerie Warner</v>
      </c>
      <c r="E5138" t="s">
        <v>10319</v>
      </c>
      <c r="F5138" t="s">
        <v>9561</v>
      </c>
      <c r="G5138">
        <v>150.22</v>
      </c>
      <c r="H5138">
        <v>163.28</v>
      </c>
      <c r="I5138">
        <v>163.29</v>
      </c>
      <c r="J5138">
        <v>-0.01</v>
      </c>
    </row>
    <row r="5139" spans="1:10" x14ac:dyDescent="0.3">
      <c r="A5139" t="str">
        <f>HYPERLINK("https://us2.cloudbeds.com/connect/10074733072513#/reservations/31724037570737?display=MXCAMQ1HG&amp;reservation_id=31724037570737", "MXCAMQ1HG")</f>
        <v>MXCAMQ1HG</v>
      </c>
      <c r="B5139" t="s">
        <v>10</v>
      </c>
      <c r="C5139" t="s">
        <v>11</v>
      </c>
      <c r="D5139" t="str">
        <f>HYPERLINK("https://us2.cloudbeds.com/connect/10074733072513#/reservations/31724037570737?display=Cody%20Kruckenberg&amp;reservation_id=31724037570737&amp;guest_id=31724037570688", "Cody Kruckenberg")</f>
        <v>Cody Kruckenberg</v>
      </c>
      <c r="E5139" t="s">
        <v>10331</v>
      </c>
      <c r="F5139" t="s">
        <v>9561</v>
      </c>
      <c r="G5139">
        <v>143.66</v>
      </c>
      <c r="H5139">
        <v>156.15</v>
      </c>
      <c r="I5139">
        <v>156.16</v>
      </c>
      <c r="J5139">
        <v>-0.01</v>
      </c>
    </row>
    <row r="5140" spans="1:10" x14ac:dyDescent="0.3">
      <c r="A5140" t="str">
        <f>HYPERLINK("https://us2.cloudbeds.com/connect/10074733072513#/reservations/31727486251224?display=MXEWQQYUQ&amp;reservation_id=31727486251224", "MXEWQQYUQ")</f>
        <v>MXEWQQYUQ</v>
      </c>
      <c r="B5140" t="s">
        <v>10</v>
      </c>
      <c r="C5140" t="s">
        <v>11</v>
      </c>
      <c r="D5140" t="str">
        <f>HYPERLINK("https://us2.cloudbeds.com/connect/10074733072513#/reservations/31727486251224?display=Odelia%20Paleafei&amp;reservation_id=31727486251224&amp;guest_id=31727486247139", "Odelia Paleafei")</f>
        <v>Odelia Paleafei</v>
      </c>
      <c r="E5140" t="s">
        <v>10335</v>
      </c>
      <c r="F5140" t="s">
        <v>10336</v>
      </c>
      <c r="G5140">
        <v>366.04</v>
      </c>
      <c r="H5140">
        <v>397.88</v>
      </c>
      <c r="I5140">
        <v>397.89</v>
      </c>
      <c r="J5140">
        <v>-0.01</v>
      </c>
    </row>
    <row r="5141" spans="1:10" x14ac:dyDescent="0.3">
      <c r="A5141" t="str">
        <f>HYPERLINK("https://us2.cloudbeds.com/connect/10074733072513#/reservations/31730438582425?display=MXH989KSY&amp;reservation_id=31730438582425", "MXH989KSY")</f>
        <v>MXH989KSY</v>
      </c>
      <c r="B5141" t="s">
        <v>10</v>
      </c>
      <c r="C5141" t="s">
        <v>42</v>
      </c>
      <c r="D5141" t="str">
        <f>HYPERLINK("https://us2.cloudbeds.com/connect/10074733072513#/reservations/31730438582425?display=Daniel%20Dolan&amp;reservation_id=31730438582425&amp;guest_id=31730438582420", "Daniel Dolan")</f>
        <v>Daniel Dolan</v>
      </c>
      <c r="E5141" t="s">
        <v>10337</v>
      </c>
      <c r="F5141" t="s">
        <v>9561</v>
      </c>
      <c r="G5141">
        <v>224.1</v>
      </c>
      <c r="H5141">
        <v>243.59</v>
      </c>
      <c r="I5141">
        <v>243.6</v>
      </c>
      <c r="J5141">
        <v>-0.01</v>
      </c>
    </row>
    <row r="5142" spans="1:10" x14ac:dyDescent="0.3">
      <c r="A5142" t="str">
        <f>HYPERLINK("https://us2.cloudbeds.com/connect/10074733072513#/reservations/31729319362702?display=MXGDYHMTF&amp;reservation_id=31729319362702", "MXGDYHMTF")</f>
        <v>MXGDYHMTF</v>
      </c>
      <c r="B5142" t="s">
        <v>10</v>
      </c>
      <c r="C5142" t="s">
        <v>20</v>
      </c>
      <c r="D5142" t="str">
        <f>HYPERLINK("https://us2.cloudbeds.com/connect/10074733072513#/reservations/31729319362702?display=David%20Tice&amp;reservation_id=31729319362702&amp;guest_id=31729319362696", "David Tice")</f>
        <v>David Tice</v>
      </c>
      <c r="E5142" t="s">
        <v>10346</v>
      </c>
      <c r="F5142" t="s">
        <v>10305</v>
      </c>
      <c r="G5142">
        <v>134.1</v>
      </c>
      <c r="H5142">
        <v>145.76</v>
      </c>
      <c r="I5142">
        <v>145.77000000000001</v>
      </c>
      <c r="J5142">
        <v>-0.01</v>
      </c>
    </row>
    <row r="5143" spans="1:10" x14ac:dyDescent="0.3">
      <c r="A5143" t="str">
        <f>HYPERLINK("https://us2.cloudbeds.com/connect/10074733072513#/reservations/31727480725677?display=MXEWM4TVW&amp;reservation_id=31727480725677", "MXEWM4TVW")</f>
        <v>MXEWM4TVW</v>
      </c>
      <c r="B5143" t="s">
        <v>10</v>
      </c>
      <c r="C5143" t="s">
        <v>42</v>
      </c>
      <c r="D5143" t="str">
        <f>HYPERLINK("https://us2.cloudbeds.com/connect/10074733072513#/reservations/31727480725677?display=Kimberly%20Ridgeway&amp;reservation_id=31727480725677&amp;guest_id=31727480725674", "Kimberly Ridgeway")</f>
        <v>Kimberly Ridgeway</v>
      </c>
      <c r="E5143" t="s">
        <v>10347</v>
      </c>
      <c r="F5143" t="s">
        <v>9627</v>
      </c>
      <c r="G5143">
        <v>134.1</v>
      </c>
      <c r="H5143">
        <v>145.76</v>
      </c>
      <c r="I5143">
        <v>145.77000000000001</v>
      </c>
      <c r="J5143">
        <v>-0.01</v>
      </c>
    </row>
    <row r="5144" spans="1:10" x14ac:dyDescent="0.3">
      <c r="A5144" t="str">
        <f>HYPERLINK("https://us2.cloudbeds.com/connect/10074733072513#/reservations/31729251324094?display=MXGBU5DRF&amp;reservation_id=31729251324094", "MXGBU5DRF")</f>
        <v>MXGBU5DRF</v>
      </c>
      <c r="B5144" t="s">
        <v>10</v>
      </c>
      <c r="C5144" t="s">
        <v>14</v>
      </c>
      <c r="D5144" t="str">
        <f>HYPERLINK("https://us2.cloudbeds.com/connect/10074733072513#/reservations/31729251324094?display=James%20Smith&amp;reservation_id=31729251324094&amp;guest_id=31729240039645", "James Smith")</f>
        <v>James Smith</v>
      </c>
      <c r="E5144" t="s">
        <v>10348</v>
      </c>
      <c r="F5144" t="s">
        <v>9627</v>
      </c>
      <c r="G5144">
        <v>122.18</v>
      </c>
      <c r="H5144">
        <v>132.80000000000001</v>
      </c>
      <c r="I5144">
        <v>132.81</v>
      </c>
      <c r="J5144">
        <v>-0.01</v>
      </c>
    </row>
    <row r="5145" spans="1:10" x14ac:dyDescent="0.3">
      <c r="A5145" t="str">
        <f>HYPERLINK("https://us2.cloudbeds.com/connect/10074733072513#/reservations/31727689166987?display=MXF4WU34A&amp;reservation_id=31727689166987", "MXF4WU34A")</f>
        <v>MXF4WU34A</v>
      </c>
      <c r="B5145" t="s">
        <v>10</v>
      </c>
      <c r="C5145" t="s">
        <v>42</v>
      </c>
      <c r="D5145" t="str">
        <f>HYPERLINK("https://us2.cloudbeds.com/connect/10074733072513#/reservations/31727689166987?display=Sean%20Doyle&amp;reservation_id=31727689166987&amp;guest_id=31692819001503", "Sean Doyle")</f>
        <v>Sean Doyle</v>
      </c>
      <c r="E5145" t="s">
        <v>10354</v>
      </c>
      <c r="F5145" t="s">
        <v>9627</v>
      </c>
      <c r="G5145">
        <v>134.1</v>
      </c>
      <c r="H5145">
        <v>145.76</v>
      </c>
      <c r="I5145">
        <v>145.77000000000001</v>
      </c>
      <c r="J5145">
        <v>-0.01</v>
      </c>
    </row>
    <row r="5146" spans="1:10" x14ac:dyDescent="0.3">
      <c r="A5146" t="str">
        <f>HYPERLINK("https://us2.cloudbeds.com/connect/10074733072513#/reservations/31722901627023?display=MXBEYUZBN&amp;reservation_id=31722901627023", "MXBEYUZBN")</f>
        <v>MXBEYUZBN</v>
      </c>
      <c r="B5146" t="s">
        <v>10</v>
      </c>
      <c r="C5146" t="s">
        <v>23</v>
      </c>
      <c r="D5146" t="str">
        <f>HYPERLINK("https://us2.cloudbeds.com/connect/10074733072513#/reservations/31722901627023?display=Brooke%20Walker&amp;reservation_id=31722901627023&amp;guest_id=31722895691958", "Brooke Walker")</f>
        <v>Brooke Walker</v>
      </c>
      <c r="E5146" t="s">
        <v>10361</v>
      </c>
      <c r="F5146" t="s">
        <v>10305</v>
      </c>
      <c r="G5146">
        <v>134.1</v>
      </c>
      <c r="H5146">
        <v>145.76</v>
      </c>
      <c r="I5146">
        <v>145.77000000000001</v>
      </c>
      <c r="J5146">
        <v>-0.01</v>
      </c>
    </row>
    <row r="5147" spans="1:10" x14ac:dyDescent="0.3">
      <c r="A5147" t="str">
        <f>HYPERLINK("https://us2.cloudbeds.com/connect/10074733072513#/reservations/31722951471257?display=MXBFUVZ01&amp;reservation_id=31722951471257", "MXBFUVZ01")</f>
        <v>MXBFUVZ01</v>
      </c>
      <c r="B5147" t="s">
        <v>10</v>
      </c>
      <c r="C5147" t="s">
        <v>20</v>
      </c>
      <c r="D5147" t="str">
        <f>HYPERLINK("https://us2.cloudbeds.com/connect/10074733072513#/reservations/31722951471257?display=David%20Saylor&amp;reservation_id=31722951471257&amp;guest_id=31722951471255", "David Saylor")</f>
        <v>David Saylor</v>
      </c>
      <c r="E5147" t="s">
        <v>10366</v>
      </c>
      <c r="F5147" t="s">
        <v>10305</v>
      </c>
      <c r="G5147">
        <v>170.1</v>
      </c>
      <c r="H5147">
        <v>184.89</v>
      </c>
      <c r="I5147">
        <v>184.9</v>
      </c>
      <c r="J5147">
        <v>-0.01</v>
      </c>
    </row>
    <row r="5148" spans="1:10" x14ac:dyDescent="0.3">
      <c r="A5148" t="str">
        <f>HYPERLINK("https://us2.cloudbeds.com/connect/10074733072513#/reservations/31729661546711?display=MXGMD2FES&amp;reservation_id=31729661546711", "MXGMD2FES")</f>
        <v>MXGMD2FES</v>
      </c>
      <c r="B5148" t="s">
        <v>10</v>
      </c>
      <c r="C5148" t="s">
        <v>42</v>
      </c>
      <c r="D5148" t="str">
        <f>HYPERLINK("https://us2.cloudbeds.com/connect/10074733072513#/reservations/31729661546711?display=Patricia%20Teveldal&amp;reservation_id=31729661546711&amp;guest_id=31729661546706", "Patricia Teveldal")</f>
        <v>Patricia Teveldal</v>
      </c>
      <c r="E5148" t="s">
        <v>10370</v>
      </c>
      <c r="F5148" t="s">
        <v>9983</v>
      </c>
      <c r="G5148">
        <v>384.3</v>
      </c>
      <c r="H5148">
        <v>417.72</v>
      </c>
      <c r="I5148">
        <v>417.73</v>
      </c>
      <c r="J5148">
        <v>-0.01</v>
      </c>
    </row>
    <row r="5149" spans="1:10" x14ac:dyDescent="0.3">
      <c r="A5149" t="str">
        <f>HYPERLINK("https://us2.cloudbeds.com/connect/10074733072513#/reservations/31729589010618?display=MXGKHU1FE&amp;reservation_id=31729589010618", "MXGKHU1FE")</f>
        <v>MXGKHU1FE</v>
      </c>
      <c r="B5149" t="s">
        <v>10</v>
      </c>
      <c r="C5149" t="s">
        <v>42</v>
      </c>
      <c r="D5149" t="str">
        <f>HYPERLINK("https://us2.cloudbeds.com/connect/10074733072513#/reservations/31729589010618?display=Ricky%20Hurd&amp;reservation_id=31729589010618&amp;guest_id=31721499725980", "Ricky Hurd")</f>
        <v>Ricky Hurd</v>
      </c>
      <c r="E5149" t="s">
        <v>6824</v>
      </c>
      <c r="F5149" t="s">
        <v>9983</v>
      </c>
      <c r="G5149">
        <v>250.2</v>
      </c>
      <c r="H5149">
        <v>271.95999999999998</v>
      </c>
      <c r="I5149">
        <v>271.97000000000003</v>
      </c>
      <c r="J5149">
        <v>-0.01</v>
      </c>
    </row>
    <row r="5150" spans="1:10" x14ac:dyDescent="0.3">
      <c r="A5150" t="str">
        <f>HYPERLINK("https://us2.cloudbeds.com/connect/10074733072513#/reservations/31729347657977?display=MXGECD1N1&amp;reservation_id=31729347657977", "MXGECD1N1")</f>
        <v>MXGECD1N1</v>
      </c>
      <c r="B5150" t="s">
        <v>10</v>
      </c>
      <c r="C5150" t="s">
        <v>17</v>
      </c>
      <c r="D5150" t="str">
        <f>HYPERLINK("https://us2.cloudbeds.com/connect/10074733072513#/reservations/31729347657977?display=Mike%20Stokes&amp;reservation_id=31729347657977&amp;guest_id=31729336271007", "Mike Stokes")</f>
        <v>Mike Stokes</v>
      </c>
      <c r="E5150" t="s">
        <v>10375</v>
      </c>
      <c r="F5150" t="s">
        <v>10305</v>
      </c>
      <c r="G5150">
        <v>134.1</v>
      </c>
      <c r="H5150">
        <v>145.76</v>
      </c>
      <c r="I5150">
        <v>145.77000000000001</v>
      </c>
      <c r="J5150">
        <v>-0.01</v>
      </c>
    </row>
    <row r="5151" spans="1:10" x14ac:dyDescent="0.3">
      <c r="A5151" t="str">
        <f>HYPERLINK("https://us2.cloudbeds.com/connect/10074733072513#/reservations/31729270538374?display=MXGCDC2QC&amp;reservation_id=31729270538374", "MXGCDC2QC")</f>
        <v>MXGCDC2QC</v>
      </c>
      <c r="B5151" t="s">
        <v>10</v>
      </c>
      <c r="C5151" t="s">
        <v>121</v>
      </c>
      <c r="D5151" t="str">
        <f>HYPERLINK("https://us2.cloudbeds.com/connect/10074733072513#/reservations/31729270538374?display=Denice%20Goetz&amp;reservation_id=31729270538374&amp;guest_id=31729256640730", "Denice Goetz")</f>
        <v>Denice Goetz</v>
      </c>
      <c r="E5151" t="s">
        <v>10378</v>
      </c>
      <c r="F5151" t="s">
        <v>9744</v>
      </c>
      <c r="G5151">
        <v>134.1</v>
      </c>
      <c r="H5151">
        <v>145.76</v>
      </c>
      <c r="I5151">
        <v>145.77000000000001</v>
      </c>
      <c r="J5151">
        <v>-0.01</v>
      </c>
    </row>
    <row r="5152" spans="1:10" x14ac:dyDescent="0.3">
      <c r="A5152" t="str">
        <f>HYPERLINK("https://us2.cloudbeds.com/connect/10074733072513#/reservations/31728205349110?display=MXFX65KXR&amp;reservation_id=31728205349110", "MXFX65KXR")</f>
        <v>MXFX65KXR</v>
      </c>
      <c r="B5152" t="s">
        <v>10</v>
      </c>
      <c r="C5152" t="s">
        <v>20</v>
      </c>
      <c r="D5152" t="str">
        <f>HYPERLINK("https://us2.cloudbeds.com/connect/10074733072513#/reservations/31728205349110?display=Dave%20Johnson&amp;reservation_id=31728205349110&amp;guest_id=31728191500441", "Dave Johnson")</f>
        <v>Dave Johnson</v>
      </c>
      <c r="E5152" t="s">
        <v>10379</v>
      </c>
      <c r="F5152" t="s">
        <v>9744</v>
      </c>
      <c r="G5152">
        <v>134.1</v>
      </c>
      <c r="H5152">
        <v>145.76</v>
      </c>
      <c r="I5152">
        <v>145.77000000000001</v>
      </c>
      <c r="J5152">
        <v>-0.01</v>
      </c>
    </row>
    <row r="5153" spans="1:10" x14ac:dyDescent="0.3">
      <c r="A5153" t="str">
        <f>HYPERLINK("https://us2.cloudbeds.com/connect/10074733072513#/reservations/31729140576463?display=MXG92PN6Y&amp;reservation_id=31729140576463", "MXG92PN6Y")</f>
        <v>MXG92PN6Y</v>
      </c>
      <c r="B5153" t="s">
        <v>10</v>
      </c>
      <c r="C5153" t="s">
        <v>17</v>
      </c>
      <c r="D5153" t="str">
        <f>HYPERLINK("https://us2.cloudbeds.com/connect/10074733072513#/reservations/31729140576463?display=Krystal%20Tool&amp;reservation_id=31729140576463&amp;guest_id=31729140572369", "Krystal Tool")</f>
        <v>Krystal Tool</v>
      </c>
      <c r="E5153" t="s">
        <v>10395</v>
      </c>
      <c r="F5153" t="s">
        <v>9096</v>
      </c>
      <c r="G5153">
        <v>304.2</v>
      </c>
      <c r="H5153">
        <v>330.66</v>
      </c>
      <c r="I5153">
        <v>330.67</v>
      </c>
      <c r="J5153">
        <v>-0.01</v>
      </c>
    </row>
    <row r="5154" spans="1:10" x14ac:dyDescent="0.3">
      <c r="A5154" t="str">
        <f>HYPERLINK("https://us2.cloudbeds.com/connect/10074733072513#/reservations/31733125746907?display=MXJBU5V6B&amp;reservation_id=31733125746907", "MXJBU5V6B")</f>
        <v>MXJBU5V6B</v>
      </c>
      <c r="B5154" t="s">
        <v>10</v>
      </c>
      <c r="C5154" t="s">
        <v>42</v>
      </c>
      <c r="D5154" t="str">
        <f>HYPERLINK("https://us2.cloudbeds.com/connect/10074733072513#/reservations/31733125746907?display=Meri%20Erickson&amp;reservation_id=31733125746907&amp;guest_id=31733125746903", "Meri Erickson")</f>
        <v>Meri Erickson</v>
      </c>
      <c r="E5154" t="s">
        <v>10396</v>
      </c>
      <c r="F5154" t="s">
        <v>9744</v>
      </c>
      <c r="G5154">
        <v>134.1</v>
      </c>
      <c r="H5154">
        <v>145.76</v>
      </c>
      <c r="I5154">
        <v>145.77000000000001</v>
      </c>
      <c r="J5154">
        <v>-0.01</v>
      </c>
    </row>
    <row r="5155" spans="1:10" x14ac:dyDescent="0.3">
      <c r="A5155" t="str">
        <f>HYPERLINK("https://us2.cloudbeds.com/connect/10074733072513#/reservations/31725871689888?display=MXDZXC3QN&amp;reservation_id=31725871689888", "MXDZXC3QN")</f>
        <v>MXDZXC3QN</v>
      </c>
      <c r="B5155" t="s">
        <v>10</v>
      </c>
      <c r="C5155" t="s">
        <v>42</v>
      </c>
      <c r="D5155" t="str">
        <f>HYPERLINK("https://us2.cloudbeds.com/connect/10074733072513#/reservations/31725871689888?display=Brian%20Hatlesbad&amp;reservation_id=31725871689888&amp;guest_id=31725871689885", "Brian Hatlesbad")</f>
        <v>Brian Hatlesbad</v>
      </c>
      <c r="E5155" t="s">
        <v>10397</v>
      </c>
      <c r="F5155" t="s">
        <v>9983</v>
      </c>
      <c r="G5155">
        <v>134.1</v>
      </c>
      <c r="H5155">
        <v>145.76</v>
      </c>
      <c r="I5155">
        <v>145.77000000000001</v>
      </c>
      <c r="J5155">
        <v>-0.01</v>
      </c>
    </row>
    <row r="5156" spans="1:10" x14ac:dyDescent="0.3">
      <c r="A5156" t="str">
        <f>HYPERLINK("https://us2.cloudbeds.com/connect/10074733072513#/reservations/31733166252227?display=MXJCVB25A&amp;reservation_id=31733166252227", "MXJCVB25A")</f>
        <v>MXJCVB25A</v>
      </c>
      <c r="B5156" t="s">
        <v>10</v>
      </c>
      <c r="C5156" t="s">
        <v>20</v>
      </c>
      <c r="D5156" t="str">
        <f>HYPERLINK("https://us2.cloudbeds.com/connect/10074733072513#/reservations/31733166252227?display=David%20Saylor&amp;reservation_id=31733166252227&amp;guest_id=31733151346857", "David Saylor")</f>
        <v>David Saylor</v>
      </c>
      <c r="E5156" t="s">
        <v>10399</v>
      </c>
      <c r="F5156" t="s">
        <v>9983</v>
      </c>
      <c r="G5156">
        <v>170.1</v>
      </c>
      <c r="H5156">
        <v>184.89</v>
      </c>
      <c r="I5156">
        <v>184.9</v>
      </c>
      <c r="J5156">
        <v>-0.01</v>
      </c>
    </row>
    <row r="5157" spans="1:10" x14ac:dyDescent="0.3">
      <c r="A5157" t="str">
        <f>HYPERLINK("https://us2.cloudbeds.com/connect/10074733072513#/reservations/31727241744590?display=MXEQXKTUS&amp;reservation_id=31727241744590", "MXEQXKTUS")</f>
        <v>MXEQXKTUS</v>
      </c>
      <c r="B5157" t="s">
        <v>10</v>
      </c>
      <c r="C5157" t="s">
        <v>14</v>
      </c>
      <c r="D5157" t="str">
        <f>HYPERLINK("https://us2.cloudbeds.com/connect/10074733072513#/reservations/31727241744590?display=Alissa%20Hall&amp;reservation_id=31727241744590&amp;guest_id=31727241740509", "Alissa Hall")</f>
        <v>Alissa Hall</v>
      </c>
      <c r="E5157" t="s">
        <v>10407</v>
      </c>
      <c r="F5157" t="s">
        <v>9713</v>
      </c>
      <c r="G5157">
        <v>304.2</v>
      </c>
      <c r="H5157">
        <v>330.66</v>
      </c>
      <c r="I5157">
        <v>330.67</v>
      </c>
      <c r="J5157">
        <v>-0.01</v>
      </c>
    </row>
    <row r="5158" spans="1:10" x14ac:dyDescent="0.3">
      <c r="A5158" t="str">
        <f>HYPERLINK("https://us2.cloudbeds.com/connect/10074733072513#/reservations/31730453139595?display=MXH9KXNB0&amp;reservation_id=31730453139595", "MXH9KXNB0")</f>
        <v>MXH9KXNB0</v>
      </c>
      <c r="B5158" t="s">
        <v>10</v>
      </c>
      <c r="C5158" t="s">
        <v>11</v>
      </c>
      <c r="D5158" t="str">
        <f>HYPERLINK("https://us2.cloudbeds.com/connect/10074733072513#/reservations/31730453139595?display=Joseph%20Tanous&amp;reservation_id=31730453139595&amp;guest_id=31730453135496", "Joseph Tanous")</f>
        <v>Joseph Tanous</v>
      </c>
      <c r="E5158" t="s">
        <v>10413</v>
      </c>
      <c r="F5158" t="s">
        <v>9096</v>
      </c>
      <c r="G5158">
        <v>117.42</v>
      </c>
      <c r="H5158">
        <v>127.63</v>
      </c>
      <c r="I5158">
        <v>127.64</v>
      </c>
      <c r="J5158">
        <v>-0.01</v>
      </c>
    </row>
    <row r="5159" spans="1:10" x14ac:dyDescent="0.3">
      <c r="A5159" t="str">
        <f>HYPERLINK("https://us2.cloudbeds.com/connect/10074733072513#/reservations/31724945006723?display=MXD0SVQ2M&amp;reservation_id=31724945006723", "MXD0SVQ2M")</f>
        <v>MXD0SVQ2M</v>
      </c>
      <c r="B5159" t="s">
        <v>10</v>
      </c>
      <c r="C5159" t="s">
        <v>42</v>
      </c>
      <c r="D5159" t="str">
        <f>HYPERLINK("https://us2.cloudbeds.com/connect/10074733072513#/reservations/31724945006723?display=Buffy%20Schlichting&amp;reservation_id=31724945006723&amp;guest_id=31724932952299", "Buffy Schlichting")</f>
        <v>Buffy Schlichting</v>
      </c>
      <c r="E5159" t="s">
        <v>10414</v>
      </c>
      <c r="F5159" t="s">
        <v>10415</v>
      </c>
      <c r="G5159">
        <v>258</v>
      </c>
      <c r="H5159">
        <v>280.44</v>
      </c>
      <c r="I5159">
        <v>280.45</v>
      </c>
      <c r="J5159">
        <v>-0.01</v>
      </c>
    </row>
    <row r="5160" spans="1:10" x14ac:dyDescent="0.3">
      <c r="A5160" t="str">
        <f>HYPERLINK("https://us2.cloudbeds.com/connect/10074733072513#/reservations/31729617494173?display=MXGY8UY5F&amp;reservation_id=31729617494173", "MXGY8UY5F")</f>
        <v>MXGY8UY5F</v>
      </c>
      <c r="B5160" t="s">
        <v>10</v>
      </c>
      <c r="C5160" t="s">
        <v>121</v>
      </c>
      <c r="D5160" t="str">
        <f>HYPERLINK("https://us2.cloudbeds.com/connect/10074733072513#/reservations/31729617494173?display=Jason%20Beisel&amp;reservation_id=31729617494173&amp;guest_id=31677734215915", "Jason Beisel")</f>
        <v>Jason Beisel</v>
      </c>
      <c r="E5160" t="s">
        <v>10422</v>
      </c>
      <c r="F5160" t="s">
        <v>9983</v>
      </c>
      <c r="G5160">
        <v>134.1</v>
      </c>
      <c r="H5160">
        <v>145.76</v>
      </c>
      <c r="I5160">
        <v>145.77000000000001</v>
      </c>
      <c r="J5160">
        <v>-0.01</v>
      </c>
    </row>
    <row r="5161" spans="1:10" x14ac:dyDescent="0.3">
      <c r="A5161" t="str">
        <f>HYPERLINK("https://us2.cloudbeds.com/connect/10074733072513#/reservations/31714470076565?display=MX4U77DPM&amp;reservation_id=31714470076565", "MX4U77DPM")</f>
        <v>MX4U77DPM</v>
      </c>
      <c r="B5161" t="s">
        <v>10</v>
      </c>
      <c r="C5161" t="s">
        <v>17</v>
      </c>
      <c r="D5161" t="str">
        <f>HYPERLINK("https://us2.cloudbeds.com/connect/10074733072513#/reservations/31714470076565?display=Llisa%20Ronning&amp;reservation_id=31714470076565&amp;guest_id=31714464633017", "Llisa Ronning")</f>
        <v>Llisa Ronning</v>
      </c>
      <c r="E5161" t="s">
        <v>10450</v>
      </c>
      <c r="F5161" t="s">
        <v>10449</v>
      </c>
      <c r="G5161">
        <v>376.2</v>
      </c>
      <c r="H5161">
        <v>408.92</v>
      </c>
      <c r="I5161">
        <v>408.93</v>
      </c>
      <c r="J5161">
        <v>-0.01</v>
      </c>
    </row>
    <row r="5162" spans="1:10" x14ac:dyDescent="0.3">
      <c r="A5162" t="str">
        <f>HYPERLINK("https://us2.cloudbeds.com/connect/10074733072513#/reservations/31728365465787?display=MXFM963GB&amp;reservation_id=31728365465787", "MXFM963GB")</f>
        <v>MXFM963GB</v>
      </c>
      <c r="B5162" t="s">
        <v>10</v>
      </c>
      <c r="C5162" t="s">
        <v>121</v>
      </c>
      <c r="D5162" t="str">
        <f>HYPERLINK("https://us2.cloudbeds.com/connect/10074733072513#/reservations/31728365465787?display=Joseph%20Mccormick&amp;reservation_id=31728365465787&amp;guest_id=31728356909281", "Joseph Mccormick")</f>
        <v>Joseph Mccormick</v>
      </c>
      <c r="E5162" t="s">
        <v>10456</v>
      </c>
      <c r="F5162" t="s">
        <v>10202</v>
      </c>
      <c r="G5162">
        <v>134.1</v>
      </c>
      <c r="H5162">
        <v>145.76</v>
      </c>
      <c r="I5162">
        <v>145.77000000000001</v>
      </c>
      <c r="J5162">
        <v>-0.01</v>
      </c>
    </row>
    <row r="5163" spans="1:10" x14ac:dyDescent="0.3">
      <c r="A5163" t="str">
        <f>HYPERLINK("https://us2.cloudbeds.com/connect/10074733072513#/reservations/31730252705993?display=MXH4GXBEG&amp;reservation_id=31730252705993", "MXH4GXBEG")</f>
        <v>MXH4GXBEG</v>
      </c>
      <c r="B5163" t="s">
        <v>10</v>
      </c>
      <c r="C5163" t="s">
        <v>14</v>
      </c>
      <c r="D5163" t="str">
        <f>HYPERLINK("https://us2.cloudbeds.com/connect/10074733072513#/reservations/31730252705993?display=Adam%20Lambert&amp;reservation_id=31730252705993&amp;guest_id=31730252701912", "Adam Lambert")</f>
        <v>Adam Lambert</v>
      </c>
      <c r="E5163" t="s">
        <v>10459</v>
      </c>
      <c r="F5163" t="s">
        <v>10242</v>
      </c>
      <c r="G5163">
        <v>270.83999999999997</v>
      </c>
      <c r="H5163">
        <v>294.39</v>
      </c>
      <c r="I5163">
        <v>294.39999999999998</v>
      </c>
      <c r="J5163">
        <v>-0.01</v>
      </c>
    </row>
    <row r="5164" spans="1:10" x14ac:dyDescent="0.3">
      <c r="A5164" t="str">
        <f>HYPERLINK("https://us2.cloudbeds.com/connect/10074733072513#/reservations/31729143496913?display=MXG957VW4&amp;reservation_id=31729143496913", "MXG957VW4")</f>
        <v>MXG957VW4</v>
      </c>
      <c r="B5164" t="s">
        <v>10</v>
      </c>
      <c r="C5164" t="s">
        <v>42</v>
      </c>
      <c r="D5164" t="str">
        <f>HYPERLINK("https://us2.cloudbeds.com/connect/10074733072513#/reservations/31729143496913?display=Bonnie%20Brueshoff&amp;reservation_id=31729143496913&amp;guest_id=31729139892407", "Bonnie Brueshoff")</f>
        <v>Bonnie Brueshoff</v>
      </c>
      <c r="E5164" t="s">
        <v>10461</v>
      </c>
      <c r="F5164" t="s">
        <v>10202</v>
      </c>
      <c r="G5164">
        <v>103.2</v>
      </c>
      <c r="H5164">
        <v>112.17</v>
      </c>
      <c r="I5164">
        <v>112.18</v>
      </c>
      <c r="J5164">
        <v>-0.01</v>
      </c>
    </row>
    <row r="5165" spans="1:10" x14ac:dyDescent="0.3">
      <c r="A5165" t="str">
        <f>HYPERLINK("https://us2.cloudbeds.com/connect/10074733072513#/reservations/31732341625034?display=MXXZSWJZG&amp;reservation_id=31732341625034", "MXXZSWJZG")</f>
        <v>MXXZSWJZG</v>
      </c>
      <c r="B5165" t="s">
        <v>10</v>
      </c>
      <c r="C5165" t="s">
        <v>121</v>
      </c>
      <c r="D5165" t="str">
        <f>HYPERLINK("https://us2.cloudbeds.com/connect/10074733072513#/reservations/31732341625034?display=Davi%20Warner&amp;reservation_id=31732341625034&amp;guest_id=31732334555378", "Davi Warner")</f>
        <v>Davi Warner</v>
      </c>
      <c r="E5165" t="s">
        <v>10481</v>
      </c>
      <c r="F5165" t="s">
        <v>10242</v>
      </c>
      <c r="G5165">
        <v>103.2</v>
      </c>
      <c r="H5165">
        <v>112.17</v>
      </c>
      <c r="I5165">
        <v>112.18</v>
      </c>
      <c r="J5165">
        <v>-0.01</v>
      </c>
    </row>
    <row r="5166" spans="1:10" x14ac:dyDescent="0.3">
      <c r="A5166" t="str">
        <f>HYPERLINK("https://us2.cloudbeds.com/connect/10074733072513#/reservations/31723788132549?display=MXC4AF20H&amp;reservation_id=31723788132549", "MXC4AF20H")</f>
        <v>MXC4AF20H</v>
      </c>
      <c r="B5166" t="s">
        <v>10</v>
      </c>
      <c r="C5166" t="s">
        <v>14</v>
      </c>
      <c r="D5166" t="str">
        <f>HYPERLINK("https://us2.cloudbeds.com/connect/10074733072513#/reservations/31723788132549?display=Julie%20Moore&amp;reservation_id=31723788132549&amp;guest_id=31723788128506", "Julie Moore")</f>
        <v>Julie Moore</v>
      </c>
      <c r="E5166" t="s">
        <v>10506</v>
      </c>
      <c r="F5166" t="s">
        <v>10336</v>
      </c>
      <c r="G5166">
        <v>264.2</v>
      </c>
      <c r="H5166">
        <v>287.18</v>
      </c>
      <c r="I5166">
        <v>287.19</v>
      </c>
      <c r="J5166">
        <v>-0.01</v>
      </c>
    </row>
    <row r="5167" spans="1:10" x14ac:dyDescent="0.3">
      <c r="A5167" t="str">
        <f>HYPERLINK("https://us2.cloudbeds.com/connect/10074733072513#/reservations/31729374540000?display=MXGF222ZQ&amp;reservation_id=31729374540000", "MXGF222ZQ")</f>
        <v>MXGF222ZQ</v>
      </c>
      <c r="B5167" t="s">
        <v>10</v>
      </c>
      <c r="C5167" t="s">
        <v>14</v>
      </c>
      <c r="D5167" t="str">
        <f>HYPERLINK("https://us2.cloudbeds.com/connect/10074733072513#/reservations/31729374540000?display=Vince%20Lopez&amp;reservation_id=31729374540000&amp;guest_id=31729374539997", "Vince Lopez")</f>
        <v>Vince Lopez</v>
      </c>
      <c r="E5167" t="s">
        <v>10508</v>
      </c>
      <c r="F5167" t="s">
        <v>10445</v>
      </c>
      <c r="G5167">
        <v>197.78</v>
      </c>
      <c r="H5167">
        <v>214.98</v>
      </c>
      <c r="I5167">
        <v>214.99</v>
      </c>
      <c r="J5167">
        <v>-0.01</v>
      </c>
    </row>
    <row r="5168" spans="1:10" x14ac:dyDescent="0.3">
      <c r="A5168" t="str">
        <f>HYPERLINK("https://us2.cloudbeds.com/connect/10074733072513#/reservations/31726199005391?display=MXDWUC50A&amp;reservation_id=31726199005391", "MXDWUC50A")</f>
        <v>MXDWUC50A</v>
      </c>
      <c r="B5168" t="s">
        <v>10</v>
      </c>
      <c r="C5168" t="s">
        <v>20</v>
      </c>
      <c r="D5168" t="str">
        <f>HYPERLINK("https://us2.cloudbeds.com/connect/10074733072513#/reservations/31726199005391?display=Chaz%20Graham&amp;reservation_id=31726199005391&amp;guest_id=31726199005379", "Chaz Graham")</f>
        <v>Chaz Graham</v>
      </c>
      <c r="E5168" t="s">
        <v>10528</v>
      </c>
      <c r="F5168" t="s">
        <v>10146</v>
      </c>
      <c r="G5168">
        <v>134.1</v>
      </c>
      <c r="H5168">
        <v>145.76</v>
      </c>
      <c r="I5168">
        <v>145.77000000000001</v>
      </c>
      <c r="J5168">
        <v>-0.01</v>
      </c>
    </row>
    <row r="5169" spans="1:10" x14ac:dyDescent="0.3">
      <c r="A5169" t="str">
        <f>HYPERLINK("https://us2.cloudbeds.com/connect/10074733072513#/reservations/31726858817759?display=MXEGPZDAG&amp;reservation_id=31726858817759", "MXEGPZDAG")</f>
        <v>MXEGPZDAG</v>
      </c>
      <c r="B5169" t="s">
        <v>10</v>
      </c>
      <c r="C5169" t="s">
        <v>11</v>
      </c>
      <c r="D5169" t="str">
        <f>HYPERLINK("https://us2.cloudbeds.com/connect/10074733072513#/reservations/31726858817759?display=Stacey%20Gorman&amp;reservation_id=31726858817759&amp;guest_id=31726858817754", "Stacey Gorman")</f>
        <v>Stacey Gorman</v>
      </c>
      <c r="E5169" t="s">
        <v>10532</v>
      </c>
      <c r="F5169" t="s">
        <v>8801</v>
      </c>
      <c r="G5169">
        <v>117.42</v>
      </c>
      <c r="H5169">
        <v>127.63</v>
      </c>
      <c r="I5169">
        <v>127.64</v>
      </c>
      <c r="J5169">
        <v>-0.01</v>
      </c>
    </row>
    <row r="5170" spans="1:10" x14ac:dyDescent="0.3">
      <c r="A5170" t="str">
        <f>HYPERLINK("https://us2.cloudbeds.com/connect/10074733072513#/reservations/31724895260867?display=MXCWK0HPG&amp;reservation_id=31724895260867", "MXCWK0HPG")</f>
        <v>MXCWK0HPG</v>
      </c>
      <c r="B5170" t="s">
        <v>10</v>
      </c>
      <c r="C5170" t="s">
        <v>42</v>
      </c>
      <c r="D5170" t="str">
        <f>HYPERLINK("https://us2.cloudbeds.com/connect/10074733072513#/reservations/31724895260867?display=Katie%20Roggow&amp;reservation_id=31724895260867&amp;guest_id=31724895256774", "Katie Roggow")</f>
        <v>Katie Roggow</v>
      </c>
      <c r="E5170" t="s">
        <v>10535</v>
      </c>
      <c r="F5170" t="s">
        <v>10415</v>
      </c>
      <c r="G5170">
        <v>103.2</v>
      </c>
      <c r="H5170">
        <v>112.17</v>
      </c>
      <c r="I5170">
        <v>112.18</v>
      </c>
      <c r="J5170">
        <v>-0.01</v>
      </c>
    </row>
    <row r="5171" spans="1:10" x14ac:dyDescent="0.3">
      <c r="A5171" t="str">
        <f>HYPERLINK("https://us2.cloudbeds.com/connect/10074733072513#/reservations/31721020612773?display=MX9WJQZHT&amp;reservation_id=31721020612773", "MX9WJQZHT")</f>
        <v>MX9WJQZHT</v>
      </c>
      <c r="B5171" t="s">
        <v>10</v>
      </c>
      <c r="C5171" t="s">
        <v>11</v>
      </c>
      <c r="D5171" t="str">
        <f>HYPERLINK("https://us2.cloudbeds.com/connect/10074733072513#/reservations/31721020612773?display=Haley%20Bryan&amp;reservation_id=31721020612773&amp;guest_id=31721020612749", "Haley Bryan")</f>
        <v>Haley Bryan</v>
      </c>
      <c r="E5171" t="s">
        <v>10541</v>
      </c>
      <c r="F5171" t="s">
        <v>9740</v>
      </c>
      <c r="G5171">
        <v>304.2</v>
      </c>
      <c r="H5171">
        <v>330.66</v>
      </c>
      <c r="I5171">
        <v>330.67</v>
      </c>
      <c r="J5171">
        <v>-0.01</v>
      </c>
    </row>
    <row r="5172" spans="1:10" x14ac:dyDescent="0.3">
      <c r="A5172" t="str">
        <f>HYPERLINK("https://us2.cloudbeds.com/connect/10074733072513#/reservations/31729317785735?display=MXGDK6QQJ&amp;reservation_id=31729317785735", "MXGDK6QQJ")</f>
        <v>MXGDK6QQJ</v>
      </c>
      <c r="B5172" t="s">
        <v>10</v>
      </c>
      <c r="C5172" t="s">
        <v>42</v>
      </c>
      <c r="D5172" t="str">
        <f>HYPERLINK("https://us2.cloudbeds.com/connect/10074733072513#/reservations/31729317785735?display=Shannon%20Deel&amp;reservation_id=31729317785735&amp;guest_id=31729317785733", "Shannon Deel")</f>
        <v>Shannon Deel</v>
      </c>
      <c r="E5172" t="s">
        <v>10544</v>
      </c>
      <c r="F5172" t="s">
        <v>10445</v>
      </c>
      <c r="G5172">
        <v>134.1</v>
      </c>
      <c r="H5172">
        <v>145.76</v>
      </c>
      <c r="I5172">
        <v>145.77000000000001</v>
      </c>
      <c r="J5172">
        <v>-0.01</v>
      </c>
    </row>
    <row r="5173" spans="1:10" x14ac:dyDescent="0.3">
      <c r="A5173" t="str">
        <f>HYPERLINK("https://us2.cloudbeds.com/connect/10074733072513#/reservations/31728553001177?display=MXFR2AX9T&amp;reservation_id=31728553001177", "MXFR2AX9T")</f>
        <v>MXFR2AX9T</v>
      </c>
      <c r="B5173" t="s">
        <v>10</v>
      </c>
      <c r="C5173" t="s">
        <v>121</v>
      </c>
      <c r="D5173" t="str">
        <f>HYPERLINK("https://us2.cloudbeds.com/connect/10074733072513#/reservations/31728553001177?display=Judson%20Maggort&amp;reservation_id=31728553001177&amp;guest_id=31728542294153", "Judson Maggort")</f>
        <v>Judson Maggort</v>
      </c>
      <c r="E5173" t="s">
        <v>10549</v>
      </c>
      <c r="F5173" t="s">
        <v>10445</v>
      </c>
      <c r="G5173">
        <v>134.1</v>
      </c>
      <c r="H5173">
        <v>145.76</v>
      </c>
      <c r="I5173">
        <v>145.77000000000001</v>
      </c>
      <c r="J5173">
        <v>-0.01</v>
      </c>
    </row>
    <row r="5174" spans="1:10" x14ac:dyDescent="0.3">
      <c r="A5174" t="str">
        <f>HYPERLINK("https://us2.cloudbeds.com/connect/10074733072513#/reservations/31726420091067?display=MXE5XQ658&amp;reservation_id=31726420091067", "MXE5XQ658")</f>
        <v>MXE5XQ658</v>
      </c>
      <c r="B5174" t="s">
        <v>10</v>
      </c>
      <c r="C5174" t="s">
        <v>11</v>
      </c>
      <c r="D5174" t="str">
        <f>HYPERLINK("https://us2.cloudbeds.com/connect/10074733072513#/reservations/31726420091067?display=Darian%20Devries&amp;reservation_id=31726420091067&amp;guest_id=31726420091062", "Darian Devries")</f>
        <v>Darian Devries</v>
      </c>
      <c r="E5174" t="s">
        <v>10557</v>
      </c>
      <c r="F5174" t="s">
        <v>10312</v>
      </c>
      <c r="G5174">
        <v>134.1</v>
      </c>
      <c r="H5174">
        <v>145.76</v>
      </c>
      <c r="I5174">
        <v>145.77000000000001</v>
      </c>
      <c r="J5174">
        <v>-0.01</v>
      </c>
    </row>
    <row r="5175" spans="1:10" x14ac:dyDescent="0.3">
      <c r="A5175" t="str">
        <f>HYPERLINK("https://us2.cloudbeds.com/connect/10074733072513#/reservations/31728574701720?display=MXFRKKDB5&amp;reservation_id=31728574701720", "MXFRKKDB5")</f>
        <v>MXFRKKDB5</v>
      </c>
      <c r="B5175" t="s">
        <v>10</v>
      </c>
      <c r="C5175" t="s">
        <v>121</v>
      </c>
      <c r="D5175" t="str">
        <f>HYPERLINK("https://us2.cloudbeds.com/connect/10074733072513#/reservations/31728574701720?display=Micheal%20Riley&amp;reservation_id=31728574701720&amp;guest_id=31728574697635", "Micheal Riley")</f>
        <v>Micheal Riley</v>
      </c>
      <c r="E5175" t="s">
        <v>10559</v>
      </c>
      <c r="F5175" t="s">
        <v>10445</v>
      </c>
      <c r="G5175">
        <v>134.1</v>
      </c>
      <c r="H5175">
        <v>145.76</v>
      </c>
      <c r="I5175">
        <v>145.77000000000001</v>
      </c>
      <c r="J5175">
        <v>-0.01</v>
      </c>
    </row>
    <row r="5176" spans="1:10" x14ac:dyDescent="0.3">
      <c r="A5176" t="str">
        <f>HYPERLINK("https://us2.cloudbeds.com/connect/10074733072513#/reservations/31727729680598?display=MXF612ENG&amp;reservation_id=31727729680598", "MXF612ENG")</f>
        <v>MXF612ENG</v>
      </c>
      <c r="B5176" t="s">
        <v>10</v>
      </c>
      <c r="C5176" t="s">
        <v>11</v>
      </c>
      <c r="D5176" t="str">
        <f>HYPERLINK("https://us2.cloudbeds.com/connect/10074733072513#/reservations/31727729680598?display=Steve%20Fehr&amp;reservation_id=31727729680598&amp;guest_id=31727729680592", "Steve Fehr")</f>
        <v>Steve Fehr</v>
      </c>
      <c r="E5176" t="s">
        <v>10561</v>
      </c>
      <c r="F5176" t="s">
        <v>8801</v>
      </c>
      <c r="G5176">
        <v>117.42</v>
      </c>
      <c r="H5176">
        <v>127.63</v>
      </c>
      <c r="I5176">
        <v>127.64</v>
      </c>
      <c r="J5176">
        <v>-0.01</v>
      </c>
    </row>
    <row r="5177" spans="1:10" x14ac:dyDescent="0.3">
      <c r="A5177" t="str">
        <f>HYPERLINK("https://us2.cloudbeds.com/connect/10074733072513#/reservations/31727446630605?display=MXEVQD5BW&amp;reservation_id=31727446630605", "MXEVQD5BW")</f>
        <v>MXEVQD5BW</v>
      </c>
      <c r="B5177" t="s">
        <v>10</v>
      </c>
      <c r="C5177" t="s">
        <v>11</v>
      </c>
      <c r="D5177" t="str">
        <f>HYPERLINK("https://us2.cloudbeds.com/connect/10074733072513#/reservations/31727446630605?display=Jennifer%20Woodall&amp;reservation_id=31727446630605&amp;guest_id=31727446630602", "Jennifer Woodall")</f>
        <v>Jennifer Woodall</v>
      </c>
      <c r="E5177" t="s">
        <v>10569</v>
      </c>
      <c r="F5177" t="s">
        <v>9713</v>
      </c>
      <c r="G5177">
        <v>143.66</v>
      </c>
      <c r="H5177">
        <v>156.15</v>
      </c>
      <c r="I5177">
        <v>156.16</v>
      </c>
      <c r="J5177">
        <v>-0.01</v>
      </c>
    </row>
    <row r="5178" spans="1:10" x14ac:dyDescent="0.3">
      <c r="A5178" t="str">
        <f>HYPERLINK("https://us2.cloudbeds.com/connect/10074733072513#/reservations/31726810898571?display=MXEFXAWCT&amp;reservation_id=31726810898571", "MXEFXAWCT")</f>
        <v>MXEFXAWCT</v>
      </c>
      <c r="B5178" t="s">
        <v>10</v>
      </c>
      <c r="C5178" t="s">
        <v>42</v>
      </c>
      <c r="D5178" t="str">
        <f>HYPERLINK("https://us2.cloudbeds.com/connect/10074733072513#/reservations/31726810898571?display=Steve%20Barclay&amp;reservation_id=31726810898571&amp;guest_id=31726810898569", "Steve Barclay")</f>
        <v>Steve Barclay</v>
      </c>
      <c r="E5178" t="s">
        <v>10568</v>
      </c>
      <c r="F5178" t="s">
        <v>10534</v>
      </c>
      <c r="G5178">
        <v>250.2</v>
      </c>
      <c r="H5178">
        <v>271.95999999999998</v>
      </c>
      <c r="I5178">
        <v>271.97000000000003</v>
      </c>
      <c r="J5178">
        <v>-0.01</v>
      </c>
    </row>
    <row r="5179" spans="1:10" x14ac:dyDescent="0.3">
      <c r="A5179" t="str">
        <f>HYPERLINK("https://us2.cloudbeds.com/connect/10074733072513#/reservations/31724907544727?display=MXCWUCBNM&amp;reservation_id=31724907544727", "MXCWUCBNM")</f>
        <v>MXCWUCBNM</v>
      </c>
      <c r="B5179" t="s">
        <v>10</v>
      </c>
      <c r="C5179" t="s">
        <v>17</v>
      </c>
      <c r="D5179" t="str">
        <f>HYPERLINK("https://us2.cloudbeds.com/connect/10074733072513#/reservations/31724907544727?display=Julie%20Mcdonough&amp;reservation_id=31724907544727&amp;guest_id=31724907544710", "Julie Mcdonough")</f>
        <v>Julie Mcdonough</v>
      </c>
      <c r="E5179" t="s">
        <v>10609</v>
      </c>
      <c r="F5179" t="s">
        <v>10415</v>
      </c>
      <c r="G5179">
        <v>304.2</v>
      </c>
      <c r="H5179">
        <v>330.66</v>
      </c>
      <c r="I5179">
        <v>330.67</v>
      </c>
      <c r="J5179">
        <v>-0.01</v>
      </c>
    </row>
    <row r="5180" spans="1:10" x14ac:dyDescent="0.3">
      <c r="A5180" t="str">
        <f>HYPERLINK("https://us2.cloudbeds.com/connect/10074733072513#/reservations/31726465474735?display=MXE6Z21PU&amp;reservation_id=31726465474735", "MXE6Z21PU")</f>
        <v>MXE6Z21PU</v>
      </c>
      <c r="B5180" t="s">
        <v>10</v>
      </c>
      <c r="C5180" t="s">
        <v>20</v>
      </c>
      <c r="D5180" t="str">
        <f>HYPERLINK("https://us2.cloudbeds.com/connect/10074733072513#/reservations/31726465474735?display=David%20Frank&amp;reservation_id=31726465474735&amp;guest_id=31726454534357", "David Frank")</f>
        <v>David Frank</v>
      </c>
      <c r="E5180" t="s">
        <v>10612</v>
      </c>
      <c r="F5180" t="s">
        <v>10312</v>
      </c>
      <c r="G5180">
        <v>250.2</v>
      </c>
      <c r="H5180">
        <v>271.95999999999998</v>
      </c>
      <c r="I5180">
        <v>271.97000000000003</v>
      </c>
      <c r="J5180">
        <v>-0.01</v>
      </c>
    </row>
    <row r="5181" spans="1:10" x14ac:dyDescent="0.3">
      <c r="A5181" t="str">
        <f>HYPERLINK("https://us2.cloudbeds.com/connect/10074733072513#/reservations/31725077033148?display=MXD489KFA&amp;reservation_id=31725077033148", "MXD489KFA")</f>
        <v>MXD489KFA</v>
      </c>
      <c r="B5181" t="s">
        <v>10</v>
      </c>
      <c r="C5181" t="s">
        <v>42</v>
      </c>
      <c r="D5181" t="str">
        <f>HYPERLINK("https://us2.cloudbeds.com/connect/10074733072513#/reservations/31725077033148?display=Arlyn%20Jons&amp;reservation_id=31725077033148&amp;guest_id=30668970557667", "Arlyn Jons")</f>
        <v>Arlyn Jons</v>
      </c>
      <c r="E5181" t="s">
        <v>3948</v>
      </c>
      <c r="F5181" t="s">
        <v>10552</v>
      </c>
      <c r="G5181">
        <v>134.1</v>
      </c>
      <c r="H5181">
        <v>145.76</v>
      </c>
      <c r="I5181">
        <v>145.77000000000001</v>
      </c>
      <c r="J5181">
        <v>-0.01</v>
      </c>
    </row>
    <row r="5182" spans="1:10" x14ac:dyDescent="0.3">
      <c r="A5182" t="str">
        <f>HYPERLINK("https://us2.cloudbeds.com/connect/10074733072513#/reservations/31720334340317?display=MX9F246KS&amp;reservation_id=31720334340317", "MX9F246KS")</f>
        <v>MX9F246KS</v>
      </c>
      <c r="B5182" t="s">
        <v>10</v>
      </c>
      <c r="C5182" t="s">
        <v>42</v>
      </c>
      <c r="D5182" t="str">
        <f>HYPERLINK("https://us2.cloudbeds.com/connect/10074733072513#/reservations/31720334340317?display=Susan%20Schavee&amp;reservation_id=31720334340317&amp;guest_id=31692461678772", "Susan Schavee")</f>
        <v>Susan Schavee</v>
      </c>
      <c r="E5182" t="s">
        <v>10616</v>
      </c>
      <c r="F5182" t="s">
        <v>10617</v>
      </c>
      <c r="G5182">
        <v>103.2</v>
      </c>
      <c r="H5182">
        <v>112.17</v>
      </c>
      <c r="I5182">
        <v>112.18</v>
      </c>
      <c r="J5182">
        <v>-0.01</v>
      </c>
    </row>
    <row r="5183" spans="1:10" x14ac:dyDescent="0.3">
      <c r="A5183" t="str">
        <f>HYPERLINK("https://us2.cloudbeds.com/connect/10074733072513#/reservations/31728428953758?display=MXFNTNZR7&amp;reservation_id=31728428953758", "MXFNTNZR7")</f>
        <v>MXFNTNZR7</v>
      </c>
      <c r="B5183" t="s">
        <v>10</v>
      </c>
      <c r="C5183" t="s">
        <v>17</v>
      </c>
      <c r="D5183" t="str">
        <f>HYPERLINK("https://us2.cloudbeds.com/connect/10074733072513#/reservations/31728428953758?display=Lynda%20Elaine&amp;reservation_id=31728428953758&amp;guest_id=31728428949679", "Lynda Elaine")</f>
        <v>Lynda Elaine</v>
      </c>
      <c r="E5183" t="s">
        <v>10625</v>
      </c>
      <c r="F5183" t="s">
        <v>10322</v>
      </c>
      <c r="G5183">
        <v>134.1</v>
      </c>
      <c r="H5183">
        <v>145.76</v>
      </c>
      <c r="I5183">
        <v>145.77000000000001</v>
      </c>
      <c r="J5183">
        <v>-0.01</v>
      </c>
    </row>
    <row r="5184" spans="1:10" x14ac:dyDescent="0.3">
      <c r="A5184" t="str">
        <f>HYPERLINK("https://us2.cloudbeds.com/connect/10074733072513#/reservations/31726928638110?display=MXEXXK8GN&amp;reservation_id=31726928638110", "MXEXXK8GN")</f>
        <v>MXEXXK8GN</v>
      </c>
      <c r="B5184" t="s">
        <v>10</v>
      </c>
      <c r="C5184" t="s">
        <v>42</v>
      </c>
      <c r="D5184" t="str">
        <f>HYPERLINK("https://us2.cloudbeds.com/connect/10074733072513#/reservations/31726928638110?display=Pam%20Fifield&amp;reservation_id=31726928638110&amp;guest_id=31683369631961", "Pam Fifield")</f>
        <v>Pam Fifield</v>
      </c>
      <c r="E5184" t="s">
        <v>10631</v>
      </c>
      <c r="F5184" t="s">
        <v>7649</v>
      </c>
      <c r="G5184">
        <v>250.2</v>
      </c>
      <c r="H5184">
        <v>271.95999999999998</v>
      </c>
      <c r="I5184">
        <v>271.97000000000003</v>
      </c>
      <c r="J5184">
        <v>-0.01</v>
      </c>
    </row>
    <row r="5185" spans="1:10" x14ac:dyDescent="0.3">
      <c r="A5185" t="str">
        <f>HYPERLINK("https://us2.cloudbeds.com/connect/10074733072513#/reservations/31729160208517?display=MXG9JAWQC&amp;reservation_id=31729160208517", "MXG9JAWQC")</f>
        <v>MXG9JAWQC</v>
      </c>
      <c r="B5185" t="s">
        <v>10</v>
      </c>
      <c r="C5185" t="s">
        <v>42</v>
      </c>
      <c r="D5185" t="str">
        <f>HYPERLINK("https://us2.cloudbeds.com/connect/10074733072513#/reservations/31729160208517?display=James%20Vandertie&amp;reservation_id=31729160208517&amp;guest_id=31729160204420", "James Vandertie")</f>
        <v>James Vandertie</v>
      </c>
      <c r="E5185" t="s">
        <v>10635</v>
      </c>
      <c r="F5185" t="s">
        <v>7649</v>
      </c>
      <c r="G5185">
        <v>384.3</v>
      </c>
      <c r="H5185">
        <v>417.72</v>
      </c>
      <c r="I5185">
        <v>417.73</v>
      </c>
      <c r="J5185">
        <v>-0.01</v>
      </c>
    </row>
    <row r="5186" spans="1:10" x14ac:dyDescent="0.3">
      <c r="A5186" t="str">
        <f>HYPERLINK("https://us2.cloudbeds.com/connect/10074733072513#/reservations/31728999645369?display=MXG5FV2TE&amp;reservation_id=31728999645369", "MXG5FV2TE")</f>
        <v>MXG5FV2TE</v>
      </c>
      <c r="B5186" t="s">
        <v>10</v>
      </c>
      <c r="C5186" t="s">
        <v>42</v>
      </c>
      <c r="D5186" t="str">
        <f>HYPERLINK("https://us2.cloudbeds.com/connect/10074733072513#/reservations/31728999645369?display=Brad%20Haese&amp;reservation_id=31728999645369&amp;guest_id=31728985657571", "Brad Haese")</f>
        <v>Brad Haese</v>
      </c>
      <c r="E5186" t="s">
        <v>10648</v>
      </c>
      <c r="F5186" t="s">
        <v>10391</v>
      </c>
      <c r="G5186">
        <v>1944</v>
      </c>
      <c r="H5186">
        <v>2113.12</v>
      </c>
      <c r="I5186">
        <v>2113.13</v>
      </c>
      <c r="J5186">
        <v>-0.01</v>
      </c>
    </row>
    <row r="5187" spans="1:10" x14ac:dyDescent="0.3">
      <c r="A5187" t="str">
        <f>HYPERLINK("https://us2.cloudbeds.com/connect/10074733072513#/reservations/31727870492843?display=MXF9KQZT7&amp;reservation_id=31727870492843", "MXF9KQZT7")</f>
        <v>MXF9KQZT7</v>
      </c>
      <c r="B5187" t="s">
        <v>10</v>
      </c>
      <c r="C5187" t="s">
        <v>42</v>
      </c>
      <c r="D5187" t="str">
        <f>HYPERLINK("https://us2.cloudbeds.com/connect/10074733072513#/reservations/31727870492843?display=Justin%20Maggert&amp;reservation_id=31727870492843&amp;guest_id=31725134692496", "Justin Maggert")</f>
        <v>Justin Maggert</v>
      </c>
      <c r="E5187" t="s">
        <v>10267</v>
      </c>
      <c r="F5187" t="s">
        <v>9657</v>
      </c>
      <c r="G5187">
        <v>134.1</v>
      </c>
      <c r="H5187">
        <v>145.76</v>
      </c>
      <c r="I5187">
        <v>145.77000000000001</v>
      </c>
      <c r="J5187">
        <v>-0.01</v>
      </c>
    </row>
    <row r="5188" spans="1:10" x14ac:dyDescent="0.3">
      <c r="A5188" t="str">
        <f>HYPERLINK("https://us2.cloudbeds.com/connect/10074733072513#/reservations/31723678376136?display=MXC1GTUJK&amp;reservation_id=31723678376136", "MXC1GTUJK")</f>
        <v>MXC1GTUJK</v>
      </c>
      <c r="B5188" t="s">
        <v>10</v>
      </c>
      <c r="C5188" t="s">
        <v>121</v>
      </c>
      <c r="D5188" t="str">
        <f>HYPERLINK("https://us2.cloudbeds.com/connect/10074733072513#/reservations/31723678376136?display=Judson%20Maggert&amp;reservation_id=31723678376136&amp;guest_id=31723678376133", "Judson Maggert")</f>
        <v>Judson Maggert</v>
      </c>
      <c r="E5188" t="s">
        <v>10302</v>
      </c>
      <c r="F5188" t="s">
        <v>10584</v>
      </c>
      <c r="G5188">
        <v>134.1</v>
      </c>
      <c r="H5188">
        <v>145.76</v>
      </c>
      <c r="I5188">
        <v>145.77000000000001</v>
      </c>
      <c r="J5188">
        <v>-0.01</v>
      </c>
    </row>
    <row r="5189" spans="1:10" x14ac:dyDescent="0.3">
      <c r="A5189" t="str">
        <f>HYPERLINK("https://us2.cloudbeds.com/connect/10074733072513#/reservations/31726668652740?display=MXEBUCPQ5&amp;reservation_id=31726668652740", "MXEBUCPQ5")</f>
        <v>MXEBUCPQ5</v>
      </c>
      <c r="B5189" t="s">
        <v>10</v>
      </c>
      <c r="C5189" t="s">
        <v>42</v>
      </c>
      <c r="D5189" t="str">
        <f>HYPERLINK("https://us2.cloudbeds.com/connect/10074733072513#/reservations/31726668652740?display=Melody%20Mccalla&amp;reservation_id=31726668652740&amp;guest_id=31726668652736", "Melody Mccalla")</f>
        <v>Melody Mccalla</v>
      </c>
      <c r="E5189" t="s">
        <v>10670</v>
      </c>
      <c r="F5189" t="s">
        <v>10584</v>
      </c>
      <c r="G5189">
        <v>127.2</v>
      </c>
      <c r="H5189">
        <v>138.26</v>
      </c>
      <c r="I5189">
        <v>138.27000000000001</v>
      </c>
      <c r="J5189">
        <v>-0.01</v>
      </c>
    </row>
    <row r="5190" spans="1:10" x14ac:dyDescent="0.3">
      <c r="A5190" t="str">
        <f>HYPERLINK("https://us2.cloudbeds.com/connect/10074733072513#/reservations/31727049298113?display=MXEYYBQDE&amp;reservation_id=31727049298113", "MXEYYBQDE")</f>
        <v>MXEYYBQDE</v>
      </c>
      <c r="B5190" t="s">
        <v>10</v>
      </c>
      <c r="C5190" t="s">
        <v>14</v>
      </c>
      <c r="D5190" t="str">
        <f>HYPERLINK("https://us2.cloudbeds.com/connect/10074733072513#/reservations/31727049298113?display=Debra%20Weidner&amp;reservation_id=31727049298113&amp;guest_id=31727033229520", "Debra Weidner")</f>
        <v>Debra Weidner</v>
      </c>
      <c r="E5190" t="s">
        <v>10675</v>
      </c>
      <c r="F5190" t="s">
        <v>10026</v>
      </c>
      <c r="G5190">
        <v>304.2</v>
      </c>
      <c r="H5190">
        <v>330.66</v>
      </c>
      <c r="I5190">
        <v>330.67</v>
      </c>
      <c r="J5190">
        <v>-0.01</v>
      </c>
    </row>
    <row r="5191" spans="1:10" x14ac:dyDescent="0.3">
      <c r="A5191" t="str">
        <f>HYPERLINK("https://us2.cloudbeds.com/connect/10074733072513#/reservations/31727152636116?display=MXEZ9GAW2&amp;reservation_id=31727152636116", "MXEZ9GAW2")</f>
        <v>MXEZ9GAW2</v>
      </c>
      <c r="B5191" t="s">
        <v>10</v>
      </c>
      <c r="C5191" t="s">
        <v>42</v>
      </c>
      <c r="D5191" t="str">
        <f>HYPERLINK("https://us2.cloudbeds.com/connect/10074733072513#/reservations/31727152636116?display=Jean%20Ripp&amp;reservation_id=31727152636116&amp;guest_id=31727152632025", "Jean Ripp")</f>
        <v>Jean Ripp</v>
      </c>
      <c r="E5191" t="s">
        <v>10679</v>
      </c>
      <c r="F5191" t="s">
        <v>10438</v>
      </c>
      <c r="G5191">
        <v>103.2</v>
      </c>
      <c r="H5191">
        <v>112.17</v>
      </c>
      <c r="I5191">
        <v>112.18</v>
      </c>
      <c r="J5191">
        <v>-0.01</v>
      </c>
    </row>
    <row r="5192" spans="1:10" x14ac:dyDescent="0.3">
      <c r="A5192" t="str">
        <f>HYPERLINK("https://us2.cloudbeds.com/connect/10074733072513#/reservations/31728789708935?display=MXG03U9QA&amp;reservation_id=31728789708935", "MXG03U9QA")</f>
        <v>MXG03U9QA</v>
      </c>
      <c r="B5192" t="s">
        <v>10</v>
      </c>
      <c r="C5192" t="s">
        <v>42</v>
      </c>
      <c r="D5192" t="str">
        <f>HYPERLINK("https://us2.cloudbeds.com/connect/10074733072513#/reservations/31728789708935?display=Rosemary%20Walsberg&amp;reservation_id=31728789708935&amp;guest_id=31685068411095", "Rosemary Walsberg")</f>
        <v>Rosemary Walsberg</v>
      </c>
      <c r="E5192" t="s">
        <v>10680</v>
      </c>
      <c r="F5192" t="s">
        <v>10391</v>
      </c>
      <c r="G5192">
        <v>134.1</v>
      </c>
      <c r="H5192">
        <v>145.76</v>
      </c>
      <c r="I5192">
        <v>145.77000000000001</v>
      </c>
      <c r="J5192">
        <v>-0.01</v>
      </c>
    </row>
    <row r="5193" spans="1:10" x14ac:dyDescent="0.3">
      <c r="A5193" t="str">
        <f>HYPERLINK("https://us2.cloudbeds.com/connect/10074733072513#/reservations/31726493790444?display=MXE7EUWBN&amp;reservation_id=31726493790444", "MXE7EUWBN")</f>
        <v>MXE7EUWBN</v>
      </c>
      <c r="B5193" t="s">
        <v>10</v>
      </c>
      <c r="C5193" t="s">
        <v>11</v>
      </c>
      <c r="D5193" t="str">
        <f>HYPERLINK("https://us2.cloudbeds.com/connect/10074733072513#/reservations/31726493790444?display=Kim%20Bruning&amp;reservation_id=31726493790444&amp;guest_id=31726493790440", "Kim Bruning")</f>
        <v>Kim Bruning</v>
      </c>
      <c r="E5193" t="s">
        <v>10684</v>
      </c>
      <c r="F5193" t="s">
        <v>10402</v>
      </c>
      <c r="G5193">
        <v>286.66000000000003</v>
      </c>
      <c r="H5193">
        <v>311.58999999999997</v>
      </c>
      <c r="I5193">
        <v>311.60000000000002</v>
      </c>
      <c r="J5193">
        <v>-0.01</v>
      </c>
    </row>
    <row r="5194" spans="1:10" x14ac:dyDescent="0.3">
      <c r="A5194" t="str">
        <f>HYPERLINK("https://us2.cloudbeds.com/connect/10074733072513#/reservations/31728225951891?display=MXFXNHUXH&amp;reservation_id=31728225951891", "MXFXNHUXH")</f>
        <v>MXFXNHUXH</v>
      </c>
      <c r="B5194" t="s">
        <v>10</v>
      </c>
      <c r="C5194" t="s">
        <v>121</v>
      </c>
      <c r="D5194" t="str">
        <f>HYPERLINK("https://us2.cloudbeds.com/connect/10074733072513#/reservations/31728225951891?display=Jeffery%20Jankord&amp;reservation_id=31728225951891&amp;guest_id=31728225947810", "Jeffery Jankord")</f>
        <v>Jeffery Jankord</v>
      </c>
      <c r="E5194" t="s">
        <v>10685</v>
      </c>
      <c r="F5194" t="s">
        <v>10391</v>
      </c>
      <c r="G5194">
        <v>134.1</v>
      </c>
      <c r="H5194">
        <v>145.76</v>
      </c>
      <c r="I5194">
        <v>145.77000000000001</v>
      </c>
      <c r="J5194">
        <v>-0.01</v>
      </c>
    </row>
    <row r="5195" spans="1:10" x14ac:dyDescent="0.3">
      <c r="A5195" t="str">
        <f>HYPERLINK("https://us2.cloudbeds.com/connect/10074733072513#/reservations/31728204501173?display=MXFX5F0UP&amp;reservation_id=31728204501173", "MXFX5F0UP")</f>
        <v>MXFX5F0UP</v>
      </c>
      <c r="B5195" t="s">
        <v>10</v>
      </c>
      <c r="C5195" t="s">
        <v>42</v>
      </c>
      <c r="D5195" t="str">
        <f>HYPERLINK("https://us2.cloudbeds.com/connect/10074733072513#/reservations/31728204501173?display=Stephanie%20Scott&amp;reservation_id=31728204501173&amp;guest_id=31728204501169", "Stephanie Scott")</f>
        <v>Stephanie Scott</v>
      </c>
      <c r="E5195" t="s">
        <v>10686</v>
      </c>
      <c r="F5195" t="s">
        <v>10391</v>
      </c>
      <c r="G5195">
        <v>134.1</v>
      </c>
      <c r="H5195">
        <v>145.76</v>
      </c>
      <c r="I5195">
        <v>145.77000000000001</v>
      </c>
      <c r="J5195">
        <v>-0.01</v>
      </c>
    </row>
    <row r="5196" spans="1:10" x14ac:dyDescent="0.3">
      <c r="A5196" t="str">
        <f>HYPERLINK("https://us2.cloudbeds.com/connect/10074733072513#/reservations/31714445357234?display=MX4TJCXM1&amp;reservation_id=31714445357234", "MX4TJCXM1")</f>
        <v>MX4TJCXM1</v>
      </c>
      <c r="B5196" t="s">
        <v>10</v>
      </c>
      <c r="C5196" t="s">
        <v>23</v>
      </c>
      <c r="D5196" t="str">
        <f>HYPERLINK("https://us2.cloudbeds.com/connect/10074733072513#/reservations/31714445357234?display=Devera%20Warner&amp;reservation_id=31714445357234&amp;guest_id=31714445357231", "Devera Warner")</f>
        <v>Devera Warner</v>
      </c>
      <c r="E5196" t="s">
        <v>10694</v>
      </c>
      <c r="F5196" t="s">
        <v>10695</v>
      </c>
      <c r="G5196">
        <v>288.2</v>
      </c>
      <c r="H5196">
        <v>313.26</v>
      </c>
      <c r="I5196">
        <v>313.27</v>
      </c>
      <c r="J5196">
        <v>-0.01</v>
      </c>
    </row>
    <row r="5197" spans="1:10" x14ac:dyDescent="0.3">
      <c r="A5197" t="str">
        <f>HYPERLINK("https://us2.cloudbeds.com/connect/10074733072513#/reservations/31726501183691?display=MXE7Y5NCG&amp;reservation_id=31726501183691", "MXE7Y5NCG")</f>
        <v>MXE7Y5NCG</v>
      </c>
      <c r="B5197" t="s">
        <v>10</v>
      </c>
      <c r="C5197" t="s">
        <v>121</v>
      </c>
      <c r="D5197" t="str">
        <f>HYPERLINK("https://us2.cloudbeds.com/connect/10074733072513#/reservations/31726501183691?display=Judson%20Maggert&amp;reservation_id=31726501183691&amp;guest_id=31683113152731", "Judson Maggert")</f>
        <v>Judson Maggert</v>
      </c>
      <c r="E5197" t="s">
        <v>7072</v>
      </c>
      <c r="F5197" t="s">
        <v>10402</v>
      </c>
      <c r="G5197">
        <v>250.2</v>
      </c>
      <c r="H5197">
        <v>271.95999999999998</v>
      </c>
      <c r="I5197">
        <v>271.97000000000003</v>
      </c>
      <c r="J5197">
        <v>-0.01</v>
      </c>
    </row>
    <row r="5198" spans="1:10" x14ac:dyDescent="0.3">
      <c r="A5198" t="str">
        <f>HYPERLINK("https://us2.cloudbeds.com/connect/10074733072513#/reservations/31727128051845?display=MXENYP7T5&amp;reservation_id=31727128051845", "MXENYP7T5")</f>
        <v>MXENYP7T5</v>
      </c>
      <c r="B5198" t="s">
        <v>10</v>
      </c>
      <c r="C5198" t="s">
        <v>11</v>
      </c>
      <c r="D5198" t="str">
        <f>HYPERLINK("https://us2.cloudbeds.com/connect/10074733072513#/reservations/31727128051845?display=Toni%20Davey&amp;reservation_id=31727128051845&amp;guest_id=31727128051842", "Toni Davey")</f>
        <v>Toni Davey</v>
      </c>
      <c r="E5198" t="s">
        <v>10701</v>
      </c>
      <c r="F5198" t="s">
        <v>10026</v>
      </c>
      <c r="G5198">
        <v>208.6</v>
      </c>
      <c r="H5198">
        <v>226.74</v>
      </c>
      <c r="I5198">
        <v>226.75</v>
      </c>
      <c r="J5198">
        <v>-0.01</v>
      </c>
    </row>
    <row r="5199" spans="1:10" x14ac:dyDescent="0.3">
      <c r="A5199" t="str">
        <f>HYPERLINK("https://us2.cloudbeds.com/connect/10074733072513#/reservations/31721002873073?display=MX9W4S3Y7&amp;reservation_id=31721002873073", "MX9W4S3Y7")</f>
        <v>MX9W4S3Y7</v>
      </c>
      <c r="B5199" t="s">
        <v>10</v>
      </c>
      <c r="C5199" t="s">
        <v>42</v>
      </c>
      <c r="D5199" t="str">
        <f>HYPERLINK("https://us2.cloudbeds.com/connect/10074733072513#/reservations/31721002873073?display=Pam%20Williams&amp;reservation_id=31721002873073&amp;guest_id=31720993955992", "Pam Williams")</f>
        <v>Pam Williams</v>
      </c>
      <c r="E5199" t="s">
        <v>10703</v>
      </c>
      <c r="F5199" t="s">
        <v>9740</v>
      </c>
      <c r="G5199">
        <v>170.1</v>
      </c>
      <c r="H5199">
        <v>184.89</v>
      </c>
      <c r="I5199">
        <v>184.9</v>
      </c>
      <c r="J5199">
        <v>-0.01</v>
      </c>
    </row>
    <row r="5200" spans="1:10" x14ac:dyDescent="0.3">
      <c r="A5200" t="str">
        <f>HYPERLINK("https://us2.cloudbeds.com/connect/10074733072513#/reservations/31725862670530?display=MXDZAP4XR&amp;reservation_id=31725862670530", "MXDZAP4XR")</f>
        <v>MXDZAP4XR</v>
      </c>
      <c r="B5200" t="s">
        <v>10</v>
      </c>
      <c r="C5200" t="s">
        <v>11</v>
      </c>
      <c r="D5200" t="str">
        <f>HYPERLINK("https://us2.cloudbeds.com/connect/10074733072513#/reservations/31725862670530?display=Herman%20Brand&amp;reservation_id=31725862670530&amp;guest_id=31725862666436", "Herman Brand")</f>
        <v>Herman Brand</v>
      </c>
      <c r="E5200" t="s">
        <v>10733</v>
      </c>
      <c r="F5200" t="s">
        <v>10599</v>
      </c>
      <c r="G5200">
        <v>183.06</v>
      </c>
      <c r="H5200">
        <v>198.98</v>
      </c>
      <c r="I5200">
        <v>198.99</v>
      </c>
      <c r="J5200">
        <v>-0.01</v>
      </c>
    </row>
    <row r="5201" spans="1:10" x14ac:dyDescent="0.3">
      <c r="A5201" t="str">
        <f>HYPERLINK("https://us2.cloudbeds.com/connect/10074733072513#/reservations/31726879387859?display=MXEHA2Q9S&amp;reservation_id=31726879387859", "MXEHA2Q9S")</f>
        <v>MXEHA2Q9S</v>
      </c>
      <c r="B5201" t="s">
        <v>10</v>
      </c>
      <c r="C5201" t="s">
        <v>14</v>
      </c>
      <c r="D5201" t="str">
        <f>HYPERLINK("https://us2.cloudbeds.com/connect/10074733072513#/reservations/31726879387859?display=Jillian%20Vaccarella&amp;reservation_id=31726879387859&amp;guest_id=31726879387843", "Jillian Vaccarella")</f>
        <v>Jillian Vaccarella</v>
      </c>
      <c r="E5201" t="s">
        <v>10740</v>
      </c>
      <c r="F5201" t="s">
        <v>7649</v>
      </c>
      <c r="G5201">
        <v>571.94000000000005</v>
      </c>
      <c r="H5201">
        <v>621.69000000000005</v>
      </c>
      <c r="I5201">
        <v>621.70000000000005</v>
      </c>
      <c r="J5201">
        <v>-0.01</v>
      </c>
    </row>
    <row r="5202" spans="1:10" x14ac:dyDescent="0.3">
      <c r="A5202" t="str">
        <f>HYPERLINK("https://us2.cloudbeds.com/connect/10074733072513#/reservations/31725508677831?display=MXDF98PDB&amp;reservation_id=31725508677831", "MXDF98PDB")</f>
        <v>MXDF98PDB</v>
      </c>
      <c r="B5202" t="s">
        <v>10</v>
      </c>
      <c r="C5202" t="s">
        <v>11</v>
      </c>
      <c r="D5202" t="str">
        <f>HYPERLINK("https://us2.cloudbeds.com/connect/10074733072513#/reservations/31725508677831?display=Oscar%20A%20Palma&amp;reservation_id=31725508677831&amp;guest_id=31725508673784", "Oscar A Palma")</f>
        <v>Oscar A Palma</v>
      </c>
      <c r="E5202" t="s">
        <v>10760</v>
      </c>
      <c r="F5202" t="s">
        <v>9717</v>
      </c>
      <c r="G5202">
        <v>154.24</v>
      </c>
      <c r="H5202">
        <v>167.65</v>
      </c>
      <c r="I5202">
        <v>167.66</v>
      </c>
      <c r="J5202">
        <v>-0.01</v>
      </c>
    </row>
    <row r="5203" spans="1:10" x14ac:dyDescent="0.3">
      <c r="A5203" t="str">
        <f>HYPERLINK("https://us2.cloudbeds.com/connect/10074733072513#/reservations/31727824511231?display=MXF8F1861&amp;reservation_id=31727824511231", "MXF8F1861")</f>
        <v>MXF8F1861</v>
      </c>
      <c r="B5203" t="s">
        <v>10</v>
      </c>
      <c r="C5203" t="s">
        <v>42</v>
      </c>
      <c r="D5203" t="str">
        <f>HYPERLINK("https://us2.cloudbeds.com/connect/10074733072513#/reservations/31727824511231?display=Lonny%20Bartling&amp;reservation_id=31727824511231&amp;guest_id=31714633990340", "Lonny Bartling")</f>
        <v>Lonny Bartling</v>
      </c>
      <c r="E5203" t="s">
        <v>10764</v>
      </c>
      <c r="F5203" t="s">
        <v>10411</v>
      </c>
      <c r="G5203">
        <v>380.8</v>
      </c>
      <c r="H5203">
        <v>413.92</v>
      </c>
      <c r="I5203">
        <v>413.93</v>
      </c>
      <c r="J5203">
        <v>-0.01</v>
      </c>
    </row>
    <row r="5204" spans="1:10" x14ac:dyDescent="0.3">
      <c r="A5204" t="str">
        <f>HYPERLINK("https://us2.cloudbeds.com/connect/10074733072513#/reservations/31727002419362?display=MXEKERAT7&amp;reservation_id=31727002419362", "MXEKERAT7")</f>
        <v>MXEKERAT7</v>
      </c>
      <c r="B5204" t="s">
        <v>10</v>
      </c>
      <c r="C5204" t="s">
        <v>20</v>
      </c>
      <c r="D5204" t="str">
        <f>HYPERLINK("https://us2.cloudbeds.com/connect/10074733072513#/reservations/31727002419362?display=Barbara%20Drees&amp;reservation_id=31727002419362&amp;guest_id=31727002419360", "Barbara Drees")</f>
        <v>Barbara Drees</v>
      </c>
      <c r="E5204" t="s">
        <v>10781</v>
      </c>
      <c r="F5204" t="s">
        <v>10555</v>
      </c>
      <c r="G5204">
        <v>134.1</v>
      </c>
      <c r="H5204">
        <v>145.76</v>
      </c>
      <c r="I5204">
        <v>145.77000000000001</v>
      </c>
      <c r="J5204">
        <v>-0.01</v>
      </c>
    </row>
    <row r="5205" spans="1:10" x14ac:dyDescent="0.3">
      <c r="A5205" t="str">
        <f>HYPERLINK("https://us2.cloudbeds.com/connect/10074733072513#/reservations/31724298637460?display=MXCHBUK7A&amp;reservation_id=31724298637460", "MXCHBUK7A")</f>
        <v>MXCHBUK7A</v>
      </c>
      <c r="B5205" t="s">
        <v>10</v>
      </c>
      <c r="C5205" t="s">
        <v>42</v>
      </c>
      <c r="D5205" t="str">
        <f>HYPERLINK("https://us2.cloudbeds.com/connect/10074733072513#/reservations/31724298637460?display=Alison%20Ammon&amp;reservation_id=31724298637460&amp;guest_id=31718780616953", "Alison Ammon")</f>
        <v>Alison Ammon</v>
      </c>
      <c r="E5205" t="s">
        <v>10791</v>
      </c>
      <c r="F5205" t="s">
        <v>10792</v>
      </c>
      <c r="G5205">
        <v>375.3</v>
      </c>
      <c r="H5205">
        <v>407.94</v>
      </c>
      <c r="I5205">
        <v>407.95</v>
      </c>
      <c r="J5205">
        <v>-0.01</v>
      </c>
    </row>
    <row r="5206" spans="1:10" x14ac:dyDescent="0.3">
      <c r="A5206" t="str">
        <f>HYPERLINK("https://us2.cloudbeds.com/connect/10074733072513#/reservations/31726988812520?display=MXEK3BN2M&amp;reservation_id=31726988812520", "MXEK3BN2M")</f>
        <v>MXEK3BN2M</v>
      </c>
      <c r="B5206" t="s">
        <v>10</v>
      </c>
      <c r="C5206" t="s">
        <v>42</v>
      </c>
      <c r="D5206" t="str">
        <f>HYPERLINK("https://us2.cloudbeds.com/connect/10074733072513#/reservations/31726988812520?display=Duane%20Christensen&amp;reservation_id=31726988812520&amp;guest_id=31726974419148", "Duane Christensen")</f>
        <v>Duane Christensen</v>
      </c>
      <c r="E5206" t="s">
        <v>10793</v>
      </c>
      <c r="F5206" t="s">
        <v>10555</v>
      </c>
      <c r="G5206">
        <v>134.1</v>
      </c>
      <c r="H5206">
        <v>145.76</v>
      </c>
      <c r="I5206">
        <v>145.77000000000001</v>
      </c>
      <c r="J5206">
        <v>-0.01</v>
      </c>
    </row>
    <row r="5207" spans="1:10" x14ac:dyDescent="0.3">
      <c r="A5207" t="str">
        <f>HYPERLINK("https://us2.cloudbeds.com/connect/10074733072513#/reservations/31727782351031?display=MXF7CG2J7&amp;reservation_id=31727782351031", "MXF7CG2J7")</f>
        <v>MXF7CG2J7</v>
      </c>
      <c r="B5207" t="s">
        <v>10</v>
      </c>
      <c r="C5207" t="s">
        <v>42</v>
      </c>
      <c r="D5207" t="str">
        <f>HYPERLINK("https://us2.cloudbeds.com/connect/10074733072513#/reservations/31727782351031?display=Joyce%20Fortin&amp;reservation_id=31727782351031&amp;guest_id=31685161160902", "Joyce Fortin")</f>
        <v>Joyce Fortin</v>
      </c>
      <c r="E5207" t="s">
        <v>8487</v>
      </c>
      <c r="F5207" t="s">
        <v>10411</v>
      </c>
      <c r="G5207">
        <v>134.1</v>
      </c>
      <c r="H5207">
        <v>145.76</v>
      </c>
      <c r="I5207">
        <v>145.77000000000001</v>
      </c>
      <c r="J5207">
        <v>-0.01</v>
      </c>
    </row>
    <row r="5208" spans="1:10" x14ac:dyDescent="0.3">
      <c r="A5208" t="str">
        <f>HYPERLINK("https://us2.cloudbeds.com/connect/10074733072513#/reservations/31727971045560?display=MXFC6JPQ8&amp;reservation_id=31727971045560", "MXFC6JPQ8")</f>
        <v>MXFC6JPQ8</v>
      </c>
      <c r="B5208" t="s">
        <v>10</v>
      </c>
      <c r="C5208" t="s">
        <v>121</v>
      </c>
      <c r="D5208" t="str">
        <f>HYPERLINK("https://us2.cloudbeds.com/connect/10074733072513#/reservations/31727971045560?display=Lisa%20Schloeder&amp;reservation_id=31727971045560&amp;guest_id=31727971045544", "Lisa Schloeder")</f>
        <v>Lisa Schloeder</v>
      </c>
      <c r="E5208" t="s">
        <v>10798</v>
      </c>
      <c r="F5208" t="s">
        <v>10555</v>
      </c>
      <c r="G5208">
        <v>134.1</v>
      </c>
      <c r="H5208">
        <v>145.76</v>
      </c>
      <c r="I5208">
        <v>145.77000000000001</v>
      </c>
      <c r="J5208">
        <v>-0.01</v>
      </c>
    </row>
    <row r="5209" spans="1:10" x14ac:dyDescent="0.3">
      <c r="A5209" t="str">
        <f>HYPERLINK("https://us2.cloudbeds.com/connect/10074733072513#/reservations/31727801286808?display=MXF7SEWQY&amp;reservation_id=31727801286808", "MXF7SEWQY")</f>
        <v>MXF7SEWQY</v>
      </c>
      <c r="B5209" t="s">
        <v>10</v>
      </c>
      <c r="C5209" t="s">
        <v>121</v>
      </c>
      <c r="D5209" t="str">
        <f>HYPERLINK("https://us2.cloudbeds.com/connect/10074733072513#/reservations/31727801286808?display=Rickey%20Henderson&amp;reservation_id=31727801286808&amp;guest_id=31727801286806", "Rickey Henderson")</f>
        <v>Rickey Henderson</v>
      </c>
      <c r="E5209" t="s">
        <v>10803</v>
      </c>
      <c r="F5209" t="s">
        <v>10411</v>
      </c>
      <c r="G5209">
        <v>134.1</v>
      </c>
      <c r="H5209">
        <v>145.76</v>
      </c>
      <c r="I5209">
        <v>145.77000000000001</v>
      </c>
      <c r="J5209">
        <v>-0.01</v>
      </c>
    </row>
    <row r="5210" spans="1:10" x14ac:dyDescent="0.3">
      <c r="A5210" t="str">
        <f>HYPERLINK("https://us2.cloudbeds.com/connect/10074733072513#/reservations/31726852595897?display=MXEGKG8V7&amp;reservation_id=31726852595897", "MXEGKG8V7")</f>
        <v>MXEGKG8V7</v>
      </c>
      <c r="B5210" t="s">
        <v>10</v>
      </c>
      <c r="C5210" t="s">
        <v>11</v>
      </c>
      <c r="D5210" t="str">
        <f>HYPERLINK("https://us2.cloudbeds.com/connect/10074733072513#/reservations/31726852595897?display=Teri%20Vankooten&amp;reservation_id=31726852595897&amp;guest_id=31726852595842", "Teri Vankooten")</f>
        <v>Teri Vankooten</v>
      </c>
      <c r="E5210" t="s">
        <v>10805</v>
      </c>
      <c r="F5210" t="s">
        <v>7649</v>
      </c>
      <c r="G5210">
        <v>264.2</v>
      </c>
      <c r="H5210">
        <v>287.18</v>
      </c>
      <c r="I5210">
        <v>287.19</v>
      </c>
      <c r="J5210">
        <v>-0.01</v>
      </c>
    </row>
    <row r="5211" spans="1:10" x14ac:dyDescent="0.3">
      <c r="A5211" t="str">
        <f>HYPERLINK("https://us2.cloudbeds.com/connect/10074733072513#/reservations/31727943069827?display=MXFBG0ADP&amp;reservation_id=31727943069827", "MXFBG0ADP")</f>
        <v>MXFBG0ADP</v>
      </c>
      <c r="B5211" t="s">
        <v>10</v>
      </c>
      <c r="C5211" t="s">
        <v>42</v>
      </c>
      <c r="D5211" t="str">
        <f>HYPERLINK("https://us2.cloudbeds.com/connect/10074733072513#/reservations/31727943069827?display=Grayson%20Jansen&amp;reservation_id=31727943069827&amp;guest_id=31727943065736", "Grayson Jansen")</f>
        <v>Grayson Jansen</v>
      </c>
      <c r="E5211" t="s">
        <v>10807</v>
      </c>
      <c r="F5211" t="s">
        <v>10411</v>
      </c>
      <c r="G5211">
        <v>134.1</v>
      </c>
      <c r="H5211">
        <v>145.76</v>
      </c>
      <c r="I5211">
        <v>145.77000000000001</v>
      </c>
      <c r="J5211">
        <v>-0.01</v>
      </c>
    </row>
    <row r="5212" spans="1:10" x14ac:dyDescent="0.3">
      <c r="A5212" t="str">
        <f>HYPERLINK("https://us2.cloudbeds.com/connect/10074733072513#/reservations/31726947746015?display=MXEJ1NVQ4&amp;reservation_id=31726947746015", "MXEJ1NVQ4")</f>
        <v>MXEJ1NVQ4</v>
      </c>
      <c r="B5212" t="s">
        <v>10</v>
      </c>
      <c r="C5212" t="s">
        <v>42</v>
      </c>
      <c r="D5212" t="str">
        <f>HYPERLINK("https://us2.cloudbeds.com/connect/10074733072513#/reservations/31726947746015?display=Matthew%20Schere&amp;reservation_id=31726947746015&amp;guest_id=31726942765305", "Matthew Schere")</f>
        <v>Matthew Schere</v>
      </c>
      <c r="E5212" t="s">
        <v>10808</v>
      </c>
      <c r="F5212" t="s">
        <v>7649</v>
      </c>
      <c r="G5212">
        <v>304.2</v>
      </c>
      <c r="H5212">
        <v>330.66</v>
      </c>
      <c r="I5212">
        <v>330.67</v>
      </c>
      <c r="J5212">
        <v>-0.01</v>
      </c>
    </row>
    <row r="5213" spans="1:10" x14ac:dyDescent="0.3">
      <c r="A5213" t="str">
        <f>HYPERLINK("https://us2.cloudbeds.com/connect/10074733072513#/reservations/31718063509716?display=MX7N19WZB&amp;reservation_id=31718063509716", "MX7N19WZB")</f>
        <v>MX7N19WZB</v>
      </c>
      <c r="B5213" t="s">
        <v>10</v>
      </c>
      <c r="C5213" t="s">
        <v>20</v>
      </c>
      <c r="D5213" t="str">
        <f>HYPERLINK("https://us2.cloudbeds.com/connect/10074733072513#/reservations/31718063509716?display=Haley%20Asmus&amp;reservation_id=31718063509716&amp;guest_id=31718063505613", "Haley Asmus")</f>
        <v>Haley Asmus</v>
      </c>
      <c r="E5213" t="s">
        <v>10811</v>
      </c>
      <c r="F5213" t="s">
        <v>9467</v>
      </c>
      <c r="G5213">
        <v>268.2</v>
      </c>
      <c r="H5213">
        <v>291.52</v>
      </c>
      <c r="I5213">
        <v>291.52999999999997</v>
      </c>
      <c r="J5213">
        <v>-0.01</v>
      </c>
    </row>
    <row r="5214" spans="1:10" x14ac:dyDescent="0.3">
      <c r="A5214" t="str">
        <f>HYPERLINK("https://us2.cloudbeds.com/connect/10074733072513#/reservations/31727239905408?display=MXEQ5V528&amp;reservation_id=31727239905408", "MXEQ5V528")</f>
        <v>MXEQ5V528</v>
      </c>
      <c r="B5214" t="s">
        <v>10</v>
      </c>
      <c r="C5214" t="s">
        <v>42</v>
      </c>
      <c r="D5214" t="str">
        <f>HYPERLINK("https://us2.cloudbeds.com/connect/10074733072513#/reservations/31727239905408?display=Diane%20Reid&amp;reservation_id=31727239905408&amp;guest_id=31713887355101", "Diane Reid")</f>
        <v>Diane Reid</v>
      </c>
      <c r="E5214" t="s">
        <v>10814</v>
      </c>
      <c r="F5214" t="s">
        <v>10815</v>
      </c>
      <c r="G5214">
        <v>250.2</v>
      </c>
      <c r="H5214">
        <v>271.95999999999998</v>
      </c>
      <c r="I5214">
        <v>271.97000000000003</v>
      </c>
      <c r="J5214">
        <v>-0.01</v>
      </c>
    </row>
    <row r="5215" spans="1:10" x14ac:dyDescent="0.3">
      <c r="A5215" t="str">
        <f>HYPERLINK("https://us2.cloudbeds.com/connect/10074733072513#/reservations/31714274947236?display=MX4P7MYYN&amp;reservation_id=31714274947236", "MX4P7MYYN")</f>
        <v>MX4P7MYYN</v>
      </c>
      <c r="B5215" t="s">
        <v>10</v>
      </c>
      <c r="C5215" t="s">
        <v>23</v>
      </c>
      <c r="D5215" t="str">
        <f>HYPERLINK("https://us2.cloudbeds.com/connect/10074733072513#/reservations/31714274947236?display=Shanda%20Davis&amp;reservation_id=31714274947236&amp;guest_id=31714261151936", "Shanda Davis")</f>
        <v>Shanda Davis</v>
      </c>
      <c r="E5215" t="s">
        <v>10832</v>
      </c>
      <c r="F5215" t="s">
        <v>10250</v>
      </c>
      <c r="G5215">
        <v>412.2</v>
      </c>
      <c r="H5215">
        <v>448.05</v>
      </c>
      <c r="I5215">
        <v>448.06</v>
      </c>
      <c r="J5215">
        <v>-0.01</v>
      </c>
    </row>
    <row r="5216" spans="1:10" x14ac:dyDescent="0.3">
      <c r="A5216" t="str">
        <f>HYPERLINK("https://us2.cloudbeds.com/connect/10074733072513#/reservations/31719215124651?display=MX8JFCCCK&amp;reservation_id=31719215124651", "MX8JFCCCK")</f>
        <v>MX8JFCCCK</v>
      </c>
      <c r="B5216" t="s">
        <v>10</v>
      </c>
      <c r="C5216" t="s">
        <v>11</v>
      </c>
      <c r="D5216" t="str">
        <f>HYPERLINK("https://us2.cloudbeds.com/connect/10074733072513#/reservations/31719215124651?display=Ian%20Wood&amp;reservation_id=31719215124651&amp;guest_id=31719204982986", "Ian Wood")</f>
        <v>Ian Wood</v>
      </c>
      <c r="E5216" t="s">
        <v>10833</v>
      </c>
      <c r="F5216" t="s">
        <v>10788</v>
      </c>
      <c r="G5216">
        <v>268.2</v>
      </c>
      <c r="H5216">
        <v>291.52</v>
      </c>
      <c r="I5216">
        <v>291.52999999999997</v>
      </c>
      <c r="J5216">
        <v>-0.01</v>
      </c>
    </row>
    <row r="5217" spans="1:10" x14ac:dyDescent="0.3">
      <c r="A5217" t="str">
        <f>HYPERLINK("https://us2.cloudbeds.com/connect/10074733072513#/reservations/31725688111343?display=MXDJSXPFG&amp;reservation_id=31725688111343", "MXDJSXPFG")</f>
        <v>MXDJSXPFG</v>
      </c>
      <c r="B5217" t="s">
        <v>10</v>
      </c>
      <c r="C5217" t="s">
        <v>121</v>
      </c>
      <c r="D5217" t="str">
        <f>HYPERLINK("https://us2.cloudbeds.com/connect/10074733072513#/reservations/31725688111343?display=Brian%20Waldner&amp;reservation_id=31725688111343&amp;guest_id=31725688111341", "Brian Waldner")</f>
        <v>Brian Waldner</v>
      </c>
      <c r="E5217" t="s">
        <v>10835</v>
      </c>
      <c r="F5217" t="s">
        <v>8429</v>
      </c>
      <c r="G5217">
        <v>268.2</v>
      </c>
      <c r="H5217">
        <v>291.52</v>
      </c>
      <c r="I5217">
        <v>291.52999999999997</v>
      </c>
      <c r="J5217">
        <v>-0.01</v>
      </c>
    </row>
    <row r="5218" spans="1:10" x14ac:dyDescent="0.3">
      <c r="A5218" t="str">
        <f>HYPERLINK("https://us2.cloudbeds.com/connect/10074733072513#/reservations/31722284548296?display=MXAVTJK7B&amp;reservation_id=31722284548296", "MXAVTJK7B")</f>
        <v>MXAVTJK7B</v>
      </c>
      <c r="B5218" t="s">
        <v>10</v>
      </c>
      <c r="C5218" t="s">
        <v>20</v>
      </c>
      <c r="D5218" t="str">
        <f>HYPERLINK("https://us2.cloudbeds.com/connect/10074733072513#/reservations/31722284548296?display=Keith%20Isachsen&amp;reservation_id=31722284548296&amp;guest_id=31722284544250", "Keith Isachsen")</f>
        <v>Keith Isachsen</v>
      </c>
      <c r="E5218" t="s">
        <v>10845</v>
      </c>
      <c r="F5218" t="s">
        <v>10788</v>
      </c>
      <c r="G5218">
        <v>134.1</v>
      </c>
      <c r="H5218">
        <v>145.76</v>
      </c>
      <c r="I5218">
        <v>145.77000000000001</v>
      </c>
      <c r="J5218">
        <v>-0.01</v>
      </c>
    </row>
    <row r="5219" spans="1:10" x14ac:dyDescent="0.3">
      <c r="A5219" t="str">
        <f>HYPERLINK("https://us2.cloudbeds.com/connect/10074733072513#/reservations/31725595164869?display=MXDHG6D5M&amp;reservation_id=31725595164869", "MXDHG6D5M")</f>
        <v>MXDHG6D5M</v>
      </c>
      <c r="B5219" t="s">
        <v>10</v>
      </c>
      <c r="C5219" t="s">
        <v>11</v>
      </c>
      <c r="D5219" t="str">
        <f>HYPERLINK("https://us2.cloudbeds.com/connect/10074733072513#/reservations/31725595164869?display=Issa%20Barakat&amp;reservation_id=31725595164869&amp;guest_id=31725586800872", "Issa Barakat")</f>
        <v>Issa Barakat</v>
      </c>
      <c r="E5219" t="s">
        <v>10848</v>
      </c>
      <c r="F5219" t="s">
        <v>10026</v>
      </c>
      <c r="G5219">
        <v>208.6</v>
      </c>
      <c r="H5219">
        <v>226.74</v>
      </c>
      <c r="I5219">
        <v>226.75</v>
      </c>
      <c r="J5219">
        <v>-0.01</v>
      </c>
    </row>
    <row r="5220" spans="1:10" x14ac:dyDescent="0.3">
      <c r="A5220" t="str">
        <f>HYPERLINK("https://us2.cloudbeds.com/connect/10074733072513#/reservations/31727065297148?display=MXEM1RWTM&amp;reservation_id=31727065297148", "MXEM1RWTM")</f>
        <v>MXEM1RWTM</v>
      </c>
      <c r="B5220" t="s">
        <v>10</v>
      </c>
      <c r="C5220" t="s">
        <v>11</v>
      </c>
      <c r="D5220" t="str">
        <f>HYPERLINK("https://us2.cloudbeds.com/connect/10074733072513#/reservations/31727065297148?display=Issa%20Barakat&amp;reservation_id=31727065297148&amp;guest_id=31727054876833", "Issa Barakat")</f>
        <v>Issa Barakat</v>
      </c>
      <c r="E5220" t="s">
        <v>10853</v>
      </c>
      <c r="F5220" t="s">
        <v>10026</v>
      </c>
      <c r="G5220">
        <v>208.6</v>
      </c>
      <c r="H5220">
        <v>226.74</v>
      </c>
      <c r="I5220">
        <v>226.75</v>
      </c>
      <c r="J5220">
        <v>-0.01</v>
      </c>
    </row>
    <row r="5221" spans="1:10" x14ac:dyDescent="0.3">
      <c r="A5221" t="str">
        <f>HYPERLINK("https://us2.cloudbeds.com/connect/10074733072513#/reservations/31717647241380?display=MX7CD9NGB&amp;reservation_id=31717647241380", "MX7CD9NGB")</f>
        <v>MX7CD9NGB</v>
      </c>
      <c r="B5221" t="s">
        <v>10</v>
      </c>
      <c r="C5221" t="s">
        <v>11</v>
      </c>
      <c r="D5221" t="str">
        <f>HYPERLINK("https://us2.cloudbeds.com/connect/10074733072513#/reservations/31717647241380?display=Roy%20Sorter&amp;reservation_id=31717647241380&amp;guest_id=31717647241377", "Roy Sorter")</f>
        <v>Roy Sorter</v>
      </c>
      <c r="E5221" t="s">
        <v>10878</v>
      </c>
      <c r="F5221" t="s">
        <v>10821</v>
      </c>
      <c r="G5221">
        <v>264.2</v>
      </c>
      <c r="H5221">
        <v>287.18</v>
      </c>
      <c r="I5221">
        <v>287.19</v>
      </c>
      <c r="J5221">
        <v>-0.01</v>
      </c>
    </row>
    <row r="5222" spans="1:10" x14ac:dyDescent="0.3">
      <c r="A5222" t="str">
        <f>HYPERLINK("https://us2.cloudbeds.com/connect/10074733072513#/reservations/31724937912453?display=MXD0MWCJQ&amp;reservation_id=31724937912453", "MXD0MWCJQ")</f>
        <v>MXD0MWCJQ</v>
      </c>
      <c r="B5222" t="s">
        <v>10</v>
      </c>
      <c r="C5222" t="s">
        <v>11</v>
      </c>
      <c r="D5222" t="str">
        <f>HYPERLINK("https://us2.cloudbeds.com/connect/10074733072513#/reservations/31724937912453?display=Benjamin%20Thiesse&amp;reservation_id=31724937912453&amp;guest_id=31724937912448", "Benjamin Thiesse")</f>
        <v>Benjamin Thiesse</v>
      </c>
      <c r="E5222" t="s">
        <v>10893</v>
      </c>
      <c r="F5222" t="s">
        <v>10894</v>
      </c>
      <c r="G5222">
        <v>103.2</v>
      </c>
      <c r="H5222">
        <v>112.17</v>
      </c>
      <c r="I5222">
        <v>112.18</v>
      </c>
      <c r="J5222">
        <v>-0.01</v>
      </c>
    </row>
    <row r="5223" spans="1:10" x14ac:dyDescent="0.3">
      <c r="A5223" t="str">
        <f>HYPERLINK("https://us2.cloudbeds.com/connect/10074733072513#/reservations/31726035214489?display=MXDSZ8E4Y&amp;reservation_id=31726035214489", "MXDSZ8E4Y")</f>
        <v>MXDSZ8E4Y</v>
      </c>
      <c r="B5223" t="s">
        <v>10</v>
      </c>
      <c r="C5223" t="s">
        <v>23</v>
      </c>
      <c r="D5223" t="str">
        <f>HYPERLINK("https://us2.cloudbeds.com/connect/10074733072513#/reservations/31726035214489?display=Michelle%20Yang&amp;reservation_id=31726035214489&amp;guest_id=31726035214486", "Michelle Yang")</f>
        <v>Michelle Yang</v>
      </c>
      <c r="E5223" t="s">
        <v>10896</v>
      </c>
      <c r="F5223" t="s">
        <v>10897</v>
      </c>
      <c r="G5223">
        <v>143.65</v>
      </c>
      <c r="H5223">
        <v>156.13999999999999</v>
      </c>
      <c r="I5223">
        <v>156.15</v>
      </c>
      <c r="J5223">
        <v>-0.01</v>
      </c>
    </row>
    <row r="5224" spans="1:10" x14ac:dyDescent="0.3">
      <c r="A5224" t="str">
        <f>HYPERLINK("https://us2.cloudbeds.com/connect/10074733072513#/reservations/31722622185636?display=MXB7H9SMT&amp;reservation_id=31722622185636", "MXB7H9SMT")</f>
        <v>MXB7H9SMT</v>
      </c>
      <c r="B5224" t="s">
        <v>10</v>
      </c>
      <c r="C5224" t="s">
        <v>14</v>
      </c>
      <c r="D5224" t="str">
        <f>HYPERLINK("https://us2.cloudbeds.com/connect/10074733072513#/reservations/31722622185636?display=Breanna%20Regan&amp;reservation_id=31722622185636&amp;guest_id=31722622185633", "Breanna Regan")</f>
        <v>Breanna Regan</v>
      </c>
      <c r="E5224" t="s">
        <v>10898</v>
      </c>
      <c r="F5224" t="s">
        <v>10342</v>
      </c>
      <c r="G5224">
        <v>154.24</v>
      </c>
      <c r="H5224">
        <v>167.65</v>
      </c>
      <c r="I5224">
        <v>167.66</v>
      </c>
      <c r="J5224">
        <v>-0.01</v>
      </c>
    </row>
    <row r="5225" spans="1:10" x14ac:dyDescent="0.3">
      <c r="A5225" t="str">
        <f>HYPERLINK("https://us2.cloudbeds.com/connect/10074733072513#/reservations/31721880178835?display=MXAYXKEDA&amp;reservation_id=31721880178835", "MXAYXKEDA")</f>
        <v>MXAYXKEDA</v>
      </c>
      <c r="B5225" t="s">
        <v>10</v>
      </c>
      <c r="C5225" t="s">
        <v>42</v>
      </c>
      <c r="D5225" t="str">
        <f>HYPERLINK("https://us2.cloudbeds.com/connect/10074733072513#/reservations/31721880178835?display=Michael%20Tucci&amp;reservation_id=31721880178835&amp;guest_id=31721872818423", "Michael Tucci")</f>
        <v>Michael Tucci</v>
      </c>
      <c r="E5225" t="s">
        <v>10899</v>
      </c>
      <c r="F5225" t="s">
        <v>10288</v>
      </c>
      <c r="G5225">
        <v>250.2</v>
      </c>
      <c r="H5225">
        <v>271.95999999999998</v>
      </c>
      <c r="I5225">
        <v>271.97000000000003</v>
      </c>
      <c r="J5225">
        <v>-0.01</v>
      </c>
    </row>
    <row r="5226" spans="1:10" x14ac:dyDescent="0.3">
      <c r="A5226" t="str">
        <f>HYPERLINK("https://us2.cloudbeds.com/connect/10074733072513#/reservations/31726081839305?display=MXDTUXRFS&amp;reservation_id=31726081839305", "MXDTUXRFS")</f>
        <v>MXDTUXRFS</v>
      </c>
      <c r="B5226" t="s">
        <v>10</v>
      </c>
      <c r="C5226" t="s">
        <v>23</v>
      </c>
      <c r="D5226" t="str">
        <f>HYPERLINK("https://us2.cloudbeds.com/connect/10074733072513#/reservations/31726081839305?display=Thomas%20Keating&amp;reservation_id=31726081839305&amp;guest_id=31726075191443", "Thomas Keating")</f>
        <v>Thomas Keating</v>
      </c>
      <c r="E5226" t="s">
        <v>10896</v>
      </c>
      <c r="F5226" t="s">
        <v>10897</v>
      </c>
      <c r="G5226">
        <v>143.65</v>
      </c>
      <c r="H5226">
        <v>156.13999999999999</v>
      </c>
      <c r="I5226">
        <v>156.15</v>
      </c>
      <c r="J5226">
        <v>-0.01</v>
      </c>
    </row>
    <row r="5227" spans="1:10" x14ac:dyDescent="0.3">
      <c r="A5227" t="str">
        <f>HYPERLINK("https://us2.cloudbeds.com/connect/10074733072513#/reservations/31726022398183?display=MXDSDEQ8Z&amp;reservation_id=31726022398183", "MXDSDEQ8Z")</f>
        <v>MXDSDEQ8Z</v>
      </c>
      <c r="B5227" t="s">
        <v>10</v>
      </c>
      <c r="C5227" t="s">
        <v>23</v>
      </c>
      <c r="D5227" t="str">
        <f>HYPERLINK("https://us2.cloudbeds.com/connect/10074733072513#/reservations/31726022398183?display=Melisa%20Kittleson&amp;reservation_id=31726022398183&amp;guest_id=31726013407370", "Melisa Kittleson")</f>
        <v>Melisa Kittleson</v>
      </c>
      <c r="E5227" t="s">
        <v>10896</v>
      </c>
      <c r="F5227" t="s">
        <v>10897</v>
      </c>
      <c r="G5227">
        <v>143.65</v>
      </c>
      <c r="H5227">
        <v>156.13999999999999</v>
      </c>
      <c r="I5227">
        <v>156.15</v>
      </c>
      <c r="J5227">
        <v>-0.01</v>
      </c>
    </row>
    <row r="5228" spans="1:10" x14ac:dyDescent="0.3">
      <c r="A5228" t="str">
        <f>HYPERLINK("https://us2.cloudbeds.com/connect/10074733072513#/reservations/31725475319939?display=MXDEE4DWM&amp;reservation_id=31725475319939", "MXDEE4DWM")</f>
        <v>MXDEE4DWM</v>
      </c>
      <c r="B5228" t="s">
        <v>10</v>
      </c>
      <c r="C5228" t="s">
        <v>17</v>
      </c>
      <c r="D5228" t="str">
        <f>HYPERLINK("https://us2.cloudbeds.com/connect/10074733072513#/reservations/31725475319939?display=George%20Bruins&amp;reservation_id=31725475319939&amp;guest_id=31725475315862", "George Bruins")</f>
        <v>George Bruins</v>
      </c>
      <c r="E5228" t="s">
        <v>10903</v>
      </c>
      <c r="F5228" t="s">
        <v>10288</v>
      </c>
      <c r="G5228">
        <v>250.2</v>
      </c>
      <c r="H5228">
        <v>271.95999999999998</v>
      </c>
      <c r="I5228">
        <v>271.97000000000003</v>
      </c>
      <c r="J5228">
        <v>-0.01</v>
      </c>
    </row>
    <row r="5229" spans="1:10" x14ac:dyDescent="0.3">
      <c r="A5229" t="str">
        <f>HYPERLINK("https://us2.cloudbeds.com/connect/10074733072513#/reservations/31725359698082?display=MXDBFY67G&amp;reservation_id=31725359698082", "MXDBFY67G")</f>
        <v>MXDBFY67G</v>
      </c>
      <c r="B5229" t="s">
        <v>10</v>
      </c>
      <c r="C5229" t="s">
        <v>42</v>
      </c>
      <c r="D5229" t="str">
        <f>HYPERLINK("https://us2.cloudbeds.com/connect/10074733072513#/reservations/31725359698082?display=Dawn%20Groche&amp;reservation_id=31725359698082&amp;guest_id=31725359693997", "Dawn Groche")</f>
        <v>Dawn Groche</v>
      </c>
      <c r="E5229" t="s">
        <v>10910</v>
      </c>
      <c r="F5229" t="s">
        <v>9259</v>
      </c>
      <c r="G5229">
        <v>134.1</v>
      </c>
      <c r="H5229">
        <v>145.76</v>
      </c>
      <c r="I5229">
        <v>145.77000000000001</v>
      </c>
      <c r="J5229">
        <v>-0.01</v>
      </c>
    </row>
    <row r="5230" spans="1:10" x14ac:dyDescent="0.3">
      <c r="A5230" t="str">
        <f>HYPERLINK("https://us2.cloudbeds.com/connect/10074733072513#/reservations/31725534679265?display=MXDFV69RJ&amp;reservation_id=31725534679265", "MXDFV69RJ")</f>
        <v>MXDFV69RJ</v>
      </c>
      <c r="B5230" t="s">
        <v>10</v>
      </c>
      <c r="C5230" t="s">
        <v>14</v>
      </c>
      <c r="D5230" t="str">
        <f>HYPERLINK("https://us2.cloudbeds.com/connect/10074733072513#/reservations/31725534679265?display=Devin%20Reinke&amp;reservation_id=31725534679265&amp;guest_id=31725525332105", "Devin Reinke")</f>
        <v>Devin Reinke</v>
      </c>
      <c r="E5230" t="s">
        <v>10913</v>
      </c>
      <c r="F5230" t="s">
        <v>10288</v>
      </c>
      <c r="G5230">
        <v>122.18</v>
      </c>
      <c r="H5230">
        <v>132.80000000000001</v>
      </c>
      <c r="I5230">
        <v>132.81</v>
      </c>
      <c r="J5230">
        <v>-0.01</v>
      </c>
    </row>
    <row r="5231" spans="1:10" x14ac:dyDescent="0.3">
      <c r="A5231" t="str">
        <f>HYPERLINK("https://us2.cloudbeds.com/connect/10074733072513#/reservations/31726824763621?display=MXEFU0Q9U&amp;reservation_id=31726824763621", "MXEFU0Q9U")</f>
        <v>MXEFU0Q9U</v>
      </c>
      <c r="B5231" t="s">
        <v>10</v>
      </c>
      <c r="C5231" t="s">
        <v>42</v>
      </c>
      <c r="D5231" t="str">
        <f>HYPERLINK("https://us2.cloudbeds.com/connect/10074733072513#/reservations/31726824763621?display=Jenny%20Diede&amp;reservation_id=31726824763621&amp;guest_id=31726810898566", "Jenny Diede")</f>
        <v>Jenny Diede</v>
      </c>
      <c r="E5231" t="s">
        <v>10918</v>
      </c>
      <c r="F5231" t="s">
        <v>10288</v>
      </c>
      <c r="G5231">
        <v>250.2</v>
      </c>
      <c r="H5231">
        <v>271.95999999999998</v>
      </c>
      <c r="I5231">
        <v>271.97000000000003</v>
      </c>
      <c r="J5231">
        <v>-0.01</v>
      </c>
    </row>
    <row r="5232" spans="1:10" x14ac:dyDescent="0.3">
      <c r="A5232" t="str">
        <f>HYPERLINK("https://us2.cloudbeds.com/connect/10074733072513#/reservations/31726870954221?display=MXEH2W3U2&amp;reservation_id=31726870954221", "MXEH2W3U2")</f>
        <v>MXEH2W3U2</v>
      </c>
      <c r="B5232" t="s">
        <v>10</v>
      </c>
      <c r="C5232" t="s">
        <v>42</v>
      </c>
      <c r="D5232" t="str">
        <f>HYPERLINK("https://us2.cloudbeds.com/connect/10074733072513#/reservations/31726870954221?display=Art%20Schlaikjer&amp;reservation_id=31726870954221&amp;guest_id=31726860345493", "Art Schlaikjer")</f>
        <v>Art Schlaikjer</v>
      </c>
      <c r="E5232" t="s">
        <v>10938</v>
      </c>
      <c r="F5232" t="s">
        <v>10288</v>
      </c>
      <c r="G5232">
        <v>268.2</v>
      </c>
      <c r="H5232">
        <v>291.52</v>
      </c>
      <c r="I5232">
        <v>291.52999999999997</v>
      </c>
      <c r="J5232">
        <v>-0.01</v>
      </c>
    </row>
    <row r="5233" spans="1:10" x14ac:dyDescent="0.3">
      <c r="A5233" t="str">
        <f>HYPERLINK("https://us2.cloudbeds.com/connect/10074733072513#/reservations/31727149482176?display=MXENWXP38&amp;reservation_id=31727149482176", "MXENWXP38")</f>
        <v>MXENWXP38</v>
      </c>
      <c r="B5233" t="s">
        <v>10</v>
      </c>
      <c r="C5233" t="s">
        <v>11</v>
      </c>
      <c r="D5233" t="str">
        <f>HYPERLINK("https://us2.cloudbeds.com/connect/10074733072513#/reservations/31727149482176?display=Julie%20Blair&amp;reservation_id=31727149482176&amp;guest_id=31727140864151", "Julie Blair")</f>
        <v>Julie Blair</v>
      </c>
      <c r="E5233" t="s">
        <v>10950</v>
      </c>
      <c r="F5233" t="s">
        <v>10792</v>
      </c>
      <c r="G5233">
        <v>197.78</v>
      </c>
      <c r="H5233">
        <v>214.98</v>
      </c>
      <c r="I5233">
        <v>214.99</v>
      </c>
      <c r="J5233">
        <v>-0.01</v>
      </c>
    </row>
    <row r="5234" spans="1:10" x14ac:dyDescent="0.3">
      <c r="A5234" t="str">
        <f>HYPERLINK("https://us2.cloudbeds.com/connect/10074733072513#/reservations/31722905530561?display=MXBEP7BSZ&amp;reservation_id=31722905530561", "MXBEP7BSZ")</f>
        <v>MXBEP7BSZ</v>
      </c>
      <c r="B5234" t="s">
        <v>10</v>
      </c>
      <c r="C5234" t="s">
        <v>42</v>
      </c>
      <c r="D5234" t="str">
        <f>HYPERLINK("https://us2.cloudbeds.com/connect/10074733072513#/reservations/31722905530561?display=Allen%20Cihak&amp;reservation_id=31722905530561&amp;guest_id=31719163981975", "Allen Cihak")</f>
        <v>Allen Cihak</v>
      </c>
      <c r="E5234" t="s">
        <v>10467</v>
      </c>
      <c r="F5234" t="s">
        <v>10780</v>
      </c>
      <c r="G5234">
        <v>87.2</v>
      </c>
      <c r="H5234">
        <v>94.78</v>
      </c>
      <c r="I5234">
        <v>94.79</v>
      </c>
      <c r="J5234">
        <v>-0.01</v>
      </c>
    </row>
    <row r="5235" spans="1:10" x14ac:dyDescent="0.3">
      <c r="A5235" t="str">
        <f>HYPERLINK("https://us2.cloudbeds.com/connect/10074733072513#/reservations/31724480348366?display=MXCM04WXD&amp;reservation_id=31724480348366", "MXCM04WXD")</f>
        <v>MXCM04WXD</v>
      </c>
      <c r="B5235" t="s">
        <v>10</v>
      </c>
      <c r="C5235" t="s">
        <v>20</v>
      </c>
      <c r="D5235" t="str">
        <f>HYPERLINK("https://us2.cloudbeds.com/connect/10074733072513#/reservations/31724480348366?display=Cory%20Chase%20In%20Winter&amp;reservation_id=31724480348366&amp;guest_id=31724480344271", "Cory Chase In Winter")</f>
        <v>Cory Chase In Winter</v>
      </c>
      <c r="E5235" t="s">
        <v>10954</v>
      </c>
      <c r="F5235" t="s">
        <v>10955</v>
      </c>
      <c r="G5235">
        <v>134.1</v>
      </c>
      <c r="H5235">
        <v>145.76</v>
      </c>
      <c r="I5235">
        <v>145.77000000000001</v>
      </c>
      <c r="J5235">
        <v>-0.01</v>
      </c>
    </row>
    <row r="5236" spans="1:10" x14ac:dyDescent="0.3">
      <c r="A5236" t="str">
        <f>HYPERLINK("https://us2.cloudbeds.com/connect/10074733072513#/reservations/31724532809869?display=MXCNBCQXU&amp;reservation_id=31724532809869", "MXCNBCQXU")</f>
        <v>MXCNBCQXU</v>
      </c>
      <c r="B5236" t="s">
        <v>10</v>
      </c>
      <c r="C5236" t="s">
        <v>42</v>
      </c>
      <c r="D5236" t="str">
        <f>HYPERLINK("https://us2.cloudbeds.com/connect/10074733072513#/reservations/31724532809869?display=Joyce%20Fortin&amp;reservation_id=31724532809869&amp;guest_id=31685161160902", "Joyce Fortin")</f>
        <v>Joyce Fortin</v>
      </c>
      <c r="E5236" t="s">
        <v>8487</v>
      </c>
      <c r="F5236" t="s">
        <v>10856</v>
      </c>
      <c r="G5236">
        <v>103.2</v>
      </c>
      <c r="H5236">
        <v>112.17</v>
      </c>
      <c r="I5236">
        <v>112.18</v>
      </c>
      <c r="J5236">
        <v>-0.01</v>
      </c>
    </row>
    <row r="5237" spans="1:10" x14ac:dyDescent="0.3">
      <c r="A5237" t="str">
        <f>HYPERLINK("https://us2.cloudbeds.com/connect/10074733072513#/reservations/31726120157397?display=MXDUTT2W5&amp;reservation_id=31726120157397", "MXDUTT2W5")</f>
        <v>MXDUTT2W5</v>
      </c>
      <c r="B5237" t="s">
        <v>10</v>
      </c>
      <c r="C5237" t="s">
        <v>42</v>
      </c>
      <c r="D5237" t="str">
        <f>HYPERLINK("https://us2.cloudbeds.com/connect/10074733072513#/reservations/31726120157397?display=Mary%20Ann%20Slobin&amp;reservation_id=31726120157397&amp;guest_id=31726120157392", "Mary Ann Slobin")</f>
        <v>Mary Ann Slobin</v>
      </c>
      <c r="E5237" t="s">
        <v>10962</v>
      </c>
      <c r="F5237" t="s">
        <v>10963</v>
      </c>
      <c r="G5237">
        <v>313.2</v>
      </c>
      <c r="H5237">
        <v>340.44</v>
      </c>
      <c r="I5237">
        <v>340.45</v>
      </c>
      <c r="J5237">
        <v>-0.01</v>
      </c>
    </row>
    <row r="5238" spans="1:10" x14ac:dyDescent="0.3">
      <c r="A5238" t="str">
        <f>HYPERLINK("https://us2.cloudbeds.com/connect/10074733072513#/reservations/31725041185013?display=MXD3B232A&amp;reservation_id=31725041185013", "MXD3B232A")</f>
        <v>MXD3B232A</v>
      </c>
      <c r="B5238" t="s">
        <v>10</v>
      </c>
      <c r="C5238" t="s">
        <v>14</v>
      </c>
      <c r="D5238" t="str">
        <f>HYPERLINK("https://us2.cloudbeds.com/connect/10074733072513#/reservations/31725041185013?display=Sara%20Smude&amp;reservation_id=31725041185013&amp;guest_id=31725041185008", "Sara Smude")</f>
        <v>Sara Smude</v>
      </c>
      <c r="E5238" t="s">
        <v>10964</v>
      </c>
      <c r="F5238" t="s">
        <v>10947</v>
      </c>
      <c r="G5238">
        <v>264.2</v>
      </c>
      <c r="H5238">
        <v>287.18</v>
      </c>
      <c r="I5238">
        <v>287.19</v>
      </c>
      <c r="J5238">
        <v>-0.01</v>
      </c>
    </row>
    <row r="5239" spans="1:10" x14ac:dyDescent="0.3">
      <c r="A5239" t="str">
        <f>HYPERLINK("https://us2.cloudbeds.com/connect/10074733072513#/reservations/31724225638597?display=MXCFGCA9X&amp;reservation_id=31724225638597", "MXCFGCA9X")</f>
        <v>MXCFGCA9X</v>
      </c>
      <c r="B5239" t="s">
        <v>10</v>
      </c>
      <c r="C5239" t="s">
        <v>121</v>
      </c>
      <c r="D5239" t="str">
        <f>HYPERLINK("https://us2.cloudbeds.com/connect/10074733072513#/reservations/31724225638597?display=Gordon%20Vincelette&amp;reservation_id=31724225638597&amp;guest_id=31724225634501", "Gordon Vincelette")</f>
        <v>Gordon Vincelette</v>
      </c>
      <c r="E5239" t="s">
        <v>10967</v>
      </c>
      <c r="F5239" t="s">
        <v>10968</v>
      </c>
      <c r="G5239">
        <v>196.2</v>
      </c>
      <c r="H5239">
        <v>213.26</v>
      </c>
      <c r="I5239">
        <v>213.27</v>
      </c>
      <c r="J5239">
        <v>-0.01</v>
      </c>
    </row>
    <row r="5240" spans="1:10" x14ac:dyDescent="0.3">
      <c r="A5240" t="str">
        <f>HYPERLINK("https://us2.cloudbeds.com/connect/10074733072513#/reservations/31725820100838?display=MXDN7SXV5&amp;reservation_id=31725820100838", "MXDN7SXV5")</f>
        <v>MXDN7SXV5</v>
      </c>
      <c r="B5240" t="s">
        <v>10</v>
      </c>
      <c r="C5240" t="s">
        <v>42</v>
      </c>
      <c r="D5240" t="str">
        <f>HYPERLINK("https://us2.cloudbeds.com/connect/10074733072513#/reservations/31725820100838?display=Allen%20Cihak&amp;reservation_id=31725820100838&amp;guest_id=31719163981975", "Allen Cihak")</f>
        <v>Allen Cihak</v>
      </c>
      <c r="E5240" t="s">
        <v>10467</v>
      </c>
      <c r="F5240" t="s">
        <v>10876</v>
      </c>
      <c r="G5240">
        <v>87.2</v>
      </c>
      <c r="H5240">
        <v>94.78</v>
      </c>
      <c r="I5240">
        <v>94.79</v>
      </c>
      <c r="J5240">
        <v>-0.01</v>
      </c>
    </row>
    <row r="5241" spans="1:10" x14ac:dyDescent="0.3">
      <c r="A5241" t="str">
        <f>HYPERLINK("https://us2.cloudbeds.com/connect/10074733072513#/reservations/31725832663188?display=MXDNXF4KE&amp;reservation_id=31725832663188", "MXDNXF4KE")</f>
        <v>MXDNXF4KE</v>
      </c>
      <c r="B5241" t="s">
        <v>10</v>
      </c>
      <c r="C5241" t="s">
        <v>121</v>
      </c>
      <c r="D5241" t="str">
        <f>HYPERLINK("https://us2.cloudbeds.com/connect/10074733072513#/reservations/31725832663188?display=Jacob%20Kayser&amp;reservation_id=31725832663188&amp;guest_id=31724352159935", "Jacob Kayser")</f>
        <v>Jacob Kayser</v>
      </c>
      <c r="E5241" t="s">
        <v>10959</v>
      </c>
      <c r="F5241" t="s">
        <v>10968</v>
      </c>
      <c r="G5241">
        <v>87.2</v>
      </c>
      <c r="H5241">
        <v>94.78</v>
      </c>
      <c r="I5241">
        <v>94.79</v>
      </c>
      <c r="J5241">
        <v>-0.01</v>
      </c>
    </row>
    <row r="5242" spans="1:10" x14ac:dyDescent="0.3">
      <c r="A5242" t="str">
        <f>HYPERLINK("https://us2.cloudbeds.com/connect/10074733072513#/reservations/31725282615551?display=MXD9GY8C7&amp;reservation_id=31725282615551", "MXD9GY8C7")</f>
        <v>MXD9GY8C7</v>
      </c>
      <c r="B5242" t="s">
        <v>10</v>
      </c>
      <c r="C5242" t="s">
        <v>42</v>
      </c>
      <c r="D5242" t="str">
        <f>HYPERLINK("https://us2.cloudbeds.com/connect/10074733072513#/reservations/31725282615551?display=Kris%20Madison&amp;reservation_id=31725282615551&amp;guest_id=31725282615549", "Kris Madison")</f>
        <v>Kris Madison</v>
      </c>
      <c r="E5242" t="s">
        <v>10978</v>
      </c>
      <c r="F5242" t="s">
        <v>10947</v>
      </c>
      <c r="G5242">
        <v>268.2</v>
      </c>
      <c r="H5242">
        <v>291.52</v>
      </c>
      <c r="I5242">
        <v>291.52999999999997</v>
      </c>
      <c r="J5242">
        <v>-0.01</v>
      </c>
    </row>
    <row r="5243" spans="1:10" x14ac:dyDescent="0.3">
      <c r="A5243" t="str">
        <f>HYPERLINK("https://us2.cloudbeds.com/connect/10074733072513#/reservations/31725223714960?display=MXD7WW8GR&amp;reservation_id=31725223714960", "MXD7WW8GR")</f>
        <v>MXD7WW8GR</v>
      </c>
      <c r="B5243" t="s">
        <v>10</v>
      </c>
      <c r="C5243" t="s">
        <v>23</v>
      </c>
      <c r="D5243" t="str">
        <f>HYPERLINK("https://us2.cloudbeds.com/connect/10074733072513#/reservations/31725223714960?display=Amy%20Nielsen&amp;reservation_id=31725223714960&amp;guest_id=31725223714954", "Amy Nielsen")</f>
        <v>Amy Nielsen</v>
      </c>
      <c r="E5243" t="s">
        <v>10980</v>
      </c>
      <c r="F5243" t="s">
        <v>10947</v>
      </c>
      <c r="G5243">
        <v>250.2</v>
      </c>
      <c r="H5243">
        <v>271.95999999999998</v>
      </c>
      <c r="I5243">
        <v>271.97000000000003</v>
      </c>
      <c r="J5243">
        <v>-0.01</v>
      </c>
    </row>
    <row r="5244" spans="1:10" x14ac:dyDescent="0.3">
      <c r="A5244" t="str">
        <f>HYPERLINK("https://us2.cloudbeds.com/connect/10074733072513#/reservations/31727232528579?display=MXEQASF3P&amp;reservation_id=31727232528579", "MXEQASF3P")</f>
        <v>MXEQASF3P</v>
      </c>
      <c r="B5244" t="s">
        <v>10</v>
      </c>
      <c r="C5244" t="s">
        <v>23</v>
      </c>
      <c r="D5244" t="str">
        <f>HYPERLINK("https://us2.cloudbeds.com/connect/10074733072513#/reservations/31727232528579?display=Becky%20Randall&amp;reservation_id=31727232528579&amp;guest_id=31727222759657", "Becky Randall")</f>
        <v>Becky Randall</v>
      </c>
      <c r="E5244" t="s">
        <v>9674</v>
      </c>
      <c r="F5244" t="s">
        <v>10963</v>
      </c>
      <c r="G5244">
        <v>250.2</v>
      </c>
      <c r="H5244">
        <v>271.95999999999998</v>
      </c>
      <c r="I5244">
        <v>271.97000000000003</v>
      </c>
      <c r="J5244">
        <v>-0.01</v>
      </c>
    </row>
    <row r="5245" spans="1:10" x14ac:dyDescent="0.3">
      <c r="A5245" t="str">
        <f>HYPERLINK("https://us2.cloudbeds.com/connect/10074733072513#/reservations/31718040772824?display=MX7MF4A1K&amp;reservation_id=31718040772824", "MX7MF4A1K")</f>
        <v>MX7MF4A1K</v>
      </c>
      <c r="B5245" t="s">
        <v>10</v>
      </c>
      <c r="C5245" t="s">
        <v>121</v>
      </c>
      <c r="D5245" t="str">
        <f>HYPERLINK("https://us2.cloudbeds.com/connect/10074733072513#/reservations/31718040772824?display=Adam%20Maskowski&amp;reservation_id=31718040772824&amp;guest_id=31718040772821", "Adam Maskowski")</f>
        <v>Adam Maskowski</v>
      </c>
      <c r="E5245" t="s">
        <v>10986</v>
      </c>
      <c r="F5245" t="s">
        <v>9467</v>
      </c>
      <c r="G5245">
        <v>304.2</v>
      </c>
      <c r="H5245">
        <v>330.66</v>
      </c>
      <c r="I5245">
        <v>330.67</v>
      </c>
      <c r="J5245">
        <v>-0.01</v>
      </c>
    </row>
    <row r="5246" spans="1:10" x14ac:dyDescent="0.3">
      <c r="A5246" t="str">
        <f>HYPERLINK("https://us2.cloudbeds.com/connect/10074733072513#/reservations/31719783825634?display=MX90WUAGZ&amp;reservation_id=31719783825634", "MX90WUAGZ")</f>
        <v>MX90WUAGZ</v>
      </c>
      <c r="B5246" t="s">
        <v>10</v>
      </c>
      <c r="C5246" t="s">
        <v>42</v>
      </c>
      <c r="D5246" t="str">
        <f>HYPERLINK("https://us2.cloudbeds.com/connect/10074733072513#/reservations/31719783825634?display=Cory%20Mcdonald&amp;reservation_id=31719783825634&amp;guest_id=31719783825620", "Cory Mcdonald")</f>
        <v>Cory Mcdonald</v>
      </c>
      <c r="E5246" t="s">
        <v>10994</v>
      </c>
      <c r="F5246" t="s">
        <v>10947</v>
      </c>
      <c r="G5246">
        <v>268.2</v>
      </c>
      <c r="H5246">
        <v>291.52</v>
      </c>
      <c r="I5246">
        <v>291.52999999999997</v>
      </c>
      <c r="J5246">
        <v>-0.01</v>
      </c>
    </row>
    <row r="5247" spans="1:10" x14ac:dyDescent="0.3">
      <c r="A5247" t="str">
        <f>HYPERLINK("https://us2.cloudbeds.com/connect/10074733072513#/reservations/31727320211650?display=MXESXQC5X&amp;reservation_id=31727320211650", "MXESXQC5X")</f>
        <v>MXESXQC5X</v>
      </c>
      <c r="B5247" t="s">
        <v>10</v>
      </c>
      <c r="C5247" t="s">
        <v>42</v>
      </c>
      <c r="D5247" t="str">
        <f>HYPERLINK("https://us2.cloudbeds.com/connect/10074733072513#/reservations/31727320211650?display=Melvin%20Frazier&amp;reservation_id=31727320211650&amp;guest_id=31727311749270", "Melvin Frazier")</f>
        <v>Melvin Frazier</v>
      </c>
      <c r="E5247" t="s">
        <v>10996</v>
      </c>
      <c r="F5247" t="s">
        <v>10945</v>
      </c>
      <c r="G5247">
        <v>250.2</v>
      </c>
      <c r="H5247">
        <v>271.95999999999998</v>
      </c>
      <c r="I5247">
        <v>271.97000000000003</v>
      </c>
      <c r="J5247">
        <v>-0.01</v>
      </c>
    </row>
    <row r="5248" spans="1:10" x14ac:dyDescent="0.3">
      <c r="A5248" t="str">
        <f>HYPERLINK("https://us2.cloudbeds.com/connect/10074733072513#/reservations/31725401014479?display=MXDCHFSWH&amp;reservation_id=31725401014479", "MXDCHFSWH")</f>
        <v>MXDCHFSWH</v>
      </c>
      <c r="B5248" t="s">
        <v>10</v>
      </c>
      <c r="C5248" t="s">
        <v>42</v>
      </c>
      <c r="D5248" t="str">
        <f>HYPERLINK("https://us2.cloudbeds.com/connect/10074733072513#/reservations/31725401014479?display=Alex%20Kane&amp;reservation_id=31725401014479&amp;guest_id=31725387722933", "Alex Kane")</f>
        <v>Alex Kane</v>
      </c>
      <c r="E5248" t="s">
        <v>11002</v>
      </c>
      <c r="F5248" t="s">
        <v>11003</v>
      </c>
      <c r="G5248">
        <v>285.60000000000002</v>
      </c>
      <c r="H5248">
        <v>310.44</v>
      </c>
      <c r="I5248">
        <v>310.45</v>
      </c>
      <c r="J5248">
        <v>-0.01</v>
      </c>
    </row>
    <row r="5249" spans="1:10" x14ac:dyDescent="0.3">
      <c r="A5249" t="str">
        <f>HYPERLINK("https://us2.cloudbeds.com/connect/10074733072513#/reservations/31725550604486?display=MXDGBKEX1&amp;reservation_id=31725550604486", "MXDGBKEX1")</f>
        <v>MXDGBKEX1</v>
      </c>
      <c r="B5249" t="s">
        <v>10</v>
      </c>
      <c r="C5249" t="s">
        <v>121</v>
      </c>
      <c r="D5249" t="str">
        <f>HYPERLINK("https://us2.cloudbeds.com/connect/10074733072513#/reservations/31725550604486?display=Creighton%20Cockerham&amp;reservation_id=31725550604486&amp;guest_id=31725550604481", "Creighton Cockerham")</f>
        <v>Creighton Cockerham</v>
      </c>
      <c r="E5249" t="s">
        <v>11004</v>
      </c>
      <c r="F5249" t="s">
        <v>10984</v>
      </c>
      <c r="G5249">
        <v>134.1</v>
      </c>
      <c r="H5249">
        <v>145.76</v>
      </c>
      <c r="I5249">
        <v>145.77000000000001</v>
      </c>
      <c r="J5249">
        <v>-0.01</v>
      </c>
    </row>
    <row r="5250" spans="1:10" x14ac:dyDescent="0.3">
      <c r="A5250" t="str">
        <f>HYPERLINK("https://us2.cloudbeds.com/connect/10074733072513#/reservations/31724138033339?display=MXCD8GXMP&amp;reservation_id=31724138033339", "MXCD8GXMP")</f>
        <v>MXCD8GXMP</v>
      </c>
      <c r="B5250" t="s">
        <v>10</v>
      </c>
      <c r="C5250" t="s">
        <v>42</v>
      </c>
      <c r="D5250" t="str">
        <f>HYPERLINK("https://us2.cloudbeds.com/connect/10074733072513#/reservations/31724138033339?display=Tyler%20Ryokema&amp;reservation_id=31724138033339&amp;guest_id=31722565071010", "Tyler Ryokema")</f>
        <v>Tyler Ryokema</v>
      </c>
      <c r="E5250" t="s">
        <v>11010</v>
      </c>
      <c r="F5250" t="s">
        <v>10778</v>
      </c>
      <c r="G5250">
        <v>571.20000000000005</v>
      </c>
      <c r="H5250">
        <v>620.88</v>
      </c>
      <c r="I5250">
        <v>620.89</v>
      </c>
      <c r="J5250">
        <v>-0.01</v>
      </c>
    </row>
    <row r="5251" spans="1:10" x14ac:dyDescent="0.3">
      <c r="A5251" t="str">
        <f>HYPERLINK("https://us2.cloudbeds.com/connect/10074733072513#/reservations/31725209919636?display=MXD7YBCKN&amp;reservation_id=31725209919636", "MXD7YBCKN")</f>
        <v>MXD7YBCKN</v>
      </c>
      <c r="B5251" t="s">
        <v>10</v>
      </c>
      <c r="C5251" t="s">
        <v>23</v>
      </c>
      <c r="D5251" t="str">
        <f>HYPERLINK("https://us2.cloudbeds.com/connect/10074733072513#/reservations/31725209919636?display=Carl%20Nielsen&amp;reservation_id=31725209919636&amp;guest_id=31725209919631", "Carl Nielsen")</f>
        <v>Carl Nielsen</v>
      </c>
      <c r="E5251" t="s">
        <v>10980</v>
      </c>
      <c r="F5251" t="s">
        <v>10947</v>
      </c>
      <c r="G5251">
        <v>250.2</v>
      </c>
      <c r="H5251">
        <v>271.95999999999998</v>
      </c>
      <c r="I5251">
        <v>271.97000000000003</v>
      </c>
      <c r="J5251">
        <v>-0.01</v>
      </c>
    </row>
    <row r="5252" spans="1:10" x14ac:dyDescent="0.3">
      <c r="A5252" t="str">
        <f>HYPERLINK("https://us2.cloudbeds.com/connect/10074733072513#/reservations/31725100703981?display=MXD4S89PD&amp;reservation_id=31725100703981", "MXD4S89PD")</f>
        <v>MXD4S89PD</v>
      </c>
      <c r="B5252" t="s">
        <v>10</v>
      </c>
      <c r="C5252" t="s">
        <v>20</v>
      </c>
      <c r="D5252" t="str">
        <f>HYPERLINK("https://us2.cloudbeds.com/connect/10074733072513#/reservations/31725100703981?display=Ashlee%20Hogan&amp;reservation_id=31725100703981&amp;guest_id=31725086593236", "Ashlee Hogan")</f>
        <v>Ashlee Hogan</v>
      </c>
      <c r="E5252" t="s">
        <v>11020</v>
      </c>
      <c r="F5252" t="s">
        <v>10947</v>
      </c>
      <c r="G5252">
        <v>268.2</v>
      </c>
      <c r="H5252">
        <v>291.52</v>
      </c>
      <c r="I5252">
        <v>291.52999999999997</v>
      </c>
      <c r="J5252">
        <v>-0.01</v>
      </c>
    </row>
    <row r="5253" spans="1:10" x14ac:dyDescent="0.3">
      <c r="A5253" t="str">
        <f>HYPERLINK("https://us2.cloudbeds.com/connect/10074733072513#/reservations/31725072019614?display=MXD4423M5&amp;reservation_id=31725072019614", "MXD4423M5")</f>
        <v>MXD4423M5</v>
      </c>
      <c r="B5253" t="s">
        <v>10</v>
      </c>
      <c r="C5253" t="s">
        <v>42</v>
      </c>
      <c r="D5253" t="str">
        <f>HYPERLINK("https://us2.cloudbeds.com/connect/10074733072513#/reservations/31725072019614?display=Benjamin%20Pederson&amp;reservation_id=31725072019614&amp;guest_id=31725072015520", "Benjamin Pederson")</f>
        <v>Benjamin Pederson</v>
      </c>
      <c r="E5253" t="s">
        <v>11021</v>
      </c>
      <c r="F5253" t="s">
        <v>10947</v>
      </c>
      <c r="G5253">
        <v>268.2</v>
      </c>
      <c r="H5253">
        <v>291.52</v>
      </c>
      <c r="I5253">
        <v>291.52999999999997</v>
      </c>
      <c r="J5253">
        <v>-0.01</v>
      </c>
    </row>
    <row r="5254" spans="1:10" x14ac:dyDescent="0.3">
      <c r="A5254" t="str">
        <f>HYPERLINK("https://us2.cloudbeds.com/connect/10074733072513#/reservations/31726575546537?display=MXE9HSVR2&amp;reservation_id=31726575546537", "MXE9HSVR2")</f>
        <v>MXE9HSVR2</v>
      </c>
      <c r="B5254" t="s">
        <v>10</v>
      </c>
      <c r="C5254" t="s">
        <v>11</v>
      </c>
      <c r="D5254" t="str">
        <f>HYPERLINK("https://us2.cloudbeds.com/connect/10074733072513#/reservations/31726575546537?display=Julie%20Dygert&amp;reservation_id=31726575546537&amp;guest_id=31726575546522", "Julie Dygert")</f>
        <v>Julie Dygert</v>
      </c>
      <c r="E5254" t="s">
        <v>2852</v>
      </c>
      <c r="F5254" t="s">
        <v>11023</v>
      </c>
      <c r="G5254">
        <v>714.6</v>
      </c>
      <c r="H5254">
        <v>776.76</v>
      </c>
      <c r="I5254">
        <v>776.77</v>
      </c>
      <c r="J5254">
        <v>-0.01</v>
      </c>
    </row>
    <row r="5255" spans="1:10" x14ac:dyDescent="0.3">
      <c r="A5255" t="str">
        <f>HYPERLINK("https://us2.cloudbeds.com/connect/10074733072513#/reservations/31726145003744?display=MXDVHRFNP&amp;reservation_id=31726145003744", "MXDVHRFNP")</f>
        <v>MXDVHRFNP</v>
      </c>
      <c r="B5255" t="s">
        <v>10</v>
      </c>
      <c r="C5255" t="s">
        <v>121</v>
      </c>
      <c r="D5255" t="str">
        <f>HYPERLINK("https://us2.cloudbeds.com/connect/10074733072513#/reservations/31726145003744?display=Jacob%20Wright&amp;reservation_id=31726145003744&amp;guest_id=31726144999647", "Jacob Wright")</f>
        <v>Jacob Wright</v>
      </c>
      <c r="E5255" t="s">
        <v>11024</v>
      </c>
      <c r="F5255" t="s">
        <v>10963</v>
      </c>
      <c r="G5255">
        <v>500.4</v>
      </c>
      <c r="H5255">
        <v>543.91999999999996</v>
      </c>
      <c r="I5255">
        <v>543.92999999999995</v>
      </c>
      <c r="J5255">
        <v>-0.01</v>
      </c>
    </row>
    <row r="5256" spans="1:10" x14ac:dyDescent="0.3">
      <c r="A5256" t="str">
        <f>HYPERLINK("https://us2.cloudbeds.com/connect/10074733072513#/reservations/31723394191488?display=MXBR88VKE&amp;reservation_id=31723394191488", "MXBR88VKE")</f>
        <v>MXBR88VKE</v>
      </c>
      <c r="B5256" t="s">
        <v>10</v>
      </c>
      <c r="C5256" t="s">
        <v>23</v>
      </c>
      <c r="D5256" t="str">
        <f>HYPERLINK("https://us2.cloudbeds.com/connect/10074733072513#/reservations/31723394191488?display=Kestelle%20Wiersma&amp;reservation_id=31723394191488&amp;guest_id=31723394187403", "Kestelle Wiersma")</f>
        <v>Kestelle Wiersma</v>
      </c>
      <c r="E5256" t="s">
        <v>11034</v>
      </c>
      <c r="F5256" t="s">
        <v>10925</v>
      </c>
      <c r="G5256">
        <v>134.1</v>
      </c>
      <c r="H5256">
        <v>145.76</v>
      </c>
      <c r="I5256">
        <v>145.77000000000001</v>
      </c>
      <c r="J5256">
        <v>-0.01</v>
      </c>
    </row>
    <row r="5257" spans="1:10" x14ac:dyDescent="0.3">
      <c r="A5257" t="str">
        <f>HYPERLINK("https://us2.cloudbeds.com/connect/10074733072513#/reservations/31720656724125?display=MX9N9W065&amp;reservation_id=31720656724125", "MX9N9W065")</f>
        <v>MX9N9W065</v>
      </c>
      <c r="B5257" t="s">
        <v>10</v>
      </c>
      <c r="C5257" t="s">
        <v>20</v>
      </c>
      <c r="D5257" t="str">
        <f>HYPERLINK("https://us2.cloudbeds.com/connect/10074733072513#/reservations/31720656724125?display=Hannah%20Van%20Drunen&amp;reservation_id=31720656724125&amp;guest_id=31720647061704", "Hannah Van Drunen")</f>
        <v>Hannah Van Drunen</v>
      </c>
      <c r="E5257" t="s">
        <v>11038</v>
      </c>
      <c r="F5257" t="s">
        <v>11039</v>
      </c>
      <c r="G5257">
        <v>134.1</v>
      </c>
      <c r="H5257">
        <v>145.76</v>
      </c>
      <c r="I5257">
        <v>145.77000000000001</v>
      </c>
      <c r="J5257">
        <v>-0.01</v>
      </c>
    </row>
    <row r="5258" spans="1:10" x14ac:dyDescent="0.3">
      <c r="A5258" t="str">
        <f>HYPERLINK("https://us2.cloudbeds.com/connect/10074733072513#/reservations/31724969951390?display=MXD1GWU3M&amp;reservation_id=31724969951390", "MXD1GWU3M")</f>
        <v>MXD1GWU3M</v>
      </c>
      <c r="B5258" t="s">
        <v>10</v>
      </c>
      <c r="C5258" t="s">
        <v>14</v>
      </c>
      <c r="D5258" t="str">
        <f>HYPERLINK("https://us2.cloudbeds.com/connect/10074733072513#/reservations/31724969951390?display=Kelly%20Falwell&amp;reservation_id=31724969951390&amp;guest_id=31724962099398", "Kelly Falwell")</f>
        <v>Kelly Falwell</v>
      </c>
      <c r="E5258" t="s">
        <v>11045</v>
      </c>
      <c r="F5258" t="s">
        <v>10973</v>
      </c>
      <c r="G5258">
        <v>250.2</v>
      </c>
      <c r="H5258">
        <v>271.95999999999998</v>
      </c>
      <c r="I5258">
        <v>271.97000000000003</v>
      </c>
      <c r="J5258">
        <v>-0.01</v>
      </c>
    </row>
    <row r="5259" spans="1:10" x14ac:dyDescent="0.3">
      <c r="A5259" t="str">
        <f>HYPERLINK("https://us2.cloudbeds.com/connect/10074733072513#/reservations/31720429756633?display=MX9HGJ9UC&amp;reservation_id=31720429756633", "MX9HGJ9UC")</f>
        <v>MX9HGJ9UC</v>
      </c>
      <c r="B5259" t="s">
        <v>10</v>
      </c>
      <c r="C5259" t="s">
        <v>14</v>
      </c>
      <c r="D5259" t="str">
        <f>HYPERLINK("https://us2.cloudbeds.com/connect/10074733072513#/reservations/31720429756633?display=Chris%20Heim&amp;reservation_id=31720429756633&amp;guest_id=31720420892872", "Chris Heim")</f>
        <v>Chris Heim</v>
      </c>
      <c r="E5259" t="s">
        <v>11050</v>
      </c>
      <c r="F5259" t="s">
        <v>11051</v>
      </c>
      <c r="G5259">
        <v>134.1</v>
      </c>
      <c r="H5259">
        <v>145.76</v>
      </c>
      <c r="I5259">
        <v>145.77000000000001</v>
      </c>
      <c r="J5259">
        <v>-0.01</v>
      </c>
    </row>
    <row r="5260" spans="1:10" x14ac:dyDescent="0.3">
      <c r="A5260" t="str">
        <f>HYPERLINK("https://us2.cloudbeds.com/connect/10074733072513#/reservations/31725025427651?display=MXD2UPKGG&amp;reservation_id=31725025427651", "MXD2UPKGG")</f>
        <v>MXD2UPKGG</v>
      </c>
      <c r="B5260" t="s">
        <v>10</v>
      </c>
      <c r="C5260" t="s">
        <v>42</v>
      </c>
      <c r="D5260" t="str">
        <f>HYPERLINK("https://us2.cloudbeds.com/connect/10074733072513#/reservations/31725025427651?display=Eileen%20Young&amp;reservation_id=31725025427651&amp;guest_id=31725025423557", "Eileen Young")</f>
        <v>Eileen Young</v>
      </c>
      <c r="E5260" t="s">
        <v>11054</v>
      </c>
      <c r="F5260" t="s">
        <v>10973</v>
      </c>
      <c r="G5260">
        <v>127.2</v>
      </c>
      <c r="H5260">
        <v>138.26</v>
      </c>
      <c r="I5260">
        <v>138.27000000000001</v>
      </c>
      <c r="J5260">
        <v>-0.01</v>
      </c>
    </row>
    <row r="5261" spans="1:10" x14ac:dyDescent="0.3">
      <c r="A5261" t="str">
        <f>HYPERLINK("https://us2.cloudbeds.com/connect/10074733072513#/reservations/31726629454016?display=MXEAUATUS&amp;reservation_id=31726629454016", "MXEAUATUS")</f>
        <v>MXEAUATUS</v>
      </c>
      <c r="B5261" t="s">
        <v>10</v>
      </c>
      <c r="C5261" t="s">
        <v>11</v>
      </c>
      <c r="D5261" t="str">
        <f>HYPERLINK("https://us2.cloudbeds.com/connect/10074733072513#/reservations/31726629454016?display=Ian%20Wood&amp;reservation_id=31726629454016&amp;guest_id=31726618947747", "Ian Wood")</f>
        <v>Ian Wood</v>
      </c>
      <c r="E5261" t="s">
        <v>11056</v>
      </c>
      <c r="F5261" t="s">
        <v>11023</v>
      </c>
      <c r="G5261">
        <v>268.2</v>
      </c>
      <c r="H5261">
        <v>291.52</v>
      </c>
      <c r="I5261">
        <v>291.52999999999997</v>
      </c>
      <c r="J5261">
        <v>-0.01</v>
      </c>
    </row>
    <row r="5262" spans="1:10" x14ac:dyDescent="0.3">
      <c r="A5262" t="str">
        <f>HYPERLINK("https://us2.cloudbeds.com/connect/10074733072513#/reservations/31725273940134?display=MXD99ARVQ&amp;reservation_id=31725273940134", "MXD99ARVQ")</f>
        <v>MXD99ARVQ</v>
      </c>
      <c r="B5262" t="s">
        <v>10</v>
      </c>
      <c r="C5262" t="s">
        <v>11</v>
      </c>
      <c r="D5262" t="str">
        <f>HYPERLINK("https://us2.cloudbeds.com/connect/10074733072513#/reservations/31725273940134?display=Shauna%20Otterness&amp;reservation_id=31725273940134&amp;guest_id=31725273940130", "Shauna Otterness")</f>
        <v>Shauna Otterness</v>
      </c>
      <c r="E5262" t="s">
        <v>11057</v>
      </c>
      <c r="F5262" t="s">
        <v>10947</v>
      </c>
      <c r="G5262">
        <v>208.6</v>
      </c>
      <c r="H5262">
        <v>226.74</v>
      </c>
      <c r="I5262">
        <v>226.75</v>
      </c>
      <c r="J5262">
        <v>-0.01</v>
      </c>
    </row>
    <row r="5263" spans="1:10" x14ac:dyDescent="0.3">
      <c r="A5263" t="str">
        <f>HYPERLINK("https://us2.cloudbeds.com/connect/10074733072513#/reservations/31725032943770?display=MXD343PBM&amp;reservation_id=31725032943770", "MXD343PBM")</f>
        <v>MXD343PBM</v>
      </c>
      <c r="B5263" t="s">
        <v>10</v>
      </c>
      <c r="C5263" t="s">
        <v>42</v>
      </c>
      <c r="D5263" t="str">
        <f>HYPERLINK("https://us2.cloudbeds.com/connect/10074733072513#/reservations/31725032943770?display=Laura%20Schuler&amp;reservation_id=31725032943770&amp;guest_id=20392278323400", "Laura Schuler")</f>
        <v>Laura Schuler</v>
      </c>
      <c r="E5263" t="s">
        <v>3507</v>
      </c>
      <c r="F5263" t="s">
        <v>10973</v>
      </c>
      <c r="G5263">
        <v>118.15</v>
      </c>
      <c r="H5263">
        <v>128.41999999999999</v>
      </c>
      <c r="I5263">
        <v>128.43</v>
      </c>
      <c r="J5263">
        <v>-0.01</v>
      </c>
    </row>
    <row r="5264" spans="1:10" x14ac:dyDescent="0.3">
      <c r="A5264" t="str">
        <f>HYPERLINK("https://us2.cloudbeds.com/connect/10074733072513#/reservations/31726512513154?display=MXE7UNVUX&amp;reservation_id=31726512513154", "MXE7UNVUX")</f>
        <v>MXE7UNVUX</v>
      </c>
      <c r="B5264" t="s">
        <v>10</v>
      </c>
      <c r="C5264" t="s">
        <v>42</v>
      </c>
      <c r="D5264" t="str">
        <f>HYPERLINK("https://us2.cloudbeds.com/connect/10074733072513#/reservations/31726512513154?display=Allen%20Cihak&amp;reservation_id=31726512513154&amp;guest_id=31719163981975", "Allen Cihak")</f>
        <v>Allen Cihak</v>
      </c>
      <c r="E5264" t="s">
        <v>10467</v>
      </c>
      <c r="F5264" t="s">
        <v>11055</v>
      </c>
      <c r="G5264">
        <v>87.2</v>
      </c>
      <c r="H5264">
        <v>94.78</v>
      </c>
      <c r="I5264">
        <v>94.79</v>
      </c>
      <c r="J5264">
        <v>-0.01</v>
      </c>
    </row>
    <row r="5265" spans="1:10" x14ac:dyDescent="0.3">
      <c r="A5265" t="str">
        <f>HYPERLINK("https://us2.cloudbeds.com/connect/10074733072513#/reservations/31725245292682?display=MXD8X5MP6&amp;reservation_id=31725245292682", "MXD8X5MP6")</f>
        <v>MXD8X5MP6</v>
      </c>
      <c r="B5265" t="s">
        <v>10</v>
      </c>
      <c r="C5265" t="s">
        <v>11</v>
      </c>
      <c r="D5265" t="str">
        <f>HYPERLINK("https://us2.cloudbeds.com/connect/10074733072513#/reservations/31725245292682?display=Ashley%20Nibbelink&amp;reservation_id=31725245292682&amp;guest_id=31725245288635", "Ashley Nibbelink")</f>
        <v>Ashley Nibbelink</v>
      </c>
      <c r="E5265" t="s">
        <v>11081</v>
      </c>
      <c r="F5265" t="s">
        <v>10947</v>
      </c>
      <c r="G5265">
        <v>170.1</v>
      </c>
      <c r="H5265">
        <v>184.89</v>
      </c>
      <c r="I5265">
        <v>184.9</v>
      </c>
      <c r="J5265">
        <v>-0.01</v>
      </c>
    </row>
    <row r="5266" spans="1:10" x14ac:dyDescent="0.3">
      <c r="A5266" t="str">
        <f>HYPERLINK("https://us2.cloudbeds.com/connect/10074733072513#/reservations/31724962095307?display=MXD1ACA2X&amp;reservation_id=31724962095307", "MXD1ACA2X")</f>
        <v>MXD1ACA2X</v>
      </c>
      <c r="B5266" t="s">
        <v>10</v>
      </c>
      <c r="C5266" t="s">
        <v>42</v>
      </c>
      <c r="D5266" t="str">
        <f>HYPERLINK("https://us2.cloudbeds.com/connect/10074733072513#/reservations/31724962095307?display=Andrew%20Clemen&amp;reservation_id=31724962095307&amp;guest_id=31724954226930", "Andrew Clemen")</f>
        <v>Andrew Clemen</v>
      </c>
      <c r="E5266" t="s">
        <v>11082</v>
      </c>
      <c r="F5266" t="s">
        <v>10973</v>
      </c>
      <c r="G5266">
        <v>118.15</v>
      </c>
      <c r="H5266">
        <v>128.41999999999999</v>
      </c>
      <c r="I5266">
        <v>128.43</v>
      </c>
      <c r="J5266">
        <v>-0.01</v>
      </c>
    </row>
    <row r="5267" spans="1:10" x14ac:dyDescent="0.3">
      <c r="A5267" t="str">
        <f>HYPERLINK("https://us2.cloudbeds.com/connect/10074733072513#/reservations/31723439186165?display=MXBSD73ZY&amp;reservation_id=31723439186165", "MXBSD73ZY")</f>
        <v>MXBSD73ZY</v>
      </c>
      <c r="B5267" t="s">
        <v>10</v>
      </c>
      <c r="C5267" t="s">
        <v>11</v>
      </c>
      <c r="D5267" t="str">
        <f>HYPERLINK("https://us2.cloudbeds.com/connect/10074733072513#/reservations/31723439186165?display=Kirk%20Misialek&amp;reservation_id=31723439186165&amp;guest_id=31723439186112", "Kirk Misialek")</f>
        <v>Kirk Misialek</v>
      </c>
      <c r="E5267" t="s">
        <v>11086</v>
      </c>
      <c r="F5267" t="s">
        <v>10630</v>
      </c>
      <c r="G5267">
        <v>268.2</v>
      </c>
      <c r="H5267">
        <v>291.52</v>
      </c>
      <c r="I5267">
        <v>291.52999999999997</v>
      </c>
      <c r="J5267">
        <v>-0.01</v>
      </c>
    </row>
    <row r="5268" spans="1:10" x14ac:dyDescent="0.3">
      <c r="A5268" t="str">
        <f>HYPERLINK("https://us2.cloudbeds.com/connect/10074733072513#/reservations/31720354410632?display=MX9FJ1MM7&amp;reservation_id=31720354410632", "MX9FJ1MM7")</f>
        <v>MX9FJ1MM7</v>
      </c>
      <c r="B5268" t="s">
        <v>10</v>
      </c>
      <c r="C5268" t="s">
        <v>42</v>
      </c>
      <c r="D5268" t="str">
        <f>HYPERLINK("https://us2.cloudbeds.com/connect/10074733072513#/reservations/31720354410632?display=Allen%20Cihak&amp;reservation_id=31720354410632&amp;guest_id=31720354410627", "Allen Cihak")</f>
        <v>Allen Cihak</v>
      </c>
      <c r="E5268" t="s">
        <v>10467</v>
      </c>
      <c r="F5268" t="s">
        <v>11049</v>
      </c>
      <c r="G5268">
        <v>103.2</v>
      </c>
      <c r="H5268">
        <v>112.17</v>
      </c>
      <c r="I5268">
        <v>112.18</v>
      </c>
      <c r="J5268">
        <v>-0.01</v>
      </c>
    </row>
    <row r="5269" spans="1:10" x14ac:dyDescent="0.3">
      <c r="A5269" t="str">
        <f>HYPERLINK("https://us2.cloudbeds.com/connect/10074733072513#/reservations/31725774934163?display=MXDM2PZJ1&amp;reservation_id=31725774934163", "MXDM2PZJ1")</f>
        <v>MXDM2PZJ1</v>
      </c>
      <c r="B5269" t="s">
        <v>10</v>
      </c>
      <c r="C5269" t="s">
        <v>42</v>
      </c>
      <c r="D5269" t="str">
        <f>HYPERLINK("https://us2.cloudbeds.com/connect/10074733072513#/reservations/31725774934163?display=Allen%20Cihak&amp;reservation_id=31725774934163&amp;guest_id=31720354410627", "Allen Cihak")</f>
        <v>Allen Cihak</v>
      </c>
      <c r="E5269" t="s">
        <v>10467</v>
      </c>
      <c r="F5269" t="s">
        <v>11096</v>
      </c>
      <c r="G5269">
        <v>87.2</v>
      </c>
      <c r="H5269">
        <v>94.78</v>
      </c>
      <c r="I5269">
        <v>94.79</v>
      </c>
      <c r="J5269">
        <v>-0.01</v>
      </c>
    </row>
    <row r="5270" spans="1:10" x14ac:dyDescent="0.3">
      <c r="A5270" t="str">
        <f>HYPERLINK("https://us2.cloudbeds.com/connect/10074733072513#/reservations/31718816563360?display=MX8999R1Z&amp;reservation_id=31718816563360", "MX8999R1Z")</f>
        <v>MX8999R1Z</v>
      </c>
      <c r="B5270" t="s">
        <v>10</v>
      </c>
      <c r="C5270" t="s">
        <v>42</v>
      </c>
      <c r="D5270" t="str">
        <f>HYPERLINK("https://us2.cloudbeds.com/connect/10074733072513#/reservations/31718816563360?display=Alexia%20Werdel&amp;reservation_id=31718816563360&amp;guest_id=31676043333863", "Alexia Werdel")</f>
        <v>Alexia Werdel</v>
      </c>
      <c r="E5270" t="s">
        <v>28</v>
      </c>
      <c r="F5270" t="s">
        <v>11114</v>
      </c>
      <c r="G5270">
        <v>268.2</v>
      </c>
      <c r="H5270">
        <v>291.52</v>
      </c>
      <c r="I5270">
        <v>291.52999999999997</v>
      </c>
      <c r="J5270">
        <v>-0.01</v>
      </c>
    </row>
    <row r="5271" spans="1:10" x14ac:dyDescent="0.3">
      <c r="A5271" t="str">
        <f>HYPERLINK("https://us2.cloudbeds.com/connect/10074733072513#/reservations/31721511813316?display=MXAC5041R&amp;reservation_id=31721511813316", "MXAC5041R")</f>
        <v>MXAC5041R</v>
      </c>
      <c r="B5271" t="s">
        <v>10</v>
      </c>
      <c r="C5271" t="s">
        <v>11</v>
      </c>
      <c r="D5271" t="str">
        <f>HYPERLINK("https://us2.cloudbeds.com/connect/10074733072513#/reservations/31721511813316?display=Roxy%20Herzog&amp;reservation_id=31721511813316&amp;guest_id=31721511813314", "Roxy Herzog")</f>
        <v>Roxy Herzog</v>
      </c>
      <c r="E5271" t="s">
        <v>11120</v>
      </c>
      <c r="F5271" t="s">
        <v>11114</v>
      </c>
      <c r="G5271">
        <v>134.1</v>
      </c>
      <c r="H5271">
        <v>145.76</v>
      </c>
      <c r="I5271">
        <v>145.77000000000001</v>
      </c>
      <c r="J5271">
        <v>-0.01</v>
      </c>
    </row>
    <row r="5272" spans="1:10" x14ac:dyDescent="0.3">
      <c r="A5272" t="str">
        <f>HYPERLINK("https://us2.cloudbeds.com/connect/10074733072513#/reservations/31723445649629?display=MXBSXYVW7&amp;reservation_id=31723445649629", "MXBSXYVW7")</f>
        <v>MXBSXYVW7</v>
      </c>
      <c r="B5272" t="s">
        <v>10</v>
      </c>
      <c r="C5272" t="s">
        <v>20</v>
      </c>
      <c r="D5272" t="str">
        <f>HYPERLINK("https://us2.cloudbeds.com/connect/10074733072513#/reservations/31723445649629?display=Rose%20Hildebrandt&amp;reservation_id=31723445649629&amp;guest_id=31723445649627", "Rose Hildebrandt")</f>
        <v>Rose Hildebrandt</v>
      </c>
      <c r="E5272" t="s">
        <v>11121</v>
      </c>
      <c r="F5272" t="s">
        <v>10630</v>
      </c>
      <c r="G5272">
        <v>250.2</v>
      </c>
      <c r="H5272">
        <v>271.95999999999998</v>
      </c>
      <c r="I5272">
        <v>271.97000000000003</v>
      </c>
      <c r="J5272">
        <v>-0.01</v>
      </c>
    </row>
    <row r="5273" spans="1:10" x14ac:dyDescent="0.3">
      <c r="A5273" t="str">
        <f>HYPERLINK("https://us2.cloudbeds.com/connect/10074733072513#/reservations/31721580535966?display=MXADTVE8C&amp;reservation_id=31721580535966", "MXADTVE8C")</f>
        <v>MXADTVE8C</v>
      </c>
      <c r="B5273" t="s">
        <v>10</v>
      </c>
      <c r="C5273" t="s">
        <v>11</v>
      </c>
      <c r="D5273" t="str">
        <f>HYPERLINK("https://us2.cloudbeds.com/connect/10074733072513#/reservations/31721580535966?display=Christine%20Heim&amp;reservation_id=31721580535966&amp;guest_id=31721580535964", "Christine Heim")</f>
        <v>Christine Heim</v>
      </c>
      <c r="E5273" t="s">
        <v>11123</v>
      </c>
      <c r="F5273" t="s">
        <v>11114</v>
      </c>
      <c r="G5273">
        <v>134.1</v>
      </c>
      <c r="H5273">
        <v>145.76</v>
      </c>
      <c r="I5273">
        <v>145.77000000000001</v>
      </c>
      <c r="J5273">
        <v>-0.01</v>
      </c>
    </row>
    <row r="5274" spans="1:10" x14ac:dyDescent="0.3">
      <c r="A5274" t="str">
        <f>HYPERLINK("https://us2.cloudbeds.com/connect/10074733072513#/reservations/31718284558492?display=MX7SMN003&amp;reservation_id=31718284558492", "MX7SMN003")</f>
        <v>MX7SMN003</v>
      </c>
      <c r="B5274" t="s">
        <v>10</v>
      </c>
      <c r="C5274" t="s">
        <v>42</v>
      </c>
      <c r="D5274" t="str">
        <f>HYPERLINK("https://us2.cloudbeds.com/connect/10074733072513#/reservations/31718284558492?display=Lory%20Bretsch&amp;reservation_id=31718284558492&amp;guest_id=31718284554390", "Lory Bretsch")</f>
        <v>Lory Bretsch</v>
      </c>
      <c r="E5274" t="s">
        <v>11130</v>
      </c>
      <c r="F5274" t="s">
        <v>9926</v>
      </c>
      <c r="G5274">
        <v>508.8</v>
      </c>
      <c r="H5274">
        <v>553.05999999999995</v>
      </c>
      <c r="I5274">
        <v>553.07000000000005</v>
      </c>
      <c r="J5274">
        <v>-0.01</v>
      </c>
    </row>
    <row r="5275" spans="1:10" x14ac:dyDescent="0.3">
      <c r="A5275" t="str">
        <f>HYPERLINK("https://us2.cloudbeds.com/connect/10074733072513#/reservations/31718845534347?display=MX8A0NWBE&amp;reservation_id=31718845534347", "MX8A0NWBE")</f>
        <v>MX8A0NWBE</v>
      </c>
      <c r="B5275" t="s">
        <v>10</v>
      </c>
      <c r="C5275" t="s">
        <v>23</v>
      </c>
      <c r="D5275" t="str">
        <f>HYPERLINK("https://us2.cloudbeds.com/connect/10074733072513#/reservations/31718845534347?display=Kip%20Gearey&amp;reservation_id=31718845534347&amp;guest_id=31718837588127", "Kip Gearey")</f>
        <v>Kip Gearey</v>
      </c>
      <c r="E5275" t="s">
        <v>7621</v>
      </c>
      <c r="F5275" t="s">
        <v>10969</v>
      </c>
      <c r="G5275">
        <v>366.3</v>
      </c>
      <c r="H5275">
        <v>398.16</v>
      </c>
      <c r="I5275">
        <v>398.17</v>
      </c>
      <c r="J5275">
        <v>-0.01</v>
      </c>
    </row>
    <row r="5276" spans="1:10" x14ac:dyDescent="0.3">
      <c r="A5276" t="str">
        <f>HYPERLINK("https://us2.cloudbeds.com/connect/10074733072513#/reservations/31721491488911?display=MXABKSXMP&amp;reservation_id=31721491488911", "MXABKSXMP")</f>
        <v>MXABKSXMP</v>
      </c>
      <c r="B5276" t="s">
        <v>10</v>
      </c>
      <c r="C5276" t="s">
        <v>42</v>
      </c>
      <c r="D5276" t="str">
        <f>HYPERLINK("https://us2.cloudbeds.com/connect/10074733072513#/reservations/31721491488911?display=Clint%20Hiettelke&amp;reservation_id=31721491488911&amp;guest_id=31721485680824", "Clint Hiettelke")</f>
        <v>Clint Hiettelke</v>
      </c>
      <c r="E5276" t="s">
        <v>11132</v>
      </c>
      <c r="F5276" t="s">
        <v>11103</v>
      </c>
      <c r="G5276">
        <v>134.1</v>
      </c>
      <c r="H5276">
        <v>145.76</v>
      </c>
      <c r="I5276">
        <v>145.77000000000001</v>
      </c>
      <c r="J5276">
        <v>-0.01</v>
      </c>
    </row>
    <row r="5277" spans="1:10" x14ac:dyDescent="0.3">
      <c r="A5277" t="str">
        <f>HYPERLINK("https://us2.cloudbeds.com/connect/10074733072513#/reservations/31725129781433?display=MXD5JPDRA&amp;reservation_id=31725129781433", "MXD5JPDRA")</f>
        <v>MXD5JPDRA</v>
      </c>
      <c r="B5277" t="s">
        <v>10</v>
      </c>
      <c r="C5277" t="s">
        <v>17</v>
      </c>
      <c r="D5277" t="str">
        <f>HYPERLINK("https://us2.cloudbeds.com/connect/10074733072513#/reservations/31725129781433?display=Jill%20Hansen&amp;reservation_id=31725129781433&amp;guest_id=31725115248798", "Jill Hansen")</f>
        <v>Jill Hansen</v>
      </c>
      <c r="E5277" t="s">
        <v>11135</v>
      </c>
      <c r="F5277" t="s">
        <v>7925</v>
      </c>
      <c r="G5277">
        <v>304.2</v>
      </c>
      <c r="H5277">
        <v>330.66</v>
      </c>
      <c r="I5277">
        <v>330.67</v>
      </c>
      <c r="J5277">
        <v>-0.01</v>
      </c>
    </row>
    <row r="5278" spans="1:10" x14ac:dyDescent="0.3">
      <c r="A5278" t="str">
        <f>HYPERLINK("https://us2.cloudbeds.com/connect/10074733072513#/reservations/31723744764049?display=MXC36T8SX&amp;reservation_id=31723744764049", "MXC36T8SX")</f>
        <v>MXC36T8SX</v>
      </c>
      <c r="B5278" t="s">
        <v>10</v>
      </c>
      <c r="C5278" t="s">
        <v>42</v>
      </c>
      <c r="D5278" t="str">
        <f>HYPERLINK("https://us2.cloudbeds.com/connect/10074733072513#/reservations/31723744764049?display=David%20Yelovich&amp;reservation_id=31723744764049&amp;guest_id=31723739144375", "David Yelovich")</f>
        <v>David Yelovich</v>
      </c>
      <c r="E5278" t="s">
        <v>11136</v>
      </c>
      <c r="F5278" t="s">
        <v>11070</v>
      </c>
      <c r="G5278">
        <v>103.2</v>
      </c>
      <c r="H5278">
        <v>112.17</v>
      </c>
      <c r="I5278">
        <v>112.18</v>
      </c>
      <c r="J5278">
        <v>-0.01</v>
      </c>
    </row>
    <row r="5279" spans="1:10" x14ac:dyDescent="0.3">
      <c r="A5279" t="str">
        <f>HYPERLINK("https://us2.cloudbeds.com/connect/10074733072513#/reservations/31722742173871?display=MXBAJFNZ0&amp;reservation_id=31722742173871", "MXBAJFNZ0")</f>
        <v>MXBAJFNZ0</v>
      </c>
      <c r="B5279" t="s">
        <v>10</v>
      </c>
      <c r="C5279" t="s">
        <v>11</v>
      </c>
      <c r="D5279" t="str">
        <f>HYPERLINK("https://us2.cloudbeds.com/connect/10074733072513#/reservations/31722742173871?display=David%20Hjelm&amp;reservation_id=31722742173871&amp;guest_id=31722742173869", "David Hjelm")</f>
        <v>David Hjelm</v>
      </c>
      <c r="E5279" t="s">
        <v>11140</v>
      </c>
      <c r="F5279" t="s">
        <v>11138</v>
      </c>
      <c r="G5279">
        <v>196.2</v>
      </c>
      <c r="H5279">
        <v>213.26</v>
      </c>
      <c r="I5279">
        <v>213.27</v>
      </c>
      <c r="J5279">
        <v>-0.01</v>
      </c>
    </row>
    <row r="5280" spans="1:10" x14ac:dyDescent="0.3">
      <c r="A5280" t="str">
        <f>HYPERLINK("https://us2.cloudbeds.com/connect/10074733072513#/reservations/31722795319498?display=MXBBV9XVX&amp;reservation_id=31722795319498", "MXBBV9XVX")</f>
        <v>MXBBV9XVX</v>
      </c>
      <c r="B5280" t="s">
        <v>10</v>
      </c>
      <c r="C5280" t="s">
        <v>42</v>
      </c>
      <c r="D5280" t="str">
        <f>HYPERLINK("https://us2.cloudbeds.com/connect/10074733072513#/reservations/31722795319498?display=Allen%20Cihak&amp;reservation_id=31722795319498&amp;guest_id=31720354410627", "Allen Cihak")</f>
        <v>Allen Cihak</v>
      </c>
      <c r="E5280" t="s">
        <v>10467</v>
      </c>
      <c r="F5280" t="s">
        <v>11070</v>
      </c>
      <c r="G5280">
        <v>87.2</v>
      </c>
      <c r="H5280">
        <v>94.78</v>
      </c>
      <c r="I5280">
        <v>94.79</v>
      </c>
      <c r="J5280">
        <v>-0.01</v>
      </c>
    </row>
    <row r="5281" spans="1:10" x14ac:dyDescent="0.3">
      <c r="A5281" t="str">
        <f>HYPERLINK("https://us2.cloudbeds.com/connect/10074733072513#/reservations/31724220661952?display=MXCEVX691&amp;reservation_id=31724220661952", "MXCEVX691")</f>
        <v>MXCEVX691</v>
      </c>
      <c r="B5281" t="s">
        <v>10</v>
      </c>
      <c r="C5281" t="s">
        <v>11</v>
      </c>
      <c r="D5281" t="str">
        <f>HYPERLINK("https://us2.cloudbeds.com/connect/10074733072513#/reservations/31724220661952?display=Trent%20Koloski&amp;reservation_id=31724220661952&amp;guest_id=31724204503262", "Trent Koloski")</f>
        <v>Trent Koloski</v>
      </c>
      <c r="E5281" t="s">
        <v>11142</v>
      </c>
      <c r="F5281" t="s">
        <v>11138</v>
      </c>
      <c r="G5281">
        <v>196.2</v>
      </c>
      <c r="H5281">
        <v>213.26</v>
      </c>
      <c r="I5281">
        <v>213.27</v>
      </c>
      <c r="J5281">
        <v>-0.01</v>
      </c>
    </row>
    <row r="5282" spans="1:10" x14ac:dyDescent="0.3">
      <c r="A5282" t="str">
        <f>HYPERLINK("https://us2.cloudbeds.com/connect/10074733072513#/reservations/31724228751506?display=MXCFXWUQ4&amp;reservation_id=31724228751506", "MXCFXWUQ4")</f>
        <v>MXCFXWUQ4</v>
      </c>
      <c r="B5282" t="s">
        <v>10</v>
      </c>
      <c r="C5282" t="s">
        <v>11</v>
      </c>
      <c r="D5282" t="str">
        <f>HYPERLINK("https://us2.cloudbeds.com/connect/10074733072513#/reservations/31724228751506?display=Michael%20Hagen&amp;reservation_id=31724228751506&amp;guest_id=31724220666049", "Michael Hagen")</f>
        <v>Michael Hagen</v>
      </c>
      <c r="E5282" t="s">
        <v>11143</v>
      </c>
      <c r="F5282" t="s">
        <v>11138</v>
      </c>
      <c r="G5282">
        <v>196.2</v>
      </c>
      <c r="H5282">
        <v>213.26</v>
      </c>
      <c r="I5282">
        <v>213.27</v>
      </c>
      <c r="J5282">
        <v>-0.01</v>
      </c>
    </row>
    <row r="5283" spans="1:10" x14ac:dyDescent="0.3">
      <c r="A5283" t="str">
        <f>HYPERLINK("https://us2.cloudbeds.com/connect/10074733072513#/reservations/31724406874253?display=MXCK46F74&amp;reservation_id=31724406874253", "MXCK46F74")</f>
        <v>MXCK46F74</v>
      </c>
      <c r="B5283" t="s">
        <v>10</v>
      </c>
      <c r="C5283" t="s">
        <v>11</v>
      </c>
      <c r="D5283" t="str">
        <f>HYPERLINK("https://us2.cloudbeds.com/connect/10074733072513#/reservations/31724406874253?display=Michelle%20Darner&amp;reservation_id=31724406874253&amp;guest_id=31724396658867", "Michelle Darner")</f>
        <v>Michelle Darner</v>
      </c>
      <c r="E5283" t="s">
        <v>11144</v>
      </c>
      <c r="F5283" t="s">
        <v>9675</v>
      </c>
      <c r="G5283">
        <v>312.89999999999998</v>
      </c>
      <c r="H5283">
        <v>340.11</v>
      </c>
      <c r="I5283">
        <v>340.12</v>
      </c>
      <c r="J5283">
        <v>-0.01</v>
      </c>
    </row>
    <row r="5284" spans="1:10" x14ac:dyDescent="0.3">
      <c r="A5284" t="str">
        <f>HYPERLINK("https://us2.cloudbeds.com/connect/10074733072513#/reservations/31725158326401?display=MXD6ARNUB&amp;reservation_id=31725158326401", "MXD6ARNUB")</f>
        <v>MXD6ARNUB</v>
      </c>
      <c r="B5284" t="s">
        <v>10</v>
      </c>
      <c r="C5284" t="s">
        <v>11</v>
      </c>
      <c r="D5284" t="str">
        <f>HYPERLINK("https://us2.cloudbeds.com/connect/10074733072513#/reservations/31725158326401?display=Brittany%20Thompson&amp;reservation_id=31725158326401&amp;guest_id=31725147730139", "Brittany Thompson")</f>
        <v>Brittany Thompson</v>
      </c>
      <c r="E5284" t="s">
        <v>11145</v>
      </c>
      <c r="F5284" t="s">
        <v>7925</v>
      </c>
      <c r="G5284">
        <v>278.95999999999998</v>
      </c>
      <c r="H5284">
        <v>303.22000000000003</v>
      </c>
      <c r="I5284">
        <v>303.23</v>
      </c>
      <c r="J5284">
        <v>-0.01</v>
      </c>
    </row>
    <row r="5285" spans="1:10" x14ac:dyDescent="0.3">
      <c r="A5285" t="str">
        <f>HYPERLINK("https://us2.cloudbeds.com/connect/10074733072513#/reservations/31721915601061?display=MXAMFG3N3&amp;reservation_id=31721915601061", "MXAMFG3N3")</f>
        <v>MXAMFG3N3</v>
      </c>
      <c r="B5285" t="s">
        <v>10</v>
      </c>
      <c r="C5285" t="s">
        <v>42</v>
      </c>
      <c r="D5285" t="str">
        <f>HYPERLINK("https://us2.cloudbeds.com/connect/10074733072513#/reservations/31721915601061?display=Allen%20Cihak&amp;reservation_id=31721915601061&amp;guest_id=31720354410627", "Allen Cihak")</f>
        <v>Allen Cihak</v>
      </c>
      <c r="E5285" t="s">
        <v>10467</v>
      </c>
      <c r="F5285" t="s">
        <v>11092</v>
      </c>
      <c r="G5285">
        <v>87.2</v>
      </c>
      <c r="H5285">
        <v>94.78</v>
      </c>
      <c r="I5285">
        <v>94.79</v>
      </c>
      <c r="J5285">
        <v>-0.01</v>
      </c>
    </row>
    <row r="5286" spans="1:10" x14ac:dyDescent="0.3">
      <c r="A5286" t="str">
        <f>HYPERLINK("https://us2.cloudbeds.com/connect/10074733072513#/reservations/31724353814697?display=MXCXPF00Q&amp;reservation_id=31724353814697", "MXCXPF00Q")</f>
        <v>MXCXPF00Q</v>
      </c>
      <c r="B5286" t="s">
        <v>10</v>
      </c>
      <c r="C5286" t="s">
        <v>42</v>
      </c>
      <c r="D5286" t="str">
        <f>HYPERLINK("https://us2.cloudbeds.com/connect/10074733072513#/reservations/31724353814697?display=Alan%20Maloney&amp;reservation_id=31724353814697&amp;guest_id=31717285511367", "Alan Maloney")</f>
        <v>Alan Maloney</v>
      </c>
      <c r="E5286" t="s">
        <v>8990</v>
      </c>
      <c r="F5286" t="s">
        <v>10969</v>
      </c>
      <c r="G5286">
        <v>366.3</v>
      </c>
      <c r="H5286">
        <v>398.16</v>
      </c>
      <c r="I5286">
        <v>398.17</v>
      </c>
      <c r="J5286">
        <v>-0.01</v>
      </c>
    </row>
    <row r="5287" spans="1:10" x14ac:dyDescent="0.3">
      <c r="A5287" t="str">
        <f>HYPERLINK("https://us2.cloudbeds.com/connect/10074733072513#/reservations/31714455736523?display=MX4TS4CMV&amp;reservation_id=31714455736523", "MX4TS4CMV")</f>
        <v>MX4TS4CMV</v>
      </c>
      <c r="B5287" t="s">
        <v>10</v>
      </c>
      <c r="C5287" t="s">
        <v>42</v>
      </c>
      <c r="D5287" t="str">
        <f>HYPERLINK("https://us2.cloudbeds.com/connect/10074733072513#/reservations/31714455736523?display=Devera%20Warner&amp;reservation_id=31714455736523&amp;guest_id=31714445357231", "Devera Warner")</f>
        <v>Devera Warner</v>
      </c>
      <c r="E5287" t="s">
        <v>10694</v>
      </c>
      <c r="F5287" t="s">
        <v>10695</v>
      </c>
      <c r="G5287">
        <v>144.1</v>
      </c>
      <c r="H5287">
        <v>156.63</v>
      </c>
      <c r="I5287">
        <v>156.63999999999999</v>
      </c>
      <c r="J5287">
        <v>-0.01</v>
      </c>
    </row>
    <row r="5288" spans="1:10" x14ac:dyDescent="0.3">
      <c r="A5288" t="str">
        <f>HYPERLINK("https://us2.cloudbeds.com/connect/10074733072513#/reservations/31718969610463?display=MX8D6BJ5Z&amp;reservation_id=31718969610463", "MX8D6BJ5Z")</f>
        <v>MX8D6BJ5Z</v>
      </c>
      <c r="B5288" t="s">
        <v>10</v>
      </c>
      <c r="C5288" t="s">
        <v>42</v>
      </c>
      <c r="D5288" t="str">
        <f>HYPERLINK("https://us2.cloudbeds.com/connect/10074733072513#/reservations/31718969610463?display=Sandra%20Durgin&amp;reservation_id=31718969610463&amp;guest_id=31718969610461", "Sandra Durgin")</f>
        <v>Sandra Durgin</v>
      </c>
      <c r="E5288" t="s">
        <v>11168</v>
      </c>
      <c r="F5288" t="s">
        <v>10527</v>
      </c>
      <c r="G5288">
        <v>250.2</v>
      </c>
      <c r="H5288">
        <v>271.95999999999998</v>
      </c>
      <c r="I5288">
        <v>271.97000000000003</v>
      </c>
      <c r="J5288">
        <v>-0.01</v>
      </c>
    </row>
    <row r="5289" spans="1:10" x14ac:dyDescent="0.3">
      <c r="A5289" t="str">
        <f>HYPERLINK("https://us2.cloudbeds.com/connect/10074733072513#/reservations/31723466879150?display=MXBT3XNG1&amp;reservation_id=31723466879150", "MXBT3XNG1")</f>
        <v>MXBT3XNG1</v>
      </c>
      <c r="B5289" t="s">
        <v>10</v>
      </c>
      <c r="C5289" t="s">
        <v>42</v>
      </c>
      <c r="D5289" t="str">
        <f>HYPERLINK("https://us2.cloudbeds.com/connect/10074733072513#/reservations/31723466879150?display=Delbert%20Tschakert&amp;reservation_id=31723466879150&amp;guest_id=31723450867855", "Delbert Tschakert")</f>
        <v>Delbert Tschakert</v>
      </c>
      <c r="E5289" t="s">
        <v>11170</v>
      </c>
      <c r="F5289" t="s">
        <v>11171</v>
      </c>
      <c r="G5289">
        <v>375.3</v>
      </c>
      <c r="H5289">
        <v>407.94</v>
      </c>
      <c r="I5289">
        <v>407.95</v>
      </c>
      <c r="J5289">
        <v>-0.01</v>
      </c>
    </row>
    <row r="5290" spans="1:10" x14ac:dyDescent="0.3">
      <c r="A5290" t="str">
        <f>HYPERLINK("https://us2.cloudbeds.com/connect/10074733072513#/reservations/31720612602008?display=MX9M5P80A&amp;reservation_id=31720612602008", "MX9M5P80A")</f>
        <v>MX9M5P80A</v>
      </c>
      <c r="B5290" t="s">
        <v>10</v>
      </c>
      <c r="C5290" t="s">
        <v>42</v>
      </c>
      <c r="D5290" t="str">
        <f>HYPERLINK("https://us2.cloudbeds.com/connect/10074733072513#/reservations/31720612602008?display=Delbert%20Tschakert&amp;reservation_id=31720612602008&amp;guest_id=31720604156105", "Delbert Tschakert")</f>
        <v>Delbert Tschakert</v>
      </c>
      <c r="E5290" t="s">
        <v>11170</v>
      </c>
      <c r="F5290" t="s">
        <v>11171</v>
      </c>
      <c r="G5290">
        <v>375.3</v>
      </c>
      <c r="H5290">
        <v>407.94</v>
      </c>
      <c r="I5290">
        <v>407.95</v>
      </c>
      <c r="J5290">
        <v>-0.01</v>
      </c>
    </row>
    <row r="5291" spans="1:10" x14ac:dyDescent="0.3">
      <c r="A5291" t="str">
        <f>HYPERLINK("https://us2.cloudbeds.com/connect/10074733072513#/reservations/31718387994817?display=MX7VAU8S6&amp;reservation_id=31718387994817", "MX7VAU8S6")</f>
        <v>MX7VAU8S6</v>
      </c>
      <c r="B5291" t="s">
        <v>10</v>
      </c>
      <c r="C5291" t="s">
        <v>23</v>
      </c>
      <c r="D5291" t="str">
        <f>HYPERLINK("https://us2.cloudbeds.com/connect/10074733072513#/reservations/31718387994817?display=Gail%20Temple&amp;reservation_id=31718387994817&amp;guest_id=31718365474964", "Gail Temple")</f>
        <v>Gail Temple</v>
      </c>
      <c r="E5291" t="s">
        <v>11172</v>
      </c>
      <c r="F5291" t="s">
        <v>9926</v>
      </c>
      <c r="G5291">
        <v>134.1</v>
      </c>
      <c r="H5291">
        <v>145.76</v>
      </c>
      <c r="I5291">
        <v>145.77000000000001</v>
      </c>
      <c r="J5291">
        <v>-0.01</v>
      </c>
    </row>
    <row r="5292" spans="1:10" x14ac:dyDescent="0.3">
      <c r="A5292" t="str">
        <f>HYPERLINK("https://us2.cloudbeds.com/connect/10074733072513#/reservations/31718967152773?display=MX8D496B9&amp;reservation_id=31718967152773", "MX8D496B9")</f>
        <v>MX8D496B9</v>
      </c>
      <c r="B5292" t="s">
        <v>10</v>
      </c>
      <c r="C5292" t="s">
        <v>42</v>
      </c>
      <c r="D5292" t="str">
        <f>HYPERLINK("https://us2.cloudbeds.com/connect/10074733072513#/reservations/31718967152773?display=Mary%20Raile&amp;reservation_id=31718967152773&amp;guest_id=31718951805155", "Mary Raile")</f>
        <v>Mary Raile</v>
      </c>
      <c r="E5292" t="s">
        <v>11174</v>
      </c>
      <c r="F5292" t="s">
        <v>9926</v>
      </c>
      <c r="G5292">
        <v>134.1</v>
      </c>
      <c r="H5292">
        <v>145.76</v>
      </c>
      <c r="I5292">
        <v>145.77000000000001</v>
      </c>
      <c r="J5292">
        <v>-0.01</v>
      </c>
    </row>
    <row r="5293" spans="1:10" x14ac:dyDescent="0.3">
      <c r="A5293" t="str">
        <f>HYPERLINK("https://us2.cloudbeds.com/connect/10074733072513#/reservations/31723133640909?display=MXBKJXSJH&amp;reservation_id=31723133640909", "MXBKJXSJH")</f>
        <v>MXBKJXSJH</v>
      </c>
      <c r="B5293" t="s">
        <v>10</v>
      </c>
      <c r="C5293" t="s">
        <v>23</v>
      </c>
      <c r="D5293" t="str">
        <f>HYPERLINK("https://us2.cloudbeds.com/connect/10074733072513#/reservations/31723133640909?display=Megan%20Mcgee&amp;reservation_id=31723133640909&amp;guest_id=31723133636818", "Megan Mcgee")</f>
        <v>Megan Mcgee</v>
      </c>
      <c r="E5293" t="s">
        <v>11177</v>
      </c>
      <c r="F5293" t="s">
        <v>11178</v>
      </c>
      <c r="G5293">
        <v>730.42</v>
      </c>
      <c r="H5293">
        <v>793.96</v>
      </c>
      <c r="I5293">
        <v>793.97</v>
      </c>
      <c r="J5293">
        <v>-0.01</v>
      </c>
    </row>
    <row r="5294" spans="1:10" x14ac:dyDescent="0.3">
      <c r="A5294" t="str">
        <f>HYPERLINK("https://us2.cloudbeds.com/connect/10074733072513#/reservations/31702248079557?display=MHSEUAB0W&amp;reservation_id=31702248079557", "MHSEUAB0W")</f>
        <v>MHSEUAB0W</v>
      </c>
      <c r="B5294" t="s">
        <v>10</v>
      </c>
      <c r="C5294" t="s">
        <v>42</v>
      </c>
      <c r="D5294" t="str">
        <f>HYPERLINK("https://us2.cloudbeds.com/connect/10074733072513#/reservations/31702248079557?display=Leann%20Honrud&amp;reservation_id=31702248079557&amp;guest_id=31702248079552", "Leann Honrud")</f>
        <v>Leann Honrud</v>
      </c>
      <c r="E5294" t="s">
        <v>11187</v>
      </c>
      <c r="F5294" t="s">
        <v>11188</v>
      </c>
      <c r="G5294">
        <v>134.1</v>
      </c>
      <c r="H5294">
        <v>145.76</v>
      </c>
      <c r="I5294">
        <v>145.77000000000001</v>
      </c>
      <c r="J5294">
        <v>-0.01</v>
      </c>
    </row>
    <row r="5295" spans="1:10" x14ac:dyDescent="0.3">
      <c r="A5295" t="str">
        <f>HYPERLINK("https://us2.cloudbeds.com/connect/10074733072513#/reservations/31720157315295?display=MX9AHS778&amp;reservation_id=31720157315295", "MX9AHS778")</f>
        <v>MX9AHS778</v>
      </c>
      <c r="B5295" t="s">
        <v>10</v>
      </c>
      <c r="C5295" t="s">
        <v>23</v>
      </c>
      <c r="D5295" t="str">
        <f>HYPERLINK("https://us2.cloudbeds.com/connect/10074733072513#/reservations/31720157315295?display=Rebecca%20Randall&amp;reservation_id=31720157315295&amp;guest_id=31720157315293", "Rebecca Randall")</f>
        <v>Rebecca Randall</v>
      </c>
      <c r="E5295" t="s">
        <v>9674</v>
      </c>
      <c r="F5295" t="s">
        <v>11200</v>
      </c>
      <c r="G5295">
        <v>250.2</v>
      </c>
      <c r="H5295">
        <v>271.95999999999998</v>
      </c>
      <c r="I5295">
        <v>271.97000000000003</v>
      </c>
      <c r="J5295">
        <v>-0.01</v>
      </c>
    </row>
    <row r="5296" spans="1:10" x14ac:dyDescent="0.3">
      <c r="A5296" t="str">
        <f>HYPERLINK("https://us2.cloudbeds.com/connect/10074733072513#/reservations/31718732181666?display=MX8744PXN&amp;reservation_id=31718732181666", "MX8744PXN")</f>
        <v>MX8744PXN</v>
      </c>
      <c r="B5296" t="s">
        <v>10</v>
      </c>
      <c r="C5296" t="s">
        <v>42</v>
      </c>
      <c r="D5296" t="str">
        <f>HYPERLINK("https://us2.cloudbeds.com/connect/10074733072513#/reservations/31718732181666?display=Harry%20Pool&amp;reservation_id=31718732181666&amp;guest_id=31718732181661", "Harry Pool")</f>
        <v>Harry Pool</v>
      </c>
      <c r="E5296" t="s">
        <v>11201</v>
      </c>
      <c r="F5296" t="s">
        <v>11196</v>
      </c>
      <c r="G5296">
        <v>500.4</v>
      </c>
      <c r="H5296">
        <v>543.91999999999996</v>
      </c>
      <c r="I5296">
        <v>543.92999999999995</v>
      </c>
      <c r="J5296">
        <v>-0.01</v>
      </c>
    </row>
    <row r="5297" spans="1:10" x14ac:dyDescent="0.3">
      <c r="A5297" t="str">
        <f>HYPERLINK("https://us2.cloudbeds.com/connect/10074733072513#/reservations/31721238278375?display=MXA55BK47&amp;reservation_id=31721238278375", "MXA55BK47")</f>
        <v>MXA55BK47</v>
      </c>
      <c r="B5297" t="s">
        <v>10</v>
      </c>
      <c r="C5297" t="s">
        <v>42</v>
      </c>
      <c r="D5297" t="str">
        <f>HYPERLINK("https://us2.cloudbeds.com/connect/10074733072513#/reservations/31721238278375?display=Joyce%20Fortin&amp;reservation_id=31721238278375&amp;guest_id=31685161160902", "Joyce Fortin")</f>
        <v>Joyce Fortin</v>
      </c>
      <c r="E5297" t="s">
        <v>8487</v>
      </c>
      <c r="F5297" t="s">
        <v>11203</v>
      </c>
      <c r="G5297">
        <v>174.4</v>
      </c>
      <c r="H5297">
        <v>189.56</v>
      </c>
      <c r="I5297">
        <v>189.57</v>
      </c>
      <c r="J5297">
        <v>-0.01</v>
      </c>
    </row>
    <row r="5298" spans="1:10" x14ac:dyDescent="0.3">
      <c r="A5298" t="str">
        <f>HYPERLINK("https://us2.cloudbeds.com/connect/10074733072513#/reservations/31724846268556?display=MXCVBN8E0&amp;reservation_id=31724846268556", "MXCVBN8E0")</f>
        <v>MXCVBN8E0</v>
      </c>
      <c r="B5298" t="s">
        <v>10</v>
      </c>
      <c r="C5298" t="s">
        <v>42</v>
      </c>
      <c r="D5298" t="str">
        <f>HYPERLINK("https://us2.cloudbeds.com/connect/10074733072513#/reservations/31724846268556?display=Elizabeth%20Del%20Cid&amp;reservation_id=31724846268556&amp;guest_id=31724846264457", "Elizabeth Del Cid")</f>
        <v>Elizabeth Del Cid</v>
      </c>
      <c r="E5298" t="s">
        <v>11207</v>
      </c>
      <c r="F5298" t="s">
        <v>10925</v>
      </c>
      <c r="G5298">
        <v>90.1</v>
      </c>
      <c r="H5298">
        <v>97.93</v>
      </c>
      <c r="I5298">
        <v>97.94</v>
      </c>
      <c r="J5298">
        <v>-0.01</v>
      </c>
    </row>
    <row r="5299" spans="1:10" x14ac:dyDescent="0.3">
      <c r="A5299" t="str">
        <f>HYPERLINK("https://us2.cloudbeds.com/connect/10074733072513#/reservations/31720587194521?display=MX9YHB7WF&amp;reservation_id=31720587194521", "MX9YHB7WF")</f>
        <v>MX9YHB7WF</v>
      </c>
      <c r="B5299" t="s">
        <v>10</v>
      </c>
      <c r="C5299" t="s">
        <v>23</v>
      </c>
      <c r="D5299" t="str">
        <f>HYPERLINK("https://us2.cloudbeds.com/connect/10074733072513#/reservations/31720587194521?display=Dustin%20Rezac&amp;reservation_id=31720587194521&amp;guest_id=31720587194509", "Dustin Rezac")</f>
        <v>Dustin Rezac</v>
      </c>
      <c r="E5299" t="s">
        <v>11211</v>
      </c>
      <c r="F5299" t="s">
        <v>10821</v>
      </c>
      <c r="G5299">
        <v>134.1</v>
      </c>
      <c r="H5299">
        <v>145.76</v>
      </c>
      <c r="I5299">
        <v>145.77000000000001</v>
      </c>
      <c r="J5299">
        <v>-0.01</v>
      </c>
    </row>
    <row r="5300" spans="1:10" x14ac:dyDescent="0.3">
      <c r="A5300" t="str">
        <f>HYPERLINK("https://us2.cloudbeds.com/connect/10074733072513#/reservations/31721285447840?display=MXA6C45JV&amp;reservation_id=31721285447840", "MXA6C45JV")</f>
        <v>MXA6C45JV</v>
      </c>
      <c r="B5300" t="s">
        <v>10</v>
      </c>
      <c r="C5300" t="s">
        <v>42</v>
      </c>
      <c r="D5300" t="str">
        <f>HYPERLINK("https://us2.cloudbeds.com/connect/10074733072513#/reservations/31721285447840?display=Lawrence%20Schwarz&amp;reservation_id=31721285447840&amp;guest_id=31721275932870", "Lawrence Schwarz")</f>
        <v>Lawrence Schwarz</v>
      </c>
      <c r="E5300" t="s">
        <v>11214</v>
      </c>
      <c r="F5300" t="s">
        <v>11209</v>
      </c>
      <c r="G5300">
        <v>87.2</v>
      </c>
      <c r="H5300">
        <v>94.78</v>
      </c>
      <c r="I5300">
        <v>94.79</v>
      </c>
      <c r="J5300">
        <v>-0.01</v>
      </c>
    </row>
    <row r="5301" spans="1:10" x14ac:dyDescent="0.3">
      <c r="A5301" t="str">
        <f>HYPERLINK("https://us2.cloudbeds.com/connect/10074733072513#/reservations/31723561275522?display=MXBVH5E65&amp;reservation_id=31723561275522", "MXBVH5E65")</f>
        <v>MXBVH5E65</v>
      </c>
      <c r="B5301" t="s">
        <v>10</v>
      </c>
      <c r="C5301" t="s">
        <v>42</v>
      </c>
      <c r="D5301" t="str">
        <f>HYPERLINK("https://us2.cloudbeds.com/connect/10074733072513#/reservations/31723561275522?display=Jeffrey%20Donwen&amp;reservation_id=31723561275522&amp;guest_id=31723281027227", "Jeffrey Donwen")</f>
        <v>Jeffrey Donwen</v>
      </c>
      <c r="E5301" t="s">
        <v>11016</v>
      </c>
      <c r="F5301" t="s">
        <v>11203</v>
      </c>
      <c r="G5301">
        <v>87.2</v>
      </c>
      <c r="H5301">
        <v>94.78</v>
      </c>
      <c r="I5301">
        <v>94.79</v>
      </c>
      <c r="J5301">
        <v>-0.01</v>
      </c>
    </row>
    <row r="5302" spans="1:10" x14ac:dyDescent="0.3">
      <c r="A5302" t="str">
        <f>HYPERLINK("https://us2.cloudbeds.com/connect/10074733072513#/reservations/31718816559281?display=MX8999NA4&amp;reservation_id=31718816559281", "MX8999NA4")</f>
        <v>MX8999NA4</v>
      </c>
      <c r="B5302" t="s">
        <v>10</v>
      </c>
      <c r="C5302" t="s">
        <v>42</v>
      </c>
      <c r="D5302" t="str">
        <f>HYPERLINK("https://us2.cloudbeds.com/connect/10074733072513#/reservations/31718816559281?display=Elizabeth%20Biller&amp;reservation_id=31718816559281&amp;guest_id=31718816559279", "Elizabeth Biller")</f>
        <v>Elizabeth Biller</v>
      </c>
      <c r="E5302" t="s">
        <v>11222</v>
      </c>
      <c r="F5302" t="s">
        <v>11119</v>
      </c>
      <c r="G5302">
        <v>196.2</v>
      </c>
      <c r="H5302">
        <v>213.26</v>
      </c>
      <c r="I5302">
        <v>213.27</v>
      </c>
      <c r="J5302">
        <v>-0.01</v>
      </c>
    </row>
    <row r="5303" spans="1:10" x14ac:dyDescent="0.3">
      <c r="A5303" t="str">
        <f>HYPERLINK("https://us2.cloudbeds.com/connect/10074733072513#/reservations/31721295765756?display=MXA6KR992&amp;reservation_id=31721295765756", "MXA6KR992")</f>
        <v>MXA6KR992</v>
      </c>
      <c r="B5303" t="s">
        <v>10</v>
      </c>
      <c r="C5303" t="s">
        <v>42</v>
      </c>
      <c r="D5303" t="str">
        <f>HYPERLINK("https://us2.cloudbeds.com/connect/10074733072513#/reservations/31721295765756?display=Lawrence%20Schwarz&amp;reservation_id=31721295765756&amp;guest_id=31721275932870", "Lawrence Schwarz")</f>
        <v>Lawrence Schwarz</v>
      </c>
      <c r="E5303" t="s">
        <v>11214</v>
      </c>
      <c r="F5303" t="s">
        <v>11209</v>
      </c>
      <c r="G5303">
        <v>87.2</v>
      </c>
      <c r="H5303">
        <v>94.78</v>
      </c>
      <c r="I5303">
        <v>94.79</v>
      </c>
      <c r="J5303">
        <v>-0.01</v>
      </c>
    </row>
    <row r="5304" spans="1:10" x14ac:dyDescent="0.3">
      <c r="A5304" t="str">
        <f>HYPERLINK("https://us2.cloudbeds.com/connect/10074733072513#/reservations/31723074166957?display=MXBJ2DU7X&amp;reservation_id=31723074166957", "MXBJ2DU7X")</f>
        <v>MXBJ2DU7X</v>
      </c>
      <c r="B5304" t="s">
        <v>10</v>
      </c>
      <c r="C5304" t="s">
        <v>23</v>
      </c>
      <c r="D5304" t="str">
        <f>HYPERLINK("https://us2.cloudbeds.com/connect/10074733072513#/reservations/31723074166957?display=Josh%20Finstad&amp;reservation_id=31723074166957&amp;guest_id=31723062038672", "Josh Finstad")</f>
        <v>Josh Finstad</v>
      </c>
      <c r="E5304" t="s">
        <v>11223</v>
      </c>
      <c r="F5304" t="s">
        <v>11178</v>
      </c>
      <c r="G5304">
        <v>196.2</v>
      </c>
      <c r="H5304">
        <v>213.26</v>
      </c>
      <c r="I5304">
        <v>213.27</v>
      </c>
      <c r="J5304">
        <v>-0.01</v>
      </c>
    </row>
    <row r="5305" spans="1:10" x14ac:dyDescent="0.3">
      <c r="A5305" t="str">
        <f>HYPERLINK("https://us2.cloudbeds.com/connect/10074733072513#/reservations/31722296262818?display=MXAW6FJBS&amp;reservation_id=31722296262818", "MXAW6FJBS")</f>
        <v>MXAW6FJBS</v>
      </c>
      <c r="B5305" t="s">
        <v>10</v>
      </c>
      <c r="C5305" t="s">
        <v>23</v>
      </c>
      <c r="D5305" t="str">
        <f>HYPERLINK("https://us2.cloudbeds.com/connect/10074733072513#/reservations/31722296262818?display=Krystina%20Hauck&amp;reservation_id=31722296262818&amp;guest_id=31722296262815", "Krystina Hauck")</f>
        <v>Krystina Hauck</v>
      </c>
      <c r="E5305" t="s">
        <v>11229</v>
      </c>
      <c r="F5305" t="s">
        <v>11230</v>
      </c>
      <c r="G5305">
        <v>268.2</v>
      </c>
      <c r="H5305">
        <v>291.52</v>
      </c>
      <c r="I5305">
        <v>291.52999999999997</v>
      </c>
      <c r="J5305">
        <v>-0.01</v>
      </c>
    </row>
    <row r="5306" spans="1:10" x14ac:dyDescent="0.3">
      <c r="A5306" t="str">
        <f>HYPERLINK("https://us2.cloudbeds.com/connect/10074733072513#/reservations/31722571276446?display=MXB67C845&amp;reservation_id=31722571276446", "MXB67C845")</f>
        <v>MXB67C845</v>
      </c>
      <c r="B5306" t="s">
        <v>10</v>
      </c>
      <c r="C5306" t="s">
        <v>23</v>
      </c>
      <c r="D5306" t="str">
        <f>HYPERLINK("https://us2.cloudbeds.com/connect/10074733072513#/reservations/31722571276446?display=Sandra%20Vanness&amp;reservation_id=31722571276446&amp;guest_id=31722571272340", "Sandra Vanness")</f>
        <v>Sandra Vanness</v>
      </c>
      <c r="E5306" t="s">
        <v>11231</v>
      </c>
      <c r="F5306" t="s">
        <v>11220</v>
      </c>
      <c r="G5306">
        <v>182.36</v>
      </c>
      <c r="H5306">
        <v>198.22</v>
      </c>
      <c r="I5306">
        <v>198.23</v>
      </c>
      <c r="J5306">
        <v>-0.01</v>
      </c>
    </row>
    <row r="5307" spans="1:10" x14ac:dyDescent="0.3">
      <c r="A5307" t="str">
        <f>HYPERLINK("https://us2.cloudbeds.com/connect/10074733072513#/reservations/31722643779801?display=MXB82GP1H&amp;reservation_id=31722643779801", "MXB82GP1H")</f>
        <v>MXB82GP1H</v>
      </c>
      <c r="B5307" t="s">
        <v>10</v>
      </c>
      <c r="C5307" t="s">
        <v>23</v>
      </c>
      <c r="D5307" t="str">
        <f>HYPERLINK("https://us2.cloudbeds.com/connect/10074733072513#/reservations/31722643779801?display=Debra%20Weidner&amp;reservation_id=31722643779801&amp;guest_id=31722633859201", "Debra Weidner")</f>
        <v>Debra Weidner</v>
      </c>
      <c r="E5307" t="s">
        <v>11233</v>
      </c>
      <c r="F5307" t="s">
        <v>11220</v>
      </c>
      <c r="G5307">
        <v>250.2</v>
      </c>
      <c r="H5307">
        <v>271.95999999999998</v>
      </c>
      <c r="I5307">
        <v>271.97000000000003</v>
      </c>
      <c r="J5307">
        <v>-0.01</v>
      </c>
    </row>
    <row r="5308" spans="1:10" x14ac:dyDescent="0.3">
      <c r="A5308" t="str">
        <f>HYPERLINK("https://us2.cloudbeds.com/connect/10074733072513#/reservations/31720562532560?display=MX9KTHWXA&amp;reservation_id=31720562532560", "MX9KTHWXA")</f>
        <v>MX9KTHWXA</v>
      </c>
      <c r="B5308" t="s">
        <v>10</v>
      </c>
      <c r="C5308" t="s">
        <v>42</v>
      </c>
      <c r="D5308" t="str">
        <f>HYPERLINK("https://us2.cloudbeds.com/connect/10074733072513#/reservations/31720562532560?display=Peter%20White&amp;reservation_id=31720562532560&amp;guest_id=31720562528468", "Peter White")</f>
        <v>Peter White</v>
      </c>
      <c r="E5308" t="s">
        <v>11243</v>
      </c>
      <c r="F5308" t="s">
        <v>11242</v>
      </c>
      <c r="G5308">
        <v>196.2</v>
      </c>
      <c r="H5308">
        <v>213.26</v>
      </c>
      <c r="I5308">
        <v>213.27</v>
      </c>
      <c r="J5308">
        <v>-0.01</v>
      </c>
    </row>
    <row r="5309" spans="1:10" x14ac:dyDescent="0.3">
      <c r="A5309" t="str">
        <f>HYPERLINK("https://us2.cloudbeds.com/connect/10074733072513#/reservations/31720509034651?display=MX9JHEARX&amp;reservation_id=31720509034651", "MX9JHEARX")</f>
        <v>MX9JHEARX</v>
      </c>
      <c r="B5309" t="s">
        <v>10</v>
      </c>
      <c r="C5309" t="s">
        <v>42</v>
      </c>
      <c r="D5309" t="str">
        <f>HYPERLINK("https://us2.cloudbeds.com/connect/10074733072513#/reservations/31720509034651?display=Steve%20Olson%20Water%20Plumbing%20Company&amp;reservation_id=31720509034651&amp;guest_id=31720500613327", "Steve Olson Water Plumbing Company")</f>
        <v>Steve Olson Water Plumbing Company</v>
      </c>
      <c r="E5309" t="s">
        <v>11251</v>
      </c>
      <c r="F5309" t="s">
        <v>11249</v>
      </c>
      <c r="G5309">
        <v>196.2</v>
      </c>
      <c r="H5309">
        <v>213.26</v>
      </c>
      <c r="I5309">
        <v>213.27</v>
      </c>
      <c r="J5309">
        <v>-0.01</v>
      </c>
    </row>
    <row r="5310" spans="1:10" x14ac:dyDescent="0.3">
      <c r="A5310" t="str">
        <f>HYPERLINK("https://us2.cloudbeds.com/connect/10074733072513#/reservations/31722793881810?display=MXBBU2XP2&amp;reservation_id=31722793881810", "MXBBU2XP2")</f>
        <v>MXBBU2XP2</v>
      </c>
      <c r="B5310" t="s">
        <v>10</v>
      </c>
      <c r="C5310" t="s">
        <v>42</v>
      </c>
      <c r="D5310" t="str">
        <f>HYPERLINK("https://us2.cloudbeds.com/connect/10074733072513#/reservations/31722793881810?display=Mark%20Terpstra&amp;reservation_id=31722793881810&amp;guest_id=31722781667463", "Mark Terpstra")</f>
        <v>Mark Terpstra</v>
      </c>
      <c r="E5310" t="s">
        <v>11256</v>
      </c>
      <c r="F5310" t="s">
        <v>11257</v>
      </c>
      <c r="G5310">
        <v>259.2</v>
      </c>
      <c r="H5310">
        <v>281.74</v>
      </c>
      <c r="I5310">
        <v>281.75</v>
      </c>
      <c r="J5310">
        <v>-0.01</v>
      </c>
    </row>
    <row r="5311" spans="1:10" x14ac:dyDescent="0.3">
      <c r="A5311" t="str">
        <f>HYPERLINK("https://us2.cloudbeds.com/connect/10074733072513#/reservations/31723030548611?display=MXBHVY5YG&amp;reservation_id=31723030548611", "MXBHVY5YG")</f>
        <v>MXBHVY5YG</v>
      </c>
      <c r="B5311" t="s">
        <v>10</v>
      </c>
      <c r="C5311" t="s">
        <v>23</v>
      </c>
      <c r="D5311" t="str">
        <f>HYPERLINK("https://us2.cloudbeds.com/connect/10074733072513#/reservations/31723030548611?display=Salomon%20Dominguez&amp;reservation_id=31723030548611&amp;guest_id=31723030544552", "Salomon Dominguez")</f>
        <v>Salomon Dominguez</v>
      </c>
      <c r="E5311" t="s">
        <v>11260</v>
      </c>
      <c r="F5311" t="s">
        <v>11261</v>
      </c>
      <c r="G5311">
        <v>134.1</v>
      </c>
      <c r="H5311">
        <v>145.76</v>
      </c>
      <c r="I5311">
        <v>145.77000000000001</v>
      </c>
      <c r="J5311">
        <v>-0.01</v>
      </c>
    </row>
    <row r="5312" spans="1:10" x14ac:dyDescent="0.3">
      <c r="A5312" t="str">
        <f>HYPERLINK("https://us2.cloudbeds.com/connect/10074733072513#/reservations/31720441450645?display=MX9HQEN7C&amp;reservation_id=31720441450645", "MX9HQEN7C")</f>
        <v>MX9HQEN7C</v>
      </c>
      <c r="B5312" t="s">
        <v>10</v>
      </c>
      <c r="C5312" t="s">
        <v>23</v>
      </c>
      <c r="D5312" t="str">
        <f>HYPERLINK("https://us2.cloudbeds.com/connect/10074733072513#/reservations/31720441450645?display=Dina%20Rizzotto&amp;reservation_id=31720441450645&amp;guest_id=31720441450634", "Dina Rizzotto")</f>
        <v>Dina Rizzotto</v>
      </c>
      <c r="E5312" t="s">
        <v>11268</v>
      </c>
      <c r="F5312" t="s">
        <v>11044</v>
      </c>
      <c r="G5312">
        <v>375.3</v>
      </c>
      <c r="H5312">
        <v>407.94</v>
      </c>
      <c r="I5312">
        <v>407.95</v>
      </c>
      <c r="J5312">
        <v>-0.01</v>
      </c>
    </row>
    <row r="5313" spans="1:10" x14ac:dyDescent="0.3">
      <c r="A5313" t="str">
        <f>HYPERLINK("https://us2.cloudbeds.com/connect/10074733072513#/reservations/31721965912234?display=MXANZU343&amp;reservation_id=31721965912234", "MXANZU343")</f>
        <v>MXANZU343</v>
      </c>
      <c r="B5313" t="s">
        <v>10</v>
      </c>
      <c r="C5313" t="s">
        <v>42</v>
      </c>
      <c r="D5313" t="str">
        <f>HYPERLINK("https://us2.cloudbeds.com/connect/10074733072513#/reservations/31721965912234?display=Michael%20Spellman&amp;reservation_id=31721965912234&amp;guest_id=31721965912219", "Michael Spellman")</f>
        <v>Michael Spellman</v>
      </c>
      <c r="E5313" t="s">
        <v>11271</v>
      </c>
      <c r="F5313" t="s">
        <v>11044</v>
      </c>
      <c r="G5313">
        <v>268.2</v>
      </c>
      <c r="H5313">
        <v>291.52</v>
      </c>
      <c r="I5313">
        <v>291.52999999999997</v>
      </c>
      <c r="J5313">
        <v>-0.01</v>
      </c>
    </row>
    <row r="5314" spans="1:10" x14ac:dyDescent="0.3">
      <c r="A5314" t="str">
        <f>HYPERLINK("https://us2.cloudbeds.com/connect/10074733072513#/reservations/31720763445490?display=MX9Q0VMJU&amp;reservation_id=31720763445490", "MX9Q0VMJU")</f>
        <v>MX9Q0VMJU</v>
      </c>
      <c r="B5314" t="s">
        <v>10</v>
      </c>
      <c r="C5314" t="s">
        <v>23</v>
      </c>
      <c r="D5314" t="str">
        <f>HYPERLINK("https://us2.cloudbeds.com/connect/10074733072513#/reservations/31720763445490?display=Lois%20Shelly&amp;reservation_id=31720763445490&amp;guest_id=31720763445485", "Lois Shelly")</f>
        <v>Lois Shelly</v>
      </c>
      <c r="E5314" t="s">
        <v>11273</v>
      </c>
      <c r="F5314" t="s">
        <v>11216</v>
      </c>
      <c r="G5314">
        <v>268.2</v>
      </c>
      <c r="H5314">
        <v>291.52</v>
      </c>
      <c r="I5314">
        <v>291.52999999999997</v>
      </c>
      <c r="J5314">
        <v>-0.01</v>
      </c>
    </row>
    <row r="5315" spans="1:10" x14ac:dyDescent="0.3">
      <c r="A5315" t="str">
        <f>HYPERLINK("https://us2.cloudbeds.com/connect/10074733072513#/reservations/31722498318582?display=MXB4BS2RQ&amp;reservation_id=31722498318582", "MXB4BS2RQ")</f>
        <v>MXB4BS2RQ</v>
      </c>
      <c r="B5315" t="s">
        <v>10</v>
      </c>
      <c r="C5315" t="s">
        <v>23</v>
      </c>
      <c r="D5315" t="str">
        <f>HYPERLINK("https://us2.cloudbeds.com/connect/10074733072513#/reservations/31722498318582?display=Jodie%20Shelly&amp;reservation_id=31722498318582&amp;guest_id=31722498318578", "Jodie Shelly")</f>
        <v>Jodie Shelly</v>
      </c>
      <c r="E5315" t="s">
        <v>11274</v>
      </c>
      <c r="F5315" t="s">
        <v>11216</v>
      </c>
      <c r="G5315">
        <v>268.2</v>
      </c>
      <c r="H5315">
        <v>291.52</v>
      </c>
      <c r="I5315">
        <v>291.52999999999997</v>
      </c>
      <c r="J5315">
        <v>-0.01</v>
      </c>
    </row>
    <row r="5316" spans="1:10" x14ac:dyDescent="0.3">
      <c r="A5316" t="str">
        <f>HYPERLINK("https://us2.cloudbeds.com/connect/10074733072513#/reservations/31720188084474?display=MX9BAQDZK&amp;reservation_id=31720188084474", "MX9BAQDZK")</f>
        <v>MX9BAQDZK</v>
      </c>
      <c r="B5316" t="s">
        <v>10</v>
      </c>
      <c r="C5316" t="s">
        <v>23</v>
      </c>
      <c r="D5316" t="str">
        <f>HYPERLINK("https://us2.cloudbeds.com/connect/10074733072513#/reservations/31720188084474?display=Dave%20Schroeder&amp;reservation_id=31720188084474&amp;guest_id=31720188084472", "Dave Schroeder")</f>
        <v>Dave Schroeder</v>
      </c>
      <c r="E5316" t="s">
        <v>11276</v>
      </c>
      <c r="F5316" t="s">
        <v>11200</v>
      </c>
      <c r="G5316">
        <v>343.2</v>
      </c>
      <c r="H5316">
        <v>373.05</v>
      </c>
      <c r="I5316">
        <v>373.06</v>
      </c>
      <c r="J5316">
        <v>-0.01</v>
      </c>
    </row>
    <row r="5317" spans="1:10" x14ac:dyDescent="0.3">
      <c r="A5317" t="str">
        <f>HYPERLINK("https://us2.cloudbeds.com/connect/10074733072513#/reservations/31722274820291?display=MXAVYCU8A&amp;reservation_id=31722274820291", "MXAVYCU8A")</f>
        <v>MXAVYCU8A</v>
      </c>
      <c r="B5317" t="s">
        <v>10</v>
      </c>
      <c r="C5317" t="s">
        <v>42</v>
      </c>
      <c r="D5317" t="str">
        <f>HYPERLINK("https://us2.cloudbeds.com/connect/10074733072513#/reservations/31722274820291?display=Michelle%20Sudbeck&amp;reservation_id=31722274820291&amp;guest_id=31722274816194", "Michelle Sudbeck")</f>
        <v>Michelle Sudbeck</v>
      </c>
      <c r="E5317" t="s">
        <v>11289</v>
      </c>
      <c r="F5317" t="s">
        <v>11230</v>
      </c>
      <c r="G5317">
        <v>375.3</v>
      </c>
      <c r="H5317">
        <v>407.94</v>
      </c>
      <c r="I5317">
        <v>407.95</v>
      </c>
      <c r="J5317">
        <v>-0.01</v>
      </c>
    </row>
    <row r="5318" spans="1:10" x14ac:dyDescent="0.3">
      <c r="A5318" t="str">
        <f>HYPERLINK("https://us2.cloudbeds.com/connect/10074733072513#/reservations/31723160502507?display=MXBY97ATB&amp;reservation_id=31723160502507", "MXBY97ATB")</f>
        <v>MXBY97ATB</v>
      </c>
      <c r="B5318" t="s">
        <v>10</v>
      </c>
      <c r="C5318" t="s">
        <v>121</v>
      </c>
      <c r="D5318" t="str">
        <f>HYPERLINK("https://us2.cloudbeds.com/connect/10074733072513#/reservations/31723160502507?display=Ken%20Engel&amp;reservation_id=31723160502507&amp;guest_id=30655691956384", "Ken Engel")</f>
        <v>Ken Engel</v>
      </c>
      <c r="E5318" t="s">
        <v>11296</v>
      </c>
      <c r="F5318" t="s">
        <v>11259</v>
      </c>
      <c r="G5318">
        <v>103.2</v>
      </c>
      <c r="H5318">
        <v>112.17</v>
      </c>
      <c r="I5318">
        <v>112.18</v>
      </c>
      <c r="J5318">
        <v>-0.01</v>
      </c>
    </row>
    <row r="5319" spans="1:10" x14ac:dyDescent="0.3">
      <c r="A5319" t="str">
        <f>HYPERLINK("https://us2.cloudbeds.com/connect/10074733072513#/reservations/31722269933787?display=MXAVH8V3E&amp;reservation_id=31722269933787", "MXAVH8V3E")</f>
        <v>MXAVH8V3E</v>
      </c>
      <c r="B5319" t="s">
        <v>10</v>
      </c>
      <c r="C5319" t="s">
        <v>23</v>
      </c>
      <c r="D5319" t="str">
        <f>HYPERLINK("https://us2.cloudbeds.com/connect/10074733072513#/reservations/31722269933787?display=Brandon%20Steen&amp;reservation_id=31722269933787&amp;guest_id=31722260721803", "Brandon Steen")</f>
        <v>Brandon Steen</v>
      </c>
      <c r="E5319" t="s">
        <v>11318</v>
      </c>
      <c r="F5319" t="s">
        <v>11230</v>
      </c>
      <c r="G5319">
        <v>268.2</v>
      </c>
      <c r="H5319">
        <v>291.52</v>
      </c>
      <c r="I5319">
        <v>291.52999999999997</v>
      </c>
      <c r="J5319">
        <v>-0.01</v>
      </c>
    </row>
    <row r="5320" spans="1:10" x14ac:dyDescent="0.3">
      <c r="A5320" t="str">
        <f>HYPERLINK("https://us2.cloudbeds.com/connect/10074733072513#/reservations/31723612663941?display=MXBWRGCQW&amp;reservation_id=31723612663941", "MXBWRGCQW")</f>
        <v>MXBWRGCQW</v>
      </c>
      <c r="B5320" t="s">
        <v>10</v>
      </c>
      <c r="C5320" t="s">
        <v>23</v>
      </c>
      <c r="D5320" t="str">
        <f>HYPERLINK("https://us2.cloudbeds.com/connect/10074733072513#/reservations/31723612663941?display=Aaron%20Spangenberg&amp;reservation_id=31723612663941&amp;guest_id=31723612659849", "Aaron Spangenberg")</f>
        <v>Aaron Spangenberg</v>
      </c>
      <c r="E5320" t="s">
        <v>11329</v>
      </c>
      <c r="F5320" t="s">
        <v>11247</v>
      </c>
      <c r="G5320">
        <v>304.2</v>
      </c>
      <c r="H5320">
        <v>330.66</v>
      </c>
      <c r="I5320">
        <v>330.67</v>
      </c>
      <c r="J5320">
        <v>-0.01</v>
      </c>
    </row>
    <row r="5321" spans="1:10" x14ac:dyDescent="0.3">
      <c r="A5321" t="str">
        <f>HYPERLINK("https://us2.cloudbeds.com/connect/10074733072513#/reservations/31722234118332?display=MXAUK2ANK&amp;reservation_id=31722234118332", "MXAUK2ANK")</f>
        <v>MXAUK2ANK</v>
      </c>
      <c r="B5321" t="s">
        <v>10</v>
      </c>
      <c r="C5321" t="s">
        <v>23</v>
      </c>
      <c r="D5321" t="str">
        <f>HYPERLINK("https://us2.cloudbeds.com/connect/10074733072513#/reservations/31722234118332?display=Matthew%20Mcconaughy&amp;reservation_id=31722234118332&amp;guest_id=31722234118272", "Matthew Mcconaughy")</f>
        <v>Matthew Mcconaughy</v>
      </c>
      <c r="E5321" t="s">
        <v>11330</v>
      </c>
      <c r="F5321" t="s">
        <v>11230</v>
      </c>
      <c r="G5321">
        <v>268.2</v>
      </c>
      <c r="H5321">
        <v>291.52</v>
      </c>
      <c r="I5321">
        <v>291.52999999999997</v>
      </c>
      <c r="J5321">
        <v>-0.01</v>
      </c>
    </row>
    <row r="5322" spans="1:10" x14ac:dyDescent="0.3">
      <c r="A5322" t="str">
        <f>HYPERLINK("https://us2.cloudbeds.com/connect/10074733072513#/reservations/31722029768926?display=MXAPCP01C&amp;reservation_id=31722029768926", "MXAPCP01C")</f>
        <v>MXAPCP01C</v>
      </c>
      <c r="B5322" t="s">
        <v>10</v>
      </c>
      <c r="C5322" t="s">
        <v>42</v>
      </c>
      <c r="D5322" t="str">
        <f>HYPERLINK("https://us2.cloudbeds.com/connect/10074733072513#/reservations/31722029768926?display=Marchelle%20Scholl&amp;reservation_id=31722029768926&amp;guest_id=31722029768923", "Marchelle Scholl")</f>
        <v>Marchelle Scholl</v>
      </c>
      <c r="E5322" t="s">
        <v>11331</v>
      </c>
      <c r="F5322" t="s">
        <v>11191</v>
      </c>
      <c r="G5322">
        <v>87.2</v>
      </c>
      <c r="H5322">
        <v>94.78</v>
      </c>
      <c r="I5322">
        <v>94.79</v>
      </c>
      <c r="J5322">
        <v>-0.01</v>
      </c>
    </row>
    <row r="5323" spans="1:10" x14ac:dyDescent="0.3">
      <c r="A5323" t="str">
        <f>HYPERLINK("https://us2.cloudbeds.com/connect/10074733072513#/reservations/31723517141221?display=MXBUCVAR3&amp;reservation_id=31723517141221", "MXBUCVAR3")</f>
        <v>MXBUCVAR3</v>
      </c>
      <c r="B5323" t="s">
        <v>10</v>
      </c>
      <c r="C5323" t="s">
        <v>42</v>
      </c>
      <c r="D5323" t="str">
        <f>HYPERLINK("https://us2.cloudbeds.com/connect/10074733072513#/reservations/31723517141221?display=Tina%20Schuman&amp;reservation_id=31723517141221&amp;guest_id=31723517141209", "Tina Schuman")</f>
        <v>Tina Schuman</v>
      </c>
      <c r="E5323" t="s">
        <v>11339</v>
      </c>
      <c r="F5323" t="s">
        <v>11191</v>
      </c>
      <c r="G5323">
        <v>87.2</v>
      </c>
      <c r="H5323">
        <v>94.78</v>
      </c>
      <c r="I5323">
        <v>94.79</v>
      </c>
      <c r="J5323">
        <v>-0.01</v>
      </c>
    </row>
    <row r="5324" spans="1:10" x14ac:dyDescent="0.3">
      <c r="A5324" t="str">
        <f>HYPERLINK("https://us2.cloudbeds.com/connect/10074733072513#/reservations/31721812091056?display=MXAJR6Q69&amp;reservation_id=31721812091056", "MXAJR6Q69")</f>
        <v>MXAJR6Q69</v>
      </c>
      <c r="B5324" t="s">
        <v>10</v>
      </c>
      <c r="C5324" t="s">
        <v>23</v>
      </c>
      <c r="D5324" t="str">
        <f>HYPERLINK("https://us2.cloudbeds.com/connect/10074733072513#/reservations/31721812091056?display=Danielle%20Riele&amp;reservation_id=31721812091056&amp;guest_id=31721803243737", "Danielle Riele")</f>
        <v>Danielle Riele</v>
      </c>
      <c r="E5324" t="s">
        <v>11355</v>
      </c>
      <c r="F5324" t="s">
        <v>11356</v>
      </c>
      <c r="G5324">
        <v>196.2</v>
      </c>
      <c r="H5324">
        <v>213.26</v>
      </c>
      <c r="I5324">
        <v>213.27</v>
      </c>
      <c r="J5324">
        <v>-0.01</v>
      </c>
    </row>
    <row r="5325" spans="1:10" x14ac:dyDescent="0.3">
      <c r="A5325" t="str">
        <f>HYPERLINK("https://us2.cloudbeds.com/connect/10074733072513#/reservations/31723979366539?display=MXC96NE4U&amp;reservation_id=31723979366539", "MXC96NE4U")</f>
        <v>MXC96NE4U</v>
      </c>
      <c r="B5325" t="s">
        <v>10</v>
      </c>
      <c r="C5325" t="s">
        <v>23</v>
      </c>
      <c r="D5325" t="str">
        <f>HYPERLINK("https://us2.cloudbeds.com/connect/10074733072513#/reservations/31723979366539?display=Cassie%20Lansdowne&amp;reservation_id=31723979366539&amp;guest_id=31723979362433", "Cassie Lansdowne")</f>
        <v>Cassie Lansdowne</v>
      </c>
      <c r="E5325" t="s">
        <v>11359</v>
      </c>
      <c r="F5325" t="s">
        <v>11356</v>
      </c>
      <c r="G5325">
        <v>196.2</v>
      </c>
      <c r="H5325">
        <v>213.26</v>
      </c>
      <c r="I5325">
        <v>213.27</v>
      </c>
      <c r="J5325">
        <v>-0.01</v>
      </c>
    </row>
    <row r="5326" spans="1:10" x14ac:dyDescent="0.3">
      <c r="A5326" t="str">
        <f>HYPERLINK("https://us2.cloudbeds.com/connect/10074733072513#/reservations/31723612688571?display=MXBWRH2E3&amp;reservation_id=31723612688571", "MXBWRH2E3")</f>
        <v>MXBWRH2E3</v>
      </c>
      <c r="B5326" t="s">
        <v>10</v>
      </c>
      <c r="C5326" t="s">
        <v>121</v>
      </c>
      <c r="D5326" t="str">
        <f>HYPERLINK("https://us2.cloudbeds.com/connect/10074733072513#/reservations/31723612688571?display=Leslie%20Lundquist&amp;reservation_id=31723612688571&amp;guest_id=31721030451400", "Leslie Lundquist")</f>
        <v>Leslie Lundquist</v>
      </c>
      <c r="E5326" t="s">
        <v>11364</v>
      </c>
      <c r="F5326" t="s">
        <v>11102</v>
      </c>
      <c r="G5326">
        <v>84.15</v>
      </c>
      <c r="H5326">
        <v>91.46</v>
      </c>
      <c r="I5326">
        <v>91.47</v>
      </c>
      <c r="J5326">
        <v>-0.01</v>
      </c>
    </row>
    <row r="5327" spans="1:10" x14ac:dyDescent="0.3">
      <c r="A5327" t="str">
        <f>HYPERLINK("https://us2.cloudbeds.com/connect/10074733072513#/reservations/31723996160142?display=MXC9KSZ8W&amp;reservation_id=31723996160142", "MXC9KSZ8W")</f>
        <v>MXC9KSZ8W</v>
      </c>
      <c r="B5327" t="s">
        <v>10</v>
      </c>
      <c r="C5327" t="s">
        <v>121</v>
      </c>
      <c r="D5327" t="str">
        <f>HYPERLINK("https://us2.cloudbeds.com/connect/10074733072513#/reservations/31723996160142?display=Cindy%20Krull&amp;reservation_id=31723996160142&amp;guest_id=31717895520455", "Cindy Krull")</f>
        <v>Cindy Krull</v>
      </c>
      <c r="E5327" t="s">
        <v>11386</v>
      </c>
      <c r="F5327" t="s">
        <v>11360</v>
      </c>
      <c r="G5327">
        <v>84.15</v>
      </c>
      <c r="H5327">
        <v>91.46</v>
      </c>
      <c r="I5327">
        <v>91.47</v>
      </c>
      <c r="J5327">
        <v>-0.01</v>
      </c>
    </row>
    <row r="5328" spans="1:10" x14ac:dyDescent="0.3">
      <c r="A5328" t="str">
        <f>HYPERLINK("https://us2.cloudbeds.com/connect/10074733072513#/reservations/31719638507745?display=MX8U9CKUB&amp;reservation_id=31719638507745", "MX8U9CKUB")</f>
        <v>MX8U9CKUB</v>
      </c>
      <c r="B5328" t="s">
        <v>10</v>
      </c>
      <c r="C5328" t="s">
        <v>42</v>
      </c>
      <c r="D5328" t="str">
        <f>HYPERLINK("https://us2.cloudbeds.com/connect/10074733072513#/reservations/31719638507745?display=Josh%20Janousek&amp;reservation_id=31719638507745&amp;guest_id=31719638503651", "Josh Janousek")</f>
        <v>Josh Janousek</v>
      </c>
      <c r="E5328" t="s">
        <v>11405</v>
      </c>
      <c r="F5328" t="s">
        <v>11373</v>
      </c>
      <c r="G5328">
        <v>87.2</v>
      </c>
      <c r="H5328">
        <v>94.78</v>
      </c>
      <c r="I5328">
        <v>94.79</v>
      </c>
      <c r="J5328">
        <v>-0.01</v>
      </c>
    </row>
    <row r="5329" spans="1:10" x14ac:dyDescent="0.3">
      <c r="A5329" t="str">
        <f>HYPERLINK("https://us2.cloudbeds.com/connect/10074733072513#/reservations/31721468260491?display=MXAB196Y8&amp;reservation_id=31721468260491", "MXAB196Y8")</f>
        <v>MXAB196Y8</v>
      </c>
      <c r="B5329" t="s">
        <v>10</v>
      </c>
      <c r="C5329" t="s">
        <v>23</v>
      </c>
      <c r="D5329" t="str">
        <f>HYPERLINK("https://us2.cloudbeds.com/connect/10074733072513#/reservations/31721468260491?display=Mathew%20Wagner&amp;reservation_id=31721468260491&amp;guest_id=31721468260486", "Mathew Wagner")</f>
        <v>Mathew Wagner</v>
      </c>
      <c r="E5329" t="s">
        <v>11407</v>
      </c>
      <c r="F5329" t="s">
        <v>11247</v>
      </c>
      <c r="G5329">
        <v>134.1</v>
      </c>
      <c r="H5329">
        <v>145.76</v>
      </c>
      <c r="I5329">
        <v>145.77000000000001</v>
      </c>
      <c r="J5329">
        <v>-0.01</v>
      </c>
    </row>
    <row r="5330" spans="1:10" x14ac:dyDescent="0.3">
      <c r="A5330" t="str">
        <f>HYPERLINK("https://us2.cloudbeds.com/connect/10074733072513#/reservations/31718762647768?display=MX87TRHPT&amp;reservation_id=31718762647768", "MX87TRHPT")</f>
        <v>MX87TRHPT</v>
      </c>
      <c r="B5330" t="s">
        <v>10</v>
      </c>
      <c r="C5330" t="s">
        <v>23</v>
      </c>
      <c r="D5330" t="str">
        <f>HYPERLINK("https://us2.cloudbeds.com/connect/10074733072513#/reservations/31718762647768?display=Lisa%20Frahm&amp;reservation_id=31718762647768&amp;guest_id=31718753484935", "Lisa Frahm")</f>
        <v>Lisa Frahm</v>
      </c>
      <c r="E5330" t="s">
        <v>11408</v>
      </c>
      <c r="F5330" t="s">
        <v>11196</v>
      </c>
      <c r="G5330">
        <v>134.1</v>
      </c>
      <c r="H5330">
        <v>145.76</v>
      </c>
      <c r="I5330">
        <v>145.77000000000001</v>
      </c>
      <c r="J5330">
        <v>-0.01</v>
      </c>
    </row>
    <row r="5331" spans="1:10" x14ac:dyDescent="0.3">
      <c r="A5331" t="str">
        <f>HYPERLINK("https://us2.cloudbeds.com/connect/10074733072513#/reservations/31717741527243?display=MX7EQQBNN&amp;reservation_id=31717741527243", "MX7EQQBNN")</f>
        <v>MX7EQQBNN</v>
      </c>
      <c r="B5331" t="s">
        <v>10</v>
      </c>
      <c r="C5331" t="s">
        <v>23</v>
      </c>
      <c r="D5331" t="str">
        <f>HYPERLINK("https://us2.cloudbeds.com/connect/10074733072513#/reservations/31717741527243?display=Becky%20Buckmaster&amp;reservation_id=31717741527243&amp;guest_id=31717736599793", "Becky Buckmaster")</f>
        <v>Becky Buckmaster</v>
      </c>
      <c r="E5331" t="s">
        <v>11424</v>
      </c>
      <c r="F5331" t="s">
        <v>11425</v>
      </c>
      <c r="G5331">
        <v>134.1</v>
      </c>
      <c r="H5331">
        <v>145.76</v>
      </c>
      <c r="I5331">
        <v>145.77000000000001</v>
      </c>
      <c r="J5331">
        <v>-0.01</v>
      </c>
    </row>
    <row r="5332" spans="1:10" x14ac:dyDescent="0.3">
      <c r="A5332" t="str">
        <f>HYPERLINK("https://us2.cloudbeds.com/connect/10074733072513#/reservations/31722437800130?display=MXB2QR2BA&amp;reservation_id=31722437800130", "MXB2QR2BA")</f>
        <v>MXB2QR2BA</v>
      </c>
      <c r="B5332" t="s">
        <v>10</v>
      </c>
      <c r="C5332" t="s">
        <v>42</v>
      </c>
      <c r="D5332" t="str">
        <f>HYPERLINK("https://us2.cloudbeds.com/connect/10074733072513#/reservations/31722437800130?display=Anita%20Honke&amp;reservation_id=31722437800130&amp;guest_id=31720186683574", "Anita Honke")</f>
        <v>Anita Honke</v>
      </c>
      <c r="E5332" t="s">
        <v>11429</v>
      </c>
      <c r="F5332" t="s">
        <v>11216</v>
      </c>
      <c r="G5332">
        <v>134.1</v>
      </c>
      <c r="H5332">
        <v>145.76</v>
      </c>
      <c r="I5332">
        <v>145.77000000000001</v>
      </c>
      <c r="J5332">
        <v>-0.01</v>
      </c>
    </row>
    <row r="5333" spans="1:10" x14ac:dyDescent="0.3">
      <c r="A5333" t="str">
        <f>HYPERLINK("https://us2.cloudbeds.com/connect/10074733072513#/reservations/31720742056175?display=MX9PFUGBS&amp;reservation_id=31720742056175", "MX9PFUGBS")</f>
        <v>MX9PFUGBS</v>
      </c>
      <c r="B5333" t="s">
        <v>10</v>
      </c>
      <c r="C5333" t="s">
        <v>23</v>
      </c>
      <c r="D5333" t="str">
        <f>HYPERLINK("https://us2.cloudbeds.com/connect/10074733072513#/reservations/31720742056175?display=Annie%20Staverman&amp;reservation_id=31720742056175&amp;guest_id=31720742056142", "Annie Staverman")</f>
        <v>Annie Staverman</v>
      </c>
      <c r="E5333" t="s">
        <v>11431</v>
      </c>
      <c r="F5333" t="s">
        <v>11216</v>
      </c>
      <c r="G5333">
        <v>250.2</v>
      </c>
      <c r="H5333">
        <v>271.95999999999998</v>
      </c>
      <c r="I5333">
        <v>271.97000000000003</v>
      </c>
      <c r="J5333">
        <v>-0.01</v>
      </c>
    </row>
    <row r="5334" spans="1:10" x14ac:dyDescent="0.3">
      <c r="A5334" t="str">
        <f>HYPERLINK("https://us2.cloudbeds.com/connect/10074733072513#/reservations/31720313139337?display=MX9EH88AU&amp;reservation_id=31720313139337", "MX9EH88AU")</f>
        <v>MX9EH88AU</v>
      </c>
      <c r="B5334" t="s">
        <v>10</v>
      </c>
      <c r="C5334" t="s">
        <v>23</v>
      </c>
      <c r="D5334" t="str">
        <f>HYPERLINK("https://us2.cloudbeds.com/connect/10074733072513#/reservations/31720313139337?display=Ronald%20Zurba&amp;reservation_id=31720313139337&amp;guest_id=31720305656039", "Ronald Zurba")</f>
        <v>Ronald Zurba</v>
      </c>
      <c r="E5334" t="s">
        <v>11434</v>
      </c>
      <c r="F5334" t="s">
        <v>11435</v>
      </c>
      <c r="G5334">
        <v>134.1</v>
      </c>
      <c r="H5334">
        <v>145.76</v>
      </c>
      <c r="I5334">
        <v>145.77000000000001</v>
      </c>
      <c r="J5334">
        <v>-0.01</v>
      </c>
    </row>
    <row r="5335" spans="1:10" x14ac:dyDescent="0.3">
      <c r="A5335" t="str">
        <f>HYPERLINK("https://us2.cloudbeds.com/connect/10074733072513#/reservations/31722239267039?display=MXAUZDJY1&amp;reservation_id=31722239267039", "MXAUZDJY1")</f>
        <v>MXAUZDJY1</v>
      </c>
      <c r="B5335" t="s">
        <v>10</v>
      </c>
      <c r="C5335" t="s">
        <v>23</v>
      </c>
      <c r="D5335" t="str">
        <f>HYPERLINK("https://us2.cloudbeds.com/connect/10074733072513#/reservations/31722239267039?display=Jaon%20Betts&amp;reservation_id=31722239267039&amp;guest_id=31722239267036", "Jaon Betts")</f>
        <v>Jaon Betts</v>
      </c>
      <c r="E5335" t="s">
        <v>11438</v>
      </c>
      <c r="F5335" t="s">
        <v>11230</v>
      </c>
      <c r="G5335">
        <v>134.1</v>
      </c>
      <c r="H5335">
        <v>145.76</v>
      </c>
      <c r="I5335">
        <v>145.77000000000001</v>
      </c>
      <c r="J5335">
        <v>-0.01</v>
      </c>
    </row>
    <row r="5336" spans="1:10" x14ac:dyDescent="0.3">
      <c r="A5336" t="str">
        <f>HYPERLINK("https://us2.cloudbeds.com/connect/10074733072513#/reservations/31723391738047?display=MXBR66QCU&amp;reservation_id=31723391738047", "MXBR66QCU")</f>
        <v>MXBR66QCU</v>
      </c>
      <c r="B5336" t="s">
        <v>10</v>
      </c>
      <c r="C5336" t="s">
        <v>42</v>
      </c>
      <c r="D5336" t="str">
        <f>HYPERLINK("https://us2.cloudbeds.com/connect/10074733072513#/reservations/31723391738047?display=Sheryl%20Noteboom&amp;reservation_id=31723391738047&amp;guest_id=31723391738031", "Sheryl Noteboom")</f>
        <v>Sheryl Noteboom</v>
      </c>
      <c r="E5336" t="s">
        <v>11443</v>
      </c>
      <c r="F5336" t="s">
        <v>11444</v>
      </c>
      <c r="G5336">
        <v>84.15</v>
      </c>
      <c r="H5336">
        <v>91.46</v>
      </c>
      <c r="I5336">
        <v>91.47</v>
      </c>
      <c r="J5336">
        <v>-0.01</v>
      </c>
    </row>
    <row r="5337" spans="1:10" x14ac:dyDescent="0.3">
      <c r="A5337" t="str">
        <f>HYPERLINK("https://us2.cloudbeds.com/connect/10074733072513#/reservations/31718451396759?display=MX7WVCH65&amp;reservation_id=31718451396759", "MX7WVCH65")</f>
        <v>MX7WVCH65</v>
      </c>
      <c r="B5337" t="s">
        <v>10</v>
      </c>
      <c r="C5337" t="s">
        <v>42</v>
      </c>
      <c r="D5337" t="str">
        <f>HYPERLINK("https://us2.cloudbeds.com/connect/10074733072513#/reservations/31718451396759?display=Tim%20Thole&amp;reservation_id=31718451396759&amp;guest_id=31718451392663", "Tim Thole")</f>
        <v>Tim Thole</v>
      </c>
      <c r="E5337" t="s">
        <v>11449</v>
      </c>
      <c r="F5337" t="s">
        <v>11293</v>
      </c>
      <c r="G5337">
        <v>250.2</v>
      </c>
      <c r="H5337">
        <v>271.95999999999998</v>
      </c>
      <c r="I5337">
        <v>271.97000000000003</v>
      </c>
      <c r="J5337">
        <v>-0.01</v>
      </c>
    </row>
    <row r="5338" spans="1:10" x14ac:dyDescent="0.3">
      <c r="A5338" t="str">
        <f>HYPERLINK("https://us2.cloudbeds.com/connect/10074733072513#/reservations/31723121619107?display=MXBK9EB9G&amp;reservation_id=31723121619107", "MXBK9EB9G")</f>
        <v>MXBK9EB9G</v>
      </c>
      <c r="B5338" t="s">
        <v>10</v>
      </c>
      <c r="C5338" t="s">
        <v>42</v>
      </c>
      <c r="D5338" t="str">
        <f>HYPERLINK("https://us2.cloudbeds.com/connect/10074733072513#/reservations/31723121619107?display=Michael%20Schwake&amp;reservation_id=31723121619107&amp;guest_id=31717486862488", "Michael Schwake")</f>
        <v>Michael Schwake</v>
      </c>
      <c r="E5338" t="s">
        <v>11451</v>
      </c>
      <c r="F5338" t="s">
        <v>11452</v>
      </c>
      <c r="G5338">
        <v>445.5</v>
      </c>
      <c r="H5338">
        <v>484.25</v>
      </c>
      <c r="I5338">
        <v>484.26</v>
      </c>
      <c r="J5338">
        <v>-0.01</v>
      </c>
    </row>
    <row r="5339" spans="1:10" x14ac:dyDescent="0.3">
      <c r="A5339" t="str">
        <f>HYPERLINK("https://us2.cloudbeds.com/connect/10074733072513#/reservations/31723268972678?display=MXBZ1MM67&amp;reservation_id=31723268972678", "MXBZ1MM67")</f>
        <v>MXBZ1MM67</v>
      </c>
      <c r="B5339" t="s">
        <v>10</v>
      </c>
      <c r="C5339" t="s">
        <v>23</v>
      </c>
      <c r="D5339" t="str">
        <f>HYPERLINK("https://us2.cloudbeds.com/connect/10074733072513#/reservations/31723268972678?display=Kristin%20Goeringer&amp;reservation_id=31723268972678&amp;guest_id=31723259035897", "Kristin Goeringer")</f>
        <v>Kristin Goeringer</v>
      </c>
      <c r="E5339" t="s">
        <v>11453</v>
      </c>
      <c r="F5339" t="s">
        <v>11293</v>
      </c>
      <c r="G5339">
        <v>268.2</v>
      </c>
      <c r="H5339">
        <v>291.52</v>
      </c>
      <c r="I5339">
        <v>291.52999999999997</v>
      </c>
      <c r="J5339">
        <v>-0.01</v>
      </c>
    </row>
    <row r="5340" spans="1:10" x14ac:dyDescent="0.3">
      <c r="A5340" t="str">
        <f>HYPERLINK("https://us2.cloudbeds.com/connect/10074733072513#/reservations/31723507245236?display=MXBU4JVJP&amp;reservation_id=31723507245236", "MXBU4JVJP")</f>
        <v>MXBU4JVJP</v>
      </c>
      <c r="B5340" t="s">
        <v>10</v>
      </c>
      <c r="C5340" t="s">
        <v>23</v>
      </c>
      <c r="D5340" t="str">
        <f>HYPERLINK("https://us2.cloudbeds.com/connect/10074733072513#/reservations/31723507245236?display=Nathan%20Kortleever&amp;reservation_id=31723507245236&amp;guest_id=31723507245231", "Nathan Kortleever")</f>
        <v>Nathan Kortleever</v>
      </c>
      <c r="E5340" t="s">
        <v>11455</v>
      </c>
      <c r="F5340" t="s">
        <v>11216</v>
      </c>
      <c r="G5340">
        <v>134.1</v>
      </c>
      <c r="H5340">
        <v>145.76</v>
      </c>
      <c r="I5340">
        <v>145.77000000000001</v>
      </c>
      <c r="J5340">
        <v>-0.01</v>
      </c>
    </row>
    <row r="5341" spans="1:10" x14ac:dyDescent="0.3">
      <c r="A5341" t="str">
        <f>HYPERLINK("https://us2.cloudbeds.com/connect/10074733072513#/reservations/31719119270018?display=MX8H0X2JP&amp;reservation_id=31719119270018", "MX8H0X2JP")</f>
        <v>MX8H0X2JP</v>
      </c>
      <c r="B5341" t="s">
        <v>10</v>
      </c>
      <c r="C5341" t="s">
        <v>23</v>
      </c>
      <c r="D5341" t="str">
        <f>HYPERLINK("https://us2.cloudbeds.com/connect/10074733072513#/reservations/31719119270018?display=Kevin%20Oaks&amp;reservation_id=31719119270018&amp;guest_id=31719104610528", "Kevin Oaks")</f>
        <v>Kevin Oaks</v>
      </c>
      <c r="E5341" t="s">
        <v>11456</v>
      </c>
      <c r="F5341" t="s">
        <v>10821</v>
      </c>
      <c r="G5341">
        <v>254.4</v>
      </c>
      <c r="H5341">
        <v>276.52</v>
      </c>
      <c r="I5341">
        <v>276.52999999999997</v>
      </c>
      <c r="J5341">
        <v>-0.01</v>
      </c>
    </row>
    <row r="5342" spans="1:10" x14ac:dyDescent="0.3">
      <c r="A5342" t="str">
        <f>HYPERLINK("https://us2.cloudbeds.com/connect/10074733072513#/reservations/31719650615517?display=MX8UJJX5H&amp;reservation_id=31719650615517", "MX8UJJX5H")</f>
        <v>MX8UJJX5H</v>
      </c>
      <c r="B5342" t="s">
        <v>10</v>
      </c>
      <c r="C5342" t="s">
        <v>42</v>
      </c>
      <c r="D5342" t="str">
        <f>HYPERLINK("https://us2.cloudbeds.com/connect/10074733072513#/reservations/31719650615517?display=Taryn%20Hoffman&amp;reservation_id=31719650615517&amp;guest_id=31719650615515", "Taryn Hoffman")</f>
        <v>Taryn Hoffman</v>
      </c>
      <c r="E5342" t="s">
        <v>11457</v>
      </c>
      <c r="F5342" t="s">
        <v>11293</v>
      </c>
      <c r="G5342">
        <v>250.2</v>
      </c>
      <c r="H5342">
        <v>271.95999999999998</v>
      </c>
      <c r="I5342">
        <v>271.97000000000003</v>
      </c>
      <c r="J5342">
        <v>-0.01</v>
      </c>
    </row>
    <row r="5343" spans="1:10" x14ac:dyDescent="0.3">
      <c r="A5343" t="str">
        <f>HYPERLINK("https://us2.cloudbeds.com/connect/10074733072513#/reservations/31721227579532?display=MXA4TATYS&amp;reservation_id=31721227579532", "MXA4TATYS")</f>
        <v>MXA4TATYS</v>
      </c>
      <c r="B5343" t="s">
        <v>10</v>
      </c>
      <c r="C5343" t="s">
        <v>23</v>
      </c>
      <c r="D5343" t="str">
        <f>HYPERLINK("https://us2.cloudbeds.com/connect/10074733072513#/reservations/31721227579532?display=Elly%20Oehler&amp;reservation_id=31721227579532&amp;guest_id=31721227575440", "Elly Oehler")</f>
        <v>Elly Oehler</v>
      </c>
      <c r="E5343" t="s">
        <v>11459</v>
      </c>
      <c r="F5343" t="s">
        <v>11460</v>
      </c>
      <c r="G5343">
        <v>134.1</v>
      </c>
      <c r="H5343">
        <v>145.76</v>
      </c>
      <c r="I5343">
        <v>145.77000000000001</v>
      </c>
      <c r="J5343">
        <v>-0.01</v>
      </c>
    </row>
    <row r="5344" spans="1:10" x14ac:dyDescent="0.3">
      <c r="A5344" t="str">
        <f>HYPERLINK("https://us2.cloudbeds.com/connect/10074733072513#/reservations/31719187558616?display=MX8XP4A77&amp;reservation_id=31719187558616", "MX8XP4A77")</f>
        <v>MX8XP4A77</v>
      </c>
      <c r="B5344" t="s">
        <v>10</v>
      </c>
      <c r="C5344" t="s">
        <v>23</v>
      </c>
      <c r="D5344" t="str">
        <f>HYPERLINK("https://us2.cloudbeds.com/connect/10074733072513#/reservations/31719187558616?display=Herb%20Zilm&amp;reservation_id=31719187558616&amp;guest_id=31719166468296", "Herb Zilm")</f>
        <v>Herb Zilm</v>
      </c>
      <c r="E5344" t="s">
        <v>11481</v>
      </c>
      <c r="F5344" t="s">
        <v>10821</v>
      </c>
      <c r="G5344">
        <v>134.1</v>
      </c>
      <c r="H5344">
        <v>145.76</v>
      </c>
      <c r="I5344">
        <v>145.77000000000001</v>
      </c>
      <c r="J5344">
        <v>-0.01</v>
      </c>
    </row>
    <row r="5345" spans="1:10" x14ac:dyDescent="0.3">
      <c r="A5345" t="str">
        <f>HYPERLINK("https://us2.cloudbeds.com/connect/10074733072513#/reservations/31723305435359?display=MXBZWE9TV&amp;reservation_id=31723305435359", "MXBZWE9TV")</f>
        <v>MXBZWE9TV</v>
      </c>
      <c r="B5345" t="s">
        <v>10</v>
      </c>
      <c r="C5345" t="s">
        <v>23</v>
      </c>
      <c r="D5345" t="str">
        <f>HYPERLINK("https://us2.cloudbeds.com/connect/10074733072513#/reservations/31723305435359?display=Jennifer%20Nelson&amp;reservation_id=31723305435359&amp;guest_id=31723305435330", "Jennifer Nelson")</f>
        <v>Jennifer Nelson</v>
      </c>
      <c r="E5345" t="s">
        <v>11482</v>
      </c>
      <c r="F5345" t="s">
        <v>11293</v>
      </c>
      <c r="G5345">
        <v>250.2</v>
      </c>
      <c r="H5345">
        <v>271.95999999999998</v>
      </c>
      <c r="I5345">
        <v>271.97000000000003</v>
      </c>
      <c r="J5345">
        <v>-0.01</v>
      </c>
    </row>
    <row r="5346" spans="1:10" x14ac:dyDescent="0.3">
      <c r="A5346" t="str">
        <f>HYPERLINK("https://us2.cloudbeds.com/connect/10074733072513#/reservations/31718150754523?display=MX7P8SNBC&amp;reservation_id=31718150754523", "MX7P8SNBC")</f>
        <v>MX7P8SNBC</v>
      </c>
      <c r="B5346" t="s">
        <v>10</v>
      </c>
      <c r="C5346" t="s">
        <v>23</v>
      </c>
      <c r="D5346" t="str">
        <f>HYPERLINK("https://us2.cloudbeds.com/connect/10074733072513#/reservations/31718150754523?display=Kimberly%20Lauing&amp;reservation_id=31718150754523&amp;guest_id=31718150754518", "Kimberly Lauing")</f>
        <v>Kimberly Lauing</v>
      </c>
      <c r="E5346" t="s">
        <v>11483</v>
      </c>
      <c r="F5346" t="s">
        <v>11293</v>
      </c>
      <c r="G5346">
        <v>250.2</v>
      </c>
      <c r="H5346">
        <v>271.95999999999998</v>
      </c>
      <c r="I5346">
        <v>271.97000000000003</v>
      </c>
      <c r="J5346">
        <v>-0.01</v>
      </c>
    </row>
    <row r="5347" spans="1:10" x14ac:dyDescent="0.3">
      <c r="A5347" t="str">
        <f>HYPERLINK("https://us2.cloudbeds.com/connect/10074733072513#/reservations/31723289202839?display=MXBZXZK0D&amp;reservation_id=31723289202839", "MXBZXZK0D")</f>
        <v>MXBZXZK0D</v>
      </c>
      <c r="B5347" t="s">
        <v>10</v>
      </c>
      <c r="C5347" t="s">
        <v>23</v>
      </c>
      <c r="D5347" t="str">
        <f>HYPERLINK("https://us2.cloudbeds.com/connect/10074733072513#/reservations/31723289202839?display=Jennifer%20Nelson&amp;reservation_id=31723289202839&amp;guest_id=31723289198746", "Jennifer Nelson")</f>
        <v>Jennifer Nelson</v>
      </c>
      <c r="E5347" t="s">
        <v>11486</v>
      </c>
      <c r="F5347" t="s">
        <v>11293</v>
      </c>
      <c r="G5347">
        <v>250.2</v>
      </c>
      <c r="H5347">
        <v>271.95999999999998</v>
      </c>
      <c r="I5347">
        <v>271.97000000000003</v>
      </c>
      <c r="J5347">
        <v>-0.01</v>
      </c>
    </row>
    <row r="5348" spans="1:10" x14ac:dyDescent="0.3">
      <c r="A5348" t="str">
        <f>HYPERLINK("https://us2.cloudbeds.com/connect/10074733072513#/reservations/31718338592930?display=MX7U28JD9&amp;reservation_id=31718338592930", "MX7U28JD9")</f>
        <v>MX7U28JD9</v>
      </c>
      <c r="B5348" t="s">
        <v>10</v>
      </c>
      <c r="C5348" t="s">
        <v>23</v>
      </c>
      <c r="D5348" t="str">
        <f>HYPERLINK("https://us2.cloudbeds.com/connect/10074733072513#/reservations/31718338592930?display=Joyce%20Lillemon&amp;reservation_id=31718338592930&amp;guest_id=31718338588846", "Joyce Lillemon")</f>
        <v>Joyce Lillemon</v>
      </c>
      <c r="E5348" t="s">
        <v>11477</v>
      </c>
      <c r="F5348" t="s">
        <v>11042</v>
      </c>
      <c r="G5348">
        <v>144.1</v>
      </c>
      <c r="H5348">
        <v>156.63</v>
      </c>
      <c r="I5348">
        <v>156.63999999999999</v>
      </c>
      <c r="J5348">
        <v>-0.01</v>
      </c>
    </row>
    <row r="5349" spans="1:10" x14ac:dyDescent="0.3">
      <c r="A5349" t="str">
        <f>HYPERLINK("https://us2.cloudbeds.com/connect/10074733072513#/reservations/31714675142866?display=MX52F4MP0&amp;reservation_id=31714675142866", "MX52F4MP0")</f>
        <v>MX52F4MP0</v>
      </c>
      <c r="B5349" t="s">
        <v>10</v>
      </c>
      <c r="C5349" t="s">
        <v>23</v>
      </c>
      <c r="D5349" t="str">
        <f>HYPERLINK("https://us2.cloudbeds.com/connect/10074733072513#/reservations/31714675142866?display=Janet%20Beckstead&amp;reservation_id=31714675142866&amp;guest_id=31714675138775", "Janet Beckstead")</f>
        <v>Janet Beckstead</v>
      </c>
      <c r="E5349" t="s">
        <v>11494</v>
      </c>
      <c r="F5349" t="s">
        <v>11281</v>
      </c>
      <c r="G5349">
        <v>170.1</v>
      </c>
      <c r="H5349">
        <v>184.89</v>
      </c>
      <c r="I5349">
        <v>184.9</v>
      </c>
      <c r="J5349">
        <v>-0.01</v>
      </c>
    </row>
    <row r="5350" spans="1:10" x14ac:dyDescent="0.3">
      <c r="A5350" t="str">
        <f>HYPERLINK("https://us2.cloudbeds.com/connect/10074733072513#/reservations/31718398537918?display=MX7VJQY8S&amp;reservation_id=31718398537918", "MX7VJQY8S")</f>
        <v>MX7VJQY8S</v>
      </c>
      <c r="B5350" t="s">
        <v>10</v>
      </c>
      <c r="C5350" t="s">
        <v>23</v>
      </c>
      <c r="D5350" t="str">
        <f>HYPERLINK("https://us2.cloudbeds.com/connect/10074733072513#/reservations/31718398537918?display=Harold%20Pennings&amp;reservation_id=31718398537918&amp;guest_id=31718398537873", "Harold Pennings")</f>
        <v>Harold Pennings</v>
      </c>
      <c r="E5350" t="s">
        <v>11496</v>
      </c>
      <c r="F5350" t="s">
        <v>11293</v>
      </c>
      <c r="G5350">
        <v>134.1</v>
      </c>
      <c r="H5350">
        <v>145.76</v>
      </c>
      <c r="I5350">
        <v>145.77000000000001</v>
      </c>
      <c r="J5350">
        <v>-0.01</v>
      </c>
    </row>
    <row r="5351" spans="1:10" x14ac:dyDescent="0.3">
      <c r="A5351" t="str">
        <f>HYPERLINK("https://us2.cloudbeds.com/connect/10074733072513#/reservations/31723515654346?display=MXBUBMVF9&amp;reservation_id=31723515654346", "MXBUBMVF9")</f>
        <v>MXBUBMVF9</v>
      </c>
      <c r="B5351" t="s">
        <v>10</v>
      </c>
      <c r="C5351" t="s">
        <v>23</v>
      </c>
      <c r="D5351" t="str">
        <f>HYPERLINK("https://us2.cloudbeds.com/connect/10074733072513#/reservations/31723515654346?display=Laurie%20Curtis&amp;reservation_id=31723515654346&amp;guest_id=31723515654341", "Laurie Curtis")</f>
        <v>Laurie Curtis</v>
      </c>
      <c r="E5351" t="s">
        <v>11498</v>
      </c>
      <c r="F5351" t="s">
        <v>11216</v>
      </c>
      <c r="G5351">
        <v>122.18</v>
      </c>
      <c r="H5351">
        <v>132.80000000000001</v>
      </c>
      <c r="I5351">
        <v>132.81</v>
      </c>
      <c r="J5351">
        <v>-0.01</v>
      </c>
    </row>
    <row r="5352" spans="1:10" x14ac:dyDescent="0.3">
      <c r="A5352" t="str">
        <f>HYPERLINK("https://us2.cloudbeds.com/connect/10074733072513#/reservations/31719152009386?display=MX8HS539R&amp;reservation_id=31719152009386", "MX8HS539R")</f>
        <v>MX8HS539R</v>
      </c>
      <c r="B5352" t="s">
        <v>10</v>
      </c>
      <c r="C5352" t="s">
        <v>42</v>
      </c>
      <c r="D5352" t="str">
        <f>HYPERLINK("https://us2.cloudbeds.com/connect/10074733072513#/reservations/31719152009386?display=Lavonne%20Delores%20Murphy&amp;reservation_id=31719152009386&amp;guest_id=31719152009384", "Lavonne Delores Murphy")</f>
        <v>Lavonne Delores Murphy</v>
      </c>
      <c r="E5352" t="s">
        <v>8134</v>
      </c>
      <c r="F5352" t="s">
        <v>10821</v>
      </c>
      <c r="G5352">
        <v>268.2</v>
      </c>
      <c r="H5352">
        <v>291.52</v>
      </c>
      <c r="I5352">
        <v>291.52999999999997</v>
      </c>
      <c r="J5352">
        <v>-0.01</v>
      </c>
    </row>
    <row r="5353" spans="1:10" x14ac:dyDescent="0.3">
      <c r="A5353" t="str">
        <f>HYPERLINK("https://us2.cloudbeds.com/connect/10074733072513#/reservations/31718658236635?display=MX857Q4Q6&amp;reservation_id=31718658236635", "MX857Q4Q6")</f>
        <v>MX857Q4Q6</v>
      </c>
      <c r="B5353" t="s">
        <v>10</v>
      </c>
      <c r="C5353" t="s">
        <v>23</v>
      </c>
      <c r="D5353" t="str">
        <f>HYPERLINK("https://us2.cloudbeds.com/connect/10074733072513#/reservations/31718658236635?display=Tyler%20Cruz&amp;reservation_id=31718658236635&amp;guest_id=31718658232539", "Tyler Cruz")</f>
        <v>Tyler Cruz</v>
      </c>
      <c r="E5353" t="s">
        <v>11502</v>
      </c>
      <c r="F5353" t="s">
        <v>11044</v>
      </c>
      <c r="G5353">
        <v>208.6</v>
      </c>
      <c r="H5353">
        <v>226.74</v>
      </c>
      <c r="I5353">
        <v>226.75</v>
      </c>
      <c r="J5353">
        <v>-0.01</v>
      </c>
    </row>
    <row r="5354" spans="1:10" x14ac:dyDescent="0.3">
      <c r="A5354" t="str">
        <f>HYPERLINK("https://us2.cloudbeds.com/connect/10074733072513#/reservations/31720513802453?display=MX9JYEWWD&amp;reservation_id=31720513802453", "MX9JYEWWD")</f>
        <v>MX9JYEWWD</v>
      </c>
      <c r="B5354" t="s">
        <v>10</v>
      </c>
      <c r="C5354" t="s">
        <v>42</v>
      </c>
      <c r="D5354" t="str">
        <f>HYPERLINK("https://us2.cloudbeds.com/connect/10074733072513#/reservations/31720513802453?display=Marlys%20Jennings&amp;reservation_id=31720513802453&amp;guest_id=31720508973243", "Marlys Jennings")</f>
        <v>Marlys Jennings</v>
      </c>
      <c r="E5354" t="s">
        <v>11505</v>
      </c>
      <c r="F5354" t="s">
        <v>10821</v>
      </c>
      <c r="G5354">
        <v>134.1</v>
      </c>
      <c r="H5354">
        <v>145.76</v>
      </c>
      <c r="I5354">
        <v>145.77000000000001</v>
      </c>
      <c r="J5354">
        <v>-0.01</v>
      </c>
    </row>
    <row r="5355" spans="1:10" x14ac:dyDescent="0.3">
      <c r="A5355" t="str">
        <f>HYPERLINK("https://us2.cloudbeds.com/connect/10074733072513#/reservations/31720869580980?display=MX9SZF20T&amp;reservation_id=31720869580980", "MX9SZF20T")</f>
        <v>MX9SZF20T</v>
      </c>
      <c r="B5355" t="s">
        <v>10</v>
      </c>
      <c r="C5355" t="s">
        <v>23</v>
      </c>
      <c r="D5355" t="str">
        <f>HYPERLINK("https://us2.cloudbeds.com/connect/10074733072513#/reservations/31720869580980?display=Dawn%20Koehn&amp;reservation_id=31720869580980&amp;guest_id=31720869580978", "Dawn Koehn")</f>
        <v>Dawn Koehn</v>
      </c>
      <c r="E5355" t="s">
        <v>11513</v>
      </c>
      <c r="F5355" t="s">
        <v>11514</v>
      </c>
      <c r="G5355">
        <v>312.89999999999998</v>
      </c>
      <c r="H5355">
        <v>340.11</v>
      </c>
      <c r="I5355">
        <v>340.12</v>
      </c>
      <c r="J5355">
        <v>-0.01</v>
      </c>
    </row>
    <row r="5356" spans="1:10" x14ac:dyDescent="0.3">
      <c r="A5356" t="str">
        <f>HYPERLINK("https://us2.cloudbeds.com/connect/10074733072513#/reservations/31721181945994?display=MXA3NS2JC&amp;reservation_id=31721181945994", "MXA3NS2JC")</f>
        <v>MXA3NS2JC</v>
      </c>
      <c r="B5356" t="s">
        <v>10</v>
      </c>
      <c r="C5356" t="s">
        <v>42</v>
      </c>
      <c r="D5356" t="str">
        <f>HYPERLINK("https://us2.cloudbeds.com/connect/10074733072513#/reservations/31721181945994?display=Ashlind%20Gumpenberger&amp;reservation_id=31721181945994&amp;guest_id=31721181945990", "Ashlind Gumpenberger")</f>
        <v>Ashlind Gumpenberger</v>
      </c>
      <c r="E5356" t="s">
        <v>11517</v>
      </c>
      <c r="F5356" t="s">
        <v>11518</v>
      </c>
      <c r="G5356">
        <v>250.2</v>
      </c>
      <c r="H5356">
        <v>271.95999999999998</v>
      </c>
      <c r="I5356">
        <v>271.97000000000003</v>
      </c>
      <c r="J5356">
        <v>-0.01</v>
      </c>
    </row>
    <row r="5357" spans="1:10" x14ac:dyDescent="0.3">
      <c r="A5357" t="str">
        <f>HYPERLINK("https://us2.cloudbeds.com/connect/10074733072513#/reservations/31717698900106?display=MX7DNS6B9&amp;reservation_id=31717698900106", "MX7DNS6B9")</f>
        <v>MX7DNS6B9</v>
      </c>
      <c r="B5357" t="s">
        <v>10</v>
      </c>
      <c r="C5357" t="s">
        <v>23</v>
      </c>
      <c r="D5357" t="str">
        <f>HYPERLINK("https://us2.cloudbeds.com/connect/10074733072513#/reservations/31717698900106?display=David%20Mccarthy&amp;reservation_id=31717698900106&amp;guest_id=31717695475875", "David Mccarthy")</f>
        <v>David Mccarthy</v>
      </c>
      <c r="E5357" t="s">
        <v>11522</v>
      </c>
      <c r="F5357" t="s">
        <v>10821</v>
      </c>
      <c r="G5357">
        <v>134.1</v>
      </c>
      <c r="H5357">
        <v>145.76</v>
      </c>
      <c r="I5357">
        <v>145.77000000000001</v>
      </c>
      <c r="J5357">
        <v>-0.01</v>
      </c>
    </row>
    <row r="5358" spans="1:10" x14ac:dyDescent="0.3">
      <c r="A5358" t="str">
        <f>HYPERLINK("https://us2.cloudbeds.com/connect/10074733072513#/reservations/31720482865290?display=MX9XSC46K&amp;reservation_id=31720482865290", "MX9XSC46K")</f>
        <v>MX9XSC46K</v>
      </c>
      <c r="B5358" t="s">
        <v>10</v>
      </c>
      <c r="C5358" t="s">
        <v>42</v>
      </c>
      <c r="D5358" t="str">
        <f>HYPERLINK("https://us2.cloudbeds.com/connect/10074733072513#/reservations/31720482865290?display=Ej%20Gould&amp;reservation_id=31720482865290&amp;guest_id=31720482861197", "Ej Gould")</f>
        <v>Ej Gould</v>
      </c>
      <c r="E5358" t="s">
        <v>11523</v>
      </c>
      <c r="F5358" t="s">
        <v>10821</v>
      </c>
      <c r="G5358">
        <v>268.2</v>
      </c>
      <c r="H5358">
        <v>291.52</v>
      </c>
      <c r="I5358">
        <v>291.52999999999997</v>
      </c>
      <c r="J5358">
        <v>-0.01</v>
      </c>
    </row>
    <row r="5359" spans="1:10" x14ac:dyDescent="0.3">
      <c r="A5359" t="str">
        <f>HYPERLINK("https://us2.cloudbeds.com/connect/10074733072513#/reservations/31722805481645?display=MXBC6SBJD&amp;reservation_id=31722805481645", "MXBC6SBJD")</f>
        <v>MXBC6SBJD</v>
      </c>
      <c r="B5359" t="s">
        <v>10</v>
      </c>
      <c r="C5359" t="s">
        <v>42</v>
      </c>
      <c r="D5359" t="str">
        <f>HYPERLINK("https://us2.cloudbeds.com/connect/10074733072513#/reservations/31722805481645?display=Barb%20Guthmiller&amp;reservation_id=31722805481645&amp;guest_id=31719671464120", "Barb Guthmiller")</f>
        <v>Barb Guthmiller</v>
      </c>
      <c r="E5359" t="s">
        <v>4801</v>
      </c>
      <c r="F5359" t="s">
        <v>11425</v>
      </c>
      <c r="G5359">
        <v>134.1</v>
      </c>
      <c r="H5359">
        <v>145.76</v>
      </c>
      <c r="I5359">
        <v>145.77000000000001</v>
      </c>
      <c r="J5359">
        <v>-0.01</v>
      </c>
    </row>
    <row r="5360" spans="1:10" x14ac:dyDescent="0.3">
      <c r="A5360" t="str">
        <f>HYPERLINK("https://us2.cloudbeds.com/connect/10074733072513#/reservations/31717684846809?display=MX7DC04XQ&amp;reservation_id=31717684846809", "MX7DC04XQ")</f>
        <v>MX7DC04XQ</v>
      </c>
      <c r="B5360" t="s">
        <v>10</v>
      </c>
      <c r="C5360" t="s">
        <v>42</v>
      </c>
      <c r="D5360" t="str">
        <f>HYPERLINK("https://us2.cloudbeds.com/connect/10074733072513#/reservations/31717684846809?display=Karen%20Caraway&amp;reservation_id=31717684846809&amp;guest_id=31717684846796", "Karen Caraway")</f>
        <v>Karen Caraway</v>
      </c>
      <c r="E5360" t="s">
        <v>11525</v>
      </c>
      <c r="F5360" t="s">
        <v>10821</v>
      </c>
      <c r="G5360">
        <v>134.1</v>
      </c>
      <c r="H5360">
        <v>145.76</v>
      </c>
      <c r="I5360">
        <v>145.77000000000001</v>
      </c>
      <c r="J5360">
        <v>-0.01</v>
      </c>
    </row>
    <row r="5361" spans="1:10" x14ac:dyDescent="0.3">
      <c r="A5361" t="str">
        <f>HYPERLINK("https://us2.cloudbeds.com/connect/10074733072513#/reservations/31722010448035?display=MXAZTFC5R&amp;reservation_id=31722010448035", "MXAZTFC5R")</f>
        <v>MXAZTFC5R</v>
      </c>
      <c r="B5361" t="s">
        <v>10</v>
      </c>
      <c r="C5361" t="s">
        <v>23</v>
      </c>
      <c r="D5361" t="str">
        <f>HYPERLINK("https://us2.cloudbeds.com/connect/10074733072513#/reservations/31722010448035?display=James%20Kleingartner&amp;reservation_id=31722010448035&amp;guest_id=31722010448030", "James Kleingartner")</f>
        <v>James Kleingartner</v>
      </c>
      <c r="E5361" t="s">
        <v>11526</v>
      </c>
      <c r="F5361" t="s">
        <v>11527</v>
      </c>
      <c r="G5361">
        <v>500.4</v>
      </c>
      <c r="H5361">
        <v>543.91999999999996</v>
      </c>
      <c r="I5361">
        <v>543.92999999999995</v>
      </c>
      <c r="J5361">
        <v>-0.01</v>
      </c>
    </row>
    <row r="5362" spans="1:10" x14ac:dyDescent="0.3">
      <c r="A5362" t="str">
        <f>HYPERLINK("https://us2.cloudbeds.com/connect/10074733072513#/reservations/31716835201182?display=MX6ZYXGCK&amp;reservation_id=31716835201182", "MX6ZYXGCK")</f>
        <v>MX6ZYXGCK</v>
      </c>
      <c r="B5362" t="s">
        <v>10</v>
      </c>
      <c r="C5362" t="s">
        <v>23</v>
      </c>
      <c r="D5362" t="str">
        <f>HYPERLINK("https://us2.cloudbeds.com/connect/10074733072513#/reservations/31716835201182?display=Shakia%20Smith&amp;reservation_id=31716835201182&amp;guest_id=31716835201177", "Shakia Smith")</f>
        <v>Shakia Smith</v>
      </c>
      <c r="E5362" t="s">
        <v>11528</v>
      </c>
      <c r="F5362" t="s">
        <v>10827</v>
      </c>
      <c r="G5362">
        <v>250.2</v>
      </c>
      <c r="H5362">
        <v>271.95999999999998</v>
      </c>
      <c r="I5362">
        <v>271.97000000000003</v>
      </c>
      <c r="J5362">
        <v>-0.01</v>
      </c>
    </row>
    <row r="5363" spans="1:10" x14ac:dyDescent="0.3">
      <c r="A5363" t="str">
        <f>HYPERLINK("https://us2.cloudbeds.com/connect/10074733072513#/reservations/31717706768605?display=MX7DUG4PY&amp;reservation_id=31717706768605", "MX7DUG4PY")</f>
        <v>MX7DUG4PY</v>
      </c>
      <c r="B5363" t="s">
        <v>10</v>
      </c>
      <c r="C5363" t="s">
        <v>42</v>
      </c>
      <c r="D5363" t="str">
        <f>HYPERLINK("https://us2.cloudbeds.com/connect/10074733072513#/reservations/31717706768605?display=Kaeli%20Johnson&amp;reservation_id=31717706768605&amp;guest_id=31717706768600", "Kaeli Johnson")</f>
        <v>Kaeli Johnson</v>
      </c>
      <c r="E5363" t="s">
        <v>11529</v>
      </c>
      <c r="F5363" t="s">
        <v>10821</v>
      </c>
      <c r="G5363">
        <v>170.1</v>
      </c>
      <c r="H5363">
        <v>184.89</v>
      </c>
      <c r="I5363">
        <v>184.9</v>
      </c>
      <c r="J5363">
        <v>-0.01</v>
      </c>
    </row>
    <row r="5364" spans="1:10" x14ac:dyDescent="0.3">
      <c r="A5364" t="str">
        <f>HYPERLINK("https://us2.cloudbeds.com/connect/10074733072513#/reservations/31723229347976?display=MXBN191SM&amp;reservation_id=31723229347976", "MXBN191SM")</f>
        <v>MXBN191SM</v>
      </c>
      <c r="B5364" t="s">
        <v>10</v>
      </c>
      <c r="C5364" t="s">
        <v>23</v>
      </c>
      <c r="D5364" t="str">
        <f>HYPERLINK("https://us2.cloudbeds.com/connect/10074733072513#/reservations/31723229347976?display=Joy%20Pavek&amp;reservation_id=31723229347976&amp;guest_id=31723214639325", "Joy Pavek")</f>
        <v>Joy Pavek</v>
      </c>
      <c r="E5364" t="s">
        <v>11530</v>
      </c>
      <c r="F5364" t="s">
        <v>11293</v>
      </c>
      <c r="G5364">
        <v>134.1</v>
      </c>
      <c r="H5364">
        <v>145.76</v>
      </c>
      <c r="I5364">
        <v>145.77000000000001</v>
      </c>
      <c r="J5364">
        <v>-0.01</v>
      </c>
    </row>
    <row r="5365" spans="1:10" x14ac:dyDescent="0.3">
      <c r="A5365" t="str">
        <f>HYPERLINK("https://us2.cloudbeds.com/connect/10074733072513#/reservations/31717671977169?display=MX7D150NN&amp;reservation_id=31717671977169", "MX7D150NN")</f>
        <v>MX7D150NN</v>
      </c>
      <c r="B5365" t="s">
        <v>10</v>
      </c>
      <c r="C5365" t="s">
        <v>23</v>
      </c>
      <c r="D5365" t="str">
        <f>HYPERLINK("https://us2.cloudbeds.com/connect/10074733072513#/reservations/31717671977169?display=Kayla%20Heger&amp;reservation_id=31717671977169&amp;guest_id=31717661421697", "Kayla Heger")</f>
        <v>Kayla Heger</v>
      </c>
      <c r="E5365" t="s">
        <v>11538</v>
      </c>
      <c r="F5365" t="s">
        <v>11536</v>
      </c>
      <c r="G5365">
        <v>134.1</v>
      </c>
      <c r="H5365">
        <v>145.76</v>
      </c>
      <c r="I5365">
        <v>145.77000000000001</v>
      </c>
      <c r="J5365">
        <v>-0.01</v>
      </c>
    </row>
    <row r="5366" spans="1:10" x14ac:dyDescent="0.3">
      <c r="A5366" t="str">
        <f>HYPERLINK("https://us2.cloudbeds.com/connect/10074733072513#/reservations/31718295273650?display=MX7SVZ5ES&amp;reservation_id=31718295273650", "MX7SVZ5ES")</f>
        <v>MX7SVZ5ES</v>
      </c>
      <c r="B5366" t="s">
        <v>10</v>
      </c>
      <c r="C5366" t="s">
        <v>23</v>
      </c>
      <c r="D5366" t="str">
        <f>HYPERLINK("https://us2.cloudbeds.com/connect/10074733072513#/reservations/31718295273650?display=Melissa%20Glander&amp;reservation_id=31718295273650&amp;guest_id=31718284976344", "Melissa Glander")</f>
        <v>Melissa Glander</v>
      </c>
      <c r="E5366" t="s">
        <v>11541</v>
      </c>
      <c r="F5366" t="s">
        <v>11042</v>
      </c>
      <c r="G5366">
        <v>268.2</v>
      </c>
      <c r="H5366">
        <v>291.52</v>
      </c>
      <c r="I5366">
        <v>291.52999999999997</v>
      </c>
      <c r="J5366">
        <v>-0.01</v>
      </c>
    </row>
    <row r="5367" spans="1:10" x14ac:dyDescent="0.3">
      <c r="A5367" t="str">
        <f>HYPERLINK("https://us2.cloudbeds.com/connect/10074733072513#/reservations/31715307450618?display=MX5XKAJ9W&amp;reservation_id=31715307450618", "MX5XKAJ9W")</f>
        <v>MX5XKAJ9W</v>
      </c>
      <c r="B5367" t="s">
        <v>10</v>
      </c>
      <c r="C5367" t="s">
        <v>23</v>
      </c>
      <c r="D5367" t="str">
        <f>HYPERLINK("https://us2.cloudbeds.com/connect/10074733072513#/reservations/31715307450618?display=Brenda%20Wilkinson&amp;reservation_id=31715307450618&amp;guest_id=31715307450564", "Brenda Wilkinson")</f>
        <v>Brenda Wilkinson</v>
      </c>
      <c r="E5367" t="s">
        <v>11548</v>
      </c>
      <c r="F5367" t="s">
        <v>11549</v>
      </c>
      <c r="G5367">
        <v>304.2</v>
      </c>
      <c r="H5367">
        <v>330.66</v>
      </c>
      <c r="I5367">
        <v>330.67</v>
      </c>
      <c r="J5367">
        <v>-0.01</v>
      </c>
    </row>
    <row r="5368" spans="1:10" x14ac:dyDescent="0.3">
      <c r="A5368" t="str">
        <f>HYPERLINK("https://us2.cloudbeds.com/connect/10074733072513#/reservations/31719311683767?display=MX8YUQ92E&amp;reservation_id=31719311683767", "MX8YUQ92E")</f>
        <v>MX8YUQ92E</v>
      </c>
      <c r="B5368" t="s">
        <v>10</v>
      </c>
      <c r="C5368" t="s">
        <v>42</v>
      </c>
      <c r="D5368" t="str">
        <f>HYPERLINK("https://us2.cloudbeds.com/connect/10074733072513#/reservations/31719311683767?display=Candice%20Bloom&amp;reservation_id=31719311683767&amp;guest_id=31689971548303", "Candice Bloom")</f>
        <v>Candice Bloom</v>
      </c>
      <c r="E5368" t="s">
        <v>8710</v>
      </c>
      <c r="F5368" t="s">
        <v>11230</v>
      </c>
      <c r="G5368">
        <v>268.2</v>
      </c>
      <c r="H5368">
        <v>291.52</v>
      </c>
      <c r="I5368">
        <v>291.52999999999997</v>
      </c>
      <c r="J5368">
        <v>-0.01</v>
      </c>
    </row>
    <row r="5369" spans="1:10" x14ac:dyDescent="0.3">
      <c r="A5369" t="str">
        <f>HYPERLINK("https://us2.cloudbeds.com/connect/10074733072513#/reservations/31717728604379?display=MX7EFTZWP&amp;reservation_id=31717728604379", "MX7EFTZWP")</f>
        <v>MX7EFTZWP</v>
      </c>
      <c r="B5369" t="s">
        <v>10</v>
      </c>
      <c r="C5369" t="s">
        <v>42</v>
      </c>
      <c r="D5369" t="str">
        <f>HYPERLINK("https://us2.cloudbeds.com/connect/10074733072513#/reservations/31717728604379?display=Donna%20Peek&amp;reservation_id=31717728604379&amp;guest_id=31717728600284", "Donna Peek")</f>
        <v>Donna Peek</v>
      </c>
      <c r="E5369" t="s">
        <v>11554</v>
      </c>
      <c r="F5369" t="s">
        <v>11425</v>
      </c>
      <c r="G5369">
        <v>134.1</v>
      </c>
      <c r="H5369">
        <v>145.76</v>
      </c>
      <c r="I5369">
        <v>145.77000000000001</v>
      </c>
      <c r="J5369">
        <v>-0.01</v>
      </c>
    </row>
    <row r="5370" spans="1:10" x14ac:dyDescent="0.3">
      <c r="A5370" t="str">
        <f>HYPERLINK("https://us2.cloudbeds.com/connect/10074733072513#/reservations/31719671464122?display=MX8V45MTE&amp;reservation_id=31719671464122", "MX8V45MTE")</f>
        <v>MX8V45MTE</v>
      </c>
      <c r="B5370" t="s">
        <v>10</v>
      </c>
      <c r="C5370" t="s">
        <v>42</v>
      </c>
      <c r="D5370" t="str">
        <f>HYPERLINK("https://us2.cloudbeds.com/connect/10074733072513#/reservations/31719671464122?display=Barb%20Guthmiller&amp;reservation_id=31719671464122&amp;guest_id=31719671464120", "Barb Guthmiller")</f>
        <v>Barb Guthmiller</v>
      </c>
      <c r="E5370" t="s">
        <v>4801</v>
      </c>
      <c r="F5370" t="s">
        <v>11293</v>
      </c>
      <c r="G5370">
        <v>250.2</v>
      </c>
      <c r="H5370">
        <v>271.95999999999998</v>
      </c>
      <c r="I5370">
        <v>271.97000000000003</v>
      </c>
      <c r="J5370">
        <v>-0.01</v>
      </c>
    </row>
    <row r="5371" spans="1:10" x14ac:dyDescent="0.3">
      <c r="A5371" t="str">
        <f>HYPERLINK("https://us2.cloudbeds.com/connect/10074733072513#/reservations/31711702110390?display=MX2PG6MCQ&amp;reservation_id=31711702110390", "MX2PG6MCQ")</f>
        <v>MX2PG6MCQ</v>
      </c>
      <c r="B5371" t="s">
        <v>10</v>
      </c>
      <c r="C5371" t="s">
        <v>23</v>
      </c>
      <c r="D5371" t="str">
        <f>HYPERLINK("https://us2.cloudbeds.com/connect/10074733072513#/reservations/31711702110390?display=Janet%20Goldsmith&amp;reservation_id=31711702110390&amp;guest_id=31711702110388", "Janet Goldsmith")</f>
        <v>Janet Goldsmith</v>
      </c>
      <c r="E5371" t="s">
        <v>11571</v>
      </c>
      <c r="F5371" t="s">
        <v>11563</v>
      </c>
      <c r="G5371">
        <v>170.1</v>
      </c>
      <c r="H5371">
        <v>184.89</v>
      </c>
      <c r="I5371">
        <v>184.9</v>
      </c>
      <c r="J5371">
        <v>-0.01</v>
      </c>
    </row>
    <row r="5372" spans="1:10" x14ac:dyDescent="0.3">
      <c r="A5372" t="str">
        <f>HYPERLINK("https://us2.cloudbeds.com/connect/10074733072513#/reservations/31723128328378?display=MXBKF317Z&amp;reservation_id=31723128328378", "MXBKF317Z")</f>
        <v>MXBKF317Z</v>
      </c>
      <c r="B5372" t="s">
        <v>10</v>
      </c>
      <c r="C5372" t="s">
        <v>121</v>
      </c>
      <c r="D5372" t="str">
        <f>HYPERLINK("https://us2.cloudbeds.com/connect/10074733072513#/reservations/31723128328378?display=Loretta%20Laabs&amp;reservation_id=31723128328378&amp;guest_id=31723113996487", "Loretta Laabs")</f>
        <v>Loretta Laabs</v>
      </c>
      <c r="E5372" t="s">
        <v>11588</v>
      </c>
      <c r="F5372" t="s">
        <v>11059</v>
      </c>
      <c r="G5372">
        <v>84.15</v>
      </c>
      <c r="H5372">
        <v>91.46</v>
      </c>
      <c r="I5372">
        <v>91.47</v>
      </c>
      <c r="J5372">
        <v>-0.01</v>
      </c>
    </row>
    <row r="5373" spans="1:10" x14ac:dyDescent="0.3">
      <c r="A5373" t="str">
        <f>HYPERLINK("https://us2.cloudbeds.com/connect/10074733072513#/reservations/31720255844569?display=MX9D1UV1R&amp;reservation_id=31720255844569", "MX9D1UV1R")</f>
        <v>MX9D1UV1R</v>
      </c>
      <c r="B5373" t="s">
        <v>10</v>
      </c>
      <c r="C5373" t="s">
        <v>121</v>
      </c>
      <c r="D5373" t="str">
        <f>HYPERLINK("https://us2.cloudbeds.com/connect/10074733072513#/reservations/31720255844569?display=Chris%20Gonzalez&amp;reservation_id=31720255844569&amp;guest_id=31720255844564", "Chris Gonzalez")</f>
        <v>Chris Gonzalez</v>
      </c>
      <c r="E5373" t="s">
        <v>11589</v>
      </c>
      <c r="F5373" t="s">
        <v>11566</v>
      </c>
      <c r="G5373">
        <v>267.3</v>
      </c>
      <c r="H5373">
        <v>290.55</v>
      </c>
      <c r="I5373">
        <v>290.56</v>
      </c>
      <c r="J5373">
        <v>-0.01</v>
      </c>
    </row>
    <row r="5374" spans="1:10" x14ac:dyDescent="0.3">
      <c r="A5374" t="str">
        <f>HYPERLINK("https://us2.cloudbeds.com/connect/10074733072513#/reservations/31719609721024?display=MX8TX3G49&amp;reservation_id=31719609721024", "MX8TX3G49")</f>
        <v>MX8TX3G49</v>
      </c>
      <c r="B5374" t="s">
        <v>10</v>
      </c>
      <c r="C5374" t="s">
        <v>23</v>
      </c>
      <c r="D5374" t="str">
        <f>HYPERLINK("https://us2.cloudbeds.com/connect/10074733072513#/reservations/31719609721024?display=Thomas%20Varvais&amp;reservation_id=31719609721024&amp;guest_id=31719609716958", "Thomas Varvais")</f>
        <v>Thomas Varvais</v>
      </c>
      <c r="E5374" t="s">
        <v>11597</v>
      </c>
      <c r="F5374" t="s">
        <v>11230</v>
      </c>
      <c r="G5374">
        <v>134.1</v>
      </c>
      <c r="H5374">
        <v>145.76</v>
      </c>
      <c r="I5374">
        <v>145.77000000000001</v>
      </c>
      <c r="J5374">
        <v>-0.01</v>
      </c>
    </row>
    <row r="5375" spans="1:10" x14ac:dyDescent="0.3">
      <c r="A5375" t="str">
        <f>HYPERLINK("https://us2.cloudbeds.com/connect/10074733072513#/reservations/31721373647027?display=MXA8KGEJJ&amp;reservation_id=31721373647027", "MXA8KGEJJ")</f>
        <v>MXA8KGEJJ</v>
      </c>
      <c r="B5375" t="s">
        <v>10</v>
      </c>
      <c r="C5375" t="s">
        <v>42</v>
      </c>
      <c r="D5375" t="str">
        <f>HYPERLINK("https://us2.cloudbeds.com/connect/10074733072513#/reservations/31721373647027?display=Cindy%20Zanzee&amp;reservation_id=31721373647027&amp;guest_id=31721362370780", "Cindy Zanzee")</f>
        <v>Cindy Zanzee</v>
      </c>
      <c r="E5375" t="s">
        <v>11598</v>
      </c>
      <c r="F5375" t="s">
        <v>11435</v>
      </c>
      <c r="G5375">
        <v>134.1</v>
      </c>
      <c r="H5375">
        <v>145.76</v>
      </c>
      <c r="I5375">
        <v>145.77000000000001</v>
      </c>
      <c r="J5375">
        <v>-0.01</v>
      </c>
    </row>
    <row r="5376" spans="1:10" x14ac:dyDescent="0.3">
      <c r="A5376" t="str">
        <f>HYPERLINK("https://us2.cloudbeds.com/connect/10074733072513#/reservations/31716821696663?display=MX6ZA5NHP&amp;reservation_id=31716821696663", "MX6ZA5NHP")</f>
        <v>MX6ZA5NHP</v>
      </c>
      <c r="B5376" t="s">
        <v>10</v>
      </c>
      <c r="C5376" t="s">
        <v>42</v>
      </c>
      <c r="D5376" t="str">
        <f>HYPERLINK("https://us2.cloudbeds.com/connect/10074733072513#/reservations/31716821696663?display=Fred%20Marnette&amp;reservation_id=31716821696663&amp;guest_id=31716804825291", "Fred Marnette")</f>
        <v>Fred Marnette</v>
      </c>
      <c r="E5376" t="s">
        <v>11603</v>
      </c>
      <c r="F5376" t="s">
        <v>10695</v>
      </c>
      <c r="G5376">
        <v>268.2</v>
      </c>
      <c r="H5376">
        <v>291.52</v>
      </c>
      <c r="I5376">
        <v>291.52999999999997</v>
      </c>
      <c r="J5376">
        <v>-0.01</v>
      </c>
    </row>
    <row r="5377" spans="1:10" x14ac:dyDescent="0.3">
      <c r="A5377" t="str">
        <f>HYPERLINK("https://us2.cloudbeds.com/connect/10074733072513#/reservations/31711729967338?display=MX2Q6MRMZ&amp;reservation_id=31711729967338", "MX2Q6MRMZ")</f>
        <v>MX2Q6MRMZ</v>
      </c>
      <c r="B5377" t="s">
        <v>10</v>
      </c>
      <c r="C5377" t="s">
        <v>42</v>
      </c>
      <c r="D5377" t="str">
        <f>HYPERLINK("https://us2.cloudbeds.com/connect/10074733072513#/reservations/31711729967338?display=Michele%20Van%20Choff&amp;reservation_id=31711729967338&amp;guest_id=31711724728569", "Michele Van Choff")</f>
        <v>Michele Van Choff</v>
      </c>
      <c r="E5377" t="s">
        <v>11604</v>
      </c>
      <c r="F5377" t="s">
        <v>11563</v>
      </c>
      <c r="G5377">
        <v>196.2</v>
      </c>
      <c r="H5377">
        <v>213.26</v>
      </c>
      <c r="I5377">
        <v>213.27</v>
      </c>
      <c r="J5377">
        <v>-0.01</v>
      </c>
    </row>
    <row r="5378" spans="1:10" x14ac:dyDescent="0.3">
      <c r="A5378" t="str">
        <f>HYPERLINK("https://us2.cloudbeds.com/connect/10074733072513#/reservations/31717728600286?display=MX7EFTY7Z&amp;reservation_id=31717728600286", "MX7EFTY7Z")</f>
        <v>MX7EFTY7Z</v>
      </c>
      <c r="B5378" t="s">
        <v>10</v>
      </c>
      <c r="C5378" t="s">
        <v>23</v>
      </c>
      <c r="D5378" t="str">
        <f>HYPERLINK("https://us2.cloudbeds.com/connect/10074733072513#/reservations/31717728600286?display=Jill%20Ehrmantraut&amp;reservation_id=31717728600286&amp;guest_id=31717721219268", "Jill Ehrmantraut")</f>
        <v>Jill Ehrmantraut</v>
      </c>
      <c r="E5378" t="s">
        <v>11607</v>
      </c>
      <c r="F5378" t="s">
        <v>11536</v>
      </c>
      <c r="G5378">
        <v>134.1</v>
      </c>
      <c r="H5378">
        <v>145.76</v>
      </c>
      <c r="I5378">
        <v>145.77000000000001</v>
      </c>
      <c r="J5378">
        <v>-0.01</v>
      </c>
    </row>
    <row r="5379" spans="1:10" x14ac:dyDescent="0.3">
      <c r="A5379" t="str">
        <f>HYPERLINK("https://us2.cloudbeds.com/connect/10074733072513#/reservations/31719393845453?display=MX8Z12HWG&amp;reservation_id=31719393845453", "MX8Z12HWG")</f>
        <v>MX8Z12HWG</v>
      </c>
      <c r="B5379" t="s">
        <v>10</v>
      </c>
      <c r="C5379" t="s">
        <v>121</v>
      </c>
      <c r="D5379" t="str">
        <f>HYPERLINK("https://us2.cloudbeds.com/connect/10074733072513#/reservations/31719393845453?display=Trevor%20Tibbetts&amp;reservation_id=31719393845453&amp;guest_id=31719383883933", "Trevor Tibbetts")</f>
        <v>Trevor Tibbetts</v>
      </c>
      <c r="E5379" t="s">
        <v>11612</v>
      </c>
      <c r="F5379" t="s">
        <v>11563</v>
      </c>
      <c r="G5379">
        <v>134.1</v>
      </c>
      <c r="H5379">
        <v>145.76</v>
      </c>
      <c r="I5379">
        <v>145.77000000000001</v>
      </c>
      <c r="J5379">
        <v>-0.01</v>
      </c>
    </row>
    <row r="5380" spans="1:10" x14ac:dyDescent="0.3">
      <c r="A5380" t="str">
        <f>HYPERLINK("https://us2.cloudbeds.com/connect/10074733072513#/reservations/31719403061415?display=MX8Z8RWP0&amp;reservation_id=31719403061415", "MX8Z8RWP0")</f>
        <v>MX8Z8RWP0</v>
      </c>
      <c r="B5380" t="s">
        <v>10</v>
      </c>
      <c r="C5380" t="s">
        <v>42</v>
      </c>
      <c r="D5380" t="str">
        <f>HYPERLINK("https://us2.cloudbeds.com/connect/10074733072513#/reservations/31719403061415?display=Brad%20Castle&amp;reservation_id=31719403061415&amp;guest_id=31719403061392", "Brad Castle")</f>
        <v>Brad Castle</v>
      </c>
      <c r="E5380" t="s">
        <v>11614</v>
      </c>
      <c r="F5380" t="s">
        <v>11563</v>
      </c>
      <c r="G5380">
        <v>134.1</v>
      </c>
      <c r="H5380">
        <v>145.76</v>
      </c>
      <c r="I5380">
        <v>145.77000000000001</v>
      </c>
      <c r="J5380">
        <v>-0.01</v>
      </c>
    </row>
    <row r="5381" spans="1:10" x14ac:dyDescent="0.3">
      <c r="A5381" t="str">
        <f>HYPERLINK("https://us2.cloudbeds.com/connect/10074733072513#/reservations/31718338588848?display=MX7U28FYK&amp;reservation_id=31718338588848", "MX7U28FYK")</f>
        <v>MX7U28FYK</v>
      </c>
      <c r="B5381" t="s">
        <v>10</v>
      </c>
      <c r="C5381" t="s">
        <v>42</v>
      </c>
      <c r="D5381" t="str">
        <f>HYPERLINK("https://us2.cloudbeds.com/connect/10074733072513#/reservations/31718338588848?display=Staci%20Aesoph&amp;reservation_id=31718338588848&amp;guest_id=31692335329473", "Staci Aesoph")</f>
        <v>Staci Aesoph</v>
      </c>
      <c r="E5381" t="s">
        <v>9846</v>
      </c>
      <c r="F5381" t="s">
        <v>11618</v>
      </c>
      <c r="G5381">
        <v>250.2</v>
      </c>
      <c r="H5381">
        <v>271.95999999999998</v>
      </c>
      <c r="I5381">
        <v>271.97000000000003</v>
      </c>
      <c r="J5381">
        <v>-0.01</v>
      </c>
    </row>
    <row r="5382" spans="1:10" x14ac:dyDescent="0.3">
      <c r="A5382" t="str">
        <f>HYPERLINK("https://us2.cloudbeds.com/connect/10074733072513#/reservations/31718461825207?display=MX8075NBZ&amp;reservation_id=31718461825207", "MX8075NBZ")</f>
        <v>MX8075NBZ</v>
      </c>
      <c r="B5382" t="s">
        <v>10</v>
      </c>
      <c r="C5382" t="s">
        <v>42</v>
      </c>
      <c r="D5382" t="str">
        <f>HYPERLINK("https://us2.cloudbeds.com/connect/10074733072513#/reservations/31718461825207?display=Greg%20Lund&amp;reservation_id=31718461825207&amp;guest_id=31718461825202", "Greg Lund")</f>
        <v>Greg Lund</v>
      </c>
      <c r="E5382" t="s">
        <v>11620</v>
      </c>
      <c r="F5382" t="s">
        <v>11557</v>
      </c>
      <c r="G5382">
        <v>87.2</v>
      </c>
      <c r="H5382">
        <v>94.78</v>
      </c>
      <c r="I5382">
        <v>94.79</v>
      </c>
      <c r="J5382">
        <v>-0.01</v>
      </c>
    </row>
    <row r="5383" spans="1:10" x14ac:dyDescent="0.3">
      <c r="A5383" t="str">
        <f>HYPERLINK("https://us2.cloudbeds.com/connect/10074733072513#/reservations/31719419359450?display=MX8ZMJGQU&amp;reservation_id=31719419359450", "MX8ZMJGQU")</f>
        <v>MX8ZMJGQU</v>
      </c>
      <c r="B5383" t="s">
        <v>10</v>
      </c>
      <c r="C5383" t="s">
        <v>121</v>
      </c>
      <c r="D5383" t="str">
        <f>HYPERLINK("https://us2.cloudbeds.com/connect/10074733072513#/reservations/31719419359450?display=Keith%20Baschew&amp;reservation_id=31719419359450&amp;guest_id=31719419359432", "Keith Baschew")</f>
        <v>Keith Baschew</v>
      </c>
      <c r="E5383" t="s">
        <v>11631</v>
      </c>
      <c r="F5383" t="s">
        <v>11563</v>
      </c>
      <c r="G5383">
        <v>134.1</v>
      </c>
      <c r="H5383">
        <v>145.76</v>
      </c>
      <c r="I5383">
        <v>145.77000000000001</v>
      </c>
      <c r="J5383">
        <v>-0.01</v>
      </c>
    </row>
    <row r="5384" spans="1:10" x14ac:dyDescent="0.3">
      <c r="A5384" t="str">
        <f>HYPERLINK("https://us2.cloudbeds.com/connect/10074733072513#/reservations/31718535164053?display=MX8230FG0&amp;reservation_id=31718535164053", "MX8230FG0")</f>
        <v>MX8230FG0</v>
      </c>
      <c r="B5384" t="s">
        <v>10</v>
      </c>
      <c r="C5384" t="s">
        <v>42</v>
      </c>
      <c r="D5384" t="str">
        <f>HYPERLINK("https://us2.cloudbeds.com/connect/10074733072513#/reservations/31718535164053?display=Arlin%20Todd%20Zoellner&amp;reservation_id=31718535164053&amp;guest_id=31692494192830", "Arlin Todd Zoellner")</f>
        <v>Arlin Todd Zoellner</v>
      </c>
      <c r="E5384" t="s">
        <v>11633</v>
      </c>
      <c r="F5384" t="s">
        <v>10982</v>
      </c>
      <c r="G5384">
        <v>268.2</v>
      </c>
      <c r="H5384">
        <v>291.52</v>
      </c>
      <c r="I5384">
        <v>291.52999999999997</v>
      </c>
      <c r="J5384">
        <v>-0.01</v>
      </c>
    </row>
    <row r="5385" spans="1:10" x14ac:dyDescent="0.3">
      <c r="A5385" t="str">
        <f>HYPERLINK("https://us2.cloudbeds.com/connect/10074733072513#/reservations/31719754158326?display=MX907TPQD&amp;reservation_id=31719754158326", "MX907TPQD")</f>
        <v>MX907TPQD</v>
      </c>
      <c r="B5385" t="s">
        <v>10</v>
      </c>
      <c r="C5385" t="s">
        <v>23</v>
      </c>
      <c r="D5385" t="str">
        <f>HYPERLINK("https://us2.cloudbeds.com/connect/10074733072513#/reservations/31719754158326?display=Bob%20Lauenroth&amp;reservation_id=31719754158326&amp;guest_id=31719754158324", "Bob Lauenroth")</f>
        <v>Bob Lauenroth</v>
      </c>
      <c r="E5385" t="s">
        <v>11637</v>
      </c>
      <c r="F5385" t="s">
        <v>11435</v>
      </c>
      <c r="G5385">
        <v>134.1</v>
      </c>
      <c r="H5385">
        <v>145.76</v>
      </c>
      <c r="I5385">
        <v>145.77000000000001</v>
      </c>
      <c r="J5385">
        <v>-0.01</v>
      </c>
    </row>
    <row r="5386" spans="1:10" x14ac:dyDescent="0.3">
      <c r="A5386" t="str">
        <f>HYPERLINK("https://us2.cloudbeds.com/connect/10074733072513#/reservations/31715334566032?display=MX5JA63M6&amp;reservation_id=31715334566032", "MX5JA63M6")</f>
        <v>MX5JA63M6</v>
      </c>
      <c r="B5386" t="s">
        <v>10</v>
      </c>
      <c r="C5386" t="s">
        <v>42</v>
      </c>
      <c r="D5386" t="str">
        <f>HYPERLINK("https://us2.cloudbeds.com/connect/10074733072513#/reservations/31715334566032?display=Kevin%20Saban&amp;reservation_id=31715334566032&amp;guest_id=31715334566016", "Kevin Saban")</f>
        <v>Kevin Saban</v>
      </c>
      <c r="E5386" t="s">
        <v>11638</v>
      </c>
      <c r="F5386" t="s">
        <v>11549</v>
      </c>
      <c r="G5386">
        <v>134.1</v>
      </c>
      <c r="H5386">
        <v>145.76</v>
      </c>
      <c r="I5386">
        <v>145.77000000000001</v>
      </c>
      <c r="J5386">
        <v>-0.01</v>
      </c>
    </row>
    <row r="5387" spans="1:10" x14ac:dyDescent="0.3">
      <c r="A5387" t="str">
        <f>HYPERLINK("https://us2.cloudbeds.com/connect/10074733072513#/reservations/31721325199491?display=MXA7CYAGE&amp;reservation_id=31721325199491", "MXA7CYAGE")</f>
        <v>MXA7CYAGE</v>
      </c>
      <c r="B5387" t="s">
        <v>10</v>
      </c>
      <c r="C5387" t="s">
        <v>23</v>
      </c>
      <c r="D5387" t="str">
        <f>HYPERLINK("https://us2.cloudbeds.com/connect/10074733072513#/reservations/31721325199491?display=Neil%20Anderson&amp;reservation_id=31721325199491&amp;guest_id=31721325199488", "Neil Anderson")</f>
        <v>Neil Anderson</v>
      </c>
      <c r="E5387" t="s">
        <v>11639</v>
      </c>
      <c r="F5387" t="s">
        <v>11435</v>
      </c>
      <c r="G5387">
        <v>134.1</v>
      </c>
      <c r="H5387">
        <v>145.76</v>
      </c>
      <c r="I5387">
        <v>145.77000000000001</v>
      </c>
      <c r="J5387">
        <v>-0.01</v>
      </c>
    </row>
    <row r="5388" spans="1:10" x14ac:dyDescent="0.3">
      <c r="A5388" t="str">
        <f>HYPERLINK("https://us2.cloudbeds.com/connect/10074733072513#/reservations/31721398464755?display=MXA98E11U&amp;reservation_id=31721398464755", "MXA98E11U")</f>
        <v>MXA98E11U</v>
      </c>
      <c r="B5388" t="s">
        <v>10</v>
      </c>
      <c r="C5388" t="s">
        <v>42</v>
      </c>
      <c r="D5388" t="str">
        <f>HYPERLINK("https://us2.cloudbeds.com/connect/10074733072513#/reservations/31721398464755?display=Dareld%20Mcelroy&amp;reservation_id=31721398464755&amp;guest_id=31721398464705", "Dareld Mcelroy")</f>
        <v>Dareld Mcelroy</v>
      </c>
      <c r="E5388" t="s">
        <v>11645</v>
      </c>
      <c r="F5388" t="s">
        <v>11435</v>
      </c>
      <c r="G5388">
        <v>143.65</v>
      </c>
      <c r="H5388">
        <v>156.13999999999999</v>
      </c>
      <c r="I5388">
        <v>156.15</v>
      </c>
      <c r="J5388">
        <v>-0.01</v>
      </c>
    </row>
    <row r="5389" spans="1:10" x14ac:dyDescent="0.3">
      <c r="A5389" t="str">
        <f>HYPERLINK("https://us2.cloudbeds.com/connect/10074733072513#/reservations/31717937049743?display=MX7JQM1SV&amp;reservation_id=31717937049743", "MX7JQM1SV")</f>
        <v>MX7JQM1SV</v>
      </c>
      <c r="B5389" t="s">
        <v>10</v>
      </c>
      <c r="C5389" t="s">
        <v>23</v>
      </c>
      <c r="D5389" t="str">
        <f>HYPERLINK("https://us2.cloudbeds.com/connect/10074733072513#/reservations/31717937049743?display=Matthew%20Anderson&amp;reservation_id=31717937049743&amp;guest_id=31717927338232", "Matthew Anderson")</f>
        <v>Matthew Anderson</v>
      </c>
      <c r="E5389" t="s">
        <v>11646</v>
      </c>
      <c r="F5389" t="s">
        <v>11647</v>
      </c>
      <c r="G5389">
        <v>89.38</v>
      </c>
      <c r="H5389">
        <v>97.15</v>
      </c>
      <c r="I5389">
        <v>97.16</v>
      </c>
      <c r="J5389">
        <v>-0.01</v>
      </c>
    </row>
    <row r="5390" spans="1:10" x14ac:dyDescent="0.3">
      <c r="A5390" t="str">
        <f>HYPERLINK("https://us2.cloudbeds.com/connect/10074733072513#/reservations/31720296657038?display=MX9E3BK2A&amp;reservation_id=31720296657038", "MX9E3BK2A")</f>
        <v>MX9E3BK2A</v>
      </c>
      <c r="B5390" t="s">
        <v>10</v>
      </c>
      <c r="C5390" t="s">
        <v>42</v>
      </c>
      <c r="D5390" t="str">
        <f>HYPERLINK("https://us2.cloudbeds.com/connect/10074733072513#/reservations/31720296657038?display=Kathy%20Klein&amp;reservation_id=31720296657038&amp;guest_id=31720296652946", "Kathy Klein")</f>
        <v>Kathy Klein</v>
      </c>
      <c r="E5390" t="s">
        <v>11649</v>
      </c>
      <c r="F5390" t="s">
        <v>11435</v>
      </c>
      <c r="G5390">
        <v>143.65</v>
      </c>
      <c r="H5390">
        <v>156.13999999999999</v>
      </c>
      <c r="I5390">
        <v>156.15</v>
      </c>
      <c r="J5390">
        <v>-0.01</v>
      </c>
    </row>
    <row r="5391" spans="1:10" x14ac:dyDescent="0.3">
      <c r="A5391" t="str">
        <f>HYPERLINK("https://us2.cloudbeds.com/connect/10074733072513#/reservations/31717560484066?display=MX7A64XHR&amp;reservation_id=31717560484066", "MX7A64XHR")</f>
        <v>MX7A64XHR</v>
      </c>
      <c r="B5391" t="s">
        <v>10</v>
      </c>
      <c r="C5391" t="s">
        <v>23</v>
      </c>
      <c r="D5391" t="str">
        <f>HYPERLINK("https://us2.cloudbeds.com/connect/10074733072513#/reservations/31717560484066?display=Roger%20Byer&amp;reservation_id=31717560484066&amp;guest_id=31717560479972", "Roger Byer")</f>
        <v>Roger Byer</v>
      </c>
      <c r="E5391" t="s">
        <v>11650</v>
      </c>
      <c r="F5391" t="s">
        <v>11027</v>
      </c>
      <c r="G5391">
        <v>376.2</v>
      </c>
      <c r="H5391">
        <v>408.92</v>
      </c>
      <c r="I5391">
        <v>408.93</v>
      </c>
      <c r="J5391">
        <v>-0.01</v>
      </c>
    </row>
    <row r="5392" spans="1:10" x14ac:dyDescent="0.3">
      <c r="A5392" t="str">
        <f>HYPERLINK("https://us2.cloudbeds.com/connect/10074733072513#/reservations/31721915605154?display=MXAMFG7F4&amp;reservation_id=31721915605154", "MXAMFG7F4")</f>
        <v>MXAMFG7F4</v>
      </c>
      <c r="B5392" t="s">
        <v>10</v>
      </c>
      <c r="C5392" t="s">
        <v>23</v>
      </c>
      <c r="D5392" t="str">
        <f>HYPERLINK("https://us2.cloudbeds.com/connect/10074733072513#/reservations/31721915605154?display=Doug%20Eidahl&amp;reservation_id=31721915605154&amp;guest_id=31721915605149", "Doug Eidahl")</f>
        <v>Doug Eidahl</v>
      </c>
      <c r="E5392" t="s">
        <v>11652</v>
      </c>
      <c r="F5392" t="s">
        <v>11435</v>
      </c>
      <c r="G5392">
        <v>134.1</v>
      </c>
      <c r="H5392">
        <v>145.76</v>
      </c>
      <c r="I5392">
        <v>145.77000000000001</v>
      </c>
      <c r="J5392">
        <v>-0.01</v>
      </c>
    </row>
    <row r="5393" spans="1:10" x14ac:dyDescent="0.3">
      <c r="A5393" t="str">
        <f>HYPERLINK("https://us2.cloudbeds.com/connect/10074733072513#/reservations/31720313143433?display=MX9EH8C31&amp;reservation_id=31720313143433", "MX9EH8C31")</f>
        <v>MX9EH8C31</v>
      </c>
      <c r="B5393" t="s">
        <v>10</v>
      </c>
      <c r="C5393" t="s">
        <v>23</v>
      </c>
      <c r="D5393" t="str">
        <f>HYPERLINK("https://us2.cloudbeds.com/connect/10074733072513#/reservations/31720313143433?display=Tara%20Vallery&amp;reservation_id=31720313143433&amp;guest_id=31720313143428", "Tara Vallery")</f>
        <v>Tara Vallery</v>
      </c>
      <c r="E5393" t="s">
        <v>11653</v>
      </c>
      <c r="F5393" t="s">
        <v>11435</v>
      </c>
      <c r="G5393">
        <v>143.65</v>
      </c>
      <c r="H5393">
        <v>156.13999999999999</v>
      </c>
      <c r="I5393">
        <v>156.15</v>
      </c>
      <c r="J5393">
        <v>-0.01</v>
      </c>
    </row>
    <row r="5394" spans="1:10" x14ac:dyDescent="0.3">
      <c r="A5394" t="str">
        <f>HYPERLINK("https://us2.cloudbeds.com/connect/10074733072513#/reservations/31721060733155?display=MXA0KY511&amp;reservation_id=31721060733155", "MXA0KY511")</f>
        <v>MXA0KY511</v>
      </c>
      <c r="B5394" t="s">
        <v>10</v>
      </c>
      <c r="C5394" t="s">
        <v>121</v>
      </c>
      <c r="D5394" t="str">
        <f>HYPERLINK("https://us2.cloudbeds.com/connect/10074733072513#/reservations/31721060733155?display=Joyce%20Fortin&amp;reservation_id=31721060733155&amp;guest_id=31674625237170", "Joyce Fortin")</f>
        <v>Joyce Fortin</v>
      </c>
      <c r="E5394" t="s">
        <v>8487</v>
      </c>
      <c r="F5394" t="s">
        <v>11654</v>
      </c>
      <c r="G5394">
        <v>87.2</v>
      </c>
      <c r="H5394">
        <v>94.78</v>
      </c>
      <c r="I5394">
        <v>94.79</v>
      </c>
      <c r="J5394">
        <v>-0.01</v>
      </c>
    </row>
    <row r="5395" spans="1:10" x14ac:dyDescent="0.3">
      <c r="A5395" t="str">
        <f>HYPERLINK("https://us2.cloudbeds.com/connect/10074733072513#/reservations/31721199546564?display=MXA45MRNW&amp;reservation_id=31721199546564", "MXA45MRNW")</f>
        <v>MXA45MRNW</v>
      </c>
      <c r="B5395" t="s">
        <v>10</v>
      </c>
      <c r="C5395" t="s">
        <v>23</v>
      </c>
      <c r="D5395" t="str">
        <f>HYPERLINK("https://us2.cloudbeds.com/connect/10074733072513#/reservations/31721199546564?display=Renee%20Schlosberg&amp;reservation_id=31721199546564&amp;guest_id=31721190764757", "Renee Schlosberg")</f>
        <v>Renee Schlosberg</v>
      </c>
      <c r="E5395" t="s">
        <v>11659</v>
      </c>
      <c r="F5395" t="s">
        <v>11518</v>
      </c>
      <c r="G5395">
        <v>300.36</v>
      </c>
      <c r="H5395">
        <v>326.48</v>
      </c>
      <c r="I5395">
        <v>326.49</v>
      </c>
      <c r="J5395">
        <v>-0.01</v>
      </c>
    </row>
    <row r="5396" spans="1:10" x14ac:dyDescent="0.3">
      <c r="A5396" t="str">
        <f>HYPERLINK("https://us2.cloudbeds.com/connect/10074733072513#/reservations/31721578594458?display=MXADSADDQ&amp;reservation_id=31721578594458", "MXADSADDQ")</f>
        <v>MXADSADDQ</v>
      </c>
      <c r="B5396" t="s">
        <v>10</v>
      </c>
      <c r="C5396" t="s">
        <v>42</v>
      </c>
      <c r="D5396" t="str">
        <f>HYPERLINK("https://us2.cloudbeds.com/connect/10074733072513#/reservations/31721578594458?display=Todd%20Montgomery&amp;reservation_id=31721578594458&amp;guest_id=31721578590363", "Todd Montgomery")</f>
        <v>Todd Montgomery</v>
      </c>
      <c r="E5396" t="s">
        <v>11660</v>
      </c>
      <c r="F5396" t="s">
        <v>11647</v>
      </c>
      <c r="G5396">
        <v>190.4</v>
      </c>
      <c r="H5396">
        <v>206.95</v>
      </c>
      <c r="I5396">
        <v>206.96</v>
      </c>
      <c r="J5396">
        <v>-0.01</v>
      </c>
    </row>
    <row r="5397" spans="1:10" x14ac:dyDescent="0.3">
      <c r="A5397" t="str">
        <f>HYPERLINK("https://us2.cloudbeds.com/connect/10074733072513#/reservations/31717853683843?display=MX7HMC95X&amp;reservation_id=31717853683843", "MX7HMC95X")</f>
        <v>MX7HMC95X</v>
      </c>
      <c r="B5397" t="s">
        <v>10</v>
      </c>
      <c r="C5397" t="s">
        <v>23</v>
      </c>
      <c r="D5397" t="str">
        <f>HYPERLINK("https://us2.cloudbeds.com/connect/10074733072513#/reservations/31717853683843?display=Steve%20Jandl&amp;reservation_id=31717853683843&amp;guest_id=31717847736482", "Steve Jandl")</f>
        <v>Steve Jandl</v>
      </c>
      <c r="E5397" t="s">
        <v>11662</v>
      </c>
      <c r="F5397" t="s">
        <v>11647</v>
      </c>
      <c r="G5397">
        <v>196.2</v>
      </c>
      <c r="H5397">
        <v>213.26</v>
      </c>
      <c r="I5397">
        <v>213.27</v>
      </c>
      <c r="J5397">
        <v>-0.01</v>
      </c>
    </row>
    <row r="5398" spans="1:10" x14ac:dyDescent="0.3">
      <c r="A5398" t="str">
        <f>HYPERLINK("https://us2.cloudbeds.com/connect/10074733072513#/reservations/31720294744312?display=MX9E1ZCYU&amp;reservation_id=31720294744312", "MX9E1ZCYU")</f>
        <v>MX9E1ZCYU</v>
      </c>
      <c r="B5398" t="s">
        <v>10</v>
      </c>
      <c r="C5398" t="s">
        <v>23</v>
      </c>
      <c r="D5398" t="str">
        <f>HYPERLINK("https://us2.cloudbeds.com/connect/10074733072513#/reservations/31720294744312?display=Tim%20Harrington&amp;reservation_id=31720294744312&amp;guest_id=31720285122720", "Tim Harrington")</f>
        <v>Tim Harrington</v>
      </c>
      <c r="E5398" t="s">
        <v>11663</v>
      </c>
      <c r="F5398" t="s">
        <v>11435</v>
      </c>
      <c r="G5398">
        <v>117.42</v>
      </c>
      <c r="H5398">
        <v>127.63</v>
      </c>
      <c r="I5398">
        <v>127.64</v>
      </c>
      <c r="J5398">
        <v>-0.01</v>
      </c>
    </row>
    <row r="5399" spans="1:10" x14ac:dyDescent="0.3">
      <c r="A5399" t="str">
        <f>HYPERLINK("https://us2.cloudbeds.com/connect/10074733072513#/reservations/31720420892874?display=MX9H93YXK&amp;reservation_id=31720420892874", "MX9H93YXK")</f>
        <v>MX9H93YXK</v>
      </c>
      <c r="B5399" t="s">
        <v>10</v>
      </c>
      <c r="C5399" t="s">
        <v>42</v>
      </c>
      <c r="D5399" t="str">
        <f>HYPERLINK("https://us2.cloudbeds.com/connect/10074733072513#/reservations/31720420892874?display=Larry%20&amp;amp;%20Renee%20Trautman&amp;reservation_id=31720420892874&amp;guest_id=31720420892869", "Larry &amp;amp; Renee Trautman")</f>
        <v>Larry &amp;amp; Renee Trautman</v>
      </c>
      <c r="E5399" t="s">
        <v>2380</v>
      </c>
      <c r="F5399" t="s">
        <v>11044</v>
      </c>
      <c r="G5399">
        <v>250.2</v>
      </c>
      <c r="H5399">
        <v>271.95999999999998</v>
      </c>
      <c r="I5399">
        <v>271.97000000000003</v>
      </c>
      <c r="J5399">
        <v>-0.01</v>
      </c>
    </row>
    <row r="5400" spans="1:10" x14ac:dyDescent="0.3">
      <c r="A5400" t="str">
        <f>HYPERLINK("https://us2.cloudbeds.com/connect/10074733072513#/reservations/31720545546467?display=MX9KF7AM7&amp;reservation_id=31720545546467", "MX9KF7AM7")</f>
        <v>MX9KF7AM7</v>
      </c>
      <c r="B5400" t="s">
        <v>10</v>
      </c>
      <c r="C5400" t="s">
        <v>42</v>
      </c>
      <c r="D5400" t="str">
        <f>HYPERLINK("https://us2.cloudbeds.com/connect/10074733072513#/reservations/31720545546467?display=Hayley%20Bouressa&amp;reservation_id=31720545546467&amp;guest_id=31720545546462", "Hayley Bouressa")</f>
        <v>Hayley Bouressa</v>
      </c>
      <c r="E5400" t="s">
        <v>11664</v>
      </c>
      <c r="F5400" t="s">
        <v>11665</v>
      </c>
      <c r="G5400">
        <v>259.2</v>
      </c>
      <c r="H5400">
        <v>281.74</v>
      </c>
      <c r="I5400">
        <v>281.75</v>
      </c>
      <c r="J5400">
        <v>-0.01</v>
      </c>
    </row>
    <row r="5401" spans="1:10" x14ac:dyDescent="0.3">
      <c r="A5401" t="str">
        <f>HYPERLINK("https://us2.cloudbeds.com/connect/10074733072513#/reservations/31720879427771?display=MX9SWP22G&amp;reservation_id=31720879427771", "MX9SWP22G")</f>
        <v>MX9SWP22G</v>
      </c>
      <c r="B5401" t="s">
        <v>10</v>
      </c>
      <c r="C5401" t="s">
        <v>23</v>
      </c>
      <c r="D5401" t="str">
        <f>HYPERLINK("https://us2.cloudbeds.com/connect/10074733072513#/reservations/31720879427771?display=Jaclynn%20Heinz&amp;reservation_id=31720879427771&amp;guest_id=31720879427766", "Jaclynn Heinz")</f>
        <v>Jaclynn Heinz</v>
      </c>
      <c r="E5401" t="s">
        <v>11669</v>
      </c>
      <c r="F5401" t="s">
        <v>11460</v>
      </c>
      <c r="G5401">
        <v>250.2</v>
      </c>
      <c r="H5401">
        <v>271.95999999999998</v>
      </c>
      <c r="I5401">
        <v>271.97000000000003</v>
      </c>
      <c r="J5401">
        <v>-0.01</v>
      </c>
    </row>
    <row r="5402" spans="1:10" x14ac:dyDescent="0.3">
      <c r="A5402" t="str">
        <f>HYPERLINK("https://us2.cloudbeds.com/connect/10074733072513#/reservations/31720399020240?display=MX9GNM0GH&amp;reservation_id=31720399020240", "MX9GNM0GH")</f>
        <v>MX9GNM0GH</v>
      </c>
      <c r="B5402" t="s">
        <v>10</v>
      </c>
      <c r="C5402" t="s">
        <v>23</v>
      </c>
      <c r="D5402" t="str">
        <f>HYPERLINK("https://us2.cloudbeds.com/connect/10074733072513#/reservations/31720399020240?display=Sara%20Borah&amp;reservation_id=31720399020240&amp;guest_id=31720399020238", "Sara Borah")</f>
        <v>Sara Borah</v>
      </c>
      <c r="E5402" t="s">
        <v>11670</v>
      </c>
      <c r="F5402" t="s">
        <v>11044</v>
      </c>
      <c r="G5402">
        <v>304.2</v>
      </c>
      <c r="H5402">
        <v>330.66</v>
      </c>
      <c r="I5402">
        <v>330.67</v>
      </c>
      <c r="J5402">
        <v>-0.01</v>
      </c>
    </row>
    <row r="5403" spans="1:10" x14ac:dyDescent="0.3">
      <c r="A5403" t="str">
        <f>HYPERLINK("https://us2.cloudbeds.com/connect/10074733072513#/reservations/31712873574551?display=MX3ME0D1P&amp;reservation_id=31712873574551", "MX3ME0D1P")</f>
        <v>MX3ME0D1P</v>
      </c>
      <c r="B5403" t="s">
        <v>10</v>
      </c>
      <c r="C5403" t="s">
        <v>23</v>
      </c>
      <c r="D5403" t="str">
        <f>HYPERLINK("https://us2.cloudbeds.com/connect/10074733072513#/reservations/31712873574551?display=Pam%20Browning&amp;reservation_id=31712873574551&amp;guest_id=31712873574533", "Pam Browning")</f>
        <v>Pam Browning</v>
      </c>
      <c r="E5403" t="s">
        <v>11672</v>
      </c>
      <c r="F5403" t="s">
        <v>11516</v>
      </c>
      <c r="G5403">
        <v>170.1</v>
      </c>
      <c r="H5403">
        <v>184.89</v>
      </c>
      <c r="I5403">
        <v>184.9</v>
      </c>
      <c r="J5403">
        <v>-0.01</v>
      </c>
    </row>
    <row r="5404" spans="1:10" x14ac:dyDescent="0.3">
      <c r="A5404" t="str">
        <f>HYPERLINK("https://us2.cloudbeds.com/connect/10074733072513#/reservations/31718924194006?display=MX8C11QEF&amp;reservation_id=31718924194006", "MX8C11QEF")</f>
        <v>MX8C11QEF</v>
      </c>
      <c r="B5404" t="s">
        <v>10</v>
      </c>
      <c r="C5404" t="s">
        <v>23</v>
      </c>
      <c r="D5404" t="str">
        <f>HYPERLINK("https://us2.cloudbeds.com/connect/10074733072513#/reservations/31718924194006?display=Lorrie%20Branum&amp;reservation_id=31718924194006&amp;guest_id=31718924189915", "Lorrie Branum")</f>
        <v>Lorrie Branum</v>
      </c>
      <c r="E5404" t="s">
        <v>11674</v>
      </c>
      <c r="F5404" t="s">
        <v>10527</v>
      </c>
      <c r="G5404">
        <v>474.3</v>
      </c>
      <c r="H5404">
        <v>515.54999999999995</v>
      </c>
      <c r="I5404">
        <v>515.55999999999995</v>
      </c>
      <c r="J5404">
        <v>-0.01</v>
      </c>
    </row>
    <row r="5405" spans="1:10" x14ac:dyDescent="0.3">
      <c r="A5405" t="str">
        <f>HYPERLINK("https://us2.cloudbeds.com/connect/10074733072513#/reservations/31720973856909?display=MX9VDCMSH&amp;reservation_id=31720973856909", "MX9VDCMSH")</f>
        <v>MX9VDCMSH</v>
      </c>
      <c r="B5405" t="s">
        <v>10</v>
      </c>
      <c r="C5405" t="s">
        <v>42</v>
      </c>
      <c r="D5405" t="str">
        <f>HYPERLINK("https://us2.cloudbeds.com/connect/10074733072513#/reservations/31720973856909?display=Bryan%20Rohe&amp;reservation_id=31720973856909&amp;guest_id=31720973856904", "Bryan Rohe")</f>
        <v>Bryan Rohe</v>
      </c>
      <c r="E5405" t="s">
        <v>11679</v>
      </c>
      <c r="F5405" t="s">
        <v>11647</v>
      </c>
      <c r="G5405">
        <v>118.15</v>
      </c>
      <c r="H5405">
        <v>128.41999999999999</v>
      </c>
      <c r="I5405">
        <v>128.43</v>
      </c>
      <c r="J5405">
        <v>-0.01</v>
      </c>
    </row>
    <row r="5406" spans="1:10" x14ac:dyDescent="0.3">
      <c r="A5406" t="str">
        <f>HYPERLINK("https://us2.cloudbeds.com/connect/10074733072513#/reservations/31720847769754?display=MX9S624BY&amp;reservation_id=31720847769754", "MX9S624BY")</f>
        <v>MX9S624BY</v>
      </c>
      <c r="B5406" t="s">
        <v>10</v>
      </c>
      <c r="C5406" t="s">
        <v>23</v>
      </c>
      <c r="D5406" t="str">
        <f>HYPERLINK("https://us2.cloudbeds.com/connect/10074733072513#/reservations/31720847769754?display=Bill%20Fisher&amp;reservation_id=31720847769754&amp;guest_id=31720847769734", "Bill Fisher")</f>
        <v>Bill Fisher</v>
      </c>
      <c r="E5406" t="s">
        <v>11682</v>
      </c>
      <c r="F5406" t="s">
        <v>11460</v>
      </c>
      <c r="G5406">
        <v>250.2</v>
      </c>
      <c r="H5406">
        <v>271.95999999999998</v>
      </c>
      <c r="I5406">
        <v>271.97000000000003</v>
      </c>
      <c r="J5406">
        <v>-0.01</v>
      </c>
    </row>
    <row r="5407" spans="1:10" x14ac:dyDescent="0.3">
      <c r="A5407" t="str">
        <f>HYPERLINK("https://us2.cloudbeds.com/connect/10074733072513#/reservations/31712850501767?display=MX3YRXBUG&amp;reservation_id=31712850501767", "MX3YRXBUG")</f>
        <v>MX3YRXBUG</v>
      </c>
      <c r="B5407" t="s">
        <v>10</v>
      </c>
      <c r="C5407" t="s">
        <v>23</v>
      </c>
      <c r="D5407" t="str">
        <f>HYPERLINK("https://us2.cloudbeds.com/connect/10074733072513#/reservations/31712850501767?display=Virginia%20France&amp;reservation_id=31712850501767&amp;guest_id=31712850501762", "Virginia France")</f>
        <v>Virginia France</v>
      </c>
      <c r="E5407" t="s">
        <v>11685</v>
      </c>
      <c r="F5407" t="s">
        <v>11516</v>
      </c>
      <c r="G5407">
        <v>384.3</v>
      </c>
      <c r="H5407">
        <v>417.72</v>
      </c>
      <c r="I5407">
        <v>417.73</v>
      </c>
      <c r="J5407">
        <v>-0.01</v>
      </c>
    </row>
    <row r="5408" spans="1:10" x14ac:dyDescent="0.3">
      <c r="A5408" t="str">
        <f>HYPERLINK("https://us2.cloudbeds.com/connect/10074733072513#/reservations/31715847803099?display=MX5WDVMZJ&amp;reservation_id=31715847803099", "MX5WDVMZJ")</f>
        <v>MX5WDVMZJ</v>
      </c>
      <c r="B5408" t="s">
        <v>10</v>
      </c>
      <c r="C5408" t="s">
        <v>42</v>
      </c>
      <c r="D5408" t="str">
        <f>HYPERLINK("https://us2.cloudbeds.com/connect/10074733072513#/reservations/31715847803099?display=Suzanne%20Steffen&amp;reservation_id=31715847803099&amp;guest_id=31715839348928", "Suzanne Steffen")</f>
        <v>Suzanne Steffen</v>
      </c>
      <c r="E5408" t="s">
        <v>11693</v>
      </c>
      <c r="F5408" t="s">
        <v>11027</v>
      </c>
      <c r="G5408">
        <v>376.2</v>
      </c>
      <c r="H5408">
        <v>408.92</v>
      </c>
      <c r="I5408">
        <v>408.93</v>
      </c>
      <c r="J5408">
        <v>-0.01</v>
      </c>
    </row>
    <row r="5409" spans="1:10" x14ac:dyDescent="0.3">
      <c r="A5409" t="str">
        <f>HYPERLINK("https://us2.cloudbeds.com/connect/10074733072513#/reservations/31716569882781?display=MX6HSRKG2&amp;reservation_id=31716569882781", "MX6HSRKG2")</f>
        <v>MX6HSRKG2</v>
      </c>
      <c r="B5409" t="s">
        <v>10</v>
      </c>
      <c r="C5409" t="s">
        <v>42</v>
      </c>
      <c r="D5409" t="str">
        <f>HYPERLINK("https://us2.cloudbeds.com/connect/10074733072513#/reservations/31716569882781?display=Marchelle%20Scholl&amp;reservation_id=31716569882781&amp;guest_id=31716569882776", "Marchelle Scholl")</f>
        <v>Marchelle Scholl</v>
      </c>
      <c r="E5409" t="s">
        <v>11695</v>
      </c>
      <c r="F5409" t="s">
        <v>11696</v>
      </c>
      <c r="G5409">
        <v>134.1</v>
      </c>
      <c r="H5409">
        <v>145.76</v>
      </c>
      <c r="I5409">
        <v>145.77000000000001</v>
      </c>
      <c r="J5409">
        <v>-0.01</v>
      </c>
    </row>
    <row r="5410" spans="1:10" x14ac:dyDescent="0.3">
      <c r="A5410" t="str">
        <f>HYPERLINK("https://us2.cloudbeds.com/connect/10074733072513#/reservations/31722001571985?display=MXAZYWCHK&amp;reservation_id=31722001571985", "MXAZYWCHK")</f>
        <v>MXAZYWCHK</v>
      </c>
      <c r="B5410" t="s">
        <v>10</v>
      </c>
      <c r="C5410" t="s">
        <v>23</v>
      </c>
      <c r="D5410" t="str">
        <f>HYPERLINK("https://us2.cloudbeds.com/connect/10074733072513#/reservations/31722001571985?display=Justin%20Lockwood&amp;reservation_id=31722001571985&amp;guest_id=31722001571983", "Justin Lockwood")</f>
        <v>Justin Lockwood</v>
      </c>
      <c r="E5410" t="s">
        <v>11697</v>
      </c>
      <c r="F5410" t="s">
        <v>11044</v>
      </c>
      <c r="G5410">
        <v>268.2</v>
      </c>
      <c r="H5410">
        <v>291.52</v>
      </c>
      <c r="I5410">
        <v>291.52999999999997</v>
      </c>
      <c r="J5410">
        <v>-0.01</v>
      </c>
    </row>
    <row r="5411" spans="1:10" x14ac:dyDescent="0.3">
      <c r="A5411" t="str">
        <f>HYPERLINK("https://us2.cloudbeds.com/connect/10074733072513#/reservations/31711319044335?display=MX2FN69UH&amp;reservation_id=31711319044335", "MX2FN69UH")</f>
        <v>MX2FN69UH</v>
      </c>
      <c r="B5411" t="s">
        <v>10</v>
      </c>
      <c r="C5411" t="s">
        <v>42</v>
      </c>
      <c r="D5411" t="str">
        <f>HYPERLINK("https://us2.cloudbeds.com/connect/10074733072513#/reservations/31711319044335?display=Paula%20Roiger&amp;reservation_id=31711319044335&amp;guest_id=31711319044330", "Paula Roiger")</f>
        <v>Paula Roiger</v>
      </c>
      <c r="E5411" t="s">
        <v>11698</v>
      </c>
      <c r="F5411" t="s">
        <v>11699</v>
      </c>
      <c r="G5411">
        <v>396.2</v>
      </c>
      <c r="H5411">
        <v>430.66</v>
      </c>
      <c r="I5411">
        <v>430.67</v>
      </c>
      <c r="J5411">
        <v>-0.01</v>
      </c>
    </row>
    <row r="5412" spans="1:10" x14ac:dyDescent="0.3">
      <c r="A5412" t="str">
        <f>HYPERLINK("https://us2.cloudbeds.com/connect/10074733072513#/reservations/31719512088818?display=MX8R1PRZP&amp;reservation_id=31719512088818", "MX8R1PRZP")</f>
        <v>MX8R1PRZP</v>
      </c>
      <c r="B5412" t="s">
        <v>10</v>
      </c>
      <c r="C5412" t="s">
        <v>42</v>
      </c>
      <c r="D5412" t="str">
        <f>HYPERLINK("https://us2.cloudbeds.com/connect/10074733072513#/reservations/31719512088818?display=Chad%20Dlouhy&amp;reservation_id=31719512088818&amp;guest_id=31719501598938", "Chad Dlouhy")</f>
        <v>Chad Dlouhy</v>
      </c>
      <c r="E5412" t="s">
        <v>5838</v>
      </c>
      <c r="F5412" t="s">
        <v>11518</v>
      </c>
      <c r="G5412">
        <v>118.15</v>
      </c>
      <c r="H5412">
        <v>128.41999999999999</v>
      </c>
      <c r="I5412">
        <v>128.43</v>
      </c>
      <c r="J5412">
        <v>-0.01</v>
      </c>
    </row>
    <row r="5413" spans="1:10" x14ac:dyDescent="0.3">
      <c r="A5413" t="str">
        <f>HYPERLINK("https://us2.cloudbeds.com/connect/10074733072513#/reservations/31720819138780?display=MX9REUE9C&amp;reservation_id=31720819138780", "MX9REUE9C")</f>
        <v>MX9REUE9C</v>
      </c>
      <c r="B5413" t="s">
        <v>10</v>
      </c>
      <c r="C5413" t="s">
        <v>42</v>
      </c>
      <c r="D5413" t="str">
        <f>HYPERLINK("https://us2.cloudbeds.com/connect/10074733072513#/reservations/31720819138780?display=Mark%20Reece&amp;reservation_id=31720819138780&amp;guest_id=31720819138778", "Mark Reece")</f>
        <v>Mark Reece</v>
      </c>
      <c r="E5413" t="s">
        <v>11715</v>
      </c>
      <c r="F5413" t="s">
        <v>11514</v>
      </c>
      <c r="G5413">
        <v>196.2</v>
      </c>
      <c r="H5413">
        <v>213.26</v>
      </c>
      <c r="I5413">
        <v>213.27</v>
      </c>
      <c r="J5413">
        <v>-0.01</v>
      </c>
    </row>
    <row r="5414" spans="1:10" x14ac:dyDescent="0.3">
      <c r="A5414" t="str">
        <f>HYPERLINK("https://us2.cloudbeds.com/connect/10074733072513#/reservations/31720352804995?display=MX9FHN08X&amp;reservation_id=31720352804995", "MX9FHN08X")</f>
        <v>MX9FHN08X</v>
      </c>
      <c r="B5414" t="s">
        <v>10</v>
      </c>
      <c r="C5414" t="s">
        <v>23</v>
      </c>
      <c r="D5414" t="str">
        <f>HYPERLINK("https://us2.cloudbeds.com/connect/10074733072513#/reservations/31720352804995?display=April%20Meyerink&amp;reservation_id=31720352804995&amp;guest_id=31720352804993", "April Meyerink")</f>
        <v>April Meyerink</v>
      </c>
      <c r="E5414" t="s">
        <v>11718</v>
      </c>
      <c r="F5414" t="s">
        <v>11044</v>
      </c>
      <c r="G5414">
        <v>474.3</v>
      </c>
      <c r="H5414">
        <v>515.54999999999995</v>
      </c>
      <c r="I5414">
        <v>515.55999999999995</v>
      </c>
      <c r="J5414">
        <v>-0.01</v>
      </c>
    </row>
    <row r="5415" spans="1:10" x14ac:dyDescent="0.3">
      <c r="A5415" t="str">
        <f>HYPERLINK("https://us2.cloudbeds.com/connect/10074733072513#/reservations/31716907663537?display=MX6QGYSYX&amp;reservation_id=31716907663537", "MX6QGYSYX")</f>
        <v>MX6QGYSYX</v>
      </c>
      <c r="B5415" t="s">
        <v>10</v>
      </c>
      <c r="C5415" t="s">
        <v>42</v>
      </c>
      <c r="D5415" t="str">
        <f>HYPERLINK("https://us2.cloudbeds.com/connect/10074733072513#/reservations/31716907663537?display=Jackie%20Horwig&amp;reservation_id=31716907663537&amp;guest_id=31716907663535", "Jackie Horwig")</f>
        <v>Jackie Horwig</v>
      </c>
      <c r="E5415" t="s">
        <v>11714</v>
      </c>
      <c r="F5415" t="s">
        <v>11691</v>
      </c>
      <c r="G5415">
        <v>259.2</v>
      </c>
      <c r="H5415">
        <v>281.74</v>
      </c>
      <c r="I5415">
        <v>281.75</v>
      </c>
      <c r="J5415">
        <v>-0.01</v>
      </c>
    </row>
    <row r="5416" spans="1:10" x14ac:dyDescent="0.3">
      <c r="A5416" t="str">
        <f>HYPERLINK("https://us2.cloudbeds.com/connect/10074733072513#/reservations/31716635803831?display=MX6JXDW1Y&amp;reservation_id=31716635803831", "MX6JXDW1Y")</f>
        <v>MX6JXDW1Y</v>
      </c>
      <c r="B5416" t="s">
        <v>10</v>
      </c>
      <c r="C5416" t="s">
        <v>23</v>
      </c>
      <c r="D5416" t="str">
        <f>HYPERLINK("https://us2.cloudbeds.com/connect/10074733072513#/reservations/31716635803831?display=James%20Banton&amp;reservation_id=31716635803831&amp;guest_id=31716620599520", "James Banton")</f>
        <v>James Banton</v>
      </c>
      <c r="E5416" t="s">
        <v>11725</v>
      </c>
      <c r="F5416" t="s">
        <v>11696</v>
      </c>
      <c r="G5416">
        <v>240.74</v>
      </c>
      <c r="H5416">
        <v>261.67</v>
      </c>
      <c r="I5416">
        <v>261.68</v>
      </c>
      <c r="J5416">
        <v>-0.01</v>
      </c>
    </row>
    <row r="5417" spans="1:10" x14ac:dyDescent="0.3">
      <c r="A5417" t="str">
        <f>HYPERLINK("https://us2.cloudbeds.com/connect/10074733072513#/reservations/31716620595417?display=MX6J5JPXK&amp;reservation_id=31716620595417", "MX6J5JPXK")</f>
        <v>MX6J5JPXK</v>
      </c>
      <c r="B5417" t="s">
        <v>10</v>
      </c>
      <c r="C5417" t="s">
        <v>23</v>
      </c>
      <c r="D5417" t="str">
        <f>HYPERLINK("https://us2.cloudbeds.com/connect/10074733072513#/reservations/31716620595417?display=Roy%20Brown&amp;reservation_id=31716620595417&amp;guest_id=31716609892513", "Roy Brown")</f>
        <v>Roy Brown</v>
      </c>
      <c r="E5417" t="s">
        <v>11726</v>
      </c>
      <c r="F5417" t="s">
        <v>11696</v>
      </c>
      <c r="G5417">
        <v>240.74</v>
      </c>
      <c r="H5417">
        <v>261.67</v>
      </c>
      <c r="I5417">
        <v>261.68</v>
      </c>
      <c r="J5417">
        <v>-0.01</v>
      </c>
    </row>
    <row r="5418" spans="1:10" x14ac:dyDescent="0.3">
      <c r="A5418" t="str">
        <f>HYPERLINK("https://us2.cloudbeds.com/connect/10074733072513#/reservations/31723006509281?display=MXBHBC7VV&amp;reservation_id=31723006509281", "MXBHBC7VV")</f>
        <v>MXBHBC7VV</v>
      </c>
      <c r="B5418" t="s">
        <v>10</v>
      </c>
      <c r="C5418" t="s">
        <v>42</v>
      </c>
      <c r="D5418" t="str">
        <f>HYPERLINK("https://us2.cloudbeds.com/connect/10074733072513#/reservations/31723006509281?display=Marie%20Palmer&amp;reservation_id=31723006509281&amp;guest_id=31676282900680", "Marie Palmer")</f>
        <v>Marie Palmer</v>
      </c>
      <c r="E5418" t="s">
        <v>7444</v>
      </c>
      <c r="F5418" t="s">
        <v>11727</v>
      </c>
      <c r="G5418">
        <v>174.4</v>
      </c>
      <c r="H5418">
        <v>189.56</v>
      </c>
      <c r="I5418">
        <v>189.57</v>
      </c>
      <c r="J5418">
        <v>-0.01</v>
      </c>
    </row>
    <row r="5419" spans="1:10" x14ac:dyDescent="0.3">
      <c r="A5419" t="str">
        <f>HYPERLINK("https://us2.cloudbeds.com/connect/10074733072513#/reservations/31721641701535?display=MXAFFHEWF&amp;reservation_id=31721641701535", "MXAFFHEWF")</f>
        <v>MXAFFHEWF</v>
      </c>
      <c r="B5419" t="s">
        <v>10</v>
      </c>
      <c r="C5419" t="s">
        <v>23</v>
      </c>
      <c r="D5419" t="str">
        <f>HYPERLINK("https://us2.cloudbeds.com/connect/10074733072513#/reservations/31721641701535?display=Ted%20Johnson&amp;reservation_id=31721641701535&amp;guest_id=31686746398949", "Ted Johnson")</f>
        <v>Ted Johnson</v>
      </c>
      <c r="E5419" t="s">
        <v>11734</v>
      </c>
      <c r="F5419" t="s">
        <v>11623</v>
      </c>
      <c r="G5419">
        <v>134.1</v>
      </c>
      <c r="H5419">
        <v>145.76</v>
      </c>
      <c r="I5419">
        <v>145.77000000000001</v>
      </c>
      <c r="J5419">
        <v>-0.01</v>
      </c>
    </row>
    <row r="5420" spans="1:10" x14ac:dyDescent="0.3">
      <c r="A5420" t="str">
        <f>HYPERLINK("https://us2.cloudbeds.com/connect/10074733072513#/reservations/31722325176452?display=MXAWUS4WJ&amp;reservation_id=31722325176452", "MXAWUS4WJ")</f>
        <v>MXAWUS4WJ</v>
      </c>
      <c r="B5420" t="s">
        <v>10</v>
      </c>
      <c r="C5420" t="s">
        <v>121</v>
      </c>
      <c r="D5420" t="str">
        <f>HYPERLINK("https://us2.cloudbeds.com/connect/10074733072513#/reservations/31722325176452?display=Shelly%20Olson&amp;reservation_id=31722325176452&amp;guest_id=31722325176449", "Shelly Olson")</f>
        <v>Shelly Olson</v>
      </c>
      <c r="E5420" t="s">
        <v>11736</v>
      </c>
      <c r="F5420" t="s">
        <v>11626</v>
      </c>
      <c r="G5420">
        <v>196.2</v>
      </c>
      <c r="H5420">
        <v>213.26</v>
      </c>
      <c r="I5420">
        <v>213.27</v>
      </c>
      <c r="J5420">
        <v>-0.01</v>
      </c>
    </row>
    <row r="5421" spans="1:10" x14ac:dyDescent="0.3">
      <c r="A5421" t="str">
        <f>HYPERLINK("https://us2.cloudbeds.com/connect/10074733072513#/reservations/31721688133858?display=MXAGYMGXX&amp;reservation_id=31721688133858", "MXAGYMGXX")</f>
        <v>MXAGYMGXX</v>
      </c>
      <c r="B5421" t="s">
        <v>10</v>
      </c>
      <c r="C5421" t="s">
        <v>42</v>
      </c>
      <c r="D5421" t="str">
        <f>HYPERLINK("https://us2.cloudbeds.com/connect/10074733072513#/reservations/31721688133858?display=Linda%20Janecek&amp;reservation_id=31721688133858&amp;guest_id=31721688133856", "Linda Janecek")</f>
        <v>Linda Janecek</v>
      </c>
      <c r="E5421" t="s">
        <v>11738</v>
      </c>
      <c r="F5421" t="s">
        <v>11196</v>
      </c>
      <c r="G5421">
        <v>268.2</v>
      </c>
      <c r="H5421">
        <v>291.52</v>
      </c>
      <c r="I5421">
        <v>291.52999999999997</v>
      </c>
      <c r="J5421">
        <v>-0.01</v>
      </c>
    </row>
    <row r="5422" spans="1:10" x14ac:dyDescent="0.3">
      <c r="A5422" t="str">
        <f>HYPERLINK("https://us2.cloudbeds.com/connect/10074733072513#/reservations/31716368629985?display=MX6CZ4FBG&amp;reservation_id=31716368629985", "MX6CZ4FBG")</f>
        <v>MX6CZ4FBG</v>
      </c>
      <c r="B5422" t="s">
        <v>10</v>
      </c>
      <c r="C5422" t="s">
        <v>23</v>
      </c>
      <c r="D5422" t="str">
        <f>HYPERLINK("https://us2.cloudbeds.com/connect/10074733072513#/reservations/31716368629985?display=Lisa%20Gronewold&amp;reservation_id=31716368629985&amp;guest_id=31716368625890", "Lisa Gronewold")</f>
        <v>Lisa Gronewold</v>
      </c>
      <c r="E5422" t="s">
        <v>11743</v>
      </c>
      <c r="F5422" t="s">
        <v>11713</v>
      </c>
      <c r="G5422">
        <v>268.2</v>
      </c>
      <c r="H5422">
        <v>291.52</v>
      </c>
      <c r="I5422">
        <v>291.52999999999997</v>
      </c>
      <c r="J5422">
        <v>-0.01</v>
      </c>
    </row>
    <row r="5423" spans="1:10" x14ac:dyDescent="0.3">
      <c r="A5423" t="str">
        <f>HYPERLINK("https://us2.cloudbeds.com/connect/10074733072513#/reservations/31720371904738?display=MX9G0QG1Y&amp;reservation_id=31720371904738", "MX9G0QG1Y")</f>
        <v>MX9G0QG1Y</v>
      </c>
      <c r="B5423" t="s">
        <v>10</v>
      </c>
      <c r="C5423" t="s">
        <v>23</v>
      </c>
      <c r="D5423" t="str">
        <f>HYPERLINK("https://us2.cloudbeds.com/connect/10074733072513#/reservations/31720371904738?display=Gene%20Beeber&amp;reservation_id=31720371904738&amp;guest_id=31720371904736", "Gene Beeber")</f>
        <v>Gene Beeber</v>
      </c>
      <c r="E5423" t="s">
        <v>11744</v>
      </c>
      <c r="F5423" t="s">
        <v>11044</v>
      </c>
      <c r="G5423">
        <v>304.2</v>
      </c>
      <c r="H5423">
        <v>330.66</v>
      </c>
      <c r="I5423">
        <v>330.67</v>
      </c>
      <c r="J5423">
        <v>-0.01</v>
      </c>
    </row>
    <row r="5424" spans="1:10" x14ac:dyDescent="0.3">
      <c r="A5424" t="str">
        <f>HYPERLINK("https://us2.cloudbeds.com/connect/10074733072513#/reservations/31719522562266?display=MX8RAK97W&amp;reservation_id=31719522562266", "MX8RAK97W")</f>
        <v>MX8RAK97W</v>
      </c>
      <c r="B5424" t="s">
        <v>10</v>
      </c>
      <c r="C5424" t="s">
        <v>121</v>
      </c>
      <c r="D5424" t="str">
        <f>HYPERLINK("https://us2.cloudbeds.com/connect/10074733072513#/reservations/31719522562266?display=William%20Stangl&amp;reservation_id=31719522562266&amp;guest_id=31719522558174", "William Stangl")</f>
        <v>William Stangl</v>
      </c>
      <c r="E5424" t="s">
        <v>11745</v>
      </c>
      <c r="F5424" t="s">
        <v>11518</v>
      </c>
      <c r="G5424">
        <v>250.2</v>
      </c>
      <c r="H5424">
        <v>271.95999999999998</v>
      </c>
      <c r="I5424">
        <v>271.97000000000003</v>
      </c>
      <c r="J5424">
        <v>-0.01</v>
      </c>
    </row>
    <row r="5425" spans="1:10" x14ac:dyDescent="0.3">
      <c r="A5425" t="str">
        <f>HYPERLINK("https://us2.cloudbeds.com/connect/10074733072513#/reservations/31716584849559?display=MX6X8F32Q&amp;reservation_id=31716584849559", "MX6X8F32Q")</f>
        <v>MX6X8F32Q</v>
      </c>
      <c r="B5425" t="s">
        <v>10</v>
      </c>
      <c r="C5425" t="s">
        <v>23</v>
      </c>
      <c r="D5425" t="str">
        <f>HYPERLINK("https://us2.cloudbeds.com/connect/10074733072513#/reservations/31716584849559?display=Michelle%20S%20Kalin&amp;reservation_id=31716584849559&amp;guest_id=31716577849536", "Michelle S Kalin")</f>
        <v>Michelle S Kalin</v>
      </c>
      <c r="E5425" t="s">
        <v>11747</v>
      </c>
      <c r="F5425" t="s">
        <v>11748</v>
      </c>
      <c r="G5425">
        <v>134.1</v>
      </c>
      <c r="H5425">
        <v>145.76</v>
      </c>
      <c r="I5425">
        <v>145.77000000000001</v>
      </c>
      <c r="J5425">
        <v>-0.01</v>
      </c>
    </row>
    <row r="5426" spans="1:10" x14ac:dyDescent="0.3">
      <c r="A5426" t="str">
        <f>HYPERLINK("https://us2.cloudbeds.com/connect/10074733072513#/reservations/31718073163957?display=MX7N9EKW3&amp;reservation_id=31718073163957", "MX7N9EKW3")</f>
        <v>MX7N9EKW3</v>
      </c>
      <c r="B5426" t="s">
        <v>10</v>
      </c>
      <c r="C5426" t="s">
        <v>23</v>
      </c>
      <c r="D5426" t="str">
        <f>HYPERLINK("https://us2.cloudbeds.com/connect/10074733072513#/reservations/31718073163957?display=Dorothy%20Knadel&amp;reservation_id=31718073163957&amp;guest_id=31718073163952", "Dorothy Knadel")</f>
        <v>Dorothy Knadel</v>
      </c>
      <c r="E5426" t="s">
        <v>11750</v>
      </c>
      <c r="F5426" t="s">
        <v>11573</v>
      </c>
      <c r="G5426">
        <v>170.1</v>
      </c>
      <c r="H5426">
        <v>184.89</v>
      </c>
      <c r="I5426">
        <v>184.9</v>
      </c>
      <c r="J5426">
        <v>-0.01</v>
      </c>
    </row>
    <row r="5427" spans="1:10" x14ac:dyDescent="0.3">
      <c r="A5427" t="str">
        <f>HYPERLINK("https://us2.cloudbeds.com/connect/10074733072513#/reservations/31720923312383?display=MX9U3P757&amp;reservation_id=31720923312383", "MX9U3P757")</f>
        <v>MX9U3P757</v>
      </c>
      <c r="B5427" t="s">
        <v>10</v>
      </c>
      <c r="C5427" t="s">
        <v>23</v>
      </c>
      <c r="D5427" t="str">
        <f>HYPERLINK("https://us2.cloudbeds.com/connect/10074733072513#/reservations/31720923312383?display=Lori%20Cihak&amp;reservation_id=31720923312383&amp;guest_id=31720923312366", "Lori Cihak")</f>
        <v>Lori Cihak</v>
      </c>
      <c r="E5427" t="s">
        <v>11751</v>
      </c>
      <c r="F5427" t="s">
        <v>11460</v>
      </c>
      <c r="G5427">
        <v>182.36</v>
      </c>
      <c r="H5427">
        <v>198.22</v>
      </c>
      <c r="I5427">
        <v>198.23</v>
      </c>
      <c r="J5427">
        <v>-0.01</v>
      </c>
    </row>
    <row r="5428" spans="1:10" x14ac:dyDescent="0.3">
      <c r="A5428" t="str">
        <f>HYPERLINK("https://us2.cloudbeds.com/connect/10074733072513#/reservations/31718550253709?display=MX82FZBUA&amp;reservation_id=31718550253709", "MX82FZBUA")</f>
        <v>MX82FZBUA</v>
      </c>
      <c r="B5428" t="s">
        <v>10</v>
      </c>
      <c r="C5428" t="s">
        <v>23</v>
      </c>
      <c r="D5428" t="str">
        <f>HYPERLINK("https://us2.cloudbeds.com/connect/10074733072513#/reservations/31718550253709?display=Allison%20Mcmartin&amp;reservation_id=31718550253709&amp;guest_id=31718550253707", "Allison Mcmartin")</f>
        <v>Allison Mcmartin</v>
      </c>
      <c r="E5428" t="s">
        <v>11757</v>
      </c>
      <c r="F5428" t="s">
        <v>11485</v>
      </c>
      <c r="G5428">
        <v>536.4</v>
      </c>
      <c r="H5428">
        <v>583.05999999999995</v>
      </c>
      <c r="I5428">
        <v>583.07000000000005</v>
      </c>
      <c r="J5428">
        <v>-0.01</v>
      </c>
    </row>
    <row r="5429" spans="1:10" x14ac:dyDescent="0.3">
      <c r="A5429" t="str">
        <f>HYPERLINK("https://us2.cloudbeds.com/connect/10074733072513#/reservations/31718584475794?display=MX83BJY56&amp;reservation_id=31718584475794", "MX83BJY56")</f>
        <v>MX83BJY56</v>
      </c>
      <c r="B5429" t="s">
        <v>10</v>
      </c>
      <c r="C5429" t="s">
        <v>23</v>
      </c>
      <c r="D5429" t="str">
        <f>HYPERLINK("https://us2.cloudbeds.com/connect/10074733072513#/reservations/31718584475794?display=Marshall%20Ryan&amp;reservation_id=31718584475794&amp;guest_id=31718576586936", "Marshall Ryan")</f>
        <v>Marshall Ryan</v>
      </c>
      <c r="E5429" t="s">
        <v>11759</v>
      </c>
      <c r="F5429" t="s">
        <v>11657</v>
      </c>
      <c r="G5429">
        <v>144.1</v>
      </c>
      <c r="H5429">
        <v>156.63</v>
      </c>
      <c r="I5429">
        <v>156.63999999999999</v>
      </c>
      <c r="J5429">
        <v>-0.01</v>
      </c>
    </row>
    <row r="5430" spans="1:10" x14ac:dyDescent="0.3">
      <c r="A5430" t="str">
        <f>HYPERLINK("https://us2.cloudbeds.com/connect/10074733072513#/reservations/31717178929314?display=MX70ED7SK&amp;reservation_id=31717178929314", "MX70ED7SK")</f>
        <v>MX70ED7SK</v>
      </c>
      <c r="B5430" t="s">
        <v>10</v>
      </c>
      <c r="C5430" t="s">
        <v>42</v>
      </c>
      <c r="D5430" t="str">
        <f>HYPERLINK("https://us2.cloudbeds.com/connect/10074733072513#/reservations/31717178929314?display=Gary%20Hillman&amp;reservation_id=31717178929314&amp;guest_id=31717178929312", "Gary Hillman")</f>
        <v>Gary Hillman</v>
      </c>
      <c r="E5430" t="s">
        <v>11764</v>
      </c>
      <c r="F5430" t="s">
        <v>11618</v>
      </c>
      <c r="G5430">
        <v>87.2</v>
      </c>
      <c r="H5430">
        <v>94.78</v>
      </c>
      <c r="I5430">
        <v>94.79</v>
      </c>
      <c r="J5430">
        <v>-0.01</v>
      </c>
    </row>
    <row r="5431" spans="1:10" x14ac:dyDescent="0.3">
      <c r="A5431" t="str">
        <f>HYPERLINK("https://us2.cloudbeds.com/connect/10074733072513#/reservations/31722733871313?display=MXBACFMNB&amp;reservation_id=31722733871313", "MXBACFMNB")</f>
        <v>MXBACFMNB</v>
      </c>
      <c r="B5431" t="s">
        <v>10</v>
      </c>
      <c r="C5431" t="s">
        <v>42</v>
      </c>
      <c r="D5431" t="str">
        <f>HYPERLINK("https://us2.cloudbeds.com/connect/10074733072513#/reservations/31722733871313?display=Jordan%20Gorombey&amp;reservation_id=31722733871313&amp;guest_id=31722733871308", "Jordan Gorombey")</f>
        <v>Jordan Gorombey</v>
      </c>
      <c r="E5431" t="s">
        <v>11765</v>
      </c>
      <c r="F5431" t="s">
        <v>11727</v>
      </c>
      <c r="G5431">
        <v>196.2</v>
      </c>
      <c r="H5431">
        <v>213.26</v>
      </c>
      <c r="I5431">
        <v>213.27</v>
      </c>
      <c r="J5431">
        <v>-0.01</v>
      </c>
    </row>
    <row r="5432" spans="1:10" x14ac:dyDescent="0.3">
      <c r="A5432" t="str">
        <f>HYPERLINK("https://us2.cloudbeds.com/connect/10074733072513#/reservations/31719070814411?display=MX8FPMZ31&amp;reservation_id=31719070814411", "MX8FPMZ31")</f>
        <v>MX8FPMZ31</v>
      </c>
      <c r="B5432" t="s">
        <v>10</v>
      </c>
      <c r="C5432" t="s">
        <v>42</v>
      </c>
      <c r="D5432" t="str">
        <f>HYPERLINK("https://us2.cloudbeds.com/connect/10074733072513#/reservations/31719070814411?display=Scott%20Fisher&amp;reservation_id=31719070814411&amp;guest_id=25045013258489", "Scott Fisher")</f>
        <v>Scott Fisher</v>
      </c>
      <c r="E5432" t="s">
        <v>11769</v>
      </c>
      <c r="F5432" t="s">
        <v>11768</v>
      </c>
      <c r="G5432">
        <v>196.2</v>
      </c>
      <c r="H5432">
        <v>213.26</v>
      </c>
      <c r="I5432">
        <v>213.27</v>
      </c>
      <c r="J5432">
        <v>-0.01</v>
      </c>
    </row>
    <row r="5433" spans="1:10" x14ac:dyDescent="0.3">
      <c r="A5433" t="str">
        <f>HYPERLINK("https://us2.cloudbeds.com/connect/10074733072513#/reservations/31717257920673?display=MX72F09X5&amp;reservation_id=31717257920673", "MX72F09X5")</f>
        <v>MX72F09X5</v>
      </c>
      <c r="B5433" t="s">
        <v>10</v>
      </c>
      <c r="C5433" t="s">
        <v>42</v>
      </c>
      <c r="D5433" t="str">
        <f>HYPERLINK("https://us2.cloudbeds.com/connect/10074733072513#/reservations/31717257920673?display=Robert%20Wiggs&amp;reservation_id=31717257920673&amp;guest_id=31717257920661", "Robert Wiggs")</f>
        <v>Robert Wiggs</v>
      </c>
      <c r="E5433" t="s">
        <v>11770</v>
      </c>
      <c r="F5433" t="s">
        <v>11771</v>
      </c>
      <c r="G5433">
        <v>384.3</v>
      </c>
      <c r="H5433">
        <v>417.72</v>
      </c>
      <c r="I5433">
        <v>417.73</v>
      </c>
      <c r="J5433">
        <v>-0.01</v>
      </c>
    </row>
    <row r="5434" spans="1:10" x14ac:dyDescent="0.3">
      <c r="A5434" t="str">
        <f>HYPERLINK("https://us2.cloudbeds.com/connect/10074733072513#/reservations/31718661714154?display=MX85ANU3X&amp;reservation_id=31718661714154", "MX85ANU3X")</f>
        <v>MX85ANU3X</v>
      </c>
      <c r="B5434" t="s">
        <v>10</v>
      </c>
      <c r="C5434" t="s">
        <v>42</v>
      </c>
      <c r="D5434" t="str">
        <f>HYPERLINK("https://us2.cloudbeds.com/connect/10074733072513#/reservations/31718661714154?display=Kurt%20T%20Anderson&amp;reservation_id=31718661714154&amp;guest_id=31718642438297", "Kurt T Anderson")</f>
        <v>Kurt T Anderson</v>
      </c>
      <c r="E5434" t="s">
        <v>8277</v>
      </c>
      <c r="F5434" t="s">
        <v>11027</v>
      </c>
      <c r="G5434">
        <v>430.2</v>
      </c>
      <c r="H5434">
        <v>467.62</v>
      </c>
      <c r="I5434">
        <v>467.63</v>
      </c>
      <c r="J5434">
        <v>-0.01</v>
      </c>
    </row>
    <row r="5435" spans="1:10" x14ac:dyDescent="0.3">
      <c r="A5435" t="str">
        <f>HYPERLINK("https://us2.cloudbeds.com/connect/10074733072513#/reservations/31715649839245?display=MX5RC11ZU&amp;reservation_id=31715649839245", "MX5RC11ZU")</f>
        <v>MX5RC11ZU</v>
      </c>
      <c r="B5435" t="s">
        <v>10</v>
      </c>
      <c r="C5435" t="s">
        <v>23</v>
      </c>
      <c r="D5435" t="str">
        <f>HYPERLINK("https://us2.cloudbeds.com/connect/10074733072513#/reservations/31715649839245?display=Julie%20Rohde&amp;reservation_id=31715649839245&amp;guest_id=31715649835197", "Julie Rohde")</f>
        <v>Julie Rohde</v>
      </c>
      <c r="E5435" t="s">
        <v>11791</v>
      </c>
      <c r="F5435" t="s">
        <v>11485</v>
      </c>
      <c r="G5435">
        <v>250.2</v>
      </c>
      <c r="H5435">
        <v>271.95999999999998</v>
      </c>
      <c r="I5435">
        <v>271.97000000000003</v>
      </c>
      <c r="J5435">
        <v>-0.01</v>
      </c>
    </row>
    <row r="5436" spans="1:10" x14ac:dyDescent="0.3">
      <c r="A5436" t="str">
        <f>HYPERLINK("https://us2.cloudbeds.com/connect/10074733072513#/reservations/31719180804230?display=MX8XJEBRZ&amp;reservation_id=31719180804230", "MX8XJEBRZ")</f>
        <v>MX8XJEBRZ</v>
      </c>
      <c r="B5436" t="s">
        <v>10</v>
      </c>
      <c r="C5436" t="s">
        <v>23</v>
      </c>
      <c r="D5436" t="str">
        <f>HYPERLINK("https://us2.cloudbeds.com/connect/10074733072513#/reservations/31719180804230?display=Sandra%20Hall&amp;reservation_id=31719180804230&amp;guest_id=31719172579567", "Sandra Hall")</f>
        <v>Sandra Hall</v>
      </c>
      <c r="E5436" t="s">
        <v>11793</v>
      </c>
      <c r="F5436" t="s">
        <v>11485</v>
      </c>
      <c r="G5436">
        <v>134.1</v>
      </c>
      <c r="H5436">
        <v>145.76</v>
      </c>
      <c r="I5436">
        <v>145.77000000000001</v>
      </c>
      <c r="J5436">
        <v>-0.01</v>
      </c>
    </row>
    <row r="5437" spans="1:10" x14ac:dyDescent="0.3">
      <c r="A5437" t="str">
        <f>HYPERLINK("https://us2.cloudbeds.com/connect/10074733072513#/reservations/31716601843959?display=MX6XMPWJK&amp;reservation_id=31716601843959", "MX6XMPWJK")</f>
        <v>MX6XMPWJK</v>
      </c>
      <c r="B5437" t="s">
        <v>10</v>
      </c>
      <c r="C5437" t="s">
        <v>23</v>
      </c>
      <c r="D5437" t="str">
        <f>HYPERLINK("https://us2.cloudbeds.com/connect/10074733072513#/reservations/31716601843959?display=Mil%20Grigg&amp;reservation_id=31716601843959&amp;guest_id=31716601843910", "Mil Grigg")</f>
        <v>Mil Grigg</v>
      </c>
      <c r="E5437" t="s">
        <v>11795</v>
      </c>
      <c r="F5437" t="s">
        <v>11696</v>
      </c>
      <c r="G5437">
        <v>441.45</v>
      </c>
      <c r="H5437">
        <v>479.85</v>
      </c>
      <c r="I5437">
        <v>479.86</v>
      </c>
      <c r="J5437">
        <v>-0.01</v>
      </c>
    </row>
    <row r="5438" spans="1:10" x14ac:dyDescent="0.3">
      <c r="A5438" t="str">
        <f>HYPERLINK("https://us2.cloudbeds.com/connect/10074733072513#/reservations/31724813525148?display=MXCUH340H&amp;reservation_id=31724813525148", "MXCUH340H")</f>
        <v>MXCUH340H</v>
      </c>
      <c r="B5438" t="s">
        <v>10</v>
      </c>
      <c r="C5438" t="s">
        <v>42</v>
      </c>
      <c r="D5438" t="str">
        <f>HYPERLINK("https://us2.cloudbeds.com/connect/10074733072513#/reservations/31724813525148?display=John%20Clouse&amp;reservation_id=31724813525148&amp;guest_id=31724813525128", "John Clouse")</f>
        <v>John Clouse</v>
      </c>
      <c r="E5438" t="s">
        <v>11796</v>
      </c>
      <c r="F5438" t="s">
        <v>10982</v>
      </c>
      <c r="G5438">
        <v>264.2</v>
      </c>
      <c r="H5438">
        <v>287.18</v>
      </c>
      <c r="I5438">
        <v>287.19</v>
      </c>
      <c r="J5438">
        <v>-0.01</v>
      </c>
    </row>
    <row r="5439" spans="1:10" x14ac:dyDescent="0.3">
      <c r="A5439" t="str">
        <f>HYPERLINK("https://us2.cloudbeds.com/connect/10074733072513#/reservations/31719013478590?display=MX8EAB93U&amp;reservation_id=31719013478590", "MX8EAB93U")</f>
        <v>MX8EAB93U</v>
      </c>
      <c r="B5439" t="s">
        <v>10</v>
      </c>
      <c r="C5439" t="s">
        <v>121</v>
      </c>
      <c r="D5439" t="str">
        <f>HYPERLINK("https://us2.cloudbeds.com/connect/10074733072513#/reservations/31719013478590?display=Phillip%20Christian&amp;reservation_id=31719013478590&amp;guest_id=31719013478577", "Phillip Christian")</f>
        <v>Phillip Christian</v>
      </c>
      <c r="E5439" t="s">
        <v>11797</v>
      </c>
      <c r="F5439" t="s">
        <v>11691</v>
      </c>
      <c r="G5439">
        <v>87.2</v>
      </c>
      <c r="H5439">
        <v>94.78</v>
      </c>
      <c r="I5439">
        <v>94.79</v>
      </c>
      <c r="J5439">
        <v>-0.01</v>
      </c>
    </row>
    <row r="5440" spans="1:10" x14ac:dyDescent="0.3">
      <c r="A5440" t="str">
        <f>HYPERLINK("https://us2.cloudbeds.com/connect/10074733072513#/reservations/31722678173922?display=MXB8VGR8K&amp;reservation_id=31722678173922", "MXB8VGR8K")</f>
        <v>MXB8VGR8K</v>
      </c>
      <c r="B5440" t="s">
        <v>10</v>
      </c>
      <c r="C5440" t="s">
        <v>121</v>
      </c>
      <c r="D5440" t="str">
        <f>HYPERLINK("https://us2.cloudbeds.com/connect/10074733072513#/reservations/31722678173922?display=Ryan%20Bell&amp;reservation_id=31722678173922&amp;guest_id=31722678173907", "Ryan Bell")</f>
        <v>Ryan Bell</v>
      </c>
      <c r="E5440" t="s">
        <v>11800</v>
      </c>
      <c r="F5440" t="s">
        <v>11768</v>
      </c>
      <c r="G5440">
        <v>87.2</v>
      </c>
      <c r="H5440">
        <v>94.78</v>
      </c>
      <c r="I5440">
        <v>94.79</v>
      </c>
      <c r="J5440">
        <v>-0.01</v>
      </c>
    </row>
    <row r="5441" spans="1:10" x14ac:dyDescent="0.3">
      <c r="A5441" t="str">
        <f>HYPERLINK("https://us2.cloudbeds.com/connect/10074733072513#/reservations/31716934070484?display=MX6R5UMF2&amp;reservation_id=31716934070484", "MX6R5UMF2")</f>
        <v>MX6R5UMF2</v>
      </c>
      <c r="B5441" t="s">
        <v>10</v>
      </c>
      <c r="C5441" t="s">
        <v>23</v>
      </c>
      <c r="D5441" t="str">
        <f>HYPERLINK("https://us2.cloudbeds.com/connect/10074733072513#/reservations/31716934070484?display=Demetrius%20Diggs&amp;reservation_id=31716934070484&amp;guest_id=31716934070471", "Demetrius Diggs")</f>
        <v>Demetrius Diggs</v>
      </c>
      <c r="E5441" t="s">
        <v>11803</v>
      </c>
      <c r="F5441" t="s">
        <v>11516</v>
      </c>
      <c r="G5441">
        <v>558</v>
      </c>
      <c r="H5441">
        <v>606.54</v>
      </c>
      <c r="I5441">
        <v>606.54999999999995</v>
      </c>
      <c r="J5441">
        <v>-0.01</v>
      </c>
    </row>
    <row r="5442" spans="1:10" x14ac:dyDescent="0.3">
      <c r="A5442" t="str">
        <f>HYPERLINK("https://us2.cloudbeds.com/connect/10074733072513#/reservations/31721257672926?display=MXA5YN9KT&amp;reservation_id=31721257672926", "MXA5YN9KT")</f>
        <v>MXA5YN9KT</v>
      </c>
      <c r="B5442" t="s">
        <v>10</v>
      </c>
      <c r="C5442" t="s">
        <v>42</v>
      </c>
      <c r="D5442" t="str">
        <f>HYPERLINK("https://us2.cloudbeds.com/connect/10074733072513#/reservations/31721257672926?display=Jeffrey%20Hoyum&amp;reservation_id=31721257672926&amp;guest_id=31721248829631", "Jeffrey Hoyum")</f>
        <v>Jeffrey Hoyum</v>
      </c>
      <c r="E5442" t="s">
        <v>11819</v>
      </c>
      <c r="F5442" t="s">
        <v>11460</v>
      </c>
      <c r="G5442">
        <v>134.1</v>
      </c>
      <c r="H5442">
        <v>145.76</v>
      </c>
      <c r="I5442">
        <v>145.77000000000001</v>
      </c>
      <c r="J5442">
        <v>-0.01</v>
      </c>
    </row>
    <row r="5443" spans="1:10" x14ac:dyDescent="0.3">
      <c r="A5443" t="str">
        <f>HYPERLINK("https://us2.cloudbeds.com/connect/10074733072513#/reservations/31715894292676?display=MX60K5ATY&amp;reservation_id=31715894292676", "MX60K5ATY")</f>
        <v>MX60K5ATY</v>
      </c>
      <c r="B5443" t="s">
        <v>10</v>
      </c>
      <c r="C5443" t="s">
        <v>23</v>
      </c>
      <c r="D5443" t="str">
        <f>HYPERLINK("https://us2.cloudbeds.com/connect/10074733072513#/reservations/31715894292676?display=James%20Meyer&amp;reservation_id=31715894292676&amp;guest_id=31715886092514", "James Meyer")</f>
        <v>James Meyer</v>
      </c>
      <c r="E5443" t="s">
        <v>11839</v>
      </c>
      <c r="F5443" t="s">
        <v>11027</v>
      </c>
      <c r="G5443">
        <v>396.2</v>
      </c>
      <c r="H5443">
        <v>430.66</v>
      </c>
      <c r="I5443">
        <v>430.67</v>
      </c>
      <c r="J5443">
        <v>-0.01</v>
      </c>
    </row>
    <row r="5444" spans="1:10" x14ac:dyDescent="0.3">
      <c r="A5444" t="str">
        <f>HYPERLINK("https://us2.cloudbeds.com/connect/10074733072513#/reservations/31721712148674?display=MXAH8UZZ8&amp;reservation_id=31721712148674", "MXAH8UZZ8")</f>
        <v>MXAH8UZZ8</v>
      </c>
      <c r="B5444" t="s">
        <v>10</v>
      </c>
      <c r="C5444" t="s">
        <v>42</v>
      </c>
      <c r="D5444" t="str">
        <f>HYPERLINK("https://us2.cloudbeds.com/connect/10074733072513#/reservations/31721712148674?display=Brian%20Jarveis&amp;reservation_id=31721712148674&amp;guest_id=31675152806049", "Brian Jarveis")</f>
        <v>Brian Jarveis</v>
      </c>
      <c r="E5444" t="s">
        <v>6167</v>
      </c>
      <c r="F5444" t="s">
        <v>11678</v>
      </c>
      <c r="G5444">
        <v>294.3</v>
      </c>
      <c r="H5444">
        <v>319.89</v>
      </c>
      <c r="I5444">
        <v>319.89999999999998</v>
      </c>
      <c r="J5444">
        <v>-0.01</v>
      </c>
    </row>
    <row r="5445" spans="1:10" x14ac:dyDescent="0.3">
      <c r="A5445" t="str">
        <f>HYPERLINK("https://us2.cloudbeds.com/connect/10074733072513#/reservations/31719797305567?display=MX91B9DPX&amp;reservation_id=31719797305567", "MX91B9DPX")</f>
        <v>MX91B9DPX</v>
      </c>
      <c r="B5445" t="s">
        <v>10</v>
      </c>
      <c r="C5445" t="s">
        <v>23</v>
      </c>
      <c r="D5445" t="str">
        <f>HYPERLINK("https://us2.cloudbeds.com/connect/10074733072513#/reservations/31719797305567?display=Julie%20L%20Lehto&amp;reservation_id=31719797305567&amp;guest_id=31719797301474", "Julie L Lehto")</f>
        <v>Julie L Lehto</v>
      </c>
      <c r="E5445" t="s">
        <v>11852</v>
      </c>
      <c r="F5445" t="s">
        <v>11696</v>
      </c>
      <c r="G5445">
        <v>197.78</v>
      </c>
      <c r="H5445">
        <v>214.98</v>
      </c>
      <c r="I5445">
        <v>214.99</v>
      </c>
      <c r="J5445">
        <v>-0.01</v>
      </c>
    </row>
    <row r="5446" spans="1:10" x14ac:dyDescent="0.3">
      <c r="A5446" t="str">
        <f>HYPERLINK("https://us2.cloudbeds.com/connect/10074733072513#/reservations/31711862636794?display=MX2TJXXX6&amp;reservation_id=31711862636794", "MX2TJXXX6")</f>
        <v>MX2TJXXX6</v>
      </c>
      <c r="B5446" t="s">
        <v>10</v>
      </c>
      <c r="C5446" t="s">
        <v>23</v>
      </c>
      <c r="D5446" t="str">
        <f>HYPERLINK("https://us2.cloudbeds.com/connect/10074733072513#/reservations/31711862636794?display=Jerry%20Hill&amp;reservation_id=31711862636794&amp;guest_id=31711862636788", "Jerry Hill")</f>
        <v>Jerry Hill</v>
      </c>
      <c r="E5446" t="s">
        <v>11858</v>
      </c>
      <c r="F5446" t="s">
        <v>11721</v>
      </c>
      <c r="G5446">
        <v>196.2</v>
      </c>
      <c r="H5446">
        <v>213.26</v>
      </c>
      <c r="I5446">
        <v>213.27</v>
      </c>
      <c r="J5446">
        <v>-0.01</v>
      </c>
    </row>
    <row r="5447" spans="1:10" x14ac:dyDescent="0.3">
      <c r="A5447" t="str">
        <f>HYPERLINK("https://us2.cloudbeds.com/connect/10074733072513#/reservations/31718017122556?display=MX7YS66KR&amp;reservation_id=31718017122556", "MX7YS66KR")</f>
        <v>MX7YS66KR</v>
      </c>
      <c r="B5447" t="s">
        <v>10</v>
      </c>
      <c r="C5447" t="s">
        <v>121</v>
      </c>
      <c r="D5447" t="str">
        <f>HYPERLINK("https://us2.cloudbeds.com/connect/10074733072513#/reservations/31718017122556?display=Jared%20Nevela&amp;reservation_id=31718017122556&amp;guest_id=31718017122551", "Jared Nevela")</f>
        <v>Jared Nevela</v>
      </c>
      <c r="E5447" t="s">
        <v>11859</v>
      </c>
      <c r="F5447" t="s">
        <v>11680</v>
      </c>
      <c r="G5447">
        <v>134.1</v>
      </c>
      <c r="H5447">
        <v>145.76</v>
      </c>
      <c r="I5447">
        <v>145.77000000000001</v>
      </c>
      <c r="J5447">
        <v>-0.01</v>
      </c>
    </row>
    <row r="5448" spans="1:10" x14ac:dyDescent="0.3">
      <c r="A5448" t="str">
        <f>HYPERLINK("https://us2.cloudbeds.com/connect/10074733072513#/reservations/31719852863647?display=MX92P4D9Z&amp;reservation_id=31719852863647", "MX92P4D9Z")</f>
        <v>MX92P4D9Z</v>
      </c>
      <c r="B5448" t="s">
        <v>10</v>
      </c>
      <c r="C5448" t="s">
        <v>121</v>
      </c>
      <c r="D5448" t="str">
        <f>HYPERLINK("https://us2.cloudbeds.com/connect/10074733072513#/reservations/31719852863647?display=Jordan%20Fitch&amp;reservation_id=31719852863647&amp;guest_id=31711282266352", "Jordan Fitch")</f>
        <v>Jordan Fitch</v>
      </c>
      <c r="E5448" t="s">
        <v>7464</v>
      </c>
      <c r="F5448" t="s">
        <v>11678</v>
      </c>
      <c r="G5448">
        <v>103.2</v>
      </c>
      <c r="H5448">
        <v>112.17</v>
      </c>
      <c r="I5448">
        <v>112.18</v>
      </c>
      <c r="J5448">
        <v>-0.01</v>
      </c>
    </row>
    <row r="5449" spans="1:10" x14ac:dyDescent="0.3">
      <c r="A5449" t="str">
        <f>HYPERLINK("https://us2.cloudbeds.com/connect/10074733072513#/reservations/31720910971070?display=MX9TQBQF1&amp;reservation_id=31720910971070", "MX9TQBQF1")</f>
        <v>MX9TQBQF1</v>
      </c>
      <c r="B5449" t="s">
        <v>10</v>
      </c>
      <c r="C5449" t="s">
        <v>23</v>
      </c>
      <c r="D5449" t="str">
        <f>HYPERLINK("https://us2.cloudbeds.com/connect/10074733072513#/reservations/31720910971070?display=Rose%20Ragole&amp;reservation_id=31720910971070&amp;guest_id=31720910971068", "Rose Ragole")</f>
        <v>Rose Ragole</v>
      </c>
      <c r="E5449" t="s">
        <v>11872</v>
      </c>
      <c r="F5449" t="s">
        <v>11873</v>
      </c>
      <c r="G5449">
        <v>134.1</v>
      </c>
      <c r="H5449">
        <v>145.76</v>
      </c>
      <c r="I5449">
        <v>145.77000000000001</v>
      </c>
      <c r="J5449">
        <v>-0.01</v>
      </c>
    </row>
    <row r="5450" spans="1:10" x14ac:dyDescent="0.3">
      <c r="A5450" t="str">
        <f>HYPERLINK("https://us2.cloudbeds.com/connect/10074733072513#/reservations/31715968426238?display=MX62GM6Q7&amp;reservation_id=31715968426238", "MX62GM6Q7")</f>
        <v>MX62GM6Q7</v>
      </c>
      <c r="B5450" t="s">
        <v>10</v>
      </c>
      <c r="C5450" t="s">
        <v>42</v>
      </c>
      <c r="D5450" t="str">
        <f>HYPERLINK("https://us2.cloudbeds.com/connect/10074733072513#/reservations/31715968426238?display=Janet%20Hill&amp;reservation_id=31715968426238&amp;guest_id=31715968426177", "Janet Hill")</f>
        <v>Janet Hill</v>
      </c>
      <c r="E5450" t="s">
        <v>11874</v>
      </c>
      <c r="F5450" t="s">
        <v>11748</v>
      </c>
      <c r="G5450">
        <v>268.2</v>
      </c>
      <c r="H5450">
        <v>291.52</v>
      </c>
      <c r="I5450">
        <v>291.52999999999997</v>
      </c>
      <c r="J5450">
        <v>-0.01</v>
      </c>
    </row>
    <row r="5451" spans="1:10" x14ac:dyDescent="0.3">
      <c r="A5451" t="str">
        <f>HYPERLINK("https://us2.cloudbeds.com/connect/10074733072513#/reservations/31719383879855?display=MX8NPM7RM&amp;reservation_id=31719383879855", "MX8NPM7RM")</f>
        <v>MX8NPM7RM</v>
      </c>
      <c r="B5451" t="s">
        <v>10</v>
      </c>
      <c r="C5451" t="s">
        <v>23</v>
      </c>
      <c r="D5451" t="str">
        <f>HYPERLINK("https://us2.cloudbeds.com/connect/10074733072513#/reservations/31719383879855?display=Maggie%20Needham&amp;reservation_id=31719383879855&amp;guest_id=31719383879851", "Maggie Needham")</f>
        <v>Maggie Needham</v>
      </c>
      <c r="E5451" t="s">
        <v>11875</v>
      </c>
      <c r="F5451" t="s">
        <v>11748</v>
      </c>
      <c r="G5451">
        <v>234.84</v>
      </c>
      <c r="H5451">
        <v>255.26</v>
      </c>
      <c r="I5451">
        <v>255.27</v>
      </c>
      <c r="J5451">
        <v>-0.01</v>
      </c>
    </row>
    <row r="5452" spans="1:10" x14ac:dyDescent="0.3">
      <c r="A5452" t="str">
        <f>HYPERLINK("https://us2.cloudbeds.com/connect/10074733072513#/reservations/31716412682462?display=MX6DS99J1&amp;reservation_id=31716412682462", "MX6DS99J1")</f>
        <v>MX6DS99J1</v>
      </c>
      <c r="B5452" t="s">
        <v>10</v>
      </c>
      <c r="C5452" t="s">
        <v>23</v>
      </c>
      <c r="D5452" t="str">
        <f>HYPERLINK("https://us2.cloudbeds.com/connect/10074733072513#/reservations/31716412682462?display=Dixie%20Stephens&amp;reservation_id=31716412682462&amp;guest_id=31716412682460", "Dixie Stephens")</f>
        <v>Dixie Stephens</v>
      </c>
      <c r="E5452" t="s">
        <v>11890</v>
      </c>
      <c r="F5452" t="s">
        <v>11573</v>
      </c>
      <c r="G5452">
        <v>376.2</v>
      </c>
      <c r="H5452">
        <v>408.92</v>
      </c>
      <c r="I5452">
        <v>408.93</v>
      </c>
      <c r="J5452">
        <v>-0.01</v>
      </c>
    </row>
    <row r="5453" spans="1:10" x14ac:dyDescent="0.3">
      <c r="A5453" t="str">
        <f>HYPERLINK("https://us2.cloudbeds.com/connect/10074733072513#/reservations/31713846964355?display=MX4E9QD8G&amp;reservation_id=31713846964355", "MX4E9QD8G")</f>
        <v>MX4E9QD8G</v>
      </c>
      <c r="B5453" t="s">
        <v>10</v>
      </c>
      <c r="C5453" t="s">
        <v>23</v>
      </c>
      <c r="D5453" t="str">
        <f>HYPERLINK("https://us2.cloudbeds.com/connect/10074733072513#/reservations/31713846964355?display=Shawn%20Branine&amp;reservation_id=31713846964355&amp;guest_id=31713836892401", "Shawn Branine")</f>
        <v>Shawn Branine</v>
      </c>
      <c r="E5453" t="s">
        <v>11894</v>
      </c>
      <c r="F5453" t="s">
        <v>10250</v>
      </c>
      <c r="G5453">
        <v>260.10000000000002</v>
      </c>
      <c r="H5453">
        <v>282.72000000000003</v>
      </c>
      <c r="I5453">
        <v>282.73</v>
      </c>
      <c r="J5453">
        <v>-0.01</v>
      </c>
    </row>
    <row r="5454" spans="1:10" x14ac:dyDescent="0.3">
      <c r="A5454" t="str">
        <f>HYPERLINK("https://us2.cloudbeds.com/connect/10074733072513#/reservations/31720404496520?display=MX9GS9D7D&amp;reservation_id=31720404496520", "MX9GS9D7D")</f>
        <v>MX9GS9D7D</v>
      </c>
      <c r="B5454" t="s">
        <v>10</v>
      </c>
      <c r="C5454" t="s">
        <v>23</v>
      </c>
      <c r="D5454" t="str">
        <f>HYPERLINK("https://us2.cloudbeds.com/connect/10074733072513#/reservations/31720404496520?display=Hoff%20Christopher&amp;reservation_id=31720404496520&amp;guest_id=31720404492436", "Hoff Christopher")</f>
        <v>Hoff Christopher</v>
      </c>
      <c r="E5454" t="s">
        <v>11897</v>
      </c>
      <c r="F5454" t="s">
        <v>11051</v>
      </c>
      <c r="G5454">
        <v>134.1</v>
      </c>
      <c r="H5454">
        <v>145.76</v>
      </c>
      <c r="I5454">
        <v>145.77000000000001</v>
      </c>
      <c r="J5454">
        <v>-0.01</v>
      </c>
    </row>
    <row r="5455" spans="1:10" x14ac:dyDescent="0.3">
      <c r="A5455" t="str">
        <f>HYPERLINK("https://us2.cloudbeds.com/connect/10074733072513#/reservations/31720961613982?display=MX9V320GZ&amp;reservation_id=31720961613982", "MX9V320GZ")</f>
        <v>MX9V320GZ</v>
      </c>
      <c r="B5455" t="s">
        <v>10</v>
      </c>
      <c r="C5455" t="s">
        <v>23</v>
      </c>
      <c r="D5455" t="str">
        <f>HYPERLINK("https://us2.cloudbeds.com/connect/10074733072513#/reservations/31720961613982?display=Kurt%20Driedger&amp;reservation_id=31720961613982&amp;guest_id=31720961613980", "Kurt Driedger")</f>
        <v>Kurt Driedger</v>
      </c>
      <c r="E5455" t="s">
        <v>11898</v>
      </c>
      <c r="F5455" t="s">
        <v>11873</v>
      </c>
      <c r="G5455">
        <v>294.3</v>
      </c>
      <c r="H5455">
        <v>319.89</v>
      </c>
      <c r="I5455">
        <v>319.89999999999998</v>
      </c>
      <c r="J5455">
        <v>-0.01</v>
      </c>
    </row>
    <row r="5456" spans="1:10" x14ac:dyDescent="0.3">
      <c r="A5456" t="str">
        <f>HYPERLINK("https://us2.cloudbeds.com/connect/10074733072513#/reservations/31717381443732?display=MX75K5GH5&amp;reservation_id=31717381443732", "MX75K5GH5")</f>
        <v>MX75K5GH5</v>
      </c>
      <c r="B5456" t="s">
        <v>10</v>
      </c>
      <c r="C5456" t="s">
        <v>42</v>
      </c>
      <c r="D5456" t="str">
        <f>HYPERLINK("https://us2.cloudbeds.com/connect/10074733072513#/reservations/31717381443732?display=Austin%20David%20James%20Eygenraam&amp;reservation_id=31717381443732&amp;guest_id=31717381439646", "Austin David James Eygenraam")</f>
        <v>Austin David James Eygenraam</v>
      </c>
      <c r="E5456" t="s">
        <v>11901</v>
      </c>
      <c r="F5456" t="s">
        <v>11868</v>
      </c>
      <c r="G5456">
        <v>196.2</v>
      </c>
      <c r="H5456">
        <v>213.26</v>
      </c>
      <c r="I5456">
        <v>213.27</v>
      </c>
      <c r="J5456">
        <v>-0.01</v>
      </c>
    </row>
    <row r="5457" spans="1:10" x14ac:dyDescent="0.3">
      <c r="A5457" t="str">
        <f>HYPERLINK("https://us2.cloudbeds.com/connect/10074733072513#/reservations/31717412880613?display=MX76DM95S&amp;reservation_id=31717412880613", "MX76DM95S")</f>
        <v>MX76DM95S</v>
      </c>
      <c r="B5457" t="s">
        <v>10</v>
      </c>
      <c r="C5457" t="s">
        <v>42</v>
      </c>
      <c r="D5457" t="str">
        <f>HYPERLINK("https://us2.cloudbeds.com/connect/10074733072513#/reservations/31717412880613?display=Joyce%20Fortin&amp;reservation_id=31717412880613&amp;guest_id=31717402362000", "Joyce Fortin")</f>
        <v>Joyce Fortin</v>
      </c>
      <c r="E5457" t="s">
        <v>8487</v>
      </c>
      <c r="F5457" t="s">
        <v>11868</v>
      </c>
      <c r="G5457">
        <v>87.2</v>
      </c>
      <c r="H5457">
        <v>94.78</v>
      </c>
      <c r="I5457">
        <v>94.79</v>
      </c>
      <c r="J5457">
        <v>-0.01</v>
      </c>
    </row>
    <row r="5458" spans="1:10" x14ac:dyDescent="0.3">
      <c r="A5458" t="str">
        <f>HYPERLINK("https://us2.cloudbeds.com/connect/10074733072513#/reservations/31712890900679?display=MX3MSKH5V&amp;reservation_id=31712890900679", "MX3MSKH5V")</f>
        <v>MX3MSKH5V</v>
      </c>
      <c r="B5458" t="s">
        <v>10</v>
      </c>
      <c r="C5458" t="s">
        <v>42</v>
      </c>
      <c r="D5458" t="str">
        <f>HYPERLINK("https://us2.cloudbeds.com/connect/10074733072513#/reservations/31712890900679?display=Alex%20Mcelmury&amp;reservation_id=31712890900679&amp;guest_id=31712885248192", "Alex Mcelmury")</f>
        <v>Alex Mcelmury</v>
      </c>
      <c r="E5458" t="s">
        <v>11907</v>
      </c>
      <c r="F5458" t="s">
        <v>11516</v>
      </c>
      <c r="G5458">
        <v>259.2</v>
      </c>
      <c r="H5458">
        <v>281.74</v>
      </c>
      <c r="I5458">
        <v>281.75</v>
      </c>
      <c r="J5458">
        <v>-0.01</v>
      </c>
    </row>
    <row r="5459" spans="1:10" x14ac:dyDescent="0.3">
      <c r="A5459" t="str">
        <f>HYPERLINK("https://us2.cloudbeds.com/connect/10074733072513#/reservations/31715662627021?display=MX5RMQTE9&amp;reservation_id=31715662627021", "MX5RMQTE9")</f>
        <v>MX5RMQTE9</v>
      </c>
      <c r="B5459" t="s">
        <v>10</v>
      </c>
      <c r="C5459" t="s">
        <v>42</v>
      </c>
      <c r="D5459" t="str">
        <f>HYPERLINK("https://us2.cloudbeds.com/connect/10074733072513#/reservations/31715662627021?display=Malys%20Jennings&amp;reservation_id=31715662627021&amp;guest_id=31715662627016", "Malys Jennings")</f>
        <v>Malys Jennings</v>
      </c>
      <c r="E5459" t="s">
        <v>11916</v>
      </c>
      <c r="F5459" t="s">
        <v>11485</v>
      </c>
      <c r="G5459">
        <v>250.2</v>
      </c>
      <c r="H5459">
        <v>271.95999999999998</v>
      </c>
      <c r="I5459">
        <v>271.97000000000003</v>
      </c>
      <c r="J5459">
        <v>-0.01</v>
      </c>
    </row>
    <row r="5460" spans="1:10" x14ac:dyDescent="0.3">
      <c r="A5460" t="str">
        <f>HYPERLINK("https://us2.cloudbeds.com/connect/10074733072513#/reservations/31719739396323?display=MX8WSF07W&amp;reservation_id=31719739396323", "MX8WSF07W")</f>
        <v>MX8WSF07W</v>
      </c>
      <c r="B5460" t="s">
        <v>10</v>
      </c>
      <c r="C5460" t="s">
        <v>42</v>
      </c>
      <c r="D5460" t="str">
        <f>HYPERLINK("https://us2.cloudbeds.com/connect/10074733072513#/reservations/31719739396323?display=Murry%20Johnston&amp;reservation_id=31719739396323&amp;guest_id=31719739396321", "Murry Johnston")</f>
        <v>Murry Johnston</v>
      </c>
      <c r="E5460" t="s">
        <v>11917</v>
      </c>
      <c r="F5460" t="s">
        <v>11721</v>
      </c>
      <c r="G5460">
        <v>196.2</v>
      </c>
      <c r="H5460">
        <v>213.26</v>
      </c>
      <c r="I5460">
        <v>213.27</v>
      </c>
      <c r="J5460">
        <v>-0.01</v>
      </c>
    </row>
    <row r="5461" spans="1:10" x14ac:dyDescent="0.3">
      <c r="A5461" t="str">
        <f>HYPERLINK("https://us2.cloudbeds.com/connect/10074733072513#/reservations/31717853687940?display=MX7HMCCUN&amp;reservation_id=31717853687940", "MX7HMCCUN")</f>
        <v>MX7HMCCUN</v>
      </c>
      <c r="B5461" t="s">
        <v>10</v>
      </c>
      <c r="C5461" t="s">
        <v>23</v>
      </c>
      <c r="D5461" t="str">
        <f>HYPERLINK("https://us2.cloudbeds.com/connect/10074733072513#/reservations/31717853687940?display=Valerie%20Mckinley&amp;reservation_id=31717853687940&amp;guest_id=31717853683841", "Valerie Mckinley")</f>
        <v>Valerie Mckinley</v>
      </c>
      <c r="E5461" t="s">
        <v>11918</v>
      </c>
      <c r="F5461" t="s">
        <v>11919</v>
      </c>
      <c r="G5461">
        <v>304.2</v>
      </c>
      <c r="H5461">
        <v>330.66</v>
      </c>
      <c r="I5461">
        <v>330.67</v>
      </c>
      <c r="J5461">
        <v>-0.01</v>
      </c>
    </row>
    <row r="5462" spans="1:10" x14ac:dyDescent="0.3">
      <c r="A5462" t="str">
        <f>HYPERLINK("https://us2.cloudbeds.com/connect/10074733072513#/reservations/31718625939652?display=MX84DXEAZ&amp;reservation_id=31718625939652", "MX84DXEAZ")</f>
        <v>MX84DXEAZ</v>
      </c>
      <c r="B5462" t="s">
        <v>10</v>
      </c>
      <c r="C5462" t="s">
        <v>23</v>
      </c>
      <c r="D5462" t="str">
        <f>HYPERLINK("https://us2.cloudbeds.com/connect/10074733072513#/reservations/31718625939652?display=Jesse%20Thoene&amp;reservation_id=31718625939652&amp;guest_id=31718618583267", "Jesse Thoene")</f>
        <v>Jesse Thoene</v>
      </c>
      <c r="E5462" t="s">
        <v>11920</v>
      </c>
      <c r="F5462" t="s">
        <v>11027</v>
      </c>
      <c r="G5462">
        <v>154.24</v>
      </c>
      <c r="H5462">
        <v>167.65</v>
      </c>
      <c r="I5462">
        <v>167.66</v>
      </c>
      <c r="J5462">
        <v>-0.01</v>
      </c>
    </row>
    <row r="5463" spans="1:10" x14ac:dyDescent="0.3">
      <c r="A5463" t="str">
        <f>HYPERLINK("https://us2.cloudbeds.com/connect/10074733072513#/reservations/31717847732372?display=MX7HHBM2V&amp;reservation_id=31717847732372", "MX7HHBM2V")</f>
        <v>MX7HHBM2V</v>
      </c>
      <c r="B5463" t="s">
        <v>10</v>
      </c>
      <c r="C5463" t="s">
        <v>23</v>
      </c>
      <c r="D5463" t="str">
        <f>HYPERLINK("https://us2.cloudbeds.com/connect/10074733072513#/reservations/31717847732372?display=Valerie%20Mckinley&amp;reservation_id=31717847732372&amp;guest_id=31717833228486", "Valerie Mckinley")</f>
        <v>Valerie Mckinley</v>
      </c>
      <c r="E5463" t="s">
        <v>11918</v>
      </c>
      <c r="F5463" t="s">
        <v>11919</v>
      </c>
      <c r="G5463">
        <v>304.2</v>
      </c>
      <c r="H5463">
        <v>330.66</v>
      </c>
      <c r="I5463">
        <v>330.67</v>
      </c>
      <c r="J5463">
        <v>-0.01</v>
      </c>
    </row>
    <row r="5464" spans="1:10" x14ac:dyDescent="0.3">
      <c r="A5464" t="str">
        <f>HYPERLINK("https://us2.cloudbeds.com/connect/10074733072513#/reservations/31715831177384?display=MX5VWV1Q1&amp;reservation_id=31715831177384", "MX5VWV1Q1")</f>
        <v>MX5VWV1Q1</v>
      </c>
      <c r="B5464" t="s">
        <v>10</v>
      </c>
      <c r="C5464" t="s">
        <v>23</v>
      </c>
      <c r="D5464" t="str">
        <f>HYPERLINK("https://us2.cloudbeds.com/connect/10074733072513#/reservations/31715831177384?display=Pem%20Hall&amp;reservation_id=31715831177384&amp;guest_id=31715823698129", "Pem Hall")</f>
        <v>Pem Hall</v>
      </c>
      <c r="E5464" t="s">
        <v>11921</v>
      </c>
      <c r="F5464" t="s">
        <v>11504</v>
      </c>
      <c r="G5464">
        <v>224.1</v>
      </c>
      <c r="H5464">
        <v>243.59</v>
      </c>
      <c r="I5464">
        <v>243.6</v>
      </c>
      <c r="J5464">
        <v>-0.01</v>
      </c>
    </row>
    <row r="5465" spans="1:10" x14ac:dyDescent="0.3">
      <c r="A5465" t="str">
        <f>HYPERLINK("https://us2.cloudbeds.com/connect/10074733072513#/reservations/31718694641878?display=MX865G5PC&amp;reservation_id=31718694641878", "MX865G5PC")</f>
        <v>MX865G5PC</v>
      </c>
      <c r="B5465" t="s">
        <v>10</v>
      </c>
      <c r="C5465" t="s">
        <v>23</v>
      </c>
      <c r="D5465" t="str">
        <f>HYPERLINK("https://us2.cloudbeds.com/connect/10074733072513#/reservations/31718694641878?display=Jean%20Harter%20Shutt&amp;reservation_id=31718694641878&amp;guest_id=31718694641863", "Jean Harter Shutt")</f>
        <v>Jean Harter Shutt</v>
      </c>
      <c r="E5465" t="s">
        <v>11926</v>
      </c>
      <c r="F5465" t="s">
        <v>11675</v>
      </c>
      <c r="G5465">
        <v>250.2</v>
      </c>
      <c r="H5465">
        <v>271.95999999999998</v>
      </c>
      <c r="I5465">
        <v>271.97000000000003</v>
      </c>
      <c r="J5465">
        <v>-0.01</v>
      </c>
    </row>
    <row r="5466" spans="1:10" x14ac:dyDescent="0.3">
      <c r="A5466" t="str">
        <f>HYPERLINK("https://us2.cloudbeds.com/connect/10074733072513#/reservations/31715685667027?display=MX5S980F9&amp;reservation_id=31715685667027", "MX5S980F9")</f>
        <v>MX5S980F9</v>
      </c>
      <c r="B5466" t="s">
        <v>10</v>
      </c>
      <c r="C5466" t="s">
        <v>23</v>
      </c>
      <c r="D5466" t="str">
        <f>HYPERLINK("https://us2.cloudbeds.com/connect/10074733072513#/reservations/31715685667027?display=Morgan%20Koch&amp;reservation_id=31715685667027&amp;guest_id=31715685662933", "Morgan Koch")</f>
        <v>Morgan Koch</v>
      </c>
      <c r="E5466" t="s">
        <v>11931</v>
      </c>
      <c r="F5466" t="s">
        <v>11485</v>
      </c>
      <c r="G5466">
        <v>375.3</v>
      </c>
      <c r="H5466">
        <v>407.94</v>
      </c>
      <c r="I5466">
        <v>407.95</v>
      </c>
      <c r="J5466">
        <v>-0.01</v>
      </c>
    </row>
    <row r="5467" spans="1:10" x14ac:dyDescent="0.3">
      <c r="A5467" t="str">
        <f>HYPERLINK("https://us2.cloudbeds.com/connect/10074733072513#/reservations/31716761252043?display=MX6MP6ZRK&amp;reservation_id=31716761252043", "MX6MP6ZRK")</f>
        <v>MX6MP6ZRK</v>
      </c>
      <c r="B5467" t="s">
        <v>10</v>
      </c>
      <c r="C5467" t="s">
        <v>23</v>
      </c>
      <c r="D5467" t="str">
        <f>HYPERLINK("https://us2.cloudbeds.com/connect/10074733072513#/reservations/31716761252043?display=Connie%20Aymar&amp;reservation_id=31716761252043&amp;guest_id=31716761252038", "Connie Aymar")</f>
        <v>Connie Aymar</v>
      </c>
      <c r="E5467" t="s">
        <v>11932</v>
      </c>
      <c r="F5467" t="s">
        <v>10827</v>
      </c>
      <c r="G5467">
        <v>196.2</v>
      </c>
      <c r="H5467">
        <v>213.26</v>
      </c>
      <c r="I5467">
        <v>213.27</v>
      </c>
      <c r="J5467">
        <v>-0.01</v>
      </c>
    </row>
    <row r="5468" spans="1:10" x14ac:dyDescent="0.3">
      <c r="A5468" t="str">
        <f>HYPERLINK("https://us2.cloudbeds.com/connect/10074733072513#/reservations/31717189304481?display=MX70N4V3K&amp;reservation_id=31717189304481", "MX70N4V3K")</f>
        <v>MX70N4V3K</v>
      </c>
      <c r="B5468" t="s">
        <v>10</v>
      </c>
      <c r="C5468" t="s">
        <v>23</v>
      </c>
      <c r="D5468" t="str">
        <f>HYPERLINK("https://us2.cloudbeds.com/connect/10074733072513#/reservations/31717189304481?display=Maren%20Berntson&amp;reservation_id=31717189304481&amp;guest_id=31717189304476", "Maren Berntson")</f>
        <v>Maren Berntson</v>
      </c>
      <c r="E5468" t="s">
        <v>11946</v>
      </c>
      <c r="F5468" t="s">
        <v>11536</v>
      </c>
      <c r="G5468">
        <v>122.18</v>
      </c>
      <c r="H5468">
        <v>132.80000000000001</v>
      </c>
      <c r="I5468">
        <v>132.81</v>
      </c>
      <c r="J5468">
        <v>-0.01</v>
      </c>
    </row>
    <row r="5469" spans="1:10" x14ac:dyDescent="0.3">
      <c r="A5469" t="str">
        <f>HYPERLINK("https://us2.cloudbeds.com/connect/10074733072513#/reservations/31720674799795?display=MX9NP6WJZ&amp;reservation_id=31720674799795", "MX9NP6WJZ")</f>
        <v>MX9NP6WJZ</v>
      </c>
      <c r="B5469" t="s">
        <v>10</v>
      </c>
      <c r="C5469" t="s">
        <v>42</v>
      </c>
      <c r="D5469" t="str">
        <f>HYPERLINK("https://us2.cloudbeds.com/connect/10074733072513#/reservations/31720674799795?display=Juanita%20Howell&amp;reservation_id=31720674799795&amp;guest_id=31702248079555", "Juanita Howell")</f>
        <v>Juanita Howell</v>
      </c>
      <c r="E5469" t="s">
        <v>11128</v>
      </c>
      <c r="F5469" t="s">
        <v>11684</v>
      </c>
      <c r="G5469">
        <v>87.2</v>
      </c>
      <c r="H5469">
        <v>94.78</v>
      </c>
      <c r="I5469">
        <v>94.79</v>
      </c>
      <c r="J5469">
        <v>-0.01</v>
      </c>
    </row>
    <row r="5470" spans="1:10" x14ac:dyDescent="0.3">
      <c r="A5470" t="str">
        <f>HYPERLINK("https://us2.cloudbeds.com/connect/10074733072513#/reservations/31717936804024?display=MX7JQF77U&amp;reservation_id=31717936804024", "MX7JQF77U")</f>
        <v>MX7JQF77U</v>
      </c>
      <c r="B5470" t="s">
        <v>10</v>
      </c>
      <c r="C5470" t="s">
        <v>42</v>
      </c>
      <c r="D5470" t="str">
        <f>HYPERLINK("https://us2.cloudbeds.com/connect/10074733072513#/reservations/31717936804024?display=Rella%20Botha&amp;reservation_id=31717936804024&amp;guest_id=31688357724357", "Rella Botha")</f>
        <v>Rella Botha</v>
      </c>
      <c r="E5470" t="s">
        <v>3748</v>
      </c>
      <c r="F5470" t="s">
        <v>11051</v>
      </c>
      <c r="G5470">
        <v>134.1</v>
      </c>
      <c r="H5470">
        <v>145.76</v>
      </c>
      <c r="I5470">
        <v>145.77000000000001</v>
      </c>
      <c r="J5470">
        <v>-0.01</v>
      </c>
    </row>
    <row r="5471" spans="1:10" x14ac:dyDescent="0.3">
      <c r="A5471" t="str">
        <f>HYPERLINK("https://us2.cloudbeds.com/connect/10074733072513#/reservations/31718753484937?display=MX87M3XQC&amp;reservation_id=31718753484937", "MX87M3XQC")</f>
        <v>MX87M3XQC</v>
      </c>
      <c r="B5471" t="s">
        <v>10</v>
      </c>
      <c r="C5471" t="s">
        <v>23</v>
      </c>
      <c r="D5471" t="str">
        <f>HYPERLINK("https://us2.cloudbeds.com/connect/10074733072513#/reservations/31718753484937?display=Jaclyn%20Small&amp;reservation_id=31718753484937&amp;guest_id=31718753484932", "Jaclyn Small")</f>
        <v>Jaclyn Small</v>
      </c>
      <c r="E5471" t="s">
        <v>11970</v>
      </c>
      <c r="F5471" t="s">
        <v>11675</v>
      </c>
      <c r="G5471">
        <v>122.18</v>
      </c>
      <c r="H5471">
        <v>132.80000000000001</v>
      </c>
      <c r="I5471">
        <v>132.81</v>
      </c>
      <c r="J5471">
        <v>-0.01</v>
      </c>
    </row>
    <row r="5472" spans="1:10" x14ac:dyDescent="0.3">
      <c r="A5472" t="str">
        <f>HYPERLINK("https://us2.cloudbeds.com/connect/10074733072513#/reservations/31717975953626?display=MX7KQFK9G&amp;reservation_id=31717975953626", "MX7KQFK9G")</f>
        <v>MX7KQFK9G</v>
      </c>
      <c r="B5472" t="s">
        <v>10</v>
      </c>
      <c r="C5472" t="s">
        <v>23</v>
      </c>
      <c r="D5472" t="str">
        <f>HYPERLINK("https://us2.cloudbeds.com/connect/10074733072513#/reservations/31717975953626?display=Paul%20Petersen&amp;reservation_id=31717975953626&amp;guest_id=31717975953621", "Paul Petersen")</f>
        <v>Paul Petersen</v>
      </c>
      <c r="E5472" t="s">
        <v>11978</v>
      </c>
      <c r="F5472" t="s">
        <v>11051</v>
      </c>
      <c r="G5472">
        <v>208.6</v>
      </c>
      <c r="H5472">
        <v>226.74</v>
      </c>
      <c r="I5472">
        <v>226.75</v>
      </c>
      <c r="J5472">
        <v>-0.01</v>
      </c>
    </row>
    <row r="5473" spans="1:10" x14ac:dyDescent="0.3">
      <c r="A5473" t="str">
        <f>HYPERLINK("https://us2.cloudbeds.com/connect/10074733072513#/reservations/31720412553374?display=MX9H22JKG&amp;reservation_id=31720412553374", "MX9H22JKG")</f>
        <v>MX9H22JKG</v>
      </c>
      <c r="B5473" t="s">
        <v>10</v>
      </c>
      <c r="C5473" t="s">
        <v>42</v>
      </c>
      <c r="D5473" t="str">
        <f>HYPERLINK("https://us2.cloudbeds.com/connect/10074733072513#/reservations/31720412553374?display=Steven%20Hofer&amp;reservation_id=31720412553374&amp;guest_id=31720412549289", "Steven Hofer")</f>
        <v>Steven Hofer</v>
      </c>
      <c r="E5473" t="s">
        <v>11984</v>
      </c>
      <c r="F5473" t="s">
        <v>11051</v>
      </c>
      <c r="G5473">
        <v>254.4</v>
      </c>
      <c r="H5473">
        <v>276.52</v>
      </c>
      <c r="I5473">
        <v>276.52999999999997</v>
      </c>
      <c r="J5473">
        <v>-0.01</v>
      </c>
    </row>
    <row r="5474" spans="1:10" x14ac:dyDescent="0.3">
      <c r="A5474" t="str">
        <f>HYPERLINK("https://us2.cloudbeds.com/connect/10074733072513#/reservations/31717005238406?display=MX6SWV12Z&amp;reservation_id=31717005238406", "MX6SWV12Z")</f>
        <v>MX6SWV12Z</v>
      </c>
      <c r="B5474" t="s">
        <v>10</v>
      </c>
      <c r="C5474" t="s">
        <v>23</v>
      </c>
      <c r="D5474" t="str">
        <f>HYPERLINK("https://us2.cloudbeds.com/connect/10074733072513#/reservations/31717005238406?display=Wendy%20Trujillo&amp;reservation_id=31717005238406&amp;guest_id=31717005234325", "Wendy Trujillo")</f>
        <v>Wendy Trujillo</v>
      </c>
      <c r="E5474" t="s">
        <v>11987</v>
      </c>
      <c r="F5474" t="s">
        <v>10827</v>
      </c>
      <c r="G5474">
        <v>134.1</v>
      </c>
      <c r="H5474">
        <v>145.76</v>
      </c>
      <c r="I5474">
        <v>145.77000000000001</v>
      </c>
      <c r="J5474">
        <v>-0.01</v>
      </c>
    </row>
    <row r="5475" spans="1:10" x14ac:dyDescent="0.3">
      <c r="A5475" t="str">
        <f>HYPERLINK("https://us2.cloudbeds.com/connect/10074733072513#/reservations/31713009856684?display=MX3PTUYBC&amp;reservation_id=31713009856684", "MX3PTUYBC")</f>
        <v>MX3PTUYBC</v>
      </c>
      <c r="B5475" t="s">
        <v>10</v>
      </c>
      <c r="C5475" t="s">
        <v>23</v>
      </c>
      <c r="D5475" t="str">
        <f>HYPERLINK("https://us2.cloudbeds.com/connect/10074733072513#/reservations/31713009856684?display=Tyler%20Gross&amp;reservation_id=31713009856684&amp;guest_id=31713002791122", "Tyler Gross")</f>
        <v>Tyler Gross</v>
      </c>
      <c r="E5475" t="s">
        <v>11988</v>
      </c>
      <c r="F5475" t="s">
        <v>10449</v>
      </c>
      <c r="G5475">
        <v>224.1</v>
      </c>
      <c r="H5475">
        <v>243.59</v>
      </c>
      <c r="I5475">
        <v>243.6</v>
      </c>
      <c r="J5475">
        <v>-0.01</v>
      </c>
    </row>
    <row r="5476" spans="1:10" x14ac:dyDescent="0.3">
      <c r="A5476" t="str">
        <f>HYPERLINK("https://us2.cloudbeds.com/connect/10074733072513#/reservations/31721213026504?display=MXA4H1V00&amp;reservation_id=31721213026504", "MXA4H1V00")</f>
        <v>MXA4H1V00</v>
      </c>
      <c r="B5476" t="s">
        <v>10</v>
      </c>
      <c r="C5476" t="s">
        <v>23</v>
      </c>
      <c r="D5476" t="str">
        <f>HYPERLINK("https://us2.cloudbeds.com/connect/10074733072513#/reservations/31721213026504?display=Jenna%20Mendoza&amp;reservation_id=31721213026504&amp;guest_id=31721213026499", "Jenna Mendoza")</f>
        <v>Jenna Mendoza</v>
      </c>
      <c r="E5476" t="s">
        <v>11989</v>
      </c>
      <c r="F5476" t="s">
        <v>11594</v>
      </c>
      <c r="G5476">
        <v>285.60000000000002</v>
      </c>
      <c r="H5476">
        <v>310.44</v>
      </c>
      <c r="I5476">
        <v>310.45</v>
      </c>
      <c r="J5476">
        <v>-0.01</v>
      </c>
    </row>
    <row r="5477" spans="1:10" x14ac:dyDescent="0.3">
      <c r="A5477" t="str">
        <f>HYPERLINK("https://us2.cloudbeds.com/connect/10074733072513#/reservations/31713021743317?display=MX3Q6VDHC&amp;reservation_id=31713021743317", "MX3Q6VDHC")</f>
        <v>MX3Q6VDHC</v>
      </c>
      <c r="B5477" t="s">
        <v>10</v>
      </c>
      <c r="C5477" t="s">
        <v>23</v>
      </c>
      <c r="D5477" t="str">
        <f>HYPERLINK("https://us2.cloudbeds.com/connect/10074733072513#/reservations/31713021743317?display=Terry%20Gross&amp;reservation_id=31713021743317&amp;guest_id=31713021743301", "Terry Gross")</f>
        <v>Terry Gross</v>
      </c>
      <c r="E5477" t="s">
        <v>11994</v>
      </c>
      <c r="F5477" t="s">
        <v>10449</v>
      </c>
      <c r="G5477">
        <v>224.1</v>
      </c>
      <c r="H5477">
        <v>243.59</v>
      </c>
      <c r="I5477">
        <v>243.6</v>
      </c>
      <c r="J5477">
        <v>-0.01</v>
      </c>
    </row>
    <row r="5478" spans="1:10" x14ac:dyDescent="0.3">
      <c r="A5478" t="str">
        <f>HYPERLINK("https://us2.cloudbeds.com/connect/10074733072513#/reservations/31713014694143?display=MX3Q108F1&amp;reservation_id=31713014694143", "MX3Q108F1")</f>
        <v>MX3Q108F1</v>
      </c>
      <c r="B5478" t="s">
        <v>10</v>
      </c>
      <c r="C5478" t="s">
        <v>23</v>
      </c>
      <c r="D5478" t="str">
        <f>HYPERLINK("https://us2.cloudbeds.com/connect/10074733072513#/reservations/31713014694143?display=Jeff%20Gross&amp;reservation_id=31713014694143&amp;guest_id=31713014694083", "Jeff Gross")</f>
        <v>Jeff Gross</v>
      </c>
      <c r="E5478" t="s">
        <v>11996</v>
      </c>
      <c r="F5478" t="s">
        <v>10449</v>
      </c>
      <c r="G5478">
        <v>224.1</v>
      </c>
      <c r="H5478">
        <v>243.59</v>
      </c>
      <c r="I5478">
        <v>243.6</v>
      </c>
      <c r="J5478">
        <v>-0.01</v>
      </c>
    </row>
    <row r="5479" spans="1:10" x14ac:dyDescent="0.3">
      <c r="A5479" t="str">
        <f>HYPERLINK("https://us2.cloudbeds.com/connect/10074733072513#/reservations/31719327830203?display=MX8MBDXUC&amp;reservation_id=31719327830203", "MX8MBDXUC")</f>
        <v>MX8MBDXUC</v>
      </c>
      <c r="B5479" t="s">
        <v>10</v>
      </c>
      <c r="C5479" t="s">
        <v>23</v>
      </c>
      <c r="D5479" t="str">
        <f>HYPERLINK("https://us2.cloudbeds.com/connect/10074733072513#/reservations/31719327830203?display=Alyssa%20Karel&amp;reservation_id=31719327830203&amp;guest_id=31719327830198", "Alyssa Karel")</f>
        <v>Alyssa Karel</v>
      </c>
      <c r="E5479" t="s">
        <v>12001</v>
      </c>
      <c r="F5479" t="s">
        <v>11516</v>
      </c>
      <c r="G5479">
        <v>208.6</v>
      </c>
      <c r="H5479">
        <v>226.74</v>
      </c>
      <c r="I5479">
        <v>226.75</v>
      </c>
      <c r="J5479">
        <v>-0.01</v>
      </c>
    </row>
    <row r="5480" spans="1:10" x14ac:dyDescent="0.3">
      <c r="A5480" t="str">
        <f>HYPERLINK("https://us2.cloudbeds.com/connect/10074733072513#/reservations/31712704225439?display=MX3X3707G&amp;reservation_id=31712704225439", "MX3X3707G")</f>
        <v>MX3X3707G</v>
      </c>
      <c r="B5480" t="s">
        <v>10</v>
      </c>
      <c r="C5480" t="s">
        <v>23</v>
      </c>
      <c r="D5480" t="str">
        <f>HYPERLINK("https://us2.cloudbeds.com/connect/10074733072513#/reservations/31712704225439?display=Colleen%20Brazil&amp;reservation_id=31712704225439&amp;guest_id=31712704225435", "Colleen Brazil")</f>
        <v>Colleen Brazil</v>
      </c>
      <c r="E5480" t="s">
        <v>12003</v>
      </c>
      <c r="F5480" t="s">
        <v>11087</v>
      </c>
      <c r="G5480">
        <v>167.2</v>
      </c>
      <c r="H5480">
        <v>181.74</v>
      </c>
      <c r="I5480">
        <v>181.75</v>
      </c>
      <c r="J5480">
        <v>-0.01</v>
      </c>
    </row>
    <row r="5481" spans="1:10" x14ac:dyDescent="0.3">
      <c r="A5481" t="str">
        <f>HYPERLINK("https://us2.cloudbeds.com/connect/10074733072513#/reservations/31719039115518?display=MX8EVVYRH&amp;reservation_id=31719039115518", "MX8EVVYRH")</f>
        <v>MX8EVVYRH</v>
      </c>
      <c r="B5481" t="s">
        <v>10</v>
      </c>
      <c r="C5481" t="s">
        <v>23</v>
      </c>
      <c r="D5481" t="str">
        <f>HYPERLINK("https://us2.cloudbeds.com/connect/10074733072513#/reservations/31719039115518?display=Brad%20Tschetter&amp;reservation_id=31719039115518&amp;guest_id=31719039115456", "Brad Tschetter")</f>
        <v>Brad Tschetter</v>
      </c>
      <c r="E5481" t="s">
        <v>12009</v>
      </c>
      <c r="F5481" t="s">
        <v>11815</v>
      </c>
      <c r="G5481">
        <v>285.60000000000002</v>
      </c>
      <c r="H5481">
        <v>310.44</v>
      </c>
      <c r="I5481">
        <v>310.45</v>
      </c>
      <c r="J5481">
        <v>-0.01</v>
      </c>
    </row>
    <row r="5482" spans="1:10" x14ac:dyDescent="0.3">
      <c r="A5482" t="str">
        <f>HYPERLINK("https://us2.cloudbeds.com/connect/10074733072513#/reservations/31716804825293?display=MX6NSV804&amp;reservation_id=31716804825293", "MX6NSV804")</f>
        <v>MX6NSV804</v>
      </c>
      <c r="B5482" t="s">
        <v>10</v>
      </c>
      <c r="C5482" t="s">
        <v>23</v>
      </c>
      <c r="D5482" t="str">
        <f>HYPERLINK("https://us2.cloudbeds.com/connect/10074733072513#/reservations/31716804825293?display=Donna%20Rossow&amp;reservation_id=31716804825293&amp;guest_id=31716804825288", "Donna Rossow")</f>
        <v>Donna Rossow</v>
      </c>
      <c r="E5482" t="s">
        <v>12011</v>
      </c>
      <c r="F5482" t="s">
        <v>10827</v>
      </c>
      <c r="G5482">
        <v>134.1</v>
      </c>
      <c r="H5482">
        <v>145.76</v>
      </c>
      <c r="I5482">
        <v>145.77000000000001</v>
      </c>
      <c r="J5482">
        <v>-0.01</v>
      </c>
    </row>
    <row r="5483" spans="1:10" x14ac:dyDescent="0.3">
      <c r="A5483" t="str">
        <f>HYPERLINK("https://us2.cloudbeds.com/connect/10074733072513#/reservations/31720156463273?display=MX9AH4GRD&amp;reservation_id=31720156463273", "MX9AH4GRD")</f>
        <v>MX9AH4GRD</v>
      </c>
      <c r="B5483" t="s">
        <v>10</v>
      </c>
      <c r="C5483" t="s">
        <v>42</v>
      </c>
      <c r="D5483" t="str">
        <f>HYPERLINK("https://us2.cloudbeds.com/connect/10074733072513#/reservations/31720156463273?display=Kevin%20Shotaoski&amp;reservation_id=31720156463273&amp;guest_id=31720156463259", "Kevin Shotaoski")</f>
        <v>Kevin Shotaoski</v>
      </c>
      <c r="E5483" t="s">
        <v>12018</v>
      </c>
      <c r="F5483" t="s">
        <v>11594</v>
      </c>
      <c r="G5483">
        <v>134.1</v>
      </c>
      <c r="H5483">
        <v>145.76</v>
      </c>
      <c r="I5483">
        <v>145.77000000000001</v>
      </c>
      <c r="J5483">
        <v>-0.01</v>
      </c>
    </row>
    <row r="5484" spans="1:10" x14ac:dyDescent="0.3">
      <c r="A5484" t="str">
        <f>HYPERLINK("https://us2.cloudbeds.com/connect/10074733072513#/reservations/31717749158110?display=MX7F07MV3&amp;reservation_id=31717749158110", "MX7F07MV3")</f>
        <v>MX7F07MV3</v>
      </c>
      <c r="B5484" t="s">
        <v>10</v>
      </c>
      <c r="C5484" t="s">
        <v>23</v>
      </c>
      <c r="D5484" t="str">
        <f>HYPERLINK("https://us2.cloudbeds.com/connect/10074733072513#/reservations/31717749158110?display=Mike%20Reason&amp;reservation_id=31717749158110&amp;guest_id=31717749158091", "Mike Reason")</f>
        <v>Mike Reason</v>
      </c>
      <c r="E5484" t="s">
        <v>12023</v>
      </c>
      <c r="F5484" t="s">
        <v>12000</v>
      </c>
      <c r="G5484">
        <v>500.4</v>
      </c>
      <c r="H5484">
        <v>543.91999999999996</v>
      </c>
      <c r="I5484">
        <v>543.92999999999995</v>
      </c>
      <c r="J5484">
        <v>-0.01</v>
      </c>
    </row>
    <row r="5485" spans="1:10" x14ac:dyDescent="0.3">
      <c r="A5485" t="str">
        <f>HYPERLINK("https://us2.cloudbeds.com/connect/10074733072513#/reservations/31717796483307?display=MX7G74JDW&amp;reservation_id=31717796483307", "MX7G74JDW")</f>
        <v>MX7G74JDW</v>
      </c>
      <c r="B5485" t="s">
        <v>10</v>
      </c>
      <c r="C5485" t="s">
        <v>23</v>
      </c>
      <c r="D5485" t="str">
        <f>HYPERLINK("https://us2.cloudbeds.com/connect/10074733072513#/reservations/31717796483307?display=Nancy%20Smith&amp;reservation_id=31717796483307&amp;guest_id=31717796483303", "Nancy Smith")</f>
        <v>Nancy Smith</v>
      </c>
      <c r="E5485" t="s">
        <v>12024</v>
      </c>
      <c r="F5485" t="s">
        <v>11594</v>
      </c>
      <c r="G5485">
        <v>196.2</v>
      </c>
      <c r="H5485">
        <v>213.26</v>
      </c>
      <c r="I5485">
        <v>213.27</v>
      </c>
      <c r="J5485">
        <v>-0.01</v>
      </c>
    </row>
    <row r="5486" spans="1:10" x14ac:dyDescent="0.3">
      <c r="A5486" t="str">
        <f>HYPERLINK("https://us2.cloudbeds.com/connect/10074733072513#/reservations/31720095785179?display=MX98VW1Z9&amp;reservation_id=31720095785179", "MX98VW1Z9")</f>
        <v>MX98VW1Z9</v>
      </c>
      <c r="B5486" t="s">
        <v>10</v>
      </c>
      <c r="C5486" t="s">
        <v>23</v>
      </c>
      <c r="D5486" t="str">
        <f>HYPERLINK("https://us2.cloudbeds.com/connect/10074733072513#/reservations/31720095785179?display=Tina%20Longsdorf&amp;reservation_id=31720095785179&amp;guest_id=31720095781082", "Tina Longsdorf")</f>
        <v>Tina Longsdorf</v>
      </c>
      <c r="E5486" t="s">
        <v>12025</v>
      </c>
      <c r="F5486" t="s">
        <v>11594</v>
      </c>
      <c r="G5486">
        <v>89.38</v>
      </c>
      <c r="H5486">
        <v>97.15</v>
      </c>
      <c r="I5486">
        <v>97.16</v>
      </c>
      <c r="J5486">
        <v>-0.01</v>
      </c>
    </row>
    <row r="5487" spans="1:10" x14ac:dyDescent="0.3">
      <c r="A5487" t="str">
        <f>HYPERLINK("https://us2.cloudbeds.com/connect/10074733072513#/reservations/31716021092536?display=MX63S2NSY&amp;reservation_id=31716021092536", "MX63S2NSY")</f>
        <v>MX63S2NSY</v>
      </c>
      <c r="B5487" t="s">
        <v>10</v>
      </c>
      <c r="C5487" t="s">
        <v>23</v>
      </c>
      <c r="D5487" t="str">
        <f>HYPERLINK("https://us2.cloudbeds.com/connect/10074733072513#/reservations/31716021092536?display=Sara%20Barnes&amp;reservation_id=31716021092536&amp;guest_id=31716021092534", "Sara Barnes")</f>
        <v>Sara Barnes</v>
      </c>
      <c r="E5487" t="s">
        <v>12035</v>
      </c>
      <c r="F5487" t="s">
        <v>11748</v>
      </c>
      <c r="G5487">
        <v>212.54</v>
      </c>
      <c r="H5487">
        <v>231.02</v>
      </c>
      <c r="I5487">
        <v>231.03</v>
      </c>
      <c r="J5487">
        <v>-0.01</v>
      </c>
    </row>
    <row r="5488" spans="1:10" x14ac:dyDescent="0.3">
      <c r="A5488" t="str">
        <f>HYPERLINK("https://us2.cloudbeds.com/connect/10074733072513#/reservations/31717695471790?display=MX7DKVQ6U&amp;reservation_id=31717695471790", "MX7DKVQ6U")</f>
        <v>MX7DKVQ6U</v>
      </c>
      <c r="B5488" t="s">
        <v>10</v>
      </c>
      <c r="C5488" t="s">
        <v>23</v>
      </c>
      <c r="D5488" t="str">
        <f>HYPERLINK("https://us2.cloudbeds.com/connect/10074733072513#/reservations/31717695471790?display=Emma%20Kress&amp;reservation_id=31717695471790&amp;guest_id=31717684846807", "Emma Kress")</f>
        <v>Emma Kress</v>
      </c>
      <c r="E5488" t="s">
        <v>12048</v>
      </c>
      <c r="F5488" t="s">
        <v>11536</v>
      </c>
      <c r="G5488">
        <v>122.18</v>
      </c>
      <c r="H5488">
        <v>132.80000000000001</v>
      </c>
      <c r="I5488">
        <v>132.81</v>
      </c>
      <c r="J5488">
        <v>-0.01</v>
      </c>
    </row>
    <row r="5489" spans="1:10" x14ac:dyDescent="0.3">
      <c r="A5489" t="str">
        <f>HYPERLINK("https://us2.cloudbeds.com/connect/10074733072513#/reservations/31716044214401?display=MX64EJ427&amp;reservation_id=31716044214401", "MX64EJ427")</f>
        <v>MX64EJ427</v>
      </c>
      <c r="B5489" t="s">
        <v>10</v>
      </c>
      <c r="C5489" t="s">
        <v>23</v>
      </c>
      <c r="D5489" t="str">
        <f>HYPERLINK("https://us2.cloudbeds.com/connect/10074733072513#/reservations/31716044214401?display=Paul%20Tockstein&amp;reservation_id=31716044214401&amp;guest_id=31716029923553", "Paul Tockstein")</f>
        <v>Paul Tockstein</v>
      </c>
      <c r="E5489" t="s">
        <v>12050</v>
      </c>
      <c r="F5489" t="s">
        <v>11748</v>
      </c>
      <c r="G5489">
        <v>250.2</v>
      </c>
      <c r="H5489">
        <v>271.95999999999998</v>
      </c>
      <c r="I5489">
        <v>271.97000000000003</v>
      </c>
      <c r="J5489">
        <v>-0.01</v>
      </c>
    </row>
    <row r="5490" spans="1:10" x14ac:dyDescent="0.3">
      <c r="A5490" t="str">
        <f>HYPERLINK("https://us2.cloudbeds.com/connect/10074733072513#/reservations/31716080181393?display=MX65BTVK2&amp;reservation_id=31716080181393", "MX65BTVK2")</f>
        <v>MX65BTVK2</v>
      </c>
      <c r="B5490" t="s">
        <v>10</v>
      </c>
      <c r="C5490" t="s">
        <v>23</v>
      </c>
      <c r="D5490" t="str">
        <f>HYPERLINK("https://us2.cloudbeds.com/connect/10074733072513#/reservations/31716080181393?display=Tiffany%20Hanson&amp;reservation_id=31716080181393&amp;guest_id=31716080181388", "Tiffany Hanson")</f>
        <v>Tiffany Hanson</v>
      </c>
      <c r="E5490" t="s">
        <v>12064</v>
      </c>
      <c r="F5490" t="s">
        <v>10695</v>
      </c>
      <c r="G5490">
        <v>134.1</v>
      </c>
      <c r="H5490">
        <v>145.76</v>
      </c>
      <c r="I5490">
        <v>145.77000000000001</v>
      </c>
      <c r="J5490">
        <v>-0.01</v>
      </c>
    </row>
    <row r="5491" spans="1:10" x14ac:dyDescent="0.3">
      <c r="A5491" t="str">
        <f>HYPERLINK("https://us2.cloudbeds.com/connect/10074733072513#/reservations/31719590768797?display=MX8T247GX&amp;reservation_id=31719590768797", "MX8T247GX")</f>
        <v>MX8T247GX</v>
      </c>
      <c r="B5491" t="s">
        <v>10</v>
      </c>
      <c r="C5491" t="s">
        <v>42</v>
      </c>
      <c r="D5491" t="str">
        <f>HYPERLINK("https://us2.cloudbeds.com/connect/10074733072513#/reservations/31719590768797?display=Nicole%20La%20Benne&amp;reservation_id=31719590768797&amp;guest_id=31719590768795", "Nicole La Benne")</f>
        <v>Nicole La Benne</v>
      </c>
      <c r="E5491" t="s">
        <v>12066</v>
      </c>
      <c r="F5491" t="s">
        <v>11063</v>
      </c>
      <c r="G5491">
        <v>196.2</v>
      </c>
      <c r="H5491">
        <v>213.26</v>
      </c>
      <c r="I5491">
        <v>213.27</v>
      </c>
      <c r="J5491">
        <v>-0.01</v>
      </c>
    </row>
    <row r="5492" spans="1:10" x14ac:dyDescent="0.3">
      <c r="A5492" t="str">
        <f>HYPERLINK("https://us2.cloudbeds.com/connect/10074733072513#/reservations/31712898777250?display=MX3N28N0U&amp;reservation_id=31712898777250", "MX3N28N0U")</f>
        <v>MX3N28N0U</v>
      </c>
      <c r="B5492" t="s">
        <v>10</v>
      </c>
      <c r="C5492" t="s">
        <v>23</v>
      </c>
      <c r="D5492" t="str">
        <f>HYPERLINK("https://us2.cloudbeds.com/connect/10074733072513#/reservations/31712898777250?display=Shawn%20Zieglmeier&amp;reservation_id=31712898777250&amp;guest_id=31712898777244", "Shawn Zieglmeier")</f>
        <v>Shawn Zieglmeier</v>
      </c>
      <c r="E5492" t="s">
        <v>12067</v>
      </c>
      <c r="F5492" t="s">
        <v>11516</v>
      </c>
      <c r="G5492">
        <v>134.1</v>
      </c>
      <c r="H5492">
        <v>145.76</v>
      </c>
      <c r="I5492">
        <v>145.77000000000001</v>
      </c>
      <c r="J5492">
        <v>-0.01</v>
      </c>
    </row>
    <row r="5493" spans="1:10" x14ac:dyDescent="0.3">
      <c r="A5493" t="str">
        <f>HYPERLINK("https://us2.cloudbeds.com/connect/10074733072513#/reservations/31718425202890?display=MX7W99Y1X&amp;reservation_id=31718425202890", "MX7W99Y1X")</f>
        <v>MX7W99Y1X</v>
      </c>
      <c r="B5493" t="s">
        <v>10</v>
      </c>
      <c r="C5493" t="s">
        <v>42</v>
      </c>
      <c r="D5493" t="str">
        <f>HYPERLINK("https://us2.cloudbeds.com/connect/10074733072513#/reservations/31718425202890?display=Mariah%20Sharbono&amp;reservation_id=31718425202890&amp;guest_id=31718414758064", "Mariah Sharbono")</f>
        <v>Mariah Sharbono</v>
      </c>
      <c r="E5493" t="s">
        <v>12071</v>
      </c>
      <c r="F5493" t="s">
        <v>12068</v>
      </c>
      <c r="G5493">
        <v>250.2</v>
      </c>
      <c r="H5493">
        <v>271.95999999999998</v>
      </c>
      <c r="I5493">
        <v>271.97000000000003</v>
      </c>
      <c r="J5493">
        <v>-0.01</v>
      </c>
    </row>
    <row r="5494" spans="1:10" x14ac:dyDescent="0.3">
      <c r="A5494" t="str">
        <f>HYPERLINK("https://us2.cloudbeds.com/connect/10074733072513#/reservations/31719349600480?display=MX8MTPBWZ&amp;reservation_id=31719349600480", "MX8MTPBWZ")</f>
        <v>MX8MTPBWZ</v>
      </c>
      <c r="B5494" t="s">
        <v>10</v>
      </c>
      <c r="C5494" t="s">
        <v>23</v>
      </c>
      <c r="D5494" t="str">
        <f>HYPERLINK("https://us2.cloudbeds.com/connect/10074733072513#/reservations/31719349600480?display=Luis%20Ramos&amp;reservation_id=31719349600480&amp;guest_id=31719337341075", "Luis Ramos")</f>
        <v>Luis Ramos</v>
      </c>
      <c r="E5494" t="s">
        <v>12080</v>
      </c>
      <c r="F5494" t="s">
        <v>11516</v>
      </c>
      <c r="G5494">
        <v>134.1</v>
      </c>
      <c r="H5494">
        <v>145.76</v>
      </c>
      <c r="I5494">
        <v>145.77000000000001</v>
      </c>
      <c r="J5494">
        <v>-0.01</v>
      </c>
    </row>
    <row r="5495" spans="1:10" x14ac:dyDescent="0.3">
      <c r="A5495" t="str">
        <f>HYPERLINK("https://us2.cloudbeds.com/connect/10074733072513#/reservations/31717497082104?display=MX78XMA68&amp;reservation_id=31717497082104", "MX78XMA68")</f>
        <v>MX78XMA68</v>
      </c>
      <c r="B5495" t="s">
        <v>10</v>
      </c>
      <c r="C5495" t="s">
        <v>121</v>
      </c>
      <c r="D5495" t="str">
        <f>HYPERLINK("https://us2.cloudbeds.com/connect/10074733072513#/reservations/31717497082104?display=Clinton%20Smith&amp;reservation_id=31717497082104&amp;guest_id=31717486862497", "Clinton Smith")</f>
        <v>Clinton Smith</v>
      </c>
      <c r="E5495" t="s">
        <v>12087</v>
      </c>
      <c r="F5495" t="s">
        <v>11063</v>
      </c>
      <c r="G5495">
        <v>174.4</v>
      </c>
      <c r="H5495">
        <v>189.56</v>
      </c>
      <c r="I5495">
        <v>189.57</v>
      </c>
      <c r="J5495">
        <v>-0.01</v>
      </c>
    </row>
    <row r="5496" spans="1:10" x14ac:dyDescent="0.3">
      <c r="A5496" t="str">
        <f>HYPERLINK("https://us2.cloudbeds.com/connect/10074733072513#/reservations/31714590994589?display=MX50A64K7&amp;reservation_id=31714590994589", "MX50A64K7")</f>
        <v>MX50A64K7</v>
      </c>
      <c r="B5496" t="s">
        <v>10</v>
      </c>
      <c r="C5496" t="s">
        <v>23</v>
      </c>
      <c r="D5496" t="str">
        <f>HYPERLINK("https://us2.cloudbeds.com/connect/10074733072513#/reservations/31714590994589?display=Aaron%20Douglas%20Mednansky&amp;reservation_id=31714590994589&amp;guest_id=31714590994575", "Aaron Douglas Mednansky")</f>
        <v>Aaron Douglas Mednansky</v>
      </c>
      <c r="E5496" t="s">
        <v>12090</v>
      </c>
      <c r="F5496" t="s">
        <v>11573</v>
      </c>
      <c r="G5496">
        <v>170.1</v>
      </c>
      <c r="H5496">
        <v>184.89</v>
      </c>
      <c r="I5496">
        <v>184.9</v>
      </c>
      <c r="J5496">
        <v>-0.01</v>
      </c>
    </row>
    <row r="5497" spans="1:10" x14ac:dyDescent="0.3">
      <c r="A5497" t="str">
        <f>HYPERLINK("https://us2.cloudbeds.com/connect/10074733072513#/reservations/31716498739367?display=MX6G1RVC1&amp;reservation_id=31716498739367", "MX6G1RVC1")</f>
        <v>MX6G1RVC1</v>
      </c>
      <c r="B5497" t="s">
        <v>10</v>
      </c>
      <c r="C5497" t="s">
        <v>42</v>
      </c>
      <c r="D5497" t="str">
        <f>HYPERLINK("https://us2.cloudbeds.com/connect/10074733072513#/reservations/31716498739367?display=Rory%20Beyer&amp;reservation_id=31716498739367&amp;guest_id=31716498739362", "Rory Beyer")</f>
        <v>Rory Beyer</v>
      </c>
      <c r="E5497" t="s">
        <v>8860</v>
      </c>
      <c r="F5497" t="s">
        <v>12096</v>
      </c>
      <c r="G5497">
        <v>294.3</v>
      </c>
      <c r="H5497">
        <v>319.89</v>
      </c>
      <c r="I5497">
        <v>319.89999999999998</v>
      </c>
      <c r="J5497">
        <v>-0.01</v>
      </c>
    </row>
    <row r="5498" spans="1:10" x14ac:dyDescent="0.3">
      <c r="A5498" t="str">
        <f>HYPERLINK("https://us2.cloudbeds.com/connect/10074733072513#/reservations/31714271035645?display=MX4P4CQZY&amp;reservation_id=31714271035645", "MX4P4CQZY")</f>
        <v>MX4P4CQZY</v>
      </c>
      <c r="B5498" t="s">
        <v>10</v>
      </c>
      <c r="C5498" t="s">
        <v>23</v>
      </c>
      <c r="D5498" t="str">
        <f>HYPERLINK("https://us2.cloudbeds.com/connect/10074733072513#/reservations/31714271035645?display=Kelli%20Castro&amp;reservation_id=31714271035645&amp;guest_id=31714259677346", "Kelli Castro")</f>
        <v>Kelli Castro</v>
      </c>
      <c r="E5498" t="s">
        <v>12100</v>
      </c>
      <c r="F5498" t="s">
        <v>9834</v>
      </c>
      <c r="G5498">
        <v>412.2</v>
      </c>
      <c r="H5498">
        <v>448.05</v>
      </c>
      <c r="I5498">
        <v>448.06</v>
      </c>
      <c r="J5498">
        <v>-0.01</v>
      </c>
    </row>
    <row r="5499" spans="1:10" x14ac:dyDescent="0.3">
      <c r="A5499" t="str">
        <f>HYPERLINK("https://us2.cloudbeds.com/connect/10074733072513#/reservations/31719450153153?display=MX8PFXCSE&amp;reservation_id=31719450153153", "MX8PFXCSE")</f>
        <v>MX8PFXCSE</v>
      </c>
      <c r="B5499" t="s">
        <v>10</v>
      </c>
      <c r="C5499" t="s">
        <v>121</v>
      </c>
      <c r="D5499" t="str">
        <f>HYPERLINK("https://us2.cloudbeds.com/connect/10074733072513#/reservations/31719450153153?display=Sandra%20Holstein-%20Jons&amp;reservation_id=31719450153153&amp;guest_id=31719434309799", "Sandra Holstein- Jons")</f>
        <v>Sandra Holstein- Jons</v>
      </c>
      <c r="E5499" t="s">
        <v>12101</v>
      </c>
      <c r="F5499" t="s">
        <v>12089</v>
      </c>
      <c r="G5499">
        <v>174.4</v>
      </c>
      <c r="H5499">
        <v>189.56</v>
      </c>
      <c r="I5499">
        <v>189.57</v>
      </c>
      <c r="J5499">
        <v>-0.01</v>
      </c>
    </row>
    <row r="5500" spans="1:10" x14ac:dyDescent="0.3">
      <c r="A5500" t="str">
        <f>HYPERLINK("https://us2.cloudbeds.com/connect/10074733072513#/reservations/31713247154377?display=MX3VW0QXX&amp;reservation_id=31713247154377", "MX3VW0QXX")</f>
        <v>MX3VW0QXX</v>
      </c>
      <c r="B5500" t="s">
        <v>10</v>
      </c>
      <c r="C5500" t="s">
        <v>23</v>
      </c>
      <c r="D5500" t="str">
        <f>HYPERLINK("https://us2.cloudbeds.com/connect/10074733072513#/reservations/31713247154377?display=Stacey%20Eckley&amp;reservation_id=31713247154377&amp;guest_id=31713247150282", "Stacey Eckley")</f>
        <v>Stacey Eckley</v>
      </c>
      <c r="E5500" t="s">
        <v>12107</v>
      </c>
      <c r="F5500" t="s">
        <v>10449</v>
      </c>
      <c r="G5500">
        <v>448.2</v>
      </c>
      <c r="H5500">
        <v>487.18</v>
      </c>
      <c r="I5500">
        <v>487.19</v>
      </c>
      <c r="J5500">
        <v>-0.01</v>
      </c>
    </row>
    <row r="5501" spans="1:10" x14ac:dyDescent="0.3">
      <c r="A5501" t="str">
        <f>HYPERLINK("https://us2.cloudbeds.com/connect/10074733072513#/reservations/31715198017699?display=MX5FR1EUU&amp;reservation_id=31715198017699", "MX5FR1EUU")</f>
        <v>MX5FR1EUU</v>
      </c>
      <c r="B5501" t="s">
        <v>10</v>
      </c>
      <c r="C5501" t="s">
        <v>42</v>
      </c>
      <c r="D5501" t="str">
        <f>HYPERLINK("https://us2.cloudbeds.com/connect/10074733072513#/reservations/31715198017699?display=Zach%20Halma&amp;reservation_id=31715198017699&amp;guest_id=31715198017684", "Zach Halma")</f>
        <v>Zach Halma</v>
      </c>
      <c r="E5501" t="s">
        <v>12108</v>
      </c>
      <c r="F5501" t="s">
        <v>12109</v>
      </c>
      <c r="G5501">
        <v>334.4</v>
      </c>
      <c r="H5501">
        <v>363.48</v>
      </c>
      <c r="I5501">
        <v>363.49</v>
      </c>
      <c r="J5501">
        <v>-0.01</v>
      </c>
    </row>
    <row r="5502" spans="1:10" x14ac:dyDescent="0.3">
      <c r="A5502" t="str">
        <f>HYPERLINK("https://us2.cloudbeds.com/connect/10074733072513#/reservations/31717679214723?display=MX7D78DPH&amp;reservation_id=31717679214723", "MX7D78DPH")</f>
        <v>MX7D78DPH</v>
      </c>
      <c r="B5502" t="s">
        <v>10</v>
      </c>
      <c r="C5502" t="s">
        <v>23</v>
      </c>
      <c r="D5502" t="str">
        <f>HYPERLINK("https://us2.cloudbeds.com/connect/10074733072513#/reservations/31717679214723?display=Stephen%20Burda&amp;reservation_id=31717679214723&amp;guest_id=31717671981282", "Stephen Burda")</f>
        <v>Stephen Burda</v>
      </c>
      <c r="E5502" t="s">
        <v>12112</v>
      </c>
      <c r="F5502" t="s">
        <v>11536</v>
      </c>
      <c r="G5502">
        <v>170.1</v>
      </c>
      <c r="H5502">
        <v>184.89</v>
      </c>
      <c r="I5502">
        <v>184.9</v>
      </c>
      <c r="J5502">
        <v>-0.01</v>
      </c>
    </row>
    <row r="5503" spans="1:10" x14ac:dyDescent="0.3">
      <c r="A5503" t="str">
        <f>HYPERLINK("https://us2.cloudbeds.com/connect/10074733072513#/reservations/31718925111547?display=MX8C1RAWN&amp;reservation_id=31718925111547", "MX8C1RAWN")</f>
        <v>MX8C1RAWN</v>
      </c>
      <c r="B5503" t="s">
        <v>10</v>
      </c>
      <c r="C5503" t="s">
        <v>23</v>
      </c>
      <c r="D5503" t="str">
        <f>HYPERLINK("https://us2.cloudbeds.com/connect/10074733072513#/reservations/31718925111547?display=Becky%20Rietveld&amp;reservation_id=31718925111547&amp;guest_id=31718925111489", "Becky Rietveld")</f>
        <v>Becky Rietveld</v>
      </c>
      <c r="E5503" t="s">
        <v>12113</v>
      </c>
      <c r="F5503" t="s">
        <v>12038</v>
      </c>
      <c r="G5503">
        <v>196.2</v>
      </c>
      <c r="H5503">
        <v>213.26</v>
      </c>
      <c r="I5503">
        <v>213.27</v>
      </c>
      <c r="J5503">
        <v>-0.01</v>
      </c>
    </row>
    <row r="5504" spans="1:10" x14ac:dyDescent="0.3">
      <c r="A5504" t="str">
        <f>HYPERLINK("https://us2.cloudbeds.com/connect/10074733072513#/reservations/31718284554393?display=MX7SMMT7T&amp;reservation_id=31718284554393", "MX7SMMT7T")</f>
        <v>MX7SMMT7T</v>
      </c>
      <c r="B5504" t="s">
        <v>10</v>
      </c>
      <c r="C5504" t="s">
        <v>42</v>
      </c>
      <c r="D5504" t="str">
        <f>HYPERLINK("https://us2.cloudbeds.com/connect/10074733072513#/reservations/31718284554393?display=Arlyn%20Johns&amp;reservation_id=31718284554393&amp;guest_id=31718284554391", "Arlyn Johns")</f>
        <v>Arlyn Johns</v>
      </c>
      <c r="E5504" t="s">
        <v>10034</v>
      </c>
      <c r="F5504" t="s">
        <v>12068</v>
      </c>
      <c r="G5504">
        <v>174.4</v>
      </c>
      <c r="H5504">
        <v>189.56</v>
      </c>
      <c r="I5504">
        <v>189.57</v>
      </c>
      <c r="J5504">
        <v>-0.01</v>
      </c>
    </row>
    <row r="5505" spans="1:10" x14ac:dyDescent="0.3">
      <c r="A5505" t="str">
        <f>HYPERLINK("https://us2.cloudbeds.com/connect/10074733072513#/reservations/31718309114066?display=MX7TAD9ZD&amp;reservation_id=31718309114066", "MX7TAD9ZD")</f>
        <v>MX7TAD9ZD</v>
      </c>
      <c r="B5505" t="s">
        <v>10</v>
      </c>
      <c r="C5505" t="s">
        <v>121</v>
      </c>
      <c r="D5505" t="str">
        <f>HYPERLINK("https://us2.cloudbeds.com/connect/10074733072513#/reservations/31718309114066?display=Janice%20Rupert&amp;reservation_id=31718309114066&amp;guest_id=31718309110001", "Janice Rupert")</f>
        <v>Janice Rupert</v>
      </c>
      <c r="E5505" t="s">
        <v>12121</v>
      </c>
      <c r="F5505" t="s">
        <v>12068</v>
      </c>
      <c r="G5505">
        <v>196.2</v>
      </c>
      <c r="H5505">
        <v>213.26</v>
      </c>
      <c r="I5505">
        <v>213.27</v>
      </c>
      <c r="J5505">
        <v>-0.01</v>
      </c>
    </row>
    <row r="5506" spans="1:10" x14ac:dyDescent="0.3">
      <c r="A5506" t="str">
        <f>HYPERLINK("https://us2.cloudbeds.com/connect/10074733072513#/reservations/31718441865419?display=MX7WNB9QD&amp;reservation_id=31718441865419", "MX7WNB9QD")</f>
        <v>MX7WNB9QD</v>
      </c>
      <c r="B5506" t="s">
        <v>10</v>
      </c>
      <c r="C5506" t="s">
        <v>23</v>
      </c>
      <c r="D5506" t="str">
        <f>HYPERLINK("https://us2.cloudbeds.com/connect/10074733072513#/reservations/31718441865419?display=Jayme%20Williams&amp;reservation_id=31718441865419&amp;guest_id=31711940866197", "Jayme Williams")</f>
        <v>Jayme Williams</v>
      </c>
      <c r="E5506" t="s">
        <v>11404</v>
      </c>
      <c r="F5506" t="s">
        <v>11815</v>
      </c>
      <c r="G5506">
        <v>134.1</v>
      </c>
      <c r="H5506">
        <v>145.76</v>
      </c>
      <c r="I5506">
        <v>145.77000000000001</v>
      </c>
      <c r="J5506">
        <v>-0.01</v>
      </c>
    </row>
    <row r="5507" spans="1:10" x14ac:dyDescent="0.3">
      <c r="A5507" t="str">
        <f>HYPERLINK("https://us2.cloudbeds.com/connect/10074733072513#/reservations/31718319145207?display=MX7TXSE2C&amp;reservation_id=31718319145207", "MX7TXSE2C")</f>
        <v>MX7TXSE2C</v>
      </c>
      <c r="B5507" t="s">
        <v>10</v>
      </c>
      <c r="C5507" t="s">
        <v>121</v>
      </c>
      <c r="D5507" t="str">
        <f>HYPERLINK("https://us2.cloudbeds.com/connect/10074733072513#/reservations/31718319145207?display=Kimberly%20Gorter&amp;reservation_id=31718319145207&amp;guest_id=31718319145189", "Kimberly Gorter")</f>
        <v>Kimberly Gorter</v>
      </c>
      <c r="E5507" t="s">
        <v>12131</v>
      </c>
      <c r="F5507" t="s">
        <v>9926</v>
      </c>
      <c r="G5507">
        <v>250.2</v>
      </c>
      <c r="H5507">
        <v>271.95999999999998</v>
      </c>
      <c r="I5507">
        <v>271.97000000000003</v>
      </c>
      <c r="J5507">
        <v>-0.01</v>
      </c>
    </row>
    <row r="5508" spans="1:10" x14ac:dyDescent="0.3">
      <c r="A5508" t="str">
        <f>HYPERLINK("https://us2.cloudbeds.com/connect/10074733072513#/reservations/31719393849544?display=MX8Z12YZF&amp;reservation_id=31719393849544", "MX8Z12YZF")</f>
        <v>MX8Z12YZF</v>
      </c>
      <c r="B5508" t="s">
        <v>10</v>
      </c>
      <c r="C5508" t="s">
        <v>23</v>
      </c>
      <c r="D5508" t="str">
        <f>HYPERLINK("https://us2.cloudbeds.com/connect/10074733072513#/reservations/31719393849544?display=Wayne%20Fischbach&amp;reservation_id=31719393849544&amp;guest_id=31712130609391", "Wayne Fischbach")</f>
        <v>Wayne Fischbach</v>
      </c>
      <c r="E5508" t="s">
        <v>11117</v>
      </c>
      <c r="F5508" t="s">
        <v>11748</v>
      </c>
      <c r="G5508">
        <v>259.2</v>
      </c>
      <c r="H5508">
        <v>281.74</v>
      </c>
      <c r="I5508">
        <v>281.75</v>
      </c>
      <c r="J5508">
        <v>-0.01</v>
      </c>
    </row>
    <row r="5509" spans="1:10" x14ac:dyDescent="0.3">
      <c r="A5509" t="str">
        <f>HYPERLINK("https://us2.cloudbeds.com/connect/10074733072513#/reservations/31716652941448?display=MX6JWSS2C&amp;reservation_id=31716652941448", "MX6JWSS2C")</f>
        <v>MX6JWSS2C</v>
      </c>
      <c r="B5509" t="s">
        <v>10</v>
      </c>
      <c r="C5509" t="s">
        <v>42</v>
      </c>
      <c r="D5509" t="str">
        <f>HYPERLINK("https://us2.cloudbeds.com/connect/10074733072513#/reservations/31716652941448?display=Rick%20Hurd&amp;reservation_id=31716652941448&amp;guest_id=31711649288374", "Rick Hurd")</f>
        <v>Rick Hurd</v>
      </c>
      <c r="E5509" t="s">
        <v>6824</v>
      </c>
      <c r="F5509" t="s">
        <v>12014</v>
      </c>
      <c r="G5509">
        <v>196.2</v>
      </c>
      <c r="H5509">
        <v>213.26</v>
      </c>
      <c r="I5509">
        <v>213.27</v>
      </c>
      <c r="J5509">
        <v>-0.01</v>
      </c>
    </row>
    <row r="5510" spans="1:10" x14ac:dyDescent="0.3">
      <c r="A5510" t="str">
        <f>HYPERLINK("https://us2.cloudbeds.com/connect/10074733072513#/reservations/31715726258366?display=MX5TAFHDS&amp;reservation_id=31715726258366", "MX5TAFHDS")</f>
        <v>MX5TAFHDS</v>
      </c>
      <c r="B5510" t="s">
        <v>10</v>
      </c>
      <c r="C5510" t="s">
        <v>23</v>
      </c>
      <c r="D5510" t="str">
        <f>HYPERLINK("https://us2.cloudbeds.com/connect/10074733072513#/reservations/31715726258366?display=John%20Butcher&amp;reservation_id=31715726258366&amp;guest_id=31715714322657", "John Butcher")</f>
        <v>John Butcher</v>
      </c>
      <c r="E5510" t="s">
        <v>12146</v>
      </c>
      <c r="F5510" t="s">
        <v>11504</v>
      </c>
      <c r="G5510">
        <v>474.3</v>
      </c>
      <c r="H5510">
        <v>515.54999999999995</v>
      </c>
      <c r="I5510">
        <v>515.55999999999995</v>
      </c>
      <c r="J5510">
        <v>-0.01</v>
      </c>
    </row>
    <row r="5511" spans="1:10" x14ac:dyDescent="0.3">
      <c r="A5511" t="str">
        <f>HYPERLINK("https://us2.cloudbeds.com/connect/10074733072513#/reservations/31716557144296?display=MX6HX352C&amp;reservation_id=31716557144296", "MX6HX352C")</f>
        <v>MX6HX352C</v>
      </c>
      <c r="B5511" t="s">
        <v>10</v>
      </c>
      <c r="C5511" t="s">
        <v>23</v>
      </c>
      <c r="D5511" t="str">
        <f>HYPERLINK("https://us2.cloudbeds.com/connect/10074733072513#/reservations/31716557144296?display=Jason%20Bolin&amp;reservation_id=31716557144296&amp;guest_id=31716548333713", "Jason Bolin")</f>
        <v>Jason Bolin</v>
      </c>
      <c r="E5511" t="s">
        <v>12161</v>
      </c>
      <c r="F5511" t="s">
        <v>11748</v>
      </c>
      <c r="G5511">
        <v>259.2</v>
      </c>
      <c r="H5511">
        <v>281.74</v>
      </c>
      <c r="I5511">
        <v>281.75</v>
      </c>
      <c r="J5511">
        <v>-0.01</v>
      </c>
    </row>
    <row r="5512" spans="1:10" x14ac:dyDescent="0.3">
      <c r="A5512" t="str">
        <f>HYPERLINK("https://us2.cloudbeds.com/connect/10074733072513#/reservations/31716662018274?display=MX6K7HE2N&amp;reservation_id=31716662018274", "MX6K7HE2N")</f>
        <v>MX6K7HE2N</v>
      </c>
      <c r="B5512" t="s">
        <v>10</v>
      </c>
      <c r="C5512" t="s">
        <v>42</v>
      </c>
      <c r="D5512" t="str">
        <f>HYPERLINK("https://us2.cloudbeds.com/connect/10074733072513#/reservations/31716662018274?display=Christopher%20Suttles&amp;reservation_id=31716662018274&amp;guest_id=31716652945543", "Christopher Suttles")</f>
        <v>Christopher Suttles</v>
      </c>
      <c r="E5512" t="s">
        <v>12167</v>
      </c>
      <c r="F5512" t="s">
        <v>12014</v>
      </c>
      <c r="G5512">
        <v>103.2</v>
      </c>
      <c r="H5512">
        <v>112.17</v>
      </c>
      <c r="I5512">
        <v>112.18</v>
      </c>
      <c r="J5512">
        <v>-0.01</v>
      </c>
    </row>
    <row r="5513" spans="1:10" x14ac:dyDescent="0.3">
      <c r="A5513" t="str">
        <f>HYPERLINK("https://us2.cloudbeds.com/connect/10074733072513#/reservations/31718913228970?display=MX8BZQMHY&amp;reservation_id=31718913228970", "MX8BZQMHY")</f>
        <v>MX8BZQMHY</v>
      </c>
      <c r="B5513" t="s">
        <v>10</v>
      </c>
      <c r="C5513" t="s">
        <v>23</v>
      </c>
      <c r="D5513" t="str">
        <f>HYPERLINK("https://us2.cloudbeds.com/connect/10074733072513#/reservations/31718913228970?display=Natasha%20Combs&amp;reservation_id=31718913228970&amp;guest_id=31718913228965", "Natasha Combs")</f>
        <v>Natasha Combs</v>
      </c>
      <c r="E5513" t="s">
        <v>12175</v>
      </c>
      <c r="F5513" t="s">
        <v>12038</v>
      </c>
      <c r="G5513">
        <v>134.1</v>
      </c>
      <c r="H5513">
        <v>145.76</v>
      </c>
      <c r="I5513">
        <v>145.77000000000001</v>
      </c>
      <c r="J5513">
        <v>-0.01</v>
      </c>
    </row>
    <row r="5514" spans="1:10" x14ac:dyDescent="0.3">
      <c r="A5514" t="str">
        <f>HYPERLINK("https://us2.cloudbeds.com/connect/10074733072513#/reservations/31718930993305?display=MX8C6Q01R&amp;reservation_id=31718930993305", "MX8C6Q01R")</f>
        <v>MX8C6Q01R</v>
      </c>
      <c r="B5514" t="s">
        <v>10</v>
      </c>
      <c r="C5514" t="s">
        <v>23</v>
      </c>
      <c r="D5514" t="str">
        <f>HYPERLINK("https://us2.cloudbeds.com/connect/10074733072513#/reservations/31718930993305?display=Solymar%20Martinez&amp;reservation_id=31718930993305&amp;guest_id=31718930989221", "Solymar Martinez")</f>
        <v>Solymar Martinez</v>
      </c>
      <c r="E5514" t="s">
        <v>12177</v>
      </c>
      <c r="F5514" t="s">
        <v>12038</v>
      </c>
      <c r="G5514">
        <v>134.1</v>
      </c>
      <c r="H5514">
        <v>145.76</v>
      </c>
      <c r="I5514">
        <v>145.77000000000001</v>
      </c>
      <c r="J5514">
        <v>-0.01</v>
      </c>
    </row>
    <row r="5515" spans="1:10" x14ac:dyDescent="0.3">
      <c r="A5515" t="str">
        <f>HYPERLINK("https://us2.cloudbeds.com/connect/10074733072513#/reservations/31718108000472?display=MX7Z5R0E2&amp;reservation_id=31718108000472", "MX7Z5R0E2")</f>
        <v>MX7Z5R0E2</v>
      </c>
      <c r="B5515" t="s">
        <v>10</v>
      </c>
      <c r="C5515" t="s">
        <v>23</v>
      </c>
      <c r="D5515" t="str">
        <f>HYPERLINK("https://us2.cloudbeds.com/connect/10074733072513#/reservations/31718108000472?display=Ilia%20Hu%20Teply&amp;reservation_id=31718108000472&amp;guest_id=31718107996378", "Ilia Hu Teply")</f>
        <v>Ilia Hu Teply</v>
      </c>
      <c r="E5515" t="s">
        <v>12180</v>
      </c>
      <c r="F5515" t="s">
        <v>11863</v>
      </c>
      <c r="G5515">
        <v>250.2</v>
      </c>
      <c r="H5515">
        <v>271.95999999999998</v>
      </c>
      <c r="I5515">
        <v>271.97000000000003</v>
      </c>
      <c r="J5515">
        <v>-0.01</v>
      </c>
    </row>
    <row r="5516" spans="1:10" x14ac:dyDescent="0.3">
      <c r="A5516" t="str">
        <f>HYPERLINK("https://us2.cloudbeds.com/connect/10074733072513#/reservations/31717647245459?display=MX7CD9R7V&amp;reservation_id=31717647245459", "MX7CD9R7V")</f>
        <v>MX7CD9R7V</v>
      </c>
      <c r="B5516" t="s">
        <v>10</v>
      </c>
      <c r="C5516" t="s">
        <v>42</v>
      </c>
      <c r="D5516" t="str">
        <f>HYPERLINK("https://us2.cloudbeds.com/connect/10074733072513#/reservations/31717647245459?display=Melissa%20Cain&amp;reservation_id=31717647245459&amp;guest_id=31717647241378", "Melissa Cain")</f>
        <v>Melissa Cain</v>
      </c>
      <c r="E5516" t="s">
        <v>12182</v>
      </c>
      <c r="F5516" t="s">
        <v>11748</v>
      </c>
      <c r="G5516">
        <v>268.2</v>
      </c>
      <c r="H5516">
        <v>291.52</v>
      </c>
      <c r="I5516">
        <v>291.52999999999997</v>
      </c>
      <c r="J5516">
        <v>-0.01</v>
      </c>
    </row>
    <row r="5517" spans="1:10" x14ac:dyDescent="0.3">
      <c r="A5517" t="str">
        <f>HYPERLINK("https://us2.cloudbeds.com/connect/10074733072513#/reservations/31715881013454?display=MX608VQUW&amp;reservation_id=31715881013454", "MX608VQUW")</f>
        <v>MX608VQUW</v>
      </c>
      <c r="B5517" t="s">
        <v>10</v>
      </c>
      <c r="C5517" t="s">
        <v>23</v>
      </c>
      <c r="D5517" t="str">
        <f>HYPERLINK("https://us2.cloudbeds.com/connect/10074733072513#/reservations/31715881013454?display=Kyle%20Herr&amp;reservation_id=31715881013454&amp;guest_id=31715881013452", "Kyle Herr")</f>
        <v>Kyle Herr</v>
      </c>
      <c r="E5517" t="s">
        <v>12188</v>
      </c>
      <c r="F5517" t="s">
        <v>12109</v>
      </c>
      <c r="G5517">
        <v>170.1</v>
      </c>
      <c r="H5517">
        <v>184.89</v>
      </c>
      <c r="I5517">
        <v>184.9</v>
      </c>
      <c r="J5517">
        <v>-0.01</v>
      </c>
    </row>
    <row r="5518" spans="1:10" x14ac:dyDescent="0.3">
      <c r="A5518" t="str">
        <f>HYPERLINK("https://us2.cloudbeds.com/connect/10074733072513#/reservations/31716561481931?display=MX6HYZS6S&amp;reservation_id=31716561481931", "MX6HYZS6S")</f>
        <v>MX6HYZS6S</v>
      </c>
      <c r="B5518" t="s">
        <v>10</v>
      </c>
      <c r="C5518" t="s">
        <v>121</v>
      </c>
      <c r="D5518" t="str">
        <f>HYPERLINK("https://us2.cloudbeds.com/connect/10074733072513#/reservations/31716561481931?display=Scott%20Pennington&amp;reservation_id=31716561481931&amp;guest_id=31716561477878", "Scott Pennington")</f>
        <v>Scott Pennington</v>
      </c>
      <c r="E5518" t="s">
        <v>12189</v>
      </c>
      <c r="F5518" t="s">
        <v>11748</v>
      </c>
      <c r="G5518">
        <v>134.1</v>
      </c>
      <c r="H5518">
        <v>145.76</v>
      </c>
      <c r="I5518">
        <v>145.77000000000001</v>
      </c>
      <c r="J5518">
        <v>-0.01</v>
      </c>
    </row>
    <row r="5519" spans="1:10" x14ac:dyDescent="0.3">
      <c r="A5519" t="str">
        <f>HYPERLINK("https://us2.cloudbeds.com/connect/10074733072513#/reservations/31716596592834?display=MX6XXBSKK&amp;reservation_id=31716596592834", "MX6XXBSKK")</f>
        <v>MX6XXBSKK</v>
      </c>
      <c r="B5519" t="s">
        <v>10</v>
      </c>
      <c r="C5519" t="s">
        <v>23</v>
      </c>
      <c r="D5519" t="str">
        <f>HYPERLINK("https://us2.cloudbeds.com/connect/10074733072513#/reservations/31716596592834?display=Gordon%20Sharon%20Ribstein&amp;reservation_id=31716596592834&amp;guest_id=31716596588748", "Gordon Sharon Ribstein")</f>
        <v>Gordon Sharon Ribstein</v>
      </c>
      <c r="E5519" t="s">
        <v>12191</v>
      </c>
      <c r="F5519" t="s">
        <v>11748</v>
      </c>
      <c r="G5519">
        <v>134.1</v>
      </c>
      <c r="H5519">
        <v>145.76</v>
      </c>
      <c r="I5519">
        <v>145.77000000000001</v>
      </c>
      <c r="J5519">
        <v>-0.01</v>
      </c>
    </row>
    <row r="5520" spans="1:10" x14ac:dyDescent="0.3">
      <c r="A5520" t="str">
        <f>HYPERLINK("https://us2.cloudbeds.com/connect/10074733072513#/reservations/31719307817188?display=MX8YRHMGB&amp;reservation_id=31719307817188", "MX8YRHMGB")</f>
        <v>MX8YRHMGB</v>
      </c>
      <c r="B5520" t="s">
        <v>10</v>
      </c>
      <c r="C5520" t="s">
        <v>23</v>
      </c>
      <c r="D5520" t="str">
        <f>HYPERLINK("https://us2.cloudbeds.com/connect/10074733072513#/reservations/31719307817188?display=Edith%20Gonzalez&amp;reservation_id=31719307817188&amp;guest_id=31719297945801", "Edith Gonzalez")</f>
        <v>Edith Gonzalez</v>
      </c>
      <c r="E5520" t="s">
        <v>12196</v>
      </c>
      <c r="F5520" t="s">
        <v>12169</v>
      </c>
      <c r="G5520">
        <v>89.38</v>
      </c>
      <c r="H5520">
        <v>97.15</v>
      </c>
      <c r="I5520">
        <v>97.16</v>
      </c>
      <c r="J5520">
        <v>-0.01</v>
      </c>
    </row>
    <row r="5521" spans="1:10" x14ac:dyDescent="0.3">
      <c r="A5521" t="str">
        <f>HYPERLINK("https://us2.cloudbeds.com/connect/10074733072513#/reservations/31716717920461?display=MX6YYYWJC&amp;reservation_id=31716717920461", "MX6YYYWJC")</f>
        <v>MX6YYYWJC</v>
      </c>
      <c r="B5521" t="s">
        <v>10</v>
      </c>
      <c r="C5521" t="s">
        <v>23</v>
      </c>
      <c r="D5521" t="str">
        <f>HYPERLINK("https://us2.cloudbeds.com/connect/10074733072513#/reservations/31716717920461?display=Jenny%20Ulmer&amp;reservation_id=31716717920461&amp;guest_id=31716717920459", "Jenny Ulmer")</f>
        <v>Jenny Ulmer</v>
      </c>
      <c r="E5521" t="s">
        <v>12198</v>
      </c>
      <c r="F5521" t="s">
        <v>11504</v>
      </c>
      <c r="G5521">
        <v>224.1</v>
      </c>
      <c r="H5521">
        <v>243.59</v>
      </c>
      <c r="I5521">
        <v>243.6</v>
      </c>
      <c r="J5521">
        <v>-0.01</v>
      </c>
    </row>
    <row r="5522" spans="1:10" x14ac:dyDescent="0.3">
      <c r="A5522" t="str">
        <f>HYPERLINK("https://us2.cloudbeds.com/connect/10074733072513#/reservations/31713758625956?display=MX4C1A8EA&amp;reservation_id=31713758625956", "MX4C1A8EA")</f>
        <v>MX4C1A8EA</v>
      </c>
      <c r="B5522" t="s">
        <v>10</v>
      </c>
      <c r="C5522" t="s">
        <v>23</v>
      </c>
      <c r="D5522" t="str">
        <f>HYPERLINK("https://us2.cloudbeds.com/connect/10074733072513#/reservations/31713758625956?display=Jeffrey%20Leitheiser&amp;reservation_id=31713758625956&amp;guest_id=31713751027916", "Jeffrey Leitheiser")</f>
        <v>Jeffrey Leitheiser</v>
      </c>
      <c r="E5522" t="s">
        <v>12205</v>
      </c>
      <c r="F5522" t="s">
        <v>11533</v>
      </c>
      <c r="G5522">
        <v>376.2</v>
      </c>
      <c r="H5522">
        <v>408.92</v>
      </c>
      <c r="I5522">
        <v>408.93</v>
      </c>
      <c r="J5522">
        <v>-0.01</v>
      </c>
    </row>
    <row r="5523" spans="1:10" x14ac:dyDescent="0.3">
      <c r="A5523" t="str">
        <f>HYPERLINK("https://us2.cloudbeds.com/connect/10074733072513#/reservations/31715175825605?display=MX5F8AUH7&amp;reservation_id=31715175825605", "MX5F8AUH7")</f>
        <v>MX5F8AUH7</v>
      </c>
      <c r="B5523" t="s">
        <v>10</v>
      </c>
      <c r="C5523" t="s">
        <v>42</v>
      </c>
      <c r="D5523" t="str">
        <f>HYPERLINK("https://us2.cloudbeds.com/connect/10074733072513#/reservations/31715175825605?display=Deborah%20Norman&amp;reservation_id=31715175825605&amp;guest_id=31715175825603", "Deborah Norman")</f>
        <v>Deborah Norman</v>
      </c>
      <c r="E5523" t="s">
        <v>12213</v>
      </c>
      <c r="F5523" t="s">
        <v>12109</v>
      </c>
      <c r="G5523">
        <v>170.1</v>
      </c>
      <c r="H5523">
        <v>184.89</v>
      </c>
      <c r="I5523">
        <v>184.9</v>
      </c>
      <c r="J5523">
        <v>-0.01</v>
      </c>
    </row>
    <row r="5524" spans="1:10" x14ac:dyDescent="0.3">
      <c r="A5524" t="str">
        <f>HYPERLINK("https://us2.cloudbeds.com/connect/10074733072513#/reservations/31713379807374?display=MX42BT2AB&amp;reservation_id=31713379807374", "MX42BT2AB")</f>
        <v>MX42BT2AB</v>
      </c>
      <c r="B5524" t="s">
        <v>10</v>
      </c>
      <c r="C5524" t="s">
        <v>23</v>
      </c>
      <c r="D5524" t="str">
        <f>HYPERLINK("https://us2.cloudbeds.com/connect/10074733072513#/reservations/31713379807374?display=Frank%20Yang&amp;reservation_id=31713379807374&amp;guest_id=31713379807369", "Frank Yang")</f>
        <v>Frank Yang</v>
      </c>
      <c r="E5524" t="s">
        <v>12216</v>
      </c>
      <c r="F5524" t="s">
        <v>11533</v>
      </c>
      <c r="G5524">
        <v>376.2</v>
      </c>
      <c r="H5524">
        <v>408.92</v>
      </c>
      <c r="I5524">
        <v>408.93</v>
      </c>
      <c r="J5524">
        <v>-0.01</v>
      </c>
    </row>
    <row r="5525" spans="1:10" x14ac:dyDescent="0.3">
      <c r="A5525" t="str">
        <f>HYPERLINK("https://us2.cloudbeds.com/connect/10074733072513#/reservations/31715741782269?display=MX5TNXGK5&amp;reservation_id=31715741782269", "MX5TNXGK5")</f>
        <v>MX5TNXGK5</v>
      </c>
      <c r="B5525" t="s">
        <v>10</v>
      </c>
      <c r="C5525" t="s">
        <v>23</v>
      </c>
      <c r="D5525" t="str">
        <f>HYPERLINK("https://us2.cloudbeds.com/connect/10074733072513#/reservations/31715741782269?display=Sonya%20Fujan&amp;reservation_id=31715741782269&amp;guest_id=31715729170594", "Sonya Fujan")</f>
        <v>Sonya Fujan</v>
      </c>
      <c r="E5525" t="s">
        <v>12230</v>
      </c>
      <c r="F5525" t="s">
        <v>10750</v>
      </c>
      <c r="G5525">
        <v>564.29999999999995</v>
      </c>
      <c r="H5525">
        <v>613.38</v>
      </c>
      <c r="I5525">
        <v>613.39</v>
      </c>
      <c r="J5525">
        <v>-0.01</v>
      </c>
    </row>
    <row r="5526" spans="1:10" x14ac:dyDescent="0.3">
      <c r="A5526" t="str">
        <f>HYPERLINK("https://us2.cloudbeds.com/connect/10074733072513#/reservations/31714324697227?display=MX4QGY0P6&amp;reservation_id=31714324697227", "MX4QGY0P6")</f>
        <v>MX4QGY0P6</v>
      </c>
      <c r="B5526" t="s">
        <v>10</v>
      </c>
      <c r="C5526" t="s">
        <v>23</v>
      </c>
      <c r="D5526" t="str">
        <f>HYPERLINK("https://us2.cloudbeds.com/connect/10074733072513#/reservations/31714324697227?display=Sonya%20Fujan&amp;reservation_id=31714324697227&amp;guest_id=31714313961722", "Sonya Fujan")</f>
        <v>Sonya Fujan</v>
      </c>
      <c r="E5526" t="s">
        <v>12231</v>
      </c>
      <c r="F5526" t="s">
        <v>10750</v>
      </c>
      <c r="G5526">
        <v>376.2</v>
      </c>
      <c r="H5526">
        <v>408.92</v>
      </c>
      <c r="I5526">
        <v>408.93</v>
      </c>
      <c r="J5526">
        <v>-0.01</v>
      </c>
    </row>
    <row r="5527" spans="1:10" x14ac:dyDescent="0.3">
      <c r="A5527" t="str">
        <f>HYPERLINK("https://us2.cloudbeds.com/connect/10074733072513#/reservations/31713076523217?display=MX3RK4ZFB&amp;reservation_id=31713076523217", "MX3RK4ZFB")</f>
        <v>MX3RK4ZFB</v>
      </c>
      <c r="B5527" t="s">
        <v>10</v>
      </c>
      <c r="C5527" t="s">
        <v>23</v>
      </c>
      <c r="D5527" t="str">
        <f>HYPERLINK("https://us2.cloudbeds.com/connect/10074733072513#/reservations/31713076523217?display=Michelle%20Carson&amp;reservation_id=31713076523217&amp;guest_id=31713076523214", "Michelle Carson")</f>
        <v>Michelle Carson</v>
      </c>
      <c r="E5527" t="s">
        <v>12235</v>
      </c>
      <c r="F5527" t="s">
        <v>12223</v>
      </c>
      <c r="G5527">
        <v>170.1</v>
      </c>
      <c r="H5527">
        <v>184.89</v>
      </c>
      <c r="I5527">
        <v>184.9</v>
      </c>
      <c r="J5527">
        <v>-0.01</v>
      </c>
    </row>
    <row r="5528" spans="1:10" x14ac:dyDescent="0.3">
      <c r="A5528" t="str">
        <f>HYPERLINK("https://us2.cloudbeds.com/connect/10074733072513#/reservations/31715491442911?display=MX5NAFEJ0&amp;reservation_id=31715491442911", "MX5NAFEJ0")</f>
        <v>MX5NAFEJ0</v>
      </c>
      <c r="B5528" t="s">
        <v>10</v>
      </c>
      <c r="C5528" t="s">
        <v>23</v>
      </c>
      <c r="D5528" t="str">
        <f>HYPERLINK("https://us2.cloudbeds.com/connect/10074733072513#/reservations/31715491442911?display=Briana%20Williams&amp;reservation_id=31715491442911&amp;guest_id=31715491442898", "Briana Williams")</f>
        <v>Briana Williams</v>
      </c>
      <c r="E5528" t="s">
        <v>12237</v>
      </c>
      <c r="F5528" t="s">
        <v>10695</v>
      </c>
      <c r="G5528">
        <v>117.42</v>
      </c>
      <c r="H5528">
        <v>127.63</v>
      </c>
      <c r="I5528">
        <v>127.64</v>
      </c>
      <c r="J5528">
        <v>-0.01</v>
      </c>
    </row>
    <row r="5529" spans="1:10" x14ac:dyDescent="0.3">
      <c r="A5529" t="str">
        <f>HYPERLINK("https://us2.cloudbeds.com/connect/10074733072513#/reservations/31714846769368?display=MX56RSES3&amp;reservation_id=31714846769368", "MX56RSES3")</f>
        <v>MX56RSES3</v>
      </c>
      <c r="B5529" t="s">
        <v>10</v>
      </c>
      <c r="C5529" t="s">
        <v>23</v>
      </c>
      <c r="D5529" t="str">
        <f>HYPERLINK("https://us2.cloudbeds.com/connect/10074733072513#/reservations/31714846769368?display=Marquise%20Jones&amp;reservation_id=31714846769368&amp;guest_id=31714846765282", "Marquise Jones")</f>
        <v>Marquise Jones</v>
      </c>
      <c r="E5529" t="s">
        <v>12239</v>
      </c>
      <c r="F5529" t="s">
        <v>12240</v>
      </c>
      <c r="G5529">
        <v>273.54000000000002</v>
      </c>
      <c r="H5529">
        <v>297.33</v>
      </c>
      <c r="I5529">
        <v>297.33999999999997</v>
      </c>
      <c r="J5529">
        <v>-0.01</v>
      </c>
    </row>
    <row r="5530" spans="1:10" x14ac:dyDescent="0.3">
      <c r="A5530" t="str">
        <f>HYPERLINK("https://us2.cloudbeds.com/connect/10074733072513#/reservations/31717626998999?display=MX7BT7EES&amp;reservation_id=31717626998999", "MX7BT7EES")</f>
        <v>MX7BT7EES</v>
      </c>
      <c r="B5530" t="s">
        <v>10</v>
      </c>
      <c r="C5530" t="s">
        <v>42</v>
      </c>
      <c r="D5530" t="str">
        <f>HYPERLINK("https://us2.cloudbeds.com/connect/10074733072513#/reservations/31717626998999?display=Marzelle%20Black&amp;reservation_id=31717626998999&amp;guest_id=31717618229502", "Marzelle Black")</f>
        <v>Marzelle Black</v>
      </c>
      <c r="E5530" t="s">
        <v>12244</v>
      </c>
      <c r="F5530" t="s">
        <v>12172</v>
      </c>
      <c r="G5530">
        <v>224</v>
      </c>
      <c r="H5530">
        <v>243.48</v>
      </c>
      <c r="I5530">
        <v>243.49</v>
      </c>
      <c r="J5530">
        <v>-0.01</v>
      </c>
    </row>
    <row r="5531" spans="1:10" x14ac:dyDescent="0.3">
      <c r="A5531" t="str">
        <f>HYPERLINK("https://us2.cloudbeds.com/connect/10074733072513#/reservations/31715817865345?display=MX5VYNKMU&amp;reservation_id=31715817865345", "MX5VYNKMU")</f>
        <v>MX5VYNKMU</v>
      </c>
      <c r="B5531" t="s">
        <v>10</v>
      </c>
      <c r="C5531" t="s">
        <v>42</v>
      </c>
      <c r="D5531" t="str">
        <f>HYPERLINK("https://us2.cloudbeds.com/connect/10074733072513#/reservations/31715817865345?display=Brit%20Ruen&amp;reservation_id=31715817865345&amp;guest_id=31715808116884", "Brit Ruen")</f>
        <v>Brit Ruen</v>
      </c>
      <c r="E5531" t="s">
        <v>12248</v>
      </c>
      <c r="F5531" t="s">
        <v>11504</v>
      </c>
      <c r="G5531">
        <v>170.1</v>
      </c>
      <c r="H5531">
        <v>184.89</v>
      </c>
      <c r="I5531">
        <v>184.9</v>
      </c>
      <c r="J5531">
        <v>-0.01</v>
      </c>
    </row>
    <row r="5532" spans="1:10" x14ac:dyDescent="0.3">
      <c r="A5532" t="str">
        <f>HYPERLINK("https://us2.cloudbeds.com/connect/10074733072513#/reservations/31715658125543?display=MX5RJ0KRS&amp;reservation_id=31715658125543", "MX5RJ0KRS")</f>
        <v>MX5RJ0KRS</v>
      </c>
      <c r="B5532" t="s">
        <v>10</v>
      </c>
      <c r="C5532" t="s">
        <v>23</v>
      </c>
      <c r="D5532" t="str">
        <f>HYPERLINK("https://us2.cloudbeds.com/connect/10074733072513#/reservations/31715658125543?display=Kaylene%20Walker&amp;reservation_id=31715658125543&amp;guest_id=31715649839243", "Kaylene Walker")</f>
        <v>Kaylene Walker</v>
      </c>
      <c r="E5532" t="s">
        <v>12253</v>
      </c>
      <c r="F5532" t="s">
        <v>11281</v>
      </c>
      <c r="G5532">
        <v>537.29999999999995</v>
      </c>
      <c r="H5532">
        <v>584.04</v>
      </c>
      <c r="I5532">
        <v>584.04999999999995</v>
      </c>
      <c r="J5532">
        <v>-0.01</v>
      </c>
    </row>
    <row r="5533" spans="1:10" x14ac:dyDescent="0.3">
      <c r="A5533" t="str">
        <f>HYPERLINK("https://us2.cloudbeds.com/connect/10074733072513#/reservations/31716278317270?display=MX6ADWCXX&amp;reservation_id=31716278317270", "MX6ADWCXX")</f>
        <v>MX6ADWCXX</v>
      </c>
      <c r="B5533" t="s">
        <v>10</v>
      </c>
      <c r="C5533" t="s">
        <v>23</v>
      </c>
      <c r="D5533" t="str">
        <f>HYPERLINK("https://us2.cloudbeds.com/connect/10074733072513#/reservations/31716278317270?display=Marcia%20Parrott&amp;reservation_id=31716278317270&amp;guest_id=31716266594548", "Marcia Parrott")</f>
        <v>Marcia Parrott</v>
      </c>
      <c r="E5533" t="s">
        <v>12266</v>
      </c>
      <c r="F5533" t="s">
        <v>12099</v>
      </c>
      <c r="G5533">
        <v>385.2</v>
      </c>
      <c r="H5533">
        <v>418.7</v>
      </c>
      <c r="I5533">
        <v>418.71</v>
      </c>
      <c r="J5533">
        <v>-0.01</v>
      </c>
    </row>
    <row r="5534" spans="1:10" x14ac:dyDescent="0.3">
      <c r="A5534" t="str">
        <f>HYPERLINK("https://us2.cloudbeds.com/connect/10074733072513#/reservations/31718141800577?display=MX7P1AX5M&amp;reservation_id=31718141800577", "MX7P1AX5M")</f>
        <v>MX7P1AX5M</v>
      </c>
      <c r="B5534" t="s">
        <v>10</v>
      </c>
      <c r="C5534" t="s">
        <v>23</v>
      </c>
      <c r="D5534" t="str">
        <f>HYPERLINK("https://us2.cloudbeds.com/connect/10074733072513#/reservations/31718141800577?display=Adam%20Barton&amp;reservation_id=31718141800577&amp;guest_id=31718141796542", "Adam Barton")</f>
        <v>Adam Barton</v>
      </c>
      <c r="E5534" t="s">
        <v>12270</v>
      </c>
      <c r="F5534" t="s">
        <v>11573</v>
      </c>
      <c r="G5534">
        <v>376.2</v>
      </c>
      <c r="H5534">
        <v>408.92</v>
      </c>
      <c r="I5534">
        <v>408.93</v>
      </c>
      <c r="J5534">
        <v>-0.01</v>
      </c>
    </row>
    <row r="5535" spans="1:10" x14ac:dyDescent="0.3">
      <c r="A5535" t="str">
        <f>HYPERLINK("https://us2.cloudbeds.com/connect/10074733072513#/reservations/31715087130869?display=MX5CWHSFV&amp;reservation_id=31715087130869", "MX5CWHSFV")</f>
        <v>MX5CWHSFV</v>
      </c>
      <c r="B5535" t="s">
        <v>10</v>
      </c>
      <c r="C5535" t="s">
        <v>23</v>
      </c>
      <c r="D5535" t="str">
        <f>HYPERLINK("https://us2.cloudbeds.com/connect/10074733072513#/reservations/31715087130869?display=Gerald%20Wright&amp;reservation_id=31715087130869&amp;guest_id=31715087130858", "Gerald Wright")</f>
        <v>Gerald Wright</v>
      </c>
      <c r="E5535" t="s">
        <v>12271</v>
      </c>
      <c r="F5535" t="s">
        <v>11027</v>
      </c>
      <c r="G5535">
        <v>150.22</v>
      </c>
      <c r="H5535">
        <v>163.28</v>
      </c>
      <c r="I5535">
        <v>163.29</v>
      </c>
      <c r="J5535">
        <v>-0.01</v>
      </c>
    </row>
    <row r="5536" spans="1:10" x14ac:dyDescent="0.3">
      <c r="A5536" t="str">
        <f>HYPERLINK("https://us2.cloudbeds.com/connect/10074733072513#/reservations/31720530661579?display=MX9K2M490&amp;reservation_id=31720530661579", "MX9K2M490")</f>
        <v>MX9K2M490</v>
      </c>
      <c r="B5536" t="s">
        <v>10</v>
      </c>
      <c r="C5536" t="s">
        <v>42</v>
      </c>
      <c r="D5536" t="str">
        <f>HYPERLINK("https://us2.cloudbeds.com/connect/10074733072513#/reservations/31720530661579?display=Roberta%20Hoyt&amp;reservation_id=31720530661579&amp;guest_id=31682455314686", "Roberta Hoyt")</f>
        <v>Roberta Hoyt</v>
      </c>
      <c r="E5536" t="s">
        <v>6475</v>
      </c>
      <c r="F5536" t="s">
        <v>12073</v>
      </c>
      <c r="G5536">
        <v>134.1</v>
      </c>
      <c r="H5536">
        <v>145.76</v>
      </c>
      <c r="I5536">
        <v>145.77000000000001</v>
      </c>
      <c r="J5536">
        <v>-0.01</v>
      </c>
    </row>
    <row r="5537" spans="1:10" x14ac:dyDescent="0.3">
      <c r="A5537" t="str">
        <f>HYPERLINK("https://us2.cloudbeds.com/connect/10074733072513#/reservations/31715434033313?display=MX5YS1US7&amp;reservation_id=31715434033313", "MX5YS1US7")</f>
        <v>MX5YS1US7</v>
      </c>
      <c r="B5537" t="s">
        <v>10</v>
      </c>
      <c r="C5537" t="s">
        <v>23</v>
      </c>
      <c r="D5537" t="str">
        <f>HYPERLINK("https://us2.cloudbeds.com/connect/10074733072513#/reservations/31715434033313?display=Paul%20Thummel&amp;reservation_id=31715434033313&amp;guest_id=31715426402504", "Paul Thummel")</f>
        <v>Paul Thummel</v>
      </c>
      <c r="E5537" t="s">
        <v>12273</v>
      </c>
      <c r="F5537" t="s">
        <v>12274</v>
      </c>
      <c r="G5537">
        <v>273.54000000000002</v>
      </c>
      <c r="H5537">
        <v>297.33</v>
      </c>
      <c r="I5537">
        <v>297.33999999999997</v>
      </c>
      <c r="J5537">
        <v>-0.01</v>
      </c>
    </row>
    <row r="5538" spans="1:10" x14ac:dyDescent="0.3">
      <c r="A5538" t="str">
        <f>HYPERLINK("https://us2.cloudbeds.com/connect/10074733072513#/reservations/31714916548823?display=MX58KN5G1&amp;reservation_id=31714916548823", "MX58KN5G1")</f>
        <v>MX58KN5G1</v>
      </c>
      <c r="B5538" t="s">
        <v>10</v>
      </c>
      <c r="C5538" t="s">
        <v>42</v>
      </c>
      <c r="D5538" t="str">
        <f>HYPERLINK("https://us2.cloudbeds.com/connect/10074733072513#/reservations/31714916548823?display=Larue%20Gundt&amp;reservation_id=31714916548823&amp;guest_id=31714916548821", "Larue Gundt")</f>
        <v>Larue Gundt</v>
      </c>
      <c r="E5538" t="s">
        <v>12275</v>
      </c>
      <c r="F5538" t="s">
        <v>12276</v>
      </c>
      <c r="G5538">
        <v>250.2</v>
      </c>
      <c r="H5538">
        <v>271.95999999999998</v>
      </c>
      <c r="I5538">
        <v>271.97000000000003</v>
      </c>
      <c r="J5538">
        <v>-0.01</v>
      </c>
    </row>
    <row r="5539" spans="1:10" x14ac:dyDescent="0.3">
      <c r="A5539" t="str">
        <f>HYPERLINK("https://us2.cloudbeds.com/connect/10074733072513#/reservations/31716300071088?display=MX6AWANH5&amp;reservation_id=31716300071088", "MX6AWANH5")</f>
        <v>MX6AWANH5</v>
      </c>
      <c r="B5539" t="s">
        <v>10</v>
      </c>
      <c r="C5539" t="s">
        <v>42</v>
      </c>
      <c r="D5539" t="str">
        <f>HYPERLINK("https://us2.cloudbeds.com/connect/10074733072513#/reservations/31716300071088?display=Darlene%20Dahl&amp;reservation_id=31716300071088&amp;guest_id=31716290326735", "Darlene Dahl")</f>
        <v>Darlene Dahl</v>
      </c>
      <c r="E5539" t="s">
        <v>12277</v>
      </c>
      <c r="F5539" t="s">
        <v>12278</v>
      </c>
      <c r="G5539">
        <v>304.2</v>
      </c>
      <c r="H5539">
        <v>330.66</v>
      </c>
      <c r="I5539">
        <v>330.67</v>
      </c>
      <c r="J5539">
        <v>-0.01</v>
      </c>
    </row>
    <row r="5540" spans="1:10" x14ac:dyDescent="0.3">
      <c r="A5540" t="str">
        <f>HYPERLINK("https://us2.cloudbeds.com/connect/10074733072513#/reservations/31713608016027?display=MX486AAA2&amp;reservation_id=31713608016027", "MX486AAA2")</f>
        <v>MX486AAA2</v>
      </c>
      <c r="B5540" t="s">
        <v>10</v>
      </c>
      <c r="C5540" t="s">
        <v>23</v>
      </c>
      <c r="D5540" t="str">
        <f>HYPERLINK("https://us2.cloudbeds.com/connect/10074733072513#/reservations/31713608016027?display=Abby%20Edwardson&amp;reservation_id=31713608016027&amp;guest_id=31713608016016", "Abby Edwardson")</f>
        <v>Abby Edwardson</v>
      </c>
      <c r="E5540" t="s">
        <v>12279</v>
      </c>
      <c r="F5540" t="s">
        <v>12280</v>
      </c>
      <c r="G5540">
        <v>170.1</v>
      </c>
      <c r="H5540">
        <v>184.89</v>
      </c>
      <c r="I5540">
        <v>184.9</v>
      </c>
      <c r="J5540">
        <v>-0.01</v>
      </c>
    </row>
    <row r="5541" spans="1:10" x14ac:dyDescent="0.3">
      <c r="A5541" t="str">
        <f>HYPERLINK("https://us2.cloudbeds.com/connect/10074733072513#/reservations/31714633990393?display=MX51DEXHC&amp;reservation_id=31714633990393", "MX51DEXHC")</f>
        <v>MX51DEXHC</v>
      </c>
      <c r="B5541" t="s">
        <v>10</v>
      </c>
      <c r="C5541" t="s">
        <v>42</v>
      </c>
      <c r="D5541" t="str">
        <f>HYPERLINK("https://us2.cloudbeds.com/connect/10074733072513#/reservations/31714633990393?display=Lonny%20Bartling&amp;reservation_id=31714633990393&amp;guest_id=31714633990340", "Lonny Bartling")</f>
        <v>Lonny Bartling</v>
      </c>
      <c r="E5541" t="s">
        <v>10764</v>
      </c>
      <c r="F5541" t="s">
        <v>12233</v>
      </c>
      <c r="G5541">
        <v>254.4</v>
      </c>
      <c r="H5541">
        <v>276.52</v>
      </c>
      <c r="I5541">
        <v>276.52999999999997</v>
      </c>
      <c r="J5541">
        <v>-0.01</v>
      </c>
    </row>
    <row r="5542" spans="1:10" x14ac:dyDescent="0.3">
      <c r="A5542" t="str">
        <f>HYPERLINK("https://us2.cloudbeds.com/connect/10074733072513#/reservations/31716324688033?display=MX6BK2NK5&amp;reservation_id=31716324688033", "MX6BK2NK5")</f>
        <v>MX6BK2NK5</v>
      </c>
      <c r="B5542" t="s">
        <v>10</v>
      </c>
      <c r="C5542" t="s">
        <v>42</v>
      </c>
      <c r="D5542" t="str">
        <f>HYPERLINK("https://us2.cloudbeds.com/connect/10074733072513#/reservations/31716324688033?display=Harlow%20Anderson&amp;reservation_id=31716324688033&amp;guest_id=31716324683947", "Harlow Anderson")</f>
        <v>Harlow Anderson</v>
      </c>
      <c r="E5542" t="s">
        <v>742</v>
      </c>
      <c r="F5542" t="s">
        <v>11504</v>
      </c>
      <c r="G5542">
        <v>170.1</v>
      </c>
      <c r="H5542">
        <v>184.89</v>
      </c>
      <c r="I5542">
        <v>184.9</v>
      </c>
      <c r="J5542">
        <v>-0.01</v>
      </c>
    </row>
    <row r="5543" spans="1:10" x14ac:dyDescent="0.3">
      <c r="A5543" t="str">
        <f>HYPERLINK("https://us2.cloudbeds.com/connect/10074733072513#/reservations/31718960754825?display=MX8CVT592&amp;reservation_id=31718960754825", "MX8CVT592")</f>
        <v>MX8CVT592</v>
      </c>
      <c r="B5543" t="s">
        <v>10</v>
      </c>
      <c r="C5543" t="s">
        <v>23</v>
      </c>
      <c r="D5543" t="str">
        <f>HYPERLINK("https://us2.cloudbeds.com/connect/10074733072513#/reservations/31718960754825?display=Mark%20Cpin&amp;reservation_id=31718960754825&amp;guest_id=31718960754820", "Mark Cpin")</f>
        <v>Mark Cpin</v>
      </c>
      <c r="E5543" t="s">
        <v>12304</v>
      </c>
      <c r="F5543" t="s">
        <v>12303</v>
      </c>
      <c r="G5543">
        <v>182.36</v>
      </c>
      <c r="H5543">
        <v>198.22</v>
      </c>
      <c r="I5543">
        <v>198.23</v>
      </c>
      <c r="J5543">
        <v>-0.01</v>
      </c>
    </row>
    <row r="5544" spans="1:10" x14ac:dyDescent="0.3">
      <c r="A5544" t="str">
        <f>HYPERLINK("https://us2.cloudbeds.com/connect/10074733072513#/reservations/31715125420177?display=MX5DVRAX0&amp;reservation_id=31715125420177", "MX5DVRAX0")</f>
        <v>MX5DVRAX0</v>
      </c>
      <c r="B5544" t="s">
        <v>10</v>
      </c>
      <c r="C5544" t="s">
        <v>23</v>
      </c>
      <c r="D5544" t="str">
        <f>HYPERLINK("https://us2.cloudbeds.com/connect/10074733072513#/reservations/31715125420177?display=Peggy%20Hunke&amp;reservation_id=31715125420177&amp;guest_id=31715125420172", "Peggy Hunke")</f>
        <v>Peggy Hunke</v>
      </c>
      <c r="E5544" t="s">
        <v>11839</v>
      </c>
      <c r="F5544" t="s">
        <v>12099</v>
      </c>
      <c r="G5544">
        <v>170.1</v>
      </c>
      <c r="H5544">
        <v>184.89</v>
      </c>
      <c r="I5544">
        <v>184.9</v>
      </c>
      <c r="J5544">
        <v>-0.01</v>
      </c>
    </row>
    <row r="5545" spans="1:10" x14ac:dyDescent="0.3">
      <c r="A5545" t="str">
        <f>HYPERLINK("https://us2.cloudbeds.com/connect/10074733072513#/reservations/31718913450115?display=MX8BZWRK0&amp;reservation_id=31718913450115", "MX8BZWRK0")</f>
        <v>MX8BZWRK0</v>
      </c>
      <c r="B5545" t="s">
        <v>10</v>
      </c>
      <c r="C5545" t="s">
        <v>121</v>
      </c>
      <c r="D5545" t="str">
        <f>HYPERLINK("https://us2.cloudbeds.com/connect/10074733072513#/reservations/31718913450115?display=Volodymyr%20Pushkarenko&amp;reservation_id=31718913450115&amp;guest_id=31718913446024", "Volodymyr Pushkarenko")</f>
        <v>Volodymyr Pushkarenko</v>
      </c>
      <c r="E5545" t="s">
        <v>12305</v>
      </c>
      <c r="F5545" t="s">
        <v>10527</v>
      </c>
      <c r="G5545">
        <v>134.1</v>
      </c>
      <c r="H5545">
        <v>145.76</v>
      </c>
      <c r="I5545">
        <v>145.77000000000001</v>
      </c>
      <c r="J5545">
        <v>-0.01</v>
      </c>
    </row>
    <row r="5546" spans="1:10" x14ac:dyDescent="0.3">
      <c r="A5546" t="str">
        <f>HYPERLINK("https://us2.cloudbeds.com/connect/10074733072513#/reservations/31717146022067?display=MX6WJYX0A&amp;reservation_id=31717146022067", "MX6WJYX0A")</f>
        <v>MX6WJYX0A</v>
      </c>
      <c r="B5546" t="s">
        <v>10</v>
      </c>
      <c r="C5546" t="s">
        <v>23</v>
      </c>
      <c r="D5546" t="str">
        <f>HYPERLINK("https://us2.cloudbeds.com/connect/10074733072513#/reservations/31717146022067?display=Vincentia%20Flakoll&amp;reservation_id=31717146022067&amp;guest_id=31717134844114", "Vincentia Flakoll")</f>
        <v>Vincentia Flakoll</v>
      </c>
      <c r="E5546" t="s">
        <v>12306</v>
      </c>
      <c r="F5546" t="s">
        <v>12261</v>
      </c>
      <c r="G5546">
        <v>134.1</v>
      </c>
      <c r="H5546">
        <v>145.76</v>
      </c>
      <c r="I5546">
        <v>145.77000000000001</v>
      </c>
      <c r="J5546">
        <v>-0.01</v>
      </c>
    </row>
    <row r="5547" spans="1:10" x14ac:dyDescent="0.3">
      <c r="A5547" t="str">
        <f>HYPERLINK("https://us2.cloudbeds.com/connect/10074733072513#/reservations/31716238299331?display=MX69D7R4Z&amp;reservation_id=31716238299331", "MX69D7R4Z")</f>
        <v>MX69D7R4Z</v>
      </c>
      <c r="B5547" t="s">
        <v>10</v>
      </c>
      <c r="C5547" t="s">
        <v>23</v>
      </c>
      <c r="D5547" t="str">
        <f>HYPERLINK("https://us2.cloudbeds.com/connect/10074733072513#/reservations/31716238299331?display=Brandon%20Elness&amp;reservation_id=31716238299331&amp;guest_id=31716238295295", "Brandon Elness")</f>
        <v>Brandon Elness</v>
      </c>
      <c r="E5547" t="s">
        <v>12308</v>
      </c>
      <c r="F5547" t="s">
        <v>12099</v>
      </c>
      <c r="G5547">
        <v>163.18</v>
      </c>
      <c r="H5547">
        <v>177.37</v>
      </c>
      <c r="I5547">
        <v>177.38</v>
      </c>
      <c r="J5547">
        <v>-0.01</v>
      </c>
    </row>
    <row r="5548" spans="1:10" x14ac:dyDescent="0.3">
      <c r="A5548" t="str">
        <f>HYPERLINK("https://us2.cloudbeds.com/connect/10074733072513#/reservations/31718910066921?display=MX8BM4MTW&amp;reservation_id=31718910066921", "MX8BM4MTW")</f>
        <v>MX8BM4MTW</v>
      </c>
      <c r="B5548" t="s">
        <v>10</v>
      </c>
      <c r="C5548" t="s">
        <v>121</v>
      </c>
      <c r="D5548" t="str">
        <f>HYPERLINK("https://us2.cloudbeds.com/connect/10074733072513#/reservations/31718910066921?display=Kotton%20Krull&amp;reservation_id=31718910066921&amp;guest_id=31718899618007", "Kotton Krull")</f>
        <v>Kotton Krull</v>
      </c>
      <c r="E5548" t="s">
        <v>12311</v>
      </c>
      <c r="F5548" t="s">
        <v>10527</v>
      </c>
      <c r="G5548">
        <v>134.1</v>
      </c>
      <c r="H5548">
        <v>145.76</v>
      </c>
      <c r="I5548">
        <v>145.77000000000001</v>
      </c>
      <c r="J5548">
        <v>-0.01</v>
      </c>
    </row>
    <row r="5549" spans="1:10" x14ac:dyDescent="0.3">
      <c r="A5549" t="str">
        <f>HYPERLINK("https://us2.cloudbeds.com/connect/10074733072513#/reservations/31718881427703?display=MX8AUWP8T&amp;reservation_id=31718881427703", "MX8AUWP8T")</f>
        <v>MX8AUWP8T</v>
      </c>
      <c r="B5549" t="s">
        <v>10</v>
      </c>
      <c r="C5549" t="s">
        <v>23</v>
      </c>
      <c r="D5549" t="str">
        <f>HYPERLINK("https://us2.cloudbeds.com/connect/10074733072513#/reservations/31718881427703?display=Jeff%20Kaslon&amp;reservation_id=31718881427703&amp;guest_id=31718881427699", "Jeff Kaslon")</f>
        <v>Jeff Kaslon</v>
      </c>
      <c r="E5549" t="s">
        <v>12319</v>
      </c>
      <c r="F5549" t="s">
        <v>12303</v>
      </c>
      <c r="G5549">
        <v>196.2</v>
      </c>
      <c r="H5549">
        <v>213.26</v>
      </c>
      <c r="I5549">
        <v>213.27</v>
      </c>
      <c r="J5549">
        <v>-0.01</v>
      </c>
    </row>
    <row r="5550" spans="1:10" x14ac:dyDescent="0.3">
      <c r="A5550" t="str">
        <f>HYPERLINK("https://us2.cloudbeds.com/connect/10074733072513#/reservations/31717188899001?display=MX70MQYPB&amp;reservation_id=31717188899001", "MX70MQYPB")</f>
        <v>MX70MQYPB</v>
      </c>
      <c r="B5550" t="s">
        <v>10</v>
      </c>
      <c r="C5550" t="s">
        <v>42</v>
      </c>
      <c r="D5550" t="str">
        <f>HYPERLINK("https://us2.cloudbeds.com/connect/10074733072513#/reservations/31717188899001?display=Kellee%20Matthews&amp;reservation_id=31717188899001&amp;guest_id=31717178929309", "Kellee Matthews")</f>
        <v>Kellee Matthews</v>
      </c>
      <c r="E5550" t="s">
        <v>12321</v>
      </c>
      <c r="F5550" t="s">
        <v>12261</v>
      </c>
      <c r="G5550">
        <v>196.2</v>
      </c>
      <c r="H5550">
        <v>213.26</v>
      </c>
      <c r="I5550">
        <v>213.27</v>
      </c>
      <c r="J5550">
        <v>-0.01</v>
      </c>
    </row>
    <row r="5551" spans="1:10" x14ac:dyDescent="0.3">
      <c r="A5551" t="str">
        <f>HYPERLINK("https://us2.cloudbeds.com/connect/10074733072513#/reservations/31715469922501?display=MX5MPAJVC&amp;reservation_id=31715469922501", "MX5MPAJVC")</f>
        <v>MX5MPAJVC</v>
      </c>
      <c r="B5551" t="s">
        <v>10</v>
      </c>
      <c r="C5551" t="s">
        <v>23</v>
      </c>
      <c r="D5551" t="str">
        <f>HYPERLINK("https://us2.cloudbeds.com/connect/10074733072513#/reservations/31715469922501?display=Guangsheng%20Hua&amp;reservation_id=31715469922501&amp;guest_id=31715457888434", "Guangsheng Hua")</f>
        <v>Guangsheng Hua</v>
      </c>
      <c r="E5551" t="s">
        <v>12328</v>
      </c>
      <c r="F5551" t="s">
        <v>12274</v>
      </c>
      <c r="G5551">
        <v>196.2</v>
      </c>
      <c r="H5551">
        <v>213.26</v>
      </c>
      <c r="I5551">
        <v>213.27</v>
      </c>
      <c r="J5551">
        <v>-0.01</v>
      </c>
    </row>
    <row r="5552" spans="1:10" x14ac:dyDescent="0.3">
      <c r="A5552" t="str">
        <f>HYPERLINK("https://us2.cloudbeds.com/connect/10074733072513#/reservations/31714551869660?display=MX4WA6E7A&amp;reservation_id=31714551869660", "MX4WA6E7A")</f>
        <v>MX4WA6E7A</v>
      </c>
      <c r="B5552" t="s">
        <v>10</v>
      </c>
      <c r="C5552" t="s">
        <v>23</v>
      </c>
      <c r="D5552" t="str">
        <f>HYPERLINK("https://us2.cloudbeds.com/connect/10074733072513#/reservations/31714551869660?display=Guangsheng%20Hua&amp;reservation_id=31714551869660&amp;guest_id=31714542215352", "Guangsheng Hua")</f>
        <v>Guangsheng Hua</v>
      </c>
      <c r="E5552" t="s">
        <v>12328</v>
      </c>
      <c r="F5552" t="s">
        <v>12274</v>
      </c>
      <c r="G5552">
        <v>196.2</v>
      </c>
      <c r="H5552">
        <v>213.26</v>
      </c>
      <c r="I5552">
        <v>213.27</v>
      </c>
      <c r="J5552">
        <v>-0.01</v>
      </c>
    </row>
    <row r="5553" spans="1:10" x14ac:dyDescent="0.3">
      <c r="A5553" t="str">
        <f>HYPERLINK("https://us2.cloudbeds.com/connect/10074733072513#/reservations/31715914330353?display=MX6141TVV&amp;reservation_id=31715914330353", "MX6141TVV")</f>
        <v>MX6141TVV</v>
      </c>
      <c r="B5553" t="s">
        <v>10</v>
      </c>
      <c r="C5553" t="s">
        <v>42</v>
      </c>
      <c r="D5553" t="str">
        <f>HYPERLINK("https://us2.cloudbeds.com/connect/10074733072513#/reservations/31715914330353?display=Suzanna%20Risse&amp;reservation_id=31715914330353&amp;guest_id=31715904995477", "Suzanna Risse")</f>
        <v>Suzanna Risse</v>
      </c>
      <c r="E5553" t="s">
        <v>12337</v>
      </c>
      <c r="F5553" t="s">
        <v>11027</v>
      </c>
      <c r="G5553">
        <v>716.4</v>
      </c>
      <c r="H5553">
        <v>778.72</v>
      </c>
      <c r="I5553">
        <v>778.73</v>
      </c>
      <c r="J5553">
        <v>-0.01</v>
      </c>
    </row>
    <row r="5554" spans="1:10" x14ac:dyDescent="0.3">
      <c r="A5554" t="str">
        <f>HYPERLINK("https://us2.cloudbeds.com/connect/10074733072513#/reservations/31718925111491?display=MX8C1RAV1&amp;reservation_id=31718925111491", "MX8C1RAV1")</f>
        <v>MX8C1RAV1</v>
      </c>
      <c r="B5554" t="s">
        <v>10</v>
      </c>
      <c r="C5554" t="s">
        <v>42</v>
      </c>
      <c r="D5554" t="str">
        <f>HYPERLINK("https://us2.cloudbeds.com/connect/10074733072513#/reservations/31718925111491?display=Lynne%20Boland&amp;reservation_id=31718925111491&amp;guest_id=31718913228968", "Lynne Boland")</f>
        <v>Lynne Boland</v>
      </c>
      <c r="E5554" t="s">
        <v>12338</v>
      </c>
      <c r="F5554" t="s">
        <v>12303</v>
      </c>
      <c r="G5554">
        <v>223.2</v>
      </c>
      <c r="H5554">
        <v>242.61</v>
      </c>
      <c r="I5554">
        <v>242.62</v>
      </c>
      <c r="J5554">
        <v>-0.01</v>
      </c>
    </row>
    <row r="5555" spans="1:10" x14ac:dyDescent="0.3">
      <c r="A5555" t="str">
        <f>HYPERLINK("https://us2.cloudbeds.com/connect/10074733072513#/reservations/31717945000163?display=MX7K0C9HP&amp;reservation_id=31717945000163", "MX7K0C9HP")</f>
        <v>MX7K0C9HP</v>
      </c>
      <c r="B5555" t="s">
        <v>10</v>
      </c>
      <c r="C5555" t="s">
        <v>42</v>
      </c>
      <c r="D5555" t="str">
        <f>HYPERLINK("https://us2.cloudbeds.com/connect/10074733072513#/reservations/31717945000163?display=Halie%20Speiser&amp;reservation_id=31717945000163&amp;guest_id=31717945000161", "Halie Speiser")</f>
        <v>Halie Speiser</v>
      </c>
      <c r="E5555" t="s">
        <v>12343</v>
      </c>
      <c r="F5555" t="s">
        <v>12099</v>
      </c>
      <c r="G5555">
        <v>170.1</v>
      </c>
      <c r="H5555">
        <v>184.89</v>
      </c>
      <c r="I5555">
        <v>184.9</v>
      </c>
      <c r="J5555">
        <v>-0.01</v>
      </c>
    </row>
    <row r="5556" spans="1:10" x14ac:dyDescent="0.3">
      <c r="A5556" t="str">
        <f>HYPERLINK("https://us2.cloudbeds.com/connect/10074733072513#/reservations/31712986398974?display=MX3PA4TZM&amp;reservation_id=31712986398974", "MX3PA4TZM")</f>
        <v>MX3PA4TZM</v>
      </c>
      <c r="B5556" t="s">
        <v>10</v>
      </c>
      <c r="C5556" t="s">
        <v>42</v>
      </c>
      <c r="D5556" t="str">
        <f>HYPERLINK("https://us2.cloudbeds.com/connect/10074733072513#/reservations/31712986398974?display=Josh%20Byers&amp;reservation_id=31712986398974&amp;guest_id=31680733708433", "Josh Byers")</f>
        <v>Josh Byers</v>
      </c>
      <c r="E5556" t="s">
        <v>6642</v>
      </c>
      <c r="F5556" t="s">
        <v>12261</v>
      </c>
      <c r="G5556">
        <v>103.2</v>
      </c>
      <c r="H5556">
        <v>112.17</v>
      </c>
      <c r="I5556">
        <v>112.18</v>
      </c>
      <c r="J5556">
        <v>-0.01</v>
      </c>
    </row>
    <row r="5557" spans="1:10" x14ac:dyDescent="0.3">
      <c r="A5557" t="str">
        <f>HYPERLINK("https://us2.cloudbeds.com/connect/10074733072513#/reservations/31715517018361?display=MX5NW13RY&amp;reservation_id=31715517018361", "MX5NW13RY")</f>
        <v>MX5NW13RY</v>
      </c>
      <c r="B5557" t="s">
        <v>10</v>
      </c>
      <c r="C5557" t="s">
        <v>42</v>
      </c>
      <c r="D5557" t="str">
        <f>HYPERLINK("https://us2.cloudbeds.com/connect/10074733072513#/reservations/31715517018361?display=Zeb%20Thatcher&amp;reservation_id=31715517018361&amp;guest_id=17963398729967", "Zeb Thatcher")</f>
        <v>Zeb Thatcher</v>
      </c>
      <c r="E5557" t="s">
        <v>12344</v>
      </c>
      <c r="F5557" t="s">
        <v>12345</v>
      </c>
      <c r="G5557">
        <v>196.2</v>
      </c>
      <c r="H5557">
        <v>213.26</v>
      </c>
      <c r="I5557">
        <v>213.27</v>
      </c>
      <c r="J5557">
        <v>-0.01</v>
      </c>
    </row>
    <row r="5558" spans="1:10" x14ac:dyDescent="0.3">
      <c r="A5558" t="str">
        <f>HYPERLINK("https://us2.cloudbeds.com/connect/10074733072513#/reservations/31715473887409?display=MX5MSYUR3&amp;reservation_id=31715473887409", "MX5MSYUR3")</f>
        <v>MX5MSYUR3</v>
      </c>
      <c r="B5558" t="s">
        <v>10</v>
      </c>
      <c r="C5558" t="s">
        <v>23</v>
      </c>
      <c r="D5558" t="str">
        <f>HYPERLINK("https://us2.cloudbeds.com/connect/10074733072513#/reservations/31715473887409?display=Zach%20Wilker&amp;reservation_id=31715473887409&amp;guest_id=31715461042332", "Zach Wilker")</f>
        <v>Zach Wilker</v>
      </c>
      <c r="E5558" t="s">
        <v>12348</v>
      </c>
      <c r="F5558" t="s">
        <v>12345</v>
      </c>
      <c r="G5558">
        <v>253.86</v>
      </c>
      <c r="H5558">
        <v>275.94</v>
      </c>
      <c r="I5558">
        <v>275.95</v>
      </c>
      <c r="J5558">
        <v>-0.01</v>
      </c>
    </row>
    <row r="5559" spans="1:10" x14ac:dyDescent="0.3">
      <c r="A5559" t="str">
        <f>HYPERLINK("https://us2.cloudbeds.com/connect/10074733072513#/reservations/31718949540056?display=MX8CME31J&amp;reservation_id=31718949540056", "MX8CME31J")</f>
        <v>MX8CME31J</v>
      </c>
      <c r="B5559" t="s">
        <v>10</v>
      </c>
      <c r="C5559" t="s">
        <v>42</v>
      </c>
      <c r="D5559" t="str">
        <f>HYPERLINK("https://us2.cloudbeds.com/connect/10074733072513#/reservations/31718949540056?display=Fredrick%20Hignite&amp;reservation_id=31718949540056&amp;guest_id=31718949540051", "Fredrick Hignite")</f>
        <v>Fredrick Hignite</v>
      </c>
      <c r="E5559" t="s">
        <v>12349</v>
      </c>
      <c r="F5559" t="s">
        <v>12303</v>
      </c>
      <c r="G5559">
        <v>134.1</v>
      </c>
      <c r="H5559">
        <v>145.76</v>
      </c>
      <c r="I5559">
        <v>145.77000000000001</v>
      </c>
      <c r="J5559">
        <v>-0.01</v>
      </c>
    </row>
    <row r="5560" spans="1:10" x14ac:dyDescent="0.3">
      <c r="A5560" t="str">
        <f>HYPERLINK("https://us2.cloudbeds.com/connect/10074733072513#/reservations/31715365183731?display=MX5K30338&amp;reservation_id=31715365183731", "MX5K30338")</f>
        <v>MX5K30338</v>
      </c>
      <c r="B5560" t="s">
        <v>10</v>
      </c>
      <c r="C5560" t="s">
        <v>23</v>
      </c>
      <c r="D5560" t="str">
        <f>HYPERLINK("https://us2.cloudbeds.com/connect/10074733072513#/reservations/31715365183731?display=Kole%20Ferge&amp;reservation_id=31715365183731&amp;guest_id=31715365183727", "Kole Ferge")</f>
        <v>Kole Ferge</v>
      </c>
      <c r="E5560" t="s">
        <v>12350</v>
      </c>
      <c r="F5560" t="s">
        <v>12345</v>
      </c>
      <c r="G5560">
        <v>253.86</v>
      </c>
      <c r="H5560">
        <v>275.94</v>
      </c>
      <c r="I5560">
        <v>275.95</v>
      </c>
      <c r="J5560">
        <v>-0.01</v>
      </c>
    </row>
    <row r="5561" spans="1:10" x14ac:dyDescent="0.3">
      <c r="A5561" t="str">
        <f>HYPERLINK("https://us2.cloudbeds.com/connect/10074733072513#/reservations/31715607883973?display=MX5Q9YJB1&amp;reservation_id=31715607883973", "MX5Q9YJB1")</f>
        <v>MX5Q9YJB1</v>
      </c>
      <c r="B5561" t="s">
        <v>10</v>
      </c>
      <c r="C5561" t="s">
        <v>23</v>
      </c>
      <c r="D5561" t="str">
        <f>HYPERLINK("https://us2.cloudbeds.com/connect/10074733072513#/reservations/31715607883973?display=Nathaniel%20Glassford&amp;reservation_id=31715607883973&amp;guest_id=31715607879892", "Nathaniel Glassford")</f>
        <v>Nathaniel Glassford</v>
      </c>
      <c r="E5561" t="s">
        <v>12354</v>
      </c>
      <c r="F5561" t="s">
        <v>12345</v>
      </c>
      <c r="G5561">
        <v>253.86</v>
      </c>
      <c r="H5561">
        <v>275.94</v>
      </c>
      <c r="I5561">
        <v>275.95</v>
      </c>
      <c r="J5561">
        <v>-0.01</v>
      </c>
    </row>
    <row r="5562" spans="1:10" x14ac:dyDescent="0.3">
      <c r="A5562" t="str">
        <f>HYPERLINK("https://us2.cloudbeds.com/connect/10074733072513#/reservations/31716317737169?display=MX6BE79QV&amp;reservation_id=31716317737169", "MX6BE79QV")</f>
        <v>MX6BE79QV</v>
      </c>
      <c r="B5562" t="s">
        <v>10</v>
      </c>
      <c r="C5562" t="s">
        <v>23</v>
      </c>
      <c r="D5562" t="str">
        <f>HYPERLINK("https://us2.cloudbeds.com/connect/10074733072513#/reservations/31716317737169?display=Luann%20Snyder&amp;reservation_id=31716317737169&amp;guest_id=31716317733084", "Luann Snyder")</f>
        <v>Luann Snyder</v>
      </c>
      <c r="E5562" t="s">
        <v>12356</v>
      </c>
      <c r="F5562" t="s">
        <v>12099</v>
      </c>
      <c r="G5562">
        <v>170.1</v>
      </c>
      <c r="H5562">
        <v>184.89</v>
      </c>
      <c r="I5562">
        <v>184.9</v>
      </c>
      <c r="J5562">
        <v>-0.01</v>
      </c>
    </row>
    <row r="5563" spans="1:10" x14ac:dyDescent="0.3">
      <c r="A5563" t="str">
        <f>HYPERLINK("https://us2.cloudbeds.com/connect/10074733072513#/reservations/31715240931558?display=MX5GU7JJT&amp;reservation_id=31715240931558", "MX5GU7JJT")</f>
        <v>MX5GU7JJT</v>
      </c>
      <c r="B5563" t="s">
        <v>10</v>
      </c>
      <c r="C5563" t="s">
        <v>42</v>
      </c>
      <c r="D5563" t="str">
        <f>HYPERLINK("https://us2.cloudbeds.com/connect/10074733072513#/reservations/31715240931558?display=Cheryl%20Hammerstrom&amp;reservation_id=31715240931558&amp;guest_id=31715240931553", "Cheryl Hammerstrom")</f>
        <v>Cheryl Hammerstrom</v>
      </c>
      <c r="E5563" t="s">
        <v>12357</v>
      </c>
      <c r="F5563" t="s">
        <v>11919</v>
      </c>
      <c r="G5563">
        <v>134.1</v>
      </c>
      <c r="H5563">
        <v>145.76</v>
      </c>
      <c r="I5563">
        <v>145.77000000000001</v>
      </c>
      <c r="J5563">
        <v>-0.01</v>
      </c>
    </row>
    <row r="5564" spans="1:10" x14ac:dyDescent="0.3">
      <c r="A5564" t="str">
        <f>HYPERLINK("https://us2.cloudbeds.com/connect/10074733072513#/reservations/31716160237731?display=MX67DDY7N&amp;reservation_id=31716160237731", "MX67DDY7N")</f>
        <v>MX67DDY7N</v>
      </c>
      <c r="B5564" t="s">
        <v>10</v>
      </c>
      <c r="C5564" t="s">
        <v>23</v>
      </c>
      <c r="D5564" t="str">
        <f>HYPERLINK("https://us2.cloudbeds.com/connect/10074733072513#/reservations/31716160237731?display=Joseph%20Belliveau&amp;reservation_id=31716160237731&amp;guest_id=31716160237726", "Joseph Belliveau")</f>
        <v>Joseph Belliveau</v>
      </c>
      <c r="E5564" t="s">
        <v>12370</v>
      </c>
      <c r="F5564" t="s">
        <v>12371</v>
      </c>
      <c r="G5564">
        <v>540.4</v>
      </c>
      <c r="H5564">
        <v>587.4</v>
      </c>
      <c r="I5564">
        <v>587.41</v>
      </c>
      <c r="J5564">
        <v>-0.01</v>
      </c>
    </row>
    <row r="5565" spans="1:10" x14ac:dyDescent="0.3">
      <c r="A5565" t="str">
        <f>HYPERLINK("https://us2.cloudbeds.com/connect/10074733072513#/reservations/31715808264399?display=MX5VDKFD5&amp;reservation_id=31715808264399", "MX5VDKFD5")</f>
        <v>MX5VDKFD5</v>
      </c>
      <c r="B5565" t="s">
        <v>10</v>
      </c>
      <c r="C5565" t="s">
        <v>23</v>
      </c>
      <c r="D5565" t="str">
        <f>HYPERLINK("https://us2.cloudbeds.com/connect/10074733072513#/reservations/31715808264399?display=Amy%20Hellerich&amp;reservation_id=31715808264399&amp;guest_id=31715808264393", "Amy Hellerich")</f>
        <v>Amy Hellerich</v>
      </c>
      <c r="E5565" t="s">
        <v>12375</v>
      </c>
      <c r="F5565" t="s">
        <v>11699</v>
      </c>
      <c r="G5565">
        <v>170.1</v>
      </c>
      <c r="H5565">
        <v>184.89</v>
      </c>
      <c r="I5565">
        <v>184.9</v>
      </c>
      <c r="J5565">
        <v>-0.01</v>
      </c>
    </row>
    <row r="5566" spans="1:10" x14ac:dyDescent="0.3">
      <c r="A5566" t="str">
        <f>HYPERLINK("https://us2.cloudbeds.com/connect/10074733072513#/reservations/31717499257052?display=MX78KGRCP&amp;reservation_id=31717499257052", "MX78KGRCP")</f>
        <v>MX78KGRCP</v>
      </c>
      <c r="B5566" t="s">
        <v>10</v>
      </c>
      <c r="C5566" t="s">
        <v>23</v>
      </c>
      <c r="D5566" t="str">
        <f>HYPERLINK("https://us2.cloudbeds.com/connect/10074733072513#/reservations/31717499257052?display=Suzanne%20Steffen&amp;reservation_id=31717499257052&amp;guest_id=31715839348928", "Suzanne Steffen")</f>
        <v>Suzanne Steffen</v>
      </c>
      <c r="E5566" t="s">
        <v>11693</v>
      </c>
      <c r="F5566" t="s">
        <v>11281</v>
      </c>
      <c r="G5566">
        <v>170.1</v>
      </c>
      <c r="H5566">
        <v>184.89</v>
      </c>
      <c r="I5566">
        <v>184.9</v>
      </c>
      <c r="J5566">
        <v>-0.01</v>
      </c>
    </row>
    <row r="5567" spans="1:10" x14ac:dyDescent="0.3">
      <c r="A5567" t="str">
        <f>HYPERLINK("https://us2.cloudbeds.com/connect/10074733072513#/reservations/31711364923527?display=MX2GSSVJ2&amp;reservation_id=31711364923527", "MX2GSSVJ2")</f>
        <v>MX2GSSVJ2</v>
      </c>
      <c r="B5567" t="s">
        <v>10</v>
      </c>
      <c r="C5567" t="s">
        <v>42</v>
      </c>
      <c r="D5567" t="str">
        <f>HYPERLINK("https://us2.cloudbeds.com/connect/10074733072513#/reservations/31711364923527?display=Rella%20Botha&amp;reservation_id=31711364923527&amp;guest_id=31688357724357", "Rella Botha")</f>
        <v>Rella Botha</v>
      </c>
      <c r="E5567" t="s">
        <v>3748</v>
      </c>
      <c r="F5567" t="s">
        <v>11699</v>
      </c>
      <c r="G5567">
        <v>170.1</v>
      </c>
      <c r="H5567">
        <v>184.89</v>
      </c>
      <c r="I5567">
        <v>184.9</v>
      </c>
      <c r="J5567">
        <v>-0.01</v>
      </c>
    </row>
    <row r="5568" spans="1:10" x14ac:dyDescent="0.3">
      <c r="A5568" t="str">
        <f>HYPERLINK("https://us2.cloudbeds.com/connect/10074733072513#/reservations/31715838480599?display=MX5W6394J&amp;reservation_id=31715838480599", "MX5W6394J")</f>
        <v>MX5W6394J</v>
      </c>
      <c r="B5568" t="s">
        <v>10</v>
      </c>
      <c r="C5568" t="s">
        <v>23</v>
      </c>
      <c r="D5568" t="str">
        <f>HYPERLINK("https://us2.cloudbeds.com/connect/10074733072513#/reservations/31715838480599?display=Daniel%20Bahn&amp;reservation_id=31715838480599&amp;guest_id=31715838480596", "Daniel Bahn")</f>
        <v>Daniel Bahn</v>
      </c>
      <c r="E5568" t="s">
        <v>12387</v>
      </c>
      <c r="F5568" t="s">
        <v>11699</v>
      </c>
      <c r="G5568">
        <v>170.1</v>
      </c>
      <c r="H5568">
        <v>184.89</v>
      </c>
      <c r="I5568">
        <v>184.9</v>
      </c>
      <c r="J5568">
        <v>-0.01</v>
      </c>
    </row>
    <row r="5569" spans="1:10" x14ac:dyDescent="0.3">
      <c r="A5569" t="str">
        <f>HYPERLINK("https://us2.cloudbeds.com/connect/10074733072513#/reservations/31715832008834?display=MX5W0Y69G&amp;reservation_id=31715832008834", "MX5W0Y69G")</f>
        <v>MX5W0Y69G</v>
      </c>
      <c r="B5569" t="s">
        <v>10</v>
      </c>
      <c r="C5569" t="s">
        <v>23</v>
      </c>
      <c r="D5569" t="str">
        <f>HYPERLINK("https://us2.cloudbeds.com/connect/10074733072513#/reservations/31715832008834?display=Daniel%20Bahn&amp;reservation_id=31715832008834&amp;guest_id=31715824898275", "Daniel Bahn")</f>
        <v>Daniel Bahn</v>
      </c>
      <c r="E5569" t="s">
        <v>12389</v>
      </c>
      <c r="F5569" t="s">
        <v>11699</v>
      </c>
      <c r="G5569">
        <v>170.1</v>
      </c>
      <c r="H5569">
        <v>184.89</v>
      </c>
      <c r="I5569">
        <v>184.9</v>
      </c>
      <c r="J5569">
        <v>-0.01</v>
      </c>
    </row>
    <row r="5570" spans="1:10" x14ac:dyDescent="0.3">
      <c r="A5570" t="str">
        <f>HYPERLINK("https://us2.cloudbeds.com/connect/10074733072513#/reservations/31711311454426?display=MX2FGQ3A9&amp;reservation_id=31711311454426", "MX2FGQ3A9")</f>
        <v>MX2FGQ3A9</v>
      </c>
      <c r="B5570" t="s">
        <v>10</v>
      </c>
      <c r="C5570" t="s">
        <v>23</v>
      </c>
      <c r="D5570" t="str">
        <f>HYPERLINK("https://us2.cloudbeds.com/connect/10074733072513#/reservations/31711311454426?display=Barb%20Buche&amp;reservation_id=31711311454426&amp;guest_id=31711311454422", "Barb Buche")</f>
        <v>Barb Buche</v>
      </c>
      <c r="E5570" t="s">
        <v>12399</v>
      </c>
      <c r="F5570" t="s">
        <v>11699</v>
      </c>
      <c r="G5570">
        <v>170.1</v>
      </c>
      <c r="H5570">
        <v>184.89</v>
      </c>
      <c r="I5570">
        <v>184.9</v>
      </c>
      <c r="J5570">
        <v>-0.01</v>
      </c>
    </row>
    <row r="5571" spans="1:10" x14ac:dyDescent="0.3">
      <c r="A5571" t="str">
        <f>HYPERLINK("https://us2.cloudbeds.com/connect/10074733072513#/reservations/31716006707417?display=MX63FVECV&amp;reservation_id=31716006707417", "MX63FVECV")</f>
        <v>MX63FVECV</v>
      </c>
      <c r="B5571" t="s">
        <v>10</v>
      </c>
      <c r="C5571" t="s">
        <v>23</v>
      </c>
      <c r="D5571" t="str">
        <f>HYPERLINK("https://us2.cloudbeds.com/connect/10074733072513#/reservations/31716006707417?display=Cade%20Hines&amp;reservation_id=31716006707417&amp;guest_id=31716006703322", "Cade Hines")</f>
        <v>Cade Hines</v>
      </c>
      <c r="E5571" t="s">
        <v>12403</v>
      </c>
      <c r="F5571" t="s">
        <v>12109</v>
      </c>
      <c r="G5571">
        <v>154.24</v>
      </c>
      <c r="H5571">
        <v>167.65</v>
      </c>
      <c r="I5571">
        <v>167.66</v>
      </c>
      <c r="J5571">
        <v>-0.01</v>
      </c>
    </row>
    <row r="5572" spans="1:10" x14ac:dyDescent="0.3">
      <c r="A5572" t="str">
        <f>HYPERLINK("https://us2.cloudbeds.com/connect/10074733072513#/reservations/31713656479969?display=MX49E5TFC&amp;reservation_id=31713656479969", "MX49E5TFC")</f>
        <v>MX49E5TFC</v>
      </c>
      <c r="B5572" t="s">
        <v>10</v>
      </c>
      <c r="C5572" t="s">
        <v>121</v>
      </c>
      <c r="D5572" t="str">
        <f>HYPERLINK("https://us2.cloudbeds.com/connect/10074733072513#/reservations/31713656479969?display=Morgan%20Turner&amp;reservation_id=31713656479969&amp;guest_id=31713656475885", "Morgan Turner")</f>
        <v>Morgan Turner</v>
      </c>
      <c r="E5572" t="s">
        <v>12404</v>
      </c>
      <c r="F5572" t="s">
        <v>11919</v>
      </c>
      <c r="G5572">
        <v>134.1</v>
      </c>
      <c r="H5572">
        <v>145.76</v>
      </c>
      <c r="I5572">
        <v>145.77000000000001</v>
      </c>
      <c r="J5572">
        <v>-0.01</v>
      </c>
    </row>
    <row r="5573" spans="1:10" x14ac:dyDescent="0.3">
      <c r="A5573" t="str">
        <f>HYPERLINK("https://us2.cloudbeds.com/connect/10074733072513#/reservations/31715521732757?display=MX5Z309V4&amp;reservation_id=31715521732757", "MX5Z309V4")</f>
        <v>MX5Z309V4</v>
      </c>
      <c r="B5573" t="s">
        <v>10</v>
      </c>
      <c r="C5573" t="s">
        <v>42</v>
      </c>
      <c r="D5573" t="str">
        <f>HYPERLINK("https://us2.cloudbeds.com/connect/10074733072513#/reservations/31715521732757?display=Laramie%20Goodsell&amp;reservation_id=31715521732757&amp;guest_id=31693908127938", "Laramie Goodsell")</f>
        <v>Laramie Goodsell</v>
      </c>
      <c r="E5573" t="s">
        <v>12410</v>
      </c>
      <c r="F5573" t="s">
        <v>12345</v>
      </c>
      <c r="G5573">
        <v>143.19999999999999</v>
      </c>
      <c r="H5573">
        <v>155.65</v>
      </c>
      <c r="I5573">
        <v>155.66</v>
      </c>
      <c r="J5573">
        <v>-0.01</v>
      </c>
    </row>
    <row r="5574" spans="1:10" x14ac:dyDescent="0.3">
      <c r="A5574" t="str">
        <f>HYPERLINK("https://us2.cloudbeds.com/connect/10074733072513#/reservations/31716533006490?display=MX6GUZFVN&amp;reservation_id=31716533006490", "MX6GUZFVN")</f>
        <v>MX6GUZFVN</v>
      </c>
      <c r="B5574" t="s">
        <v>10</v>
      </c>
      <c r="C5574" t="s">
        <v>42</v>
      </c>
      <c r="D5574" t="str">
        <f>HYPERLINK("https://us2.cloudbeds.com/connect/10074733072513#/reservations/31716533006490?display=Candice%20Hoke&amp;reservation_id=31716533006490&amp;guest_id=31716533006487", "Candice Hoke")</f>
        <v>Candice Hoke</v>
      </c>
      <c r="E5574" t="s">
        <v>9546</v>
      </c>
      <c r="F5574" t="s">
        <v>12407</v>
      </c>
      <c r="G5574">
        <v>170.1</v>
      </c>
      <c r="H5574">
        <v>184.89</v>
      </c>
      <c r="I5574">
        <v>184.9</v>
      </c>
      <c r="J5574">
        <v>-0.01</v>
      </c>
    </row>
    <row r="5575" spans="1:10" x14ac:dyDescent="0.3">
      <c r="A5575" t="str">
        <f>HYPERLINK("https://us2.cloudbeds.com/connect/10074733072513#/reservations/31716032565473?display=MX644ZW5D&amp;reservation_id=31716032565473", "MX644ZW5D")</f>
        <v>MX644ZW5D</v>
      </c>
      <c r="B5575" t="s">
        <v>10</v>
      </c>
      <c r="C5575" t="s">
        <v>23</v>
      </c>
      <c r="D5575" t="str">
        <f>HYPERLINK("https://us2.cloudbeds.com/connect/10074733072513#/reservations/31716032565473?display=Josh%20Finstad&amp;reservation_id=31716032565473&amp;guest_id=31716032565471", "Josh Finstad")</f>
        <v>Josh Finstad</v>
      </c>
      <c r="E5575" t="s">
        <v>12415</v>
      </c>
      <c r="F5575" t="s">
        <v>12352</v>
      </c>
      <c r="G5575">
        <v>500.4</v>
      </c>
      <c r="H5575">
        <v>543.91999999999996</v>
      </c>
      <c r="I5575">
        <v>543.92999999999995</v>
      </c>
      <c r="J5575">
        <v>-0.01</v>
      </c>
    </row>
    <row r="5576" spans="1:10" x14ac:dyDescent="0.3">
      <c r="A5576" t="str">
        <f>HYPERLINK("https://us2.cloudbeds.com/connect/10074733072513#/reservations/31715222388928?display=MX5GEJGMR&amp;reservation_id=31715222388928", "MX5GEJGMR")</f>
        <v>MX5GEJGMR</v>
      </c>
      <c r="B5576" t="s">
        <v>10</v>
      </c>
      <c r="C5576" t="s">
        <v>23</v>
      </c>
      <c r="D5576" t="str">
        <f>HYPERLINK("https://us2.cloudbeds.com/connect/10074733072513#/reservations/31715222388928?display=Paige%20Spielman&amp;reservation_id=31715222388928&amp;guest_id=31715222384863", "Paige Spielman")</f>
        <v>Paige Spielman</v>
      </c>
      <c r="E5576" t="s">
        <v>12419</v>
      </c>
      <c r="F5576" t="s">
        <v>12340</v>
      </c>
      <c r="G5576">
        <v>134.1</v>
      </c>
      <c r="H5576">
        <v>145.76</v>
      </c>
      <c r="I5576">
        <v>145.77000000000001</v>
      </c>
      <c r="J5576">
        <v>-0.01</v>
      </c>
    </row>
    <row r="5577" spans="1:10" x14ac:dyDescent="0.3">
      <c r="A5577" t="str">
        <f>HYPERLINK("https://us2.cloudbeds.com/connect/10074733072513#/reservations/31715096662147?display=MX5D7J2QX&amp;reservation_id=31715096662147", "MX5D7J2QX")</f>
        <v>MX5D7J2QX</v>
      </c>
      <c r="B5577" t="s">
        <v>10</v>
      </c>
      <c r="C5577" t="s">
        <v>23</v>
      </c>
      <c r="D5577" t="str">
        <f>HYPERLINK("https://us2.cloudbeds.com/connect/10074733072513#/reservations/31715096662147?display=Brian%20Scholl&amp;reservation_id=31715096662147&amp;guest_id=31715096658105", "Brian Scholl")</f>
        <v>Brian Scholl</v>
      </c>
      <c r="E5577" t="s">
        <v>12426</v>
      </c>
      <c r="F5577" t="s">
        <v>11699</v>
      </c>
      <c r="G5577">
        <v>170.1</v>
      </c>
      <c r="H5577">
        <v>184.89</v>
      </c>
      <c r="I5577">
        <v>184.9</v>
      </c>
      <c r="J5577">
        <v>-0.01</v>
      </c>
    </row>
    <row r="5578" spans="1:10" x14ac:dyDescent="0.3">
      <c r="A5578" t="str">
        <f>HYPERLINK("https://us2.cloudbeds.com/connect/10074733072513#/reservations/31702604284137?display=MHSZ0M8A5&amp;reservation_id=31702604284137", "MHSZ0M8A5")</f>
        <v>MHSZ0M8A5</v>
      </c>
      <c r="B5578" t="s">
        <v>10</v>
      </c>
      <c r="C5578" t="s">
        <v>23</v>
      </c>
      <c r="D5578" t="str">
        <f>HYPERLINK("https://us2.cloudbeds.com/connect/10074733072513#/reservations/31702604284137?display=Denice%20Degen&amp;reservation_id=31702604284137&amp;guest_id=31702594756754", "Denice Degen")</f>
        <v>Denice Degen</v>
      </c>
      <c r="E5578" t="s">
        <v>12433</v>
      </c>
      <c r="F5578" t="s">
        <v>12056</v>
      </c>
      <c r="G5578">
        <v>170.1</v>
      </c>
      <c r="H5578">
        <v>184.89</v>
      </c>
      <c r="I5578">
        <v>184.9</v>
      </c>
      <c r="J5578">
        <v>-0.01</v>
      </c>
    </row>
    <row r="5579" spans="1:10" x14ac:dyDescent="0.3">
      <c r="A5579" t="str">
        <f>HYPERLINK("https://us2.cloudbeds.com/connect/10074733072513#/reservations/31716259250305?display=MX69UTQSZ&amp;reservation_id=31716259250305", "MX69UTQSZ")</f>
        <v>MX69UTQSZ</v>
      </c>
      <c r="B5579" t="s">
        <v>10</v>
      </c>
      <c r="C5579" t="s">
        <v>42</v>
      </c>
      <c r="D5579" t="str">
        <f>HYPERLINK("https://us2.cloudbeds.com/connect/10074733072513#/reservations/31716259250305?display=Wendy%20Currier&amp;reservation_id=31716259250305&amp;guest_id=31716259246221", "Wendy Currier")</f>
        <v>Wendy Currier</v>
      </c>
      <c r="E5579" t="s">
        <v>12438</v>
      </c>
      <c r="F5579" t="s">
        <v>12017</v>
      </c>
      <c r="G5579">
        <v>170.1</v>
      </c>
      <c r="H5579">
        <v>184.89</v>
      </c>
      <c r="I5579">
        <v>184.9</v>
      </c>
      <c r="J5579">
        <v>-0.01</v>
      </c>
    </row>
    <row r="5580" spans="1:10" x14ac:dyDescent="0.3">
      <c r="A5580" t="str">
        <f>HYPERLINK("https://us2.cloudbeds.com/connect/10074733072513#/reservations/31716441170082?display=MX6EJA008&amp;reservation_id=31716441170082", "MX6EJA008")</f>
        <v>MX6EJA008</v>
      </c>
      <c r="B5580" t="s">
        <v>10</v>
      </c>
      <c r="C5580" t="s">
        <v>23</v>
      </c>
      <c r="D5580" t="str">
        <f>HYPERLINK("https://us2.cloudbeds.com/connect/10074733072513#/reservations/31716441170082?display=Karen%20Napier&amp;reservation_id=31716441170082&amp;guest_id=31716441170067", "Karen Napier")</f>
        <v>Karen Napier</v>
      </c>
      <c r="E5580" t="s">
        <v>12447</v>
      </c>
      <c r="F5580" t="s">
        <v>12407</v>
      </c>
      <c r="G5580">
        <v>170.1</v>
      </c>
      <c r="H5580">
        <v>184.89</v>
      </c>
      <c r="I5580">
        <v>184.9</v>
      </c>
      <c r="J5580">
        <v>-0.01</v>
      </c>
    </row>
    <row r="5581" spans="1:10" x14ac:dyDescent="0.3">
      <c r="A5581" t="str">
        <f>HYPERLINK("https://us2.cloudbeds.com/connect/10074733072513#/reservations/31716951269588?display=MX6RKE8V1&amp;reservation_id=31716951269588", "MX6RKE8V1")</f>
        <v>MX6RKE8V1</v>
      </c>
      <c r="B5581" t="s">
        <v>10</v>
      </c>
      <c r="C5581" t="s">
        <v>42</v>
      </c>
      <c r="D5581" t="str">
        <f>HYPERLINK("https://us2.cloudbeds.com/connect/10074733072513#/reservations/31716951269588?display=Robert%20Long&amp;reservation_id=31716951269588&amp;guest_id=31716951269586", "Robert Long")</f>
        <v>Robert Long</v>
      </c>
      <c r="E5581" t="s">
        <v>12449</v>
      </c>
      <c r="F5581" t="s">
        <v>12340</v>
      </c>
      <c r="G5581">
        <v>134.1</v>
      </c>
      <c r="H5581">
        <v>145.76</v>
      </c>
      <c r="I5581">
        <v>145.77000000000001</v>
      </c>
      <c r="J5581">
        <v>-0.01</v>
      </c>
    </row>
    <row r="5582" spans="1:10" x14ac:dyDescent="0.3">
      <c r="A5582" t="str">
        <f>HYPERLINK("https://us2.cloudbeds.com/connect/10074733072513#/reservations/31711385669856?display=MX2HDC8CN&amp;reservation_id=31711385669856", "MX2HDC8CN")</f>
        <v>MX2HDC8CN</v>
      </c>
      <c r="B5582" t="s">
        <v>10</v>
      </c>
      <c r="C5582" t="s">
        <v>23</v>
      </c>
      <c r="D5582" t="str">
        <f>HYPERLINK("https://us2.cloudbeds.com/connect/10074733072513#/reservations/31711385669856?display=Bre%20Andrews&amp;reservation_id=31711385669856&amp;guest_id=31711385669853", "Bre Andrews")</f>
        <v>Bre Andrews</v>
      </c>
      <c r="E5582" t="s">
        <v>12470</v>
      </c>
      <c r="F5582" t="s">
        <v>8603</v>
      </c>
      <c r="G5582">
        <v>376.2</v>
      </c>
      <c r="H5582">
        <v>408.92</v>
      </c>
      <c r="I5582">
        <v>408.93</v>
      </c>
      <c r="J5582">
        <v>-0.01</v>
      </c>
    </row>
    <row r="5583" spans="1:10" x14ac:dyDescent="0.3">
      <c r="A5583" t="str">
        <f>HYPERLINK("https://us2.cloudbeds.com/connect/10074733072513#/reservations/31714870845669?display=MX57F5DFW&amp;reservation_id=31714870845669", "MX57F5DFW")</f>
        <v>MX57F5DFW</v>
      </c>
      <c r="B5583" t="s">
        <v>10</v>
      </c>
      <c r="C5583" t="s">
        <v>23</v>
      </c>
      <c r="D5583" t="str">
        <f>HYPERLINK("https://us2.cloudbeds.com/connect/10074733072513#/reservations/31714870845669?display=Trisha%20Aldrich&amp;reservation_id=31714870845669&amp;guest_id=31714856956036", "Trisha Aldrich")</f>
        <v>Trisha Aldrich</v>
      </c>
      <c r="E5583" t="s">
        <v>12472</v>
      </c>
      <c r="F5583" t="s">
        <v>12276</v>
      </c>
      <c r="G5583">
        <v>89.38</v>
      </c>
      <c r="H5583">
        <v>97.15</v>
      </c>
      <c r="I5583">
        <v>97.16</v>
      </c>
      <c r="J5583">
        <v>-0.01</v>
      </c>
    </row>
    <row r="5584" spans="1:10" x14ac:dyDescent="0.3">
      <c r="A5584" t="str">
        <f>HYPERLINK("https://us2.cloudbeds.com/connect/10074733072513#/reservations/31715838484678?display=MX5W63CT6&amp;reservation_id=31715838484678", "MX5W63CT6")</f>
        <v>MX5W63CT6</v>
      </c>
      <c r="B5584" t="s">
        <v>10</v>
      </c>
      <c r="C5584" t="s">
        <v>23</v>
      </c>
      <c r="D5584" t="str">
        <f>HYPERLINK("https://us2.cloudbeds.com/connect/10074733072513#/reservations/31715838484678?display=Tina%20Schoenfelder&amp;reservation_id=31715838484678&amp;guest_id=31715838480597", "Tina Schoenfelder")</f>
        <v>Tina Schoenfelder</v>
      </c>
      <c r="E5584" t="s">
        <v>12475</v>
      </c>
      <c r="F5584" t="s">
        <v>12017</v>
      </c>
      <c r="G5584">
        <v>234.84</v>
      </c>
      <c r="H5584">
        <v>255.26</v>
      </c>
      <c r="I5584">
        <v>255.27</v>
      </c>
      <c r="J5584">
        <v>-0.01</v>
      </c>
    </row>
    <row r="5585" spans="1:10" x14ac:dyDescent="0.3">
      <c r="A5585" t="str">
        <f>HYPERLINK("https://us2.cloudbeds.com/connect/10074733072513#/reservations/31712786706598?display=MX3K6P5GH&amp;reservation_id=31712786706598", "MX3K6P5GH")</f>
        <v>MX3K6P5GH</v>
      </c>
      <c r="B5585" t="s">
        <v>10</v>
      </c>
      <c r="C5585" t="s">
        <v>23</v>
      </c>
      <c r="D5585" t="str">
        <f>HYPERLINK("https://us2.cloudbeds.com/connect/10074733072513#/reservations/31712786706598?display=Avraham%20Aharonee&amp;reservation_id=31712786706598&amp;guest_id=31712776581320", "Avraham Aharonee")</f>
        <v>Avraham Aharonee</v>
      </c>
      <c r="E5585" t="s">
        <v>12479</v>
      </c>
      <c r="F5585" t="s">
        <v>12137</v>
      </c>
      <c r="G5585">
        <v>170.1</v>
      </c>
      <c r="H5585">
        <v>184.89</v>
      </c>
      <c r="I5585">
        <v>184.9</v>
      </c>
      <c r="J5585">
        <v>-0.01</v>
      </c>
    </row>
    <row r="5586" spans="1:10" x14ac:dyDescent="0.3">
      <c r="A5586" t="str">
        <f>HYPERLINK("https://us2.cloudbeds.com/connect/10074733072513#/reservations/31713981399213?display=MX4HZ5882&amp;reservation_id=31713981399213", "MX4HZ5882")</f>
        <v>MX4HZ5882</v>
      </c>
      <c r="B5586" t="s">
        <v>10</v>
      </c>
      <c r="C5586" t="s">
        <v>23</v>
      </c>
      <c r="D5586" t="str">
        <f>HYPERLINK("https://us2.cloudbeds.com/connect/10074733072513#/reservations/31713981399213?display=Colin%20Metz&amp;reservation_id=31713981399213&amp;guest_id=31713971040469", "Colin Metz")</f>
        <v>Colin Metz</v>
      </c>
      <c r="E5586" t="s">
        <v>12490</v>
      </c>
      <c r="F5586" t="s">
        <v>12278</v>
      </c>
      <c r="G5586">
        <v>250.2</v>
      </c>
      <c r="H5586">
        <v>271.95999999999998</v>
      </c>
      <c r="I5586">
        <v>271.97000000000003</v>
      </c>
      <c r="J5586">
        <v>-0.01</v>
      </c>
    </row>
    <row r="5587" spans="1:10" x14ac:dyDescent="0.3">
      <c r="A5587" t="str">
        <f>HYPERLINK("https://us2.cloudbeds.com/connect/10074733072513#/reservations/31715782344896?display=MX5UC6QB1&amp;reservation_id=31715782344896", "MX5UC6QB1")</f>
        <v>MX5UC6QB1</v>
      </c>
      <c r="B5587" t="s">
        <v>10</v>
      </c>
      <c r="C5587" t="s">
        <v>23</v>
      </c>
      <c r="D5587" t="str">
        <f>HYPERLINK("https://us2.cloudbeds.com/connect/10074733072513#/reservations/31715782344896?display=Robert%20Dull&amp;reservation_id=31715782344896&amp;guest_id=31715767451874", "Robert Dull")</f>
        <v>Robert Dull</v>
      </c>
      <c r="E5587" t="s">
        <v>12493</v>
      </c>
      <c r="F5587" t="s">
        <v>10750</v>
      </c>
      <c r="G5587">
        <v>224.1</v>
      </c>
      <c r="H5587">
        <v>243.59</v>
      </c>
      <c r="I5587">
        <v>243.6</v>
      </c>
      <c r="J5587">
        <v>-0.01</v>
      </c>
    </row>
    <row r="5588" spans="1:10" x14ac:dyDescent="0.3">
      <c r="A5588" t="str">
        <f>HYPERLINK("https://us2.cloudbeds.com/connect/10074733072513#/reservations/31713998684376?display=MX4X5Z7ZT&amp;reservation_id=31713998684376", "MX4X5Z7ZT")</f>
        <v>MX4X5Z7ZT</v>
      </c>
      <c r="B5588" t="s">
        <v>10</v>
      </c>
      <c r="C5588" t="s">
        <v>23</v>
      </c>
      <c r="D5588" t="str">
        <f>HYPERLINK("https://us2.cloudbeds.com/connect/10074733072513#/reservations/31713998684376?display=Jian%20Liu&amp;reservation_id=31713998684376&amp;guest_id=31713998684373", "Jian Liu")</f>
        <v>Jian Liu</v>
      </c>
      <c r="E5588" t="s">
        <v>12513</v>
      </c>
      <c r="F5588" t="s">
        <v>9758</v>
      </c>
      <c r="G5588">
        <v>250.2</v>
      </c>
      <c r="H5588">
        <v>271.95999999999998</v>
      </c>
      <c r="I5588">
        <v>271.97000000000003</v>
      </c>
      <c r="J5588">
        <v>-0.01</v>
      </c>
    </row>
    <row r="5589" spans="1:10" x14ac:dyDescent="0.3">
      <c r="A5589" t="str">
        <f>HYPERLINK("https://us2.cloudbeds.com/connect/10074733072513#/reservations/31713822306438?display=MX4DM08HT&amp;reservation_id=31713822306438", "MX4DM08HT")</f>
        <v>MX4DM08HT</v>
      </c>
      <c r="B5589" t="s">
        <v>10</v>
      </c>
      <c r="C5589" t="s">
        <v>23</v>
      </c>
      <c r="D5589" t="str">
        <f>HYPERLINK("https://us2.cloudbeds.com/connect/10074733072513#/reservations/31713822306438?display=Jeanne%20Buechel&amp;reservation_id=31713822306438&amp;guest_id=31713814335711", "Jeanne Buechel")</f>
        <v>Jeanne Buechel</v>
      </c>
      <c r="E5589" t="s">
        <v>12518</v>
      </c>
      <c r="F5589" t="s">
        <v>12215</v>
      </c>
      <c r="G5589">
        <v>134.1</v>
      </c>
      <c r="H5589">
        <v>145.76</v>
      </c>
      <c r="I5589">
        <v>145.77000000000001</v>
      </c>
      <c r="J5589">
        <v>-0.01</v>
      </c>
    </row>
    <row r="5590" spans="1:10" x14ac:dyDescent="0.3">
      <c r="A5590" t="str">
        <f>HYPERLINK("https://us2.cloudbeds.com/connect/10074733072513#/reservations/31714385137866?display=MX4S1JSQN&amp;reservation_id=31714385137866", "MX4S1JSQN")</f>
        <v>MX4S1JSQN</v>
      </c>
      <c r="B5590" t="s">
        <v>10</v>
      </c>
      <c r="C5590" t="s">
        <v>23</v>
      </c>
      <c r="D5590" t="str">
        <f>HYPERLINK("https://us2.cloudbeds.com/connect/10074733072513#/reservations/31714385137866?display=Nancy%20Lisewski&amp;reservation_id=31714385137866&amp;guest_id=31714385137864", "Nancy Lisewski")</f>
        <v>Nancy Lisewski</v>
      </c>
      <c r="E5590" t="s">
        <v>12525</v>
      </c>
      <c r="F5590" t="s">
        <v>12371</v>
      </c>
      <c r="G5590">
        <v>134.1</v>
      </c>
      <c r="H5590">
        <v>145.76</v>
      </c>
      <c r="I5590">
        <v>145.77000000000001</v>
      </c>
      <c r="J5590">
        <v>-0.01</v>
      </c>
    </row>
    <row r="5591" spans="1:10" x14ac:dyDescent="0.3">
      <c r="A5591" t="str">
        <f>HYPERLINK("https://us2.cloudbeds.com/connect/10074733072513#/reservations/31716677582985?display=MX6KKYHZK&amp;reservation_id=31716677582985", "MX6KKYHZK")</f>
        <v>MX6KKYHZK</v>
      </c>
      <c r="B5591" t="s">
        <v>10</v>
      </c>
      <c r="C5591" t="s">
        <v>23</v>
      </c>
      <c r="D5591" t="str">
        <f>HYPERLINK("https://us2.cloudbeds.com/connect/10074733072513#/reservations/31716677582985?display=Jian%20Liu&amp;reservation_id=31716677582985&amp;guest_id=31716677582979", "Jian Liu")</f>
        <v>Jian Liu</v>
      </c>
      <c r="E5591" t="s">
        <v>12526</v>
      </c>
      <c r="F5591" t="s">
        <v>12467</v>
      </c>
      <c r="G5591">
        <v>134.1</v>
      </c>
      <c r="H5591">
        <v>145.76</v>
      </c>
      <c r="I5591">
        <v>145.77000000000001</v>
      </c>
      <c r="J5591">
        <v>-0.01</v>
      </c>
    </row>
    <row r="5592" spans="1:10" x14ac:dyDescent="0.3">
      <c r="A5592" t="str">
        <f>HYPERLINK("https://us2.cloudbeds.com/connect/10074733072513#/reservations/31714319315173?display=MX4QC38XY&amp;reservation_id=31714319315173", "MX4QC38XY")</f>
        <v>MX4QC38XY</v>
      </c>
      <c r="B5592" t="s">
        <v>10</v>
      </c>
      <c r="C5592" t="s">
        <v>23</v>
      </c>
      <c r="D5592" t="str">
        <f>HYPERLINK("https://us2.cloudbeds.com/connect/10074733072513#/reservations/31714319315173?display=Caitlyn%20George&amp;reservation_id=31714319315173&amp;guest_id=31714319315169", "Caitlyn George")</f>
        <v>Caitlyn George</v>
      </c>
      <c r="E5592" t="s">
        <v>12527</v>
      </c>
      <c r="F5592" t="s">
        <v>12528</v>
      </c>
      <c r="G5592">
        <v>273.54000000000002</v>
      </c>
      <c r="H5592">
        <v>297.33</v>
      </c>
      <c r="I5592">
        <v>297.33999999999997</v>
      </c>
      <c r="J5592">
        <v>-0.01</v>
      </c>
    </row>
    <row r="5593" spans="1:10" x14ac:dyDescent="0.3">
      <c r="A5593" t="str">
        <f>HYPERLINK("https://us2.cloudbeds.com/connect/10074733072513#/reservations/31716269293796?display=MX6A6C9HV&amp;reservation_id=31716269293796", "MX6A6C9HV")</f>
        <v>MX6A6C9HV</v>
      </c>
      <c r="B5593" t="s">
        <v>10</v>
      </c>
      <c r="C5593" t="s">
        <v>23</v>
      </c>
      <c r="D5593" t="str">
        <f>HYPERLINK("https://us2.cloudbeds.com/connect/10074733072513#/reservations/31716269293796?display=John%20Scarsella&amp;reservation_id=31716269293796&amp;guest_id=31716269293791", "John Scarsella")</f>
        <v>John Scarsella</v>
      </c>
      <c r="E5593" t="s">
        <v>12539</v>
      </c>
      <c r="F5593" t="s">
        <v>12278</v>
      </c>
      <c r="G5593">
        <v>250.2</v>
      </c>
      <c r="H5593">
        <v>271.95999999999998</v>
      </c>
      <c r="I5593">
        <v>271.97000000000003</v>
      </c>
      <c r="J5593">
        <v>-0.01</v>
      </c>
    </row>
    <row r="5594" spans="1:10" x14ac:dyDescent="0.3">
      <c r="A5594" t="str">
        <f>HYPERLINK("https://us2.cloudbeds.com/connect/10074733072513#/reservations/31711415070969?display=MX2X55CYH&amp;reservation_id=31711415070969", "MX2X55CYH")</f>
        <v>MX2X55CYH</v>
      </c>
      <c r="B5594" t="s">
        <v>10</v>
      </c>
      <c r="C5594" t="s">
        <v>23</v>
      </c>
      <c r="D5594" t="str">
        <f>HYPERLINK("https://us2.cloudbeds.com/connect/10074733072513#/reservations/31711415070969?display=Kirk%20Griffith&amp;reservation_id=31711415070969&amp;guest_id=31711415070964", "Kirk Griffith")</f>
        <v>Kirk Griffith</v>
      </c>
      <c r="E5594" t="s">
        <v>12545</v>
      </c>
      <c r="F5594" t="s">
        <v>12137</v>
      </c>
      <c r="G5594">
        <v>278.95999999999998</v>
      </c>
      <c r="H5594">
        <v>303.22000000000003</v>
      </c>
      <c r="I5594">
        <v>303.23</v>
      </c>
      <c r="J5594">
        <v>-0.01</v>
      </c>
    </row>
    <row r="5595" spans="1:10" x14ac:dyDescent="0.3">
      <c r="A5595" t="str">
        <f>HYPERLINK("https://us2.cloudbeds.com/connect/10074733072513#/reservations/31717469761744?display=MX77SY2KX&amp;reservation_id=31717469761744", "MX77SY2KX")</f>
        <v>MX77SY2KX</v>
      </c>
      <c r="B5595" t="s">
        <v>10</v>
      </c>
      <c r="C5595" t="s">
        <v>23</v>
      </c>
      <c r="D5595" t="str">
        <f>HYPERLINK("https://us2.cloudbeds.com/connect/10074733072513#/reservations/31717469761744?display=Jian%20Liu&amp;reservation_id=31717469761744&amp;guest_id=31717469757651", "Jian Liu")</f>
        <v>Jian Liu</v>
      </c>
      <c r="E5595" t="s">
        <v>12546</v>
      </c>
      <c r="F5595" t="s">
        <v>12371</v>
      </c>
      <c r="G5595">
        <v>134.1</v>
      </c>
      <c r="H5595">
        <v>145.76</v>
      </c>
      <c r="I5595">
        <v>145.77000000000001</v>
      </c>
      <c r="J5595">
        <v>-0.01</v>
      </c>
    </row>
    <row r="5596" spans="1:10" x14ac:dyDescent="0.3">
      <c r="A5596" t="str">
        <f>HYPERLINK("https://us2.cloudbeds.com/connect/10074733072513#/reservations/31715141599360?display=MX5ECFDP3&amp;reservation_id=31715141599360", "MX5ECFDP3")</f>
        <v>MX5ECFDP3</v>
      </c>
      <c r="B5596" t="s">
        <v>10</v>
      </c>
      <c r="C5596" t="s">
        <v>42</v>
      </c>
      <c r="D5596" t="str">
        <f>HYPERLINK("https://us2.cloudbeds.com/connect/10074733072513#/reservations/31715141599360?display=Norma%20Bertsch&amp;reservation_id=31715141599360&amp;guest_id=31715141595326", "Norma Bertsch")</f>
        <v>Norma Bertsch</v>
      </c>
      <c r="E5596" t="s">
        <v>12548</v>
      </c>
      <c r="F5596" t="s">
        <v>12371</v>
      </c>
      <c r="G5596">
        <v>134.1</v>
      </c>
      <c r="H5596">
        <v>145.76</v>
      </c>
      <c r="I5596">
        <v>145.77000000000001</v>
      </c>
      <c r="J5596">
        <v>-0.01</v>
      </c>
    </row>
    <row r="5597" spans="1:10" x14ac:dyDescent="0.3">
      <c r="A5597" t="str">
        <f>HYPERLINK("https://us2.cloudbeds.com/connect/10074733072513#/reservations/31702476492954?display=MHSKZU912&amp;reservation_id=31702476492954", "MHSKZU912")</f>
        <v>MHSKZU912</v>
      </c>
      <c r="B5597" t="s">
        <v>10</v>
      </c>
      <c r="C5597" t="s">
        <v>23</v>
      </c>
      <c r="D5597" t="str">
        <f>HYPERLINK("https://us2.cloudbeds.com/connect/10074733072513#/reservations/31702476492954?display=Rita%20Grabow&amp;reservation_id=31702476492954&amp;guest_id=31702458855628", "Rita Grabow")</f>
        <v>Rita Grabow</v>
      </c>
      <c r="E5597" t="s">
        <v>12549</v>
      </c>
      <c r="F5597" t="s">
        <v>12326</v>
      </c>
      <c r="G5597">
        <v>170.1</v>
      </c>
      <c r="H5597">
        <v>184.89</v>
      </c>
      <c r="I5597">
        <v>184.9</v>
      </c>
      <c r="J5597">
        <v>-0.01</v>
      </c>
    </row>
    <row r="5598" spans="1:10" x14ac:dyDescent="0.3">
      <c r="A5598" t="str">
        <f>HYPERLINK("https://us2.cloudbeds.com/connect/10074733072513#/reservations/31716088873173?display=MX65J7R1B&amp;reservation_id=31716088873173", "MX65J7R1B")</f>
        <v>MX65J7R1B</v>
      </c>
      <c r="B5598" t="s">
        <v>10</v>
      </c>
      <c r="C5598" t="s">
        <v>23</v>
      </c>
      <c r="D5598" t="str">
        <f>HYPERLINK("https://us2.cloudbeds.com/connect/10074733072513#/reservations/31716088873173?display=Hugo%20Otero&amp;reservation_id=31716088873173&amp;guest_id=31716088873167", "Hugo Otero")</f>
        <v>Hugo Otero</v>
      </c>
      <c r="E5598" t="s">
        <v>12550</v>
      </c>
      <c r="F5598" t="s">
        <v>12352</v>
      </c>
      <c r="G5598">
        <v>212.54</v>
      </c>
      <c r="H5598">
        <v>231.02</v>
      </c>
      <c r="I5598">
        <v>231.03</v>
      </c>
      <c r="J5598">
        <v>-0.01</v>
      </c>
    </row>
    <row r="5599" spans="1:10" x14ac:dyDescent="0.3">
      <c r="A5599" t="str">
        <f>HYPERLINK("https://us2.cloudbeds.com/connect/10074733072513#/reservations/31712797339779?display=MX3KFZ1M5&amp;reservation_id=31712797339779", "MX3KFZ1M5")</f>
        <v>MX3KFZ1M5</v>
      </c>
      <c r="B5599" t="s">
        <v>10</v>
      </c>
      <c r="C5599" t="s">
        <v>23</v>
      </c>
      <c r="D5599" t="str">
        <f>HYPERLINK("https://us2.cloudbeds.com/connect/10074733072513#/reservations/31712797339779?display=Ewa%20Haladyj&amp;reservation_id=31712797339779&amp;guest_id=31712797339776", "Ewa Haladyj")</f>
        <v>Ewa Haladyj</v>
      </c>
      <c r="E5599" t="s">
        <v>12552</v>
      </c>
      <c r="F5599" t="s">
        <v>12137</v>
      </c>
      <c r="G5599">
        <v>170.1</v>
      </c>
      <c r="H5599">
        <v>184.89</v>
      </c>
      <c r="I5599">
        <v>184.9</v>
      </c>
      <c r="J5599">
        <v>-0.01</v>
      </c>
    </row>
    <row r="5600" spans="1:10" x14ac:dyDescent="0.3">
      <c r="A5600" t="str">
        <f>HYPERLINK("https://us2.cloudbeds.com/connect/10074733072513#/reservations/31713842540755?display=MX4E62A60&amp;reservation_id=31713842540755", "MX4E62A60")</f>
        <v>MX4E62A60</v>
      </c>
      <c r="B5600" t="s">
        <v>10</v>
      </c>
      <c r="C5600" t="s">
        <v>23</v>
      </c>
      <c r="D5600" t="str">
        <f>HYPERLINK("https://us2.cloudbeds.com/connect/10074733072513#/reservations/31713842540755?display=Sabrina%20Schmitz&amp;reservation_id=31713842540755&amp;guest_id=31713842536664", "Sabrina Schmitz")</f>
        <v>Sabrina Schmitz</v>
      </c>
      <c r="E5600" t="s">
        <v>12554</v>
      </c>
      <c r="F5600" t="s">
        <v>12215</v>
      </c>
      <c r="G5600">
        <v>182.36</v>
      </c>
      <c r="H5600">
        <v>198.22</v>
      </c>
      <c r="I5600">
        <v>198.23</v>
      </c>
      <c r="J5600">
        <v>-0.01</v>
      </c>
    </row>
    <row r="5601" spans="1:10" x14ac:dyDescent="0.3">
      <c r="A5601" t="str">
        <f>HYPERLINK("https://us2.cloudbeds.com/connect/10074733072513#/reservations/31716105302213?display=MX6602WD1&amp;reservation_id=31716105302213", "MX6602WD1")</f>
        <v>MX6602WD1</v>
      </c>
      <c r="B5601" t="s">
        <v>10</v>
      </c>
      <c r="C5601" t="s">
        <v>23</v>
      </c>
      <c r="D5601" t="str">
        <f>HYPERLINK("https://us2.cloudbeds.com/connect/10074733072513#/reservations/31716105302213?display=Jason%20Heebink&amp;reservation_id=31716105302213&amp;guest_id=31716105302211", "Jason Heebink")</f>
        <v>Jason Heebink</v>
      </c>
      <c r="E5601" t="s">
        <v>12559</v>
      </c>
      <c r="F5601" t="s">
        <v>12352</v>
      </c>
      <c r="G5601">
        <v>212.54</v>
      </c>
      <c r="H5601">
        <v>231.02</v>
      </c>
      <c r="I5601">
        <v>231.03</v>
      </c>
      <c r="J5601">
        <v>-0.01</v>
      </c>
    </row>
    <row r="5602" spans="1:10" x14ac:dyDescent="0.3">
      <c r="A5602" t="str">
        <f>HYPERLINK("https://us2.cloudbeds.com/connect/10074733072513#/reservations/31712215634093?display=MX35K77M4&amp;reservation_id=31712215634093", "MX35K77M4")</f>
        <v>MX35K77M4</v>
      </c>
      <c r="B5602" t="s">
        <v>10</v>
      </c>
      <c r="C5602" t="s">
        <v>23</v>
      </c>
      <c r="D5602" t="str">
        <f>HYPERLINK("https://us2.cloudbeds.com/connect/10074733072513#/reservations/31712215634093?display=Nicholas%20Thompson&amp;reservation_id=31712215634093&amp;guest_id=31712204214471", "Nicholas Thompson")</f>
        <v>Nicholas Thompson</v>
      </c>
      <c r="E5602" t="s">
        <v>12565</v>
      </c>
      <c r="F5602" t="s">
        <v>12566</v>
      </c>
      <c r="G5602">
        <v>375.3</v>
      </c>
      <c r="H5602">
        <v>407.94</v>
      </c>
      <c r="I5602">
        <v>407.95</v>
      </c>
      <c r="J5602">
        <v>-0.01</v>
      </c>
    </row>
    <row r="5603" spans="1:10" x14ac:dyDescent="0.3">
      <c r="A5603" t="str">
        <f>HYPERLINK("https://us2.cloudbeds.com/connect/10074733072513#/reservations/31715607879894?display=MX5Q9YFJE&amp;reservation_id=31715607879894", "MX5Q9YFJE")</f>
        <v>MX5Q9YFJE</v>
      </c>
      <c r="B5603" t="s">
        <v>10</v>
      </c>
      <c r="C5603" t="s">
        <v>23</v>
      </c>
      <c r="D5603" t="str">
        <f>HYPERLINK("https://us2.cloudbeds.com/connect/10074733072513#/reservations/31715607879894?display=Tena%20Harris&amp;reservation_id=31715607879894&amp;guest_id=31715607879889", "Tena Harris")</f>
        <v>Tena Harris</v>
      </c>
      <c r="E5603" t="s">
        <v>12569</v>
      </c>
      <c r="F5603" t="s">
        <v>11904</v>
      </c>
      <c r="G5603">
        <v>333.6</v>
      </c>
      <c r="H5603">
        <v>362.61</v>
      </c>
      <c r="I5603">
        <v>362.62</v>
      </c>
      <c r="J5603">
        <v>-0.01</v>
      </c>
    </row>
    <row r="5604" spans="1:10" x14ac:dyDescent="0.3">
      <c r="A5604" t="str">
        <f>HYPERLINK("https://us2.cloudbeds.com/connect/10074733072513#/reservations/31714397036781?display=MX4SBKW8T&amp;reservation_id=31714397036781", "MX4SBKW8T")</f>
        <v>MX4SBKW8T</v>
      </c>
      <c r="B5604" t="s">
        <v>10</v>
      </c>
      <c r="C5604" t="s">
        <v>23</v>
      </c>
      <c r="D5604" t="str">
        <f>HYPERLINK("https://us2.cloudbeds.com/connect/10074733072513#/reservations/31714397036781?display=Grogweh%20York&amp;reservation_id=31714397036781&amp;guest_id=31714385141959", "Grogweh York")</f>
        <v>Grogweh York</v>
      </c>
      <c r="E5604" t="s">
        <v>12571</v>
      </c>
      <c r="F5604" t="s">
        <v>12371</v>
      </c>
      <c r="G5604">
        <v>122.18</v>
      </c>
      <c r="H5604">
        <v>132.80000000000001</v>
      </c>
      <c r="I5604">
        <v>132.81</v>
      </c>
      <c r="J5604">
        <v>-0.01</v>
      </c>
    </row>
    <row r="5605" spans="1:10" x14ac:dyDescent="0.3">
      <c r="A5605" t="str">
        <f>HYPERLINK("https://us2.cloudbeds.com/connect/10074733072513#/reservations/31711616950441?display=MX2NACW89&amp;reservation_id=31711616950441", "MX2NACW89")</f>
        <v>MX2NACW89</v>
      </c>
      <c r="B5605" t="s">
        <v>10</v>
      </c>
      <c r="C5605" t="s">
        <v>23</v>
      </c>
      <c r="D5605" t="str">
        <f>HYPERLINK("https://us2.cloudbeds.com/connect/10074733072513#/reservations/31711616950441?display=Eduardo%20Velazquez&amp;reservation_id=31711616950441&amp;guest_id=31711599550670", "Eduardo Velazquez")</f>
        <v>Eduardo Velazquez</v>
      </c>
      <c r="E5605" t="s">
        <v>12574</v>
      </c>
      <c r="F5605" t="s">
        <v>11998</v>
      </c>
      <c r="G5605">
        <v>170.1</v>
      </c>
      <c r="H5605">
        <v>184.89</v>
      </c>
      <c r="I5605">
        <v>184.9</v>
      </c>
      <c r="J5605">
        <v>-0.01</v>
      </c>
    </row>
    <row r="5606" spans="1:10" x14ac:dyDescent="0.3">
      <c r="A5606" t="str">
        <f>HYPERLINK("https://us2.cloudbeds.com/connect/10074733072513#/reservations/31717337759909?display=MX74GAUQV&amp;reservation_id=31717337759909", "MX74GAUQV")</f>
        <v>MX74GAUQV</v>
      </c>
      <c r="B5606" t="s">
        <v>10</v>
      </c>
      <c r="C5606" t="s">
        <v>23</v>
      </c>
      <c r="D5606" t="str">
        <f>HYPERLINK("https://us2.cloudbeds.com/connect/10074733072513#/reservations/31717337759909?display=Rachel%20Horton&amp;reservation_id=31717337759909&amp;guest_id=31717337759907", "Rachel Horton")</f>
        <v>Rachel Horton</v>
      </c>
      <c r="E5606" t="s">
        <v>12584</v>
      </c>
      <c r="F5606" t="s">
        <v>12407</v>
      </c>
      <c r="G5606">
        <v>170.1</v>
      </c>
      <c r="H5606">
        <v>184.89</v>
      </c>
      <c r="I5606">
        <v>184.9</v>
      </c>
      <c r="J5606">
        <v>-0.01</v>
      </c>
    </row>
    <row r="5607" spans="1:10" x14ac:dyDescent="0.3">
      <c r="A5607" t="str">
        <f>HYPERLINK("https://us2.cloudbeds.com/connect/10074733072513#/reservations/31715397980295?display=MX5KUYNAH&amp;reservation_id=31715397980295", "MX5KUYNAH")</f>
        <v>MX5KUYNAH</v>
      </c>
      <c r="B5607" t="s">
        <v>10</v>
      </c>
      <c r="C5607" t="s">
        <v>23</v>
      </c>
      <c r="D5607" t="str">
        <f>HYPERLINK("https://us2.cloudbeds.com/connect/10074733072513#/reservations/31715397980295?display=Wesley%20Stark&amp;reservation_id=31715397980295&amp;guest_id=31715397976201", "Wesley Stark")</f>
        <v>Wesley Stark</v>
      </c>
      <c r="E5607" t="s">
        <v>12589</v>
      </c>
      <c r="F5607" t="s">
        <v>11694</v>
      </c>
      <c r="G5607">
        <v>170.1</v>
      </c>
      <c r="H5607">
        <v>184.89</v>
      </c>
      <c r="I5607">
        <v>184.9</v>
      </c>
      <c r="J5607">
        <v>-0.01</v>
      </c>
    </row>
    <row r="5608" spans="1:10" x14ac:dyDescent="0.3">
      <c r="A5608" t="str">
        <f>HYPERLINK("https://us2.cloudbeds.com/connect/10074733072513#/reservations/31715876024461?display=MX604ZWMC&amp;reservation_id=31715876024461", "MX604ZWMC")</f>
        <v>MX604ZWMC</v>
      </c>
      <c r="B5608" t="s">
        <v>10</v>
      </c>
      <c r="C5608" t="s">
        <v>121</v>
      </c>
      <c r="D5608" t="str">
        <f>HYPERLINK("https://us2.cloudbeds.com/connect/10074733072513#/reservations/31715876024461?display=Eric%20Nordby&amp;reservation_id=31715876024461&amp;guest_id=31715876024456", "Eric Nordby")</f>
        <v>Eric Nordby</v>
      </c>
      <c r="E5608" t="s">
        <v>12592</v>
      </c>
      <c r="F5608" t="s">
        <v>12407</v>
      </c>
      <c r="G5608">
        <v>170.1</v>
      </c>
      <c r="H5608">
        <v>184.89</v>
      </c>
      <c r="I5608">
        <v>184.9</v>
      </c>
      <c r="J5608">
        <v>-0.01</v>
      </c>
    </row>
    <row r="5609" spans="1:10" x14ac:dyDescent="0.3">
      <c r="A5609" t="str">
        <f>HYPERLINK("https://us2.cloudbeds.com/connect/10074733072513#/reservations/31715609542856?display=MX5QB1ZY7&amp;reservation_id=31715609542856", "MX5QB1ZY7")</f>
        <v>MX5QB1ZY7</v>
      </c>
      <c r="B5609" t="s">
        <v>10</v>
      </c>
      <c r="C5609" t="s">
        <v>42</v>
      </c>
      <c r="D5609" t="str">
        <f>HYPERLINK("https://us2.cloudbeds.com/connect/10074733072513#/reservations/31715609542856?display=Marc%20Henline&amp;reservation_id=31715609542856&amp;guest_id=31715600445600", "Marc Henline")</f>
        <v>Marc Henline</v>
      </c>
      <c r="E5609" t="s">
        <v>12598</v>
      </c>
      <c r="F5609" t="s">
        <v>11281</v>
      </c>
      <c r="G5609">
        <v>167.2</v>
      </c>
      <c r="H5609">
        <v>181.74</v>
      </c>
      <c r="I5609">
        <v>181.75</v>
      </c>
      <c r="J5609">
        <v>-0.01</v>
      </c>
    </row>
    <row r="5610" spans="1:10" x14ac:dyDescent="0.3">
      <c r="A5610" t="str">
        <f>HYPERLINK("https://us2.cloudbeds.com/connect/10074733072513#/reservations/31713433809031?display=MX43ZDZK6&amp;reservation_id=31713433809031", "MX43ZDZK6")</f>
        <v>MX43ZDZK6</v>
      </c>
      <c r="B5610" t="s">
        <v>10</v>
      </c>
      <c r="C5610" t="s">
        <v>23</v>
      </c>
      <c r="D5610" t="str">
        <f>HYPERLINK("https://us2.cloudbeds.com/connect/10074733072513#/reservations/31713433809031?display=Lisa%20Richards&amp;reservation_id=31713433809031&amp;guest_id=31713424789744", "Lisa Richards")</f>
        <v>Lisa Richards</v>
      </c>
      <c r="E5610" t="s">
        <v>12602</v>
      </c>
      <c r="F5610" t="s">
        <v>11533</v>
      </c>
      <c r="G5610">
        <v>430.2</v>
      </c>
      <c r="H5610">
        <v>467.62</v>
      </c>
      <c r="I5610">
        <v>467.63</v>
      </c>
      <c r="J5610">
        <v>-0.01</v>
      </c>
    </row>
    <row r="5611" spans="1:10" x14ac:dyDescent="0.3">
      <c r="A5611" t="str">
        <f>HYPERLINK("https://us2.cloudbeds.com/connect/10074733072513#/reservations/31711672099007?display=MX2ZNTXNV&amp;reservation_id=31711672099007", "MX2ZNTXNV")</f>
        <v>MX2ZNTXNV</v>
      </c>
      <c r="B5611" t="s">
        <v>10</v>
      </c>
      <c r="C5611" t="s">
        <v>23</v>
      </c>
      <c r="D5611" t="str">
        <f>HYPERLINK("https://us2.cloudbeds.com/connect/10074733072513#/reservations/31711672099007?display=Guilherme%20Augusto%20Dias&amp;reservation_id=31711672099007&amp;guest_id=31711672098948", "Guilherme Augusto Dias")</f>
        <v>Guilherme Augusto Dias</v>
      </c>
      <c r="E5611" t="s">
        <v>12603</v>
      </c>
      <c r="F5611" t="s">
        <v>11998</v>
      </c>
      <c r="G5611">
        <v>465.3</v>
      </c>
      <c r="H5611">
        <v>505.77</v>
      </c>
      <c r="I5611">
        <v>505.78</v>
      </c>
      <c r="J5611">
        <v>-0.01</v>
      </c>
    </row>
    <row r="5612" spans="1:10" x14ac:dyDescent="0.3">
      <c r="A5612" t="str">
        <f>HYPERLINK("https://us2.cloudbeds.com/connect/10074733072513#/reservations/31715767746776?display=MX5UCF04D&amp;reservation_id=31715767746776", "MX5UCF04D")</f>
        <v>MX5UCF04D</v>
      </c>
      <c r="B5612" t="s">
        <v>10</v>
      </c>
      <c r="C5612" t="s">
        <v>23</v>
      </c>
      <c r="D5612" t="str">
        <f>HYPERLINK("https://us2.cloudbeds.com/connect/10074733072513#/reservations/31715767746776?display=Mel%20Brault&amp;reservation_id=31715767746776&amp;guest_id=31715767742683", "Mel Brault")</f>
        <v>Mel Brault</v>
      </c>
      <c r="E5612" t="s">
        <v>12547</v>
      </c>
      <c r="F5612" t="s">
        <v>12195</v>
      </c>
      <c r="G5612">
        <v>273.54000000000002</v>
      </c>
      <c r="H5612">
        <v>297.33</v>
      </c>
      <c r="I5612">
        <v>297.33999999999997</v>
      </c>
      <c r="J5612">
        <v>-0.01</v>
      </c>
    </row>
    <row r="5613" spans="1:10" x14ac:dyDescent="0.3">
      <c r="A5613" t="str">
        <f>HYPERLINK("https://us2.cloudbeds.com/connect/10074733072513#/reservations/31715787653269?display=MX5UT7UZF&amp;reservation_id=31715787653269", "MX5UT7UZF")</f>
        <v>MX5UT7UZF</v>
      </c>
      <c r="B5613" t="s">
        <v>10</v>
      </c>
      <c r="C5613" t="s">
        <v>23</v>
      </c>
      <c r="D5613" t="str">
        <f>HYPERLINK("https://us2.cloudbeds.com/connect/10074733072513#/reservations/31715787653269?display=Mel%20Brault&amp;reservation_id=31715787653269&amp;guest_id=31715787653258", "Mel Brault")</f>
        <v>Mel Brault</v>
      </c>
      <c r="E5613" t="s">
        <v>12547</v>
      </c>
      <c r="F5613" t="s">
        <v>12195</v>
      </c>
      <c r="G5613">
        <v>273.54000000000002</v>
      </c>
      <c r="H5613">
        <v>297.33</v>
      </c>
      <c r="I5613">
        <v>297.33999999999997</v>
      </c>
      <c r="J5613">
        <v>-0.01</v>
      </c>
    </row>
    <row r="5614" spans="1:10" x14ac:dyDescent="0.3">
      <c r="A5614" t="str">
        <f>HYPERLINK("https://us2.cloudbeds.com/connect/10074733072513#/reservations/31713229877411?display=MX3VHF1J4&amp;reservation_id=31713229877411", "MX3VHF1J4")</f>
        <v>MX3VHF1J4</v>
      </c>
      <c r="B5614" t="s">
        <v>10</v>
      </c>
      <c r="C5614" t="s">
        <v>23</v>
      </c>
      <c r="D5614" t="str">
        <f>HYPERLINK("https://us2.cloudbeds.com/connect/10074733072513#/reservations/31713229877411?display=Aizen%20Padilla&amp;reservation_id=31713229877411&amp;guest_id=31713229877409", "Aizen Padilla")</f>
        <v>Aizen Padilla</v>
      </c>
      <c r="E5614" t="s">
        <v>12610</v>
      </c>
      <c r="F5614" t="s">
        <v>12195</v>
      </c>
      <c r="G5614">
        <v>273.54000000000002</v>
      </c>
      <c r="H5614">
        <v>297.33</v>
      </c>
      <c r="I5614">
        <v>297.33999999999997</v>
      </c>
      <c r="J5614">
        <v>-0.01</v>
      </c>
    </row>
    <row r="5615" spans="1:10" x14ac:dyDescent="0.3">
      <c r="A5615" t="str">
        <f>HYPERLINK("https://us2.cloudbeds.com/connect/10074733072513#/reservations/31713215463558?display=MX3V59VNN&amp;reservation_id=31713215463558", "MX3V59VNN")</f>
        <v>MX3V59VNN</v>
      </c>
      <c r="B5615" t="s">
        <v>10</v>
      </c>
      <c r="C5615" t="s">
        <v>23</v>
      </c>
      <c r="D5615" t="str">
        <f>HYPERLINK("https://us2.cloudbeds.com/connect/10074733072513#/reservations/31713215463558?display=Mel%20Brault&amp;reservation_id=31713215463558&amp;guest_id=31713215463556", "Mel Brault")</f>
        <v>Mel Brault</v>
      </c>
      <c r="E5615" t="s">
        <v>12547</v>
      </c>
      <c r="F5615" t="s">
        <v>12195</v>
      </c>
      <c r="G5615">
        <v>273.54000000000002</v>
      </c>
      <c r="H5615">
        <v>297.33</v>
      </c>
      <c r="I5615">
        <v>297.33999999999997</v>
      </c>
      <c r="J5615">
        <v>-0.01</v>
      </c>
    </row>
    <row r="5616" spans="1:10" x14ac:dyDescent="0.3">
      <c r="A5616" t="str">
        <f>HYPERLINK("https://us2.cloudbeds.com/connect/10074733072513#/reservations/31714452488418?display=MX4TPD01H&amp;reservation_id=31714452488418", "MX4TPD01H")</f>
        <v>MX4TPD01H</v>
      </c>
      <c r="B5616" t="s">
        <v>10</v>
      </c>
      <c r="C5616" t="s">
        <v>42</v>
      </c>
      <c r="D5616" t="str">
        <f>HYPERLINK("https://us2.cloudbeds.com/connect/10074733072513#/reservations/31714452488418?display=Jessica%20Geiger&amp;reservation_id=31714452488418&amp;guest_id=31714452484320", "Jessica Geiger")</f>
        <v>Jessica Geiger</v>
      </c>
      <c r="E5616" t="s">
        <v>12616</v>
      </c>
      <c r="F5616" t="s">
        <v>10449</v>
      </c>
      <c r="G5616">
        <v>170.1</v>
      </c>
      <c r="H5616">
        <v>184.89</v>
      </c>
      <c r="I5616">
        <v>184.9</v>
      </c>
      <c r="J5616">
        <v>-0.01</v>
      </c>
    </row>
    <row r="5617" spans="1:10" x14ac:dyDescent="0.3">
      <c r="A5617" t="str">
        <f>HYPERLINK("https://us2.cloudbeds.com/connect/10074733072513#/reservations/31716214587569?display=MX68Q808G&amp;reservation_id=31716214587569", "MX68Q808G")</f>
        <v>MX68Q808G</v>
      </c>
      <c r="B5617" t="s">
        <v>10</v>
      </c>
      <c r="C5617" t="s">
        <v>23</v>
      </c>
      <c r="D5617" t="str">
        <f>HYPERLINK("https://us2.cloudbeds.com/connect/10074733072513#/reservations/31716214587569?display=Tom%20Schirber&amp;reservation_id=31716214587569&amp;guest_id=31716214587549", "Tom Schirber")</f>
        <v>Tom Schirber</v>
      </c>
      <c r="E5617" t="s">
        <v>12618</v>
      </c>
      <c r="F5617" t="s">
        <v>12566</v>
      </c>
      <c r="G5617">
        <v>250.2</v>
      </c>
      <c r="H5617">
        <v>271.95999999999998</v>
      </c>
      <c r="I5617">
        <v>271.97000000000003</v>
      </c>
      <c r="J5617">
        <v>-0.01</v>
      </c>
    </row>
    <row r="5618" spans="1:10" x14ac:dyDescent="0.3">
      <c r="A5618" t="str">
        <f>HYPERLINK("https://us2.cloudbeds.com/connect/10074733072513#/reservations/31716222750860?display=MX69045CV&amp;reservation_id=31716222750860", "MX69045CV")</f>
        <v>MX69045CV</v>
      </c>
      <c r="B5618" t="s">
        <v>10</v>
      </c>
      <c r="C5618" t="s">
        <v>23</v>
      </c>
      <c r="D5618" t="str">
        <f>HYPERLINK("https://us2.cloudbeds.com/connect/10074733072513#/reservations/31716222750860?display=Tom%20Schirber&amp;reservation_id=31716222750860&amp;guest_id=31716222750855", "Tom Schirber")</f>
        <v>Tom Schirber</v>
      </c>
      <c r="E5618" t="s">
        <v>12620</v>
      </c>
      <c r="F5618" t="s">
        <v>12566</v>
      </c>
      <c r="G5618">
        <v>250.2</v>
      </c>
      <c r="H5618">
        <v>271.95999999999998</v>
      </c>
      <c r="I5618">
        <v>271.97000000000003</v>
      </c>
      <c r="J5618">
        <v>-0.01</v>
      </c>
    </row>
    <row r="5619" spans="1:10" x14ac:dyDescent="0.3">
      <c r="A5619" t="str">
        <f>HYPERLINK("https://us2.cloudbeds.com/connect/10074733072513#/reservations/31716243296403?display=MX69HESR5&amp;reservation_id=31716243296403", "MX69HESR5")</f>
        <v>MX69HESR5</v>
      </c>
      <c r="B5619" t="s">
        <v>10</v>
      </c>
      <c r="C5619" t="s">
        <v>23</v>
      </c>
      <c r="D5619" t="str">
        <f>HYPERLINK("https://us2.cloudbeds.com/connect/10074733072513#/reservations/31716243296403?display=Tom%20Schirber&amp;reservation_id=31716243296403&amp;guest_id=31716233335016", "Tom Schirber")</f>
        <v>Tom Schirber</v>
      </c>
      <c r="E5619" t="s">
        <v>12621</v>
      </c>
      <c r="F5619" t="s">
        <v>12566</v>
      </c>
      <c r="G5619">
        <v>250.2</v>
      </c>
      <c r="H5619">
        <v>271.95999999999998</v>
      </c>
      <c r="I5619">
        <v>271.97000000000003</v>
      </c>
      <c r="J5619">
        <v>-0.01</v>
      </c>
    </row>
    <row r="5620" spans="1:10" x14ac:dyDescent="0.3">
      <c r="A5620" t="str">
        <f>HYPERLINK("https://us2.cloudbeds.com/connect/10074733072513#/reservations/31714215846036?display=MX4NNS2J8&amp;reservation_id=31714215846036", "MX4NNS2J8")</f>
        <v>MX4NNS2J8</v>
      </c>
      <c r="B5620" t="s">
        <v>10</v>
      </c>
      <c r="C5620" t="s">
        <v>23</v>
      </c>
      <c r="D5620" t="str">
        <f>HYPERLINK("https://us2.cloudbeds.com/connect/10074733072513#/reservations/31714215846036?display=Daniel%20Baumgartner&amp;reservation_id=31714215846036&amp;guest_id=31714215846031", "Daniel Baumgartner")</f>
        <v>Daniel Baumgartner</v>
      </c>
      <c r="E5620" t="s">
        <v>12629</v>
      </c>
      <c r="F5620" t="s">
        <v>12215</v>
      </c>
      <c r="G5620">
        <v>134.1</v>
      </c>
      <c r="H5620">
        <v>145.76</v>
      </c>
      <c r="I5620">
        <v>145.77000000000001</v>
      </c>
      <c r="J5620">
        <v>-0.01</v>
      </c>
    </row>
    <row r="5621" spans="1:10" x14ac:dyDescent="0.3">
      <c r="A5621" t="str">
        <f>HYPERLINK("https://us2.cloudbeds.com/connect/10074733072513#/reservations/31714191519968?display=MX4N3B5JM&amp;reservation_id=31714191519968", "MX4N3B5JM")</f>
        <v>MX4N3B5JM</v>
      </c>
      <c r="B5621" t="s">
        <v>10</v>
      </c>
      <c r="C5621" t="s">
        <v>23</v>
      </c>
      <c r="D5621" t="str">
        <f>HYPERLINK("https://us2.cloudbeds.com/connect/10074733072513#/reservations/31714191519968?display=Tiffany%20Hurlburt&amp;reservation_id=31714191519968&amp;guest_id=31714191519959", "Tiffany Hurlburt")</f>
        <v>Tiffany Hurlburt</v>
      </c>
      <c r="E5621" t="s">
        <v>12633</v>
      </c>
      <c r="F5621" t="s">
        <v>12078</v>
      </c>
      <c r="G5621">
        <v>274.2</v>
      </c>
      <c r="H5621">
        <v>298.05</v>
      </c>
      <c r="I5621">
        <v>298.06</v>
      </c>
      <c r="J5621">
        <v>-0.01</v>
      </c>
    </row>
    <row r="5622" spans="1:10" x14ac:dyDescent="0.3">
      <c r="A5622" t="str">
        <f>HYPERLINK("https://us2.cloudbeds.com/connect/10074733072513#/reservations/31713353748634?display=MX41MTV8X&amp;reservation_id=31713353748634", "MX41MTV8X")</f>
        <v>MX41MTV8X</v>
      </c>
      <c r="B5622" t="s">
        <v>10</v>
      </c>
      <c r="C5622" t="s">
        <v>42</v>
      </c>
      <c r="D5622" t="str">
        <f>HYPERLINK("https://us2.cloudbeds.com/connect/10074733072513#/reservations/31713353748634?display=Duane%20Andrew%20Fischbach&amp;reservation_id=31713353748634&amp;guest_id=31713343533305", "Duane Andrew Fischbach")</f>
        <v>Duane Andrew Fischbach</v>
      </c>
      <c r="E5622" t="s">
        <v>12636</v>
      </c>
      <c r="F5622" t="s">
        <v>12195</v>
      </c>
      <c r="G5622">
        <v>134.1</v>
      </c>
      <c r="H5622">
        <v>145.76</v>
      </c>
      <c r="I5622">
        <v>145.77000000000001</v>
      </c>
      <c r="J5622">
        <v>-0.01</v>
      </c>
    </row>
    <row r="5623" spans="1:10" x14ac:dyDescent="0.3">
      <c r="A5623" t="str">
        <f>HYPERLINK("https://us2.cloudbeds.com/connect/10074733072513#/reservations/31713311871213?display=MX40KJYAQ&amp;reservation_id=31713311871213", "MX40KJYAQ")</f>
        <v>MX40KJYAQ</v>
      </c>
      <c r="B5623" t="s">
        <v>10</v>
      </c>
      <c r="C5623" t="s">
        <v>23</v>
      </c>
      <c r="D5623" t="str">
        <f>HYPERLINK("https://us2.cloudbeds.com/connect/10074733072513#/reservations/31713311871213?display=Angel%20Escobedo&amp;reservation_id=31713311871213&amp;guest_id=31713311871207", "Angel Escobedo")</f>
        <v>Angel Escobedo</v>
      </c>
      <c r="E5623" t="s">
        <v>12638</v>
      </c>
      <c r="F5623" t="s">
        <v>10449</v>
      </c>
      <c r="G5623">
        <v>170.1</v>
      </c>
      <c r="H5623">
        <v>184.89</v>
      </c>
      <c r="I5623">
        <v>184.9</v>
      </c>
      <c r="J5623">
        <v>-0.01</v>
      </c>
    </row>
    <row r="5624" spans="1:10" x14ac:dyDescent="0.3">
      <c r="A5624" t="str">
        <f>HYPERLINK("https://us2.cloudbeds.com/connect/10074733072513#/reservations/31713935094007?display=MX4GX3ZD0&amp;reservation_id=31713935094007", "MX4GX3ZD0")</f>
        <v>MX4GX3ZD0</v>
      </c>
      <c r="B5624" t="s">
        <v>10</v>
      </c>
      <c r="C5624" t="s">
        <v>23</v>
      </c>
      <c r="D5624" t="str">
        <f>HYPERLINK("https://us2.cloudbeds.com/connect/10074733072513#/reservations/31713935094007?display=Jennifer%20Dougherty&amp;reservation_id=31713935094007&amp;guest_id=31713935094004", "Jennifer Dougherty")</f>
        <v>Jennifer Dougherty</v>
      </c>
      <c r="E5624" t="s">
        <v>12641</v>
      </c>
      <c r="F5624" t="s">
        <v>12278</v>
      </c>
      <c r="G5624">
        <v>134.1</v>
      </c>
      <c r="H5624">
        <v>145.76</v>
      </c>
      <c r="I5624">
        <v>145.77000000000001</v>
      </c>
      <c r="J5624">
        <v>-0.01</v>
      </c>
    </row>
    <row r="5625" spans="1:10" x14ac:dyDescent="0.3">
      <c r="A5625" t="str">
        <f>HYPERLINK("https://us2.cloudbeds.com/connect/10074733072513#/reservations/31713846968466?display=MX4E9QH12&amp;reservation_id=31713846968466", "MX4E9QH12")</f>
        <v>MX4E9QH12</v>
      </c>
      <c r="B5625" t="s">
        <v>10</v>
      </c>
      <c r="C5625" t="s">
        <v>121</v>
      </c>
      <c r="D5625" t="str">
        <f>HYPERLINK("https://us2.cloudbeds.com/connect/10074733072513#/reservations/31713846968466?display=Dwight%20O'Connel&amp;reservation_id=31713846968466&amp;guest_id=31713846968461", "Dwight O'Connel")</f>
        <v>Dwight O'Connel</v>
      </c>
      <c r="E5625" t="s">
        <v>12647</v>
      </c>
      <c r="F5625" t="s">
        <v>10250</v>
      </c>
      <c r="G5625">
        <v>376.2</v>
      </c>
      <c r="H5625">
        <v>408.92</v>
      </c>
      <c r="I5625">
        <v>408.93</v>
      </c>
      <c r="J5625">
        <v>-0.01</v>
      </c>
    </row>
    <row r="5626" spans="1:10" x14ac:dyDescent="0.3">
      <c r="A5626" t="str">
        <f>HYPERLINK("https://us2.cloudbeds.com/connect/10074733072513#/reservations/31713894392008?display=MX4FGQ4R3&amp;reservation_id=31713894392008", "MX4FGQ4R3")</f>
        <v>MX4FGQ4R3</v>
      </c>
      <c r="B5626" t="s">
        <v>10</v>
      </c>
      <c r="C5626" t="s">
        <v>42</v>
      </c>
      <c r="D5626" t="str">
        <f>HYPERLINK("https://us2.cloudbeds.com/connect/10074733072513#/reservations/31713894392008?display=Diane%20Reid&amp;reservation_id=31713894392008&amp;guest_id=31713887355101", "Diane Reid")</f>
        <v>Diane Reid</v>
      </c>
      <c r="E5626" t="s">
        <v>10814</v>
      </c>
      <c r="F5626" t="s">
        <v>10750</v>
      </c>
      <c r="G5626">
        <v>448.2</v>
      </c>
      <c r="H5626">
        <v>487.18</v>
      </c>
      <c r="I5626">
        <v>487.19</v>
      </c>
      <c r="J5626">
        <v>-0.01</v>
      </c>
    </row>
    <row r="5627" spans="1:10" x14ac:dyDescent="0.3">
      <c r="A5627" t="str">
        <f>HYPERLINK("https://us2.cloudbeds.com/connect/10074733072513#/reservations/31712884314325?display=MX3MN283F&amp;reservation_id=31712884314325", "MX3MN283F")</f>
        <v>MX3MN283F</v>
      </c>
      <c r="B5627" t="s">
        <v>10</v>
      </c>
      <c r="C5627" t="s">
        <v>23</v>
      </c>
      <c r="D5627" t="str">
        <f>HYPERLINK("https://us2.cloudbeds.com/connect/10074733072513#/reservations/31712884314325?display=Kammy%20Meyer&amp;reservation_id=31712884314325&amp;guest_id=31712880021755", "Kammy Meyer")</f>
        <v>Kammy Meyer</v>
      </c>
      <c r="E5627" t="s">
        <v>12648</v>
      </c>
      <c r="F5627" t="s">
        <v>9834</v>
      </c>
      <c r="G5627">
        <v>154.24</v>
      </c>
      <c r="H5627">
        <v>167.65</v>
      </c>
      <c r="I5627">
        <v>167.66</v>
      </c>
      <c r="J5627">
        <v>-0.01</v>
      </c>
    </row>
    <row r="5628" spans="1:10" x14ac:dyDescent="0.3">
      <c r="A5628" t="str">
        <f>HYPERLINK("https://us2.cloudbeds.com/connect/10074733072513#/reservations/31714043408622?display=MX4JAEZS2&amp;reservation_id=31714043408622", "MX4JAEZS2")</f>
        <v>MX4JAEZS2</v>
      </c>
      <c r="B5628" t="s">
        <v>10</v>
      </c>
      <c r="C5628" t="s">
        <v>23</v>
      </c>
      <c r="D5628" t="str">
        <f>HYPERLINK("https://us2.cloudbeds.com/connect/10074733072513#/reservations/31714043408622?display=Dominique%20Gordon&amp;reservation_id=31714043408622&amp;guest_id=31714034757772", "Dominique Gordon")</f>
        <v>Dominique Gordon</v>
      </c>
      <c r="E5628" t="s">
        <v>12649</v>
      </c>
      <c r="F5628" t="s">
        <v>11087</v>
      </c>
      <c r="G5628">
        <v>762.9</v>
      </c>
      <c r="H5628">
        <v>829.26</v>
      </c>
      <c r="I5628">
        <v>829.27</v>
      </c>
      <c r="J5628">
        <v>-0.01</v>
      </c>
    </row>
    <row r="5629" spans="1:10" x14ac:dyDescent="0.3">
      <c r="A5629" t="str">
        <f>HYPERLINK("https://us2.cloudbeds.com/connect/10074733072513#/reservations/31712892448936?display=MX3MTUJTR&amp;reservation_id=31712892448936", "MX3MTUJTR")</f>
        <v>MX3MTUJTR</v>
      </c>
      <c r="B5629" t="s">
        <v>10</v>
      </c>
      <c r="C5629" t="s">
        <v>23</v>
      </c>
      <c r="D5629" t="str">
        <f>HYPERLINK("https://us2.cloudbeds.com/connect/10074733072513#/reservations/31712892448936?display=Kammy%20Meyer&amp;reservation_id=31712892448936&amp;guest_id=31712884318416", "Kammy Meyer")</f>
        <v>Kammy Meyer</v>
      </c>
      <c r="E5629" t="s">
        <v>12650</v>
      </c>
      <c r="F5629" t="s">
        <v>9834</v>
      </c>
      <c r="G5629">
        <v>154.24</v>
      </c>
      <c r="H5629">
        <v>167.65</v>
      </c>
      <c r="I5629">
        <v>167.66</v>
      </c>
      <c r="J5629">
        <v>-0.01</v>
      </c>
    </row>
    <row r="5630" spans="1:10" x14ac:dyDescent="0.3">
      <c r="A5630" t="str">
        <f>HYPERLINK("https://us2.cloudbeds.com/connect/10074733072513#/reservations/31714496807072?display=MX4UTP7N1&amp;reservation_id=31714496807072", "MX4UTP7N1")</f>
        <v>MX4UTP7N1</v>
      </c>
      <c r="B5630" t="s">
        <v>10</v>
      </c>
      <c r="C5630" t="s">
        <v>23</v>
      </c>
      <c r="D5630" t="str">
        <f>HYPERLINK("https://us2.cloudbeds.com/connect/10074733072513#/reservations/31714496807072?display=David%20Rohwer&amp;reservation_id=31714496807072&amp;guest_id=31714496802977", "David Rohwer")</f>
        <v>David Rohwer</v>
      </c>
      <c r="E5630" t="s">
        <v>12652</v>
      </c>
      <c r="F5630" t="s">
        <v>10449</v>
      </c>
      <c r="G5630">
        <v>150.22</v>
      </c>
      <c r="H5630">
        <v>163.28</v>
      </c>
      <c r="I5630">
        <v>163.29</v>
      </c>
      <c r="J5630">
        <v>-0.01</v>
      </c>
    </row>
    <row r="5631" spans="1:10" x14ac:dyDescent="0.3">
      <c r="A5631" t="str">
        <f>HYPERLINK("https://us2.cloudbeds.com/connect/10074733072513#/reservations/31712496623813?display=MX3CQ5644&amp;reservation_id=31712496623813", "MX3CQ5644")</f>
        <v>MX3CQ5644</v>
      </c>
      <c r="B5631" t="s">
        <v>10</v>
      </c>
      <c r="C5631" t="s">
        <v>23</v>
      </c>
      <c r="D5631" t="str">
        <f>HYPERLINK("https://us2.cloudbeds.com/connect/10074733072513#/reservations/31712496623813?display=Pasquale%20Cipoletti;%20Jr.&amp;reservation_id=31712496623813&amp;guest_id=31712496619755", "Pasquale Cipoletti; Jr.")</f>
        <v>Pasquale Cipoletti; Jr.</v>
      </c>
      <c r="E5631" t="s">
        <v>12656</v>
      </c>
      <c r="F5631" t="s">
        <v>11713</v>
      </c>
      <c r="G5631">
        <v>448.2</v>
      </c>
      <c r="H5631">
        <v>487.18</v>
      </c>
      <c r="I5631">
        <v>487.19</v>
      </c>
      <c r="J5631">
        <v>-0.01</v>
      </c>
    </row>
    <row r="5632" spans="1:10" x14ac:dyDescent="0.3">
      <c r="A5632" t="str">
        <f>HYPERLINK("https://us2.cloudbeds.com/connect/10074733072513#/reservations/31710903066865?display=MX252E3PY&amp;reservation_id=31710903066865", "MX252E3PY")</f>
        <v>MX252E3PY</v>
      </c>
      <c r="B5632" t="s">
        <v>10</v>
      </c>
      <c r="C5632" t="s">
        <v>23</v>
      </c>
      <c r="D5632" t="str">
        <f>HYPERLINK("https://us2.cloudbeds.com/connect/10074733072513#/reservations/31710903066865?display=Brenda%20Wogen&amp;reservation_id=31710903066865&amp;guest_id=31710892617945", "Brenda Wogen")</f>
        <v>Brenda Wogen</v>
      </c>
      <c r="E5632" t="s">
        <v>12665</v>
      </c>
      <c r="F5632" t="s">
        <v>10330</v>
      </c>
      <c r="G5632">
        <v>278.95999999999998</v>
      </c>
      <c r="H5632">
        <v>303.22000000000003</v>
      </c>
      <c r="I5632">
        <v>303.23</v>
      </c>
      <c r="J5632">
        <v>-0.01</v>
      </c>
    </row>
    <row r="5633" spans="1:10" x14ac:dyDescent="0.3">
      <c r="A5633" t="str">
        <f>HYPERLINK("https://us2.cloudbeds.com/connect/10074733072513#/reservations/31713920999577?display=MX4G67HS2&amp;reservation_id=31713920999577", "MX4G67HS2")</f>
        <v>MX4G67HS2</v>
      </c>
      <c r="B5633" t="s">
        <v>10</v>
      </c>
      <c r="C5633" t="s">
        <v>42</v>
      </c>
      <c r="D5633" t="str">
        <f>HYPERLINK("https://us2.cloudbeds.com/connect/10074733072513#/reservations/31713920999577?display=Rick%20Hurd&amp;reservation_id=31713920999577&amp;guest_id=31711649288374", "Rick Hurd")</f>
        <v>Rick Hurd</v>
      </c>
      <c r="E5633" t="s">
        <v>6824</v>
      </c>
      <c r="F5633" t="s">
        <v>12278</v>
      </c>
      <c r="G5633">
        <v>268.2</v>
      </c>
      <c r="H5633">
        <v>291.52</v>
      </c>
      <c r="I5633">
        <v>291.52999999999997</v>
      </c>
      <c r="J5633">
        <v>-0.01</v>
      </c>
    </row>
    <row r="5634" spans="1:10" x14ac:dyDescent="0.3">
      <c r="A5634" t="str">
        <f>HYPERLINK("https://us2.cloudbeds.com/connect/10074733072513#/reservations/31711724728571?display=MX2Q29227&amp;reservation_id=31711724728571", "MX2Q29227")</f>
        <v>MX2Q29227</v>
      </c>
      <c r="B5634" t="s">
        <v>10</v>
      </c>
      <c r="C5634" t="s">
        <v>23</v>
      </c>
      <c r="D5634" t="str">
        <f>HYPERLINK("https://us2.cloudbeds.com/connect/10074733072513#/reservations/31711724728571?display=Greta%20Langpap&amp;reservation_id=31711724728571&amp;guest_id=31711724728552", "Greta Langpap")</f>
        <v>Greta Langpap</v>
      </c>
      <c r="E5634" t="s">
        <v>12673</v>
      </c>
      <c r="F5634" t="s">
        <v>12674</v>
      </c>
      <c r="G5634">
        <v>894.6</v>
      </c>
      <c r="H5634">
        <v>972.42</v>
      </c>
      <c r="I5634">
        <v>972.43</v>
      </c>
      <c r="J5634">
        <v>-0.01</v>
      </c>
    </row>
    <row r="5635" spans="1:10" x14ac:dyDescent="0.3">
      <c r="A5635" t="str">
        <f>HYPERLINK("https://us2.cloudbeds.com/connect/10074733072513#/reservations/31713946386577?display=MX4GRKW23&amp;reservation_id=31713946386577", "MX4GRKW23")</f>
        <v>MX4GRKW23</v>
      </c>
      <c r="B5635" t="s">
        <v>10</v>
      </c>
      <c r="C5635" t="s">
        <v>23</v>
      </c>
      <c r="D5635" t="str">
        <f>HYPERLINK("https://us2.cloudbeds.com/connect/10074733072513#/reservations/31713946386577?display=Wendy%20Wayment&amp;reservation_id=31713946386577&amp;guest_id=31713946386572", "Wendy Wayment")</f>
        <v>Wendy Wayment</v>
      </c>
      <c r="E5635" t="s">
        <v>12676</v>
      </c>
      <c r="F5635" t="s">
        <v>12278</v>
      </c>
      <c r="G5635">
        <v>134.1</v>
      </c>
      <c r="H5635">
        <v>145.76</v>
      </c>
      <c r="I5635">
        <v>145.77000000000001</v>
      </c>
      <c r="J5635">
        <v>-0.01</v>
      </c>
    </row>
    <row r="5636" spans="1:10" x14ac:dyDescent="0.3">
      <c r="A5636" t="str">
        <f>HYPERLINK("https://us2.cloudbeds.com/connect/10074733072513#/reservations/31714206531834?display=MX4NFWTJN&amp;reservation_id=31714206531834", "MX4NFWTJN")</f>
        <v>MX4NFWTJN</v>
      </c>
      <c r="B5636" t="s">
        <v>10</v>
      </c>
      <c r="C5636" t="s">
        <v>23</v>
      </c>
      <c r="D5636" t="str">
        <f>HYPERLINK("https://us2.cloudbeds.com/connect/10074733072513#/reservations/31714206531834?display=Mary%20Blair&amp;reservation_id=31714206531834&amp;guest_id=31714206531831", "Mary Blair")</f>
        <v>Mary Blair</v>
      </c>
      <c r="E5636" t="s">
        <v>12681</v>
      </c>
      <c r="F5636" t="s">
        <v>9834</v>
      </c>
      <c r="G5636">
        <v>376.2</v>
      </c>
      <c r="H5636">
        <v>408.92</v>
      </c>
      <c r="I5636">
        <v>408.93</v>
      </c>
      <c r="J5636">
        <v>-0.01</v>
      </c>
    </row>
    <row r="5637" spans="1:10" x14ac:dyDescent="0.3">
      <c r="A5637" t="str">
        <f>HYPERLINK("https://us2.cloudbeds.com/connect/10074733072513#/reservations/31700870594752?display=MHRCEBW4Z&amp;reservation_id=31700870594752", "MHRCEBW4Z")</f>
        <v>MHRCEBW4Z</v>
      </c>
      <c r="B5637" t="s">
        <v>10</v>
      </c>
      <c r="C5637" t="s">
        <v>42</v>
      </c>
      <c r="D5637" t="str">
        <f>HYPERLINK("https://us2.cloudbeds.com/connect/10074733072513#/reservations/31700870594752?display=Terry%20Dickinson&amp;reservation_id=31700870594752&amp;guest_id=31700859424993", "Terry Dickinson")</f>
        <v>Terry Dickinson</v>
      </c>
      <c r="E5637" t="s">
        <v>12682</v>
      </c>
      <c r="F5637" t="s">
        <v>11134</v>
      </c>
      <c r="G5637">
        <v>170.1</v>
      </c>
      <c r="H5637">
        <v>184.89</v>
      </c>
      <c r="I5637">
        <v>184.9</v>
      </c>
      <c r="J5637">
        <v>-0.01</v>
      </c>
    </row>
    <row r="5638" spans="1:10" x14ac:dyDescent="0.3">
      <c r="A5638" t="str">
        <f>HYPERLINK("https://us2.cloudbeds.com/connect/10074733072513#/reservations/31711570100389?display=MX2M3TA2Z&amp;reservation_id=31711570100389", "MX2M3TA2Z")</f>
        <v>MX2M3TA2Z</v>
      </c>
      <c r="B5638" t="s">
        <v>10</v>
      </c>
      <c r="C5638" t="s">
        <v>42</v>
      </c>
      <c r="D5638" t="str">
        <f>HYPERLINK("https://us2.cloudbeds.com/connect/10074733072513#/reservations/31711570100389?display=Cindy%20Lien&amp;reservation_id=31711570100389&amp;guest_id=31700939161830", "Cindy Lien")</f>
        <v>Cindy Lien</v>
      </c>
      <c r="E5638" t="s">
        <v>12351</v>
      </c>
      <c r="F5638" t="s">
        <v>12684</v>
      </c>
      <c r="G5638">
        <v>375.3</v>
      </c>
      <c r="H5638">
        <v>407.94</v>
      </c>
      <c r="I5638">
        <v>407.95</v>
      </c>
      <c r="J5638">
        <v>-0.01</v>
      </c>
    </row>
    <row r="5639" spans="1:10" x14ac:dyDescent="0.3">
      <c r="A5639" t="str">
        <f>HYPERLINK("https://us2.cloudbeds.com/connect/10074733072513#/reservations/31712718475475?display=MX3XF7HYP&amp;reservation_id=31712718475475", "MX3XF7HYP")</f>
        <v>MX3XF7HYP</v>
      </c>
      <c r="B5639" t="s">
        <v>10</v>
      </c>
      <c r="C5639" t="s">
        <v>23</v>
      </c>
      <c r="D5639" t="str">
        <f>HYPERLINK("https://us2.cloudbeds.com/connect/10074733072513#/reservations/31712718475475?display=Catherine%20Wilson&amp;reservation_id=31712718475475&amp;guest_id=31712718475471", "Catherine Wilson")</f>
        <v>Catherine Wilson</v>
      </c>
      <c r="E5639" t="s">
        <v>12691</v>
      </c>
      <c r="F5639" t="s">
        <v>11087</v>
      </c>
      <c r="G5639">
        <v>154.24</v>
      </c>
      <c r="H5639">
        <v>167.65</v>
      </c>
      <c r="I5639">
        <v>167.66</v>
      </c>
      <c r="J5639">
        <v>-0.01</v>
      </c>
    </row>
    <row r="5640" spans="1:10" x14ac:dyDescent="0.3">
      <c r="A5640" t="str">
        <f>HYPERLINK("https://us2.cloudbeds.com/connect/10074733072513#/reservations/31712733175945?display=MX3XRKJNX&amp;reservation_id=31712733175945", "MX3XRKJNX")</f>
        <v>MX3XRKJNX</v>
      </c>
      <c r="B5640" t="s">
        <v>10</v>
      </c>
      <c r="C5640" t="s">
        <v>23</v>
      </c>
      <c r="D5640" t="str">
        <f>HYPERLINK("https://us2.cloudbeds.com/connect/10074733072513#/reservations/31712733175945?display=Kasey%20Wooden&amp;reservation_id=31712733175945&amp;guest_id=31712733175943", "Kasey Wooden")</f>
        <v>Kasey Wooden</v>
      </c>
      <c r="E5640" t="s">
        <v>12693</v>
      </c>
      <c r="F5640" t="s">
        <v>8603</v>
      </c>
      <c r="G5640">
        <v>154.24</v>
      </c>
      <c r="H5640">
        <v>167.65</v>
      </c>
      <c r="I5640">
        <v>167.66</v>
      </c>
      <c r="J5640">
        <v>-0.01</v>
      </c>
    </row>
    <row r="5641" spans="1:10" x14ac:dyDescent="0.3">
      <c r="A5641" t="str">
        <f>HYPERLINK("https://us2.cloudbeds.com/connect/10074733072513#/reservations/31711945605277?display=MX2VNH9AZ&amp;reservation_id=31711945605277", "MX2VNH9AZ")</f>
        <v>MX2VNH9AZ</v>
      </c>
      <c r="B5641" t="s">
        <v>10</v>
      </c>
      <c r="C5641" t="s">
        <v>23</v>
      </c>
      <c r="D5641" t="str">
        <f>HYPERLINK("https://us2.cloudbeds.com/connect/10074733072513#/reservations/31711945605277?display=Tamara%20&amp;%20Gerald%20Graham&amp;reservation_id=31711945605277&amp;guest_id=31711945605275", "Tamara &amp; Gerald Graham")</f>
        <v>Tamara &amp; Gerald Graham</v>
      </c>
      <c r="E5641" t="s">
        <v>12694</v>
      </c>
      <c r="F5641" t="s">
        <v>11941</v>
      </c>
      <c r="G5641">
        <v>264.2</v>
      </c>
      <c r="H5641">
        <v>287.18</v>
      </c>
      <c r="I5641">
        <v>287.19</v>
      </c>
      <c r="J5641">
        <v>-0.01</v>
      </c>
    </row>
    <row r="5642" spans="1:10" x14ac:dyDescent="0.3">
      <c r="A5642" t="str">
        <f>HYPERLINK("https://us2.cloudbeds.com/connect/10074733072513#/reservations/31715326591223?display=MX5J3F6KA&amp;reservation_id=31715326591223", "MX5J3F6KA")</f>
        <v>MX5J3F6KA</v>
      </c>
      <c r="B5642" t="s">
        <v>10</v>
      </c>
      <c r="C5642" t="s">
        <v>23</v>
      </c>
      <c r="D5642" t="str">
        <f>HYPERLINK("https://us2.cloudbeds.com/connect/10074733072513#/reservations/31715326591223?display=Robert%20Broussard&amp;reservation_id=31715326591223&amp;guest_id=31715326591218", "Robert Broussard")</f>
        <v>Robert Broussard</v>
      </c>
      <c r="E5642" t="s">
        <v>12710</v>
      </c>
      <c r="F5642" t="s">
        <v>11694</v>
      </c>
      <c r="G5642">
        <v>319.45999999999998</v>
      </c>
      <c r="H5642">
        <v>347.24</v>
      </c>
      <c r="I5642">
        <v>347.25</v>
      </c>
      <c r="J5642">
        <v>-0.01</v>
      </c>
    </row>
    <row r="5643" spans="1:10" x14ac:dyDescent="0.3">
      <c r="A5643" t="str">
        <f>HYPERLINK("https://us2.cloudbeds.com/connect/10074733072513#/reservations/31715426402506?display=MX5YYKJMY&amp;reservation_id=31715426402506", "MX5YYKJMY")</f>
        <v>MX5YYKJMY</v>
      </c>
      <c r="B5643" t="s">
        <v>10</v>
      </c>
      <c r="C5643" t="s">
        <v>42</v>
      </c>
      <c r="D5643" t="str">
        <f>HYPERLINK("https://us2.cloudbeds.com/connect/10074733072513#/reservations/31715426402506?display=Rex%20Ramsay&amp;reservation_id=31715426402506&amp;guest_id=31715426398460", "Rex Ramsay")</f>
        <v>Rex Ramsay</v>
      </c>
      <c r="E5643" t="s">
        <v>12719</v>
      </c>
      <c r="F5643" t="s">
        <v>11694</v>
      </c>
      <c r="G5643">
        <v>170.1</v>
      </c>
      <c r="H5643">
        <v>184.89</v>
      </c>
      <c r="I5643">
        <v>184.9</v>
      </c>
      <c r="J5643">
        <v>-0.01</v>
      </c>
    </row>
    <row r="5644" spans="1:10" x14ac:dyDescent="0.3">
      <c r="A5644" t="str">
        <f>HYPERLINK("https://us2.cloudbeds.com/connect/10074733072513#/reservations/31713002791124?display=MX3PNW17G&amp;reservation_id=31713002791124", "MX3PNW17G")</f>
        <v>MX3PNW17G</v>
      </c>
      <c r="B5644" t="s">
        <v>10</v>
      </c>
      <c r="C5644" t="s">
        <v>23</v>
      </c>
      <c r="D5644" t="str">
        <f>HYPERLINK("https://us2.cloudbeds.com/connect/10074733072513#/reservations/31713002791124?display=Ann%20Guddall&amp;reservation_id=31713002791124&amp;guest_id=31713002787029", "Ann Guddall")</f>
        <v>Ann Guddall</v>
      </c>
      <c r="E5644" t="s">
        <v>12731</v>
      </c>
      <c r="F5644" t="s">
        <v>12732</v>
      </c>
      <c r="G5644">
        <v>134.1</v>
      </c>
      <c r="H5644">
        <v>145.76</v>
      </c>
      <c r="I5644">
        <v>145.77000000000001</v>
      </c>
      <c r="J5644">
        <v>-0.01</v>
      </c>
    </row>
    <row r="5645" spans="1:10" x14ac:dyDescent="0.3">
      <c r="A5645" t="str">
        <f>HYPERLINK("https://us2.cloudbeds.com/connect/10074733072513#/reservations/31712153878740?display=MX3414QBQ&amp;reservation_id=31712153878740", "MX3414QBQ")</f>
        <v>MX3414QBQ</v>
      </c>
      <c r="B5645" t="s">
        <v>10</v>
      </c>
      <c r="C5645" t="s">
        <v>23</v>
      </c>
      <c r="D5645" t="str">
        <f>HYPERLINK("https://us2.cloudbeds.com/connect/10074733072513#/reservations/31712153878740?display=Lashelle%20Griffith&amp;reservation_id=31712153878740&amp;guest_id=31712153878735", "Lashelle Griffith")</f>
        <v>Lashelle Griffith</v>
      </c>
      <c r="E5645" t="s">
        <v>12733</v>
      </c>
      <c r="F5645" t="s">
        <v>12690</v>
      </c>
      <c r="G5645">
        <v>263.3</v>
      </c>
      <c r="H5645">
        <v>286.2</v>
      </c>
      <c r="I5645">
        <v>286.20999999999998</v>
      </c>
      <c r="J5645">
        <v>-0.01</v>
      </c>
    </row>
    <row r="5646" spans="1:10" x14ac:dyDescent="0.3">
      <c r="A5646" t="str">
        <f>HYPERLINK("https://us2.cloudbeds.com/connect/10074733072513#/reservations/31713169805505?display=MX3TWQF4B&amp;reservation_id=31713169805505", "MX3TWQF4B")</f>
        <v>MX3TWQF4B</v>
      </c>
      <c r="B5646" t="s">
        <v>10</v>
      </c>
      <c r="C5646" t="s">
        <v>23</v>
      </c>
      <c r="D5646" t="str">
        <f>HYPERLINK("https://us2.cloudbeds.com/connect/10074733072513#/reservations/31713169805505?display=Herb%20Zilm&amp;reservation_id=31713169805505&amp;guest_id=31713169801424", "Herb Zilm")</f>
        <v>Herb Zilm</v>
      </c>
      <c r="E5646" t="s">
        <v>12738</v>
      </c>
      <c r="F5646" t="s">
        <v>12728</v>
      </c>
      <c r="G5646">
        <v>170.1</v>
      </c>
      <c r="H5646">
        <v>184.89</v>
      </c>
      <c r="I5646">
        <v>184.9</v>
      </c>
      <c r="J5646">
        <v>-0.01</v>
      </c>
    </row>
    <row r="5647" spans="1:10" x14ac:dyDescent="0.3">
      <c r="A5647" t="str">
        <f>HYPERLINK("https://us2.cloudbeds.com/connect/10074733072513#/reservations/31713132044509?display=MX3T0VN6Z&amp;reservation_id=31713132044509", "MX3T0VN6Z")</f>
        <v>MX3T0VN6Z</v>
      </c>
      <c r="B5647" t="s">
        <v>10</v>
      </c>
      <c r="C5647" t="s">
        <v>42</v>
      </c>
      <c r="D5647" t="str">
        <f>HYPERLINK("https://us2.cloudbeds.com/connect/10074733072513#/reservations/31713132044509?display=Erin%20Chester&amp;reservation_id=31713132044509&amp;guest_id=31713132044504", "Erin Chester")</f>
        <v>Erin Chester</v>
      </c>
      <c r="E5647" t="s">
        <v>12741</v>
      </c>
      <c r="F5647" t="s">
        <v>12728</v>
      </c>
      <c r="G5647">
        <v>134.1</v>
      </c>
      <c r="H5647">
        <v>145.76</v>
      </c>
      <c r="I5647">
        <v>145.77000000000001</v>
      </c>
      <c r="J5647">
        <v>-0.01</v>
      </c>
    </row>
    <row r="5648" spans="1:10" x14ac:dyDescent="0.3">
      <c r="A5648" t="str">
        <f>HYPERLINK("https://us2.cloudbeds.com/connect/10074733072513#/reservations/31713143615729?display=MX3TANMZP&amp;reservation_id=31713143615729", "MX3TANMZP")</f>
        <v>MX3TANMZP</v>
      </c>
      <c r="B5648" t="s">
        <v>10</v>
      </c>
      <c r="C5648" t="s">
        <v>42</v>
      </c>
      <c r="D5648" t="str">
        <f>HYPERLINK("https://us2.cloudbeds.com/connect/10074733072513#/reservations/31713143615729?display=Scott%20Menee&amp;reservation_id=31713143615729&amp;guest_id=31713143615724", "Scott Menee")</f>
        <v>Scott Menee</v>
      </c>
      <c r="E5648" t="s">
        <v>12742</v>
      </c>
      <c r="F5648" t="s">
        <v>12728</v>
      </c>
      <c r="G5648">
        <v>134.1</v>
      </c>
      <c r="H5648">
        <v>145.76</v>
      </c>
      <c r="I5648">
        <v>145.77000000000001</v>
      </c>
      <c r="J5648">
        <v>-0.01</v>
      </c>
    </row>
    <row r="5649" spans="1:10" x14ac:dyDescent="0.3">
      <c r="A5649" t="str">
        <f>HYPERLINK("https://us2.cloudbeds.com/connect/10074733072513#/reservations/31713106030746?display=MX3SC0RET&amp;reservation_id=31713106030746", "MX3SC0RET")</f>
        <v>MX3SC0RET</v>
      </c>
      <c r="B5649" t="s">
        <v>10</v>
      </c>
      <c r="C5649" t="s">
        <v>23</v>
      </c>
      <c r="D5649" t="str">
        <f>HYPERLINK("https://us2.cloudbeds.com/connect/10074733072513#/reservations/31713106030746?display=Keith%20Maher&amp;reservation_id=31713106030746&amp;guest_id=31713106030741", "Keith Maher")</f>
        <v>Keith Maher</v>
      </c>
      <c r="E5649" t="s">
        <v>12743</v>
      </c>
      <c r="F5649" t="s">
        <v>12728</v>
      </c>
      <c r="G5649">
        <v>134.1</v>
      </c>
      <c r="H5649">
        <v>145.76</v>
      </c>
      <c r="I5649">
        <v>145.77000000000001</v>
      </c>
      <c r="J5649">
        <v>-0.01</v>
      </c>
    </row>
    <row r="5650" spans="1:10" x14ac:dyDescent="0.3">
      <c r="A5650" t="str">
        <f>HYPERLINK("https://us2.cloudbeds.com/connect/10074733072513#/reservations/31713458004179?display=MX44BR0CG&amp;reservation_id=31713458004179", "MX44BR0CG")</f>
        <v>MX44BR0CG</v>
      </c>
      <c r="B5650" t="s">
        <v>10</v>
      </c>
      <c r="C5650" t="s">
        <v>23</v>
      </c>
      <c r="D5650" t="str">
        <f>HYPERLINK("https://us2.cloudbeds.com/connect/10074733072513#/reservations/31713458004179?display=Michelle%20Breeding&amp;reservation_id=31713458004179&amp;guest_id=31713458004174", "Michelle Breeding")</f>
        <v>Michelle Breeding</v>
      </c>
      <c r="E5650" t="s">
        <v>12745</v>
      </c>
      <c r="F5650" t="s">
        <v>12363</v>
      </c>
      <c r="G5650">
        <v>268.2</v>
      </c>
      <c r="H5650">
        <v>291.52</v>
      </c>
      <c r="I5650">
        <v>291.52999999999997</v>
      </c>
      <c r="J5650">
        <v>-0.01</v>
      </c>
    </row>
    <row r="5651" spans="1:10" x14ac:dyDescent="0.3">
      <c r="A5651" t="str">
        <f>HYPERLINK("https://us2.cloudbeds.com/connect/10074733072513#/reservations/31712112435331?display=MX32W6XVU&amp;reservation_id=31712112435331", "MX32W6XVU")</f>
        <v>MX32W6XVU</v>
      </c>
      <c r="B5651" t="s">
        <v>10</v>
      </c>
      <c r="C5651" t="s">
        <v>42</v>
      </c>
      <c r="D5651" t="str">
        <f>HYPERLINK("https://us2.cloudbeds.com/connect/10074733072513#/reservations/31712112435331?display=Norma%20Mussell&amp;reservation_id=31712112435331&amp;guest_id=31712100176021", "Norma Mussell")</f>
        <v>Norma Mussell</v>
      </c>
      <c r="E5651" t="s">
        <v>12748</v>
      </c>
      <c r="F5651" t="s">
        <v>12690</v>
      </c>
      <c r="G5651">
        <v>662.4</v>
      </c>
      <c r="H5651">
        <v>720.02</v>
      </c>
      <c r="I5651">
        <v>720.03</v>
      </c>
      <c r="J5651">
        <v>-0.01</v>
      </c>
    </row>
    <row r="5652" spans="1:10" x14ac:dyDescent="0.3">
      <c r="A5652" t="str">
        <f>HYPERLINK("https://us2.cloudbeds.com/connect/10074733072513#/reservations/31714758881464?display=MX54JZRN9&amp;reservation_id=31714758881464", "MX54JZRN9")</f>
        <v>MX54JZRN9</v>
      </c>
      <c r="B5652" t="s">
        <v>10</v>
      </c>
      <c r="C5652" t="s">
        <v>23</v>
      </c>
      <c r="D5652" t="str">
        <f>HYPERLINK("https://us2.cloudbeds.com/connect/10074733072513#/reservations/31714758881464?display=Amber%20Schneider&amp;reservation_id=31714758881464&amp;guest_id=31714741907615", "Amber Schneider")</f>
        <v>Amber Schneider</v>
      </c>
      <c r="E5652" t="s">
        <v>12749</v>
      </c>
      <c r="F5652" t="s">
        <v>12690</v>
      </c>
      <c r="G5652">
        <v>122.18</v>
      </c>
      <c r="H5652">
        <v>132.80000000000001</v>
      </c>
      <c r="I5652">
        <v>132.81</v>
      </c>
      <c r="J5652">
        <v>-0.01</v>
      </c>
    </row>
    <row r="5653" spans="1:10" x14ac:dyDescent="0.3">
      <c r="A5653" t="str">
        <f>HYPERLINK("https://us2.cloudbeds.com/connect/10074733072513#/reservations/31712151290041?display=MX33VVP7C&amp;reservation_id=31712151290041", "MX33VVP7C")</f>
        <v>MX33VVP7C</v>
      </c>
      <c r="B5653" t="s">
        <v>10</v>
      </c>
      <c r="C5653" t="s">
        <v>23</v>
      </c>
      <c r="D5653" t="str">
        <f>HYPERLINK("https://us2.cloudbeds.com/connect/10074733072513#/reservations/31712151290041?display=Jacqueline%20Rognli&amp;reservation_id=31712151290041&amp;guest_id=31712141344978", "Jacqueline Rognli")</f>
        <v>Jacqueline Rognli</v>
      </c>
      <c r="E5653" t="s">
        <v>12750</v>
      </c>
      <c r="F5653" t="s">
        <v>12690</v>
      </c>
      <c r="G5653">
        <v>134.1</v>
      </c>
      <c r="H5653">
        <v>145.76</v>
      </c>
      <c r="I5653">
        <v>145.77000000000001</v>
      </c>
      <c r="J5653">
        <v>-0.01</v>
      </c>
    </row>
    <row r="5654" spans="1:10" x14ac:dyDescent="0.3">
      <c r="A5654" t="str">
        <f>HYPERLINK("https://us2.cloudbeds.com/connect/10074733072513#/reservations/31712166641916?display=MX34BTVEN&amp;reservation_id=31712166641916", "MX34BTVEN")</f>
        <v>MX34BTVEN</v>
      </c>
      <c r="B5654" t="s">
        <v>10</v>
      </c>
      <c r="C5654" t="s">
        <v>23</v>
      </c>
      <c r="D5654" t="str">
        <f>HYPERLINK("https://us2.cloudbeds.com/connect/10074733072513#/reservations/31712166641916?display=Timothy%20Wistl&amp;reservation_id=31712166641916&amp;guest_id=31712166641912", "Timothy Wistl")</f>
        <v>Timothy Wistl</v>
      </c>
      <c r="E5654" t="s">
        <v>12751</v>
      </c>
      <c r="F5654" t="s">
        <v>12690</v>
      </c>
      <c r="G5654">
        <v>134.1</v>
      </c>
      <c r="H5654">
        <v>145.76</v>
      </c>
      <c r="I5654">
        <v>145.77000000000001</v>
      </c>
      <c r="J5654">
        <v>-0.01</v>
      </c>
    </row>
    <row r="5655" spans="1:10" x14ac:dyDescent="0.3">
      <c r="A5655" t="str">
        <f>HYPERLINK("https://us2.cloudbeds.com/connect/10074733072513#/reservations/31712906174677?display=MX3N8GHTC&amp;reservation_id=31712906174677", "MX3N8GHTC")</f>
        <v>MX3N8GHTC</v>
      </c>
      <c r="B5655" t="s">
        <v>10</v>
      </c>
      <c r="C5655" t="s">
        <v>23</v>
      </c>
      <c r="D5655" t="str">
        <f>HYPERLINK("https://us2.cloudbeds.com/connect/10074733072513#/reservations/31712906174677?display=Debbie%20Mertes&amp;reservation_id=31712906174677&amp;guest_id=31712906174672", "Debbie Mertes")</f>
        <v>Debbie Mertes</v>
      </c>
      <c r="E5655" t="s">
        <v>12768</v>
      </c>
      <c r="F5655" t="s">
        <v>9834</v>
      </c>
      <c r="G5655">
        <v>224.1</v>
      </c>
      <c r="H5655">
        <v>243.59</v>
      </c>
      <c r="I5655">
        <v>243.6</v>
      </c>
      <c r="J5655">
        <v>-0.01</v>
      </c>
    </row>
    <row r="5656" spans="1:10" x14ac:dyDescent="0.3">
      <c r="A5656" t="str">
        <f>HYPERLINK("https://us2.cloudbeds.com/connect/10074733072513#/reservations/31711138865382?display=MX2B38XB8&amp;reservation_id=31711138865382", "MX2B38XB8")</f>
        <v>MX2B38XB8</v>
      </c>
      <c r="B5656" t="s">
        <v>10</v>
      </c>
      <c r="C5656" t="s">
        <v>23</v>
      </c>
      <c r="D5656" t="str">
        <f>HYPERLINK("https://us2.cloudbeds.com/connect/10074733072513#/reservations/31711138865382?display=Herb%20Zilm&amp;reservation_id=31711138865382&amp;guest_id=31711132094682", "Herb Zilm")</f>
        <v>Herb Zilm</v>
      </c>
      <c r="E5656" t="s">
        <v>12769</v>
      </c>
      <c r="F5656" t="s">
        <v>12770</v>
      </c>
      <c r="G5656">
        <v>250.2</v>
      </c>
      <c r="H5656">
        <v>271.95999999999998</v>
      </c>
      <c r="I5656">
        <v>271.97000000000003</v>
      </c>
      <c r="J5656">
        <v>-0.01</v>
      </c>
    </row>
    <row r="5657" spans="1:10" x14ac:dyDescent="0.3">
      <c r="A5657" t="str">
        <f>HYPERLINK("https://us2.cloudbeds.com/connect/10074733072513#/reservations/31713492988099?display=MX458AG69&amp;reservation_id=31713492988099", "MX458AG69")</f>
        <v>MX458AG69</v>
      </c>
      <c r="B5657" t="s">
        <v>10</v>
      </c>
      <c r="C5657" t="s">
        <v>23</v>
      </c>
      <c r="D5657" t="str">
        <f>HYPERLINK("https://us2.cloudbeds.com/connect/10074733072513#/reservations/31713492988099?display=Cheryl%20Benthal&amp;reservation_id=31713492988099&amp;guest_id=31713485177011", "Cheryl Benthal")</f>
        <v>Cheryl Benthal</v>
      </c>
      <c r="E5657" t="s">
        <v>12773</v>
      </c>
      <c r="F5657" t="s">
        <v>12313</v>
      </c>
      <c r="G5657">
        <v>134.1</v>
      </c>
      <c r="H5657">
        <v>145.76</v>
      </c>
      <c r="I5657">
        <v>145.77000000000001</v>
      </c>
      <c r="J5657">
        <v>-0.01</v>
      </c>
    </row>
    <row r="5658" spans="1:10" x14ac:dyDescent="0.3">
      <c r="A5658" t="str">
        <f>HYPERLINK("https://us2.cloudbeds.com/connect/10074733072513#/reservations/31713475911892?display=MX44QUAXF&amp;reservation_id=31713475911892", "MX44QUAXF")</f>
        <v>MX44QUAXF</v>
      </c>
      <c r="B5658" t="s">
        <v>10</v>
      </c>
      <c r="C5658" t="s">
        <v>121</v>
      </c>
      <c r="D5658" t="str">
        <f>HYPERLINK("https://us2.cloudbeds.com/connect/10074733072513#/reservations/31713475911892?display=Henry%20Magee&amp;reservation_id=31713475911892&amp;guest_id=31713475907806", "Henry Magee")</f>
        <v>Henry Magee</v>
      </c>
      <c r="E5658" t="s">
        <v>12774</v>
      </c>
      <c r="F5658" t="s">
        <v>12313</v>
      </c>
      <c r="G5658">
        <v>134.1</v>
      </c>
      <c r="H5658">
        <v>145.76</v>
      </c>
      <c r="I5658">
        <v>145.77000000000001</v>
      </c>
      <c r="J5658">
        <v>-0.01</v>
      </c>
    </row>
    <row r="5659" spans="1:10" x14ac:dyDescent="0.3">
      <c r="A5659" t="str">
        <f>HYPERLINK("https://us2.cloudbeds.com/connect/10074733072513#/reservations/31713440706786?display=MX43U7MY2&amp;reservation_id=31713440706786", "MX43U7MY2")</f>
        <v>MX43U7MY2</v>
      </c>
      <c r="B5659" t="s">
        <v>10</v>
      </c>
      <c r="C5659" t="s">
        <v>23</v>
      </c>
      <c r="D5659" t="str">
        <f>HYPERLINK("https://us2.cloudbeds.com/connect/10074733072513#/reservations/31713440706786?display=Randy%20Stevens&amp;reservation_id=31713440706786&amp;guest_id=31713440706770", "Randy Stevens")</f>
        <v>Randy Stevens</v>
      </c>
      <c r="E5659" t="s">
        <v>12777</v>
      </c>
      <c r="F5659" t="s">
        <v>12313</v>
      </c>
      <c r="G5659">
        <v>134.1</v>
      </c>
      <c r="H5659">
        <v>145.76</v>
      </c>
      <c r="I5659">
        <v>145.77000000000001</v>
      </c>
      <c r="J5659">
        <v>-0.01</v>
      </c>
    </row>
    <row r="5660" spans="1:10" x14ac:dyDescent="0.3">
      <c r="A5660" t="str">
        <f>HYPERLINK("https://us2.cloudbeds.com/connect/10074733072513#/reservations/31714062237908?display=MX4JQAN9G&amp;reservation_id=31714062237908", "MX4JQAN9G")</f>
        <v>MX4JQAN9G</v>
      </c>
      <c r="B5660" t="s">
        <v>10</v>
      </c>
      <c r="C5660" t="s">
        <v>42</v>
      </c>
      <c r="D5660" t="str">
        <f>HYPERLINK("https://us2.cloudbeds.com/connect/10074733072513#/reservations/31714062237908?display=Nick%20Firiberti&amp;reservation_id=31714062237908&amp;guest_id=31714062237906", "Nick Firiberti")</f>
        <v>Nick Firiberti</v>
      </c>
      <c r="E5660" t="s">
        <v>12781</v>
      </c>
      <c r="F5660" t="s">
        <v>12313</v>
      </c>
      <c r="G5660">
        <v>134.1</v>
      </c>
      <c r="H5660">
        <v>145.76</v>
      </c>
      <c r="I5660">
        <v>145.77000000000001</v>
      </c>
      <c r="J5660">
        <v>-0.01</v>
      </c>
    </row>
    <row r="5661" spans="1:10" x14ac:dyDescent="0.3">
      <c r="A5661" t="str">
        <f>HYPERLINK("https://us2.cloudbeds.com/connect/10074733072513#/reservations/31714464411808?display=MX4U2EPWC&amp;reservation_id=31714464411808", "MX4U2EPWC")</f>
        <v>MX4U2EPWC</v>
      </c>
      <c r="B5661" t="s">
        <v>10</v>
      </c>
      <c r="C5661" t="s">
        <v>23</v>
      </c>
      <c r="D5661" t="str">
        <f>HYPERLINK("https://us2.cloudbeds.com/connect/10074733072513#/reservations/31714464411808?display=Jacob%20Strachan&amp;reservation_id=31714464411808&amp;guest_id=31714464411806", "Jacob Strachan")</f>
        <v>Jacob Strachan</v>
      </c>
      <c r="E5661" t="s">
        <v>12783</v>
      </c>
      <c r="F5661" t="s">
        <v>12106</v>
      </c>
      <c r="G5661">
        <v>154.24</v>
      </c>
      <c r="H5661">
        <v>167.65</v>
      </c>
      <c r="I5661">
        <v>167.66</v>
      </c>
      <c r="J5661">
        <v>-0.01</v>
      </c>
    </row>
    <row r="5662" spans="1:10" x14ac:dyDescent="0.3">
      <c r="A5662" t="str">
        <f>HYPERLINK("https://us2.cloudbeds.com/connect/10074733072513#/reservations/31715289854102?display=MX5X5FUT7&amp;reservation_id=31715289854102", "MX5X5FUT7")</f>
        <v>MX5X5FUT7</v>
      </c>
      <c r="B5662" t="s">
        <v>10</v>
      </c>
      <c r="C5662" t="s">
        <v>42</v>
      </c>
      <c r="D5662" t="str">
        <f>HYPERLINK("https://us2.cloudbeds.com/connect/10074733072513#/reservations/31715289854102?display=Isiah%20Eebon&amp;reservation_id=31715289854102&amp;guest_id=31715289854088", "Isiah Eebon")</f>
        <v>Isiah Eebon</v>
      </c>
      <c r="E5662" t="s">
        <v>12788</v>
      </c>
      <c r="F5662" t="s">
        <v>11694</v>
      </c>
      <c r="G5662">
        <v>170.1</v>
      </c>
      <c r="H5662">
        <v>184.89</v>
      </c>
      <c r="I5662">
        <v>184.9</v>
      </c>
      <c r="J5662">
        <v>-0.01</v>
      </c>
    </row>
    <row r="5663" spans="1:10" x14ac:dyDescent="0.3">
      <c r="A5663" t="str">
        <f>HYPERLINK("https://us2.cloudbeds.com/connect/10074733072513#/reservations/31713554563292?display=MX46R7U27&amp;reservation_id=31713554563292", "MX46R7U27")</f>
        <v>MX46R7U27</v>
      </c>
      <c r="B5663" t="s">
        <v>10</v>
      </c>
      <c r="C5663" t="s">
        <v>23</v>
      </c>
      <c r="D5663" t="str">
        <f>HYPERLINK("https://us2.cloudbeds.com/connect/10074733072513#/reservations/31713554563292?display=Jerry%20Harms&amp;reservation_id=31713554563292&amp;guest_id=31713554563287", "Jerry Harms")</f>
        <v>Jerry Harms</v>
      </c>
      <c r="E5663" t="s">
        <v>12799</v>
      </c>
      <c r="F5663" t="s">
        <v>12564</v>
      </c>
      <c r="G5663">
        <v>90.1</v>
      </c>
      <c r="H5663">
        <v>97.93</v>
      </c>
      <c r="I5663">
        <v>97.94</v>
      </c>
      <c r="J5663">
        <v>-0.01</v>
      </c>
    </row>
    <row r="5664" spans="1:10" x14ac:dyDescent="0.3">
      <c r="A5664" t="str">
        <f>HYPERLINK("https://us2.cloudbeds.com/connect/10074733072513#/reservations/31714348630268?display=MX4R3QWRR&amp;reservation_id=31714348630268", "MX4R3QWRR")</f>
        <v>MX4R3QWRR</v>
      </c>
      <c r="B5664" t="s">
        <v>10</v>
      </c>
      <c r="C5664" t="s">
        <v>23</v>
      </c>
      <c r="D5664" t="str">
        <f>HYPERLINK("https://us2.cloudbeds.com/connect/10074733072513#/reservations/31714348630268?display=Cheryl%20Wilts&amp;reservation_id=31714348630268&amp;guest_id=31714348630219", "Cheryl Wilts")</f>
        <v>Cheryl Wilts</v>
      </c>
      <c r="E5664" t="s">
        <v>12819</v>
      </c>
      <c r="F5664" t="s">
        <v>12790</v>
      </c>
      <c r="G5664">
        <v>250.2</v>
      </c>
      <c r="H5664">
        <v>271.95999999999998</v>
      </c>
      <c r="I5664">
        <v>271.97000000000003</v>
      </c>
      <c r="J5664">
        <v>-0.01</v>
      </c>
    </row>
    <row r="5665" spans="1:10" x14ac:dyDescent="0.3">
      <c r="A5665" t="str">
        <f>HYPERLINK("https://us2.cloudbeds.com/connect/10074733072513#/reservations/31712267026575?display=MX36UXA12&amp;reservation_id=31712267026575", "MX36UXA12")</f>
        <v>MX36UXA12</v>
      </c>
      <c r="B5665" t="s">
        <v>10</v>
      </c>
      <c r="C5665" t="s">
        <v>23</v>
      </c>
      <c r="D5665" t="str">
        <f>HYPERLINK("https://us2.cloudbeds.com/connect/10074733072513#/reservations/31712267026575?display=Deborah%20Prelesnik&amp;reservation_id=31712267026575&amp;guest_id=31712256725246", "Deborah Prelesnik")</f>
        <v>Deborah Prelesnik</v>
      </c>
      <c r="E5665" t="s">
        <v>12820</v>
      </c>
      <c r="F5665" t="s">
        <v>11371</v>
      </c>
      <c r="G5665">
        <v>154.24</v>
      </c>
      <c r="H5665">
        <v>167.65</v>
      </c>
      <c r="I5665">
        <v>167.66</v>
      </c>
      <c r="J5665">
        <v>-0.01</v>
      </c>
    </row>
    <row r="5666" spans="1:10" x14ac:dyDescent="0.3">
      <c r="A5666" t="str">
        <f>HYPERLINK("https://us2.cloudbeds.com/connect/10074733072513#/reservations/31714999496899?display=MX5AZYAH3&amp;reservation_id=31714999496899", "MX5AZYAH3")</f>
        <v>MX5AZYAH3</v>
      </c>
      <c r="B5666" t="s">
        <v>10</v>
      </c>
      <c r="C5666" t="s">
        <v>23</v>
      </c>
      <c r="D5666" t="str">
        <f>HYPERLINK("https://us2.cloudbeds.com/connect/10074733072513#/reservations/31714999496899?display=Scott%20Berndt&amp;reservation_id=31714999496899&amp;guest_id=31714999492841", "Scott Berndt")</f>
        <v>Scott Berndt</v>
      </c>
      <c r="E5666" t="s">
        <v>12827</v>
      </c>
      <c r="F5666" t="s">
        <v>12223</v>
      </c>
      <c r="G5666">
        <v>143.66</v>
      </c>
      <c r="H5666">
        <v>156.15</v>
      </c>
      <c r="I5666">
        <v>156.16</v>
      </c>
      <c r="J5666">
        <v>-0.01</v>
      </c>
    </row>
    <row r="5667" spans="1:10" x14ac:dyDescent="0.3">
      <c r="A5667" t="str">
        <f>HYPERLINK("https://us2.cloudbeds.com/connect/10074733072513#/reservations/31701805002898?display=MHS3JN2DX&amp;reservation_id=31701805002898", "MHS3JN2DX")</f>
        <v>MHS3JN2DX</v>
      </c>
      <c r="B5667" t="s">
        <v>10</v>
      </c>
      <c r="C5667" t="s">
        <v>23</v>
      </c>
      <c r="D5667" t="str">
        <f>HYPERLINK("https://us2.cloudbeds.com/connect/10074733072513#/reservations/31701805002898?display=Chad%20Belcher&amp;reservation_id=31701805002898&amp;guest_id=31701805002894", "Chad Belcher")</f>
        <v>Chad Belcher</v>
      </c>
      <c r="E5667" t="s">
        <v>12829</v>
      </c>
      <c r="F5667" t="s">
        <v>12830</v>
      </c>
      <c r="G5667">
        <v>134.1</v>
      </c>
      <c r="H5667">
        <v>145.76</v>
      </c>
      <c r="I5667">
        <v>145.77000000000001</v>
      </c>
      <c r="J5667">
        <v>-0.01</v>
      </c>
    </row>
    <row r="5668" spans="1:10" x14ac:dyDescent="0.3">
      <c r="A5668" t="str">
        <f>HYPERLINK("https://us2.cloudbeds.com/connect/10074733072513#/reservations/31711832600751?display=MX2SR7P85&amp;reservation_id=31711832600751", "MX2SR7P85")</f>
        <v>MX2SR7P85</v>
      </c>
      <c r="B5668" t="s">
        <v>10</v>
      </c>
      <c r="C5668" t="s">
        <v>23</v>
      </c>
      <c r="D5668" t="str">
        <f>HYPERLINK("https://us2.cloudbeds.com/connect/10074733072513#/reservations/31711832600751?display=Sandy%20Stout&amp;reservation_id=31711832600751&amp;guest_id=31711832600749", "Sandy Stout")</f>
        <v>Sandy Stout</v>
      </c>
      <c r="E5668" t="s">
        <v>12832</v>
      </c>
      <c r="F5668" t="s">
        <v>12701</v>
      </c>
      <c r="G5668">
        <v>134.1</v>
      </c>
      <c r="H5668">
        <v>145.76</v>
      </c>
      <c r="I5668">
        <v>145.77000000000001</v>
      </c>
      <c r="J5668">
        <v>-0.01</v>
      </c>
    </row>
    <row r="5669" spans="1:10" x14ac:dyDescent="0.3">
      <c r="A5669" t="str">
        <f>HYPERLINK("https://us2.cloudbeds.com/connect/10074733072513#/reservations/31702824800495?display=MHSTYKEM1&amp;reservation_id=31702824800495", "MHSTYKEM1")</f>
        <v>MHSTYKEM1</v>
      </c>
      <c r="B5669" t="s">
        <v>10</v>
      </c>
      <c r="C5669" t="s">
        <v>42</v>
      </c>
      <c r="D5669" t="str">
        <f>HYPERLINK("https://us2.cloudbeds.com/connect/10074733072513#/reservations/31702824800495?display=Kenneth%20Haak&amp;reservation_id=31702824800495&amp;guest_id=31702824800489", "Kenneth Haak")</f>
        <v>Kenneth Haak</v>
      </c>
      <c r="E5669" t="s">
        <v>12834</v>
      </c>
      <c r="F5669" t="s">
        <v>12835</v>
      </c>
      <c r="G5669">
        <v>456.3</v>
      </c>
      <c r="H5669">
        <v>495.99</v>
      </c>
      <c r="I5669">
        <v>496</v>
      </c>
      <c r="J5669">
        <v>-0.01</v>
      </c>
    </row>
    <row r="5670" spans="1:10" x14ac:dyDescent="0.3">
      <c r="A5670" t="str">
        <f>HYPERLINK("https://us2.cloudbeds.com/connect/10074733072513#/reservations/31711633555603?display=MX2NZD1B0&amp;reservation_id=31711633555603", "MX2NZD1B0")</f>
        <v>MX2NZD1B0</v>
      </c>
      <c r="B5670" t="s">
        <v>10</v>
      </c>
      <c r="C5670" t="s">
        <v>42</v>
      </c>
      <c r="D5670" t="str">
        <f>HYPERLINK("https://us2.cloudbeds.com/connect/10074733072513#/reservations/31711633555603?display=Mark%20Donahoo&amp;reservation_id=31711633555603&amp;guest_id=31711625457910", "Mark Donahoo")</f>
        <v>Mark Donahoo</v>
      </c>
      <c r="E5670" t="s">
        <v>12839</v>
      </c>
      <c r="F5670" t="s">
        <v>12333</v>
      </c>
      <c r="G5670">
        <v>250.2</v>
      </c>
      <c r="H5670">
        <v>271.95999999999998</v>
      </c>
      <c r="I5670">
        <v>271.97000000000003</v>
      </c>
      <c r="J5670">
        <v>-0.01</v>
      </c>
    </row>
    <row r="5671" spans="1:10" x14ac:dyDescent="0.3">
      <c r="A5671" t="str">
        <f>HYPERLINK("https://us2.cloudbeds.com/connect/10074733072513#/reservations/31715257180386?display=MX5HAUZFK&amp;reservation_id=31715257180386", "MX5HAUZFK")</f>
        <v>MX5HAUZFK</v>
      </c>
      <c r="B5671" t="s">
        <v>10</v>
      </c>
      <c r="C5671" t="s">
        <v>23</v>
      </c>
      <c r="D5671" t="str">
        <f>HYPERLINK("https://us2.cloudbeds.com/connect/10074733072513#/reservations/31715257180386?display=James%20Kleingartner&amp;reservation_id=31715257180386&amp;guest_id=31715250065543", "James Kleingartner")</f>
        <v>James Kleingartner</v>
      </c>
      <c r="E5671" t="s">
        <v>12840</v>
      </c>
      <c r="F5671" t="s">
        <v>11856</v>
      </c>
      <c r="G5671">
        <v>250.2</v>
      </c>
      <c r="H5671">
        <v>271.95999999999998</v>
      </c>
      <c r="I5671">
        <v>271.97000000000003</v>
      </c>
      <c r="J5671">
        <v>-0.01</v>
      </c>
    </row>
    <row r="5672" spans="1:10" x14ac:dyDescent="0.3">
      <c r="A5672" t="str">
        <f>HYPERLINK("https://us2.cloudbeds.com/connect/10074733072513#/reservations/31713523679391?display=MX4616H6E&amp;reservation_id=31713523679391", "MX4616H6E")</f>
        <v>MX4616H6E</v>
      </c>
      <c r="B5672" t="s">
        <v>10</v>
      </c>
      <c r="C5672" t="s">
        <v>23</v>
      </c>
      <c r="D5672" t="str">
        <f>HYPERLINK("https://us2.cloudbeds.com/connect/10074733072513#/reservations/31713523679391?display=Thomas%20Grell&amp;reservation_id=31713523679391&amp;guest_id=31713523679389", "Thomas Grell")</f>
        <v>Thomas Grell</v>
      </c>
      <c r="E5672" t="s">
        <v>12841</v>
      </c>
      <c r="F5672" t="s">
        <v>12363</v>
      </c>
      <c r="G5672">
        <v>134.1</v>
      </c>
      <c r="H5672">
        <v>145.76</v>
      </c>
      <c r="I5672">
        <v>145.77000000000001</v>
      </c>
      <c r="J5672">
        <v>-0.01</v>
      </c>
    </row>
    <row r="5673" spans="1:10" x14ac:dyDescent="0.3">
      <c r="A5673" t="str">
        <f>HYPERLINK("https://us2.cloudbeds.com/connect/10074733072513#/reservations/31713400279264?display=MX42T4Z3Y&amp;reservation_id=31713400279264", "MX42T4Z3Y")</f>
        <v>MX42T4Z3Y</v>
      </c>
      <c r="B5673" t="s">
        <v>10</v>
      </c>
      <c r="C5673" t="s">
        <v>23</v>
      </c>
      <c r="D5673" t="str">
        <f>HYPERLINK("https://us2.cloudbeds.com/connect/10074733072513#/reservations/31713400279264?display=Steve%20French&amp;reservation_id=31713400279264&amp;guest_id=31713387045099", "Steve French")</f>
        <v>Steve French</v>
      </c>
      <c r="E5673" t="s">
        <v>12849</v>
      </c>
      <c r="F5673" t="s">
        <v>8603</v>
      </c>
      <c r="G5673">
        <v>143.66</v>
      </c>
      <c r="H5673">
        <v>156.15</v>
      </c>
      <c r="I5673">
        <v>156.16</v>
      </c>
      <c r="J5673">
        <v>-0.01</v>
      </c>
    </row>
    <row r="5674" spans="1:10" x14ac:dyDescent="0.3">
      <c r="A5674" t="str">
        <f>HYPERLINK("https://us2.cloudbeds.com/connect/10074733072513#/reservations/31710832050377?display=MX238HW6S&amp;reservation_id=31710832050377", "MX238HW6S")</f>
        <v>MX238HW6S</v>
      </c>
      <c r="B5674" t="s">
        <v>10</v>
      </c>
      <c r="C5674" t="s">
        <v>42</v>
      </c>
      <c r="D5674" t="str">
        <f>HYPERLINK("https://us2.cloudbeds.com/connect/10074733072513#/reservations/31710832050377?display=Gail%20Rasmussen&amp;reservation_id=31710832050377&amp;guest_id=31710832050375", "Gail Rasmussen")</f>
        <v>Gail Rasmussen</v>
      </c>
      <c r="E5674" t="s">
        <v>12851</v>
      </c>
      <c r="F5674" t="s">
        <v>10330</v>
      </c>
      <c r="G5674">
        <v>250.2</v>
      </c>
      <c r="H5674">
        <v>271.95999999999998</v>
      </c>
      <c r="I5674">
        <v>271.97000000000003</v>
      </c>
      <c r="J5674">
        <v>-0.01</v>
      </c>
    </row>
    <row r="5675" spans="1:10" x14ac:dyDescent="0.3">
      <c r="A5675" t="str">
        <f>HYPERLINK("https://us2.cloudbeds.com/connect/10074733072513#/reservations/31711679312100?display=MX2ZTW9AH&amp;reservation_id=31711679312100", "MX2ZTW9AH")</f>
        <v>MX2ZTW9AH</v>
      </c>
      <c r="B5675" t="s">
        <v>10</v>
      </c>
      <c r="C5675" t="s">
        <v>23</v>
      </c>
      <c r="D5675" t="str">
        <f>HYPERLINK("https://us2.cloudbeds.com/connect/10074733072513#/reservations/31711679312100?display=Holly%20Mitchell&amp;reservation_id=31711679312100&amp;guest_id=31711667359883", "Holly Mitchell")</f>
        <v>Holly Mitchell</v>
      </c>
      <c r="E5675" t="s">
        <v>12852</v>
      </c>
      <c r="F5675" t="s">
        <v>12333</v>
      </c>
      <c r="G5675">
        <v>208.6</v>
      </c>
      <c r="H5675">
        <v>226.74</v>
      </c>
      <c r="I5675">
        <v>226.75</v>
      </c>
      <c r="J5675">
        <v>-0.01</v>
      </c>
    </row>
    <row r="5676" spans="1:10" x14ac:dyDescent="0.3">
      <c r="A5676" t="str">
        <f>HYPERLINK("https://us2.cloudbeds.com/connect/10074733072513#/reservations/31712141344980?display=MX33NJ0UT&amp;reservation_id=31712141344980", "MX33NJ0UT")</f>
        <v>MX33NJ0UT</v>
      </c>
      <c r="B5676" t="s">
        <v>10</v>
      </c>
      <c r="C5676" t="s">
        <v>23</v>
      </c>
      <c r="D5676" t="str">
        <f>HYPERLINK("https://us2.cloudbeds.com/connect/10074733072513#/reservations/31712141344980?display=Kaden%20Redman&amp;reservation_id=31712141344980&amp;guest_id=31712141344975", "Kaden Redman")</f>
        <v>Kaden Redman</v>
      </c>
      <c r="E5676" t="s">
        <v>12865</v>
      </c>
      <c r="F5676" t="s">
        <v>12561</v>
      </c>
      <c r="G5676">
        <v>338.48</v>
      </c>
      <c r="H5676">
        <v>367.92</v>
      </c>
      <c r="I5676">
        <v>367.93</v>
      </c>
      <c r="J5676">
        <v>-0.01</v>
      </c>
    </row>
    <row r="5677" spans="1:10" x14ac:dyDescent="0.3">
      <c r="A5677" t="str">
        <f>HYPERLINK("https://us2.cloudbeds.com/connect/10074733072513#/reservations/31712060752099?display=MX31YKDKC&amp;reservation_id=31712060752099", "MX31YKDKC")</f>
        <v>MX31YKDKC</v>
      </c>
      <c r="B5677" t="s">
        <v>10</v>
      </c>
      <c r="C5677" t="s">
        <v>23</v>
      </c>
      <c r="D5677" t="str">
        <f>HYPERLINK("https://us2.cloudbeds.com/connect/10074733072513#/reservations/31712060752099?display=Kane%20Lapinski&amp;reservation_id=31712060752099&amp;guest_id=31712060752096", "Kane Lapinski")</f>
        <v>Kane Lapinski</v>
      </c>
      <c r="E5677" t="s">
        <v>12866</v>
      </c>
      <c r="F5677" t="s">
        <v>12561</v>
      </c>
      <c r="G5677">
        <v>338.48</v>
      </c>
      <c r="H5677">
        <v>367.92</v>
      </c>
      <c r="I5677">
        <v>367.93</v>
      </c>
      <c r="J5677">
        <v>-0.01</v>
      </c>
    </row>
    <row r="5678" spans="1:10" x14ac:dyDescent="0.3">
      <c r="A5678" t="str">
        <f>HYPERLINK("https://us2.cloudbeds.com/connect/10074733072513#/reservations/31711940866199?display=MX2VJHDXA&amp;reservation_id=31711940866199", "MX2VJHDXA")</f>
        <v>MX2VJHDXA</v>
      </c>
      <c r="B5678" t="s">
        <v>10</v>
      </c>
      <c r="C5678" t="s">
        <v>23</v>
      </c>
      <c r="D5678" t="str">
        <f>HYPERLINK("https://us2.cloudbeds.com/connect/10074733072513#/reservations/31711940866199?display=Kole%20Ferge&amp;reservation_id=31711940866199&amp;guest_id=31711940866194", "Kole Ferge")</f>
        <v>Kole Ferge</v>
      </c>
      <c r="E5678" t="s">
        <v>12869</v>
      </c>
      <c r="F5678" t="s">
        <v>12561</v>
      </c>
      <c r="G5678">
        <v>338.48</v>
      </c>
      <c r="H5678">
        <v>367.92</v>
      </c>
      <c r="I5678">
        <v>367.93</v>
      </c>
      <c r="J5678">
        <v>-0.01</v>
      </c>
    </row>
    <row r="5679" spans="1:10" x14ac:dyDescent="0.3">
      <c r="A5679" t="str">
        <f>HYPERLINK("https://us2.cloudbeds.com/connect/10074733072513#/reservations/31711605821641?display=MX2N109VU&amp;reservation_id=31711605821641", "MX2N109VU")</f>
        <v>MX2N109VU</v>
      </c>
      <c r="B5679" t="s">
        <v>10</v>
      </c>
      <c r="C5679" t="s">
        <v>23</v>
      </c>
      <c r="D5679" t="str">
        <f>HYPERLINK("https://us2.cloudbeds.com/connect/10074733072513#/reservations/31711605821641?display=Robin%20Pohlman&amp;reservation_id=31711605821641&amp;guest_id=31711605817592", "Robin Pohlman")</f>
        <v>Robin Pohlman</v>
      </c>
      <c r="E5679" t="s">
        <v>12878</v>
      </c>
      <c r="F5679" t="s">
        <v>12333</v>
      </c>
      <c r="G5679">
        <v>170.1</v>
      </c>
      <c r="H5679">
        <v>184.89</v>
      </c>
      <c r="I5679">
        <v>184.9</v>
      </c>
      <c r="J5679">
        <v>-0.01</v>
      </c>
    </row>
    <row r="5680" spans="1:10" x14ac:dyDescent="0.3">
      <c r="A5680" t="str">
        <f>HYPERLINK("https://us2.cloudbeds.com/connect/10074733072513#/reservations/31701820309647?display=MHS3WK06E&amp;reservation_id=31701820309647", "MHS3WK06E")</f>
        <v>MHS3WK06E</v>
      </c>
      <c r="B5680" t="s">
        <v>10</v>
      </c>
      <c r="C5680" t="s">
        <v>23</v>
      </c>
      <c r="D5680" t="str">
        <f>HYPERLINK("https://us2.cloudbeds.com/connect/10074733072513#/reservations/31701820309647?display=Ann%20Prosser&amp;reservation_id=31701820309647&amp;guest_id=31701814739182", "Ann Prosser")</f>
        <v>Ann Prosser</v>
      </c>
      <c r="E5680" t="s">
        <v>12880</v>
      </c>
      <c r="F5680" t="s">
        <v>12881</v>
      </c>
      <c r="G5680">
        <v>250.2</v>
      </c>
      <c r="H5680">
        <v>271.95999999999998</v>
      </c>
      <c r="I5680">
        <v>271.97000000000003</v>
      </c>
      <c r="J5680">
        <v>-0.01</v>
      </c>
    </row>
    <row r="5681" spans="1:10" x14ac:dyDescent="0.3">
      <c r="A5681" t="str">
        <f>HYPERLINK("https://us2.cloudbeds.com/connect/10074733072513#/reservations/31711344865525?display=MX2GBVQRR&amp;reservation_id=31711344865525", "MX2GBVQRR")</f>
        <v>MX2GBVQRR</v>
      </c>
      <c r="B5681" t="s">
        <v>10</v>
      </c>
      <c r="C5681" t="s">
        <v>23</v>
      </c>
      <c r="D5681" t="str">
        <f>HYPERLINK("https://us2.cloudbeds.com/connect/10074733072513#/reservations/31711344865525?display=Olivia%20Williams&amp;reservation_id=31711344865525&amp;guest_id=31711344865477", "Olivia Williams")</f>
        <v>Olivia Williams</v>
      </c>
      <c r="E5681" t="s">
        <v>12882</v>
      </c>
      <c r="F5681" t="s">
        <v>8603</v>
      </c>
      <c r="G5681">
        <v>154.24</v>
      </c>
      <c r="H5681">
        <v>167.65</v>
      </c>
      <c r="I5681">
        <v>167.66</v>
      </c>
      <c r="J5681">
        <v>-0.01</v>
      </c>
    </row>
    <row r="5682" spans="1:10" x14ac:dyDescent="0.3">
      <c r="A5682" t="str">
        <f>HYPERLINK("https://us2.cloudbeds.com/connect/10074733072513#/reservations/31711339880603?display=MX2G7P3AJ&amp;reservation_id=31711339880603", "MX2G7P3AJ")</f>
        <v>MX2G7P3AJ</v>
      </c>
      <c r="B5682" t="s">
        <v>10</v>
      </c>
      <c r="C5682" t="s">
        <v>23</v>
      </c>
      <c r="D5682" t="str">
        <f>HYPERLINK("https://us2.cloudbeds.com/connect/10074733072513#/reservations/31711339880603?display=Shawn%20Clemmons&amp;reservation_id=31711339880603&amp;guest_id=31711323410574", "Shawn Clemmons")</f>
        <v>Shawn Clemmons</v>
      </c>
      <c r="E5682" t="s">
        <v>12883</v>
      </c>
      <c r="F5682" t="s">
        <v>8603</v>
      </c>
      <c r="G5682">
        <v>154.24</v>
      </c>
      <c r="H5682">
        <v>167.65</v>
      </c>
      <c r="I5682">
        <v>167.66</v>
      </c>
      <c r="J5682">
        <v>-0.01</v>
      </c>
    </row>
    <row r="5683" spans="1:10" x14ac:dyDescent="0.3">
      <c r="A5683" t="str">
        <f>HYPERLINK("https://us2.cloudbeds.com/connect/10074733072513#/reservations/31714621825196?display=MX51361X1&amp;reservation_id=31714621825196", "MX51361X1")</f>
        <v>MX51361X1</v>
      </c>
      <c r="B5683" t="s">
        <v>10</v>
      </c>
      <c r="C5683" t="s">
        <v>23</v>
      </c>
      <c r="D5683" t="str">
        <f>HYPERLINK("https://us2.cloudbeds.com/connect/10074733072513#/reservations/31714621825196?display=Olivia%20Williams&amp;reservation_id=31714621825196&amp;guest_id=31714621825180", "Olivia Williams")</f>
        <v>Olivia Williams</v>
      </c>
      <c r="E5683" t="s">
        <v>12885</v>
      </c>
      <c r="F5683" t="s">
        <v>8603</v>
      </c>
      <c r="G5683">
        <v>154.24</v>
      </c>
      <c r="H5683">
        <v>167.65</v>
      </c>
      <c r="I5683">
        <v>167.66</v>
      </c>
      <c r="J5683">
        <v>-0.01</v>
      </c>
    </row>
    <row r="5684" spans="1:10" x14ac:dyDescent="0.3">
      <c r="A5684" t="str">
        <f>HYPERLINK("https://us2.cloudbeds.com/connect/10074733072513#/reservations/31713366814936?display=MX420UHN3&amp;reservation_id=31713366814936", "MX420UHN3")</f>
        <v>MX420UHN3</v>
      </c>
      <c r="B5684" t="s">
        <v>10</v>
      </c>
      <c r="C5684" t="s">
        <v>42</v>
      </c>
      <c r="D5684" t="str">
        <f>HYPERLINK("https://us2.cloudbeds.com/connect/10074733072513#/reservations/31713366814936?display=Michelle%20Keck&amp;reservation_id=31713366814936&amp;guest_id=31713361461438", "Michelle Keck")</f>
        <v>Michelle Keck</v>
      </c>
      <c r="E5684" t="s">
        <v>12888</v>
      </c>
      <c r="F5684" t="s">
        <v>8603</v>
      </c>
      <c r="G5684">
        <v>224.1</v>
      </c>
      <c r="H5684">
        <v>243.59</v>
      </c>
      <c r="I5684">
        <v>243.6</v>
      </c>
      <c r="J5684">
        <v>-0.01</v>
      </c>
    </row>
    <row r="5685" spans="1:10" x14ac:dyDescent="0.3">
      <c r="A5685" t="str">
        <f>HYPERLINK("https://us2.cloudbeds.com/connect/10074733072513#/reservations/31714166182040?display=MX4MEW3EM&amp;reservation_id=31714166182040", "MX4MEW3EM")</f>
        <v>MX4MEW3EM</v>
      </c>
      <c r="B5685" t="s">
        <v>10</v>
      </c>
      <c r="C5685" t="s">
        <v>42</v>
      </c>
      <c r="D5685" t="str">
        <f>HYPERLINK("https://us2.cloudbeds.com/connect/10074733072513#/reservations/31714166182040?display=John%20Murphy&amp;reservation_id=31714166182040&amp;guest_id=31702621143171", "John Murphy")</f>
        <v>John Murphy</v>
      </c>
      <c r="E5685" t="s">
        <v>12899</v>
      </c>
      <c r="F5685" t="s">
        <v>12078</v>
      </c>
      <c r="G5685">
        <v>134.1</v>
      </c>
      <c r="H5685">
        <v>145.76</v>
      </c>
      <c r="I5685">
        <v>145.77000000000001</v>
      </c>
      <c r="J5685">
        <v>-0.01</v>
      </c>
    </row>
    <row r="5686" spans="1:10" x14ac:dyDescent="0.3">
      <c r="A5686" t="str">
        <f>HYPERLINK("https://us2.cloudbeds.com/connect/10074733072513#/reservations/31712485826815?display=MX3CH1ZHC&amp;reservation_id=31712485826815", "MX3CH1ZHC")</f>
        <v>MX3CH1ZHC</v>
      </c>
      <c r="B5686" t="s">
        <v>10</v>
      </c>
      <c r="C5686" t="s">
        <v>42</v>
      </c>
      <c r="D5686" t="str">
        <f>HYPERLINK("https://us2.cloudbeds.com/connect/10074733072513#/reservations/31712485826815?display=Edward%20Rondeau&amp;reservation_id=31712485826815&amp;guest_id=31702480199820", "Edward Rondeau")</f>
        <v>Edward Rondeau</v>
      </c>
      <c r="E5686" t="s">
        <v>12900</v>
      </c>
      <c r="F5686" t="s">
        <v>12078</v>
      </c>
      <c r="G5686">
        <v>134.1</v>
      </c>
      <c r="H5686">
        <v>145.76</v>
      </c>
      <c r="I5686">
        <v>145.77000000000001</v>
      </c>
      <c r="J5686">
        <v>-0.01</v>
      </c>
    </row>
    <row r="5687" spans="1:10" x14ac:dyDescent="0.3">
      <c r="A5687" t="str">
        <f>HYPERLINK("https://us2.cloudbeds.com/connect/10074733072513#/reservations/31711786737868?display=MX2RYXXXR&amp;reservation_id=31711786737868", "MX2RYXXXR")</f>
        <v>MX2RYXXXR</v>
      </c>
      <c r="B5687" t="s">
        <v>10</v>
      </c>
      <c r="C5687" t="s">
        <v>23</v>
      </c>
      <c r="D5687" t="str">
        <f>HYPERLINK("https://us2.cloudbeds.com/connect/10074733072513#/reservations/31711786737868?display=Billi%20Gillespie&amp;reservation_id=31711786737868&amp;guest_id=31711786733776", "Billi Gillespie")</f>
        <v>Billi Gillespie</v>
      </c>
      <c r="E5687" t="s">
        <v>12901</v>
      </c>
      <c r="F5687" t="s">
        <v>12897</v>
      </c>
      <c r="G5687">
        <v>134.1</v>
      </c>
      <c r="H5687">
        <v>145.76</v>
      </c>
      <c r="I5687">
        <v>145.77000000000001</v>
      </c>
      <c r="J5687">
        <v>-0.01</v>
      </c>
    </row>
    <row r="5688" spans="1:10" x14ac:dyDescent="0.3">
      <c r="A5688" t="str">
        <f>HYPERLINK("https://us2.cloudbeds.com/connect/10074733072513#/reservations/31712393003220?display=MX3A4PQ25&amp;reservation_id=31712393003220", "MX3A4PQ25")</f>
        <v>MX3A4PQ25</v>
      </c>
      <c r="B5688" t="s">
        <v>10</v>
      </c>
      <c r="C5688" t="s">
        <v>23</v>
      </c>
      <c r="D5688" t="str">
        <f>HYPERLINK("https://us2.cloudbeds.com/connect/10074733072513#/reservations/31712393003220?display=Patricia%20Abrego&amp;reservation_id=31712393003220&amp;guest_id=31712387928251", "Patricia Abrego")</f>
        <v>Patricia Abrego</v>
      </c>
      <c r="E5688" t="s">
        <v>12902</v>
      </c>
      <c r="F5688" t="s">
        <v>11371</v>
      </c>
      <c r="G5688">
        <v>154.24</v>
      </c>
      <c r="H5688">
        <v>167.65</v>
      </c>
      <c r="I5688">
        <v>167.66</v>
      </c>
      <c r="J5688">
        <v>-0.01</v>
      </c>
    </row>
    <row r="5689" spans="1:10" x14ac:dyDescent="0.3">
      <c r="A5689" t="str">
        <f>HYPERLINK("https://us2.cloudbeds.com/connect/10074733072513#/reservations/31713797058708?display=MX4D0NN75&amp;reservation_id=31713797058708", "MX4D0NN75")</f>
        <v>MX4D0NN75</v>
      </c>
      <c r="B5689" t="s">
        <v>10</v>
      </c>
      <c r="C5689" t="s">
        <v>42</v>
      </c>
      <c r="D5689" t="str">
        <f>HYPERLINK("https://us2.cloudbeds.com/connect/10074733072513#/reservations/31713797058708?display=John%20Murphy&amp;reservation_id=31713797058708&amp;guest_id=31702621143171", "John Murphy")</f>
        <v>John Murphy</v>
      </c>
      <c r="E5689" t="s">
        <v>12899</v>
      </c>
      <c r="F5689" t="s">
        <v>12891</v>
      </c>
      <c r="G5689">
        <v>170.1</v>
      </c>
      <c r="H5689">
        <v>184.89</v>
      </c>
      <c r="I5689">
        <v>184.9</v>
      </c>
      <c r="J5689">
        <v>-0.01</v>
      </c>
    </row>
    <row r="5690" spans="1:10" x14ac:dyDescent="0.3">
      <c r="A5690" t="str">
        <f>HYPERLINK("https://us2.cloudbeds.com/connect/10074733072513#/reservations/31711796150463?display=MX2RTGFTW&amp;reservation_id=31711796150463", "MX2RTGFTW")</f>
        <v>MX2RTGFTW</v>
      </c>
      <c r="B5690" t="s">
        <v>10</v>
      </c>
      <c r="C5690" t="s">
        <v>23</v>
      </c>
      <c r="D5690" t="str">
        <f>HYPERLINK("https://us2.cloudbeds.com/connect/10074733072513#/reservations/31711796150463?display=Cory%20Rannow&amp;reservation_id=31711796150463&amp;guest_id=31711796150457", "Cory Rannow")</f>
        <v>Cory Rannow</v>
      </c>
      <c r="E5690" t="s">
        <v>12907</v>
      </c>
      <c r="F5690" t="s">
        <v>12561</v>
      </c>
      <c r="G5690">
        <v>380.8</v>
      </c>
      <c r="H5690">
        <v>413.92</v>
      </c>
      <c r="I5690">
        <v>413.93</v>
      </c>
      <c r="J5690">
        <v>-0.01</v>
      </c>
    </row>
    <row r="5691" spans="1:10" x14ac:dyDescent="0.3">
      <c r="A5691" t="str">
        <f>HYPERLINK("https://us2.cloudbeds.com/connect/10074733072513#/reservations/31711919468753?display=MX2V1FWRS&amp;reservation_id=31711919468753", "MX2V1FWRS")</f>
        <v>MX2V1FWRS</v>
      </c>
      <c r="B5691" t="s">
        <v>10</v>
      </c>
      <c r="C5691" t="s">
        <v>23</v>
      </c>
      <c r="D5691" t="str">
        <f>HYPERLINK("https://us2.cloudbeds.com/connect/10074733072513#/reservations/31711919468753?display=Beatriz%20Rodriguez&amp;reservation_id=31711919468753&amp;guest_id=31711919468742", "Beatriz Rodriguez")</f>
        <v>Beatriz Rodriguez</v>
      </c>
      <c r="E5691" t="s">
        <v>12909</v>
      </c>
      <c r="F5691" t="s">
        <v>12564</v>
      </c>
      <c r="G5691">
        <v>134.1</v>
      </c>
      <c r="H5691">
        <v>145.76</v>
      </c>
      <c r="I5691">
        <v>145.77000000000001</v>
      </c>
      <c r="J5691">
        <v>-0.01</v>
      </c>
    </row>
    <row r="5692" spans="1:10" x14ac:dyDescent="0.3">
      <c r="A5692" t="str">
        <f>HYPERLINK("https://us2.cloudbeds.com/connect/10074733072513#/reservations/31711991410887?display=MX2WT4TDH&amp;reservation_id=31711991410887", "MX2WT4TDH")</f>
        <v>MX2WT4TDH</v>
      </c>
      <c r="B5692" t="s">
        <v>10</v>
      </c>
      <c r="C5692" t="s">
        <v>23</v>
      </c>
      <c r="D5692" t="str">
        <f>HYPERLINK("https://us2.cloudbeds.com/connect/10074733072513#/reservations/31711991410887?display=Marvin%20Hudson&amp;reservation_id=31711991410887&amp;guest_id=31711986294956", "Marvin Hudson")</f>
        <v>Marvin Hudson</v>
      </c>
      <c r="E5692" t="s">
        <v>12911</v>
      </c>
      <c r="F5692" t="s">
        <v>12561</v>
      </c>
      <c r="G5692">
        <v>380.8</v>
      </c>
      <c r="H5692">
        <v>413.92</v>
      </c>
      <c r="I5692">
        <v>413.93</v>
      </c>
      <c r="J5692">
        <v>-0.01</v>
      </c>
    </row>
    <row r="5693" spans="1:10" x14ac:dyDescent="0.3">
      <c r="A5693" t="str">
        <f>HYPERLINK("https://us2.cloudbeds.com/connect/10074733072513#/reservations/31712080560285?display=MX325AJVE&amp;reservation_id=31712080560285", "MX325AJVE")</f>
        <v>MX325AJVE</v>
      </c>
      <c r="B5693" t="s">
        <v>10</v>
      </c>
      <c r="C5693" t="s">
        <v>23</v>
      </c>
      <c r="D5693" t="str">
        <f>HYPERLINK("https://us2.cloudbeds.com/connect/10074733072513#/reservations/31712080560285?display=Brad%20Steiner&amp;reservation_id=31712080560285&amp;guest_id=31712080556194", "Brad Steiner")</f>
        <v>Brad Steiner</v>
      </c>
      <c r="E5693" t="s">
        <v>12915</v>
      </c>
      <c r="F5693" t="s">
        <v>12561</v>
      </c>
      <c r="G5693">
        <v>280.10000000000002</v>
      </c>
      <c r="H5693">
        <v>304.45999999999998</v>
      </c>
      <c r="I5693">
        <v>304.47000000000003</v>
      </c>
      <c r="J5693">
        <v>-0.01</v>
      </c>
    </row>
    <row r="5694" spans="1:10" x14ac:dyDescent="0.3">
      <c r="A5694" t="str">
        <f>HYPERLINK("https://us2.cloudbeds.com/connect/10074733072513#/reservations/31713218658530?display=MX3V7WSJ1&amp;reservation_id=31713218658530", "MX3V7WSJ1")</f>
        <v>MX3V7WSJ1</v>
      </c>
      <c r="B5694" t="s">
        <v>10</v>
      </c>
      <c r="C5694" t="s">
        <v>23</v>
      </c>
      <c r="D5694" t="str">
        <f>HYPERLINK("https://us2.cloudbeds.com/connect/10074733072513#/reservations/31713218658530?display=Nick%20Blommer&amp;reservation_id=31713218658530&amp;guest_id=17963453169838", "Nick Blommer")</f>
        <v>Nick Blommer</v>
      </c>
      <c r="E5694" t="s">
        <v>9284</v>
      </c>
      <c r="F5694" t="s">
        <v>12897</v>
      </c>
      <c r="G5694">
        <v>304.2</v>
      </c>
      <c r="H5694">
        <v>330.66</v>
      </c>
      <c r="I5694">
        <v>330.67</v>
      </c>
      <c r="J5694">
        <v>-0.01</v>
      </c>
    </row>
    <row r="5695" spans="1:10" x14ac:dyDescent="0.3">
      <c r="A5695" t="str">
        <f>HYPERLINK("https://us2.cloudbeds.com/connect/10074733072513#/reservations/31713485177013?display=MX451Z4FN&amp;reservation_id=31713485177013", "MX451Z4FN")</f>
        <v>MX451Z4FN</v>
      </c>
      <c r="B5695" t="s">
        <v>10</v>
      </c>
      <c r="C5695" t="s">
        <v>42</v>
      </c>
      <c r="D5695" t="str">
        <f>HYPERLINK("https://us2.cloudbeds.com/connect/10074733072513#/reservations/31713485177013?display=Dave%20Lottman&amp;reservation_id=31713485177013&amp;guest_id=31713485177008", "Dave Lottman")</f>
        <v>Dave Lottman</v>
      </c>
      <c r="E5695" t="s">
        <v>12930</v>
      </c>
      <c r="F5695" t="s">
        <v>12837</v>
      </c>
      <c r="G5695">
        <v>134.1</v>
      </c>
      <c r="H5695">
        <v>145.76</v>
      </c>
      <c r="I5695">
        <v>145.77000000000001</v>
      </c>
      <c r="J5695">
        <v>-0.01</v>
      </c>
    </row>
    <row r="5696" spans="1:10" x14ac:dyDescent="0.3">
      <c r="A5696" t="str">
        <f>HYPERLINK("https://us2.cloudbeds.com/connect/10074733072513#/reservations/31712008704242?display=MX30AZ3EJ&amp;reservation_id=31712008704242", "MX30AZ3EJ")</f>
        <v>MX30AZ3EJ</v>
      </c>
      <c r="B5696" t="s">
        <v>10</v>
      </c>
      <c r="C5696" t="s">
        <v>23</v>
      </c>
      <c r="D5696" t="str">
        <f>HYPERLINK("https://us2.cloudbeds.com/connect/10074733072513#/reservations/31712008704242?display=Margaret%20Lord&amp;reservation_id=31712008704242&amp;guest_id=31711998759130", "Margaret Lord")</f>
        <v>Margaret Lord</v>
      </c>
      <c r="E5696" t="s">
        <v>12934</v>
      </c>
      <c r="F5696" t="s">
        <v>12280</v>
      </c>
      <c r="G5696">
        <v>170.1</v>
      </c>
      <c r="H5696">
        <v>184.89</v>
      </c>
      <c r="I5696">
        <v>184.9</v>
      </c>
      <c r="J5696">
        <v>-0.01</v>
      </c>
    </row>
    <row r="5697" spans="1:10" x14ac:dyDescent="0.3">
      <c r="A5697" t="str">
        <f>HYPERLINK("https://us2.cloudbeds.com/connect/10074733072513#/reservations/31713041117410?display=MX3QN9H83&amp;reservation_id=31713041117410", "MX3QN9H83")</f>
        <v>MX3QN9H83</v>
      </c>
      <c r="B5697" t="s">
        <v>10</v>
      </c>
      <c r="C5697" t="s">
        <v>23</v>
      </c>
      <c r="D5697" t="str">
        <f>HYPERLINK("https://us2.cloudbeds.com/connect/10074733072513#/reservations/31713041117410?display=Mark%20Beckenhauer&amp;reservation_id=31713041117410&amp;guest_id=31713041117398", "Mark Beckenhauer")</f>
        <v>Mark Beckenhauer</v>
      </c>
      <c r="E5697" t="s">
        <v>12935</v>
      </c>
      <c r="F5697" t="s">
        <v>9834</v>
      </c>
      <c r="G5697">
        <v>154.24</v>
      </c>
      <c r="H5697">
        <v>167.65</v>
      </c>
      <c r="I5697">
        <v>167.66</v>
      </c>
      <c r="J5697">
        <v>-0.01</v>
      </c>
    </row>
    <row r="5698" spans="1:10" x14ac:dyDescent="0.3">
      <c r="A5698" t="str">
        <f>HYPERLINK("https://us2.cloudbeds.com/connect/10074733072513#/reservations/31711835492504?display=MX2STM7M1&amp;reservation_id=31711835492504", "MX2STM7M1")</f>
        <v>MX2STM7M1</v>
      </c>
      <c r="B5698" t="s">
        <v>10</v>
      </c>
      <c r="C5698" t="s">
        <v>23</v>
      </c>
      <c r="D5698" t="str">
        <f>HYPERLINK("https://us2.cloudbeds.com/connect/10074733072513#/reservations/31711835492504?display=Chris%20Black&amp;reservation_id=31711835492504&amp;guest_id=31711835492501", "Chris Black")</f>
        <v>Chris Black</v>
      </c>
      <c r="E5698" t="s">
        <v>12945</v>
      </c>
      <c r="F5698" t="s">
        <v>12897</v>
      </c>
      <c r="G5698">
        <v>285.60000000000002</v>
      </c>
      <c r="H5698">
        <v>310.44</v>
      </c>
      <c r="I5698">
        <v>310.45</v>
      </c>
      <c r="J5698">
        <v>-0.01</v>
      </c>
    </row>
    <row r="5699" spans="1:10" x14ac:dyDescent="0.3">
      <c r="A5699" t="str">
        <f>HYPERLINK("https://us2.cloudbeds.com/connect/10074733072513#/reservations/31711762694319?display=MX2R19H0E&amp;reservation_id=31711762694319", "MX2R19H0E")</f>
        <v>MX2R19H0E</v>
      </c>
      <c r="B5699" t="s">
        <v>10</v>
      </c>
      <c r="C5699" t="s">
        <v>42</v>
      </c>
      <c r="D5699" t="str">
        <f>HYPERLINK("https://us2.cloudbeds.com/connect/10074733072513#/reservations/31711762694319?display=Kyle%20Thibodeaux&amp;reservation_id=31711762694319&amp;guest_id=31711749427427", "Kyle Thibodeaux")</f>
        <v>Kyle Thibodeaux</v>
      </c>
      <c r="E5699" t="s">
        <v>12947</v>
      </c>
      <c r="F5699" t="s">
        <v>12280</v>
      </c>
      <c r="G5699">
        <v>376.2</v>
      </c>
      <c r="H5699">
        <v>408.92</v>
      </c>
      <c r="I5699">
        <v>408.93</v>
      </c>
      <c r="J5699">
        <v>-0.01</v>
      </c>
    </row>
    <row r="5700" spans="1:10" x14ac:dyDescent="0.3">
      <c r="A5700" t="str">
        <f>HYPERLINK("https://us2.cloudbeds.com/connect/10074733072513#/reservations/31711312982262?display=MX2FX2K9B&amp;reservation_id=31711312982262", "MX2FX2K9B")</f>
        <v>MX2FX2K9B</v>
      </c>
      <c r="B5700" t="s">
        <v>10</v>
      </c>
      <c r="C5700" t="s">
        <v>42</v>
      </c>
      <c r="D5700" t="str">
        <f>HYPERLINK("https://us2.cloudbeds.com/connect/10074733072513#/reservations/31711312982262?display=Cindy%20Lien&amp;reservation_id=31711312982262&amp;guest_id=31700939161830", "Cindy Lien")</f>
        <v>Cindy Lien</v>
      </c>
      <c r="E5700" t="s">
        <v>12351</v>
      </c>
      <c r="F5700" t="s">
        <v>12952</v>
      </c>
      <c r="G5700">
        <v>134.1</v>
      </c>
      <c r="H5700">
        <v>145.76</v>
      </c>
      <c r="I5700">
        <v>145.77000000000001</v>
      </c>
      <c r="J5700">
        <v>-0.01</v>
      </c>
    </row>
    <row r="5701" spans="1:10" x14ac:dyDescent="0.3">
      <c r="A5701" t="str">
        <f>HYPERLINK("https://us2.cloudbeds.com/connect/10074733072513#/reservations/31711815835805?display=MX2SD38EG&amp;reservation_id=31711815835805", "MX2SD38EG")</f>
        <v>MX2SD38EG</v>
      </c>
      <c r="B5701" t="s">
        <v>10</v>
      </c>
      <c r="C5701" t="s">
        <v>23</v>
      </c>
      <c r="D5701" t="str">
        <f>HYPERLINK("https://us2.cloudbeds.com/connect/10074733072513#/reservations/31711815835805?display=Shaheed%20Aleem&amp;reservation_id=31711815835805&amp;guest_id=31711808323712", "Shaheed Aleem")</f>
        <v>Shaheed Aleem</v>
      </c>
      <c r="E5701" t="s">
        <v>12957</v>
      </c>
      <c r="F5701" t="s">
        <v>12897</v>
      </c>
      <c r="G5701">
        <v>285.60000000000002</v>
      </c>
      <c r="H5701">
        <v>310.44</v>
      </c>
      <c r="I5701">
        <v>310.45</v>
      </c>
      <c r="J5701">
        <v>-0.01</v>
      </c>
    </row>
    <row r="5702" spans="1:10" x14ac:dyDescent="0.3">
      <c r="A5702" t="str">
        <f>HYPERLINK("https://us2.cloudbeds.com/connect/10074733072513#/reservations/31711998755029?display=MX302B8B9&amp;reservation_id=31711998755029", "MX302B8B9")</f>
        <v>MX302B8B9</v>
      </c>
      <c r="B5702" t="s">
        <v>10</v>
      </c>
      <c r="C5702" t="s">
        <v>42</v>
      </c>
      <c r="D5702" t="str">
        <f>HYPERLINK("https://us2.cloudbeds.com/connect/10074733072513#/reservations/31711998755029?display=Kyle%20Thibodeaux&amp;reservation_id=31711998755029&amp;guest_id=31711988760763", "Kyle Thibodeaux")</f>
        <v>Kyle Thibodeaux</v>
      </c>
      <c r="E5702" t="s">
        <v>12947</v>
      </c>
      <c r="F5702" t="s">
        <v>12280</v>
      </c>
      <c r="G5702">
        <v>376.2</v>
      </c>
      <c r="H5702">
        <v>408.92</v>
      </c>
      <c r="I5702">
        <v>408.93</v>
      </c>
      <c r="J5702">
        <v>-0.01</v>
      </c>
    </row>
    <row r="5703" spans="1:10" x14ac:dyDescent="0.3">
      <c r="A5703" t="str">
        <f>HYPERLINK("https://us2.cloudbeds.com/connect/10074733072513#/reservations/31713393160413?display=MX42N4Y1T&amp;reservation_id=31713393160413", "MX42N4Y1T")</f>
        <v>MX42N4Y1T</v>
      </c>
      <c r="B5703" t="s">
        <v>10</v>
      </c>
      <c r="C5703" t="s">
        <v>42</v>
      </c>
      <c r="D5703" t="str">
        <f>HYPERLINK("https://us2.cloudbeds.com/connect/10074733072513#/reservations/31713393160413?display=Brian%20Wood&amp;reservation_id=31713393160413&amp;guest_id=31713393156317", "Brian Wood")</f>
        <v>Brian Wood</v>
      </c>
      <c r="E5703" t="s">
        <v>9941</v>
      </c>
      <c r="F5703" t="s">
        <v>9684</v>
      </c>
      <c r="G5703">
        <v>474.3</v>
      </c>
      <c r="H5703">
        <v>515.54999999999995</v>
      </c>
      <c r="I5703">
        <v>515.55999999999995</v>
      </c>
      <c r="J5703">
        <v>-0.01</v>
      </c>
    </row>
    <row r="5704" spans="1:10" x14ac:dyDescent="0.3">
      <c r="A5704" t="str">
        <f>HYPERLINK("https://us2.cloudbeds.com/connect/10074733072513#/reservations/31712826470615?display=MX3Y79YZP&amp;reservation_id=31712826470615", "MX3Y79YZP")</f>
        <v>MX3Y79YZP</v>
      </c>
      <c r="B5704" t="s">
        <v>10</v>
      </c>
      <c r="C5704" t="s">
        <v>42</v>
      </c>
      <c r="D5704" t="str">
        <f>HYPERLINK("https://us2.cloudbeds.com/connect/10074733072513#/reservations/31712826470615?display=Renae%20Fox&amp;reservation_id=31712826470615&amp;guest_id=31712826466524", "Renae Fox")</f>
        <v>Renae Fox</v>
      </c>
      <c r="E5704" t="s">
        <v>12965</v>
      </c>
      <c r="F5704" t="s">
        <v>12770</v>
      </c>
      <c r="G5704">
        <v>103.2</v>
      </c>
      <c r="H5704">
        <v>112.17</v>
      </c>
      <c r="I5704">
        <v>112.18</v>
      </c>
      <c r="J5704">
        <v>-0.01</v>
      </c>
    </row>
    <row r="5705" spans="1:10" x14ac:dyDescent="0.3">
      <c r="A5705" t="str">
        <f>HYPERLINK("https://us2.cloudbeds.com/connect/10074733072513#/reservations/31711031672966?display=MX28BSPC7&amp;reservation_id=31711031672966", "MX28BSPC7")</f>
        <v>MX28BSPC7</v>
      </c>
      <c r="B5705" t="s">
        <v>10</v>
      </c>
      <c r="C5705" t="s">
        <v>42</v>
      </c>
      <c r="D5705" t="str">
        <f>HYPERLINK("https://us2.cloudbeds.com/connect/10074733072513#/reservations/31711031672966?display=Lea%20Thibodeau&amp;reservation_id=31711031672966&amp;guest_id=31711025647861", "Lea Thibodeau")</f>
        <v>Lea Thibodeau</v>
      </c>
      <c r="E5705" t="s">
        <v>12966</v>
      </c>
      <c r="F5705" t="s">
        <v>12894</v>
      </c>
      <c r="G5705">
        <v>134.1</v>
      </c>
      <c r="H5705">
        <v>145.76</v>
      </c>
      <c r="I5705">
        <v>145.77000000000001</v>
      </c>
      <c r="J5705">
        <v>-0.01</v>
      </c>
    </row>
    <row r="5706" spans="1:10" x14ac:dyDescent="0.3">
      <c r="A5706" t="str">
        <f>HYPERLINK("https://us2.cloudbeds.com/connect/10074733072513#/reservations/31711273115866?display=MX2EHF90Z&amp;reservation_id=31711273115866", "MX2EHF90Z")</f>
        <v>MX2EHF90Z</v>
      </c>
      <c r="B5706" t="s">
        <v>10</v>
      </c>
      <c r="C5706" t="s">
        <v>42</v>
      </c>
      <c r="D5706" t="str">
        <f>HYPERLINK("https://us2.cloudbeds.com/connect/10074733072513#/reservations/31711273115866?display=David%20Dorsey&amp;reservation_id=31711273115866&amp;guest_id=31711273111755", "David Dorsey")</f>
        <v>David Dorsey</v>
      </c>
      <c r="E5706" t="s">
        <v>12971</v>
      </c>
      <c r="F5706" t="s">
        <v>12770</v>
      </c>
      <c r="G5706">
        <v>103.2</v>
      </c>
      <c r="H5706">
        <v>112.17</v>
      </c>
      <c r="I5706">
        <v>112.18</v>
      </c>
      <c r="J5706">
        <v>-0.01</v>
      </c>
    </row>
    <row r="5707" spans="1:10" x14ac:dyDescent="0.3">
      <c r="A5707" t="str">
        <f>HYPERLINK("https://us2.cloudbeds.com/connect/10074733072513#/reservations/31713289978075?display=MX4024EEC&amp;reservation_id=31713289978075", "MX4024EEC")</f>
        <v>MX4024EEC</v>
      </c>
      <c r="B5707" t="s">
        <v>10</v>
      </c>
      <c r="C5707" t="s">
        <v>23</v>
      </c>
      <c r="D5707" t="str">
        <f>HYPERLINK("https://us2.cloudbeds.com/connect/10074733072513#/reservations/31713289978075?display=Anne%20Sergeant&amp;reservation_id=31713289978075&amp;guest_id=31713282101434", "Anne Sergeant")</f>
        <v>Anne Sergeant</v>
      </c>
      <c r="E5707" t="s">
        <v>12972</v>
      </c>
      <c r="F5707" t="s">
        <v>12897</v>
      </c>
      <c r="G5707">
        <v>250.2</v>
      </c>
      <c r="H5707">
        <v>271.95999999999998</v>
      </c>
      <c r="I5707">
        <v>271.97000000000003</v>
      </c>
      <c r="J5707">
        <v>-0.01</v>
      </c>
    </row>
    <row r="5708" spans="1:10" x14ac:dyDescent="0.3">
      <c r="A5708" t="str">
        <f>HYPERLINK("https://us2.cloudbeds.com/connect/10074733072513#/reservations/31711031677066?display=MX28BST4F&amp;reservation_id=31711031677066", "MX28BST4F")</f>
        <v>MX28BST4F</v>
      </c>
      <c r="B5708" t="s">
        <v>10</v>
      </c>
      <c r="C5708" t="s">
        <v>42</v>
      </c>
      <c r="D5708" t="str">
        <f>HYPERLINK("https://us2.cloudbeds.com/connect/10074733072513#/reservations/31711031677066?display=Teresa%20Jones&amp;reservation_id=31711031677066&amp;guest_id=31711031677062", "Teresa Jones")</f>
        <v>Teresa Jones</v>
      </c>
      <c r="E5708" t="s">
        <v>12987</v>
      </c>
      <c r="F5708" t="s">
        <v>12939</v>
      </c>
      <c r="G5708">
        <v>167.2</v>
      </c>
      <c r="H5708">
        <v>181.74</v>
      </c>
      <c r="I5708">
        <v>181.75</v>
      </c>
      <c r="J5708">
        <v>-0.01</v>
      </c>
    </row>
    <row r="5709" spans="1:10" x14ac:dyDescent="0.3">
      <c r="A5709" t="str">
        <f>HYPERLINK("https://us2.cloudbeds.com/connect/10074733072513#/reservations/31711739072646?display=MX2QEC6S5&amp;reservation_id=31711739072646", "MX2QEC6S5")</f>
        <v>MX2QEC6S5</v>
      </c>
      <c r="B5709" t="s">
        <v>10</v>
      </c>
      <c r="C5709" t="s">
        <v>23</v>
      </c>
      <c r="D5709" t="str">
        <f>HYPERLINK("https://us2.cloudbeds.com/connect/10074733072513#/reservations/31711739072646?display=Renee%20Patrick&amp;reservation_id=31711739072646&amp;guest_id=31711739072642", "Renee Patrick")</f>
        <v>Renee Patrick</v>
      </c>
      <c r="E5709" t="s">
        <v>13002</v>
      </c>
      <c r="F5709" t="s">
        <v>12897</v>
      </c>
      <c r="G5709">
        <v>376.2</v>
      </c>
      <c r="H5709">
        <v>408.92</v>
      </c>
      <c r="I5709">
        <v>408.93</v>
      </c>
      <c r="J5709">
        <v>-0.01</v>
      </c>
    </row>
    <row r="5710" spans="1:10" x14ac:dyDescent="0.3">
      <c r="A5710" t="str">
        <f>HYPERLINK("https://us2.cloudbeds.com/connect/10074733072513#/reservations/31711827284163?display=MX2SMZR5E&amp;reservation_id=31711827284163", "MX2SMZR5E")</f>
        <v>MX2SMZR5E</v>
      </c>
      <c r="B5710" t="s">
        <v>10</v>
      </c>
      <c r="C5710" t="s">
        <v>23</v>
      </c>
      <c r="D5710" t="str">
        <f>HYPERLINK("https://us2.cloudbeds.com/connect/10074733072513#/reservations/31711827284163?display=Susan%20Myren&amp;reservation_id=31711827284163&amp;guest_id=30685033234633", "Susan Myren")</f>
        <v>Susan Myren</v>
      </c>
      <c r="E5710" t="s">
        <v>3904</v>
      </c>
      <c r="F5710" t="s">
        <v>12897</v>
      </c>
      <c r="G5710">
        <v>134.1</v>
      </c>
      <c r="H5710">
        <v>145.76</v>
      </c>
      <c r="I5710">
        <v>145.77000000000001</v>
      </c>
      <c r="J5710">
        <v>-0.01</v>
      </c>
    </row>
    <row r="5711" spans="1:10" x14ac:dyDescent="0.3">
      <c r="A5711" t="str">
        <f>HYPERLINK("https://us2.cloudbeds.com/connect/10074733072513#/reservations/31711889486062?display=MX2U96MHF&amp;reservation_id=31711889486062", "MX2U96MHF")</f>
        <v>MX2U96MHF</v>
      </c>
      <c r="B5711" t="s">
        <v>10</v>
      </c>
      <c r="C5711" t="s">
        <v>23</v>
      </c>
      <c r="D5711" t="str">
        <f>HYPERLINK("https://us2.cloudbeds.com/connect/10074733072513#/reservations/31711889486062?display=Corey%20Hawke&amp;reservation_id=31711889486062&amp;guest_id=31711876509846", "Corey Hawke")</f>
        <v>Corey Hawke</v>
      </c>
      <c r="E5711" t="s">
        <v>13009</v>
      </c>
      <c r="F5711" t="s">
        <v>12564</v>
      </c>
      <c r="G5711">
        <v>154.24</v>
      </c>
      <c r="H5711">
        <v>167.65</v>
      </c>
      <c r="I5711">
        <v>167.66</v>
      </c>
      <c r="J5711">
        <v>-0.01</v>
      </c>
    </row>
    <row r="5712" spans="1:10" x14ac:dyDescent="0.3">
      <c r="A5712" t="str">
        <f>HYPERLINK("https://us2.cloudbeds.com/connect/10074733072513#/reservations/31712006963334?display=MX3098YQQ&amp;reservation_id=31712006963334", "MX3098YQQ")</f>
        <v>MX3098YQQ</v>
      </c>
      <c r="B5712" t="s">
        <v>10</v>
      </c>
      <c r="C5712" t="s">
        <v>23</v>
      </c>
      <c r="D5712" t="str">
        <f>HYPERLINK("https://us2.cloudbeds.com/connect/10074733072513#/reservations/31712006963334?display=Kevin%20Mcgann&amp;reservation_id=31712006963334&amp;guest_id=31712006963331", "Kevin Mcgann")</f>
        <v>Kevin Mcgann</v>
      </c>
      <c r="E5712" t="s">
        <v>13010</v>
      </c>
      <c r="F5712" t="s">
        <v>12897</v>
      </c>
      <c r="G5712">
        <v>134.1</v>
      </c>
      <c r="H5712">
        <v>145.76</v>
      </c>
      <c r="I5712">
        <v>145.77000000000001</v>
      </c>
      <c r="J5712">
        <v>-0.01</v>
      </c>
    </row>
    <row r="5713" spans="1:10" x14ac:dyDescent="0.3">
      <c r="A5713" t="str">
        <f>HYPERLINK("https://us2.cloudbeds.com/connect/10074733072513#/reservations/31711650754761?display=MX2Z5TKSK&amp;reservation_id=31711650754761", "MX2Z5TKSK")</f>
        <v>MX2Z5TKSK</v>
      </c>
      <c r="B5713" t="s">
        <v>10</v>
      </c>
      <c r="C5713" t="s">
        <v>23</v>
      </c>
      <c r="D5713" t="str">
        <f>HYPERLINK("https://us2.cloudbeds.com/connect/10074733072513#/reservations/31711650754761?display=Sanela%20Arnautalic&amp;reservation_id=31711650754761&amp;guest_id=31711645434081", "Sanela Arnautalic")</f>
        <v>Sanela Arnautalic</v>
      </c>
      <c r="E5713" t="s">
        <v>13012</v>
      </c>
      <c r="F5713" t="s">
        <v>12333</v>
      </c>
      <c r="G5713">
        <v>154.24</v>
      </c>
      <c r="H5713">
        <v>167.65</v>
      </c>
      <c r="I5713">
        <v>167.66</v>
      </c>
      <c r="J5713">
        <v>-0.01</v>
      </c>
    </row>
    <row r="5714" spans="1:10" x14ac:dyDescent="0.3">
      <c r="A5714" t="str">
        <f>HYPERLINK("https://us2.cloudbeds.com/connect/10074733072513#/reservations/31711773552786?display=MX2RAEM1T&amp;reservation_id=31711773552786", "MX2RAEM1T")</f>
        <v>MX2RAEM1T</v>
      </c>
      <c r="B5714" t="s">
        <v>10</v>
      </c>
      <c r="C5714" t="s">
        <v>23</v>
      </c>
      <c r="D5714" t="str">
        <f>HYPERLINK("https://us2.cloudbeds.com/connect/10074733072513#/reservations/31711773552786?display=Riley%20Goff&amp;reservation_id=31711773552786&amp;guest_id=31711761543301", "Riley Goff")</f>
        <v>Riley Goff</v>
      </c>
      <c r="E5714" t="s">
        <v>13013</v>
      </c>
      <c r="F5714" t="s">
        <v>12897</v>
      </c>
      <c r="G5714">
        <v>134.1</v>
      </c>
      <c r="H5714">
        <v>145.76</v>
      </c>
      <c r="I5714">
        <v>145.77000000000001</v>
      </c>
      <c r="J5714">
        <v>-0.01</v>
      </c>
    </row>
    <row r="5715" spans="1:10" x14ac:dyDescent="0.3">
      <c r="A5715" t="str">
        <f>HYPERLINK("https://us2.cloudbeds.com/connect/10074733072513#/reservations/31711633559703?display=MX2NZD538&amp;reservation_id=31711633559703", "MX2NZD538")</f>
        <v>MX2NZD538</v>
      </c>
      <c r="B5715" t="s">
        <v>10</v>
      </c>
      <c r="C5715" t="s">
        <v>23</v>
      </c>
      <c r="D5715" t="str">
        <f>HYPERLINK("https://us2.cloudbeds.com/connect/10074733072513#/reservations/31711633559703?display=Sanela%20Arnautalic&amp;reservation_id=31711633559703&amp;guest_id=31711633559698", "Sanela Arnautalic")</f>
        <v>Sanela Arnautalic</v>
      </c>
      <c r="E5715" t="s">
        <v>13014</v>
      </c>
      <c r="F5715" t="s">
        <v>12333</v>
      </c>
      <c r="G5715">
        <v>154.24</v>
      </c>
      <c r="H5715">
        <v>167.65</v>
      </c>
      <c r="I5715">
        <v>167.66</v>
      </c>
      <c r="J5715">
        <v>-0.01</v>
      </c>
    </row>
    <row r="5716" spans="1:10" x14ac:dyDescent="0.3">
      <c r="A5716" t="str">
        <f>HYPERLINK("https://us2.cloudbeds.com/connect/10074733072513#/reservations/31711928504550?display=MX2V93E5T&amp;reservation_id=31711928504550", "MX2V93E5T")</f>
        <v>MX2V93E5T</v>
      </c>
      <c r="B5716" t="s">
        <v>10</v>
      </c>
      <c r="C5716" t="s">
        <v>23</v>
      </c>
      <c r="D5716" t="str">
        <f>HYPERLINK("https://us2.cloudbeds.com/connect/10074733072513#/reservations/31711928504550?display=Nikos%20Papanikolaou&amp;reservation_id=31711928504550&amp;guest_id=31711928504545", "Nikos Papanikolaou")</f>
        <v>Nikos Papanikolaou</v>
      </c>
      <c r="E5716" t="s">
        <v>13018</v>
      </c>
      <c r="F5716" t="s">
        <v>12564</v>
      </c>
      <c r="G5716">
        <v>163.18</v>
      </c>
      <c r="H5716">
        <v>177.37</v>
      </c>
      <c r="I5716">
        <v>177.38</v>
      </c>
      <c r="J5716">
        <v>-0.01</v>
      </c>
    </row>
    <row r="5717" spans="1:10" x14ac:dyDescent="0.3">
      <c r="A5717" t="str">
        <f>HYPERLINK("https://us2.cloudbeds.com/connect/10074733072513#/reservations/31713243906286?display=MX3VT9DUX&amp;reservation_id=31713243906286", "MX3VT9DUX")</f>
        <v>MX3VT9DUX</v>
      </c>
      <c r="B5717" t="s">
        <v>10</v>
      </c>
      <c r="C5717" t="s">
        <v>23</v>
      </c>
      <c r="D5717" t="str">
        <f>HYPERLINK("https://us2.cloudbeds.com/connect/10074733072513#/reservations/31713243906286?display=James%20Cook&amp;reservation_id=31713243906286&amp;guest_id=31713234645143", "James Cook")</f>
        <v>James Cook</v>
      </c>
      <c r="E5717" t="s">
        <v>13019</v>
      </c>
      <c r="F5717" t="s">
        <v>12897</v>
      </c>
      <c r="G5717">
        <v>134.1</v>
      </c>
      <c r="H5717">
        <v>145.76</v>
      </c>
      <c r="I5717">
        <v>145.77000000000001</v>
      </c>
      <c r="J5717">
        <v>-0.01</v>
      </c>
    </row>
    <row r="5718" spans="1:10" x14ac:dyDescent="0.3">
      <c r="A5718" t="str">
        <f>HYPERLINK("https://us2.cloudbeds.com/connect/10074733072513#/reservations/31711895281801?display=MX2UE2VJU&amp;reservation_id=31711895281801", "MX2UE2VJU")</f>
        <v>MX2UE2VJU</v>
      </c>
      <c r="B5718" t="s">
        <v>10</v>
      </c>
      <c r="C5718" t="s">
        <v>23</v>
      </c>
      <c r="D5718" t="str">
        <f>HYPERLINK("https://us2.cloudbeds.com/connect/10074733072513#/reservations/31711895281801?display=Terri%20Johnson&amp;reservation_id=31711895281801&amp;guest_id=31711763828953", "Terri Johnson")</f>
        <v>Terri Johnson</v>
      </c>
      <c r="E5718" t="s">
        <v>12918</v>
      </c>
      <c r="F5718" t="s">
        <v>12897</v>
      </c>
      <c r="G5718">
        <v>170.1</v>
      </c>
      <c r="H5718">
        <v>184.89</v>
      </c>
      <c r="I5718">
        <v>184.9</v>
      </c>
      <c r="J5718">
        <v>-0.01</v>
      </c>
    </row>
    <row r="5719" spans="1:10" x14ac:dyDescent="0.3">
      <c r="A5719" t="str">
        <f>HYPERLINK("https://us2.cloudbeds.com/connect/10074733072513#/reservations/31711919472843?display=MX2V1G3JQ&amp;reservation_id=31711919472843", "MX2V1G3JQ")</f>
        <v>MX2V1G3JQ</v>
      </c>
      <c r="B5719" t="s">
        <v>10</v>
      </c>
      <c r="C5719" t="s">
        <v>42</v>
      </c>
      <c r="D5719" t="str">
        <f>HYPERLINK("https://us2.cloudbeds.com/connect/10074733072513#/reservations/31711919472843?display=Steven%20Brings&amp;reservation_id=31711919472843&amp;guest_id=31711919468751", "Steven Brings")</f>
        <v>Steven Brings</v>
      </c>
      <c r="E5719" t="s">
        <v>13023</v>
      </c>
      <c r="F5719" t="s">
        <v>12897</v>
      </c>
      <c r="G5719">
        <v>170.1</v>
      </c>
      <c r="H5719">
        <v>184.89</v>
      </c>
      <c r="I5719">
        <v>184.9</v>
      </c>
      <c r="J5719">
        <v>-0.01</v>
      </c>
    </row>
    <row r="5720" spans="1:10" x14ac:dyDescent="0.3">
      <c r="A5720" t="str">
        <f>HYPERLINK("https://us2.cloudbeds.com/connect/10074733072513#/reservations/31711025918144?display=MX27UX7AH&amp;reservation_id=31711025918144", "MX27UX7AH")</f>
        <v>MX27UX7AH</v>
      </c>
      <c r="B5720" t="s">
        <v>10</v>
      </c>
      <c r="C5720" t="s">
        <v>23</v>
      </c>
      <c r="D5720" t="str">
        <f>HYPERLINK("https://us2.cloudbeds.com/connect/10074733072513#/reservations/31711025918144?display=Jeffrey%20Slinde&amp;reservation_id=31711025918144&amp;guest_id=31711014686948", "Jeffrey Slinde")</f>
        <v>Jeffrey Slinde</v>
      </c>
      <c r="E5720" t="s">
        <v>13029</v>
      </c>
      <c r="F5720" t="s">
        <v>12877</v>
      </c>
      <c r="G5720">
        <v>380.8</v>
      </c>
      <c r="H5720">
        <v>413.92</v>
      </c>
      <c r="I5720">
        <v>413.93</v>
      </c>
      <c r="J5720">
        <v>-0.01</v>
      </c>
    </row>
    <row r="5721" spans="1:10" x14ac:dyDescent="0.3">
      <c r="A5721" t="str">
        <f>HYPERLINK("https://us2.cloudbeds.com/connect/10074733072513#/reservations/31711015710878?display=MX27VDJQJ&amp;reservation_id=31711015710878", "MX27VDJQJ")</f>
        <v>MX27VDJQJ</v>
      </c>
      <c r="B5721" t="s">
        <v>10</v>
      </c>
      <c r="C5721" t="s">
        <v>42</v>
      </c>
      <c r="D5721" t="str">
        <f>HYPERLINK("https://us2.cloudbeds.com/connect/10074733072513#/reservations/31711015710878?display=James%20Wunschel&amp;reservation_id=31711015710878&amp;guest_id=31711015706785", "James Wunschel")</f>
        <v>James Wunschel</v>
      </c>
      <c r="E5721" t="s">
        <v>13030</v>
      </c>
      <c r="F5721" t="s">
        <v>12894</v>
      </c>
      <c r="G5721">
        <v>134.1</v>
      </c>
      <c r="H5721">
        <v>145.76</v>
      </c>
      <c r="I5721">
        <v>145.77000000000001</v>
      </c>
      <c r="J5721">
        <v>-0.01</v>
      </c>
    </row>
    <row r="5722" spans="1:10" x14ac:dyDescent="0.3">
      <c r="A5722" t="str">
        <f>HYPERLINK("https://us2.cloudbeds.com/connect/10074733072513#/reservations/31711039357178?display=MX28XBJJ4&amp;reservation_id=31711039357178", "MX28XBJJ4")</f>
        <v>MX28XBJJ4</v>
      </c>
      <c r="B5722" t="s">
        <v>10</v>
      </c>
      <c r="C5722" t="s">
        <v>23</v>
      </c>
      <c r="D5722" t="str">
        <f>HYPERLINK("https://us2.cloudbeds.com/connect/10074733072513#/reservations/31711039357178?display=Crissinger%20Ryan&amp;reservation_id=31711039357178&amp;guest_id=31711039357130", "Crissinger Ryan")</f>
        <v>Crissinger Ryan</v>
      </c>
      <c r="E5722" t="s">
        <v>13031</v>
      </c>
      <c r="F5722" t="s">
        <v>12877</v>
      </c>
      <c r="G5722">
        <v>134.1</v>
      </c>
      <c r="H5722">
        <v>145.76</v>
      </c>
      <c r="I5722">
        <v>145.77000000000001</v>
      </c>
      <c r="J5722">
        <v>-0.01</v>
      </c>
    </row>
    <row r="5723" spans="1:10" x14ac:dyDescent="0.3">
      <c r="A5723" t="str">
        <f>HYPERLINK("https://us2.cloudbeds.com/connect/10074733072513#/reservations/31711421304978?display=MX2XADS5T&amp;reservation_id=31711421304978", "MX2XADS5T")</f>
        <v>MX2XADS5T</v>
      </c>
      <c r="B5723" t="s">
        <v>10</v>
      </c>
      <c r="C5723" t="s">
        <v>42</v>
      </c>
      <c r="D5723" t="str">
        <f>HYPERLINK("https://us2.cloudbeds.com/connect/10074733072513#/reservations/31711421304978?display=Kim%20Crissinger&amp;reservation_id=31711421304978&amp;guest_id=31711421300884", "Kim Crissinger")</f>
        <v>Kim Crissinger</v>
      </c>
      <c r="E5723" t="s">
        <v>13032</v>
      </c>
      <c r="F5723" t="s">
        <v>12894</v>
      </c>
      <c r="G5723">
        <v>134.1</v>
      </c>
      <c r="H5723">
        <v>145.76</v>
      </c>
      <c r="I5723">
        <v>145.77000000000001</v>
      </c>
      <c r="J5723">
        <v>-0.01</v>
      </c>
    </row>
    <row r="5724" spans="1:10" x14ac:dyDescent="0.3">
      <c r="A5724" t="str">
        <f>HYPERLINK("https://us2.cloudbeds.com/connect/10074733072513#/reservations/31710938271936?display=MX25JRPUF&amp;reservation_id=31710938271936", "MX25JRPUF")</f>
        <v>MX25JRPUF</v>
      </c>
      <c r="B5724" t="s">
        <v>10</v>
      </c>
      <c r="C5724" t="s">
        <v>42</v>
      </c>
      <c r="D5724" t="str">
        <f>HYPERLINK("https://us2.cloudbeds.com/connect/10074733072513#/reservations/31710938271936?display=Bob%20Walter&amp;reservation_id=31710938271936&amp;guest_id=31710923718817", "Bob Walter")</f>
        <v>Bob Walter</v>
      </c>
      <c r="E5724" t="s">
        <v>13033</v>
      </c>
      <c r="F5724" t="s">
        <v>10330</v>
      </c>
      <c r="G5724">
        <v>448.2</v>
      </c>
      <c r="H5724">
        <v>487.18</v>
      </c>
      <c r="I5724">
        <v>487.19</v>
      </c>
      <c r="J5724">
        <v>-0.01</v>
      </c>
    </row>
    <row r="5725" spans="1:10" x14ac:dyDescent="0.3">
      <c r="A5725" t="str">
        <f>HYPERLINK("https://us2.cloudbeds.com/connect/10074733072513#/reservations/31711302320342?display=MX2F92UNS&amp;reservation_id=31711302320342", "MX2F92UNS")</f>
        <v>MX2F92UNS</v>
      </c>
      <c r="B5725" t="s">
        <v>10</v>
      </c>
      <c r="C5725" t="s">
        <v>121</v>
      </c>
      <c r="D5725" t="str">
        <f>HYPERLINK("https://us2.cloudbeds.com/connect/10074733072513#/reservations/31711302320342?display=Travis%20Van%20Dyke&amp;reservation_id=31711302320342&amp;guest_id=31711244075229", "Travis Van Dyke")</f>
        <v>Travis Van Dyke</v>
      </c>
      <c r="E5725" t="s">
        <v>12385</v>
      </c>
      <c r="F5725" t="s">
        <v>12952</v>
      </c>
      <c r="G5725">
        <v>134.1</v>
      </c>
      <c r="H5725">
        <v>145.76</v>
      </c>
      <c r="I5725">
        <v>145.77000000000001</v>
      </c>
      <c r="J5725">
        <v>-0.01</v>
      </c>
    </row>
    <row r="5726" spans="1:10" x14ac:dyDescent="0.3">
      <c r="A5726" t="str">
        <f>HYPERLINK("https://us2.cloudbeds.com/connect/10074733072513#/reservations/31711467647135?display=MX2JGGCVM&amp;reservation_id=31711467647135", "MX2JGGCVM")</f>
        <v>MX2JGGCVM</v>
      </c>
      <c r="B5726" t="s">
        <v>10</v>
      </c>
      <c r="C5726" t="s">
        <v>23</v>
      </c>
      <c r="D5726" t="str">
        <f>HYPERLINK("https://us2.cloudbeds.com/connect/10074733072513#/reservations/31711467647135?display=Bryce%20Bohnenkamp&amp;reservation_id=31711467647135&amp;guest_id=31711467647132", "Bryce Bohnenkamp")</f>
        <v>Bryce Bohnenkamp</v>
      </c>
      <c r="E5726" t="s">
        <v>13043</v>
      </c>
      <c r="F5726" t="s">
        <v>12997</v>
      </c>
      <c r="G5726">
        <v>285.60000000000002</v>
      </c>
      <c r="H5726">
        <v>310.44</v>
      </c>
      <c r="I5726">
        <v>310.45</v>
      </c>
      <c r="J5726">
        <v>-0.01</v>
      </c>
    </row>
    <row r="5727" spans="1:10" x14ac:dyDescent="0.3">
      <c r="A5727" t="str">
        <f>HYPERLINK("https://us2.cloudbeds.com/connect/10074733072513#/reservations/31711256690847?display=MX2E3K7BT&amp;reservation_id=31711256690847", "MX2E3K7BT")</f>
        <v>MX2E3K7BT</v>
      </c>
      <c r="B5727" t="s">
        <v>10</v>
      </c>
      <c r="C5727" t="s">
        <v>23</v>
      </c>
      <c r="D5727" t="str">
        <f>HYPERLINK("https://us2.cloudbeds.com/connect/10074733072513#/reservations/31711256690847?display=Chaise%20Vanoverbeke&amp;reservation_id=31711256690847&amp;guest_id=31711256690831", "Chaise Vanoverbeke")</f>
        <v>Chaise Vanoverbeke</v>
      </c>
      <c r="E5727" t="s">
        <v>13046</v>
      </c>
      <c r="F5727" t="s">
        <v>12962</v>
      </c>
      <c r="G5727">
        <v>208.6</v>
      </c>
      <c r="H5727">
        <v>226.74</v>
      </c>
      <c r="I5727">
        <v>226.75</v>
      </c>
      <c r="J5727">
        <v>-0.01</v>
      </c>
    </row>
    <row r="5728" spans="1:10" x14ac:dyDescent="0.3">
      <c r="A5728" t="str">
        <f>HYPERLINK("https://us2.cloudbeds.com/connect/10074733072513#/reservations/31711292928131?display=MX2F15J3D&amp;reservation_id=31711292928131", "MX2F15J3D")</f>
        <v>MX2F15J3D</v>
      </c>
      <c r="B5728" t="s">
        <v>10</v>
      </c>
      <c r="C5728" t="s">
        <v>23</v>
      </c>
      <c r="D5728" t="str">
        <f>HYPERLINK("https://us2.cloudbeds.com/connect/10074733072513#/reservations/31711292928131?display=Carly%20Faulkner&amp;reservation_id=31711292928131&amp;guest_id=31711282266355", "Carly Faulkner")</f>
        <v>Carly Faulkner</v>
      </c>
      <c r="E5728" t="s">
        <v>13047</v>
      </c>
      <c r="F5728" t="s">
        <v>12952</v>
      </c>
      <c r="G5728">
        <v>134.1</v>
      </c>
      <c r="H5728">
        <v>145.76</v>
      </c>
      <c r="I5728">
        <v>145.77000000000001</v>
      </c>
      <c r="J5728">
        <v>-0.01</v>
      </c>
    </row>
    <row r="5729" spans="1:10" x14ac:dyDescent="0.3">
      <c r="A5729" t="str">
        <f>HYPERLINK("https://us2.cloudbeds.com/connect/10074733072513#/reservations/31711694774479?display=MX2PA0X0F&amp;reservation_id=31711694774479", "MX2PA0X0F")</f>
        <v>MX2PA0X0F</v>
      </c>
      <c r="B5729" t="s">
        <v>10</v>
      </c>
      <c r="C5729" t="s">
        <v>23</v>
      </c>
      <c r="D5729" t="str">
        <f>HYPERLINK("https://us2.cloudbeds.com/connect/10074733072513#/reservations/31711694774479?display=Novak%20Maksimilian&amp;reservation_id=31711694774479&amp;guest_id=31711694770397", "Novak Maksimilian")</f>
        <v>Novak Maksimilian</v>
      </c>
      <c r="E5729" t="s">
        <v>13048</v>
      </c>
      <c r="F5729" t="s">
        <v>12997</v>
      </c>
      <c r="G5729">
        <v>268.2</v>
      </c>
      <c r="H5729">
        <v>291.52</v>
      </c>
      <c r="I5729">
        <v>291.52999999999997</v>
      </c>
      <c r="J5729">
        <v>-0.01</v>
      </c>
    </row>
    <row r="5730" spans="1:10" x14ac:dyDescent="0.3">
      <c r="A5730" t="str">
        <f>HYPERLINK("https://us2.cloudbeds.com/connect/10074733072513#/reservations/31711468663016?display=MX2JHBYQV&amp;reservation_id=31711468663016", "MX2JHBYQV")</f>
        <v>MX2JHBYQV</v>
      </c>
      <c r="B5730" t="s">
        <v>10</v>
      </c>
      <c r="C5730" t="s">
        <v>23</v>
      </c>
      <c r="D5730" t="str">
        <f>HYPERLINK("https://us2.cloudbeds.com/connect/10074733072513#/reservations/31711468663016?display=Steven%20Peterson&amp;reservation_id=31711468663016&amp;guest_id=31711451402434", "Steven Peterson")</f>
        <v>Steven Peterson</v>
      </c>
      <c r="E5730" t="s">
        <v>13054</v>
      </c>
      <c r="F5730" t="s">
        <v>12939</v>
      </c>
      <c r="G5730">
        <v>154.24</v>
      </c>
      <c r="H5730">
        <v>167.65</v>
      </c>
      <c r="I5730">
        <v>167.66</v>
      </c>
      <c r="J5730">
        <v>-0.01</v>
      </c>
    </row>
    <row r="5731" spans="1:10" x14ac:dyDescent="0.3">
      <c r="A5731" t="str">
        <f>HYPERLINK("https://us2.cloudbeds.com/connect/10074733072513#/reservations/31711569977479?display=MX2M3PT76&amp;reservation_id=31711569977479", "MX2M3PT76")</f>
        <v>MX2M3PT76</v>
      </c>
      <c r="B5731" t="s">
        <v>10</v>
      </c>
      <c r="C5731" t="s">
        <v>42</v>
      </c>
      <c r="D5731" t="str">
        <f>HYPERLINK("https://us2.cloudbeds.com/connect/10074733072513#/reservations/31711569977479?display=Garland%20Sizemore&amp;reservation_id=31711569977479&amp;guest_id=31711569977476", "Garland Sizemore")</f>
        <v>Garland Sizemore</v>
      </c>
      <c r="E5731" t="s">
        <v>13062</v>
      </c>
      <c r="F5731" t="s">
        <v>12997</v>
      </c>
      <c r="G5731">
        <v>134.1</v>
      </c>
      <c r="H5731">
        <v>145.76</v>
      </c>
      <c r="I5731">
        <v>145.77000000000001</v>
      </c>
      <c r="J5731">
        <v>-0.01</v>
      </c>
    </row>
    <row r="5732" spans="1:10" x14ac:dyDescent="0.3">
      <c r="A5732" t="str">
        <f>HYPERLINK("https://us2.cloudbeds.com/connect/10074733072513#/reservations/31702222446836?display=MHSE8N25S&amp;reservation_id=31702222446836", "MHSE8N25S")</f>
        <v>MHSE8N25S</v>
      </c>
      <c r="B5732" t="s">
        <v>10</v>
      </c>
      <c r="C5732" t="s">
        <v>42</v>
      </c>
      <c r="D5732" t="str">
        <f>HYPERLINK("https://us2.cloudbeds.com/connect/10074733072513#/reservations/31702222446836?display=Rita%20Pavlik&amp;reservation_id=31702222446836&amp;guest_id=31702222446816", "Rita Pavlik")</f>
        <v>Rita Pavlik</v>
      </c>
      <c r="E5732" t="s">
        <v>13063</v>
      </c>
      <c r="F5732" t="s">
        <v>12795</v>
      </c>
      <c r="G5732">
        <v>170.1</v>
      </c>
      <c r="H5732">
        <v>184.89</v>
      </c>
      <c r="I5732">
        <v>184.9</v>
      </c>
      <c r="J5732">
        <v>-0.01</v>
      </c>
    </row>
    <row r="5733" spans="1:10" x14ac:dyDescent="0.3">
      <c r="A5733" t="str">
        <f>HYPERLINK("https://us2.cloudbeds.com/connect/10074733072513#/reservations/31711162228939?display=MX2BMVMFR&amp;reservation_id=31711162228939", "MX2BMVMFR")</f>
        <v>MX2BMVMFR</v>
      </c>
      <c r="B5733" t="s">
        <v>10</v>
      </c>
      <c r="C5733" t="s">
        <v>23</v>
      </c>
      <c r="D5733" t="str">
        <f>HYPERLINK("https://us2.cloudbeds.com/connect/10074733072513#/reservations/31711162228939?display=Kenny%20Cottrell&amp;reservation_id=31711162228939&amp;guest_id=31711162228934", "Kenny Cottrell")</f>
        <v>Kenny Cottrell</v>
      </c>
      <c r="E5733" t="s">
        <v>13064</v>
      </c>
      <c r="F5733" t="s">
        <v>12962</v>
      </c>
      <c r="G5733">
        <v>122.18</v>
      </c>
      <c r="H5733">
        <v>132.80000000000001</v>
      </c>
      <c r="I5733">
        <v>132.81</v>
      </c>
      <c r="J5733">
        <v>-0.01</v>
      </c>
    </row>
    <row r="5734" spans="1:10" x14ac:dyDescent="0.3">
      <c r="A5734" t="str">
        <f>HYPERLINK("https://us2.cloudbeds.com/connect/10074733072513#/reservations/31711148716186?display=MX2BBXM2F&amp;reservation_id=31711148716186", "MX2BBXM2F")</f>
        <v>MX2BBXM2F</v>
      </c>
      <c r="B5734" t="s">
        <v>10</v>
      </c>
      <c r="C5734" t="s">
        <v>23</v>
      </c>
      <c r="D5734" t="str">
        <f>HYPERLINK("https://us2.cloudbeds.com/connect/10074733072513#/reservations/31711148716186?display=Kenny%20Cottrell&amp;reservation_id=31711148716186&amp;guest_id=31711148716176", "Kenny Cottrell")</f>
        <v>Kenny Cottrell</v>
      </c>
      <c r="E5734" t="s">
        <v>13066</v>
      </c>
      <c r="F5734" t="s">
        <v>12962</v>
      </c>
      <c r="G5734">
        <v>122.18</v>
      </c>
      <c r="H5734">
        <v>132.80000000000001</v>
      </c>
      <c r="I5734">
        <v>132.81</v>
      </c>
      <c r="J5734">
        <v>-0.01</v>
      </c>
    </row>
    <row r="5735" spans="1:10" x14ac:dyDescent="0.3">
      <c r="A5735" t="str">
        <f>HYPERLINK("https://us2.cloudbeds.com/connect/10074733072513#/reservations/31711434911881?display=MX2XYTG19&amp;reservation_id=31711434911881", "MX2XYTG19")</f>
        <v>MX2XYTG19</v>
      </c>
      <c r="B5735" t="s">
        <v>10</v>
      </c>
      <c r="C5735" t="s">
        <v>42</v>
      </c>
      <c r="D5735" t="str">
        <f>HYPERLINK("https://us2.cloudbeds.com/connect/10074733072513#/reservations/31711434911881?display=Taylor%20Widner&amp;reservation_id=31711434911881&amp;guest_id=31711434911878", "Taylor Widner")</f>
        <v>Taylor Widner</v>
      </c>
      <c r="E5735" t="s">
        <v>13067</v>
      </c>
      <c r="F5735" t="s">
        <v>12997</v>
      </c>
      <c r="G5735">
        <v>134.1</v>
      </c>
      <c r="H5735">
        <v>145.76</v>
      </c>
      <c r="I5735">
        <v>145.77000000000001</v>
      </c>
      <c r="J5735">
        <v>-0.01</v>
      </c>
    </row>
    <row r="5736" spans="1:10" x14ac:dyDescent="0.3">
      <c r="A5736" t="str">
        <f>HYPERLINK("https://us2.cloudbeds.com/connect/10074733072513#/reservations/31711229935838?display=MX2DE1NV1&amp;reservation_id=31711229935838", "MX2DE1NV1")</f>
        <v>MX2DE1NV1</v>
      </c>
      <c r="B5736" t="s">
        <v>10</v>
      </c>
      <c r="C5736" t="s">
        <v>23</v>
      </c>
      <c r="D5736" t="str">
        <f>HYPERLINK("https://us2.cloudbeds.com/connect/10074733072513#/reservations/31711229935838?display=Teresa%20Loy&amp;reservation_id=31711229935838&amp;guest_id=31711229935836", "Teresa Loy")</f>
        <v>Teresa Loy</v>
      </c>
      <c r="E5736" t="s">
        <v>13068</v>
      </c>
      <c r="F5736" t="s">
        <v>13069</v>
      </c>
      <c r="G5736">
        <v>134.1</v>
      </c>
      <c r="H5736">
        <v>145.76</v>
      </c>
      <c r="I5736">
        <v>145.77000000000001</v>
      </c>
      <c r="J5736">
        <v>-0.01</v>
      </c>
    </row>
    <row r="5737" spans="1:10" x14ac:dyDescent="0.3">
      <c r="A5737" t="str">
        <f>HYPERLINK("https://us2.cloudbeds.com/connect/10074733072513#/reservations/31702200438922?display=MHSDN4YTC&amp;reservation_id=31702200438922", "MHSDN4YTC")</f>
        <v>MHSDN4YTC</v>
      </c>
      <c r="B5737" t="s">
        <v>10</v>
      </c>
      <c r="C5737" t="s">
        <v>23</v>
      </c>
      <c r="D5737" t="str">
        <f>HYPERLINK("https://us2.cloudbeds.com/connect/10074733072513#/reservations/31702200438922?display=Kenneth%20Rudd&amp;reservation_id=31702200438922&amp;guest_id=31702200434831", "Kenneth Rudd")</f>
        <v>Kenneth Rudd</v>
      </c>
      <c r="E5737" t="s">
        <v>13078</v>
      </c>
      <c r="F5737" t="s">
        <v>12830</v>
      </c>
      <c r="G5737">
        <v>134.1</v>
      </c>
      <c r="H5737">
        <v>145.76</v>
      </c>
      <c r="I5737">
        <v>145.77000000000001</v>
      </c>
      <c r="J5737">
        <v>-0.01</v>
      </c>
    </row>
    <row r="5738" spans="1:10" x14ac:dyDescent="0.3">
      <c r="A5738" t="str">
        <f>HYPERLINK("https://us2.cloudbeds.com/connect/10074733072513#/reservations/31711566090468?display=MX2M0GNSV&amp;reservation_id=31711566090468", "MX2M0GNSV")</f>
        <v>MX2M0GNSV</v>
      </c>
      <c r="B5738" t="s">
        <v>10</v>
      </c>
      <c r="C5738" t="s">
        <v>42</v>
      </c>
      <c r="D5738" t="str">
        <f>HYPERLINK("https://us2.cloudbeds.com/connect/10074733072513#/reservations/31711566090468?display=Misty%20Terrell&amp;reservation_id=31711566090468&amp;guest_id=31711554048148", "Misty Terrell")</f>
        <v>Misty Terrell</v>
      </c>
      <c r="E5738" t="s">
        <v>13080</v>
      </c>
      <c r="F5738" t="s">
        <v>12877</v>
      </c>
      <c r="G5738">
        <v>134.1</v>
      </c>
      <c r="H5738">
        <v>145.76</v>
      </c>
      <c r="I5738">
        <v>145.77000000000001</v>
      </c>
      <c r="J5738">
        <v>-0.01</v>
      </c>
    </row>
    <row r="5739" spans="1:10" x14ac:dyDescent="0.3">
      <c r="A5739" t="str">
        <f>HYPERLINK("https://us2.cloudbeds.com/connect/10074733072513#/reservations/31702314184845?display=MHSGK1QPH&amp;reservation_id=31702314184845", "MHSGK1QPH")</f>
        <v>MHSGK1QPH</v>
      </c>
      <c r="B5739" t="s">
        <v>10</v>
      </c>
      <c r="C5739" t="s">
        <v>23</v>
      </c>
      <c r="D5739" t="str">
        <f>HYPERLINK("https://us2.cloudbeds.com/connect/10074733072513#/reservations/31702314184845?display=Gregory%20Schimkat&amp;reservation_id=31702314184845&amp;guest_id=31702314184843", "Gregory Schimkat")</f>
        <v>Gregory Schimkat</v>
      </c>
      <c r="E5739" t="s">
        <v>13084</v>
      </c>
      <c r="F5739" t="s">
        <v>13085</v>
      </c>
      <c r="G5739">
        <v>348</v>
      </c>
      <c r="H5739">
        <v>378.27</v>
      </c>
      <c r="I5739">
        <v>378.28</v>
      </c>
      <c r="J5739">
        <v>-0.01</v>
      </c>
    </row>
    <row r="5740" spans="1:10" x14ac:dyDescent="0.3">
      <c r="A5740" t="str">
        <f>HYPERLINK("https://us2.cloudbeds.com/connect/10074733072513#/reservations/31711188222086?display=MX2CBSW9V&amp;reservation_id=31711188222086", "MX2CBSW9V")</f>
        <v>MX2CBSW9V</v>
      </c>
      <c r="B5740" t="s">
        <v>10</v>
      </c>
      <c r="C5740" t="s">
        <v>42</v>
      </c>
      <c r="D5740" t="str">
        <f>HYPERLINK("https://us2.cloudbeds.com/connect/10074733072513#/reservations/31711188222086?display=Joseph%20Schneider&amp;reservation_id=31711188222086&amp;guest_id=31711176765675", "Joseph Schneider")</f>
        <v>Joseph Schneider</v>
      </c>
      <c r="E5740" t="s">
        <v>13072</v>
      </c>
      <c r="F5740" t="s">
        <v>13069</v>
      </c>
      <c r="G5740">
        <v>278.8</v>
      </c>
      <c r="H5740">
        <v>303.05</v>
      </c>
      <c r="I5740">
        <v>303.06</v>
      </c>
      <c r="J5740">
        <v>-0.01</v>
      </c>
    </row>
    <row r="5741" spans="1:10" x14ac:dyDescent="0.3">
      <c r="A5741" t="str">
        <f>HYPERLINK("https://us2.cloudbeds.com/connect/10074733072513#/reservations/31710842060967?display=MX23GWHM2&amp;reservation_id=31710842060967", "MX23GWHM2")</f>
        <v>MX23GWHM2</v>
      </c>
      <c r="B5741" t="s">
        <v>10</v>
      </c>
      <c r="C5741" t="s">
        <v>42</v>
      </c>
      <c r="D5741" t="str">
        <f>HYPERLINK("https://us2.cloudbeds.com/connect/10074733072513#/reservations/31710842060967?display=Alfred%20Hauglid&amp;reservation_id=31710842060967&amp;guest_id=31690182787204", "Alfred Hauglid")</f>
        <v>Alfred Hauglid</v>
      </c>
      <c r="E5741" t="s">
        <v>13088</v>
      </c>
      <c r="F5741" t="s">
        <v>12894</v>
      </c>
      <c r="G5741">
        <v>134.1</v>
      </c>
      <c r="H5741">
        <v>145.76</v>
      </c>
      <c r="I5741">
        <v>145.77000000000001</v>
      </c>
      <c r="J5741">
        <v>-0.01</v>
      </c>
    </row>
    <row r="5742" spans="1:10" x14ac:dyDescent="0.3">
      <c r="A5742" t="str">
        <f>HYPERLINK("https://us2.cloudbeds.com/connect/10074733072513#/reservations/31710944342172?display=MX2647YQH&amp;reservation_id=31710944342172", "MX2647YQH")</f>
        <v>MX2647YQH</v>
      </c>
      <c r="B5742" t="s">
        <v>10</v>
      </c>
      <c r="C5742" t="s">
        <v>42</v>
      </c>
      <c r="D5742" t="str">
        <f>HYPERLINK("https://us2.cloudbeds.com/connect/10074733072513#/reservations/31710944342172?display=Joseph%20Schneider&amp;reservation_id=31710944342172&amp;guest_id=31710944338061", "Joseph Schneider")</f>
        <v>Joseph Schneider</v>
      </c>
      <c r="E5742" t="s">
        <v>13072</v>
      </c>
      <c r="F5742" t="s">
        <v>13069</v>
      </c>
      <c r="G5742">
        <v>278.8</v>
      </c>
      <c r="H5742">
        <v>303.05</v>
      </c>
      <c r="I5742">
        <v>303.06</v>
      </c>
      <c r="J5742">
        <v>-0.01</v>
      </c>
    </row>
    <row r="5743" spans="1:10" x14ac:dyDescent="0.3">
      <c r="A5743" t="str">
        <f>HYPERLINK("https://us2.cloudbeds.com/connect/10074733072513#/reservations/31703161524431?display=MHT58X9CM&amp;reservation_id=31703161524431", "MHT58X9CM")</f>
        <v>MHT58X9CM</v>
      </c>
      <c r="B5743" t="s">
        <v>10</v>
      </c>
      <c r="C5743" t="s">
        <v>42</v>
      </c>
      <c r="D5743" t="str">
        <f>HYPERLINK("https://us2.cloudbeds.com/connect/10074733072513#/reservations/31703161524431?display=Victoria%20Campbell&amp;reservation_id=31703161524431&amp;guest_id=31703161520339", "Victoria Campbell")</f>
        <v>Victoria Campbell</v>
      </c>
      <c r="E5743" t="s">
        <v>8802</v>
      </c>
      <c r="F5743" t="s">
        <v>12326</v>
      </c>
      <c r="G5743">
        <v>170.1</v>
      </c>
      <c r="H5743">
        <v>184.89</v>
      </c>
      <c r="I5743">
        <v>184.9</v>
      </c>
      <c r="J5743">
        <v>-0.01</v>
      </c>
    </row>
    <row r="5744" spans="1:10" x14ac:dyDescent="0.3">
      <c r="A5744" t="str">
        <f>HYPERLINK("https://us2.cloudbeds.com/connect/10074733072513#/reservations/31711006019786?display=MX27N7UZ4&amp;reservation_id=31711006019786", "MX27N7UZ4")</f>
        <v>MX27N7UZ4</v>
      </c>
      <c r="B5744" t="s">
        <v>10</v>
      </c>
      <c r="C5744" t="s">
        <v>42</v>
      </c>
      <c r="D5744" t="str">
        <f>HYPERLINK("https://us2.cloudbeds.com/connect/10074733072513#/reservations/31711006019786?display=Jason%20Cibrin&amp;reservation_id=31711006019786&amp;guest_id=31711006015693", "Jason Cibrin")</f>
        <v>Jason Cibrin</v>
      </c>
      <c r="E5744" t="s">
        <v>13094</v>
      </c>
      <c r="F5744" t="s">
        <v>12894</v>
      </c>
      <c r="G5744">
        <v>134.1</v>
      </c>
      <c r="H5744">
        <v>145.76</v>
      </c>
      <c r="I5744">
        <v>145.77000000000001</v>
      </c>
      <c r="J5744">
        <v>-0.01</v>
      </c>
    </row>
    <row r="5745" spans="1:10" x14ac:dyDescent="0.3">
      <c r="A5745" t="str">
        <f>HYPERLINK("https://us2.cloudbeds.com/connect/10074733072513#/reservations/31701391593698?display=MHRQ13BY1&amp;reservation_id=31701391593698", "MHRQ13BY1")</f>
        <v>MHRQ13BY1</v>
      </c>
      <c r="B5745" t="s">
        <v>10</v>
      </c>
      <c r="C5745" t="s">
        <v>23</v>
      </c>
      <c r="D5745" t="str">
        <f>HYPERLINK("https://us2.cloudbeds.com/connect/10074733072513#/reservations/31701391593698?display=Eliot%20Torres&amp;reservation_id=31701391593698&amp;guest_id=31701391589592", "Eliot Torres")</f>
        <v>Eliot Torres</v>
      </c>
      <c r="E5745" t="s">
        <v>13095</v>
      </c>
      <c r="F5745" t="s">
        <v>13096</v>
      </c>
      <c r="G5745">
        <v>285.60000000000002</v>
      </c>
      <c r="H5745">
        <v>310.44</v>
      </c>
      <c r="I5745">
        <v>310.45</v>
      </c>
      <c r="J5745">
        <v>-0.01</v>
      </c>
    </row>
    <row r="5746" spans="1:10" x14ac:dyDescent="0.3">
      <c r="A5746" t="str">
        <f>HYPERLINK("https://us2.cloudbeds.com/connect/10074733072513#/reservations/31702426525871?display=MHSJFPSJ1&amp;reservation_id=31702426525871", "MHSJFPSJ1")</f>
        <v>MHSJFPSJ1</v>
      </c>
      <c r="B5746" t="s">
        <v>10</v>
      </c>
      <c r="C5746" t="s">
        <v>42</v>
      </c>
      <c r="D5746" t="str">
        <f>HYPERLINK("https://us2.cloudbeds.com/connect/10074733072513#/reservations/31702426525871?display=Mickenna%20Miree%20Andersen&amp;reservation_id=31702426525871&amp;guest_id=31702426525831", "Mickenna Miree Andersen")</f>
        <v>Mickenna Miree Andersen</v>
      </c>
      <c r="E5746" t="s">
        <v>13105</v>
      </c>
      <c r="F5746" t="s">
        <v>12326</v>
      </c>
      <c r="G5746">
        <v>376.2</v>
      </c>
      <c r="H5746">
        <v>408.92</v>
      </c>
      <c r="I5746">
        <v>408.93</v>
      </c>
      <c r="J5746">
        <v>-0.01</v>
      </c>
    </row>
    <row r="5747" spans="1:10" x14ac:dyDescent="0.3">
      <c r="A5747" t="str">
        <f>HYPERLINK("https://us2.cloudbeds.com/connect/10074733072513#/reservations/31702650503365?display=MHSP6YC6R&amp;reservation_id=31702650503365", "MHSP6YC6R")</f>
        <v>MHSP6YC6R</v>
      </c>
      <c r="B5747" t="s">
        <v>10</v>
      </c>
      <c r="C5747" t="s">
        <v>42</v>
      </c>
      <c r="D5747" t="str">
        <f>HYPERLINK("https://us2.cloudbeds.com/connect/10074733072513#/reservations/31702650503365?display=Mickenna%20Miree%20Andersen&amp;reservation_id=31702650503365&amp;guest_id=31702426525831", "Mickenna Miree Andersen")</f>
        <v>Mickenna Miree Andersen</v>
      </c>
      <c r="E5747" t="s">
        <v>13105</v>
      </c>
      <c r="F5747" t="s">
        <v>12326</v>
      </c>
      <c r="G5747">
        <v>376.2</v>
      </c>
      <c r="H5747">
        <v>408.92</v>
      </c>
      <c r="I5747">
        <v>408.93</v>
      </c>
      <c r="J5747">
        <v>-0.01</v>
      </c>
    </row>
    <row r="5748" spans="1:10" x14ac:dyDescent="0.3">
      <c r="A5748" t="str">
        <f>HYPERLINK("https://us2.cloudbeds.com/connect/10074733072513#/reservations/31711146438853?display=MX2B9Y9SC&amp;reservation_id=31711146438853", "MX2B9Y9SC")</f>
        <v>MX2B9Y9SC</v>
      </c>
      <c r="B5748" t="s">
        <v>10</v>
      </c>
      <c r="C5748" t="s">
        <v>42</v>
      </c>
      <c r="D5748" t="str">
        <f>HYPERLINK("https://us2.cloudbeds.com/connect/10074733072513#/reservations/31711146438853?display=Randall%20Perrin&amp;reservation_id=31711146438853&amp;guest_id=31711138078958", "Randall Perrin")</f>
        <v>Randall Perrin</v>
      </c>
      <c r="E5748" t="s">
        <v>13106</v>
      </c>
      <c r="F5748" t="s">
        <v>13038</v>
      </c>
      <c r="G5748">
        <v>134.1</v>
      </c>
      <c r="H5748">
        <v>145.76</v>
      </c>
      <c r="I5748">
        <v>145.77000000000001</v>
      </c>
      <c r="J5748">
        <v>-0.01</v>
      </c>
    </row>
    <row r="5749" spans="1:10" x14ac:dyDescent="0.3">
      <c r="A5749" t="str">
        <f>HYPERLINK("https://us2.cloudbeds.com/connect/10074733072513#/reservations/31702458851526?display=MHSKA1CCB&amp;reservation_id=31702458851526", "MHSKA1CCB")</f>
        <v>MHSKA1CCB</v>
      </c>
      <c r="B5749" t="s">
        <v>10</v>
      </c>
      <c r="C5749" t="s">
        <v>23</v>
      </c>
      <c r="D5749" t="str">
        <f>HYPERLINK("https://us2.cloudbeds.com/connect/10074733072513#/reservations/31702458851526?display=Linda%20Riley&amp;reservation_id=31702458851526&amp;guest_id=31702452400343", "Linda Riley")</f>
        <v>Linda Riley</v>
      </c>
      <c r="E5749" t="s">
        <v>13107</v>
      </c>
      <c r="F5749" t="s">
        <v>12326</v>
      </c>
      <c r="G5749">
        <v>456.3</v>
      </c>
      <c r="H5749">
        <v>495.99</v>
      </c>
      <c r="I5749">
        <v>496</v>
      </c>
      <c r="J5749">
        <v>-0.01</v>
      </c>
    </row>
    <row r="5750" spans="1:10" x14ac:dyDescent="0.3">
      <c r="A5750" t="str">
        <f>HYPERLINK("https://us2.cloudbeds.com/connect/10074733072513#/reservations/31702502514826?display=MHSYDSC7Y&amp;reservation_id=31702502514826", "MHSYDSC7Y")</f>
        <v>MHSYDSC7Y</v>
      </c>
      <c r="B5750" t="s">
        <v>10</v>
      </c>
      <c r="C5750" t="s">
        <v>23</v>
      </c>
      <c r="D5750" t="str">
        <f>HYPERLINK("https://us2.cloudbeds.com/connect/10074733072513#/reservations/31702502514826?display=Christena%20Richard&amp;reservation_id=31702502514826&amp;guest_id=31702502514821", "Christena Richard")</f>
        <v>Christena Richard</v>
      </c>
      <c r="E5750" t="s">
        <v>13115</v>
      </c>
      <c r="F5750" t="s">
        <v>12881</v>
      </c>
      <c r="G5750">
        <v>134.1</v>
      </c>
      <c r="H5750">
        <v>145.76</v>
      </c>
      <c r="I5750">
        <v>145.77000000000001</v>
      </c>
      <c r="J5750">
        <v>-0.01</v>
      </c>
    </row>
    <row r="5751" spans="1:10" x14ac:dyDescent="0.3">
      <c r="A5751" t="str">
        <f>HYPERLINK("https://us2.cloudbeds.com/connect/10074733072513#/reservations/31701775159476?display=MHS2RHKWE&amp;reservation_id=31701775159476", "MHS2RHKWE")</f>
        <v>MHS2RHKWE</v>
      </c>
      <c r="B5751" t="s">
        <v>10</v>
      </c>
      <c r="C5751" t="s">
        <v>23</v>
      </c>
      <c r="D5751" t="str">
        <f>HYPERLINK("https://us2.cloudbeds.com/connect/10074733072513#/reservations/31701775159476?display=Robert%20Hubley&amp;reservation_id=31701775159476&amp;guest_id=31701757370593", "Robert Hubley")</f>
        <v>Robert Hubley</v>
      </c>
      <c r="E5751" t="s">
        <v>13117</v>
      </c>
      <c r="F5751" t="s">
        <v>12881</v>
      </c>
      <c r="G5751">
        <v>117.42</v>
      </c>
      <c r="H5751">
        <v>127.63</v>
      </c>
      <c r="I5751">
        <v>127.64</v>
      </c>
      <c r="J5751">
        <v>-0.01</v>
      </c>
    </row>
    <row r="5752" spans="1:10" x14ac:dyDescent="0.3">
      <c r="A5752" t="str">
        <f>HYPERLINK("https://us2.cloudbeds.com/connect/10074733072513#/reservations/31702884487347?display=MHSV5VAHH&amp;reservation_id=31702884487347", "MHSV5VAHH")</f>
        <v>MHSV5VAHH</v>
      </c>
      <c r="B5752" t="s">
        <v>10</v>
      </c>
      <c r="C5752" t="s">
        <v>23</v>
      </c>
      <c r="D5752" t="str">
        <f>HYPERLINK("https://us2.cloudbeds.com/connect/10074733072513#/reservations/31702884487347?display=Mary%20Groher&amp;reservation_id=31702884487347&amp;guest_id=31702884487342", "Mary Groher")</f>
        <v>Mary Groher</v>
      </c>
      <c r="E5752" t="s">
        <v>13118</v>
      </c>
      <c r="F5752" t="s">
        <v>12795</v>
      </c>
      <c r="G5752">
        <v>170.1</v>
      </c>
      <c r="H5752">
        <v>184.89</v>
      </c>
      <c r="I5752">
        <v>184.9</v>
      </c>
      <c r="J5752">
        <v>-0.01</v>
      </c>
    </row>
    <row r="5753" spans="1:10" x14ac:dyDescent="0.3">
      <c r="A5753" t="str">
        <f>HYPERLINK("https://us2.cloudbeds.com/connect/10074733072513#/reservations/31702988767365?display=MHT0RT242&amp;reservation_id=31702988767365", "MHT0RT242")</f>
        <v>MHT0RT242</v>
      </c>
      <c r="B5753" t="s">
        <v>10</v>
      </c>
      <c r="C5753" t="s">
        <v>42</v>
      </c>
      <c r="D5753" t="str">
        <f>HYPERLINK("https://us2.cloudbeds.com/connect/10074733072513#/reservations/31702988767365?display=Rita%20Taggart&amp;reservation_id=31702988767365&amp;guest_id=31687691374739", "Rita Taggart")</f>
        <v>Rita Taggart</v>
      </c>
      <c r="E5753" t="s">
        <v>13122</v>
      </c>
      <c r="F5753" t="s">
        <v>11742</v>
      </c>
      <c r="G5753">
        <v>170.1</v>
      </c>
      <c r="H5753">
        <v>184.89</v>
      </c>
      <c r="I5753">
        <v>184.9</v>
      </c>
      <c r="J5753">
        <v>-0.01</v>
      </c>
    </row>
    <row r="5754" spans="1:10" x14ac:dyDescent="0.3">
      <c r="A5754" t="str">
        <f>HYPERLINK("https://us2.cloudbeds.com/connect/10074733072513#/reservations/31702212133078?display=MHSE002AZ&amp;reservation_id=31702212133078", "MHSE002AZ")</f>
        <v>MHSE002AZ</v>
      </c>
      <c r="B5754" t="s">
        <v>10</v>
      </c>
      <c r="C5754" t="s">
        <v>42</v>
      </c>
      <c r="D5754" t="str">
        <f>HYPERLINK("https://us2.cloudbeds.com/connect/10074733072513#/reservations/31702212133078?display=Renae%20Darko&amp;reservation_id=31702212133078&amp;guest_id=31702212133073", "Renae Darko")</f>
        <v>Renae Darko</v>
      </c>
      <c r="E5754" t="s">
        <v>13124</v>
      </c>
      <c r="F5754" t="s">
        <v>12795</v>
      </c>
      <c r="G5754">
        <v>334.4</v>
      </c>
      <c r="H5754">
        <v>363.48</v>
      </c>
      <c r="I5754">
        <v>363.49</v>
      </c>
      <c r="J5754">
        <v>-0.01</v>
      </c>
    </row>
    <row r="5755" spans="1:10" x14ac:dyDescent="0.3">
      <c r="A5755" t="str">
        <f>HYPERLINK("https://us2.cloudbeds.com/connect/10074733072513#/reservations/31702042808463?display=MHS9M7BWQ&amp;reservation_id=31702042808463", "MHS9M7BWQ")</f>
        <v>MHS9M7BWQ</v>
      </c>
      <c r="B5755" t="s">
        <v>10</v>
      </c>
      <c r="C5755" t="s">
        <v>23</v>
      </c>
      <c r="D5755" t="str">
        <f>HYPERLINK("https://us2.cloudbeds.com/connect/10074733072513#/reservations/31702042808463?display=Charles%20Andrews&amp;reservation_id=31702042808463&amp;guest_id=31702033166589", "Charles Andrews")</f>
        <v>Charles Andrews</v>
      </c>
      <c r="E5755" t="s">
        <v>13127</v>
      </c>
      <c r="F5755" t="s">
        <v>12662</v>
      </c>
      <c r="G5755">
        <v>309.95999999999998</v>
      </c>
      <c r="H5755">
        <v>336.92</v>
      </c>
      <c r="I5755">
        <v>336.93</v>
      </c>
      <c r="J5755">
        <v>-0.01</v>
      </c>
    </row>
    <row r="5756" spans="1:10" x14ac:dyDescent="0.3">
      <c r="A5756" t="str">
        <f>HYPERLINK("https://us2.cloudbeds.com/connect/10074733072513#/reservations/31702199488667?display=MHSDMB79P&amp;reservation_id=31702199488667", "MHSDMB79P")</f>
        <v>MHSDMB79P</v>
      </c>
      <c r="B5756" t="s">
        <v>10</v>
      </c>
      <c r="C5756" t="s">
        <v>121</v>
      </c>
      <c r="D5756" t="str">
        <f>HYPERLINK("https://us2.cloudbeds.com/connect/10074733072513#/reservations/31702199488667?display=Kyle%20Mckenna&amp;reservation_id=31702199488667&amp;guest_id=31702199488662", "Kyle Mckenna")</f>
        <v>Kyle Mckenna</v>
      </c>
      <c r="E5756" t="s">
        <v>13130</v>
      </c>
      <c r="F5756" t="s">
        <v>12795</v>
      </c>
      <c r="G5756">
        <v>170.1</v>
      </c>
      <c r="H5756">
        <v>184.89</v>
      </c>
      <c r="I5756">
        <v>184.9</v>
      </c>
      <c r="J5756">
        <v>-0.01</v>
      </c>
    </row>
    <row r="5757" spans="1:10" x14ac:dyDescent="0.3">
      <c r="A5757" t="str">
        <f>HYPERLINK("https://us2.cloudbeds.com/connect/10074733072513#/reservations/31702228136072?display=MHSEDGCEV&amp;reservation_id=31702228136072", "MHSEDGCEV")</f>
        <v>MHSEDGCEV</v>
      </c>
      <c r="B5757" t="s">
        <v>10</v>
      </c>
      <c r="C5757" t="s">
        <v>42</v>
      </c>
      <c r="D5757" t="str">
        <f>HYPERLINK("https://us2.cloudbeds.com/connect/10074733072513#/reservations/31702228136072?display=Chase%20Howe&amp;reservation_id=31702228136072&amp;guest_id=31702228131978", "Chase Howe")</f>
        <v>Chase Howe</v>
      </c>
      <c r="E5757" t="s">
        <v>13131</v>
      </c>
      <c r="F5757" t="s">
        <v>12795</v>
      </c>
      <c r="G5757">
        <v>170.1</v>
      </c>
      <c r="H5757">
        <v>184.89</v>
      </c>
      <c r="I5757">
        <v>184.9</v>
      </c>
      <c r="J5757">
        <v>-0.01</v>
      </c>
    </row>
    <row r="5758" spans="1:10" x14ac:dyDescent="0.3">
      <c r="A5758" t="str">
        <f>HYPERLINK("https://us2.cloudbeds.com/connect/10074733072513#/reservations/31702767333560?display=MHSS65B9P&amp;reservation_id=31702767333560", "MHSS65B9P")</f>
        <v>MHSS65B9P</v>
      </c>
      <c r="B5758" t="s">
        <v>10</v>
      </c>
      <c r="C5758" t="s">
        <v>23</v>
      </c>
      <c r="D5758" t="str">
        <f>HYPERLINK("https://us2.cloudbeds.com/connect/10074733072513#/reservations/31702767333560?display=Bryce%20Bohnenkamp&amp;reservation_id=31702767333560&amp;guest_id=31702759362782", "Bryce Bohnenkamp")</f>
        <v>Bryce Bohnenkamp</v>
      </c>
      <c r="E5758" t="s">
        <v>13132</v>
      </c>
      <c r="F5758" t="s">
        <v>13109</v>
      </c>
      <c r="G5758">
        <v>285.60000000000002</v>
      </c>
      <c r="H5758">
        <v>310.44</v>
      </c>
      <c r="I5758">
        <v>310.45</v>
      </c>
      <c r="J5758">
        <v>-0.01</v>
      </c>
    </row>
    <row r="5759" spans="1:10" x14ac:dyDescent="0.3">
      <c r="A5759" t="str">
        <f>HYPERLINK("https://us2.cloudbeds.com/connect/10074733072513#/reservations/31702792949977?display=MHSSRP55R&amp;reservation_id=31702792949977", "MHSSRP55R")</f>
        <v>MHSSRP55R</v>
      </c>
      <c r="B5759" t="s">
        <v>10</v>
      </c>
      <c r="C5759" t="s">
        <v>23</v>
      </c>
      <c r="D5759" t="str">
        <f>HYPERLINK("https://us2.cloudbeds.com/connect/10074733072513#/reservations/31702792949977?display=Anita%20Zakrzewski&amp;reservation_id=31702792949977&amp;guest_id=31702792945893", "Anita Zakrzewski")</f>
        <v>Anita Zakrzewski</v>
      </c>
      <c r="E5759" t="s">
        <v>13141</v>
      </c>
      <c r="F5759" t="s">
        <v>13109</v>
      </c>
      <c r="G5759">
        <v>250.2</v>
      </c>
      <c r="H5759">
        <v>271.95999999999998</v>
      </c>
      <c r="I5759">
        <v>271.97000000000003</v>
      </c>
      <c r="J5759">
        <v>-0.01</v>
      </c>
    </row>
    <row r="5760" spans="1:10" x14ac:dyDescent="0.3">
      <c r="A5760" t="str">
        <f>HYPERLINK("https://us2.cloudbeds.com/connect/10074733072513#/reservations/31702374256797?display=MHSX4ND8N&amp;reservation_id=31702374256797", "MHSX4ND8N")</f>
        <v>MHSX4ND8N</v>
      </c>
      <c r="B5760" t="s">
        <v>10</v>
      </c>
      <c r="C5760" t="s">
        <v>42</v>
      </c>
      <c r="D5760" t="str">
        <f>HYPERLINK("https://us2.cloudbeds.com/connect/10074733072513#/reservations/31702374256797?display=Darlene%20Nothnagel&amp;reservation_id=31702374256797&amp;guest_id=31702374252690", "Darlene Nothnagel")</f>
        <v>Darlene Nothnagel</v>
      </c>
      <c r="E5760" t="s">
        <v>13154</v>
      </c>
      <c r="F5760" t="s">
        <v>13140</v>
      </c>
      <c r="G5760">
        <v>103.2</v>
      </c>
      <c r="H5760">
        <v>112.17</v>
      </c>
      <c r="I5760">
        <v>112.18</v>
      </c>
      <c r="J5760">
        <v>-0.01</v>
      </c>
    </row>
    <row r="5761" spans="1:10" x14ac:dyDescent="0.3">
      <c r="A5761" t="str">
        <f>HYPERLINK("https://us2.cloudbeds.com/connect/10074733072513#/reservations/31700958159058?display=MHREVKD10&amp;reservation_id=31700958159058", "MHREVKD10")</f>
        <v>MHREVKD10</v>
      </c>
      <c r="B5761" t="s">
        <v>10</v>
      </c>
      <c r="C5761" t="s">
        <v>23</v>
      </c>
      <c r="D5761" t="str">
        <f>HYPERLINK("https://us2.cloudbeds.com/connect/10074733072513#/reservations/31700958159058?display=Jim%20Fritz&amp;reservation_id=31700958159058&amp;guest_id=31700948598912", "Jim Fritz")</f>
        <v>Jim Fritz</v>
      </c>
      <c r="E5761" t="s">
        <v>13155</v>
      </c>
      <c r="F5761" t="s">
        <v>13145</v>
      </c>
      <c r="G5761">
        <v>170.1</v>
      </c>
      <c r="H5761">
        <v>184.89</v>
      </c>
      <c r="I5761">
        <v>184.9</v>
      </c>
      <c r="J5761">
        <v>-0.01</v>
      </c>
    </row>
    <row r="5762" spans="1:10" x14ac:dyDescent="0.3">
      <c r="A5762" t="str">
        <f>HYPERLINK("https://us2.cloudbeds.com/connect/10074733072513#/reservations/31702419210443?display=MHSJ9KA0D&amp;reservation_id=31702419210443", "MHSJ9KA0D")</f>
        <v>MHSJ9KA0D</v>
      </c>
      <c r="B5762" t="s">
        <v>10</v>
      </c>
      <c r="C5762" t="s">
        <v>42</v>
      </c>
      <c r="D5762" t="str">
        <f>HYPERLINK("https://us2.cloudbeds.com/connect/10074733072513#/reservations/31702419210443?display=Aaron%20Cochran&amp;reservation_id=31702419210443&amp;guest_id=31702419210440", "Aaron Cochran")</f>
        <v>Aaron Cochran</v>
      </c>
      <c r="E5762" t="s">
        <v>13156</v>
      </c>
      <c r="F5762" t="s">
        <v>13145</v>
      </c>
      <c r="G5762">
        <v>134.1</v>
      </c>
      <c r="H5762">
        <v>145.76</v>
      </c>
      <c r="I5762">
        <v>145.77000000000001</v>
      </c>
      <c r="J5762">
        <v>-0.01</v>
      </c>
    </row>
    <row r="5763" spans="1:10" x14ac:dyDescent="0.3">
      <c r="A5763" t="str">
        <f>HYPERLINK("https://us2.cloudbeds.com/connect/10074733072513#/reservations/31702792945895?display=MHSSRP1E4&amp;reservation_id=31702792945895", "MHSSRP1E4")</f>
        <v>MHSSRP1E4</v>
      </c>
      <c r="B5763" t="s">
        <v>10</v>
      </c>
      <c r="C5763" t="s">
        <v>121</v>
      </c>
      <c r="D5763" t="str">
        <f>HYPERLINK("https://us2.cloudbeds.com/connect/10074733072513#/reservations/31702792945895?display=Tom%20Glines&amp;reservation_id=31702792945895&amp;guest_id=31702792945890", "Tom Glines")</f>
        <v>Tom Glines</v>
      </c>
      <c r="E5763" t="s">
        <v>13158</v>
      </c>
      <c r="F5763" t="s">
        <v>13145</v>
      </c>
      <c r="G5763">
        <v>134.1</v>
      </c>
      <c r="H5763">
        <v>145.76</v>
      </c>
      <c r="I5763">
        <v>145.77000000000001</v>
      </c>
      <c r="J5763">
        <v>-0.01</v>
      </c>
    </row>
    <row r="5764" spans="1:10" x14ac:dyDescent="0.3">
      <c r="A5764" t="str">
        <f>HYPERLINK("https://us2.cloudbeds.com/connect/10074733072513#/reservations/31702401945743?display=MHSXS1T9M&amp;reservation_id=31702401945743", "MHSXS1T9M")</f>
        <v>MHSXS1T9M</v>
      </c>
      <c r="B5764" t="s">
        <v>10</v>
      </c>
      <c r="C5764" t="s">
        <v>42</v>
      </c>
      <c r="D5764" t="str">
        <f>HYPERLINK("https://us2.cloudbeds.com/connect/10074733072513#/reservations/31702401945743?display=Lorne%20Larson&amp;reservation_id=31702401945743&amp;guest_id=31702401941663", "Lorne Larson")</f>
        <v>Lorne Larson</v>
      </c>
      <c r="E5764" t="s">
        <v>13160</v>
      </c>
      <c r="F5764" t="s">
        <v>13145</v>
      </c>
      <c r="G5764">
        <v>134.1</v>
      </c>
      <c r="H5764">
        <v>145.76</v>
      </c>
      <c r="I5764">
        <v>145.77000000000001</v>
      </c>
      <c r="J5764">
        <v>-0.01</v>
      </c>
    </row>
    <row r="5765" spans="1:10" x14ac:dyDescent="0.3">
      <c r="A5765" t="str">
        <f>HYPERLINK("https://us2.cloudbeds.com/connect/10074733072513#/reservations/31702730186949?display=MHSR7RMHT&amp;reservation_id=31702730186949", "MHSR7RMHT")</f>
        <v>MHSR7RMHT</v>
      </c>
      <c r="B5765" t="s">
        <v>10</v>
      </c>
      <c r="C5765" t="s">
        <v>42</v>
      </c>
      <c r="D5765" t="str">
        <f>HYPERLINK("https://us2.cloudbeds.com/connect/10074733072513#/reservations/31702730186949?display=Carol%20Wahlen&amp;reservation_id=31702730186949&amp;guest_id=31702730186946", "Carol Wahlen")</f>
        <v>Carol Wahlen</v>
      </c>
      <c r="E5765" t="s">
        <v>13169</v>
      </c>
      <c r="F5765" t="s">
        <v>13109</v>
      </c>
      <c r="G5765">
        <v>134.1</v>
      </c>
      <c r="H5765">
        <v>145.76</v>
      </c>
      <c r="I5765">
        <v>145.77000000000001</v>
      </c>
      <c r="J5765">
        <v>-0.01</v>
      </c>
    </row>
    <row r="5766" spans="1:10" x14ac:dyDescent="0.3">
      <c r="A5766" t="str">
        <f>HYPERLINK("https://us2.cloudbeds.com/connect/10074733072513#/reservations/31702305308832?display=MHSGCXR5D&amp;reservation_id=31702305308832", "MHSGCXR5D")</f>
        <v>MHSGCXR5D</v>
      </c>
      <c r="B5766" t="s">
        <v>10</v>
      </c>
      <c r="C5766" t="s">
        <v>42</v>
      </c>
      <c r="D5766" t="str">
        <f>HYPERLINK("https://us2.cloudbeds.com/connect/10074733072513#/reservations/31702305308832?display=Toby%20Simpson&amp;reservation_id=31702305308832&amp;guest_id=31702305308827", "Toby Simpson")</f>
        <v>Toby Simpson</v>
      </c>
      <c r="E5766" t="s">
        <v>13172</v>
      </c>
      <c r="F5766" t="s">
        <v>13116</v>
      </c>
      <c r="G5766">
        <v>134.1</v>
      </c>
      <c r="H5766">
        <v>145.76</v>
      </c>
      <c r="I5766">
        <v>145.77000000000001</v>
      </c>
      <c r="J5766">
        <v>-0.01</v>
      </c>
    </row>
    <row r="5767" spans="1:10" x14ac:dyDescent="0.3">
      <c r="A5767" t="str">
        <f>HYPERLINK("https://us2.cloudbeds.com/connect/10074733072513#/reservations/31702023696544?display=MHS963X0Z&amp;reservation_id=31702023696544", "MHS963X0Z")</f>
        <v>MHS963X0Z</v>
      </c>
      <c r="B5767" t="s">
        <v>10</v>
      </c>
      <c r="C5767" t="s">
        <v>23</v>
      </c>
      <c r="D5767" t="str">
        <f>HYPERLINK("https://us2.cloudbeds.com/connect/10074733072513#/reservations/31702023696544?display=Wendy%20Murray&amp;reservation_id=31702023696544&amp;guest_id=31702023696539", "Wendy Murray")</f>
        <v>Wendy Murray</v>
      </c>
      <c r="E5767" t="s">
        <v>13173</v>
      </c>
      <c r="F5767" t="s">
        <v>12662</v>
      </c>
      <c r="G5767">
        <v>405.6</v>
      </c>
      <c r="H5767">
        <v>440.88</v>
      </c>
      <c r="I5767">
        <v>440.89</v>
      </c>
      <c r="J5767">
        <v>-0.01</v>
      </c>
    </row>
    <row r="5768" spans="1:10" x14ac:dyDescent="0.3">
      <c r="A5768" t="str">
        <f>HYPERLINK("https://us2.cloudbeds.com/connect/10074733072513#/reservations/31701878235338?display=MHS5FESRD&amp;reservation_id=31701878235338", "MHS5FESRD")</f>
        <v>MHS5FESRD</v>
      </c>
      <c r="B5768" t="s">
        <v>10</v>
      </c>
      <c r="C5768" t="s">
        <v>23</v>
      </c>
      <c r="D5768" t="str">
        <f>HYPERLINK("https://us2.cloudbeds.com/connect/10074733072513#/reservations/31701878235338?display=Patrick%20Burchill&amp;reservation_id=31701878235338&amp;guest_id=31701878231242", "Patrick Burchill")</f>
        <v>Patrick Burchill</v>
      </c>
      <c r="E5768" t="s">
        <v>13175</v>
      </c>
      <c r="F5768" t="s">
        <v>13176</v>
      </c>
      <c r="G5768">
        <v>170.1</v>
      </c>
      <c r="H5768">
        <v>184.89</v>
      </c>
      <c r="I5768">
        <v>184.9</v>
      </c>
      <c r="J5768">
        <v>-0.01</v>
      </c>
    </row>
    <row r="5769" spans="1:10" x14ac:dyDescent="0.3">
      <c r="A5769" t="str">
        <f>HYPERLINK("https://us2.cloudbeds.com/connect/10074733072513#/reservations/31703007330500?display=MHT1AHK5A&amp;reservation_id=31703007330500", "MHT1AHK5A")</f>
        <v>MHT1AHK5A</v>
      </c>
      <c r="B5769" t="s">
        <v>10</v>
      </c>
      <c r="C5769" t="s">
        <v>42</v>
      </c>
      <c r="D5769" t="str">
        <f>HYPERLINK("https://us2.cloudbeds.com/connect/10074733072513#/reservations/31703007330500?display=William%20Graves&amp;reservation_id=31703007330500&amp;guest_id=31702997233848", "William Graves")</f>
        <v>William Graves</v>
      </c>
      <c r="E5769" t="s">
        <v>13180</v>
      </c>
      <c r="F5769" t="s">
        <v>13092</v>
      </c>
      <c r="G5769">
        <v>130.1</v>
      </c>
      <c r="H5769">
        <v>141.41</v>
      </c>
      <c r="I5769">
        <v>141.41999999999999</v>
      </c>
      <c r="J5769">
        <v>-0.01</v>
      </c>
    </row>
    <row r="5770" spans="1:10" x14ac:dyDescent="0.3">
      <c r="A5770" t="str">
        <f>HYPERLINK("https://us2.cloudbeds.com/connect/10074733072513#/reservations/31703028318340?display=MHT1S7KZF&amp;reservation_id=31703028318340", "MHT1S7KZF")</f>
        <v>MHT1S7KZF</v>
      </c>
      <c r="B5770" t="s">
        <v>10</v>
      </c>
      <c r="C5770" t="s">
        <v>42</v>
      </c>
      <c r="D5770" t="str">
        <f>HYPERLINK("https://us2.cloudbeds.com/connect/10074733072513#/reservations/31703028318340?display=Alexis%20Volkers&amp;reservation_id=31703028318340&amp;guest_id=31692808106227", "Alexis Volkers")</f>
        <v>Alexis Volkers</v>
      </c>
      <c r="E5770" t="s">
        <v>7630</v>
      </c>
      <c r="F5770" t="s">
        <v>12005</v>
      </c>
      <c r="G5770">
        <v>304.2</v>
      </c>
      <c r="H5770">
        <v>330.66</v>
      </c>
      <c r="I5770">
        <v>330.67</v>
      </c>
      <c r="J5770">
        <v>-0.01</v>
      </c>
    </row>
    <row r="5771" spans="1:10" x14ac:dyDescent="0.3">
      <c r="A5771" t="str">
        <f>HYPERLINK("https://us2.cloudbeds.com/connect/10074733072513#/reservations/31702102327524?display=MHSB6DXPN&amp;reservation_id=31702102327524", "MHSB6DXPN")</f>
        <v>MHSB6DXPN</v>
      </c>
      <c r="B5771" t="s">
        <v>10</v>
      </c>
      <c r="C5771" t="s">
        <v>23</v>
      </c>
      <c r="D5771" t="str">
        <f>HYPERLINK("https://us2.cloudbeds.com/connect/10074733072513#/reservations/31702102327524?display=Nidagalle%20Gowda&amp;reservation_id=31702102327524&amp;guest_id=31702090399889", "Nidagalle Gowda")</f>
        <v>Nidagalle Gowda</v>
      </c>
      <c r="E5771" t="s">
        <v>13181</v>
      </c>
      <c r="F5771" t="s">
        <v>13182</v>
      </c>
      <c r="G5771">
        <v>103.2</v>
      </c>
      <c r="H5771">
        <v>112.17</v>
      </c>
      <c r="I5771">
        <v>112.18</v>
      </c>
      <c r="J5771">
        <v>-0.01</v>
      </c>
    </row>
    <row r="5772" spans="1:10" x14ac:dyDescent="0.3">
      <c r="A5772" t="str">
        <f>HYPERLINK("https://us2.cloudbeds.com/connect/10074733072513#/reservations/31702668275906?display=MHSPYKU8M&amp;reservation_id=31702668275906", "MHSPYKU8M")</f>
        <v>MHSPYKU8M</v>
      </c>
      <c r="B5772" t="s">
        <v>10</v>
      </c>
      <c r="C5772" t="s">
        <v>23</v>
      </c>
      <c r="D5772" t="str">
        <f>HYPERLINK("https://us2.cloudbeds.com/connect/10074733072513#/reservations/31702668275906?display=Allen%20Aaberg&amp;reservation_id=31702668275906&amp;guest_id=31702668271814", "Allen Aaberg")</f>
        <v>Allen Aaberg</v>
      </c>
      <c r="E5772" t="s">
        <v>13183</v>
      </c>
      <c r="F5772" t="s">
        <v>12326</v>
      </c>
      <c r="G5772">
        <v>150.22</v>
      </c>
      <c r="H5772">
        <v>163.28</v>
      </c>
      <c r="I5772">
        <v>163.29</v>
      </c>
      <c r="J5772">
        <v>-0.01</v>
      </c>
    </row>
    <row r="5773" spans="1:10" x14ac:dyDescent="0.3">
      <c r="A5773" t="str">
        <f>HYPERLINK("https://us2.cloudbeds.com/connect/10074733072513#/reservations/31702698205393?display=MHSQDSZNR&amp;reservation_id=31702698205393", "MHSQDSZNR")</f>
        <v>MHSQDSZNR</v>
      </c>
      <c r="B5773" t="s">
        <v>10</v>
      </c>
      <c r="C5773" t="s">
        <v>23</v>
      </c>
      <c r="D5773" t="str">
        <f>HYPERLINK("https://us2.cloudbeds.com/connect/10074733072513#/reservations/31702698205393?display=Neil%20Anderson&amp;reservation_id=31702698205393&amp;guest_id=31702698205388", "Neil Anderson")</f>
        <v>Neil Anderson</v>
      </c>
      <c r="E5773" t="s">
        <v>13188</v>
      </c>
      <c r="F5773" t="s">
        <v>13092</v>
      </c>
      <c r="G5773">
        <v>170.1</v>
      </c>
      <c r="H5773">
        <v>184.89</v>
      </c>
      <c r="I5773">
        <v>184.9</v>
      </c>
      <c r="J5773">
        <v>-0.01</v>
      </c>
    </row>
    <row r="5774" spans="1:10" x14ac:dyDescent="0.3">
      <c r="A5774" t="str">
        <f>HYPERLINK("https://us2.cloudbeds.com/connect/10074733072513#/reservations/31703095189663?display=MHT3XKDU6&amp;reservation_id=31703095189663", "MHT3XKDU6")</f>
        <v>MHT3XKDU6</v>
      </c>
      <c r="B5774" t="s">
        <v>10</v>
      </c>
      <c r="C5774" t="s">
        <v>42</v>
      </c>
      <c r="D5774" t="str">
        <f>HYPERLINK("https://us2.cloudbeds.com/connect/10074733072513#/reservations/31703095189663?display=Dean%20Heins&amp;reservation_id=31703095189663&amp;guest_id=30659890618569", "Dean Heins")</f>
        <v>Dean Heins</v>
      </c>
      <c r="E5774" t="s">
        <v>13196</v>
      </c>
      <c r="F5774" t="s">
        <v>12005</v>
      </c>
      <c r="G5774">
        <v>103.2</v>
      </c>
      <c r="H5774">
        <v>112.17</v>
      </c>
      <c r="I5774">
        <v>112.18</v>
      </c>
      <c r="J5774">
        <v>-0.01</v>
      </c>
    </row>
    <row r="5775" spans="1:10" x14ac:dyDescent="0.3">
      <c r="A5775" t="str">
        <f>HYPERLINK("https://us2.cloudbeds.com/connect/10074733072513#/reservations/31701664379130?display=MHS0040A8&amp;reservation_id=31701664379130", "MHS0040A8")</f>
        <v>MHS0040A8</v>
      </c>
      <c r="B5775" t="s">
        <v>10</v>
      </c>
      <c r="C5775" t="s">
        <v>23</v>
      </c>
      <c r="D5775" t="str">
        <f>HYPERLINK("https://us2.cloudbeds.com/connect/10074733072513#/reservations/31701664379130?display=Adam%20Tordai&amp;reservation_id=31701664379130&amp;guest_id=31701654687907", "Adam Tordai")</f>
        <v>Adam Tordai</v>
      </c>
      <c r="E5775" t="s">
        <v>13197</v>
      </c>
      <c r="F5775" t="s">
        <v>12533</v>
      </c>
      <c r="G5775">
        <v>170.1</v>
      </c>
      <c r="H5775">
        <v>184.89</v>
      </c>
      <c r="I5775">
        <v>184.9</v>
      </c>
      <c r="J5775">
        <v>-0.01</v>
      </c>
    </row>
    <row r="5776" spans="1:10" x14ac:dyDescent="0.3">
      <c r="A5776" t="str">
        <f>HYPERLINK("https://us2.cloudbeds.com/connect/10074733072513#/reservations/31701693886655?display=MHS0P039M&amp;reservation_id=31701693886655", "MHS0P039M")</f>
        <v>MHS0P039M</v>
      </c>
      <c r="B5776" t="s">
        <v>10</v>
      </c>
      <c r="C5776" t="s">
        <v>42</v>
      </c>
      <c r="D5776" t="str">
        <f>HYPERLINK("https://us2.cloudbeds.com/connect/10074733072513#/reservations/31701693886655?display=Ronald%20Rubsam&amp;reservation_id=31701693886655&amp;guest_id=31689759355014", "Ronald Rubsam")</f>
        <v>Ronald Rubsam</v>
      </c>
      <c r="E5776" t="s">
        <v>13201</v>
      </c>
      <c r="F5776" t="s">
        <v>12533</v>
      </c>
      <c r="G5776">
        <v>170.1</v>
      </c>
      <c r="H5776">
        <v>184.89</v>
      </c>
      <c r="I5776">
        <v>184.9</v>
      </c>
      <c r="J5776">
        <v>-0.01</v>
      </c>
    </row>
    <row r="5777" spans="1:10" x14ac:dyDescent="0.3">
      <c r="A5777" t="str">
        <f>HYPERLINK("https://us2.cloudbeds.com/connect/10074733072513#/reservations/31701664887007?display=MHS00X4MF&amp;reservation_id=31701664887007", "MHS00X4MF")</f>
        <v>MHS00X4MF</v>
      </c>
      <c r="B5777" t="s">
        <v>10</v>
      </c>
      <c r="C5777" t="s">
        <v>42</v>
      </c>
      <c r="D5777" t="str">
        <f>HYPERLINK("https://us2.cloudbeds.com/connect/10074733072513#/reservations/31701664887007?display=Tom%20Bussard&amp;reservation_id=31701664887007&amp;guest_id=30666444619999", "Tom Bussard")</f>
        <v>Tom Bussard</v>
      </c>
      <c r="E5777" t="s">
        <v>5384</v>
      </c>
      <c r="F5777" t="s">
        <v>12047</v>
      </c>
      <c r="G5777">
        <v>304.2</v>
      </c>
      <c r="H5777">
        <v>330.66</v>
      </c>
      <c r="I5777">
        <v>330.67</v>
      </c>
      <c r="J5777">
        <v>-0.01</v>
      </c>
    </row>
    <row r="5778" spans="1:10" x14ac:dyDescent="0.3">
      <c r="A5778" t="str">
        <f>HYPERLINK("https://us2.cloudbeds.com/connect/10074733072513#/reservations/31702463172769?display=MHSKDMKF3&amp;reservation_id=31702463172769", "MHSKDMKF3")</f>
        <v>MHSKDMKF3</v>
      </c>
      <c r="B5778" t="s">
        <v>10</v>
      </c>
      <c r="C5778" t="s">
        <v>23</v>
      </c>
      <c r="D5778" t="str">
        <f>HYPERLINK("https://us2.cloudbeds.com/connect/10074733072513#/reservations/31702463172769?display=Nate%20Blegen&amp;reservation_id=31702463172769&amp;guest_id=31702463172766", "Nate Blegen")</f>
        <v>Nate Blegen</v>
      </c>
      <c r="E5778" t="s">
        <v>13205</v>
      </c>
      <c r="F5778" t="s">
        <v>12662</v>
      </c>
      <c r="G5778">
        <v>302.39999999999998</v>
      </c>
      <c r="H5778">
        <v>328.7</v>
      </c>
      <c r="I5778">
        <v>328.71</v>
      </c>
      <c r="J5778">
        <v>-0.01</v>
      </c>
    </row>
    <row r="5779" spans="1:10" x14ac:dyDescent="0.3">
      <c r="A5779" t="str">
        <f>HYPERLINK("https://us2.cloudbeds.com/connect/10074733072513#/reservations/31703087706240?display=MHT35RJJM&amp;reservation_id=31703087706240", "MHT35RJJM")</f>
        <v>MHT35RJJM</v>
      </c>
      <c r="B5779" t="s">
        <v>10</v>
      </c>
      <c r="C5779" t="s">
        <v>42</v>
      </c>
      <c r="D5779" t="str">
        <f>HYPERLINK("https://us2.cloudbeds.com/connect/10074733072513#/reservations/31703087706240?display=Juanita%20Howell&amp;reservation_id=31703087706240&amp;guest_id=31702248079555", "Juanita Howell")</f>
        <v>Juanita Howell</v>
      </c>
      <c r="E5779" t="s">
        <v>11128</v>
      </c>
      <c r="F5779" t="s">
        <v>13189</v>
      </c>
      <c r="G5779">
        <v>103.2</v>
      </c>
      <c r="H5779">
        <v>112.17</v>
      </c>
      <c r="I5779">
        <v>112.18</v>
      </c>
      <c r="J5779">
        <v>-0.01</v>
      </c>
    </row>
    <row r="5780" spans="1:10" x14ac:dyDescent="0.3">
      <c r="A5780" t="str">
        <f>HYPERLINK("https://us2.cloudbeds.com/connect/10074733072513#/reservations/31702015262918?display=MHS8VWSYA&amp;reservation_id=31702015262918", "MHS8VWSYA")</f>
        <v>MHS8VWSYA</v>
      </c>
      <c r="B5780" t="s">
        <v>10</v>
      </c>
      <c r="C5780" t="s">
        <v>23</v>
      </c>
      <c r="D5780" t="str">
        <f>HYPERLINK("https://us2.cloudbeds.com/connect/10074733072513#/reservations/31702015262918?display=Jennie%20Roekle&amp;reservation_id=31702015262918&amp;guest_id=31702010445983", "Jennie Roekle")</f>
        <v>Jennie Roekle</v>
      </c>
      <c r="E5780" t="s">
        <v>13213</v>
      </c>
      <c r="F5780" t="s">
        <v>12662</v>
      </c>
      <c r="G5780">
        <v>278.95999999999998</v>
      </c>
      <c r="H5780">
        <v>303.22000000000003</v>
      </c>
      <c r="I5780">
        <v>303.23</v>
      </c>
      <c r="J5780">
        <v>-0.01</v>
      </c>
    </row>
    <row r="5781" spans="1:10" x14ac:dyDescent="0.3">
      <c r="A5781" t="str">
        <f>HYPERLINK("https://us2.cloudbeds.com/connect/10074733072513#/reservations/31700826824900?display=MHRBJSRB1&amp;reservation_id=31700826824900", "MHRBJSRB1")</f>
        <v>MHRBJSRB1</v>
      </c>
      <c r="B5781" t="s">
        <v>10</v>
      </c>
      <c r="C5781" t="s">
        <v>23</v>
      </c>
      <c r="D5781" t="str">
        <f>HYPERLINK("https://us2.cloudbeds.com/connect/10074733072513#/reservations/31700826824900?display=Brenda%20Sanow&amp;reservation_id=31700826824900&amp;guest_id=31700826820807", "Brenda Sanow")</f>
        <v>Brenda Sanow</v>
      </c>
      <c r="E5781" t="s">
        <v>13218</v>
      </c>
      <c r="F5781" t="s">
        <v>11134</v>
      </c>
      <c r="G5781">
        <v>170.1</v>
      </c>
      <c r="H5781">
        <v>184.89</v>
      </c>
      <c r="I5781">
        <v>184.9</v>
      </c>
      <c r="J5781">
        <v>-0.01</v>
      </c>
    </row>
    <row r="5782" spans="1:10" x14ac:dyDescent="0.3">
      <c r="A5782" t="str">
        <f>HYPERLINK("https://us2.cloudbeds.com/connect/10074733072513#/reservations/31701972140180?display=MHS7SKU5M&amp;reservation_id=31701972140180", "MHS7SKU5M")</f>
        <v>MHS7SKU5M</v>
      </c>
      <c r="B5782" t="s">
        <v>10</v>
      </c>
      <c r="C5782" t="s">
        <v>42</v>
      </c>
      <c r="D5782" t="str">
        <f>HYPERLINK("https://us2.cloudbeds.com/connect/10074733072513#/reservations/31701972140180?display=Carrie%20Nolz&amp;reservation_id=31701972140180&amp;guest_id=31701972140175", "Carrie Nolz")</f>
        <v>Carrie Nolz</v>
      </c>
      <c r="E5782" t="s">
        <v>13219</v>
      </c>
      <c r="F5782" t="s">
        <v>12662</v>
      </c>
      <c r="G5782">
        <v>170.1</v>
      </c>
      <c r="H5782">
        <v>184.89</v>
      </c>
      <c r="I5782">
        <v>184.9</v>
      </c>
      <c r="J5782">
        <v>-0.01</v>
      </c>
    </row>
    <row r="5783" spans="1:10" x14ac:dyDescent="0.3">
      <c r="A5783" t="str">
        <f>HYPERLINK("https://us2.cloudbeds.com/connect/10074733072513#/reservations/31703036260510?display=MHT21UKR9&amp;reservation_id=31703036260510", "MHT21UKR9")</f>
        <v>MHT21UKR9</v>
      </c>
      <c r="B5783" t="s">
        <v>10</v>
      </c>
      <c r="C5783" t="s">
        <v>23</v>
      </c>
      <c r="D5783" t="str">
        <f>HYPERLINK("https://us2.cloudbeds.com/connect/10074733072513#/reservations/31703036260510?display=Elizabeth%20Haas&amp;reservation_id=31703036260510&amp;guest_id=31703036256414", "Elizabeth Haas")</f>
        <v>Elizabeth Haas</v>
      </c>
      <c r="E5783" t="s">
        <v>13223</v>
      </c>
      <c r="F5783" t="s">
        <v>13215</v>
      </c>
      <c r="G5783">
        <v>456.3</v>
      </c>
      <c r="H5783">
        <v>495.99</v>
      </c>
      <c r="I5783">
        <v>496</v>
      </c>
      <c r="J5783">
        <v>-0.01</v>
      </c>
    </row>
    <row r="5784" spans="1:10" x14ac:dyDescent="0.3">
      <c r="A5784" t="str">
        <f>HYPERLINK("https://us2.cloudbeds.com/connect/10074733072513#/reservations/31701679866005?display=MHS0D5VGG&amp;reservation_id=31701679866005", "MHS0D5VGG")</f>
        <v>MHS0D5VGG</v>
      </c>
      <c r="B5784" t="s">
        <v>10</v>
      </c>
      <c r="C5784" t="s">
        <v>23</v>
      </c>
      <c r="D5784" t="str">
        <f>HYPERLINK("https://us2.cloudbeds.com/connect/10074733072513#/reservations/31701679866005?display=Luanne%20Schuler&amp;reservation_id=31701679866005&amp;guest_id=31701679865989", "Luanne Schuler")</f>
        <v>Luanne Schuler</v>
      </c>
      <c r="E5784" t="s">
        <v>13224</v>
      </c>
      <c r="F5784" t="s">
        <v>12047</v>
      </c>
      <c r="G5784">
        <v>154.24</v>
      </c>
      <c r="H5784">
        <v>167.65</v>
      </c>
      <c r="I5784">
        <v>167.66</v>
      </c>
      <c r="J5784">
        <v>-0.01</v>
      </c>
    </row>
    <row r="5785" spans="1:10" x14ac:dyDescent="0.3">
      <c r="A5785" t="str">
        <f>HYPERLINK("https://us2.cloudbeds.com/connect/10074733072513#/reservations/31703107674259?display=MHT3T4R69&amp;reservation_id=31703107674259", "MHT3T4R69")</f>
        <v>MHT3T4R69</v>
      </c>
      <c r="B5785" t="s">
        <v>10</v>
      </c>
      <c r="C5785" t="s">
        <v>23</v>
      </c>
      <c r="D5785" t="str">
        <f>HYPERLINK("https://us2.cloudbeds.com/connect/10074733072513#/reservations/31703107674259?display=Paul%20Neighbors&amp;reservation_id=31703107674259&amp;guest_id=31703107670157", "Paul Neighbors")</f>
        <v>Paul Neighbors</v>
      </c>
      <c r="E5785" t="s">
        <v>13225</v>
      </c>
      <c r="F5785" t="s">
        <v>13189</v>
      </c>
      <c r="G5785">
        <v>134.1</v>
      </c>
      <c r="H5785">
        <v>145.76</v>
      </c>
      <c r="I5785">
        <v>145.77000000000001</v>
      </c>
      <c r="J5785">
        <v>-0.01</v>
      </c>
    </row>
    <row r="5786" spans="1:10" x14ac:dyDescent="0.3">
      <c r="A5786" t="str">
        <f>HYPERLINK("https://us2.cloudbeds.com/connect/10074733072513#/reservations/31701402198144?display=MHRQ1WWXK&amp;reservation_id=31701402198144", "MHRQ1WWXK")</f>
        <v>MHRQ1WWXK</v>
      </c>
      <c r="B5786" t="s">
        <v>10</v>
      </c>
      <c r="C5786" t="s">
        <v>23</v>
      </c>
      <c r="D5786" t="str">
        <f>HYPERLINK("https://us2.cloudbeds.com/connect/10074733072513#/reservations/31701402198144?display=Chris%20Carlson&amp;reservation_id=31701402198144&amp;guest_id=31701075398847", "Chris Carlson")</f>
        <v>Chris Carlson</v>
      </c>
      <c r="E5786" t="s">
        <v>10442</v>
      </c>
      <c r="F5786" t="s">
        <v>11188</v>
      </c>
      <c r="G5786">
        <v>500.4</v>
      </c>
      <c r="H5786">
        <v>543.91999999999996</v>
      </c>
      <c r="I5786">
        <v>543.92999999999995</v>
      </c>
      <c r="J5786">
        <v>-0.01</v>
      </c>
    </row>
    <row r="5787" spans="1:10" x14ac:dyDescent="0.3">
      <c r="A5787" t="str">
        <f>HYPERLINK("https://us2.cloudbeds.com/connect/10074733072513#/reservations/31701668106456?display=MHS038Z0H&amp;reservation_id=31701668106456", "MHS038Z0H")</f>
        <v>MHS038Z0H</v>
      </c>
      <c r="B5787" t="s">
        <v>10</v>
      </c>
      <c r="C5787" t="s">
        <v>42</v>
      </c>
      <c r="D5787" t="str">
        <f>HYPERLINK("https://us2.cloudbeds.com/connect/10074733072513#/reservations/31701668106456?display=Robert%20Wells&amp;reservation_id=31701668106456&amp;guest_id=31701668106453", "Robert Wells")</f>
        <v>Robert Wells</v>
      </c>
      <c r="E5787" t="s">
        <v>13226</v>
      </c>
      <c r="F5787" t="s">
        <v>12533</v>
      </c>
      <c r="G5787">
        <v>170.1</v>
      </c>
      <c r="H5787">
        <v>184.89</v>
      </c>
      <c r="I5787">
        <v>184.9</v>
      </c>
      <c r="J5787">
        <v>-0.01</v>
      </c>
    </row>
    <row r="5788" spans="1:10" x14ac:dyDescent="0.3">
      <c r="A5788" t="str">
        <f>HYPERLINK("https://us2.cloudbeds.com/connect/10074733072513#/reservations/31701581807818?display=MHRUTGB89&amp;reservation_id=31701581807818", "MHRUTGB89")</f>
        <v>MHRUTGB89</v>
      </c>
      <c r="B5788" t="s">
        <v>10</v>
      </c>
      <c r="C5788" t="s">
        <v>23</v>
      </c>
      <c r="D5788" t="str">
        <f>HYPERLINK("https://us2.cloudbeds.com/connect/10074733072513#/reservations/31701581807818?display=Kelli%20Mckinney&amp;reservation_id=31701581807818&amp;guest_id=31701581807816", "Kelli Mckinney")</f>
        <v>Kelli Mckinney</v>
      </c>
      <c r="E5788" t="s">
        <v>13229</v>
      </c>
      <c r="F5788" t="s">
        <v>12662</v>
      </c>
      <c r="G5788">
        <v>278.95999999999998</v>
      </c>
      <c r="H5788">
        <v>303.22000000000003</v>
      </c>
      <c r="I5788">
        <v>303.23</v>
      </c>
      <c r="J5788">
        <v>-0.01</v>
      </c>
    </row>
    <row r="5789" spans="1:10" x14ac:dyDescent="0.3">
      <c r="A5789" t="str">
        <f>HYPERLINK("https://us2.cloudbeds.com/connect/10074733072513#/reservations/31702001111254?display=MHS8K22X0&amp;reservation_id=31702001111254", "MHS8K22X0")</f>
        <v>MHS8K22X0</v>
      </c>
      <c r="B5789" t="s">
        <v>10</v>
      </c>
      <c r="C5789" t="s">
        <v>121</v>
      </c>
      <c r="D5789" t="str">
        <f>HYPERLINK("https://us2.cloudbeds.com/connect/10074733072513#/reservations/31702001111254?display=Jon%20Hagen&amp;reservation_id=31702001111254&amp;guest_id=31702001111249", "Jon Hagen")</f>
        <v>Jon Hagen</v>
      </c>
      <c r="E5789" t="s">
        <v>13236</v>
      </c>
      <c r="F5789" t="s">
        <v>12662</v>
      </c>
      <c r="G5789">
        <v>170.1</v>
      </c>
      <c r="H5789">
        <v>184.89</v>
      </c>
      <c r="I5789">
        <v>184.9</v>
      </c>
      <c r="J5789">
        <v>-0.01</v>
      </c>
    </row>
    <row r="5790" spans="1:10" x14ac:dyDescent="0.3">
      <c r="A5790" t="str">
        <f>HYPERLINK("https://us2.cloudbeds.com/connect/10074733072513#/reservations/31700894216346?display=MHRDAN342&amp;reservation_id=31700894216346", "MHRDAN342")</f>
        <v>MHRDAN342</v>
      </c>
      <c r="B5790" t="s">
        <v>10</v>
      </c>
      <c r="C5790" t="s">
        <v>23</v>
      </c>
      <c r="D5790" t="str">
        <f>HYPERLINK("https://us2.cloudbeds.com/connect/10074733072513#/reservations/31700894216346?display=Joseph%20Barth&amp;reservation_id=31700894216346&amp;guest_id=31700889088192", "Joseph Barth")</f>
        <v>Joseph Barth</v>
      </c>
      <c r="E5790" t="s">
        <v>13245</v>
      </c>
      <c r="F5790" t="s">
        <v>13231</v>
      </c>
      <c r="G5790">
        <v>432.14</v>
      </c>
      <c r="H5790">
        <v>469.73</v>
      </c>
      <c r="I5790">
        <v>469.74</v>
      </c>
      <c r="J5790">
        <v>-0.01</v>
      </c>
    </row>
    <row r="5791" spans="1:10" x14ac:dyDescent="0.3">
      <c r="A5791" t="str">
        <f>HYPERLINK("https://us2.cloudbeds.com/connect/10074733072513#/reservations/31701689094379?display=MHS0KVZM6&amp;reservation_id=31701689094379", "MHS0KVZM6")</f>
        <v>MHS0KVZM6</v>
      </c>
      <c r="B5791" t="s">
        <v>10</v>
      </c>
      <c r="C5791" t="s">
        <v>23</v>
      </c>
      <c r="D5791" t="str">
        <f>HYPERLINK("https://us2.cloudbeds.com/connect/10074733072513#/reservations/31701689094379?display=Cynthia%20Webb&amp;reservation_id=31701689094379&amp;guest_id=31701689094363", "Cynthia Webb")</f>
        <v>Cynthia Webb</v>
      </c>
      <c r="E5791" t="s">
        <v>13246</v>
      </c>
      <c r="F5791" t="s">
        <v>12047</v>
      </c>
      <c r="G5791">
        <v>170.1</v>
      </c>
      <c r="H5791">
        <v>184.89</v>
      </c>
      <c r="I5791">
        <v>184.9</v>
      </c>
      <c r="J5791">
        <v>-0.01</v>
      </c>
    </row>
    <row r="5792" spans="1:10" x14ac:dyDescent="0.3">
      <c r="A5792" t="str">
        <f>HYPERLINK("https://us2.cloudbeds.com/connect/10074733072513#/reservations/31702023700628?display=MHS963YPG&amp;reservation_id=31702023700628", "MHS963YPG")</f>
        <v>MHS963YPG</v>
      </c>
      <c r="B5792" t="s">
        <v>10</v>
      </c>
      <c r="C5792" t="s">
        <v>42</v>
      </c>
      <c r="D5792" t="str">
        <f>HYPERLINK("https://us2.cloudbeds.com/connect/10074733072513#/reservations/31702023700628?display=Carol%20Giannonti&amp;reservation_id=31702023700628&amp;guest_id=31702023696542", "Carol Giannonti")</f>
        <v>Carol Giannonti</v>
      </c>
      <c r="E5792" t="s">
        <v>13249</v>
      </c>
      <c r="F5792" t="s">
        <v>12056</v>
      </c>
      <c r="G5792">
        <v>170.1</v>
      </c>
      <c r="H5792">
        <v>184.89</v>
      </c>
      <c r="I5792">
        <v>184.9</v>
      </c>
      <c r="J5792">
        <v>-0.01</v>
      </c>
    </row>
    <row r="5793" spans="1:10" x14ac:dyDescent="0.3">
      <c r="A5793" t="str">
        <f>HYPERLINK("https://us2.cloudbeds.com/connect/10074733072513#/reservations/31702103867542?display=MHSB7NDUU&amp;reservation_id=31702103867542", "MHSB7NDUU")</f>
        <v>MHSB7NDUU</v>
      </c>
      <c r="B5793" t="s">
        <v>10</v>
      </c>
      <c r="C5793" t="s">
        <v>42</v>
      </c>
      <c r="D5793" t="str">
        <f>HYPERLINK("https://us2.cloudbeds.com/connect/10074733072513#/reservations/31702103867542?display=Janice%20Gregory-Sloan&amp;reservation_id=31702103867542&amp;guest_id=31702103867537", "Janice Gregory-Sloan")</f>
        <v>Janice Gregory-Sloan</v>
      </c>
      <c r="E5793" t="s">
        <v>13254</v>
      </c>
      <c r="F5793" t="s">
        <v>13182</v>
      </c>
      <c r="G5793">
        <v>103.2</v>
      </c>
      <c r="H5793">
        <v>112.17</v>
      </c>
      <c r="I5793">
        <v>112.18</v>
      </c>
      <c r="J5793">
        <v>-0.01</v>
      </c>
    </row>
    <row r="5794" spans="1:10" x14ac:dyDescent="0.3">
      <c r="A5794" t="str">
        <f>HYPERLINK("https://us2.cloudbeds.com/connect/10074733072513#/reservations/31701419520193?display=MHRQZYEQF&amp;reservation_id=31701419520193", "MHRQZYEQF")</f>
        <v>MHRQZYEQF</v>
      </c>
      <c r="B5794" t="s">
        <v>10</v>
      </c>
      <c r="C5794" t="s">
        <v>23</v>
      </c>
      <c r="D5794" t="str">
        <f>HYPERLINK("https://us2.cloudbeds.com/connect/10074733072513#/reservations/31701419520193?display=Jack%20Weber&amp;reservation_id=31701419520193&amp;guest_id=31701419516146", "Jack Weber")</f>
        <v>Jack Weber</v>
      </c>
      <c r="E5794" t="s">
        <v>13261</v>
      </c>
      <c r="F5794" t="s">
        <v>11188</v>
      </c>
      <c r="G5794">
        <v>304.2</v>
      </c>
      <c r="H5794">
        <v>330.66</v>
      </c>
      <c r="I5794">
        <v>330.67</v>
      </c>
      <c r="J5794">
        <v>-0.01</v>
      </c>
    </row>
    <row r="5795" spans="1:10" x14ac:dyDescent="0.3">
      <c r="A5795" t="str">
        <f>HYPERLINK("https://us2.cloudbeds.com/connect/10074733072513#/reservations/31702296875200?display=MHSG5F12Y&amp;reservation_id=31702296875200", "MHSG5F12Y")</f>
        <v>MHSG5F12Y</v>
      </c>
      <c r="B5795" t="s">
        <v>10</v>
      </c>
      <c r="C5795" t="s">
        <v>42</v>
      </c>
      <c r="D5795" t="str">
        <f>HYPERLINK("https://us2.cloudbeds.com/connect/10074733072513#/reservations/31702296875200?display=Tracy%20Watkins&amp;reservation_id=31702296875200&amp;guest_id=31702296871163", "Tracy Watkins")</f>
        <v>Tracy Watkins</v>
      </c>
      <c r="E5795" t="s">
        <v>13264</v>
      </c>
      <c r="F5795" t="s">
        <v>11188</v>
      </c>
      <c r="G5795">
        <v>304.2</v>
      </c>
      <c r="H5795">
        <v>330.66</v>
      </c>
      <c r="I5795">
        <v>330.67</v>
      </c>
      <c r="J5795">
        <v>-0.01</v>
      </c>
    </row>
    <row r="5796" spans="1:10" x14ac:dyDescent="0.3">
      <c r="A5796" t="str">
        <f>HYPERLINK("https://us2.cloudbeds.com/connect/10074733072513#/reservations/31701264367843?display=MHRMPR3G3&amp;reservation_id=31701264367843", "MHRMPR3G3")</f>
        <v>MHRMPR3G3</v>
      </c>
      <c r="B5796" t="s">
        <v>10</v>
      </c>
      <c r="C5796" t="s">
        <v>42</v>
      </c>
      <c r="D5796" t="str">
        <f>HYPERLINK("https://us2.cloudbeds.com/connect/10074733072513#/reservations/31701264367843?display=Eileen%20Scheidt&amp;reservation_id=31701264367843&amp;guest_id=31701264367827", "Eileen Scheidt")</f>
        <v>Eileen Scheidt</v>
      </c>
      <c r="E5796" t="s">
        <v>13268</v>
      </c>
      <c r="F5796" t="s">
        <v>13176</v>
      </c>
      <c r="G5796">
        <v>348</v>
      </c>
      <c r="H5796">
        <v>378.27</v>
      </c>
      <c r="I5796">
        <v>378.28</v>
      </c>
      <c r="J5796">
        <v>-0.01</v>
      </c>
    </row>
    <row r="5797" spans="1:10" x14ac:dyDescent="0.3">
      <c r="A5797" t="str">
        <f>HYPERLINK("https://us2.cloudbeds.com/connect/10074733072513#/reservations/31702641234093?display=MHSZVREFQ&amp;reservation_id=31702641234093", "MHSZVREFQ")</f>
        <v>MHSZVREFQ</v>
      </c>
      <c r="B5797" t="s">
        <v>10</v>
      </c>
      <c r="C5797" t="s">
        <v>42</v>
      </c>
      <c r="D5797" t="str">
        <f>HYPERLINK("https://us2.cloudbeds.com/connect/10074733072513#/reservations/31702641234093?display=David%20Shumate&amp;reservation_id=31702641234093&amp;guest_id=31702641234089", "David Shumate")</f>
        <v>David Shumate</v>
      </c>
      <c r="E5797" t="s">
        <v>13269</v>
      </c>
      <c r="F5797" t="s">
        <v>13182</v>
      </c>
      <c r="G5797">
        <v>134.1</v>
      </c>
      <c r="H5797">
        <v>145.76</v>
      </c>
      <c r="I5797">
        <v>145.77000000000001</v>
      </c>
      <c r="J5797">
        <v>-0.01</v>
      </c>
    </row>
    <row r="5798" spans="1:10" x14ac:dyDescent="0.3">
      <c r="A5798" t="str">
        <f>HYPERLINK("https://us2.cloudbeds.com/connect/10074733072513#/reservations/31701147234499?display=MHRJQ1N0R&amp;reservation_id=31701147234499", "MHRJQ1N0R")</f>
        <v>MHRJQ1N0R</v>
      </c>
      <c r="B5798" t="s">
        <v>10</v>
      </c>
      <c r="C5798" t="s">
        <v>23</v>
      </c>
      <c r="D5798" t="str">
        <f>HYPERLINK("https://us2.cloudbeds.com/connect/10074733072513#/reservations/31701147234499?display=Robert%20Lowe&amp;reservation_id=31701147234499&amp;guest_id=31701147230462", "Robert Lowe")</f>
        <v>Robert Lowe</v>
      </c>
      <c r="E5798" t="s">
        <v>13270</v>
      </c>
      <c r="F5798" t="s">
        <v>13053</v>
      </c>
      <c r="G5798">
        <v>208.6</v>
      </c>
      <c r="H5798">
        <v>226.74</v>
      </c>
      <c r="I5798">
        <v>226.75</v>
      </c>
      <c r="J5798">
        <v>-0.01</v>
      </c>
    </row>
    <row r="5799" spans="1:10" x14ac:dyDescent="0.3">
      <c r="A5799" t="str">
        <f>HYPERLINK("https://us2.cloudbeds.com/connect/10074733072513#/reservations/31702267551917?display=MHSFDZ5WG&amp;reservation_id=31702267551917", "MHSFDZ5WG")</f>
        <v>MHSFDZ5WG</v>
      </c>
      <c r="B5799" t="s">
        <v>10</v>
      </c>
      <c r="C5799" t="s">
        <v>121</v>
      </c>
      <c r="D5799" t="str">
        <f>HYPERLINK("https://us2.cloudbeds.com/connect/10074733072513#/reservations/31702267551917?display=Jeffrey%20Hoeft&amp;reservation_id=31702267551917&amp;guest_id=31678711402626", "Jeffrey Hoeft")</f>
        <v>Jeffrey Hoeft</v>
      </c>
      <c r="E5799" t="s">
        <v>6597</v>
      </c>
      <c r="F5799" t="s">
        <v>11188</v>
      </c>
      <c r="G5799">
        <v>170.1</v>
      </c>
      <c r="H5799">
        <v>184.89</v>
      </c>
      <c r="I5799">
        <v>184.9</v>
      </c>
      <c r="J5799">
        <v>-0.01</v>
      </c>
    </row>
    <row r="5800" spans="1:10" x14ac:dyDescent="0.3">
      <c r="A5800" t="str">
        <f>HYPERLINK("https://us2.cloudbeds.com/connect/10074733072513#/reservations/31702257975513?display=MHSF5YN7E&amp;reservation_id=31702257975513", "MHSF5YN7E")</f>
        <v>MHSF5YN7E</v>
      </c>
      <c r="B5800" t="s">
        <v>10</v>
      </c>
      <c r="C5800" t="s">
        <v>121</v>
      </c>
      <c r="D5800" t="str">
        <f>HYPERLINK("https://us2.cloudbeds.com/connect/10074733072513#/reservations/31702257975513?display=Cody%20Samelson&amp;reservation_id=31702257975513&amp;guest_id=31702257975498", "Cody Samelson")</f>
        <v>Cody Samelson</v>
      </c>
      <c r="E5800" t="s">
        <v>13271</v>
      </c>
      <c r="F5800" t="s">
        <v>11188</v>
      </c>
      <c r="G5800">
        <v>134.1</v>
      </c>
      <c r="H5800">
        <v>145.76</v>
      </c>
      <c r="I5800">
        <v>145.77000000000001</v>
      </c>
      <c r="J5800">
        <v>-0.01</v>
      </c>
    </row>
    <row r="5801" spans="1:10" x14ac:dyDescent="0.3">
      <c r="A5801" t="str">
        <f>HYPERLINK("https://us2.cloudbeds.com/connect/10074733072513#/reservations/31702224629947?display=MHSEAHQSZ&amp;reservation_id=31702224629947", "MHSEAHQSZ")</f>
        <v>MHSEAHQSZ</v>
      </c>
      <c r="B5801" t="s">
        <v>10</v>
      </c>
      <c r="C5801" t="s">
        <v>121</v>
      </c>
      <c r="D5801" t="str">
        <f>HYPERLINK("https://us2.cloudbeds.com/connect/10074733072513#/reservations/31702224629947?display=Mary%20Ann%20Jemtrud&amp;reservation_id=31702224629947&amp;guest_id=31702224629932", "Mary Ann Jemtrud")</f>
        <v>Mary Ann Jemtrud</v>
      </c>
      <c r="E5801" t="s">
        <v>13272</v>
      </c>
      <c r="F5801" t="s">
        <v>11188</v>
      </c>
      <c r="G5801">
        <v>134.1</v>
      </c>
      <c r="H5801">
        <v>145.76</v>
      </c>
      <c r="I5801">
        <v>145.77000000000001</v>
      </c>
      <c r="J5801">
        <v>-0.01</v>
      </c>
    </row>
    <row r="5802" spans="1:10" x14ac:dyDescent="0.3">
      <c r="A5802" t="str">
        <f>HYPERLINK("https://us2.cloudbeds.com/connect/10074733072513#/reservations/31701457023200?display=MHRRN90R7&amp;reservation_id=31701457023200", "MHRRN90R7")</f>
        <v>MHRRN90R7</v>
      </c>
      <c r="B5802" t="s">
        <v>10</v>
      </c>
      <c r="C5802" t="s">
        <v>121</v>
      </c>
      <c r="D5802" t="str">
        <f>HYPERLINK("https://us2.cloudbeds.com/connect/10074733072513#/reservations/31701457023200?display=Patrick%20Tope&amp;reservation_id=31701457023200&amp;guest_id=31701457023198", "Patrick Tope")</f>
        <v>Patrick Tope</v>
      </c>
      <c r="E5802" t="s">
        <v>13275</v>
      </c>
      <c r="F5802" t="s">
        <v>11188</v>
      </c>
      <c r="G5802">
        <v>134.1</v>
      </c>
      <c r="H5802">
        <v>145.76</v>
      </c>
      <c r="I5802">
        <v>145.77000000000001</v>
      </c>
      <c r="J5802">
        <v>-0.01</v>
      </c>
    </row>
    <row r="5803" spans="1:10" x14ac:dyDescent="0.3">
      <c r="A5803" t="str">
        <f>HYPERLINK("https://us2.cloudbeds.com/connect/10074733072513#/reservations/31701905944713?display=MHS65QUKE&amp;reservation_id=31701905944713", "MHS65QUKE")</f>
        <v>MHS65QUKE</v>
      </c>
      <c r="B5803" t="s">
        <v>10</v>
      </c>
      <c r="C5803" t="s">
        <v>23</v>
      </c>
      <c r="D5803" t="str">
        <f>HYPERLINK("https://us2.cloudbeds.com/connect/10074733072513#/reservations/31701905944713?display=Steven%20Smith&amp;reservation_id=31701905944713&amp;guest_id=31701897007352", "Steven Smith")</f>
        <v>Steven Smith</v>
      </c>
      <c r="E5803" t="s">
        <v>13286</v>
      </c>
      <c r="F5803" t="s">
        <v>13176</v>
      </c>
      <c r="G5803">
        <v>280.10000000000002</v>
      </c>
      <c r="H5803">
        <v>304.45999999999998</v>
      </c>
      <c r="I5803">
        <v>304.47000000000003</v>
      </c>
      <c r="J5803">
        <v>-0.01</v>
      </c>
    </row>
    <row r="5804" spans="1:10" x14ac:dyDescent="0.3">
      <c r="A5804" t="str">
        <f>HYPERLINK("https://us2.cloudbeds.com/connect/10074733072513#/reservations/31702638674078?display=MHSZTM6MJ&amp;reservation_id=31702638674078", "MHSZTM6MJ")</f>
        <v>MHSZTM6MJ</v>
      </c>
      <c r="B5804" t="s">
        <v>10</v>
      </c>
      <c r="C5804" t="s">
        <v>23</v>
      </c>
      <c r="D5804" t="str">
        <f>HYPERLINK("https://us2.cloudbeds.com/connect/10074733072513#/reservations/31702638674078?display=Anthony%20Fenner&amp;reservation_id=31702638674078&amp;guest_id=31702638674073", "Anthony Fenner")</f>
        <v>Anthony Fenner</v>
      </c>
      <c r="E5804" t="s">
        <v>13287</v>
      </c>
      <c r="F5804" t="s">
        <v>12056</v>
      </c>
      <c r="G5804">
        <v>170.1</v>
      </c>
      <c r="H5804">
        <v>184.89</v>
      </c>
      <c r="I5804">
        <v>184.9</v>
      </c>
      <c r="J5804">
        <v>-0.01</v>
      </c>
    </row>
    <row r="5805" spans="1:10" x14ac:dyDescent="0.3">
      <c r="A5805" t="str">
        <f>HYPERLINK("https://us2.cloudbeds.com/connect/10074733072513#/reservations/31701917130999?display=MHS6F86MQ&amp;reservation_id=31701917130999", "MHS6F86MQ")</f>
        <v>MHS6F86MQ</v>
      </c>
      <c r="B5805" t="s">
        <v>10</v>
      </c>
      <c r="C5805" t="s">
        <v>42</v>
      </c>
      <c r="D5805" t="str">
        <f>HYPERLINK("https://us2.cloudbeds.com/connect/10074733072513#/reservations/31701917130999?display=Linda%20Malmquist&amp;reservation_id=31701917130999&amp;guest_id=31701905948827", "Linda Malmquist")</f>
        <v>Linda Malmquist</v>
      </c>
      <c r="E5805" t="s">
        <v>13289</v>
      </c>
      <c r="F5805" t="s">
        <v>13176</v>
      </c>
      <c r="G5805">
        <v>384.3</v>
      </c>
      <c r="H5805">
        <v>417.72</v>
      </c>
      <c r="I5805">
        <v>417.73</v>
      </c>
      <c r="J5805">
        <v>-0.01</v>
      </c>
    </row>
    <row r="5806" spans="1:10" x14ac:dyDescent="0.3">
      <c r="A5806" t="str">
        <f>HYPERLINK("https://us2.cloudbeds.com/connect/10074733072513#/reservations/31701509353612?display=MHRT1D6F9&amp;reservation_id=31701509353612", "MHRT1D6F9")</f>
        <v>MHRT1D6F9</v>
      </c>
      <c r="B5806" t="s">
        <v>10</v>
      </c>
      <c r="C5806" t="s">
        <v>23</v>
      </c>
      <c r="D5806" t="str">
        <f>HYPERLINK("https://us2.cloudbeds.com/connect/10074733072513#/reservations/31701509353612?display=Luanne%20Or%20Ted%20Johnson&amp;reservation_id=31701509353612&amp;guest_id=31701509349532", "Luanne Or Ted Johnson")</f>
        <v>Luanne Or Ted Johnson</v>
      </c>
      <c r="E5806" t="s">
        <v>11734</v>
      </c>
      <c r="F5806" t="s">
        <v>13297</v>
      </c>
      <c r="G5806">
        <v>268.2</v>
      </c>
      <c r="H5806">
        <v>291.52</v>
      </c>
      <c r="I5806">
        <v>291.52999999999997</v>
      </c>
      <c r="J5806">
        <v>-0.01</v>
      </c>
    </row>
    <row r="5807" spans="1:10" x14ac:dyDescent="0.3">
      <c r="A5807" t="str">
        <f>HYPERLINK("https://us2.cloudbeds.com/connect/10074733072513#/reservations/31700835881182?display=MHRBRGRFR&amp;reservation_id=31700835881182", "MHRBRGRFR")</f>
        <v>MHRBRGRFR</v>
      </c>
      <c r="B5807" t="s">
        <v>10</v>
      </c>
      <c r="C5807" t="s">
        <v>42</v>
      </c>
      <c r="D5807" t="str">
        <f>HYPERLINK("https://us2.cloudbeds.com/connect/10074733072513#/reservations/31700835881182?display=Deborah%20Woltzen&amp;reservation_id=31700835881182&amp;guest_id=31700835881179", "Deborah Woltzen")</f>
        <v>Deborah Woltzen</v>
      </c>
      <c r="E5807" t="s">
        <v>13305</v>
      </c>
      <c r="F5807" t="s">
        <v>11134</v>
      </c>
      <c r="G5807">
        <v>170.1</v>
      </c>
      <c r="H5807">
        <v>184.89</v>
      </c>
      <c r="I5807">
        <v>184.9</v>
      </c>
      <c r="J5807">
        <v>-0.01</v>
      </c>
    </row>
    <row r="5808" spans="1:10" x14ac:dyDescent="0.3">
      <c r="A5808" t="str">
        <f>HYPERLINK("https://us2.cloudbeds.com/connect/10074733072513#/reservations/31702799532227?display=MHST0AAFV&amp;reservation_id=31702799532227", "MHST0AAFV")</f>
        <v>MHST0AAFV</v>
      </c>
      <c r="B5808" t="s">
        <v>10</v>
      </c>
      <c r="C5808" t="s">
        <v>23</v>
      </c>
      <c r="D5808" t="str">
        <f>HYPERLINK("https://us2.cloudbeds.com/connect/10074733072513#/reservations/31702799532227?display=Kyle%20Sanders&amp;reservation_id=31702799532227&amp;guest_id=31702791704737", "Kyle Sanders")</f>
        <v>Kyle Sanders</v>
      </c>
      <c r="E5808" t="s">
        <v>13322</v>
      </c>
      <c r="F5808" t="s">
        <v>13313</v>
      </c>
      <c r="G5808">
        <v>89.38</v>
      </c>
      <c r="H5808">
        <v>97.15</v>
      </c>
      <c r="I5808">
        <v>97.16</v>
      </c>
      <c r="J5808">
        <v>-0.01</v>
      </c>
    </row>
    <row r="5809" spans="1:10" x14ac:dyDescent="0.3">
      <c r="A5809" t="str">
        <f>HYPERLINK("https://us2.cloudbeds.com/connect/10074733072513#/reservations/31701224497401?display=MHRYP6YGT&amp;reservation_id=31701224497401", "MHRYP6YGT")</f>
        <v>MHRYP6YGT</v>
      </c>
      <c r="B5809" t="s">
        <v>10</v>
      </c>
      <c r="C5809" t="s">
        <v>23</v>
      </c>
      <c r="D5809" t="str">
        <f>HYPERLINK("https://us2.cloudbeds.com/connect/10074733072513#/reservations/31701224497401?display=Douglas%20Mcmahan&amp;reservation_id=31701224497401&amp;guest_id=31701224497399", "Douglas Mcmahan")</f>
        <v>Douglas Mcmahan</v>
      </c>
      <c r="E5809" t="s">
        <v>13323</v>
      </c>
      <c r="F5809" t="s">
        <v>13176</v>
      </c>
      <c r="G5809">
        <v>247.3</v>
      </c>
      <c r="H5809">
        <v>268.81</v>
      </c>
      <c r="I5809">
        <v>268.82</v>
      </c>
      <c r="J5809">
        <v>-0.01</v>
      </c>
    </row>
    <row r="5810" spans="1:10" x14ac:dyDescent="0.3">
      <c r="A5810" t="str">
        <f>HYPERLINK("https://us2.cloudbeds.com/connect/10074733072513#/reservations/31701148766394?display=MHRJRBANT&amp;reservation_id=31701148766394", "MHRJRBANT")</f>
        <v>MHRJRBANT</v>
      </c>
      <c r="B5810" t="s">
        <v>10</v>
      </c>
      <c r="C5810" t="s">
        <v>23</v>
      </c>
      <c r="D5810" t="str">
        <f>HYPERLINK("https://us2.cloudbeds.com/connect/10074733072513#/reservations/31701148766394?display=Anthony%20Tsiribko&amp;reservation_id=31701148766394&amp;guest_id=31701148766391", "Anthony Tsiribko")</f>
        <v>Anthony Tsiribko</v>
      </c>
      <c r="E5810" t="s">
        <v>13326</v>
      </c>
      <c r="F5810" t="s">
        <v>13313</v>
      </c>
      <c r="G5810">
        <v>89.38</v>
      </c>
      <c r="H5810">
        <v>97.15</v>
      </c>
      <c r="I5810">
        <v>97.16</v>
      </c>
      <c r="J5810">
        <v>-0.01</v>
      </c>
    </row>
    <row r="5811" spans="1:10" x14ac:dyDescent="0.3">
      <c r="A5811" t="str">
        <f>HYPERLINK("https://us2.cloudbeds.com/connect/10074733072513#/reservations/31701096882401?display=MHRXGJJ0M&amp;reservation_id=31701096882401", "MHRXGJJ0M")</f>
        <v>MHRXGJJ0M</v>
      </c>
      <c r="B5811" t="s">
        <v>10</v>
      </c>
      <c r="C5811" t="s">
        <v>23</v>
      </c>
      <c r="D5811" t="str">
        <f>HYPERLINK("https://us2.cloudbeds.com/connect/10074733072513#/reservations/31701096882401?display=Jaylon%20Moore&amp;reservation_id=31701096882401&amp;guest_id=31701079945425", "Jaylon Moore")</f>
        <v>Jaylon Moore</v>
      </c>
      <c r="E5811" t="s">
        <v>13336</v>
      </c>
      <c r="F5811" t="s">
        <v>13053</v>
      </c>
      <c r="G5811">
        <v>592.34</v>
      </c>
      <c r="H5811">
        <v>643.86</v>
      </c>
      <c r="I5811">
        <v>643.87</v>
      </c>
      <c r="J5811">
        <v>-0.01</v>
      </c>
    </row>
    <row r="5812" spans="1:10" x14ac:dyDescent="0.3">
      <c r="A5812" t="str">
        <f>HYPERLINK("https://us2.cloudbeds.com/connect/10074733072513#/reservations/31701604651188?display=MHRVFZWNK&amp;reservation_id=31701604651188", "MHRVFZWNK")</f>
        <v>MHRVFZWNK</v>
      </c>
      <c r="B5812" t="s">
        <v>10</v>
      </c>
      <c r="C5812" t="s">
        <v>42</v>
      </c>
      <c r="D5812" t="str">
        <f>HYPERLINK("https://us2.cloudbeds.com/connect/10074733072513#/reservations/31701604651188?display=Guy%20Shalla&amp;reservation_id=31701604651188&amp;guest_id=31701586522321", "Guy Shalla")</f>
        <v>Guy Shalla</v>
      </c>
      <c r="E5812" t="s">
        <v>13338</v>
      </c>
      <c r="F5812" t="s">
        <v>13283</v>
      </c>
      <c r="G5812">
        <v>87.2</v>
      </c>
      <c r="H5812">
        <v>94.78</v>
      </c>
      <c r="I5812">
        <v>94.79</v>
      </c>
      <c r="J5812">
        <v>-0.01</v>
      </c>
    </row>
    <row r="5813" spans="1:10" x14ac:dyDescent="0.3">
      <c r="A5813" t="str">
        <f>HYPERLINK("https://us2.cloudbeds.com/connect/10074733072513#/reservations/31701534093471?display=MHRTM8KDW&amp;reservation_id=31701534093471", "MHRTM8KDW")</f>
        <v>MHRTM8KDW</v>
      </c>
      <c r="B5813" t="s">
        <v>10</v>
      </c>
      <c r="C5813" t="s">
        <v>23</v>
      </c>
      <c r="D5813" t="str">
        <f>HYPERLINK("https://us2.cloudbeds.com/connect/10074733072513#/reservations/31701534093471?display=Marcos%20Ortiz&amp;reservation_id=31701534093471&amp;guest_id=31701534089380", "Marcos Ortiz")</f>
        <v>Marcos Ortiz</v>
      </c>
      <c r="E5813" t="s">
        <v>13343</v>
      </c>
      <c r="F5813" t="s">
        <v>13297</v>
      </c>
      <c r="G5813">
        <v>182.36</v>
      </c>
      <c r="H5813">
        <v>198.22</v>
      </c>
      <c r="I5813">
        <v>198.23</v>
      </c>
      <c r="J5813">
        <v>-0.01</v>
      </c>
    </row>
    <row r="5814" spans="1:10" x14ac:dyDescent="0.3">
      <c r="A5814" t="str">
        <f>HYPERLINK("https://us2.cloudbeds.com/connect/10074733072513#/reservations/31701930414237?display=MHS6QERB5&amp;reservation_id=31701930414237", "MHS6QERB5")</f>
        <v>MHS6QERB5</v>
      </c>
      <c r="B5814" t="s">
        <v>10</v>
      </c>
      <c r="C5814" t="s">
        <v>23</v>
      </c>
      <c r="D5814" t="str">
        <f>HYPERLINK("https://us2.cloudbeds.com/connect/10074733072513#/reservations/31701930414237?display=Mary%20Flachman&amp;reservation_id=31701930414237&amp;guest_id=31701922214091", "Mary Flachman")</f>
        <v>Mary Flachman</v>
      </c>
      <c r="E5814" t="s">
        <v>13344</v>
      </c>
      <c r="F5814" t="s">
        <v>11420</v>
      </c>
      <c r="G5814">
        <v>264.2</v>
      </c>
      <c r="H5814">
        <v>287.18</v>
      </c>
      <c r="I5814">
        <v>287.19</v>
      </c>
      <c r="J5814">
        <v>-0.01</v>
      </c>
    </row>
    <row r="5815" spans="1:10" x14ac:dyDescent="0.3">
      <c r="A5815" t="str">
        <f>HYPERLINK("https://us2.cloudbeds.com/connect/10074733072513#/reservations/31701937799360?display=MHS6WM76J&amp;reservation_id=31701937799360", "MHS6WM76J")</f>
        <v>MHS6WM76J</v>
      </c>
      <c r="B5815" t="s">
        <v>10</v>
      </c>
      <c r="C5815" t="s">
        <v>23</v>
      </c>
      <c r="D5815" t="str">
        <f>HYPERLINK("https://us2.cloudbeds.com/connect/10074733072513#/reservations/31701937799360?display=Peggy%20Bittner&amp;reservation_id=31701937799360&amp;guest_id=31701937795318", "Peggy Bittner")</f>
        <v>Peggy Bittner</v>
      </c>
      <c r="E5815" t="s">
        <v>13345</v>
      </c>
      <c r="F5815" t="s">
        <v>11420</v>
      </c>
      <c r="G5815">
        <v>264.2</v>
      </c>
      <c r="H5815">
        <v>287.18</v>
      </c>
      <c r="I5815">
        <v>287.19</v>
      </c>
      <c r="J5815">
        <v>-0.01</v>
      </c>
    </row>
    <row r="5816" spans="1:10" x14ac:dyDescent="0.3">
      <c r="A5816" t="str">
        <f>HYPERLINK("https://us2.cloudbeds.com/connect/10074733072513#/reservations/31701547716754?display=MHRU0ZNAZ&amp;reservation_id=31701547716754", "MHRU0ZNAZ")</f>
        <v>MHRU0ZNAZ</v>
      </c>
      <c r="B5816" t="s">
        <v>10</v>
      </c>
      <c r="C5816" t="s">
        <v>42</v>
      </c>
      <c r="D5816" t="str">
        <f>HYPERLINK("https://us2.cloudbeds.com/connect/10074733072513#/reservations/31701547716754?display=James%20Sadlowsky&amp;reservation_id=31701547716754&amp;guest_id=31701547712660", "James Sadlowsky")</f>
        <v>James Sadlowsky</v>
      </c>
      <c r="E5816" t="s">
        <v>13355</v>
      </c>
      <c r="F5816" t="s">
        <v>11420</v>
      </c>
      <c r="G5816">
        <v>254.4</v>
      </c>
      <c r="H5816">
        <v>276.52</v>
      </c>
      <c r="I5816">
        <v>276.52999999999997</v>
      </c>
      <c r="J5816">
        <v>-0.01</v>
      </c>
    </row>
    <row r="5817" spans="1:10" x14ac:dyDescent="0.3">
      <c r="A5817" t="str">
        <f>HYPERLINK("https://us2.cloudbeds.com/connect/10074733072513#/reservations/31701517516985?display=MHRT89BM7&amp;reservation_id=31701517516985", "MHRT89BM7")</f>
        <v>MHRT89BM7</v>
      </c>
      <c r="B5817" t="s">
        <v>10</v>
      </c>
      <c r="C5817" t="s">
        <v>23</v>
      </c>
      <c r="D5817" t="str">
        <f>HYPERLINK("https://us2.cloudbeds.com/connect/10074733072513#/reservations/31701517516985?display=Nicholas%20Collins&amp;reservation_id=31701517516985&amp;guest_id=31701517516982", "Nicholas Collins")</f>
        <v>Nicholas Collins</v>
      </c>
      <c r="E5817" t="s">
        <v>13360</v>
      </c>
      <c r="F5817" t="s">
        <v>13297</v>
      </c>
      <c r="G5817">
        <v>76.16</v>
      </c>
      <c r="H5817">
        <v>82.78</v>
      </c>
      <c r="I5817">
        <v>82.79</v>
      </c>
      <c r="J5817">
        <v>-0.01</v>
      </c>
    </row>
    <row r="5818" spans="1:10" x14ac:dyDescent="0.3">
      <c r="A5818" t="str">
        <f>HYPERLINK("https://us2.cloudbeds.com/connect/10074733072513#/reservations/31700939161832?display=MHREFJPCG&amp;reservation_id=31700939161832", "MHREFJPCG")</f>
        <v>MHREFJPCG</v>
      </c>
      <c r="B5818" t="s">
        <v>10</v>
      </c>
      <c r="C5818" t="s">
        <v>23</v>
      </c>
      <c r="D5818" t="str">
        <f>HYPERLINK("https://us2.cloudbeds.com/connect/10074733072513#/reservations/31700939161832?display=Kirk%20Olson&amp;reservation_id=31700939161832&amp;guest_id=31700939161811", "Kirk Olson")</f>
        <v>Kirk Olson</v>
      </c>
      <c r="E5818" t="s">
        <v>13365</v>
      </c>
      <c r="F5818" t="s">
        <v>13342</v>
      </c>
      <c r="G5818">
        <v>196.2</v>
      </c>
      <c r="H5818">
        <v>213.26</v>
      </c>
      <c r="I5818">
        <v>213.27</v>
      </c>
      <c r="J5818">
        <v>-0.01</v>
      </c>
    </row>
    <row r="5819" spans="1:10" x14ac:dyDescent="0.3">
      <c r="A5819" t="str">
        <f>HYPERLINK("https://us2.cloudbeds.com/connect/10074733072513#/reservations/31702248083648?display=MHSEUAB2P&amp;reservation_id=31702248083648", "MHSEUAB2P")</f>
        <v>MHSEUAB2P</v>
      </c>
      <c r="B5819" t="s">
        <v>10</v>
      </c>
      <c r="C5819" t="s">
        <v>121</v>
      </c>
      <c r="D5819" t="str">
        <f>HYPERLINK("https://us2.cloudbeds.com/connect/10074733072513#/reservations/31702248083648?display=Juanita%20Howell&amp;reservation_id=31702248083648&amp;guest_id=31702248079555", "Juanita Howell")</f>
        <v>Juanita Howell</v>
      </c>
      <c r="E5819" t="s">
        <v>11128</v>
      </c>
      <c r="F5819" t="s">
        <v>12830</v>
      </c>
      <c r="G5819">
        <v>87.2</v>
      </c>
      <c r="H5819">
        <v>94.78</v>
      </c>
      <c r="I5819">
        <v>94.79</v>
      </c>
      <c r="J5819">
        <v>-0.01</v>
      </c>
    </row>
    <row r="5820" spans="1:10" x14ac:dyDescent="0.3">
      <c r="A5820" t="str">
        <f>HYPERLINK("https://us2.cloudbeds.com/connect/10074733072513#/reservations/31701079945427?display=MHRX2A981&amp;reservation_id=31701079945427", "MHRX2A981")</f>
        <v>MHRX2A981</v>
      </c>
      <c r="B5820" t="s">
        <v>10</v>
      </c>
      <c r="C5820" t="s">
        <v>121</v>
      </c>
      <c r="D5820" t="str">
        <f>HYPERLINK("https://us2.cloudbeds.com/connect/10074733072513#/reservations/31701079945427?display=Harvey%20Moon&amp;reservation_id=31701079945427&amp;guest_id=31701079945423", "Harvey Moon")</f>
        <v>Harvey Moon</v>
      </c>
      <c r="E5820" t="s">
        <v>13382</v>
      </c>
      <c r="F5820" t="s">
        <v>13342</v>
      </c>
      <c r="G5820">
        <v>268.2</v>
      </c>
      <c r="H5820">
        <v>291.52</v>
      </c>
      <c r="I5820">
        <v>291.52999999999997</v>
      </c>
      <c r="J5820">
        <v>-0.01</v>
      </c>
    </row>
    <row r="5821" spans="1:10" x14ac:dyDescent="0.3">
      <c r="A5821" t="str">
        <f>HYPERLINK("https://us2.cloudbeds.com/connect/10074733072513#/reservations/31700861939850?display=MHRCGFVFE&amp;reservation_id=31700861939850", "MHRCGFVFE")</f>
        <v>MHRCGFVFE</v>
      </c>
      <c r="B5821" t="s">
        <v>10</v>
      </c>
      <c r="C5821" t="s">
        <v>23</v>
      </c>
      <c r="D5821" t="str">
        <f>HYPERLINK("https://us2.cloudbeds.com/connect/10074733072513#/reservations/31700861939850?display=Samuel%20Mader&amp;reservation_id=31700861939850&amp;guest_id=31700861939848", "Samuel Mader")</f>
        <v>Samuel Mader</v>
      </c>
      <c r="E5821" t="s">
        <v>13383</v>
      </c>
      <c r="F5821" t="s">
        <v>13342</v>
      </c>
      <c r="G5821">
        <v>89.38</v>
      </c>
      <c r="H5821">
        <v>97.15</v>
      </c>
      <c r="I5821">
        <v>97.16</v>
      </c>
      <c r="J5821">
        <v>-0.01</v>
      </c>
    </row>
    <row r="5822" spans="1:10" x14ac:dyDescent="0.3">
      <c r="A5822" t="str">
        <f>HYPERLINK("https://us2.cloudbeds.com/connect/10074733072513#/reservations/31701742686430?display=MHS2050RZ&amp;reservation_id=31701742686430", "MHS2050RZ")</f>
        <v>MHS2050RZ</v>
      </c>
      <c r="B5822" t="s">
        <v>10</v>
      </c>
      <c r="C5822" t="s">
        <v>42</v>
      </c>
      <c r="D5822" t="str">
        <f>HYPERLINK("https://us2.cloudbeds.com/connect/10074733072513#/reservations/31701742686430?display=Lisa%20Foley&amp;reservation_id=31701742686430&amp;guest_id=31701742682307", "Lisa Foley")</f>
        <v>Lisa Foley</v>
      </c>
      <c r="E5822" t="s">
        <v>13384</v>
      </c>
      <c r="F5822" t="s">
        <v>13342</v>
      </c>
      <c r="G5822">
        <v>134.1</v>
      </c>
      <c r="H5822">
        <v>145.76</v>
      </c>
      <c r="I5822">
        <v>145.77000000000001</v>
      </c>
      <c r="J5822">
        <v>-0.01</v>
      </c>
    </row>
    <row r="5823" spans="1:10" x14ac:dyDescent="0.3">
      <c r="A5823" t="str">
        <f>HYPERLINK("https://us2.cloudbeds.com/connect/10074733072513#/reservations/31701130522758?display=MHRJBVM2E&amp;reservation_id=31701130522758", "MHRJBVM2E")</f>
        <v>MHRJBVM2E</v>
      </c>
      <c r="B5823" t="s">
        <v>10</v>
      </c>
      <c r="C5823" t="s">
        <v>23</v>
      </c>
      <c r="D5823" t="str">
        <f>HYPERLINK("https://us2.cloudbeds.com/connect/10074733072513#/reservations/31701130522758?display=Richard%20Morton&amp;reservation_id=31701130522758&amp;guest_id=31701124292762", "Richard Morton")</f>
        <v>Richard Morton</v>
      </c>
      <c r="E5823" t="s">
        <v>13388</v>
      </c>
      <c r="F5823" t="s">
        <v>13053</v>
      </c>
      <c r="G5823">
        <v>280.10000000000002</v>
      </c>
      <c r="H5823">
        <v>304.45999999999998</v>
      </c>
      <c r="I5823">
        <v>304.47000000000003</v>
      </c>
      <c r="J5823">
        <v>-0.01</v>
      </c>
    </row>
    <row r="5824" spans="1:10" x14ac:dyDescent="0.3">
      <c r="A5824" t="str">
        <f>HYPERLINK("https://us2.cloudbeds.com/connect/10074733072513#/reservations/31701258190992?display=MHRMKK7EQ&amp;reservation_id=31701258190992", "MHRMKK7EQ")</f>
        <v>MHRMKK7EQ</v>
      </c>
      <c r="B5824" t="s">
        <v>10</v>
      </c>
      <c r="C5824" t="s">
        <v>42</v>
      </c>
      <c r="D5824" t="str">
        <f>HYPERLINK("https://us2.cloudbeds.com/connect/10074733072513#/reservations/31701258190992?display=Billy%20Riley&amp;reservation_id=31701258190992&amp;guest_id=31701258190987", "Billy Riley")</f>
        <v>Billy Riley</v>
      </c>
      <c r="E5824" t="s">
        <v>13391</v>
      </c>
      <c r="F5824" t="s">
        <v>13381</v>
      </c>
      <c r="G5824">
        <v>134.1</v>
      </c>
      <c r="H5824">
        <v>145.76</v>
      </c>
      <c r="I5824">
        <v>145.77000000000001</v>
      </c>
      <c r="J5824">
        <v>-0.01</v>
      </c>
    </row>
    <row r="5825" spans="1:10" x14ac:dyDescent="0.3">
      <c r="A5825" t="str">
        <f>HYPERLINK("https://us2.cloudbeds.com/connect/10074733072513#/reservations/31700794478723?display=MHRAPJZMS&amp;reservation_id=31700794478723", "MHRAPJZMS")</f>
        <v>MHRAPJZMS</v>
      </c>
      <c r="B5825" t="s">
        <v>10</v>
      </c>
      <c r="C5825" t="s">
        <v>23</v>
      </c>
      <c r="D5825" t="str">
        <f>HYPERLINK("https://us2.cloudbeds.com/connect/10074733072513#/reservations/31700794478723?display=Fielding%20Childress&amp;reservation_id=31700794478723&amp;guest_id=31700794478721", "Fielding Childress")</f>
        <v>Fielding Childress</v>
      </c>
      <c r="E5825" t="s">
        <v>13405</v>
      </c>
      <c r="F5825" t="s">
        <v>13231</v>
      </c>
      <c r="G5825">
        <v>89.38</v>
      </c>
      <c r="H5825">
        <v>97.15</v>
      </c>
      <c r="I5825">
        <v>97.16</v>
      </c>
      <c r="J5825">
        <v>-0.01</v>
      </c>
    </row>
    <row r="5826" spans="1:10" x14ac:dyDescent="0.3">
      <c r="A5826" t="str">
        <f>HYPERLINK("https://us2.cloudbeds.com/connect/10074733072513#/reservations/31700921311372?display=MHRE0X1PF&amp;reservation_id=31700921311372", "MHRE0X1PF")</f>
        <v>MHRE0X1PF</v>
      </c>
      <c r="B5826" t="s">
        <v>10</v>
      </c>
      <c r="C5826" t="s">
        <v>42</v>
      </c>
      <c r="D5826" t="str">
        <f>HYPERLINK("https://us2.cloudbeds.com/connect/10074733072513#/reservations/31700921311372?display=Martin%20Haugen&amp;reservation_id=31700921311372&amp;guest_id=31700921311368", "Martin Haugen")</f>
        <v>Martin Haugen</v>
      </c>
      <c r="E5826" t="s">
        <v>13407</v>
      </c>
      <c r="F5826" t="s">
        <v>13231</v>
      </c>
      <c r="G5826">
        <v>87.2</v>
      </c>
      <c r="H5826">
        <v>94.78</v>
      </c>
      <c r="I5826">
        <v>94.79</v>
      </c>
      <c r="J5826">
        <v>-0.01</v>
      </c>
    </row>
    <row r="5827" spans="1:10" x14ac:dyDescent="0.3">
      <c r="A5827" t="str">
        <f>HYPERLINK("https://us2.cloudbeds.com/connect/10074733072513#/reservations/31701079687309?display=MHRX23379&amp;reservation_id=31701079687309", "MHRX23379")</f>
        <v>MHRX23379</v>
      </c>
      <c r="B5827" t="s">
        <v>10</v>
      </c>
      <c r="C5827" t="s">
        <v>23</v>
      </c>
      <c r="D5827" t="str">
        <f>HYPERLINK("https://us2.cloudbeds.com/connect/10074733072513#/reservations/31701079687309?display=Alison%20Johnson&amp;reservation_id=31701079687309&amp;guest_id=31701070413999", "Alison Johnson")</f>
        <v>Alison Johnson</v>
      </c>
      <c r="E5827" t="s">
        <v>13408</v>
      </c>
      <c r="F5827" t="s">
        <v>13363</v>
      </c>
      <c r="G5827">
        <v>268.2</v>
      </c>
      <c r="H5827">
        <v>291.52</v>
      </c>
      <c r="I5827">
        <v>291.52999999999997</v>
      </c>
      <c r="J5827">
        <v>-0.01</v>
      </c>
    </row>
    <row r="5828" spans="1:10" x14ac:dyDescent="0.3">
      <c r="A5828" t="str">
        <f>HYPERLINK("https://us2.cloudbeds.com/connect/10074733072513#/reservations/31700969611444?display=MHRF892F0&amp;reservation_id=31700969611444", "MHRF892F0")</f>
        <v>MHRF892F0</v>
      </c>
      <c r="B5828" t="s">
        <v>10</v>
      </c>
      <c r="C5828" t="s">
        <v>42</v>
      </c>
      <c r="D5828" t="str">
        <f>HYPERLINK("https://us2.cloudbeds.com/connect/10074733072513#/reservations/31700969611444?display=Ryan%20Kurtenbach&amp;reservation_id=31700969611444&amp;guest_id=17963516412060", "Ryan Kurtenbach")</f>
        <v>Ryan Kurtenbach</v>
      </c>
      <c r="E5828" t="s">
        <v>13410</v>
      </c>
      <c r="F5828" t="s">
        <v>13379</v>
      </c>
      <c r="G5828">
        <v>588.6</v>
      </c>
      <c r="H5828">
        <v>639.79999999999995</v>
      </c>
      <c r="I5828">
        <v>639.80999999999995</v>
      </c>
      <c r="J5828">
        <v>-0.01</v>
      </c>
    </row>
    <row r="5829" spans="1:10" x14ac:dyDescent="0.3">
      <c r="A5829" t="str">
        <f>HYPERLINK("https://us2.cloudbeds.com/connect/10074733072513#/reservations/31701235601540?display=MHRM1XY4V&amp;reservation_id=31701235601540", "MHRM1XY4V")</f>
        <v>MHRM1XY4V</v>
      </c>
      <c r="B5829" t="s">
        <v>10</v>
      </c>
      <c r="C5829" t="s">
        <v>23</v>
      </c>
      <c r="D5829" t="str">
        <f>HYPERLINK("https://us2.cloudbeds.com/connect/10074733072513#/reservations/31701235601540?display=Gerry%20Barnes-Baucom&amp;reservation_id=31701235601540&amp;guest_id=17963373428869", "Gerry Barnes-Baucom")</f>
        <v>Gerry Barnes-Baucom</v>
      </c>
      <c r="E5829" t="s">
        <v>13411</v>
      </c>
      <c r="F5829" t="s">
        <v>13308</v>
      </c>
      <c r="G5829">
        <v>196.2</v>
      </c>
      <c r="H5829">
        <v>213.26</v>
      </c>
      <c r="I5829">
        <v>213.27</v>
      </c>
      <c r="J5829">
        <v>-0.01</v>
      </c>
    </row>
    <row r="5830" spans="1:10" x14ac:dyDescent="0.3">
      <c r="A5830" t="str">
        <f>HYPERLINK("https://us2.cloudbeds.com/connect/10074733072513#/reservations/31700760068263?display=MHR9TJ7FK&amp;reservation_id=31700760068263", "MHR9TJ7FK")</f>
        <v>MHR9TJ7FK</v>
      </c>
      <c r="B5830" t="s">
        <v>10</v>
      </c>
      <c r="C5830" t="s">
        <v>23</v>
      </c>
      <c r="D5830" t="str">
        <f>HYPERLINK("https://us2.cloudbeds.com/connect/10074733072513#/reservations/31700760068263?display=Ravul%20Rodriguez&amp;reservation_id=31700760068263&amp;guest_id=17963374899411", "Ravul Rodriguez")</f>
        <v>Ravul Rodriguez</v>
      </c>
      <c r="E5830" t="s">
        <v>13419</v>
      </c>
      <c r="F5830" t="s">
        <v>13308</v>
      </c>
      <c r="G5830">
        <v>196.2</v>
      </c>
      <c r="H5830">
        <v>213.26</v>
      </c>
      <c r="I5830">
        <v>213.27</v>
      </c>
      <c r="J5830">
        <v>-0.01</v>
      </c>
    </row>
    <row r="5831" spans="1:10" x14ac:dyDescent="0.3">
      <c r="A5831" t="str">
        <f>HYPERLINK("https://us2.cloudbeds.com/connect/10074733072513#/reservations/31700777189539?display=MHRAB0YG6&amp;reservation_id=31700777189539", "MHRAB0YG6")</f>
        <v>MHRAB0YG6</v>
      </c>
      <c r="B5831" t="s">
        <v>10</v>
      </c>
      <c r="C5831" t="s">
        <v>121</v>
      </c>
      <c r="D5831" t="str">
        <f>HYPERLINK("https://us2.cloudbeds.com/connect/10074733072513#/reservations/31700777189539?display=Cody%20Samelson&amp;reservation_id=31700777189539&amp;guest_id=17963365028086", "Cody Samelson")</f>
        <v>Cody Samelson</v>
      </c>
      <c r="E5831" t="s">
        <v>13271</v>
      </c>
      <c r="F5831" t="s">
        <v>13260</v>
      </c>
      <c r="G5831">
        <v>160.1</v>
      </c>
      <c r="H5831">
        <v>174.02</v>
      </c>
      <c r="I5831">
        <v>174.03</v>
      </c>
      <c r="J5831">
        <v>-0.01</v>
      </c>
    </row>
    <row r="5832" spans="1:10" x14ac:dyDescent="0.3">
      <c r="A5832" t="str">
        <f>HYPERLINK("https://us2.cloudbeds.com/connect/10074733072513#/reservations/31701007257758?display=MHRG70Y2D&amp;reservation_id=31701007257758", "MHRG70Y2D")</f>
        <v>MHRG70Y2D</v>
      </c>
      <c r="B5832" t="s">
        <v>10</v>
      </c>
      <c r="C5832" t="s">
        <v>42</v>
      </c>
      <c r="D5832" t="str">
        <f>HYPERLINK("https://us2.cloudbeds.com/connect/10074733072513#/reservations/31701007257758?display=Christopher%20Makowiecki&amp;reservation_id=31701007257758&amp;guest_id=31701007257743", "Christopher Makowiecki")</f>
        <v>Christopher Makowiecki</v>
      </c>
      <c r="E5832" t="s">
        <v>13423</v>
      </c>
      <c r="F5832" t="s">
        <v>13260</v>
      </c>
      <c r="G5832">
        <v>268.2</v>
      </c>
      <c r="H5832">
        <v>291.52</v>
      </c>
      <c r="I5832">
        <v>291.52999999999997</v>
      </c>
      <c r="J5832">
        <v>-0.01</v>
      </c>
    </row>
    <row r="5833" spans="1:10" x14ac:dyDescent="0.3">
      <c r="A5833" t="str">
        <f>HYPERLINK("https://us2.cloudbeds.com/connect/10074733072513#/reservations/30646070153450?display=YQ2Y43KFP&amp;reservation_id=30646070153450", "YQ2Y43KFP")</f>
        <v>YQ2Y43KFP</v>
      </c>
      <c r="B5833" t="s">
        <v>10</v>
      </c>
      <c r="C5833" t="s">
        <v>23</v>
      </c>
      <c r="D5833" t="str">
        <f>HYPERLINK("https://us2.cloudbeds.com/connect/10074733072513#/reservations/30646070153450?display=Jodi%20Mccoy&amp;reservation_id=30646070153450&amp;guest_id=30646070153448", "Jodi Mccoy")</f>
        <v>Jodi Mccoy</v>
      </c>
      <c r="E5833" t="s">
        <v>30</v>
      </c>
      <c r="F5833" t="s">
        <v>31</v>
      </c>
      <c r="G5833">
        <v>179</v>
      </c>
      <c r="H5833">
        <v>194.58</v>
      </c>
      <c r="I5833">
        <v>194.57</v>
      </c>
      <c r="J5833">
        <v>0.01</v>
      </c>
    </row>
    <row r="5834" spans="1:10" x14ac:dyDescent="0.3">
      <c r="A5834" t="str">
        <f>HYPERLINK("https://us2.cloudbeds.com/connect/10074733072513#/reservations/30646080217252?display=YQ2YCJYQF&amp;reservation_id=30646080217252", "YQ2YCJYQF")</f>
        <v>YQ2YCJYQF</v>
      </c>
      <c r="B5834" t="s">
        <v>10</v>
      </c>
      <c r="C5834" t="s">
        <v>42</v>
      </c>
      <c r="D5834" t="str">
        <f>HYPERLINK("https://us2.cloudbeds.com/connect/10074733072513#/reservations/30646080217252?display=Brett%20Wilson&amp;reservation_id=30646080217252&amp;guest_id=30646080217239", "Brett Wilson")</f>
        <v>Brett Wilson</v>
      </c>
      <c r="E5834" t="s">
        <v>51</v>
      </c>
      <c r="F5834" t="s">
        <v>52</v>
      </c>
      <c r="G5834">
        <v>149</v>
      </c>
      <c r="H5834">
        <v>161.97</v>
      </c>
      <c r="I5834">
        <v>161.96</v>
      </c>
      <c r="J5834">
        <v>0.01</v>
      </c>
    </row>
    <row r="5835" spans="1:10" x14ac:dyDescent="0.3">
      <c r="A5835" t="str">
        <f>HYPERLINK("https://us2.cloudbeds.com/connect/10074733072513#/reservations/30645962027171?display=YQ2XBURVS&amp;reservation_id=30645962027171", "YQ2XBURVS")</f>
        <v>YQ2XBURVS</v>
      </c>
      <c r="B5835" t="s">
        <v>10</v>
      </c>
      <c r="C5835" t="s">
        <v>14</v>
      </c>
      <c r="D5835" t="str">
        <f>HYPERLINK("https://us2.cloudbeds.com/connect/10074733072513#/reservations/30645962027171?display=Larissa%20Groeneweg&amp;reservation_id=30645962027171&amp;guest_id=30645962027166", "Larissa Groeneweg")</f>
        <v>Larissa Groeneweg</v>
      </c>
      <c r="E5835" t="s">
        <v>78</v>
      </c>
      <c r="F5835" t="s">
        <v>79</v>
      </c>
      <c r="G5835">
        <v>159</v>
      </c>
      <c r="H5835">
        <v>172.84</v>
      </c>
      <c r="I5835">
        <v>172.83</v>
      </c>
      <c r="J5835">
        <v>0.01</v>
      </c>
    </row>
    <row r="5836" spans="1:10" x14ac:dyDescent="0.3">
      <c r="A5836" t="str">
        <f>HYPERLINK("https://us2.cloudbeds.com/connect/10074733072513#/reservations/30647562035421?display=YQ3Q83ECB&amp;reservation_id=30647562035421", "YQ3Q83ECB")</f>
        <v>YQ3Q83ECB</v>
      </c>
      <c r="B5836" t="s">
        <v>10</v>
      </c>
      <c r="C5836" t="s">
        <v>11</v>
      </c>
      <c r="D5836" t="str">
        <f>HYPERLINK("https://us2.cloudbeds.com/connect/10074733072513#/reservations/30647562035421?display=Jennifer%20Jenson&amp;reservation_id=30647562035421&amp;guest_id=30647562035416", "Jennifer Jenson")</f>
        <v>Jennifer Jenson</v>
      </c>
      <c r="E5836" t="s">
        <v>110</v>
      </c>
      <c r="F5836" t="s">
        <v>108</v>
      </c>
      <c r="G5836">
        <v>359.52</v>
      </c>
      <c r="H5836">
        <v>390.81</v>
      </c>
      <c r="I5836">
        <v>390.8</v>
      </c>
      <c r="J5836">
        <v>0.01</v>
      </c>
    </row>
    <row r="5837" spans="1:10" x14ac:dyDescent="0.3">
      <c r="A5837" t="str">
        <f>HYPERLINK("https://us2.cloudbeds.com/connect/10074733072513#/reservations/30646277120153?display=YQ2QDKPHT&amp;reservation_id=30646277120153", "YQ2QDKPHT")</f>
        <v>YQ2QDKPHT</v>
      </c>
      <c r="B5837" t="s">
        <v>10</v>
      </c>
      <c r="C5837" t="s">
        <v>121</v>
      </c>
      <c r="D5837" t="str">
        <f>HYPERLINK("https://us2.cloudbeds.com/connect/10074733072513#/reservations/30646277120153?display=Mark%20Determan&amp;reservation_id=30646277120153&amp;guest_id=30646270230658", "Mark Determan")</f>
        <v>Mark Determan</v>
      </c>
      <c r="E5837" t="s">
        <v>122</v>
      </c>
      <c r="F5837" t="s">
        <v>115</v>
      </c>
      <c r="G5837">
        <v>129</v>
      </c>
      <c r="H5837">
        <v>140.22999999999999</v>
      </c>
      <c r="I5837">
        <v>140.22</v>
      </c>
      <c r="J5837">
        <v>0.01</v>
      </c>
    </row>
    <row r="5838" spans="1:10" x14ac:dyDescent="0.3">
      <c r="A5838" t="str">
        <f>HYPERLINK("https://us2.cloudbeds.com/connect/10074733072513#/reservations/30647717937329?display=YQ3U7XKWJ&amp;reservation_id=30647717937329", "YQ3U7XKWJ")</f>
        <v>YQ3U7XKWJ</v>
      </c>
      <c r="B5838" t="s">
        <v>10</v>
      </c>
      <c r="C5838" t="s">
        <v>42</v>
      </c>
      <c r="D5838" t="str">
        <f>HYPERLINK("https://us2.cloudbeds.com/connect/10074733072513#/reservations/30647717937329?display=Eric%20Kelly&amp;reservation_id=30647717937329&amp;guest_id=30647717937326", "Eric Kelly")</f>
        <v>Eric Kelly</v>
      </c>
      <c r="E5838" t="s">
        <v>275</v>
      </c>
      <c r="F5838" t="s">
        <v>170</v>
      </c>
      <c r="G5838">
        <v>109</v>
      </c>
      <c r="H5838">
        <v>118.49</v>
      </c>
      <c r="I5838">
        <v>118.48</v>
      </c>
      <c r="J5838">
        <v>0.01</v>
      </c>
    </row>
    <row r="5839" spans="1:10" x14ac:dyDescent="0.3">
      <c r="A5839" t="str">
        <f>HYPERLINK("https://us2.cloudbeds.com/connect/10074733072513#/reservations/30648745042063?display=YQ4NFYB6F&amp;reservation_id=30648745042063", "YQ4NFYB6F")</f>
        <v>YQ4NFYB6F</v>
      </c>
      <c r="B5839" t="s">
        <v>10</v>
      </c>
      <c r="C5839" t="s">
        <v>14</v>
      </c>
      <c r="D5839" t="str">
        <f>HYPERLINK("https://us2.cloudbeds.com/connect/10074733072513#/reservations/30648745042063?display=Mark%20Pickart&amp;reservation_id=30648745042063&amp;guest_id=30648740982943", "Mark Pickart")</f>
        <v>Mark Pickart</v>
      </c>
      <c r="E5839" t="s">
        <v>367</v>
      </c>
      <c r="F5839" t="s">
        <v>332</v>
      </c>
      <c r="G5839">
        <v>69.760000000000005</v>
      </c>
      <c r="H5839">
        <v>75.84</v>
      </c>
      <c r="I5839">
        <v>75.83</v>
      </c>
      <c r="J5839">
        <v>0.01</v>
      </c>
    </row>
    <row r="5840" spans="1:10" x14ac:dyDescent="0.3">
      <c r="A5840" t="str">
        <f>HYPERLINK("https://us2.cloudbeds.com/connect/10074733072513#/reservations/30650742345893?display=YQ68GR8YU&amp;reservation_id=30650742345893", "YQ68GR8YU")</f>
        <v>YQ68GR8YU</v>
      </c>
      <c r="B5840" t="s">
        <v>10</v>
      </c>
      <c r="C5840" t="s">
        <v>42</v>
      </c>
      <c r="D5840" t="str">
        <f>HYPERLINK("https://us2.cloudbeds.com/connect/10074733072513#/reservations/30650742345893?display=Russell%20Rook&amp;reservation_id=30650742345893&amp;guest_id=30650742345890", "Russell Rook")</f>
        <v>Russell Rook</v>
      </c>
      <c r="E5840" t="s">
        <v>373</v>
      </c>
      <c r="F5840" t="s">
        <v>374</v>
      </c>
      <c r="G5840">
        <v>119</v>
      </c>
      <c r="H5840">
        <v>129.36000000000001</v>
      </c>
      <c r="I5840">
        <v>129.35</v>
      </c>
      <c r="J5840">
        <v>0.01</v>
      </c>
    </row>
    <row r="5841" spans="1:10" x14ac:dyDescent="0.3">
      <c r="A5841" t="str">
        <f>HYPERLINK("https://us2.cloudbeds.com/connect/10074733072513#/reservations/30647367385305?display=YQ3Y8W09V&amp;reservation_id=30647367385305", "YQ3Y8W09V")</f>
        <v>YQ3Y8W09V</v>
      </c>
      <c r="B5841" t="s">
        <v>10</v>
      </c>
      <c r="C5841" t="s">
        <v>14</v>
      </c>
      <c r="D5841" t="str">
        <f>HYPERLINK("https://us2.cloudbeds.com/connect/10074733072513#/reservations/30647367385305?display=Joseph%20Ouradnik%20Jr&amp;reservation_id=30647367385305&amp;guest_id=30647363055750", "Joseph Ouradnik Jr")</f>
        <v>Joseph Ouradnik Jr</v>
      </c>
      <c r="E5841" t="s">
        <v>396</v>
      </c>
      <c r="F5841" t="s">
        <v>361</v>
      </c>
      <c r="G5841">
        <v>82.56</v>
      </c>
      <c r="H5841">
        <v>89.75</v>
      </c>
      <c r="I5841">
        <v>89.74</v>
      </c>
      <c r="J5841">
        <v>0.01</v>
      </c>
    </row>
    <row r="5842" spans="1:10" x14ac:dyDescent="0.3">
      <c r="A5842" t="str">
        <f>HYPERLINK("https://us2.cloudbeds.com/connect/10074733072513#/reservations/30649499111598?display=YQ59ZGECE&amp;reservation_id=30649499111598", "YQ59ZGECE")</f>
        <v>YQ59ZGECE</v>
      </c>
      <c r="B5842" t="s">
        <v>10</v>
      </c>
      <c r="C5842" t="s">
        <v>42</v>
      </c>
      <c r="D5842" t="str">
        <f>HYPERLINK("https://us2.cloudbeds.com/connect/10074733072513#/reservations/30649499111598?display=Scott%20Stoll&amp;reservation_id=30649499111598&amp;guest_id=30649499111596", "Scott Stoll")</f>
        <v>Scott Stoll</v>
      </c>
      <c r="E5842" t="s">
        <v>446</v>
      </c>
      <c r="F5842" t="s">
        <v>432</v>
      </c>
      <c r="G5842">
        <v>129</v>
      </c>
      <c r="H5842">
        <v>140.22999999999999</v>
      </c>
      <c r="I5842">
        <v>140.22</v>
      </c>
      <c r="J5842">
        <v>0.01</v>
      </c>
    </row>
    <row r="5843" spans="1:10" x14ac:dyDescent="0.3">
      <c r="A5843" t="str">
        <f>HYPERLINK("https://us2.cloudbeds.com/connect/10074733072513#/reservations/30651389911196?display=YQ6P1SNQV&amp;reservation_id=30651389911196", "YQ6P1SNQV")</f>
        <v>YQ6P1SNQV</v>
      </c>
      <c r="B5843" t="s">
        <v>10</v>
      </c>
      <c r="C5843" t="s">
        <v>42</v>
      </c>
      <c r="D5843" t="str">
        <f>HYPERLINK("https://us2.cloudbeds.com/connect/10074733072513#/reservations/30651389911196?display=Nicole%20Mattison&amp;reservation_id=30651389911196&amp;guest_id=30651389911191", "Nicole Mattison")</f>
        <v>Nicole Mattison</v>
      </c>
      <c r="E5843" t="s">
        <v>474</v>
      </c>
      <c r="F5843" t="s">
        <v>458</v>
      </c>
      <c r="G5843">
        <v>149</v>
      </c>
      <c r="H5843">
        <v>161.97</v>
      </c>
      <c r="I5843">
        <v>161.96</v>
      </c>
      <c r="J5843">
        <v>0.01</v>
      </c>
    </row>
    <row r="5844" spans="1:10" x14ac:dyDescent="0.3">
      <c r="A5844" t="str">
        <f>HYPERLINK("https://us2.cloudbeds.com/connect/10074733072513#/reservations/30650771214560?display=YQ6985J01&amp;reservation_id=30650771214560", "YQ6985J01")</f>
        <v>YQ6985J01</v>
      </c>
      <c r="B5844" t="s">
        <v>10</v>
      </c>
      <c r="C5844" t="s">
        <v>42</v>
      </c>
      <c r="D5844" t="str">
        <f>HYPERLINK("https://us2.cloudbeds.com/connect/10074733072513#/reservations/30650771214560?display=Dana%20Kostel&amp;reservation_id=30650771214560&amp;guest_id=30650771214546", "Dana Kostel")</f>
        <v>Dana Kostel</v>
      </c>
      <c r="E5844" t="s">
        <v>510</v>
      </c>
      <c r="F5844" t="s">
        <v>374</v>
      </c>
      <c r="G5844">
        <v>159</v>
      </c>
      <c r="H5844">
        <v>172.84</v>
      </c>
      <c r="I5844">
        <v>172.83</v>
      </c>
      <c r="J5844">
        <v>0.01</v>
      </c>
    </row>
    <row r="5845" spans="1:10" x14ac:dyDescent="0.3">
      <c r="A5845" t="str">
        <f>HYPERLINK("https://us2.cloudbeds.com/connect/10074733072513#/reservations/30650206224632?display=YQ5RQZTY4&amp;reservation_id=30650206224632", "YQ5RQZTY4")</f>
        <v>YQ5RQZTY4</v>
      </c>
      <c r="B5845" t="s">
        <v>10</v>
      </c>
      <c r="C5845" t="s">
        <v>14</v>
      </c>
      <c r="D5845" t="str">
        <f>HYPERLINK("https://us2.cloudbeds.com/connect/10074733072513#/reservations/30650206224632?display=Jason%20Liebel&amp;reservation_id=30650206224632&amp;guest_id=30650206224583", "Jason Liebel")</f>
        <v>Jason Liebel</v>
      </c>
      <c r="E5845" t="s">
        <v>681</v>
      </c>
      <c r="F5845" t="s">
        <v>590</v>
      </c>
      <c r="G5845">
        <v>70.63</v>
      </c>
      <c r="H5845">
        <v>76.78</v>
      </c>
      <c r="I5845">
        <v>76.77</v>
      </c>
      <c r="J5845">
        <v>0.01</v>
      </c>
    </row>
    <row r="5846" spans="1:10" x14ac:dyDescent="0.3">
      <c r="A5846" t="str">
        <f>HYPERLINK("https://us2.cloudbeds.com/connect/10074733072513#/reservations/30654997364910?display=YQ9X7PEG5&amp;reservation_id=30654997364910", "YQ9X7PEG5")</f>
        <v>YQ9X7PEG5</v>
      </c>
      <c r="B5846" t="s">
        <v>10</v>
      </c>
      <c r="C5846" t="s">
        <v>20</v>
      </c>
      <c r="D5846" t="str">
        <f>HYPERLINK("https://us2.cloudbeds.com/connect/10074733072513#/reservations/30654997364910?display=Siddhartha%20Vowles&amp;reservation_id=30654997364910&amp;guest_id=30654987038947", "Siddhartha Vowles")</f>
        <v>Siddhartha Vowles</v>
      </c>
      <c r="E5846" t="s">
        <v>764</v>
      </c>
      <c r="F5846" t="s">
        <v>759</v>
      </c>
      <c r="G5846">
        <v>321.3</v>
      </c>
      <c r="H5846">
        <v>349.26</v>
      </c>
      <c r="I5846">
        <v>349.25</v>
      </c>
      <c r="J5846">
        <v>0.01</v>
      </c>
    </row>
    <row r="5847" spans="1:10" x14ac:dyDescent="0.3">
      <c r="A5847" t="str">
        <f>HYPERLINK("https://us2.cloudbeds.com/connect/10074733072513#/reservations/30652566278366?display=YQ7M3QSPV&amp;reservation_id=30652566278366", "YQ7M3QSPV")</f>
        <v>YQ7M3QSPV</v>
      </c>
      <c r="B5847" t="s">
        <v>10</v>
      </c>
      <c r="C5847" t="s">
        <v>14</v>
      </c>
      <c r="D5847" t="str">
        <f>HYPERLINK("https://us2.cloudbeds.com/connect/10074733072513#/reservations/30652566278366?display=Jeffrey%20Tanke&amp;reservation_id=30652566278366&amp;guest_id=30652566278361", "Jeffrey Tanke")</f>
        <v>Jeffrey Tanke</v>
      </c>
      <c r="E5847" t="s">
        <v>773</v>
      </c>
      <c r="F5847" t="s">
        <v>774</v>
      </c>
      <c r="G5847">
        <v>321.3</v>
      </c>
      <c r="H5847">
        <v>349.26</v>
      </c>
      <c r="I5847">
        <v>349.25</v>
      </c>
      <c r="J5847">
        <v>0.01</v>
      </c>
    </row>
    <row r="5848" spans="1:10" x14ac:dyDescent="0.3">
      <c r="A5848" t="str">
        <f>HYPERLINK("https://us2.cloudbeds.com/connect/10074733072513#/reservations/30651699007634?display=YQ6WVGPUY&amp;reservation_id=30651699007634", "YQ6WVGPUY")</f>
        <v>YQ6WVGPUY</v>
      </c>
      <c r="B5848" t="s">
        <v>10</v>
      </c>
      <c r="C5848" t="s">
        <v>23</v>
      </c>
      <c r="D5848" t="str">
        <f>HYPERLINK("https://us2.cloudbeds.com/connect/10074733072513#/reservations/30651699007634?display=John%20Rocheleau&amp;reservation_id=30651699007634&amp;guest_id=30651699007625", "John Rocheleau")</f>
        <v>John Rocheleau</v>
      </c>
      <c r="E5848" t="s">
        <v>785</v>
      </c>
      <c r="F5848" t="s">
        <v>786</v>
      </c>
      <c r="G5848">
        <v>129</v>
      </c>
      <c r="H5848">
        <v>140.22999999999999</v>
      </c>
      <c r="I5848">
        <v>140.22</v>
      </c>
      <c r="J5848">
        <v>0.01</v>
      </c>
    </row>
    <row r="5849" spans="1:10" x14ac:dyDescent="0.3">
      <c r="A5849" t="str">
        <f>HYPERLINK("https://us2.cloudbeds.com/connect/10074733072513#/reservations/30652714594549?display=YQ7PTSWKZ&amp;reservation_id=30652714594549", "YQ7PTSWKZ")</f>
        <v>YQ7PTSWKZ</v>
      </c>
      <c r="B5849" t="s">
        <v>10</v>
      </c>
      <c r="C5849" t="s">
        <v>11</v>
      </c>
      <c r="D5849" t="str">
        <f>HYPERLINK("https://us2.cloudbeds.com/connect/10074733072513#/reservations/30652714594549?display=Michael%20Jack%20Lopresti&amp;reservation_id=30652714594549&amp;guest_id=30652714594544", "Michael Jack Lopresti")</f>
        <v>Michael Jack Lopresti</v>
      </c>
      <c r="E5849" t="s">
        <v>824</v>
      </c>
      <c r="F5849" t="s">
        <v>744</v>
      </c>
      <c r="G5849">
        <v>163.29</v>
      </c>
      <c r="H5849">
        <v>177.51</v>
      </c>
      <c r="I5849">
        <v>177.5</v>
      </c>
      <c r="J5849">
        <v>0.01</v>
      </c>
    </row>
    <row r="5850" spans="1:10" x14ac:dyDescent="0.3">
      <c r="A5850" t="str">
        <f>HYPERLINK("https://us2.cloudbeds.com/connect/10074733072513#/reservations/30653255233734?display=YQ86NP2BB&amp;reservation_id=30653255233734", "YQ86NP2BB")</f>
        <v>YQ86NP2BB</v>
      </c>
      <c r="B5850" t="s">
        <v>10</v>
      </c>
      <c r="C5850" t="s">
        <v>42</v>
      </c>
      <c r="D5850" t="str">
        <f>HYPERLINK("https://us2.cloudbeds.com/connect/10074733072513#/reservations/30653255233734?display=Joline%20Merkwan&amp;reservation_id=30653255233734&amp;guest_id=30653255233732", "Joline Merkwan")</f>
        <v>Joline Merkwan</v>
      </c>
      <c r="E5850" t="s">
        <v>885</v>
      </c>
      <c r="F5850" t="s">
        <v>836</v>
      </c>
      <c r="G5850">
        <v>129</v>
      </c>
      <c r="H5850">
        <v>140.22999999999999</v>
      </c>
      <c r="I5850">
        <v>140.22</v>
      </c>
      <c r="J5850">
        <v>0.01</v>
      </c>
    </row>
    <row r="5851" spans="1:10" x14ac:dyDescent="0.3">
      <c r="A5851" t="str">
        <f>HYPERLINK("https://us2.cloudbeds.com/connect/10074733072513#/reservations/30654413385891?display=YQ93ABBV8&amp;reservation_id=30654413385891", "YQ93ABBV8")</f>
        <v>YQ93ABBV8</v>
      </c>
      <c r="B5851" t="s">
        <v>10</v>
      </c>
      <c r="C5851" t="s">
        <v>42</v>
      </c>
      <c r="D5851" t="str">
        <f>HYPERLINK("https://us2.cloudbeds.com/connect/10074733072513#/reservations/30654413385891?display=Ryan%20Patterson&amp;reservation_id=30654413385891&amp;guest_id=30654413385882", "Ryan Patterson")</f>
        <v>Ryan Patterson</v>
      </c>
      <c r="E5851" t="s">
        <v>976</v>
      </c>
      <c r="F5851" t="s">
        <v>928</v>
      </c>
      <c r="G5851">
        <v>139</v>
      </c>
      <c r="H5851">
        <v>151.1</v>
      </c>
      <c r="I5851">
        <v>151.09</v>
      </c>
      <c r="J5851">
        <v>0.01</v>
      </c>
    </row>
    <row r="5852" spans="1:10" x14ac:dyDescent="0.3">
      <c r="A5852" t="str">
        <f>HYPERLINK("https://us2.cloudbeds.com/connect/10074733072513#/reservations/30652274241717?display=YQ7EYXH7H&amp;reservation_id=30652274241717", "YQ7EYXH7H")</f>
        <v>YQ7EYXH7H</v>
      </c>
      <c r="B5852" t="s">
        <v>10</v>
      </c>
      <c r="C5852" t="s">
        <v>14</v>
      </c>
      <c r="D5852" t="str">
        <f>HYPERLINK("https://us2.cloudbeds.com/connect/10074733072513#/reservations/30652274241717?display=Jennifer%20Cox&amp;reservation_id=30652274241717&amp;guest_id=30652267098334", "Jennifer Cox")</f>
        <v>Jennifer Cox</v>
      </c>
      <c r="E5852" t="s">
        <v>1004</v>
      </c>
      <c r="F5852" t="s">
        <v>667</v>
      </c>
      <c r="G5852">
        <v>70.63</v>
      </c>
      <c r="H5852">
        <v>76.78</v>
      </c>
      <c r="I5852">
        <v>76.77</v>
      </c>
      <c r="J5852">
        <v>0.01</v>
      </c>
    </row>
    <row r="5853" spans="1:10" x14ac:dyDescent="0.3">
      <c r="A5853" t="str">
        <f>HYPERLINK("https://us2.cloudbeds.com/connect/10074733072513#/reservations/30656114679976?display=YQADPUCFF&amp;reservation_id=30656114679976", "YQADPUCFF")</f>
        <v>YQADPUCFF</v>
      </c>
      <c r="B5853" t="s">
        <v>10</v>
      </c>
      <c r="C5853" t="s">
        <v>42</v>
      </c>
      <c r="D5853" t="str">
        <f>HYPERLINK("https://us2.cloudbeds.com/connect/10074733072513#/reservations/30656114679976?display=Josh%20Arl&amp;reservation_id=30656114679976&amp;guest_id=30651753668751", "Josh Arl")</f>
        <v>Josh Arl</v>
      </c>
      <c r="E5853" t="s">
        <v>1026</v>
      </c>
      <c r="F5853" t="s">
        <v>1027</v>
      </c>
      <c r="G5853">
        <v>69</v>
      </c>
      <c r="H5853">
        <v>75.010000000000005</v>
      </c>
      <c r="I5853">
        <v>75</v>
      </c>
      <c r="J5853">
        <v>0.01</v>
      </c>
    </row>
    <row r="5854" spans="1:10" x14ac:dyDescent="0.3">
      <c r="A5854" t="str">
        <f>HYPERLINK("https://us2.cloudbeds.com/connect/10074733072513#/reservations/30655821447369?display=YQA69YZMT&amp;reservation_id=30655821447369", "YQA69YZMT")</f>
        <v>YQA69YZMT</v>
      </c>
      <c r="B5854" t="s">
        <v>10</v>
      </c>
      <c r="C5854" t="s">
        <v>42</v>
      </c>
      <c r="D5854" t="str">
        <f>HYPERLINK("https://us2.cloudbeds.com/connect/10074733072513#/reservations/30655821447369?display=Jarildean%20Ochs&amp;reservation_id=30655821447369&amp;guest_id=30655821443283", "Jarildean Ochs")</f>
        <v>Jarildean Ochs</v>
      </c>
      <c r="E5854" t="s">
        <v>1285</v>
      </c>
      <c r="F5854" t="s">
        <v>1286</v>
      </c>
      <c r="G5854">
        <v>278</v>
      </c>
      <c r="H5854">
        <v>302.2</v>
      </c>
      <c r="I5854">
        <v>302.19</v>
      </c>
      <c r="J5854">
        <v>0.01</v>
      </c>
    </row>
    <row r="5855" spans="1:10" x14ac:dyDescent="0.3">
      <c r="A5855" t="str">
        <f>HYPERLINK("https://us2.cloudbeds.com/connect/10074733072513#/reservations/30655833882820?display=YQA6K4PRZ&amp;reservation_id=30655833882820", "YQA6K4PRZ")</f>
        <v>YQA6K4PRZ</v>
      </c>
      <c r="B5855" t="s">
        <v>10</v>
      </c>
      <c r="C5855" t="s">
        <v>42</v>
      </c>
      <c r="D5855" t="str">
        <f>HYPERLINK("https://us2.cloudbeds.com/connect/10074733072513#/reservations/30655833882820?display=Kyle%20Hurm&amp;reservation_id=30655833882820&amp;guest_id=30655796531395", "Kyle Hurm")</f>
        <v>Kyle Hurm</v>
      </c>
      <c r="E5855" t="s">
        <v>1288</v>
      </c>
      <c r="F5855" t="s">
        <v>1286</v>
      </c>
      <c r="G5855">
        <v>278</v>
      </c>
      <c r="H5855">
        <v>302.2</v>
      </c>
      <c r="I5855">
        <v>302.19</v>
      </c>
      <c r="J5855">
        <v>0.01</v>
      </c>
    </row>
    <row r="5856" spans="1:10" x14ac:dyDescent="0.3">
      <c r="A5856" t="str">
        <f>HYPERLINK("https://us2.cloudbeds.com/connect/10074733072513#/reservations/30659749978243?display=YQD7M9U20&amp;reservation_id=30659749978243", "YQD7M9U20")</f>
        <v>YQD7M9U20</v>
      </c>
      <c r="B5856" t="s">
        <v>10</v>
      </c>
      <c r="C5856" t="s">
        <v>17</v>
      </c>
      <c r="D5856" t="str">
        <f>HYPERLINK("https://us2.cloudbeds.com/connect/10074733072513#/reservations/30659749978243?display=Stephanie%20Claussen&amp;reservation_id=30659749978243&amp;guest_id=30659744157858", "Stephanie Claussen")</f>
        <v>Stephanie Claussen</v>
      </c>
      <c r="E5856" t="s">
        <v>1451</v>
      </c>
      <c r="F5856" t="s">
        <v>1403</v>
      </c>
      <c r="G5856">
        <v>318</v>
      </c>
      <c r="H5856">
        <v>345.68</v>
      </c>
      <c r="I5856">
        <v>345.67</v>
      </c>
      <c r="J5856">
        <v>0.01</v>
      </c>
    </row>
    <row r="5857" spans="1:10" x14ac:dyDescent="0.3">
      <c r="A5857" t="str">
        <f>HYPERLINK("https://us2.cloudbeds.com/connect/10074733072513#/reservations/30659381723382?display=YQCV8PMAQ&amp;reservation_id=30659381723382", "YQCV8PMAQ")</f>
        <v>YQCV8PMAQ</v>
      </c>
      <c r="B5857" t="s">
        <v>10</v>
      </c>
      <c r="C5857" t="s">
        <v>17</v>
      </c>
      <c r="D5857" t="str">
        <f>HYPERLINK("https://us2.cloudbeds.com/connect/10074733072513#/reservations/30659381723382?display=George%20Grant&amp;reservation_id=30659381723382&amp;guest_id=30659381723377", "George Grant")</f>
        <v>George Grant</v>
      </c>
      <c r="E5857" t="s">
        <v>1492</v>
      </c>
      <c r="F5857" t="s">
        <v>1493</v>
      </c>
      <c r="G5857">
        <v>129</v>
      </c>
      <c r="H5857">
        <v>140.22999999999999</v>
      </c>
      <c r="I5857">
        <v>140.22</v>
      </c>
      <c r="J5857">
        <v>0.01</v>
      </c>
    </row>
    <row r="5858" spans="1:10" x14ac:dyDescent="0.3">
      <c r="A5858" t="str">
        <f>HYPERLINK("https://us2.cloudbeds.com/connect/10074733072513#/reservations/30659363713166?display=YQCUQJH0M&amp;reservation_id=30659363713166", "YQCUQJH0M")</f>
        <v>YQCUQJH0M</v>
      </c>
      <c r="B5858" t="s">
        <v>10</v>
      </c>
      <c r="C5858" t="s">
        <v>17</v>
      </c>
      <c r="D5858" t="str">
        <f>HYPERLINK("https://us2.cloudbeds.com/connect/10074733072513#/reservations/30659363713166?display=Amanda%20Alderson&amp;reservation_id=30659363713166&amp;guest_id=30659363713162", "Amanda Alderson")</f>
        <v>Amanda Alderson</v>
      </c>
      <c r="E5858" t="s">
        <v>1518</v>
      </c>
      <c r="F5858" t="s">
        <v>1493</v>
      </c>
      <c r="G5858">
        <v>169</v>
      </c>
      <c r="H5858">
        <v>183.71</v>
      </c>
      <c r="I5858">
        <v>183.7</v>
      </c>
      <c r="J5858">
        <v>0.01</v>
      </c>
    </row>
    <row r="5859" spans="1:10" x14ac:dyDescent="0.3">
      <c r="A5859" t="str">
        <f>HYPERLINK("https://us2.cloudbeds.com/connect/10074733072513#/reservations/30660108366011?display=YQDGRGJ3D&amp;reservation_id=30660108366011", "YQDGRGJ3D")</f>
        <v>YQDGRGJ3D</v>
      </c>
      <c r="B5859" t="s">
        <v>10</v>
      </c>
      <c r="C5859" t="s">
        <v>42</v>
      </c>
      <c r="D5859" t="str">
        <f>HYPERLINK("https://us2.cloudbeds.com/connect/10074733072513#/reservations/30660108366011?display=Jane%20Steinborn&amp;reservation_id=30660108366011&amp;guest_id=30660100653281", "Jane Steinborn")</f>
        <v>Jane Steinborn</v>
      </c>
      <c r="E5859" t="s">
        <v>1572</v>
      </c>
      <c r="F5859" t="s">
        <v>1539</v>
      </c>
      <c r="G5859">
        <v>298</v>
      </c>
      <c r="H5859">
        <v>323.94</v>
      </c>
      <c r="I5859">
        <v>323.93</v>
      </c>
      <c r="J5859">
        <v>0.01</v>
      </c>
    </row>
    <row r="5860" spans="1:10" x14ac:dyDescent="0.3">
      <c r="A5860" t="str">
        <f>HYPERLINK("https://us2.cloudbeds.com/connect/10074733072513#/reservations/30664029315200?display=YQGHR6XBY&amp;reservation_id=30664029315200", "YQGHR6XBY")</f>
        <v>YQGHR6XBY</v>
      </c>
      <c r="B5860" t="s">
        <v>10</v>
      </c>
      <c r="C5860" t="s">
        <v>14</v>
      </c>
      <c r="D5860" t="str">
        <f>HYPERLINK("https://us2.cloudbeds.com/connect/10074733072513#/reservations/30664029315200?display=Jennifer%20Thissell&amp;reservation_id=30664029315200&amp;guest_id=30664021541044", "Jennifer Thissell")</f>
        <v>Jennifer Thissell</v>
      </c>
      <c r="E5860" t="s">
        <v>1863</v>
      </c>
      <c r="F5860" t="s">
        <v>1864</v>
      </c>
      <c r="G5860">
        <v>141.26</v>
      </c>
      <c r="H5860">
        <v>153.56</v>
      </c>
      <c r="I5860">
        <v>153.55000000000001</v>
      </c>
      <c r="J5860">
        <v>0.01</v>
      </c>
    </row>
    <row r="5861" spans="1:10" x14ac:dyDescent="0.3">
      <c r="A5861" t="str">
        <f>HYPERLINK("https://us2.cloudbeds.com/connect/10074733072513#/reservations/30663430217933?display=YQG2NJ05S&amp;reservation_id=30663430217933", "YQG2NJ05S")</f>
        <v>YQG2NJ05S</v>
      </c>
      <c r="B5861" t="s">
        <v>10</v>
      </c>
      <c r="C5861" t="s">
        <v>42</v>
      </c>
      <c r="D5861" t="str">
        <f>HYPERLINK("https://us2.cloudbeds.com/connect/10074733072513#/reservations/30663430217933?display=Geril%20Marichal&amp;reservation_id=30663430217933&amp;guest_id=30663430213887", "Geril Marichal")</f>
        <v>Geril Marichal</v>
      </c>
      <c r="E5861" t="s">
        <v>1887</v>
      </c>
      <c r="F5861" t="s">
        <v>1867</v>
      </c>
      <c r="G5861">
        <v>99</v>
      </c>
      <c r="H5861">
        <v>107.62</v>
      </c>
      <c r="I5861">
        <v>107.61</v>
      </c>
      <c r="J5861">
        <v>0.01</v>
      </c>
    </row>
    <row r="5862" spans="1:10" x14ac:dyDescent="0.3">
      <c r="A5862" t="str">
        <f>HYPERLINK("https://us2.cloudbeds.com/connect/10074733072513#/reservations/30664126599376?display=YQGKGPRTR&amp;reservation_id=30664126599376", "YQGKGPRTR")</f>
        <v>YQGKGPRTR</v>
      </c>
      <c r="B5862" t="s">
        <v>10</v>
      </c>
      <c r="C5862" t="s">
        <v>42</v>
      </c>
      <c r="D5862" t="str">
        <f>HYPERLINK("https://us2.cloudbeds.com/connect/10074733072513#/reservations/30664126599376?display=Traci%20Dana&amp;reservation_id=30664126599376&amp;guest_id=30664120778880", "Traci Dana")</f>
        <v>Traci Dana</v>
      </c>
      <c r="E5862" t="s">
        <v>2005</v>
      </c>
      <c r="F5862" t="s">
        <v>2006</v>
      </c>
      <c r="G5862">
        <v>238</v>
      </c>
      <c r="H5862">
        <v>258.72000000000003</v>
      </c>
      <c r="I5862">
        <v>258.70999999999998</v>
      </c>
      <c r="J5862">
        <v>0.01</v>
      </c>
    </row>
    <row r="5863" spans="1:10" x14ac:dyDescent="0.3">
      <c r="A5863" t="str">
        <f>HYPERLINK("https://us2.cloudbeds.com/connect/10074733072513#/reservations/30666609606900?display=YQXHVH692&amp;reservation_id=30666609606900", "YQXHVH692")</f>
        <v>YQXHVH692</v>
      </c>
      <c r="B5863" t="s">
        <v>10</v>
      </c>
      <c r="C5863" t="s">
        <v>42</v>
      </c>
      <c r="D5863" t="str">
        <f>HYPERLINK("https://us2.cloudbeds.com/connect/10074733072513#/reservations/30666609606900?display=Mackenzie%20Johnson&amp;reservation_id=30666609606900&amp;guest_id=30660811497703", "Mackenzie Johnson")</f>
        <v>Mackenzie Johnson</v>
      </c>
      <c r="E5863" t="s">
        <v>2045</v>
      </c>
      <c r="F5863" t="s">
        <v>2046</v>
      </c>
      <c r="G5863">
        <v>256</v>
      </c>
      <c r="H5863">
        <v>278.27999999999997</v>
      </c>
      <c r="I5863">
        <v>278.27</v>
      </c>
      <c r="J5863">
        <v>0.01</v>
      </c>
    </row>
    <row r="5864" spans="1:10" x14ac:dyDescent="0.3">
      <c r="A5864" t="str">
        <f>HYPERLINK("https://us2.cloudbeds.com/connect/10074733072513#/reservations/30666701840602?display=YQXKA9Z1N&amp;reservation_id=30666701840602", "YQXKA9Z1N")</f>
        <v>YQXKA9Z1N</v>
      </c>
      <c r="B5864" t="s">
        <v>10</v>
      </c>
      <c r="C5864" t="s">
        <v>42</v>
      </c>
      <c r="D5864" t="str">
        <f>HYPERLINK("https://us2.cloudbeds.com/connect/10074733072513#/reservations/30666701840602?display=Brad%20Smrcina&amp;reservation_id=30666701840602&amp;guest_id=30666701836522", "Brad Smrcina")</f>
        <v>Brad Smrcina</v>
      </c>
      <c r="E5864" t="s">
        <v>2103</v>
      </c>
      <c r="F5864" t="s">
        <v>2104</v>
      </c>
      <c r="G5864">
        <v>99</v>
      </c>
      <c r="H5864">
        <v>107.62</v>
      </c>
      <c r="I5864">
        <v>107.61</v>
      </c>
      <c r="J5864">
        <v>0.01</v>
      </c>
    </row>
    <row r="5865" spans="1:10" x14ac:dyDescent="0.3">
      <c r="A5865" t="str">
        <f>HYPERLINK("https://us2.cloudbeds.com/connect/10074733072513#/reservations/30667666686152?display=YQJBVSW9M&amp;reservation_id=30667666686152", "YQJBVSW9M")</f>
        <v>YQJBVSW9M</v>
      </c>
      <c r="B5865" t="s">
        <v>10</v>
      </c>
      <c r="C5865" t="s">
        <v>42</v>
      </c>
      <c r="D5865" t="str">
        <f>HYPERLINK("https://us2.cloudbeds.com/connect/10074733072513#/reservations/30667666686152?display=Linda%20Dale&amp;reservation_id=30667666686152&amp;guest_id=30667666686150", "Linda Dale")</f>
        <v>Linda Dale</v>
      </c>
      <c r="E5865" t="s">
        <v>2145</v>
      </c>
      <c r="F5865" t="s">
        <v>2144</v>
      </c>
      <c r="G5865">
        <v>99</v>
      </c>
      <c r="H5865">
        <v>107.62</v>
      </c>
      <c r="I5865">
        <v>107.61</v>
      </c>
      <c r="J5865">
        <v>0.01</v>
      </c>
    </row>
    <row r="5866" spans="1:10" x14ac:dyDescent="0.3">
      <c r="A5866" t="str">
        <f>HYPERLINK("https://us2.cloudbeds.com/connect/10074733072513#/reservations/30668076818678?display=YQJMENH61&amp;reservation_id=30668076818678", "YQJMENH61")</f>
        <v>YQJMENH61</v>
      </c>
      <c r="B5866" t="s">
        <v>10</v>
      </c>
      <c r="C5866" t="s">
        <v>42</v>
      </c>
      <c r="D5866" t="str">
        <f>HYPERLINK("https://us2.cloudbeds.com/connect/10074733072513#/reservations/30668076818678?display=Erik%20Schanzenbach&amp;reservation_id=30668076818678&amp;guest_id=30666115149970", "Erik Schanzenbach")</f>
        <v>Erik Schanzenbach</v>
      </c>
      <c r="E5866" t="s">
        <v>2172</v>
      </c>
      <c r="F5866" t="s">
        <v>2171</v>
      </c>
      <c r="G5866">
        <v>320</v>
      </c>
      <c r="H5866">
        <v>347.85</v>
      </c>
      <c r="I5866">
        <v>347.84</v>
      </c>
      <c r="J5866">
        <v>0.01</v>
      </c>
    </row>
    <row r="5867" spans="1:10" x14ac:dyDescent="0.3">
      <c r="A5867" t="str">
        <f>HYPERLINK("https://us2.cloudbeds.com/connect/10074733072513#/reservations/30667172057256?display=YQXWAQ6K8&amp;reservation_id=30667172057256", "YQXWAQ6K8")</f>
        <v>YQXWAQ6K8</v>
      </c>
      <c r="B5867" t="s">
        <v>10</v>
      </c>
      <c r="C5867" t="s">
        <v>17</v>
      </c>
      <c r="D5867" t="str">
        <f>HYPERLINK("https://us2.cloudbeds.com/connect/10074733072513#/reservations/30667172057256?display=Chad%20Wood&amp;reservation_id=30667172057256&amp;guest_id=30667172057247", "Chad Wood")</f>
        <v>Chad Wood</v>
      </c>
      <c r="E5867" t="s">
        <v>2308</v>
      </c>
      <c r="F5867" t="s">
        <v>2259</v>
      </c>
      <c r="G5867">
        <v>120.6</v>
      </c>
      <c r="H5867">
        <v>131.1</v>
      </c>
      <c r="I5867">
        <v>131.09</v>
      </c>
      <c r="J5867">
        <v>0.01</v>
      </c>
    </row>
    <row r="5868" spans="1:10" x14ac:dyDescent="0.3">
      <c r="A5868" t="str">
        <f>HYPERLINK("https://us2.cloudbeds.com/connect/10074733072513#/reservations/30669686849728?display=YQKUE6275&amp;reservation_id=30669686849728", "YQKUE6275")</f>
        <v>YQKUE6275</v>
      </c>
      <c r="B5868" t="s">
        <v>10</v>
      </c>
      <c r="C5868" t="s">
        <v>20</v>
      </c>
      <c r="D5868" t="str">
        <f>HYPERLINK("https://us2.cloudbeds.com/connect/10074733072513#/reservations/30669686849728?display=Amber%20Peard&amp;reservation_id=30669686849728&amp;guest_id=30669680738479", "Amber Peard")</f>
        <v>Amber Peard</v>
      </c>
      <c r="E5868" t="s">
        <v>2396</v>
      </c>
      <c r="F5868" t="s">
        <v>2338</v>
      </c>
      <c r="G5868">
        <v>144.5</v>
      </c>
      <c r="H5868">
        <v>157.08000000000001</v>
      </c>
      <c r="I5868">
        <v>157.07</v>
      </c>
      <c r="J5868">
        <v>0.01</v>
      </c>
    </row>
    <row r="5869" spans="1:10" x14ac:dyDescent="0.3">
      <c r="A5869" t="str">
        <f>HYPERLINK("https://us2.cloudbeds.com/connect/10074733072513#/reservations/30673249759451?display=YQNMKM7C1&amp;reservation_id=30673249759451", "YQNMKM7C1")</f>
        <v>YQNMKM7C1</v>
      </c>
      <c r="B5869" t="s">
        <v>10</v>
      </c>
      <c r="C5869" t="s">
        <v>42</v>
      </c>
      <c r="D5869" t="str">
        <f>HYPERLINK("https://us2.cloudbeds.com/connect/10074733072513#/reservations/30673249759451?display=Douglas%20Welte&amp;reservation_id=30673249759451&amp;guest_id=30671889817797", "Douglas Welte")</f>
        <v>Douglas Welte</v>
      </c>
      <c r="E5869" t="s">
        <v>2536</v>
      </c>
      <c r="F5869" t="s">
        <v>2524</v>
      </c>
      <c r="G5869">
        <v>192</v>
      </c>
      <c r="H5869">
        <v>208.71</v>
      </c>
      <c r="I5869">
        <v>208.7</v>
      </c>
      <c r="J5869">
        <v>0.01</v>
      </c>
    </row>
    <row r="5870" spans="1:10" x14ac:dyDescent="0.3">
      <c r="A5870" t="str">
        <f>HYPERLINK("https://us2.cloudbeds.com/connect/10074733072513#/reservations/30671229345953?display=YQM4007TJ&amp;reservation_id=30671229345953", "YQM4007TJ")</f>
        <v>YQM4007TJ</v>
      </c>
      <c r="B5870" t="s">
        <v>10</v>
      </c>
      <c r="C5870" t="s">
        <v>42</v>
      </c>
      <c r="D5870" t="str">
        <f>HYPERLINK("https://us2.cloudbeds.com/connect/10074733072513#/reservations/30671229345953?display=Kimberly%20Ebel&amp;reservation_id=30671229345953&amp;guest_id=30671229345951", "Kimberly Ebel")</f>
        <v>Kimberly Ebel</v>
      </c>
      <c r="E5870" t="s">
        <v>2545</v>
      </c>
      <c r="F5870" t="s">
        <v>2546</v>
      </c>
      <c r="G5870">
        <v>109</v>
      </c>
      <c r="H5870">
        <v>118.49</v>
      </c>
      <c r="I5870">
        <v>118.48</v>
      </c>
      <c r="J5870">
        <v>0.01</v>
      </c>
    </row>
    <row r="5871" spans="1:10" x14ac:dyDescent="0.3">
      <c r="A5871" t="str">
        <f>HYPERLINK("https://us2.cloudbeds.com/connect/10074733072513#/reservations/30672173953224?display=YQMS4HASA&amp;reservation_id=30672173953224", "YQMS4HASA")</f>
        <v>YQMS4HASA</v>
      </c>
      <c r="B5871" t="s">
        <v>10</v>
      </c>
      <c r="C5871" t="s">
        <v>11</v>
      </c>
      <c r="D5871" t="str">
        <f>HYPERLINK("https://us2.cloudbeds.com/connect/10074733072513#/reservations/30672173953224?display=Drue%20Nelson&amp;reservation_id=30672173953224&amp;guest_id=30672173949138", "Drue Nelson")</f>
        <v>Drue Nelson</v>
      </c>
      <c r="E5871" t="s">
        <v>2568</v>
      </c>
      <c r="F5871" t="s">
        <v>2567</v>
      </c>
      <c r="G5871">
        <v>69</v>
      </c>
      <c r="H5871">
        <v>75.010000000000005</v>
      </c>
      <c r="I5871">
        <v>75</v>
      </c>
      <c r="J5871">
        <v>0.01</v>
      </c>
    </row>
    <row r="5872" spans="1:10" x14ac:dyDescent="0.3">
      <c r="A5872" t="str">
        <f>HYPERLINK("https://us2.cloudbeds.com/connect/10074733072513#/reservations/30672995651759?display=YQNG4D9VV&amp;reservation_id=30672995651759", "YQNG4D9VV")</f>
        <v>YQNG4D9VV</v>
      </c>
      <c r="B5872" t="s">
        <v>10</v>
      </c>
      <c r="C5872" t="s">
        <v>42</v>
      </c>
      <c r="D5872" t="str">
        <f>HYPERLINK("https://us2.cloudbeds.com/connect/10074733072513#/reservations/30672995651759?display=Mark%20Stier&amp;reservation_id=30672995651759&amp;guest_id=30671151702214", "Mark Stier")</f>
        <v>Mark Stier</v>
      </c>
      <c r="E5872" t="s">
        <v>2574</v>
      </c>
      <c r="F5872" t="s">
        <v>2554</v>
      </c>
      <c r="G5872">
        <v>218</v>
      </c>
      <c r="H5872">
        <v>236.98</v>
      </c>
      <c r="I5872">
        <v>236.97</v>
      </c>
      <c r="J5872">
        <v>0.01</v>
      </c>
    </row>
    <row r="5873" spans="1:10" x14ac:dyDescent="0.3">
      <c r="A5873" t="str">
        <f>HYPERLINK("https://us2.cloudbeds.com/connect/10074733072513#/reservations/30671072657596?display=YQYWWT53X&amp;reservation_id=30671072657596", "YQYWWT53X")</f>
        <v>YQYWWT53X</v>
      </c>
      <c r="B5873" t="s">
        <v>10</v>
      </c>
      <c r="C5873" t="s">
        <v>11</v>
      </c>
      <c r="D5873" t="str">
        <f>HYPERLINK("https://us2.cloudbeds.com/connect/10074733072513#/reservations/30671072657596?display=Shane%20Spangler&amp;reservation_id=30671072657596&amp;guest_id=30671072657592", "Shane Spangler")</f>
        <v>Shane Spangler</v>
      </c>
      <c r="E5873" t="s">
        <v>2593</v>
      </c>
      <c r="F5873" t="s">
        <v>2594</v>
      </c>
      <c r="G5873">
        <v>69</v>
      </c>
      <c r="H5873">
        <v>75.010000000000005</v>
      </c>
      <c r="I5873">
        <v>75</v>
      </c>
      <c r="J5873">
        <v>0.01</v>
      </c>
    </row>
    <row r="5874" spans="1:10" x14ac:dyDescent="0.3">
      <c r="A5874" t="str">
        <f>HYPERLINK("https://us2.cloudbeds.com/connect/10074733072513#/reservations/30674105925848?display=YQZBGKADA&amp;reservation_id=30674105925848", "YQZBGKADA")</f>
        <v>YQZBGKADA</v>
      </c>
      <c r="B5874" t="s">
        <v>10</v>
      </c>
      <c r="C5874" t="s">
        <v>23</v>
      </c>
      <c r="D5874" t="str">
        <f>HYPERLINK("https://us2.cloudbeds.com/connect/10074733072513#/reservations/30674105925848?display=Kimberly%20Eggleston&amp;reservation_id=30674105925848&amp;guest_id=30674105921760", "Kimberly Eggleston")</f>
        <v>Kimberly Eggleston</v>
      </c>
      <c r="E5874" t="s">
        <v>2694</v>
      </c>
      <c r="F5874" t="s">
        <v>2673</v>
      </c>
      <c r="G5874">
        <v>129</v>
      </c>
      <c r="H5874">
        <v>140.22999999999999</v>
      </c>
      <c r="I5874">
        <v>140.22</v>
      </c>
      <c r="J5874">
        <v>0.01</v>
      </c>
    </row>
    <row r="5875" spans="1:10" x14ac:dyDescent="0.3">
      <c r="A5875" t="str">
        <f>HYPERLINK("https://us2.cloudbeds.com/connect/10074733072513#/reservations/30674577293517?display=YQZNX2QU2&amp;reservation_id=30674577293517", "YQZNX2QU2")</f>
        <v>YQZNX2QU2</v>
      </c>
      <c r="B5875" t="s">
        <v>10</v>
      </c>
      <c r="C5875" t="s">
        <v>42</v>
      </c>
      <c r="D5875" t="str">
        <f>HYPERLINK("https://us2.cloudbeds.com/connect/10074733072513#/reservations/30674577293517?display=Linneah%20Dalueg&amp;reservation_id=30674577293517&amp;guest_id=30674577293513", "Linneah Dalueg")</f>
        <v>Linneah Dalueg</v>
      </c>
      <c r="E5875" t="s">
        <v>2695</v>
      </c>
      <c r="F5875" t="s">
        <v>2630</v>
      </c>
      <c r="G5875">
        <v>99</v>
      </c>
      <c r="H5875">
        <v>107.62</v>
      </c>
      <c r="I5875">
        <v>107.61</v>
      </c>
      <c r="J5875">
        <v>0.01</v>
      </c>
    </row>
    <row r="5876" spans="1:10" x14ac:dyDescent="0.3">
      <c r="A5876" t="str">
        <f>HYPERLINK("https://us2.cloudbeds.com/connect/10074733072513#/reservations/30672937132225?display=YQNEY1U0Z&amp;reservation_id=30672937132225", "YQNEY1U0Z")</f>
        <v>YQNEY1U0Z</v>
      </c>
      <c r="B5876" t="s">
        <v>10</v>
      </c>
      <c r="C5876" t="s">
        <v>42</v>
      </c>
      <c r="D5876" t="str">
        <f>HYPERLINK("https://us2.cloudbeds.com/connect/10074733072513#/reservations/30672937132225?display=Joshua%20Michael%20Otto%20Stumm&amp;reservation_id=30672937132225&amp;guest_id=30672937128191", "Joshua Michael Otto Stumm")</f>
        <v>Joshua Michael Otto Stumm</v>
      </c>
      <c r="E5876" t="s">
        <v>2749</v>
      </c>
      <c r="F5876" t="s">
        <v>2714</v>
      </c>
      <c r="G5876">
        <v>99</v>
      </c>
      <c r="H5876">
        <v>107.62</v>
      </c>
      <c r="I5876">
        <v>107.61</v>
      </c>
      <c r="J5876">
        <v>0.01</v>
      </c>
    </row>
    <row r="5877" spans="1:10" x14ac:dyDescent="0.3">
      <c r="A5877" t="str">
        <f>HYPERLINK("https://us2.cloudbeds.com/connect/10074733072513#/reservations/30679586582696?display=YQSJX1M4S&amp;reservation_id=30679586582696", "YQSJX1M4S")</f>
        <v>YQSJX1M4S</v>
      </c>
      <c r="B5877" t="s">
        <v>10</v>
      </c>
      <c r="C5877" t="s">
        <v>42</v>
      </c>
      <c r="D5877" t="str">
        <f>HYPERLINK("https://us2.cloudbeds.com/connect/10074733072513#/reservations/30679586582696?display=Hailey%20Roman&amp;reservation_id=30679586582696&amp;guest_id=30679586582694", "Hailey Roman")</f>
        <v>Hailey Roman</v>
      </c>
      <c r="E5877" t="s">
        <v>2772</v>
      </c>
      <c r="F5877" t="s">
        <v>2773</v>
      </c>
      <c r="G5877">
        <v>119</v>
      </c>
      <c r="H5877">
        <v>129.36000000000001</v>
      </c>
      <c r="I5877">
        <v>129.35</v>
      </c>
      <c r="J5877">
        <v>0.01</v>
      </c>
    </row>
    <row r="5878" spans="1:10" x14ac:dyDescent="0.3">
      <c r="A5878" t="str">
        <f>HYPERLINK("https://us2.cloudbeds.com/connect/10074733072513#/reservations/30679524589751?display=YQSHVPKYP&amp;reservation_id=30679524589751", "YQSHVPKYP")</f>
        <v>YQSHVPKYP</v>
      </c>
      <c r="B5878" t="s">
        <v>10</v>
      </c>
      <c r="C5878" t="s">
        <v>42</v>
      </c>
      <c r="D5878" t="str">
        <f>HYPERLINK("https://us2.cloudbeds.com/connect/10074733072513#/reservations/30679524589751?display=Steven%20Lee%20Theesfeld&amp;reservation_id=30679524589751&amp;guest_id=30679524589745", "Steven Lee Theesfeld")</f>
        <v>Steven Lee Theesfeld</v>
      </c>
      <c r="E5878" t="s">
        <v>2807</v>
      </c>
      <c r="F5878" t="s">
        <v>2808</v>
      </c>
      <c r="G5878">
        <v>99</v>
      </c>
      <c r="H5878">
        <v>107.62</v>
      </c>
      <c r="I5878">
        <v>107.61</v>
      </c>
      <c r="J5878">
        <v>0.01</v>
      </c>
    </row>
    <row r="5879" spans="1:10" x14ac:dyDescent="0.3">
      <c r="A5879" t="str">
        <f>HYPERLINK("https://us2.cloudbeds.com/connect/10074733072513#/reservations/30677725933784?display=YQR503C9G&amp;reservation_id=30677725933784", "YQR503C9G")</f>
        <v>YQR503C9G</v>
      </c>
      <c r="B5879" t="s">
        <v>10</v>
      </c>
      <c r="C5879" t="s">
        <v>11</v>
      </c>
      <c r="D5879" t="str">
        <f>HYPERLINK("https://us2.cloudbeds.com/connect/10074733072513#/reservations/30677725933784?display=Joanne%20K%20Schofield&amp;reservation_id=30677725933784&amp;guest_id=30676936421615", "Joanne K Schofield")</f>
        <v>Joanne K Schofield</v>
      </c>
      <c r="E5879" t="s">
        <v>2836</v>
      </c>
      <c r="F5879" t="s">
        <v>2837</v>
      </c>
      <c r="G5879">
        <v>69.760000000000005</v>
      </c>
      <c r="H5879">
        <v>75.84</v>
      </c>
      <c r="I5879">
        <v>75.83</v>
      </c>
      <c r="J5879">
        <v>0.01</v>
      </c>
    </row>
    <row r="5880" spans="1:10" x14ac:dyDescent="0.3">
      <c r="A5880" t="str">
        <f>HYPERLINK("https://us2.cloudbeds.com/connect/10074733072513#/reservations/30677937529070?display=YQRADHAYS&amp;reservation_id=30677937529070", "YQRADHAYS")</f>
        <v>YQRADHAYS</v>
      </c>
      <c r="B5880" t="s">
        <v>10</v>
      </c>
      <c r="C5880" t="s">
        <v>42</v>
      </c>
      <c r="D5880" t="str">
        <f>HYPERLINK("https://us2.cloudbeds.com/connect/10074733072513#/reservations/30677937529070?display=Laura%20Pepple&amp;reservation_id=30677937529070&amp;guest_id=30677937529066", "Laura Pepple")</f>
        <v>Laura Pepple</v>
      </c>
      <c r="E5880" t="s">
        <v>2949</v>
      </c>
      <c r="F5880" t="s">
        <v>2903</v>
      </c>
      <c r="G5880">
        <v>109</v>
      </c>
      <c r="H5880">
        <v>118.49</v>
      </c>
      <c r="I5880">
        <v>118.48</v>
      </c>
      <c r="J5880">
        <v>0.01</v>
      </c>
    </row>
    <row r="5881" spans="1:10" x14ac:dyDescent="0.3">
      <c r="A5881" t="str">
        <f>HYPERLINK("https://us2.cloudbeds.com/connect/10074733072513#/reservations/30677888463000?display=YQR954WJ8&amp;reservation_id=30677888463000", "YQR954WJ8")</f>
        <v>YQR954WJ8</v>
      </c>
      <c r="B5881" t="s">
        <v>10</v>
      </c>
      <c r="C5881" t="s">
        <v>42</v>
      </c>
      <c r="D5881" t="str">
        <f>HYPERLINK("https://us2.cloudbeds.com/connect/10074733072513#/reservations/30677888463000?display=William%20Seanl&amp;reservation_id=30677888463000&amp;guest_id=30677881147531", "William Seanl")</f>
        <v>William Seanl</v>
      </c>
      <c r="E5881" t="s">
        <v>2950</v>
      </c>
      <c r="F5881" t="s">
        <v>2951</v>
      </c>
      <c r="G5881">
        <v>129</v>
      </c>
      <c r="H5881">
        <v>140.22999999999999</v>
      </c>
      <c r="I5881">
        <v>140.22</v>
      </c>
      <c r="J5881">
        <v>0.01</v>
      </c>
    </row>
    <row r="5882" spans="1:10" x14ac:dyDescent="0.3">
      <c r="A5882" t="str">
        <f>HYPERLINK("https://us2.cloudbeds.com/connect/10074733072513#/reservations/30677628424368?display=YQR2GT0VN&amp;reservation_id=30677628424368", "YQR2GT0VN")</f>
        <v>YQR2GT0VN</v>
      </c>
      <c r="B5882" t="s">
        <v>10</v>
      </c>
      <c r="C5882" t="s">
        <v>42</v>
      </c>
      <c r="D5882" t="str">
        <f>HYPERLINK("https://us2.cloudbeds.com/connect/10074733072513#/reservations/30677628424368?display=Dustin%20Alderin&amp;reservation_id=30677628424368&amp;guest_id=30677628424364", "Dustin Alderin")</f>
        <v>Dustin Alderin</v>
      </c>
      <c r="E5882" t="s">
        <v>3017</v>
      </c>
      <c r="F5882" t="s">
        <v>2655</v>
      </c>
      <c r="G5882">
        <v>79</v>
      </c>
      <c r="H5882">
        <v>85.88</v>
      </c>
      <c r="I5882">
        <v>85.87</v>
      </c>
      <c r="J5882">
        <v>0.01</v>
      </c>
    </row>
    <row r="5883" spans="1:10" x14ac:dyDescent="0.3">
      <c r="A5883" t="str">
        <f>HYPERLINK("https://us2.cloudbeds.com/connect/10074733072513#/reservations/30677640532181?display=YQR2R2V84&amp;reservation_id=30677640532181", "YQR2R2V84")</f>
        <v>YQR2R2V84</v>
      </c>
      <c r="B5883" t="s">
        <v>10</v>
      </c>
      <c r="C5883" t="s">
        <v>42</v>
      </c>
      <c r="D5883" t="str">
        <f>HYPERLINK("https://us2.cloudbeds.com/connect/10074733072513#/reservations/30677640532181?display=Nakasone%20Hitomi&amp;reservation_id=30677640532181&amp;guest_id=30677640528097", "Nakasone Hitomi")</f>
        <v>Nakasone Hitomi</v>
      </c>
      <c r="E5883" t="s">
        <v>3045</v>
      </c>
      <c r="F5883" t="s">
        <v>2655</v>
      </c>
      <c r="G5883">
        <v>149</v>
      </c>
      <c r="H5883">
        <v>161.97</v>
      </c>
      <c r="I5883">
        <v>161.96</v>
      </c>
      <c r="J5883">
        <v>0.01</v>
      </c>
    </row>
    <row r="5884" spans="1:10" x14ac:dyDescent="0.3">
      <c r="A5884" t="str">
        <f>HYPERLINK("https://us2.cloudbeds.com/connect/10074733072513#/reservations/30677069676687?display=YQQY7Z1MQ&amp;reservation_id=30677069676687", "YQQY7Z1MQ")</f>
        <v>YQQY7Z1MQ</v>
      </c>
      <c r="B5884" t="s">
        <v>10</v>
      </c>
      <c r="C5884" t="s">
        <v>42</v>
      </c>
      <c r="D5884" t="str">
        <f>HYPERLINK("https://us2.cloudbeds.com/connect/10074733072513#/reservations/30677069676687?display=Bryan%20Reimers%20Willie%20Homes&amp;reservation_id=30677069676687&amp;guest_id=30677069676682", "Bryan Reimers Willie Homes")</f>
        <v>Bryan Reimers Willie Homes</v>
      </c>
      <c r="E5884" t="s">
        <v>3076</v>
      </c>
      <c r="F5884" t="s">
        <v>2847</v>
      </c>
      <c r="G5884">
        <v>338</v>
      </c>
      <c r="H5884">
        <v>367.42</v>
      </c>
      <c r="I5884">
        <v>367.41</v>
      </c>
      <c r="J5884">
        <v>0.01</v>
      </c>
    </row>
    <row r="5885" spans="1:10" x14ac:dyDescent="0.3">
      <c r="A5885" t="str">
        <f>HYPERLINK("https://us2.cloudbeds.com/connect/10074733072513#/reservations/30687605424309?display=YR1QEZP28&amp;reservation_id=30687605424309", "YR1QEZP28")</f>
        <v>YR1QEZP28</v>
      </c>
      <c r="B5885" t="s">
        <v>10</v>
      </c>
      <c r="C5885" t="s">
        <v>11</v>
      </c>
      <c r="D5885" t="str">
        <f>HYPERLINK("https://us2.cloudbeds.com/connect/10074733072513#/reservations/30687605424309?display=Rebecca%20Hoffman&amp;reservation_id=30687605424309&amp;guest_id=30687605424304", "Rebecca Hoffman")</f>
        <v>Rebecca Hoffman</v>
      </c>
      <c r="E5885" t="s">
        <v>3079</v>
      </c>
      <c r="F5885" t="s">
        <v>3080</v>
      </c>
      <c r="G5885">
        <v>87.84</v>
      </c>
      <c r="H5885">
        <v>95.49</v>
      </c>
      <c r="I5885">
        <v>95.48</v>
      </c>
      <c r="J5885">
        <v>0.01</v>
      </c>
    </row>
    <row r="5886" spans="1:10" x14ac:dyDescent="0.3">
      <c r="A5886" t="str">
        <f>HYPERLINK("https://us2.cloudbeds.com/connect/10074733072513#/reservations/30683664679139?display=YQVZZQNKV&amp;reservation_id=30683664679139", "YQVZZQNKV")</f>
        <v>YQVZZQNKV</v>
      </c>
      <c r="B5886" t="s">
        <v>10</v>
      </c>
      <c r="C5886" t="s">
        <v>11</v>
      </c>
      <c r="D5886" t="str">
        <f>HYPERLINK("https://us2.cloudbeds.com/connect/10074733072513#/reservations/30683664679139?display=Patti%20Meyer&amp;reservation_id=30683664679139&amp;guest_id=30683664679134", "Patti Meyer")</f>
        <v>Patti Meyer</v>
      </c>
      <c r="E5886" t="s">
        <v>3122</v>
      </c>
      <c r="F5886" t="s">
        <v>3123</v>
      </c>
      <c r="G5886">
        <v>258</v>
      </c>
      <c r="H5886">
        <v>280.45999999999998</v>
      </c>
      <c r="I5886">
        <v>280.45</v>
      </c>
      <c r="J5886">
        <v>0.01</v>
      </c>
    </row>
    <row r="5887" spans="1:10" x14ac:dyDescent="0.3">
      <c r="A5887" t="str">
        <f>HYPERLINK("https://us2.cloudbeds.com/connect/10074733072513#/reservations/30676682879165?display=YQQBBXRNP&amp;reservation_id=30676682879165", "YQQBBXRNP")</f>
        <v>YQQBBXRNP</v>
      </c>
      <c r="B5887" t="s">
        <v>10</v>
      </c>
      <c r="C5887" t="s">
        <v>42</v>
      </c>
      <c r="D5887" t="str">
        <f>HYPERLINK("https://us2.cloudbeds.com/connect/10074733072513#/reservations/30676682879165?display=Jeff%20Derksen&amp;reservation_id=30676682879165&amp;guest_id=30667411271863", "Jeff Derksen")</f>
        <v>Jeff Derksen</v>
      </c>
      <c r="E5887" t="s">
        <v>3150</v>
      </c>
      <c r="F5887" t="s">
        <v>3147</v>
      </c>
      <c r="G5887">
        <v>119</v>
      </c>
      <c r="H5887">
        <v>129.36000000000001</v>
      </c>
      <c r="I5887">
        <v>129.35</v>
      </c>
      <c r="J5887">
        <v>0.01</v>
      </c>
    </row>
    <row r="5888" spans="1:10" x14ac:dyDescent="0.3">
      <c r="A5888" t="str">
        <f>HYPERLINK("https://us2.cloudbeds.com/connect/10074733072513#/reservations/30687638589639?display=YR1R9NKU8&amp;reservation_id=30687638589639", "YR1R9NKU8")</f>
        <v>YR1R9NKU8</v>
      </c>
      <c r="B5888" t="s">
        <v>10</v>
      </c>
      <c r="C5888" t="s">
        <v>42</v>
      </c>
      <c r="D5888" t="str">
        <f>HYPERLINK("https://us2.cloudbeds.com/connect/10074733072513#/reservations/30687638589639?display=Tom%20Jacobs&amp;reservation_id=30687638589639&amp;guest_id=30687638589635", "Tom Jacobs")</f>
        <v>Tom Jacobs</v>
      </c>
      <c r="E5888" t="s">
        <v>3170</v>
      </c>
      <c r="F5888" t="s">
        <v>3154</v>
      </c>
      <c r="G5888">
        <v>189</v>
      </c>
      <c r="H5888">
        <v>205.45</v>
      </c>
      <c r="I5888">
        <v>205.44</v>
      </c>
      <c r="J5888">
        <v>0.01</v>
      </c>
    </row>
    <row r="5889" spans="1:10" x14ac:dyDescent="0.3">
      <c r="A5889" t="str">
        <f>HYPERLINK("https://us2.cloudbeds.com/connect/10074733072513#/reservations/30686488109207?display=YR0UTJR1S&amp;reservation_id=30686488109207", "YR0UTJR1S")</f>
        <v>YR0UTJR1S</v>
      </c>
      <c r="B5889" t="s">
        <v>10</v>
      </c>
      <c r="C5889" t="s">
        <v>42</v>
      </c>
      <c r="D5889" t="str">
        <f>HYPERLINK("https://us2.cloudbeds.com/connect/10074733072513#/reservations/30686488109207?display=Roxanne%20Kraft&amp;reservation_id=30686488109207&amp;guest_id=30660645728456", "Roxanne Kraft")</f>
        <v>Roxanne Kraft</v>
      </c>
      <c r="E5889" t="s">
        <v>3173</v>
      </c>
      <c r="F5889" t="s">
        <v>3174</v>
      </c>
      <c r="G5889">
        <v>99</v>
      </c>
      <c r="H5889">
        <v>107.62</v>
      </c>
      <c r="I5889">
        <v>107.61</v>
      </c>
      <c r="J5889">
        <v>0.01</v>
      </c>
    </row>
    <row r="5890" spans="1:10" x14ac:dyDescent="0.3">
      <c r="A5890" t="str">
        <f>HYPERLINK("https://us2.cloudbeds.com/connect/10074733072513#/reservations/30688577020046?display=YR2X90RRA&amp;reservation_id=30688577020046", "YR2X90RRA")</f>
        <v>YR2X90RRA</v>
      </c>
      <c r="B5890" t="s">
        <v>10</v>
      </c>
      <c r="C5890" t="s">
        <v>42</v>
      </c>
      <c r="D5890" t="str">
        <f>HYPERLINK("https://us2.cloudbeds.com/connect/10074733072513#/reservations/30688577020046?display=Mary%20Brandt&amp;reservation_id=30688577020046&amp;guest_id=30688571519218", "Mary Brandt")</f>
        <v>Mary Brandt</v>
      </c>
      <c r="E5890" t="s">
        <v>3176</v>
      </c>
      <c r="F5890" t="s">
        <v>2857</v>
      </c>
      <c r="G5890">
        <v>139</v>
      </c>
      <c r="H5890">
        <v>151.1</v>
      </c>
      <c r="I5890">
        <v>151.09</v>
      </c>
      <c r="J5890">
        <v>0.01</v>
      </c>
    </row>
    <row r="5891" spans="1:10" x14ac:dyDescent="0.3">
      <c r="A5891" t="str">
        <f>HYPERLINK("https://us2.cloudbeds.com/connect/10074733072513#/reservations/30688428753138?display=YR2EG037N&amp;reservation_id=30688428753138", "YR2EG037N")</f>
        <v>YR2EG037N</v>
      </c>
      <c r="B5891" t="s">
        <v>10</v>
      </c>
      <c r="C5891" t="s">
        <v>42</v>
      </c>
      <c r="D5891" t="str">
        <f>HYPERLINK("https://us2.cloudbeds.com/connect/10074733072513#/reservations/30688428753138?display=James%20Bieler&amp;reservation_id=30688428753138&amp;guest_id=30688428753135", "James Bieler")</f>
        <v>James Bieler</v>
      </c>
      <c r="E5891" t="s">
        <v>3177</v>
      </c>
      <c r="F5891" t="s">
        <v>2740</v>
      </c>
      <c r="G5891">
        <v>139</v>
      </c>
      <c r="H5891">
        <v>151.1</v>
      </c>
      <c r="I5891">
        <v>151.09</v>
      </c>
      <c r="J5891">
        <v>0.01</v>
      </c>
    </row>
    <row r="5892" spans="1:10" x14ac:dyDescent="0.3">
      <c r="A5892" t="str">
        <f>HYPERLINK("https://us2.cloudbeds.com/connect/10074733072513#/reservations/30687199711384?display=YR1G2Y6J6&amp;reservation_id=30687199711384", "YR1G2Y6J6")</f>
        <v>YR1G2Y6J6</v>
      </c>
      <c r="B5892" t="s">
        <v>10</v>
      </c>
      <c r="C5892" t="s">
        <v>42</v>
      </c>
      <c r="D5892" t="str">
        <f>HYPERLINK("https://us2.cloudbeds.com/connect/10074733072513#/reservations/30687199711384?display=Flo%20Gropel&amp;reservation_id=30687199711384&amp;guest_id=30687199711381", "Flo Gropel")</f>
        <v>Flo Gropel</v>
      </c>
      <c r="E5892" t="s">
        <v>3178</v>
      </c>
      <c r="F5892" t="s">
        <v>3179</v>
      </c>
      <c r="G5892">
        <v>139</v>
      </c>
      <c r="H5892">
        <v>151.1</v>
      </c>
      <c r="I5892">
        <v>151.09</v>
      </c>
      <c r="J5892">
        <v>0.01</v>
      </c>
    </row>
    <row r="5893" spans="1:10" x14ac:dyDescent="0.3">
      <c r="A5893" t="str">
        <f>HYPERLINK("https://us2.cloudbeds.com/connect/10074733072513#/reservations/30688000389372?display=YR23HQ82H&amp;reservation_id=30688000389372", "YR23HQ82H")</f>
        <v>YR23HQ82H</v>
      </c>
      <c r="B5893" t="s">
        <v>10</v>
      </c>
      <c r="C5893" t="s">
        <v>42</v>
      </c>
      <c r="D5893" t="str">
        <f>HYPERLINK("https://us2.cloudbeds.com/connect/10074733072513#/reservations/30688000389372?display=Kim%20Pickett&amp;reservation_id=30688000389372&amp;guest_id=30688000389357", "Kim Pickett")</f>
        <v>Kim Pickett</v>
      </c>
      <c r="E5893" t="s">
        <v>3181</v>
      </c>
      <c r="F5893" t="s">
        <v>2840</v>
      </c>
      <c r="G5893">
        <v>209</v>
      </c>
      <c r="H5893">
        <v>227.19</v>
      </c>
      <c r="I5893">
        <v>227.18</v>
      </c>
      <c r="J5893">
        <v>0.01</v>
      </c>
    </row>
    <row r="5894" spans="1:10" x14ac:dyDescent="0.3">
      <c r="A5894" t="str">
        <f>HYPERLINK("https://us2.cloudbeds.com/connect/10074733072513#/reservations/30688171147459?display=YR27TPRZ0&amp;reservation_id=30688171147459", "YR27TPRZ0")</f>
        <v>YR27TPRZ0</v>
      </c>
      <c r="B5894" t="s">
        <v>10</v>
      </c>
      <c r="C5894" t="s">
        <v>42</v>
      </c>
      <c r="D5894" t="str">
        <f>HYPERLINK("https://us2.cloudbeds.com/connect/10074733072513#/reservations/30688171147459?display=John%20Glynn&amp;reservation_id=30688171147459&amp;guest_id=30688171143422", "John Glynn")</f>
        <v>John Glynn</v>
      </c>
      <c r="E5894" t="s">
        <v>3183</v>
      </c>
      <c r="F5894" t="s">
        <v>2759</v>
      </c>
      <c r="G5894">
        <v>322.2</v>
      </c>
      <c r="H5894">
        <v>350.24</v>
      </c>
      <c r="I5894">
        <v>350.23</v>
      </c>
      <c r="J5894">
        <v>0.01</v>
      </c>
    </row>
    <row r="5895" spans="1:10" x14ac:dyDescent="0.3">
      <c r="A5895" t="str">
        <f>HYPERLINK("https://us2.cloudbeds.com/connect/10074733072513#/reservations/30687071813824?display=YR1CGFMWH&amp;reservation_id=30687071813824", "YR1CGFMWH")</f>
        <v>YR1CGFMWH</v>
      </c>
      <c r="B5895" t="s">
        <v>10</v>
      </c>
      <c r="C5895" t="s">
        <v>23</v>
      </c>
      <c r="D5895" t="str">
        <f>HYPERLINK("https://us2.cloudbeds.com/connect/10074733072513#/reservations/30687071813824?display=Terri%20Hanger&amp;reservation_id=30687071813824&amp;guest_id=30687059570860", "Terri Hanger")</f>
        <v>Terri Hanger</v>
      </c>
      <c r="E5895" t="s">
        <v>3184</v>
      </c>
      <c r="F5895" t="s">
        <v>3185</v>
      </c>
      <c r="G5895">
        <v>378</v>
      </c>
      <c r="H5895">
        <v>410.9</v>
      </c>
      <c r="I5895">
        <v>410.89</v>
      </c>
      <c r="J5895">
        <v>0.01</v>
      </c>
    </row>
    <row r="5896" spans="1:10" x14ac:dyDescent="0.3">
      <c r="A5896" t="str">
        <f>HYPERLINK("https://us2.cloudbeds.com/connect/10074733072513#/reservations/30687508938891?display=YR1NWCU1N&amp;reservation_id=30687508938891", "YR1NWCU1N")</f>
        <v>YR1NWCU1N</v>
      </c>
      <c r="B5896" t="s">
        <v>10</v>
      </c>
      <c r="C5896" t="s">
        <v>42</v>
      </c>
      <c r="D5896" t="str">
        <f>HYPERLINK("https://us2.cloudbeds.com/connect/10074733072513#/reservations/30687508938891?display=Deana%20Collins&amp;reservation_id=30687508938891&amp;guest_id=30687500558580", "Deana Collins")</f>
        <v>Deana Collins</v>
      </c>
      <c r="E5896" t="s">
        <v>3186</v>
      </c>
      <c r="F5896" t="s">
        <v>3048</v>
      </c>
      <c r="G5896">
        <v>129</v>
      </c>
      <c r="H5896">
        <v>140.22999999999999</v>
      </c>
      <c r="I5896">
        <v>140.22</v>
      </c>
      <c r="J5896">
        <v>0.01</v>
      </c>
    </row>
    <row r="5897" spans="1:10" x14ac:dyDescent="0.3">
      <c r="A5897" t="str">
        <f>HYPERLINK("https://us2.cloudbeds.com/connect/10074733072513#/reservations/30685898997979?display=YR0FRRUZF&amp;reservation_id=30685898997979", "YR0FRRUZF")</f>
        <v>YR0FRRUZF</v>
      </c>
      <c r="B5897" t="s">
        <v>10</v>
      </c>
      <c r="C5897" t="s">
        <v>20</v>
      </c>
      <c r="D5897" t="str">
        <f>HYPERLINK("https://us2.cloudbeds.com/connect/10074733072513#/reservations/30685898997979?display=Amanda%20Arnall&amp;reservation_id=30685898997979&amp;guest_id=30685898997974", "Amanda Arnall")</f>
        <v>Amanda Arnall</v>
      </c>
      <c r="E5897" t="s">
        <v>3187</v>
      </c>
      <c r="F5897" t="s">
        <v>2857</v>
      </c>
      <c r="G5897">
        <v>144.5</v>
      </c>
      <c r="H5897">
        <v>157.08000000000001</v>
      </c>
      <c r="I5897">
        <v>157.07</v>
      </c>
      <c r="J5897">
        <v>0.01</v>
      </c>
    </row>
    <row r="5898" spans="1:10" x14ac:dyDescent="0.3">
      <c r="A5898" t="str">
        <f>HYPERLINK("https://us2.cloudbeds.com/connect/10074733072513#/reservations/30688041083016?display=YR24J3JW8&amp;reservation_id=30688041083016", "YR24J3JW8")</f>
        <v>YR24J3JW8</v>
      </c>
      <c r="B5898" t="s">
        <v>10</v>
      </c>
      <c r="C5898" t="s">
        <v>42</v>
      </c>
      <c r="D5898" t="str">
        <f>HYPERLINK("https://us2.cloudbeds.com/connect/10074733072513#/reservations/30688041083016?display=Carla%20Martin&amp;reservation_id=30688041083016&amp;guest_id=30688041083011", "Carla Martin")</f>
        <v>Carla Martin</v>
      </c>
      <c r="E5898" t="s">
        <v>3189</v>
      </c>
      <c r="F5898" t="s">
        <v>2857</v>
      </c>
      <c r="G5898">
        <v>358</v>
      </c>
      <c r="H5898">
        <v>389.16</v>
      </c>
      <c r="I5898">
        <v>389.15</v>
      </c>
      <c r="J5898">
        <v>0.01</v>
      </c>
    </row>
    <row r="5899" spans="1:10" x14ac:dyDescent="0.3">
      <c r="A5899" t="str">
        <f>HYPERLINK("https://us2.cloudbeds.com/connect/10074733072513#/reservations/30686861799633?display=YR17ENA45&amp;reservation_id=30686861799633", "YR17ENA45")</f>
        <v>YR17ENA45</v>
      </c>
      <c r="B5899" t="s">
        <v>10</v>
      </c>
      <c r="C5899" t="s">
        <v>17</v>
      </c>
      <c r="D5899" t="str">
        <f>HYPERLINK("https://us2.cloudbeds.com/connect/10074733072513#/reservations/30686861799633?display=Marrielin%20Ofstad&amp;reservation_id=30686861799633&amp;guest_id=30686861799630", "Marrielin Ofstad")</f>
        <v>Marrielin Ofstad</v>
      </c>
      <c r="E5899" t="s">
        <v>3190</v>
      </c>
      <c r="F5899" t="s">
        <v>3191</v>
      </c>
      <c r="G5899">
        <v>298</v>
      </c>
      <c r="H5899">
        <v>323.94</v>
      </c>
      <c r="I5899">
        <v>323.93</v>
      </c>
      <c r="J5899">
        <v>0.01</v>
      </c>
    </row>
    <row r="5900" spans="1:10" x14ac:dyDescent="0.3">
      <c r="A5900" t="str">
        <f>HYPERLINK("https://us2.cloudbeds.com/connect/10074733072513#/reservations/30687050297484?display=YR1C8YHZ8&amp;reservation_id=30687050297484", "YR1C8YHZ8")</f>
        <v>YR1C8YHZ8</v>
      </c>
      <c r="B5900" t="s">
        <v>10</v>
      </c>
      <c r="C5900" t="s">
        <v>23</v>
      </c>
      <c r="D5900" t="str">
        <f>HYPERLINK("https://us2.cloudbeds.com/connect/10074733072513#/reservations/30687050297484?display=Terri%20Hanger&amp;reservation_id=30687050297484&amp;guest_id=30687050297481", "Terri Hanger")</f>
        <v>Terri Hanger</v>
      </c>
      <c r="E5900" t="s">
        <v>3184</v>
      </c>
      <c r="F5900" t="s">
        <v>3185</v>
      </c>
      <c r="G5900">
        <v>378</v>
      </c>
      <c r="H5900">
        <v>410.9</v>
      </c>
      <c r="I5900">
        <v>410.89</v>
      </c>
      <c r="J5900">
        <v>0.01</v>
      </c>
    </row>
    <row r="5901" spans="1:10" x14ac:dyDescent="0.3">
      <c r="A5901" t="str">
        <f>HYPERLINK("https://us2.cloudbeds.com/connect/10074733072513#/reservations/30687704842434?display=YR1SWJ73N&amp;reservation_id=30687704842434", "YR1SWJ73N")</f>
        <v>YR1SWJ73N</v>
      </c>
      <c r="B5901" t="s">
        <v>10</v>
      </c>
      <c r="C5901" t="s">
        <v>42</v>
      </c>
      <c r="D5901" t="str">
        <f>HYPERLINK("https://us2.cloudbeds.com/connect/10074733072513#/reservations/30687704842434?display=Shawna%20Li&amp;reservation_id=30687704842434&amp;guest_id=30687704838342", "Shawna Li")</f>
        <v>Shawna Li</v>
      </c>
      <c r="E5901" t="s">
        <v>3197</v>
      </c>
      <c r="F5901" t="s">
        <v>3198</v>
      </c>
      <c r="G5901">
        <v>298</v>
      </c>
      <c r="H5901">
        <v>323.94</v>
      </c>
      <c r="I5901">
        <v>323.93</v>
      </c>
      <c r="J5901">
        <v>0.01</v>
      </c>
    </row>
    <row r="5902" spans="1:10" x14ac:dyDescent="0.3">
      <c r="A5902" t="str">
        <f>HYPERLINK("https://us2.cloudbeds.com/connect/10074733072513#/reservations/30688041087110?display=YR24J3NZA&amp;reservation_id=30688041087110", "YR24J3NZA")</f>
        <v>YR24J3NZA</v>
      </c>
      <c r="B5902" t="s">
        <v>10</v>
      </c>
      <c r="C5902" t="s">
        <v>11</v>
      </c>
      <c r="D5902" t="str">
        <f>HYPERLINK("https://us2.cloudbeds.com/connect/10074733072513#/reservations/30688041087110?display=Rhonda%20Aue&amp;reservation_id=30688041087110&amp;guest_id=30688041083014", "Rhonda Aue")</f>
        <v>Rhonda Aue</v>
      </c>
      <c r="E5902" t="s">
        <v>3199</v>
      </c>
      <c r="F5902" t="s">
        <v>3200</v>
      </c>
      <c r="G5902">
        <v>111.82</v>
      </c>
      <c r="H5902">
        <v>121.56</v>
      </c>
      <c r="I5902">
        <v>121.55</v>
      </c>
      <c r="J5902">
        <v>0.01</v>
      </c>
    </row>
    <row r="5903" spans="1:10" x14ac:dyDescent="0.3">
      <c r="A5903" t="str">
        <f>HYPERLINK("https://us2.cloudbeds.com/connect/10074733072513#/reservations/30688577024142?display=YR2X90VJE&amp;reservation_id=30688577024142", "YR2X90VJE")</f>
        <v>YR2X90VJE</v>
      </c>
      <c r="B5903" t="s">
        <v>10</v>
      </c>
      <c r="C5903" t="s">
        <v>42</v>
      </c>
      <c r="D5903" t="str">
        <f>HYPERLINK("https://us2.cloudbeds.com/connect/10074733072513#/reservations/30688577024142?display=Drew%20Christensen&amp;reservation_id=30688577024142&amp;guest_id=30688577024140", "Drew Christensen")</f>
        <v>Drew Christensen</v>
      </c>
      <c r="E5903" t="s">
        <v>3205</v>
      </c>
      <c r="F5903" t="s">
        <v>2857</v>
      </c>
      <c r="G5903">
        <v>149</v>
      </c>
      <c r="H5903">
        <v>161.97</v>
      </c>
      <c r="I5903">
        <v>161.96</v>
      </c>
      <c r="J5903">
        <v>0.01</v>
      </c>
    </row>
    <row r="5904" spans="1:10" x14ac:dyDescent="0.3">
      <c r="A5904" t="str">
        <f>HYPERLINK("https://us2.cloudbeds.com/connect/10074733072513#/reservations/30687693738201?display=YR1SN77CQ&amp;reservation_id=30687693738201", "YR1SN77CQ")</f>
        <v>YR1SN77CQ</v>
      </c>
      <c r="B5904" t="s">
        <v>10</v>
      </c>
      <c r="C5904" t="s">
        <v>42</v>
      </c>
      <c r="D5904" t="str">
        <f>HYPERLINK("https://us2.cloudbeds.com/connect/10074733072513#/reservations/30687693738201?display=Alex%20Schmitt&amp;reservation_id=30687693738201&amp;guest_id=30687687745665", "Alex Schmitt")</f>
        <v>Alex Schmitt</v>
      </c>
      <c r="E5904" t="s">
        <v>3207</v>
      </c>
      <c r="F5904" t="s">
        <v>3198</v>
      </c>
      <c r="G5904">
        <v>139</v>
      </c>
      <c r="H5904">
        <v>151.1</v>
      </c>
      <c r="I5904">
        <v>151.09</v>
      </c>
      <c r="J5904">
        <v>0.01</v>
      </c>
    </row>
    <row r="5905" spans="1:10" x14ac:dyDescent="0.3">
      <c r="A5905" t="str">
        <f>HYPERLINK("https://us2.cloudbeds.com/connect/10074733072513#/reservations/30688287715553?display=YR2AT2H4G&amp;reservation_id=30688287715553", "YR2AT2H4G")</f>
        <v>YR2AT2H4G</v>
      </c>
      <c r="B5905" t="s">
        <v>10</v>
      </c>
      <c r="C5905" t="s">
        <v>42</v>
      </c>
      <c r="D5905" t="str">
        <f>HYPERLINK("https://us2.cloudbeds.com/connect/10074733072513#/reservations/30688287715553?display=Giday%20Shega&amp;reservation_id=30688287715553&amp;guest_id=30688287715535", "Giday Shega")</f>
        <v>Giday Shega</v>
      </c>
      <c r="E5905" t="s">
        <v>3208</v>
      </c>
      <c r="F5905" t="s">
        <v>3135</v>
      </c>
      <c r="G5905">
        <v>139</v>
      </c>
      <c r="H5905">
        <v>151.1</v>
      </c>
      <c r="I5905">
        <v>151.09</v>
      </c>
      <c r="J5905">
        <v>0.01</v>
      </c>
    </row>
    <row r="5906" spans="1:10" x14ac:dyDescent="0.3">
      <c r="A5906" t="str">
        <f>HYPERLINK("https://us2.cloudbeds.com/connect/10074733072513#/reservations/30687540216053?display=YR1ZPP81G&amp;reservation_id=30687540216053", "YR1ZPP81G")</f>
        <v>YR1ZPP81G</v>
      </c>
      <c r="B5906" t="s">
        <v>10</v>
      </c>
      <c r="C5906" t="s">
        <v>11</v>
      </c>
      <c r="D5906" t="str">
        <f>HYPERLINK("https://us2.cloudbeds.com/connect/10074733072513#/reservations/30687540216053?display=Mason%20Pitts&amp;reservation_id=30687540216053&amp;guest_id=30684238549236", "Mason Pitts")</f>
        <v>Mason Pitts</v>
      </c>
      <c r="E5906" t="s">
        <v>2955</v>
      </c>
      <c r="F5906" t="s">
        <v>3204</v>
      </c>
      <c r="G5906">
        <v>169.36</v>
      </c>
      <c r="H5906">
        <v>184.1</v>
      </c>
      <c r="I5906">
        <v>184.09</v>
      </c>
      <c r="J5906">
        <v>0.01</v>
      </c>
    </row>
    <row r="5907" spans="1:10" x14ac:dyDescent="0.3">
      <c r="A5907" t="str">
        <f>HYPERLINK("https://us2.cloudbeds.com/connect/10074733072513#/reservations/30687307047100?display=YR1XR4W4Y&amp;reservation_id=30687307047100", "YR1XR4W4Y")</f>
        <v>YR1XR4W4Y</v>
      </c>
      <c r="B5907" t="s">
        <v>10</v>
      </c>
      <c r="C5907" t="s">
        <v>42</v>
      </c>
      <c r="D5907" t="str">
        <f>HYPERLINK("https://us2.cloudbeds.com/connect/10074733072513#/reservations/30687307047100?display=Mark%20Richardson&amp;reservation_id=30687307047100&amp;guest_id=30686508482778", "Mark Richardson")</f>
        <v>Mark Richardson</v>
      </c>
      <c r="E5907" t="s">
        <v>3209</v>
      </c>
      <c r="F5907" t="s">
        <v>3168</v>
      </c>
      <c r="G5907">
        <v>158</v>
      </c>
      <c r="H5907">
        <v>171.76</v>
      </c>
      <c r="I5907">
        <v>171.75</v>
      </c>
      <c r="J5907">
        <v>0.01</v>
      </c>
    </row>
    <row r="5908" spans="1:10" x14ac:dyDescent="0.3">
      <c r="A5908" t="str">
        <f>HYPERLINK("https://us2.cloudbeds.com/connect/10074733072513#/reservations/30688488415443?display=YR2G0A9XB&amp;reservation_id=30688488415443", "YR2G0A9XB")</f>
        <v>YR2G0A9XB</v>
      </c>
      <c r="B5908" t="s">
        <v>10</v>
      </c>
      <c r="C5908" t="s">
        <v>42</v>
      </c>
      <c r="D5908" t="str">
        <f>HYPERLINK("https://us2.cloudbeds.com/connect/10074733072513#/reservations/30688488415443?display=Pamela%20Nordmark&amp;reservation_id=30688488415443&amp;guest_id=30688488411382", "Pamela Nordmark")</f>
        <v>Pamela Nordmark</v>
      </c>
      <c r="E5908" t="s">
        <v>3213</v>
      </c>
      <c r="F5908" t="s">
        <v>2765</v>
      </c>
      <c r="G5908">
        <v>398</v>
      </c>
      <c r="H5908">
        <v>432.64</v>
      </c>
      <c r="I5908">
        <v>432.63</v>
      </c>
      <c r="J5908">
        <v>0.01</v>
      </c>
    </row>
    <row r="5909" spans="1:10" x14ac:dyDescent="0.3">
      <c r="A5909" t="str">
        <f>HYPERLINK("https://us2.cloudbeds.com/connect/10074733072513#/reservations/30687481286864?display=YR1N92EUG&amp;reservation_id=30687481286864", "YR1N92EUG")</f>
        <v>YR1N92EUG</v>
      </c>
      <c r="B5909" t="s">
        <v>10</v>
      </c>
      <c r="C5909" t="s">
        <v>42</v>
      </c>
      <c r="D5909" t="str">
        <f>HYPERLINK("https://us2.cloudbeds.com/connect/10074733072513#/reservations/30687481286864?display=Mark%20Richardson&amp;reservation_id=30687481286864&amp;guest_id=30686508482778", "Mark Richardson")</f>
        <v>Mark Richardson</v>
      </c>
      <c r="E5909" t="s">
        <v>3209</v>
      </c>
      <c r="F5909" t="s">
        <v>3204</v>
      </c>
      <c r="G5909">
        <v>79</v>
      </c>
      <c r="H5909">
        <v>85.88</v>
      </c>
      <c r="I5909">
        <v>85.87</v>
      </c>
      <c r="J5909">
        <v>0.01</v>
      </c>
    </row>
    <row r="5910" spans="1:10" x14ac:dyDescent="0.3">
      <c r="A5910" t="str">
        <f>HYPERLINK("https://us2.cloudbeds.com/connect/10074733072513#/reservations/30687472050388?display=YR1N19EA9&amp;reservation_id=30687472050388", "YR1N19EA9")</f>
        <v>YR1N19EA9</v>
      </c>
      <c r="B5910" t="s">
        <v>10</v>
      </c>
      <c r="C5910" t="s">
        <v>42</v>
      </c>
      <c r="D5910" t="str">
        <f>HYPERLINK("https://us2.cloudbeds.com/connect/10074733072513#/reservations/30687472050388?display=Barb%20Guthmiller&amp;reservation_id=30687472050388&amp;guest_id=30670703190145", "Barb Guthmiller")</f>
        <v>Barb Guthmiller</v>
      </c>
      <c r="E5910" t="s">
        <v>1876</v>
      </c>
      <c r="F5910" t="s">
        <v>3204</v>
      </c>
      <c r="G5910">
        <v>89</v>
      </c>
      <c r="H5910">
        <v>96.75</v>
      </c>
      <c r="I5910">
        <v>96.74</v>
      </c>
      <c r="J5910">
        <v>0.01</v>
      </c>
    </row>
    <row r="5911" spans="1:10" x14ac:dyDescent="0.3">
      <c r="A5911" t="str">
        <f>HYPERLINK("https://us2.cloudbeds.com/connect/10074733072513#/reservations/30688297246929?display=YR2B43ZX2&amp;reservation_id=30688297246929", "YR2B43ZX2")</f>
        <v>YR2B43ZX2</v>
      </c>
      <c r="B5911" t="s">
        <v>10</v>
      </c>
      <c r="C5911" t="s">
        <v>42</v>
      </c>
      <c r="D5911" t="str">
        <f>HYPERLINK("https://us2.cloudbeds.com/connect/10074733072513#/reservations/30688297246929?display=Celest%20Makwardt&amp;reservation_id=30688297246929&amp;guest_id=30688297242845", "Celest Makwardt")</f>
        <v>Celest Makwardt</v>
      </c>
      <c r="E5911" t="s">
        <v>3215</v>
      </c>
      <c r="F5911" t="s">
        <v>3168</v>
      </c>
      <c r="G5911">
        <v>159</v>
      </c>
      <c r="H5911">
        <v>172.84</v>
      </c>
      <c r="I5911">
        <v>172.83</v>
      </c>
      <c r="J5911">
        <v>0.01</v>
      </c>
    </row>
    <row r="5912" spans="1:10" x14ac:dyDescent="0.3">
      <c r="A5912" t="str">
        <f>HYPERLINK("https://us2.cloudbeds.com/connect/10074733072513#/reservations/30687500558582?display=YR1NPANKV&amp;reservation_id=30687500558582", "YR1NPANKV")</f>
        <v>YR1NPANKV</v>
      </c>
      <c r="B5912" t="s">
        <v>10</v>
      </c>
      <c r="C5912" t="s">
        <v>121</v>
      </c>
      <c r="D5912" t="str">
        <f>HYPERLINK("https://us2.cloudbeds.com/connect/10074733072513#/reservations/30687500558582?display=Keith%20Alesch&amp;reservation_id=30687500558582&amp;guest_id=30687500558577", "Keith Alesch")</f>
        <v>Keith Alesch</v>
      </c>
      <c r="E5912" t="s">
        <v>3217</v>
      </c>
      <c r="F5912" t="s">
        <v>3204</v>
      </c>
      <c r="G5912">
        <v>139</v>
      </c>
      <c r="H5912">
        <v>151.1</v>
      </c>
      <c r="I5912">
        <v>151.09</v>
      </c>
      <c r="J5912">
        <v>0.01</v>
      </c>
    </row>
    <row r="5913" spans="1:10" x14ac:dyDescent="0.3">
      <c r="A5913" t="str">
        <f>HYPERLINK("https://us2.cloudbeds.com/connect/10074733072513#/reservations/30686688366769?display=YR130F99R&amp;reservation_id=30686688366769", "YR130F99R")</f>
        <v>YR130F99R</v>
      </c>
      <c r="B5913" t="s">
        <v>10</v>
      </c>
      <c r="C5913" t="s">
        <v>42</v>
      </c>
      <c r="D5913" t="str">
        <f>HYPERLINK("https://us2.cloudbeds.com/connect/10074733072513#/reservations/30686688366769?display=Tara%20Mcgovern%20Hannah%20Westall&amp;reservation_id=30686688366769&amp;guest_id=30686674944159", "Tara Mcgovern Hannah Westall")</f>
        <v>Tara Mcgovern Hannah Westall</v>
      </c>
      <c r="E5913" t="s">
        <v>3218</v>
      </c>
      <c r="F5913" t="s">
        <v>2840</v>
      </c>
      <c r="G5913">
        <v>418</v>
      </c>
      <c r="H5913">
        <v>454.38</v>
      </c>
      <c r="I5913">
        <v>454.37</v>
      </c>
      <c r="J5913">
        <v>0.01</v>
      </c>
    </row>
    <row r="5914" spans="1:10" x14ac:dyDescent="0.3">
      <c r="A5914" t="str">
        <f>HYPERLINK("https://us2.cloudbeds.com/connect/10074733072513#/reservations/30688151818376?display=YR27DFWB7&amp;reservation_id=30688151818376", "YR27DFWB7")</f>
        <v>YR27DFWB7</v>
      </c>
      <c r="B5914" t="s">
        <v>10</v>
      </c>
      <c r="C5914" t="s">
        <v>42</v>
      </c>
      <c r="D5914" t="str">
        <f>HYPERLINK("https://us2.cloudbeds.com/connect/10074733072513#/reservations/30688151818376?display=Cearra%20Barnhartp&amp;reservation_id=30688151818376&amp;guest_id=30688151818373", "Cearra Barnhartp")</f>
        <v>Cearra Barnhartp</v>
      </c>
      <c r="E5914" t="s">
        <v>3219</v>
      </c>
      <c r="F5914" t="s">
        <v>2759</v>
      </c>
      <c r="G5914">
        <v>219</v>
      </c>
      <c r="H5914">
        <v>238.06</v>
      </c>
      <c r="I5914">
        <v>238.05</v>
      </c>
      <c r="J5914">
        <v>0.01</v>
      </c>
    </row>
    <row r="5915" spans="1:10" x14ac:dyDescent="0.3">
      <c r="A5915" t="str">
        <f>HYPERLINK("https://us2.cloudbeds.com/connect/10074733072513#/reservations/30686661832864?display=YR12B2UU3&amp;reservation_id=30686661832864", "YR12B2UU3")</f>
        <v>YR12B2UU3</v>
      </c>
      <c r="B5915" t="s">
        <v>10</v>
      </c>
      <c r="C5915" t="s">
        <v>42</v>
      </c>
      <c r="D5915" t="str">
        <f>HYPERLINK("https://us2.cloudbeds.com/connect/10074733072513#/reservations/30686661832864?display=Cindy%20Zeuhalke&amp;reservation_id=30686661832864&amp;guest_id=30686661832835", "Cindy Zeuhalke")</f>
        <v>Cindy Zeuhalke</v>
      </c>
      <c r="E5915" t="s">
        <v>3220</v>
      </c>
      <c r="F5915" t="s">
        <v>2765</v>
      </c>
      <c r="G5915">
        <v>418</v>
      </c>
      <c r="H5915">
        <v>454.38</v>
      </c>
      <c r="I5915">
        <v>454.37</v>
      </c>
      <c r="J5915">
        <v>0.01</v>
      </c>
    </row>
    <row r="5916" spans="1:10" x14ac:dyDescent="0.3">
      <c r="A5916" t="str">
        <f>HYPERLINK("https://us2.cloudbeds.com/connect/10074733072513#/reservations/30687487221966?display=YR1NE2JW2&amp;reservation_id=30687487221966", "YR1NE2JW2")</f>
        <v>YR1NE2JW2</v>
      </c>
      <c r="B5916" t="s">
        <v>10</v>
      </c>
      <c r="C5916" t="s">
        <v>42</v>
      </c>
      <c r="D5916" t="str">
        <f>HYPERLINK("https://us2.cloudbeds.com/connect/10074733072513#/reservations/30687487221966?display=John%20Jagiela&amp;reservation_id=30687487221966&amp;guest_id=30649758683317", "John Jagiela")</f>
        <v>John Jagiela</v>
      </c>
      <c r="E5916" t="s">
        <v>3222</v>
      </c>
      <c r="F5916" t="s">
        <v>3204</v>
      </c>
      <c r="G5916">
        <v>109</v>
      </c>
      <c r="H5916">
        <v>118.49</v>
      </c>
      <c r="I5916">
        <v>118.48</v>
      </c>
      <c r="J5916">
        <v>0.01</v>
      </c>
    </row>
    <row r="5917" spans="1:10" x14ac:dyDescent="0.3">
      <c r="A5917" t="str">
        <f>HYPERLINK("https://us2.cloudbeds.com/connect/10074733072513#/reservations/30687313871070?display=YR1XWTSDK&amp;reservation_id=30687313871070", "YR1XWTSDK")</f>
        <v>YR1XWTSDK</v>
      </c>
      <c r="B5917" t="s">
        <v>10</v>
      </c>
      <c r="C5917" t="s">
        <v>42</v>
      </c>
      <c r="D5917" t="str">
        <f>HYPERLINK("https://us2.cloudbeds.com/connect/10074733072513#/reservations/30687313871070?display=Ian%20Moran&amp;reservation_id=30687313871070&amp;guest_id=30687313866978", "Ian Moran")</f>
        <v>Ian Moran</v>
      </c>
      <c r="E5917" t="s">
        <v>3224</v>
      </c>
      <c r="F5917" t="s">
        <v>3168</v>
      </c>
      <c r="G5917">
        <v>238</v>
      </c>
      <c r="H5917">
        <v>258.72000000000003</v>
      </c>
      <c r="I5917">
        <v>258.70999999999998</v>
      </c>
      <c r="J5917">
        <v>0.01</v>
      </c>
    </row>
    <row r="5918" spans="1:10" x14ac:dyDescent="0.3">
      <c r="A5918" t="str">
        <f>HYPERLINK("https://us2.cloudbeds.com/connect/10074733072513#/reservations/30688500408454?display=YR2GAE0DU&amp;reservation_id=30688500408454", "YR2GAE0DU")</f>
        <v>YR2GAE0DU</v>
      </c>
      <c r="B5918" t="s">
        <v>10</v>
      </c>
      <c r="C5918" t="s">
        <v>42</v>
      </c>
      <c r="D5918" t="str">
        <f>HYPERLINK("https://us2.cloudbeds.com/connect/10074733072513#/reservations/30688500408454?display=Dillon%20Koester&amp;reservation_id=30688500408454&amp;guest_id=30688500408449", "Dillon Koester")</f>
        <v>Dillon Koester</v>
      </c>
      <c r="E5918" t="s">
        <v>3226</v>
      </c>
      <c r="F5918" t="s">
        <v>3135</v>
      </c>
      <c r="G5918">
        <v>129</v>
      </c>
      <c r="H5918">
        <v>140.22999999999999</v>
      </c>
      <c r="I5918">
        <v>140.22</v>
      </c>
      <c r="J5918">
        <v>0.01</v>
      </c>
    </row>
    <row r="5919" spans="1:10" x14ac:dyDescent="0.3">
      <c r="A5919" t="str">
        <f>HYPERLINK("https://us2.cloudbeds.com/connect/10074733072513#/reservations/30686690947287?display=YR132Y2UB&amp;reservation_id=30686690947287", "YR132Y2UB")</f>
        <v>YR132Y2UB</v>
      </c>
      <c r="B5919" t="s">
        <v>10</v>
      </c>
      <c r="C5919" t="s">
        <v>11</v>
      </c>
      <c r="D5919" t="str">
        <f>HYPERLINK("https://us2.cloudbeds.com/connect/10074733072513#/reservations/30686690947287?display=Lloyd%20Epperly&amp;reservation_id=30686690947287&amp;guest_id=30686690947282", "Lloyd Epperly")</f>
        <v>Lloyd Epperly</v>
      </c>
      <c r="E5919" t="s">
        <v>3227</v>
      </c>
      <c r="F5919" t="s">
        <v>2945</v>
      </c>
      <c r="G5919">
        <v>141.55000000000001</v>
      </c>
      <c r="H5919">
        <v>153.87</v>
      </c>
      <c r="I5919">
        <v>153.86000000000001</v>
      </c>
      <c r="J5919">
        <v>0.01</v>
      </c>
    </row>
    <row r="5920" spans="1:10" x14ac:dyDescent="0.3">
      <c r="A5920" t="str">
        <f>HYPERLINK("https://us2.cloudbeds.com/connect/10074733072513#/reservations/30686673842368?display=YR12B31MB&amp;reservation_id=30686673842368", "YR12B31MB")</f>
        <v>YR12B31MB</v>
      </c>
      <c r="B5920" t="s">
        <v>10</v>
      </c>
      <c r="C5920" t="s">
        <v>42</v>
      </c>
      <c r="D5920" t="str">
        <f>HYPERLINK("https://us2.cloudbeds.com/connect/10074733072513#/reservations/30686673842368?display=Dennis%20Calhoon&amp;reservation_id=30686673842368&amp;guest_id=30686661836961", "Dennis Calhoon")</f>
        <v>Dennis Calhoon</v>
      </c>
      <c r="E5920" t="s">
        <v>3228</v>
      </c>
      <c r="F5920" t="s">
        <v>2765</v>
      </c>
      <c r="G5920">
        <v>378</v>
      </c>
      <c r="H5920">
        <v>410.9</v>
      </c>
      <c r="I5920">
        <v>410.89</v>
      </c>
      <c r="J5920">
        <v>0.01</v>
      </c>
    </row>
    <row r="5921" spans="1:10" x14ac:dyDescent="0.3">
      <c r="A5921" t="str">
        <f>HYPERLINK("https://us2.cloudbeds.com/connect/10074733072513#/reservations/30687515402465?display=YR1Z4RPCJ&amp;reservation_id=30687515402465", "YR1Z4RPCJ")</f>
        <v>YR1Z4RPCJ</v>
      </c>
      <c r="B5921" t="s">
        <v>10</v>
      </c>
      <c r="C5921" t="s">
        <v>42</v>
      </c>
      <c r="D5921" t="str">
        <f>HYPERLINK("https://us2.cloudbeds.com/connect/10074733072513#/reservations/30687515402465?display=Rochelle%20Welburg&amp;reservation_id=30687515402465&amp;guest_id=30687508942984", "Rochelle Welburg")</f>
        <v>Rochelle Welburg</v>
      </c>
      <c r="E5921" t="s">
        <v>3229</v>
      </c>
      <c r="F5921" t="s">
        <v>3048</v>
      </c>
      <c r="G5921">
        <v>139</v>
      </c>
      <c r="H5921">
        <v>151.1</v>
      </c>
      <c r="I5921">
        <v>151.09</v>
      </c>
      <c r="J5921">
        <v>0.01</v>
      </c>
    </row>
    <row r="5922" spans="1:10" x14ac:dyDescent="0.3">
      <c r="A5922" t="str">
        <f>HYPERLINK("https://us2.cloudbeds.com/connect/10074733072513#/reservations/30688507125905?display=YR2GG2UT1&amp;reservation_id=30688507125905", "YR2GG2UT1")</f>
        <v>YR2GG2UT1</v>
      </c>
      <c r="B5922" t="s">
        <v>10</v>
      </c>
      <c r="C5922" t="s">
        <v>42</v>
      </c>
      <c r="D5922" t="str">
        <f>HYPERLINK("https://us2.cloudbeds.com/connect/10074733072513#/reservations/30688507125905?display=Jeannena%20Vanderwaal&amp;reservation_id=30688507125905&amp;guest_id=30688507125900", "Jeannena Vanderwaal")</f>
        <v>Jeannena Vanderwaal</v>
      </c>
      <c r="E5922" t="s">
        <v>3230</v>
      </c>
      <c r="F5922" t="s">
        <v>2765</v>
      </c>
      <c r="G5922">
        <v>199</v>
      </c>
      <c r="H5922">
        <v>216.32</v>
      </c>
      <c r="I5922">
        <v>216.31</v>
      </c>
      <c r="J5922">
        <v>0.01</v>
      </c>
    </row>
    <row r="5923" spans="1:10" x14ac:dyDescent="0.3">
      <c r="A5923" t="str">
        <f>HYPERLINK("https://us2.cloudbeds.com/connect/10074733072513#/reservations/30688514539750?display=YR2GMB7R0&amp;reservation_id=30688514539750", "YR2GMB7R0")</f>
        <v>YR2GMB7R0</v>
      </c>
      <c r="B5923" t="s">
        <v>10</v>
      </c>
      <c r="C5923" t="s">
        <v>42</v>
      </c>
      <c r="D5923" t="str">
        <f>HYPERLINK("https://us2.cloudbeds.com/connect/10074733072513#/reservations/30688514539750?display=Levi%20Whitmer&amp;reservation_id=30688514539750&amp;guest_id=30688514539740", "Levi Whitmer")</f>
        <v>Levi Whitmer</v>
      </c>
      <c r="E5923" t="s">
        <v>3231</v>
      </c>
      <c r="F5923" t="s">
        <v>2765</v>
      </c>
      <c r="G5923">
        <v>149</v>
      </c>
      <c r="H5923">
        <v>161.97</v>
      </c>
      <c r="I5923">
        <v>161.96</v>
      </c>
      <c r="J5923">
        <v>0.01</v>
      </c>
    </row>
    <row r="5924" spans="1:10" x14ac:dyDescent="0.3">
      <c r="A5924" t="str">
        <f>HYPERLINK("https://us2.cloudbeds.com/connect/10074733072513#/reservations/30685407215831?display=YR0395C54&amp;reservation_id=30685407215831", "YR0395C54")</f>
        <v>YR0395C54</v>
      </c>
      <c r="B5924" t="s">
        <v>10</v>
      </c>
      <c r="C5924" t="s">
        <v>42</v>
      </c>
      <c r="D5924" t="str">
        <f>HYPERLINK("https://us2.cloudbeds.com/connect/10074733072513#/reservations/30685407215831?display=Judy%20Casey-Sands&amp;reservation_id=30685407215831&amp;guest_id=30685407215826", "Judy Casey-Sands")</f>
        <v>Judy Casey-Sands</v>
      </c>
      <c r="E5924" t="s">
        <v>3232</v>
      </c>
      <c r="F5924" t="s">
        <v>3196</v>
      </c>
      <c r="G5924">
        <v>119</v>
      </c>
      <c r="H5924">
        <v>129.36000000000001</v>
      </c>
      <c r="I5924">
        <v>129.35</v>
      </c>
      <c r="J5924">
        <v>0.01</v>
      </c>
    </row>
    <row r="5925" spans="1:10" x14ac:dyDescent="0.3">
      <c r="A5925" t="str">
        <f>HYPERLINK("https://us2.cloudbeds.com/connect/10074733072513#/reservations/30688460112036?display=YR2F9EN9B&amp;reservation_id=30688460112036", "YR2F9EN9B")</f>
        <v>YR2F9EN9B</v>
      </c>
      <c r="B5925" t="s">
        <v>10</v>
      </c>
      <c r="C5925" t="s">
        <v>42</v>
      </c>
      <c r="D5925" t="str">
        <f>HYPERLINK("https://us2.cloudbeds.com/connect/10074733072513#/reservations/30688460112036?display=Katlyn%20Steeneck&amp;reservation_id=30688460112036&amp;guest_id=30688460112031", "Katlyn Steeneck")</f>
        <v>Katlyn Steeneck</v>
      </c>
      <c r="E5925" t="s">
        <v>3234</v>
      </c>
      <c r="F5925" t="s">
        <v>2765</v>
      </c>
      <c r="G5925">
        <v>378</v>
      </c>
      <c r="H5925">
        <v>410.9</v>
      </c>
      <c r="I5925">
        <v>410.89</v>
      </c>
      <c r="J5925">
        <v>0.01</v>
      </c>
    </row>
    <row r="5926" spans="1:10" x14ac:dyDescent="0.3">
      <c r="A5926" t="str">
        <f>HYPERLINK("https://us2.cloudbeds.com/connect/10074733072513#/reservations/30687722680542?display=YR1TEKJCD&amp;reservation_id=30687722680542", "YR1TEKJCD")</f>
        <v>YR1TEKJCD</v>
      </c>
      <c r="B5926" t="s">
        <v>10</v>
      </c>
      <c r="C5926" t="s">
        <v>11</v>
      </c>
      <c r="D5926" t="str">
        <f>HYPERLINK("https://us2.cloudbeds.com/connect/10074733072513#/reservations/30687722680542?display=Yuan%20Sun&amp;reservation_id=30687722680542&amp;guest_id=30687722676449", "Yuan Sun")</f>
        <v>Yuan Sun</v>
      </c>
      <c r="E5926" t="s">
        <v>3235</v>
      </c>
      <c r="F5926" t="s">
        <v>3212</v>
      </c>
      <c r="G5926">
        <v>642.6</v>
      </c>
      <c r="H5926">
        <v>698.52</v>
      </c>
      <c r="I5926">
        <v>698.51</v>
      </c>
      <c r="J5926">
        <v>0.01</v>
      </c>
    </row>
    <row r="5927" spans="1:10" x14ac:dyDescent="0.3">
      <c r="A5927" t="str">
        <f>HYPERLINK("https://us2.cloudbeds.com/connect/10074733072513#/reservations/30687271170300?display=YR1HTTYDT&amp;reservation_id=30687271170300", "YR1HTTYDT")</f>
        <v>YR1HTTYDT</v>
      </c>
      <c r="B5927" t="s">
        <v>10</v>
      </c>
      <c r="C5927" t="s">
        <v>42</v>
      </c>
      <c r="D5927" t="str">
        <f>HYPERLINK("https://us2.cloudbeds.com/connect/10074733072513#/reservations/30687271170300?display=Cameron%20Olson&amp;reservation_id=30687271170300&amp;guest_id=30687271170295", "Cameron Olson")</f>
        <v>Cameron Olson</v>
      </c>
      <c r="E5927" t="s">
        <v>3236</v>
      </c>
      <c r="F5927" t="s">
        <v>3168</v>
      </c>
      <c r="G5927">
        <v>149</v>
      </c>
      <c r="H5927">
        <v>161.97</v>
      </c>
      <c r="I5927">
        <v>161.96</v>
      </c>
      <c r="J5927">
        <v>0.01</v>
      </c>
    </row>
    <row r="5928" spans="1:10" x14ac:dyDescent="0.3">
      <c r="A5928" t="str">
        <f>HYPERLINK("https://us2.cloudbeds.com/connect/10074733072513#/reservations/30687264039079?display=YR1HNT709&amp;reservation_id=30687264039079", "YR1HNT709")</f>
        <v>YR1HNT709</v>
      </c>
      <c r="B5928" t="s">
        <v>10</v>
      </c>
      <c r="C5928" t="s">
        <v>42</v>
      </c>
      <c r="D5928" t="str">
        <f>HYPERLINK("https://us2.cloudbeds.com/connect/10074733072513#/reservations/30687264039079?display=Melinda%20Salas&amp;reservation_id=30687264039079&amp;guest_id=30687264039076", "Melinda Salas")</f>
        <v>Melinda Salas</v>
      </c>
      <c r="E5928" t="s">
        <v>3237</v>
      </c>
      <c r="F5928" t="s">
        <v>3168</v>
      </c>
      <c r="G5928">
        <v>149</v>
      </c>
      <c r="H5928">
        <v>161.97</v>
      </c>
      <c r="I5928">
        <v>161.96</v>
      </c>
      <c r="J5928">
        <v>0.01</v>
      </c>
    </row>
    <row r="5929" spans="1:10" x14ac:dyDescent="0.3">
      <c r="A5929" t="str">
        <f>HYPERLINK("https://us2.cloudbeds.com/connect/10074733072513#/reservations/30687257256146?display=YR1HX5FDS&amp;reservation_id=30687257256146", "YR1HX5FDS")</f>
        <v>YR1HX5FDS</v>
      </c>
      <c r="B5929" t="s">
        <v>10</v>
      </c>
      <c r="C5929" t="s">
        <v>42</v>
      </c>
      <c r="D5929" t="str">
        <f>HYPERLINK("https://us2.cloudbeds.com/connect/10074733072513#/reservations/30687257256146?display=Tanni%20Ross&amp;reservation_id=30687257256146&amp;guest_id=30687257256141", "Tanni Ross")</f>
        <v>Tanni Ross</v>
      </c>
      <c r="E5929" t="s">
        <v>3238</v>
      </c>
      <c r="F5929" t="s">
        <v>3168</v>
      </c>
      <c r="G5929">
        <v>74.5</v>
      </c>
      <c r="H5929">
        <v>80.989999999999995</v>
      </c>
      <c r="I5929">
        <v>80.98</v>
      </c>
      <c r="J5929">
        <v>0.01</v>
      </c>
    </row>
    <row r="5930" spans="1:10" x14ac:dyDescent="0.3">
      <c r="A5930" t="str">
        <f>HYPERLINK("https://us2.cloudbeds.com/connect/10074733072513#/reservations/30687219925202?display=YR1GJMMD4&amp;reservation_id=30687219925202", "YR1GJMMD4")</f>
        <v>YR1GJMMD4</v>
      </c>
      <c r="B5930" t="s">
        <v>10</v>
      </c>
      <c r="C5930" t="s">
        <v>42</v>
      </c>
      <c r="D5930" t="str">
        <f>HYPERLINK("https://us2.cloudbeds.com/connect/10074733072513#/reservations/30687219925202?display=Tom%20Frantzen&amp;reservation_id=30687219925202&amp;guest_id=30687219925200", "Tom Frantzen")</f>
        <v>Tom Frantzen</v>
      </c>
      <c r="E5930" t="s">
        <v>3239</v>
      </c>
      <c r="F5930" t="s">
        <v>2805</v>
      </c>
      <c r="G5930">
        <v>278</v>
      </c>
      <c r="H5930">
        <v>302.2</v>
      </c>
      <c r="I5930">
        <v>302.19</v>
      </c>
      <c r="J5930">
        <v>0.01</v>
      </c>
    </row>
    <row r="5931" spans="1:10" x14ac:dyDescent="0.3">
      <c r="A5931" t="str">
        <f>HYPERLINK("https://us2.cloudbeds.com/connect/10074733072513#/reservations/30688164585647?display=YR27Z8867&amp;reservation_id=30688164585647", "YR27Z8867")</f>
        <v>YR27Z8867</v>
      </c>
      <c r="B5931" t="s">
        <v>10</v>
      </c>
      <c r="C5931" t="s">
        <v>121</v>
      </c>
      <c r="D5931" t="str">
        <f>HYPERLINK("https://us2.cloudbeds.com/connect/10074733072513#/reservations/30688164585647?display=Candace%20Randen&amp;reservation_id=30688164585647&amp;guest_id=30688164585643", "Candace Randen")</f>
        <v>Candace Randen</v>
      </c>
      <c r="E5931" t="s">
        <v>3240</v>
      </c>
      <c r="F5931" t="s">
        <v>2759</v>
      </c>
      <c r="G5931">
        <v>199</v>
      </c>
      <c r="H5931">
        <v>216.32</v>
      </c>
      <c r="I5931">
        <v>216.31</v>
      </c>
      <c r="J5931">
        <v>0.01</v>
      </c>
    </row>
    <row r="5932" spans="1:10" x14ac:dyDescent="0.3">
      <c r="A5932" t="str">
        <f>HYPERLINK("https://us2.cloudbeds.com/connect/10074733072513#/reservations/30684757008524?display=YQWJYTCUD&amp;reservation_id=30684757008524", "YQWJYTCUD")</f>
        <v>YQWJYTCUD</v>
      </c>
      <c r="B5932" t="s">
        <v>10</v>
      </c>
      <c r="C5932" t="s">
        <v>20</v>
      </c>
      <c r="D5932" t="str">
        <f>HYPERLINK("https://us2.cloudbeds.com/connect/10074733072513#/reservations/30684757008524?display=Lynn%20Gentrup&amp;reservation_id=30684757008524&amp;guest_id=30684757008521", "Lynn Gentrup")</f>
        <v>Lynn Gentrup</v>
      </c>
      <c r="E5932" t="s">
        <v>3241</v>
      </c>
      <c r="F5932" t="s">
        <v>3196</v>
      </c>
      <c r="G5932">
        <v>149</v>
      </c>
      <c r="H5932">
        <v>161.97</v>
      </c>
      <c r="I5932">
        <v>161.96</v>
      </c>
      <c r="J5932">
        <v>0.01</v>
      </c>
    </row>
    <row r="5933" spans="1:10" x14ac:dyDescent="0.3">
      <c r="A5933" t="str">
        <f>HYPERLINK("https://us2.cloudbeds.com/connect/10074733072513#/reservations/30688157544668?display=YR27XAAY7&amp;reservation_id=30688157544668", "YR27XAAY7")</f>
        <v>YR27XAAY7</v>
      </c>
      <c r="B5933" t="s">
        <v>10</v>
      </c>
      <c r="C5933" t="s">
        <v>42</v>
      </c>
      <c r="D5933" t="str">
        <f>HYPERLINK("https://us2.cloudbeds.com/connect/10074733072513#/reservations/30688157544668?display=Taylor%20Nay&amp;reservation_id=30688157544668&amp;guest_id=30688157544663", "Taylor Nay")</f>
        <v>Taylor Nay</v>
      </c>
      <c r="E5933" t="s">
        <v>3242</v>
      </c>
      <c r="F5933" t="s">
        <v>2759</v>
      </c>
      <c r="G5933">
        <v>199</v>
      </c>
      <c r="H5933">
        <v>216.32</v>
      </c>
      <c r="I5933">
        <v>216.31</v>
      </c>
      <c r="J5933">
        <v>0.01</v>
      </c>
    </row>
    <row r="5934" spans="1:10" x14ac:dyDescent="0.3">
      <c r="A5934" t="str">
        <f>HYPERLINK("https://us2.cloudbeds.com/connect/10074733072513#/reservations/30686400225507?display=YR0SYGAPE&amp;reservation_id=30686400225507", "YR0SYGAPE")</f>
        <v>YR0SYGAPE</v>
      </c>
      <c r="B5934" t="s">
        <v>10</v>
      </c>
      <c r="C5934" t="s">
        <v>20</v>
      </c>
      <c r="D5934" t="str">
        <f>HYPERLINK("https://us2.cloudbeds.com/connect/10074733072513#/reservations/30686400225507?display=Charlotte%20Lambert&amp;reservation_id=30686400225507&amp;guest_id=30686389301406", "Charlotte Lambert")</f>
        <v>Charlotte Lambert</v>
      </c>
      <c r="E5934" t="s">
        <v>3243</v>
      </c>
      <c r="F5934" t="s">
        <v>3244</v>
      </c>
      <c r="G5934">
        <v>536</v>
      </c>
      <c r="H5934">
        <v>582.64</v>
      </c>
      <c r="I5934">
        <v>582.63</v>
      </c>
      <c r="J5934">
        <v>0.01</v>
      </c>
    </row>
    <row r="5935" spans="1:10" x14ac:dyDescent="0.3">
      <c r="A5935" t="str">
        <f>HYPERLINK("https://us2.cloudbeds.com/connect/10074733072513#/reservations/30684757004418?display=YQWJYT94W&amp;reservation_id=30684757004418", "YQWJYT94W")</f>
        <v>YQWJYT94W</v>
      </c>
      <c r="B5935" t="s">
        <v>10</v>
      </c>
      <c r="C5935" t="s">
        <v>20</v>
      </c>
      <c r="D5935" t="str">
        <f>HYPERLINK("https://us2.cloudbeds.com/connect/10074733072513#/reservations/30684757004418?display=Arlene%20Steffensmeier&amp;reservation_id=30684757004418&amp;guest_id=30684747976885", "Arlene Steffensmeier")</f>
        <v>Arlene Steffensmeier</v>
      </c>
      <c r="E5935" t="s">
        <v>3241</v>
      </c>
      <c r="F5935" t="s">
        <v>3196</v>
      </c>
      <c r="G5935">
        <v>149</v>
      </c>
      <c r="H5935">
        <v>161.97</v>
      </c>
      <c r="I5935">
        <v>161.96</v>
      </c>
      <c r="J5935">
        <v>0.01</v>
      </c>
    </row>
    <row r="5936" spans="1:10" x14ac:dyDescent="0.3">
      <c r="A5936" t="str">
        <f>HYPERLINK("https://us2.cloudbeds.com/connect/10074733072513#/reservations/30688396476578?display=YR2DYPVH4&amp;reservation_id=30688396476578", "YR2DYPVH4")</f>
        <v>YR2DYPVH4</v>
      </c>
      <c r="B5936" t="s">
        <v>10</v>
      </c>
      <c r="C5936" t="s">
        <v>11</v>
      </c>
      <c r="D5936" t="str">
        <f>HYPERLINK("https://us2.cloudbeds.com/connect/10074733072513#/reservations/30688396476578?display=Kelsey%20Mcconnaughy&amp;reservation_id=30688396476578&amp;guest_id=30688396476573", "Kelsey Mcconnaughy")</f>
        <v>Kelsey Mcconnaughy</v>
      </c>
      <c r="E5936" t="s">
        <v>3245</v>
      </c>
      <c r="F5936" t="s">
        <v>3131</v>
      </c>
      <c r="G5936">
        <v>126.83</v>
      </c>
      <c r="H5936">
        <v>137.87</v>
      </c>
      <c r="I5936">
        <v>137.86000000000001</v>
      </c>
      <c r="J5936">
        <v>0.01</v>
      </c>
    </row>
    <row r="5937" spans="1:10" x14ac:dyDescent="0.3">
      <c r="A5937" t="str">
        <f>HYPERLINK("https://us2.cloudbeds.com/connect/10074733072513#/reservations/30683088928902?display=YQVA1AKC2&amp;reservation_id=30683088928902", "YQVA1AKC2")</f>
        <v>YQVA1AKC2</v>
      </c>
      <c r="B5937" t="s">
        <v>10</v>
      </c>
      <c r="C5937" t="s">
        <v>23</v>
      </c>
      <c r="D5937" t="str">
        <f>HYPERLINK("https://us2.cloudbeds.com/connect/10074733072513#/reservations/30683088928902?display=Loren%20Meyer&amp;reservation_id=30683088928902&amp;guest_id=30676575449307", "Loren Meyer")</f>
        <v>Loren Meyer</v>
      </c>
      <c r="E5937" t="s">
        <v>2868</v>
      </c>
      <c r="F5937" t="s">
        <v>3123</v>
      </c>
      <c r="G5937">
        <v>338</v>
      </c>
      <c r="H5937">
        <v>367.42</v>
      </c>
      <c r="I5937">
        <v>367.41</v>
      </c>
      <c r="J5937">
        <v>0.01</v>
      </c>
    </row>
    <row r="5938" spans="1:10" x14ac:dyDescent="0.3">
      <c r="A5938" t="str">
        <f>HYPERLINK("https://us2.cloudbeds.com/connect/10074733072513#/reservations/30687292379351?display=YR1XEPR4D&amp;reservation_id=30687292379351", "YR1XEPR4D")</f>
        <v>YR1XEPR4D</v>
      </c>
      <c r="B5938" t="s">
        <v>10</v>
      </c>
      <c r="C5938" t="s">
        <v>42</v>
      </c>
      <c r="D5938" t="str">
        <f>HYPERLINK("https://us2.cloudbeds.com/connect/10074733072513#/reservations/30687292379351?display=Steven%20Berhey&amp;reservation_id=30687292379351&amp;guest_id=30687292379346", "Steven Berhey")</f>
        <v>Steven Berhey</v>
      </c>
      <c r="E5938" t="s">
        <v>3248</v>
      </c>
      <c r="F5938" t="s">
        <v>3168</v>
      </c>
      <c r="G5938">
        <v>199</v>
      </c>
      <c r="H5938">
        <v>216.32</v>
      </c>
      <c r="I5938">
        <v>216.31</v>
      </c>
      <c r="J5938">
        <v>0.01</v>
      </c>
    </row>
    <row r="5939" spans="1:10" x14ac:dyDescent="0.3">
      <c r="A5939" t="str">
        <f>HYPERLINK("https://us2.cloudbeds.com/connect/10074733072513#/reservations/30687289012354?display=YR1XBV4A6&amp;reservation_id=30687289012354", "YR1XBV4A6")</f>
        <v>YR1XBV4A6</v>
      </c>
      <c r="B5939" t="s">
        <v>10</v>
      </c>
      <c r="C5939" t="s">
        <v>42</v>
      </c>
      <c r="D5939" t="str">
        <f>HYPERLINK("https://us2.cloudbeds.com/connect/10074733072513#/reservations/30687289012354?display=Karry%20Rogers&amp;reservation_id=30687289012354&amp;guest_id=30687284314337", "Karry Rogers")</f>
        <v>Karry Rogers</v>
      </c>
      <c r="E5939" t="s">
        <v>3249</v>
      </c>
      <c r="F5939" t="s">
        <v>3168</v>
      </c>
      <c r="G5939">
        <v>179</v>
      </c>
      <c r="H5939">
        <v>194.58</v>
      </c>
      <c r="I5939">
        <v>194.57</v>
      </c>
      <c r="J5939">
        <v>0.01</v>
      </c>
    </row>
    <row r="5940" spans="1:10" x14ac:dyDescent="0.3">
      <c r="A5940" t="str">
        <f>HYPERLINK("https://us2.cloudbeds.com/connect/10074733072513#/reservations/30687245140131?display=YR1H7VAJT&amp;reservation_id=30687245140131", "YR1H7VAJT")</f>
        <v>YR1H7VAJT</v>
      </c>
      <c r="B5940" t="s">
        <v>10</v>
      </c>
      <c r="C5940" t="s">
        <v>42</v>
      </c>
      <c r="D5940" t="str">
        <f>HYPERLINK("https://us2.cloudbeds.com/connect/10074733072513#/reservations/30687245140131?display=Linda%20Guza&amp;reservation_id=30687245140131&amp;guest_id=30687207878892", "Linda Guza")</f>
        <v>Linda Guza</v>
      </c>
      <c r="E5940" t="s">
        <v>3252</v>
      </c>
      <c r="F5940" t="s">
        <v>3179</v>
      </c>
      <c r="G5940">
        <v>258</v>
      </c>
      <c r="H5940">
        <v>280.45999999999998</v>
      </c>
      <c r="I5940">
        <v>280.45</v>
      </c>
      <c r="J5940">
        <v>0.01</v>
      </c>
    </row>
    <row r="5941" spans="1:10" x14ac:dyDescent="0.3">
      <c r="A5941" t="str">
        <f>HYPERLINK("https://us2.cloudbeds.com/connect/10074733072513#/reservations/30688017158274?display=YR23VUSH2&amp;reservation_id=30688017158274", "YR23VUSH2")</f>
        <v>YR23VUSH2</v>
      </c>
      <c r="B5941" t="s">
        <v>10</v>
      </c>
      <c r="C5941" t="s">
        <v>42</v>
      </c>
      <c r="D5941" t="str">
        <f>HYPERLINK("https://us2.cloudbeds.com/connect/10074733072513#/reservations/30688017158274?display=Gavin%20Gangwish&amp;reservation_id=30688017158274&amp;guest_id=30688010793194", "Gavin Gangwish")</f>
        <v>Gavin Gangwish</v>
      </c>
      <c r="E5941" t="s">
        <v>3253</v>
      </c>
      <c r="F5941" t="s">
        <v>2840</v>
      </c>
      <c r="G5941">
        <v>209</v>
      </c>
      <c r="H5941">
        <v>227.19</v>
      </c>
      <c r="I5941">
        <v>227.18</v>
      </c>
      <c r="J5941">
        <v>0.01</v>
      </c>
    </row>
    <row r="5942" spans="1:10" x14ac:dyDescent="0.3">
      <c r="A5942" t="str">
        <f>HYPERLINK("https://us2.cloudbeds.com/connect/10074733072513#/reservations/30687207878897?display=YR1G9HFJJ&amp;reservation_id=30687207878897", "YR1G9HFJJ")</f>
        <v>YR1G9HFJJ</v>
      </c>
      <c r="B5942" t="s">
        <v>10</v>
      </c>
      <c r="C5942" t="s">
        <v>42</v>
      </c>
      <c r="D5942" t="str">
        <f>HYPERLINK("https://us2.cloudbeds.com/connect/10074733072513#/reservations/30687207878897?display=Linda%20Guza&amp;reservation_id=30687207878897&amp;guest_id=30687207878892", "Linda Guza")</f>
        <v>Linda Guza</v>
      </c>
      <c r="E5942" t="s">
        <v>3252</v>
      </c>
      <c r="F5942" t="s">
        <v>3179</v>
      </c>
      <c r="G5942">
        <v>139</v>
      </c>
      <c r="H5942">
        <v>151.1</v>
      </c>
      <c r="I5942">
        <v>151.09</v>
      </c>
      <c r="J5942">
        <v>0.01</v>
      </c>
    </row>
    <row r="5943" spans="1:10" x14ac:dyDescent="0.3">
      <c r="A5943" t="str">
        <f>HYPERLINK("https://us2.cloudbeds.com/connect/10074733072513#/reservations/30687994577043?display=YR23CTGPB&amp;reservation_id=30687994577043", "YR23CTGPB")</f>
        <v>YR23CTGPB</v>
      </c>
      <c r="B5943" t="s">
        <v>10</v>
      </c>
      <c r="C5943" t="s">
        <v>42</v>
      </c>
      <c r="D5943" t="str">
        <f>HYPERLINK("https://us2.cloudbeds.com/connect/10074733072513#/reservations/30687994577043?display=Cory%20Glick&amp;reservation_id=30687994577043&amp;guest_id=30669423403138", "Cory Glick")</f>
        <v>Cory Glick</v>
      </c>
      <c r="E5943" t="s">
        <v>2769</v>
      </c>
      <c r="F5943" t="s">
        <v>3200</v>
      </c>
      <c r="G5943">
        <v>79</v>
      </c>
      <c r="H5943">
        <v>85.88</v>
      </c>
      <c r="I5943">
        <v>85.87</v>
      </c>
      <c r="J5943">
        <v>0.01</v>
      </c>
    </row>
    <row r="5944" spans="1:10" x14ac:dyDescent="0.3">
      <c r="A5944" t="str">
        <f>HYPERLINK("https://us2.cloudbeds.com/connect/10074733072513#/reservations/30688527003797?display=YR2GWS27D&amp;reservation_id=30688527003797", "YR2GWS27D")</f>
        <v>YR2GWS27D</v>
      </c>
      <c r="B5944" t="s">
        <v>10</v>
      </c>
      <c r="C5944" t="s">
        <v>42</v>
      </c>
      <c r="D5944" t="str">
        <f>HYPERLINK("https://us2.cloudbeds.com/connect/10074733072513#/reservations/30688527003797?display=Carlos%20Ardon&amp;reservation_id=30688527003797&amp;guest_id=30688527003794", "Carlos Ardon")</f>
        <v>Carlos Ardon</v>
      </c>
      <c r="E5944" t="s">
        <v>3255</v>
      </c>
      <c r="F5944" t="s">
        <v>2765</v>
      </c>
      <c r="G5944">
        <v>199</v>
      </c>
      <c r="H5944">
        <v>216.32</v>
      </c>
      <c r="I5944">
        <v>216.31</v>
      </c>
      <c r="J5944">
        <v>0.01</v>
      </c>
    </row>
    <row r="5945" spans="1:10" x14ac:dyDescent="0.3">
      <c r="A5945" t="str">
        <f>HYPERLINK("https://us2.cloudbeds.com/connect/10074733072513#/reservations/30688007397571?display=YR23NN8H6&amp;reservation_id=30688007397571", "YR23NN8H6")</f>
        <v>YR23NN8H6</v>
      </c>
      <c r="B5945" t="s">
        <v>10</v>
      </c>
      <c r="C5945" t="s">
        <v>42</v>
      </c>
      <c r="D5945" t="str">
        <f>HYPERLINK("https://us2.cloudbeds.com/connect/10074733072513#/reservations/30688007397571?display=Shela%20Dooley&amp;reservation_id=30688007397571&amp;guest_id=30688001626348", "Shela Dooley")</f>
        <v>Shela Dooley</v>
      </c>
      <c r="E5945" t="s">
        <v>3256</v>
      </c>
      <c r="F5945" t="s">
        <v>3200</v>
      </c>
      <c r="G5945">
        <v>129</v>
      </c>
      <c r="H5945">
        <v>140.22999999999999</v>
      </c>
      <c r="I5945">
        <v>140.22</v>
      </c>
      <c r="J5945">
        <v>0.01</v>
      </c>
    </row>
    <row r="5946" spans="1:10" x14ac:dyDescent="0.3">
      <c r="A5946" t="str">
        <f>HYPERLINK("https://us2.cloudbeds.com/connect/10074733072513#/reservations/30686988087483?display=YR1AM6EUN&amp;reservation_id=30686988087483", "YR1AM6EUN")</f>
        <v>YR1AM6EUN</v>
      </c>
      <c r="B5946" t="s">
        <v>10</v>
      </c>
      <c r="C5946" t="s">
        <v>42</v>
      </c>
      <c r="D5946" t="str">
        <f>HYPERLINK("https://us2.cloudbeds.com/connect/10074733072513#/reservations/30686988087483?display=Cliff%20Dahl&amp;reservation_id=30686988087483&amp;guest_id=30686988087481", "Cliff Dahl")</f>
        <v>Cliff Dahl</v>
      </c>
      <c r="E5946" t="s">
        <v>3257</v>
      </c>
      <c r="F5946" t="s">
        <v>3258</v>
      </c>
      <c r="G5946">
        <v>258</v>
      </c>
      <c r="H5946">
        <v>280.45999999999998</v>
      </c>
      <c r="I5946">
        <v>280.45</v>
      </c>
      <c r="J5946">
        <v>0.01</v>
      </c>
    </row>
    <row r="5947" spans="1:10" x14ac:dyDescent="0.3">
      <c r="A5947" t="str">
        <f>HYPERLINK("https://us2.cloudbeds.com/connect/10074733072513#/reservations/30687184875679?display=YR1FN4CBC&amp;reservation_id=30687184875679", "YR1FN4CBC")</f>
        <v>YR1FN4CBC</v>
      </c>
      <c r="B5947" t="s">
        <v>10</v>
      </c>
      <c r="C5947" t="s">
        <v>42</v>
      </c>
      <c r="D5947" t="str">
        <f>HYPERLINK("https://us2.cloudbeds.com/connect/10074733072513#/reservations/30687184875679?display=Terry%20Eckerman&amp;reservation_id=30687184875679&amp;guest_id=30687184875664", "Terry Eckerman")</f>
        <v>Terry Eckerman</v>
      </c>
      <c r="E5947" t="s">
        <v>3261</v>
      </c>
      <c r="F5947" t="s">
        <v>2481</v>
      </c>
      <c r="G5947">
        <v>238</v>
      </c>
      <c r="H5947">
        <v>258.72000000000003</v>
      </c>
      <c r="I5947">
        <v>258.70999999999998</v>
      </c>
      <c r="J5947">
        <v>0.01</v>
      </c>
    </row>
    <row r="5948" spans="1:10" x14ac:dyDescent="0.3">
      <c r="A5948" t="str">
        <f>HYPERLINK("https://us2.cloudbeds.com/connect/10074733072513#/reservations/30686146322568?display=YR0M5D3CW&amp;reservation_id=30686146322568", "YR0M5D3CW")</f>
        <v>YR0M5D3CW</v>
      </c>
      <c r="B5948" t="s">
        <v>10</v>
      </c>
      <c r="C5948" t="s">
        <v>42</v>
      </c>
      <c r="D5948" t="str">
        <f>HYPERLINK("https://us2.cloudbeds.com/connect/10074733072513#/reservations/30686146322568?display=Michael%20Daniels&amp;reservation_id=30686146322568&amp;guest_id=30671090090186", "Michael Daniels")</f>
        <v>Michael Daniels</v>
      </c>
      <c r="E5948" t="s">
        <v>3262</v>
      </c>
      <c r="F5948" t="s">
        <v>3263</v>
      </c>
      <c r="G5948">
        <v>256</v>
      </c>
      <c r="H5948">
        <v>278.27999999999997</v>
      </c>
      <c r="I5948">
        <v>278.27</v>
      </c>
      <c r="J5948">
        <v>0.01</v>
      </c>
    </row>
    <row r="5949" spans="1:10" x14ac:dyDescent="0.3">
      <c r="A5949" t="str">
        <f>HYPERLINK("https://us2.cloudbeds.com/connect/10074733072513#/reservations/30684225491105?display=YQW62N4FV&amp;reservation_id=30684225491105", "YQW62N4FV")</f>
        <v>YQW62N4FV</v>
      </c>
      <c r="B5949" t="s">
        <v>10</v>
      </c>
      <c r="C5949" t="s">
        <v>42</v>
      </c>
      <c r="D5949" t="str">
        <f>HYPERLINK("https://us2.cloudbeds.com/connect/10074733072513#/reservations/30684225491105?display=Robert%20Joetta%20Lewis&amp;reservation_id=30684225491105&amp;guest_id=30684225491103", "Robert Joetta Lewis")</f>
        <v>Robert Joetta Lewis</v>
      </c>
      <c r="E5949" t="s">
        <v>3264</v>
      </c>
      <c r="F5949" t="s">
        <v>3251</v>
      </c>
      <c r="G5949">
        <v>527</v>
      </c>
      <c r="H5949">
        <v>572.86</v>
      </c>
      <c r="I5949">
        <v>572.85</v>
      </c>
      <c r="J5949">
        <v>0.01</v>
      </c>
    </row>
    <row r="5950" spans="1:10" x14ac:dyDescent="0.3">
      <c r="A5950" t="str">
        <f>HYPERLINK("https://us2.cloudbeds.com/connect/10074733072513#/reservations/30687184879779?display=YR1FN4G3K&amp;reservation_id=30687184879779", "YR1FN4G3K")</f>
        <v>YR1FN4G3K</v>
      </c>
      <c r="B5950" t="s">
        <v>10</v>
      </c>
      <c r="C5950" t="s">
        <v>42</v>
      </c>
      <c r="D5950" t="str">
        <f>HYPERLINK("https://us2.cloudbeds.com/connect/10074733072513#/reservations/30687184879779?display=Jeff%20Vermeulen&amp;reservation_id=30687184879779&amp;guest_id=30687184879776", "Jeff Vermeulen")</f>
        <v>Jeff Vermeulen</v>
      </c>
      <c r="E5950" t="s">
        <v>3267</v>
      </c>
      <c r="F5950" t="s">
        <v>2481</v>
      </c>
      <c r="G5950">
        <v>278</v>
      </c>
      <c r="H5950">
        <v>302.2</v>
      </c>
      <c r="I5950">
        <v>302.19</v>
      </c>
      <c r="J5950">
        <v>0.01</v>
      </c>
    </row>
    <row r="5951" spans="1:10" x14ac:dyDescent="0.3">
      <c r="A5951" t="str">
        <f>HYPERLINK("https://us2.cloudbeds.com/connect/10074733072513#/reservations/30687880818924?display=YR20FW0MK&amp;reservation_id=30687880818924", "YR20FW0MK")</f>
        <v>YR20FW0MK</v>
      </c>
      <c r="B5951" t="s">
        <v>10</v>
      </c>
      <c r="C5951" t="s">
        <v>42</v>
      </c>
      <c r="D5951" t="str">
        <f>HYPERLINK("https://us2.cloudbeds.com/connect/10074733072513#/reservations/30687880818924?display=Mark%20Richardson&amp;reservation_id=30687880818924&amp;guest_id=30686508482778", "Mark Richardson")</f>
        <v>Mark Richardson</v>
      </c>
      <c r="E5951" t="s">
        <v>3209</v>
      </c>
      <c r="F5951" t="s">
        <v>3202</v>
      </c>
      <c r="G5951">
        <v>79</v>
      </c>
      <c r="H5951">
        <v>85.88</v>
      </c>
      <c r="I5951">
        <v>85.87</v>
      </c>
      <c r="J5951">
        <v>0.01</v>
      </c>
    </row>
    <row r="5952" spans="1:10" x14ac:dyDescent="0.3">
      <c r="A5952" t="str">
        <f>HYPERLINK("https://us2.cloudbeds.com/connect/10074733072513#/reservations/30688061407368?display=YR253859N&amp;reservation_id=30688061407368", "YR253859N")</f>
        <v>YR253859N</v>
      </c>
      <c r="B5952" t="s">
        <v>10</v>
      </c>
      <c r="C5952" t="s">
        <v>11</v>
      </c>
      <c r="D5952" t="str">
        <f>HYPERLINK("https://us2.cloudbeds.com/connect/10074733072513#/reservations/30688061407368?display=David%20Stamper&amp;reservation_id=30688061407368&amp;guest_id=30688055165110", "David Stamper")</f>
        <v>David Stamper</v>
      </c>
      <c r="E5952" t="s">
        <v>3268</v>
      </c>
      <c r="F5952" t="s">
        <v>3200</v>
      </c>
      <c r="G5952">
        <v>111.82</v>
      </c>
      <c r="H5952">
        <v>121.56</v>
      </c>
      <c r="I5952">
        <v>121.55</v>
      </c>
      <c r="J5952">
        <v>0.01</v>
      </c>
    </row>
    <row r="5953" spans="1:10" x14ac:dyDescent="0.3">
      <c r="A5953" t="str">
        <f>HYPERLINK("https://us2.cloudbeds.com/connect/10074733072513#/reservations/30688319594716?display=YR2BMVJUZ&amp;reservation_id=30688319594716", "YR2BMVJUZ")</f>
        <v>YR2BMVJUZ</v>
      </c>
      <c r="B5953" t="s">
        <v>10</v>
      </c>
      <c r="C5953" t="s">
        <v>42</v>
      </c>
      <c r="D5953" t="str">
        <f>HYPERLINK("https://us2.cloudbeds.com/connect/10074733072513#/reservations/30688319594716?display=Amber%20Bendlin&amp;reservation_id=30688319594716&amp;guest_id=30688312312003", "Amber Bendlin")</f>
        <v>Amber Bendlin</v>
      </c>
      <c r="E5953" t="s">
        <v>3269</v>
      </c>
      <c r="F5953" t="s">
        <v>3202</v>
      </c>
      <c r="G5953">
        <v>278</v>
      </c>
      <c r="H5953">
        <v>302.2</v>
      </c>
      <c r="I5953">
        <v>302.19</v>
      </c>
      <c r="J5953">
        <v>0.01</v>
      </c>
    </row>
    <row r="5954" spans="1:10" x14ac:dyDescent="0.3">
      <c r="A5954" t="str">
        <f>HYPERLINK("https://us2.cloudbeds.com/connect/10074733072513#/reservations/30687948517538?display=YR2271RHP&amp;reservation_id=30687948517538", "YR2271RHP")</f>
        <v>YR2271RHP</v>
      </c>
      <c r="B5954" t="s">
        <v>10</v>
      </c>
      <c r="C5954" t="s">
        <v>20</v>
      </c>
      <c r="D5954" t="str">
        <f>HYPERLINK("https://us2.cloudbeds.com/connect/10074733072513#/reservations/30687948517538?display=Keith%20Alvarez&amp;reservation_id=30687948517538&amp;guest_id=30687948517536", "Keith Alvarez")</f>
        <v>Keith Alvarez</v>
      </c>
      <c r="E5954" t="s">
        <v>3270</v>
      </c>
      <c r="F5954" t="s">
        <v>2805</v>
      </c>
      <c r="G5954">
        <v>141.55000000000001</v>
      </c>
      <c r="H5954">
        <v>153.87</v>
      </c>
      <c r="I5954">
        <v>153.86000000000001</v>
      </c>
      <c r="J5954">
        <v>0.01</v>
      </c>
    </row>
    <row r="5955" spans="1:10" x14ac:dyDescent="0.3">
      <c r="A5955" t="str">
        <f>HYPERLINK("https://us2.cloudbeds.com/connect/10074733072513#/reservations/30683963170946?display=YQVWCGMQ7&amp;reservation_id=30683963170946", "YQVWCGMQ7")</f>
        <v>YQVWCGMQ7</v>
      </c>
      <c r="B5955" t="s">
        <v>10</v>
      </c>
      <c r="C5955" t="s">
        <v>11</v>
      </c>
      <c r="D5955" t="str">
        <f>HYPERLINK("https://us2.cloudbeds.com/connect/10074733072513#/reservations/30683963170946?display=Tiffany%20Goucher&amp;reservation_id=30683963170946&amp;guest_id=30683963166909", "Tiffany Goucher")</f>
        <v>Tiffany Goucher</v>
      </c>
      <c r="E5955" t="s">
        <v>547</v>
      </c>
      <c r="F5955" t="s">
        <v>3272</v>
      </c>
      <c r="G5955">
        <v>338.72</v>
      </c>
      <c r="H5955">
        <v>368.2</v>
      </c>
      <c r="I5955">
        <v>368.19</v>
      </c>
      <c r="J5955">
        <v>0.01</v>
      </c>
    </row>
    <row r="5956" spans="1:10" x14ac:dyDescent="0.3">
      <c r="A5956" t="str">
        <f>HYPERLINK("https://us2.cloudbeds.com/connect/10074733072513#/reservations/30688102387868?display=YR264QGK1&amp;reservation_id=30688102387868", "YR264QGK1")</f>
        <v>YR264QGK1</v>
      </c>
      <c r="B5956" t="s">
        <v>10</v>
      </c>
      <c r="C5956" t="s">
        <v>11</v>
      </c>
      <c r="D5956" t="str">
        <f>HYPERLINK("https://us2.cloudbeds.com/connect/10074733072513#/reservations/30688102387868?display=Mason%20Pitts&amp;reservation_id=30688102387868&amp;guest_id=30684238549236", "Mason Pitts")</f>
        <v>Mason Pitts</v>
      </c>
      <c r="E5956" t="s">
        <v>2955</v>
      </c>
      <c r="F5956" t="s">
        <v>3200</v>
      </c>
      <c r="G5956">
        <v>87.84</v>
      </c>
      <c r="H5956">
        <v>95.49</v>
      </c>
      <c r="I5956">
        <v>95.48</v>
      </c>
      <c r="J5956">
        <v>0.01</v>
      </c>
    </row>
    <row r="5957" spans="1:10" x14ac:dyDescent="0.3">
      <c r="A5957" t="str">
        <f>HYPERLINK("https://us2.cloudbeds.com/connect/10074733072513#/reservations/30687916519554?display=YR21D2EKT&amp;reservation_id=30687916519554", "YR21D2EKT")</f>
        <v>YR21D2EKT</v>
      </c>
      <c r="B5957" t="s">
        <v>10</v>
      </c>
      <c r="C5957" t="s">
        <v>42</v>
      </c>
      <c r="D5957" t="str">
        <f>HYPERLINK("https://us2.cloudbeds.com/connect/10074733072513#/reservations/30687916519554?display=Marti%20Myer&amp;reservation_id=30687916519554&amp;guest_id=30687916519552", "Marti Myer")</f>
        <v>Marti Myer</v>
      </c>
      <c r="E5957" t="s">
        <v>3273</v>
      </c>
      <c r="F5957" t="s">
        <v>2867</v>
      </c>
      <c r="G5957">
        <v>189</v>
      </c>
      <c r="H5957">
        <v>205.45</v>
      </c>
      <c r="I5957">
        <v>205.44</v>
      </c>
      <c r="J5957">
        <v>0.01</v>
      </c>
    </row>
    <row r="5958" spans="1:10" x14ac:dyDescent="0.3">
      <c r="A5958" t="str">
        <f>HYPERLINK("https://us2.cloudbeds.com/connect/10074733072513#/reservations/30688007401668?display=YR23NNC9B&amp;reservation_id=30688007401668", "YR23NNC9B")</f>
        <v>YR23NNC9B</v>
      </c>
      <c r="B5958" t="s">
        <v>10</v>
      </c>
      <c r="C5958" t="s">
        <v>42</v>
      </c>
      <c r="D5958" t="str">
        <f>HYPERLINK("https://us2.cloudbeds.com/connect/10074733072513#/reservations/30688007401668?display=Jeff%20Knock&amp;reservation_id=30688007401668&amp;guest_id=30688007401665", "Jeff Knock")</f>
        <v>Jeff Knock</v>
      </c>
      <c r="E5958" t="s">
        <v>3274</v>
      </c>
      <c r="F5958" t="s">
        <v>3200</v>
      </c>
      <c r="G5958">
        <v>139</v>
      </c>
      <c r="H5958">
        <v>151.1</v>
      </c>
      <c r="I5958">
        <v>151.09</v>
      </c>
      <c r="J5958">
        <v>0.01</v>
      </c>
    </row>
    <row r="5959" spans="1:10" x14ac:dyDescent="0.3">
      <c r="A5959" t="str">
        <f>HYPERLINK("https://us2.cloudbeds.com/connect/10074733072513#/reservations/30687868633265?display=YR205MUU7&amp;reservation_id=30687868633265", "YR205MUU7")</f>
        <v>YR205MUU7</v>
      </c>
      <c r="B5959" t="s">
        <v>10</v>
      </c>
      <c r="C5959" t="s">
        <v>42</v>
      </c>
      <c r="D5959" t="str">
        <f>HYPERLINK("https://us2.cloudbeds.com/connect/10074733072513#/reservations/30687868633265?display=Jeff%20Vermeulen&amp;reservation_id=30687868633265&amp;guest_id=30687184879776", "Jeff Vermeulen")</f>
        <v>Jeff Vermeulen</v>
      </c>
      <c r="E5959" t="s">
        <v>3267</v>
      </c>
      <c r="F5959" t="s">
        <v>2481</v>
      </c>
      <c r="G5959">
        <v>238</v>
      </c>
      <c r="H5959">
        <v>258.72000000000003</v>
      </c>
      <c r="I5959">
        <v>258.70999999999998</v>
      </c>
      <c r="J5959">
        <v>0.01</v>
      </c>
    </row>
    <row r="5960" spans="1:10" x14ac:dyDescent="0.3">
      <c r="A5960" t="str">
        <f>HYPERLINK("https://us2.cloudbeds.com/connect/10074733072513#/reservations/30688340889828?display=YR2C7U5M5&amp;reservation_id=30688340889828", "YR2C7U5M5")</f>
        <v>YR2C7U5M5</v>
      </c>
      <c r="B5960" t="s">
        <v>10</v>
      </c>
      <c r="C5960" t="s">
        <v>20</v>
      </c>
      <c r="D5960" t="str">
        <f>HYPERLINK("https://us2.cloudbeds.com/connect/10074733072513#/reservations/30688340889828?display=Mariane%20Bromwich&amp;reservation_id=30688340889828&amp;guest_id=30688332828812", "Mariane Bromwich")</f>
        <v>Mariane Bromwich</v>
      </c>
      <c r="E5960" t="s">
        <v>3275</v>
      </c>
      <c r="F5960" t="s">
        <v>3202</v>
      </c>
      <c r="G5960">
        <v>141.55000000000001</v>
      </c>
      <c r="H5960">
        <v>153.87</v>
      </c>
      <c r="I5960">
        <v>153.86000000000001</v>
      </c>
      <c r="J5960">
        <v>0.01</v>
      </c>
    </row>
    <row r="5961" spans="1:10" x14ac:dyDescent="0.3">
      <c r="A5961" t="str">
        <f>HYPERLINK("https://us2.cloudbeds.com/connect/10074733072513#/reservations/30687917248734?display=YR21DMZ78&amp;reservation_id=30687917248734", "YR21DMZ78")</f>
        <v>YR21DMZ78</v>
      </c>
      <c r="B5961" t="s">
        <v>10</v>
      </c>
      <c r="C5961" t="s">
        <v>42</v>
      </c>
      <c r="D5961" t="str">
        <f>HYPERLINK("https://us2.cloudbeds.com/connect/10074733072513#/reservations/30687917248734?display=Tim%20Kurtz&amp;reservation_id=30687917248734&amp;guest_id=30653375799483", "Tim Kurtz")</f>
        <v>Tim Kurtz</v>
      </c>
      <c r="E5961" t="s">
        <v>3276</v>
      </c>
      <c r="F5961" t="s">
        <v>3202</v>
      </c>
      <c r="G5961">
        <v>149</v>
      </c>
      <c r="H5961">
        <v>161.97</v>
      </c>
      <c r="I5961">
        <v>161.96</v>
      </c>
      <c r="J5961">
        <v>0.01</v>
      </c>
    </row>
    <row r="5962" spans="1:10" x14ac:dyDescent="0.3">
      <c r="A5962" t="str">
        <f>HYPERLINK("https://us2.cloudbeds.com/connect/10074733072513#/reservations/30687207645316?display=YR1G9AW3C&amp;reservation_id=30687207645316", "YR1G9AW3C")</f>
        <v>YR1G9AW3C</v>
      </c>
      <c r="B5962" t="s">
        <v>10</v>
      </c>
      <c r="C5962" t="s">
        <v>121</v>
      </c>
      <c r="D5962" t="str">
        <f>HYPERLINK("https://us2.cloudbeds.com/connect/10074733072513#/reservations/30687207645316?display=Eric%20Miller&amp;reservation_id=30687207645316&amp;guest_id=30649504555214", "Eric Miller")</f>
        <v>Eric Miller</v>
      </c>
      <c r="E5962" t="s">
        <v>3277</v>
      </c>
      <c r="F5962" t="s">
        <v>2805</v>
      </c>
      <c r="G5962">
        <v>139</v>
      </c>
      <c r="H5962">
        <v>151.1</v>
      </c>
      <c r="I5962">
        <v>151.09</v>
      </c>
      <c r="J5962">
        <v>0.01</v>
      </c>
    </row>
    <row r="5963" spans="1:10" x14ac:dyDescent="0.3">
      <c r="A5963" t="str">
        <f>HYPERLINK("https://us2.cloudbeds.com/connect/10074733072513#/reservations/30687910256780?display=YR217Q5MR&amp;reservation_id=30687910256780", "YR217Q5MR")</f>
        <v>YR217Q5MR</v>
      </c>
      <c r="B5963" t="s">
        <v>10</v>
      </c>
      <c r="C5963" t="s">
        <v>42</v>
      </c>
      <c r="D5963" t="str">
        <f>HYPERLINK("https://us2.cloudbeds.com/connect/10074733072513#/reservations/30687910256780?display=Wade%20Bromwich&amp;reservation_id=30687910256780&amp;guest_id=30687902900473", "Wade Bromwich")</f>
        <v>Wade Bromwich</v>
      </c>
      <c r="E5963" t="s">
        <v>3279</v>
      </c>
      <c r="F5963" t="s">
        <v>3202</v>
      </c>
      <c r="G5963">
        <v>149</v>
      </c>
      <c r="H5963">
        <v>161.97</v>
      </c>
      <c r="I5963">
        <v>161.96</v>
      </c>
      <c r="J5963">
        <v>0.01</v>
      </c>
    </row>
    <row r="5964" spans="1:10" x14ac:dyDescent="0.3">
      <c r="A5964" t="str">
        <f>HYPERLINK("https://us2.cloudbeds.com/connect/10074733072513#/reservations/30687885992065?display=YR20KAW1F&amp;reservation_id=30687885992065", "YR20KAW1F")</f>
        <v>YR20KAW1F</v>
      </c>
      <c r="B5964" t="s">
        <v>10</v>
      </c>
      <c r="C5964" t="s">
        <v>42</v>
      </c>
      <c r="D5964" t="str">
        <f>HYPERLINK("https://us2.cloudbeds.com/connect/10074733072513#/reservations/30687885992065?display=Victoria%20Vieira&amp;reservation_id=30687885992065&amp;guest_id=30687885987973", "Victoria Vieira")</f>
        <v>Victoria Vieira</v>
      </c>
      <c r="E5964" t="s">
        <v>3281</v>
      </c>
      <c r="F5964" t="s">
        <v>3202</v>
      </c>
      <c r="G5964">
        <v>139</v>
      </c>
      <c r="H5964">
        <v>151.1</v>
      </c>
      <c r="I5964">
        <v>151.09</v>
      </c>
      <c r="J5964">
        <v>0.01</v>
      </c>
    </row>
    <row r="5965" spans="1:10" x14ac:dyDescent="0.3">
      <c r="A5965" t="str">
        <f>HYPERLINK("https://us2.cloudbeds.com/connect/10074733072513#/reservations/30687986983114?display=YR236G6F9&amp;reservation_id=30687986983114", "YR236G6F9")</f>
        <v>YR236G6F9</v>
      </c>
      <c r="B5965" t="s">
        <v>10</v>
      </c>
      <c r="C5965" t="s">
        <v>17</v>
      </c>
      <c r="D5965" t="str">
        <f>HYPERLINK("https://us2.cloudbeds.com/connect/10074733072513#/reservations/30687986983114?display=Jay%20Howard&amp;reservation_id=30687986983114&amp;guest_id=30687986979023", "Jay Howard")</f>
        <v>Jay Howard</v>
      </c>
      <c r="E5965" t="s">
        <v>3282</v>
      </c>
      <c r="F5965" t="s">
        <v>2945</v>
      </c>
      <c r="G5965">
        <v>149</v>
      </c>
      <c r="H5965">
        <v>161.97</v>
      </c>
      <c r="I5965">
        <v>161.96</v>
      </c>
      <c r="J5965">
        <v>0.01</v>
      </c>
    </row>
    <row r="5966" spans="1:10" x14ac:dyDescent="0.3">
      <c r="A5966" t="str">
        <f>HYPERLINK("https://us2.cloudbeds.com/connect/10074733072513#/reservations/30685516914914?display=YR062YTUP&amp;reservation_id=30685516914914", "YR062YTUP")</f>
        <v>YR062YTUP</v>
      </c>
      <c r="B5966" t="s">
        <v>10</v>
      </c>
      <c r="C5966" t="s">
        <v>42</v>
      </c>
      <c r="D5966" t="str">
        <f>HYPERLINK("https://us2.cloudbeds.com/connect/10074733072513#/reservations/30685516914914?display=Prairie%20Siebert&amp;reservation_id=30685516914914&amp;guest_id=30685508645074", "Prairie Siebert")</f>
        <v>Prairie Siebert</v>
      </c>
      <c r="E5966" t="s">
        <v>2634</v>
      </c>
      <c r="F5966" t="s">
        <v>3283</v>
      </c>
      <c r="G5966">
        <v>139</v>
      </c>
      <c r="H5966">
        <v>151.1</v>
      </c>
      <c r="I5966">
        <v>151.09</v>
      </c>
      <c r="J5966">
        <v>0.01</v>
      </c>
    </row>
    <row r="5967" spans="1:10" x14ac:dyDescent="0.3">
      <c r="A5967" t="str">
        <f>HYPERLINK("https://us2.cloudbeds.com/connect/10074733072513#/reservations/30687082180747?display=YR1D2HZ9Z&amp;reservation_id=30687082180747", "YR1D2HZ9Z")</f>
        <v>YR1D2HZ9Z</v>
      </c>
      <c r="B5967" t="s">
        <v>10</v>
      </c>
      <c r="C5967" t="s">
        <v>14</v>
      </c>
      <c r="D5967" t="str">
        <f>HYPERLINK("https://us2.cloudbeds.com/connect/10074733072513#/reservations/30687082180747?display=Josh%20Kayl&amp;reservation_id=30687082180747&amp;guest_id=30687082180744", "Josh Kayl")</f>
        <v>Josh Kayl</v>
      </c>
      <c r="E5967" t="s">
        <v>3285</v>
      </c>
      <c r="F5967" t="s">
        <v>3202</v>
      </c>
      <c r="G5967">
        <v>111.82</v>
      </c>
      <c r="H5967">
        <v>121.56</v>
      </c>
      <c r="I5967">
        <v>121.55</v>
      </c>
      <c r="J5967">
        <v>0.01</v>
      </c>
    </row>
    <row r="5968" spans="1:10" x14ac:dyDescent="0.3">
      <c r="A5968" t="str">
        <f>HYPERLINK("https://us2.cloudbeds.com/connect/10074733072513#/reservations/30687219921108?display=YR1GJMXY2&amp;reservation_id=30687219921108", "YR1GJMXY2")</f>
        <v>YR1GJMXY2</v>
      </c>
      <c r="B5968" t="s">
        <v>10</v>
      </c>
      <c r="C5968" t="s">
        <v>42</v>
      </c>
      <c r="D5968" t="str">
        <f>HYPERLINK("https://us2.cloudbeds.com/connect/10074733072513#/reservations/30687219921108?display=Nancy%20Tobey&amp;reservation_id=30687219921108&amp;guest_id=30687219921104", "Nancy Tobey")</f>
        <v>Nancy Tobey</v>
      </c>
      <c r="E5968" t="s">
        <v>3286</v>
      </c>
      <c r="F5968" t="s">
        <v>2805</v>
      </c>
      <c r="G5968">
        <v>139</v>
      </c>
      <c r="H5968">
        <v>151.1</v>
      </c>
      <c r="I5968">
        <v>151.09</v>
      </c>
      <c r="J5968">
        <v>0.01</v>
      </c>
    </row>
    <row r="5969" spans="1:10" x14ac:dyDescent="0.3">
      <c r="A5969" t="str">
        <f>HYPERLINK("https://us2.cloudbeds.com/connect/10074733072513#/reservations/30687763767470?display=YR1UG8TDS&amp;reservation_id=30687763767470", "YR1UG8TDS")</f>
        <v>YR1UG8TDS</v>
      </c>
      <c r="B5969" t="s">
        <v>10</v>
      </c>
      <c r="C5969" t="s">
        <v>42</v>
      </c>
      <c r="D5969" t="str">
        <f>HYPERLINK("https://us2.cloudbeds.com/connect/10074733072513#/reservations/30687763767470?display=Mark%20Richardson&amp;reservation_id=30687763767470&amp;guest_id=30686508482778", "Mark Richardson")</f>
        <v>Mark Richardson</v>
      </c>
      <c r="E5969" t="s">
        <v>3209</v>
      </c>
      <c r="F5969" t="s">
        <v>3212</v>
      </c>
      <c r="G5969">
        <v>79</v>
      </c>
      <c r="H5969">
        <v>85.88</v>
      </c>
      <c r="I5969">
        <v>85.87</v>
      </c>
      <c r="J5969">
        <v>0.01</v>
      </c>
    </row>
    <row r="5970" spans="1:10" x14ac:dyDescent="0.3">
      <c r="A5970" t="str">
        <f>HYPERLINK("https://us2.cloudbeds.com/connect/10074733072513#/reservations/31680218710195?display=MHBD0XYNY&amp;reservation_id=31680218710195", "MHBD0XYNY")</f>
        <v>MHBD0XYNY</v>
      </c>
      <c r="B5970" t="s">
        <v>10</v>
      </c>
      <c r="C5970" t="s">
        <v>42</v>
      </c>
      <c r="D5970" t="str">
        <f>HYPERLINK("https://us2.cloudbeds.com/connect/10074733072513#/reservations/31680218710195?display=August%20Sr%20Bortz&amp;reservation_id=31680218710195&amp;guest_id=31680218710191", "August Sr Bortz")</f>
        <v>August Sr Bortz</v>
      </c>
      <c r="E5970" t="s">
        <v>3288</v>
      </c>
      <c r="F5970" t="s">
        <v>2815</v>
      </c>
      <c r="G5970">
        <v>278</v>
      </c>
      <c r="H5970">
        <v>302.2</v>
      </c>
      <c r="I5970">
        <v>302.19</v>
      </c>
      <c r="J5970">
        <v>0.01</v>
      </c>
    </row>
    <row r="5971" spans="1:10" x14ac:dyDescent="0.3">
      <c r="A5971" t="str">
        <f>HYPERLINK("https://us2.cloudbeds.com/connect/10074733072513#/reservations/30687191277712?display=YR1FSHH5C&amp;reservation_id=30687191277712", "YR1FSHH5C")</f>
        <v>YR1FSHH5C</v>
      </c>
      <c r="B5971" t="s">
        <v>10</v>
      </c>
      <c r="C5971" t="s">
        <v>11</v>
      </c>
      <c r="D5971" t="str">
        <f>HYPERLINK("https://us2.cloudbeds.com/connect/10074733072513#/reservations/30687191277712?display=Heather%20Pedersen&amp;reservation_id=30687191277712&amp;guest_id=30687191273620", "Heather Pedersen")</f>
        <v>Heather Pedersen</v>
      </c>
      <c r="E5971" t="s">
        <v>1319</v>
      </c>
      <c r="F5971" t="s">
        <v>3202</v>
      </c>
      <c r="G5971">
        <v>106.8</v>
      </c>
      <c r="H5971">
        <v>116.1</v>
      </c>
      <c r="I5971">
        <v>116.09</v>
      </c>
      <c r="J5971">
        <v>0.01</v>
      </c>
    </row>
    <row r="5972" spans="1:10" x14ac:dyDescent="0.3">
      <c r="A5972" t="str">
        <f>HYPERLINK("https://us2.cloudbeds.com/connect/10074733072513#/reservations/30685494567129?display=YR05GR1X5&amp;reservation_id=30685494567129", "YR05GR1X5")</f>
        <v>YR05GR1X5</v>
      </c>
      <c r="B5972" t="s">
        <v>10</v>
      </c>
      <c r="C5972" t="s">
        <v>42</v>
      </c>
      <c r="D5972" t="str">
        <f>HYPERLINK("https://us2.cloudbeds.com/connect/10074733072513#/reservations/30685494567129?display=Cherly%20Marsh&amp;reservation_id=30685494567129&amp;guest_id=30685494563047", "Cherly Marsh")</f>
        <v>Cherly Marsh</v>
      </c>
      <c r="E5972" t="s">
        <v>3289</v>
      </c>
      <c r="F5972" t="s">
        <v>3048</v>
      </c>
      <c r="G5972">
        <v>278</v>
      </c>
      <c r="H5972">
        <v>302.2</v>
      </c>
      <c r="I5972">
        <v>302.19</v>
      </c>
      <c r="J5972">
        <v>0.01</v>
      </c>
    </row>
    <row r="5973" spans="1:10" x14ac:dyDescent="0.3">
      <c r="A5973" t="str">
        <f>HYPERLINK("https://us2.cloudbeds.com/connect/10074733072513#/reservations/30687383957755?display=YR1KQ045X&amp;reservation_id=30687383957755", "YR1KQ045X")</f>
        <v>YR1KQ045X</v>
      </c>
      <c r="B5973" t="s">
        <v>10</v>
      </c>
      <c r="C5973" t="s">
        <v>42</v>
      </c>
      <c r="D5973" t="str">
        <f>HYPERLINK("https://us2.cloudbeds.com/connect/10074733072513#/reservations/30687383957755?display=Cary%20Quiring&amp;reservation_id=30687383957755&amp;guest_id=30669158400131", "Cary Quiring")</f>
        <v>Cary Quiring</v>
      </c>
      <c r="E5973" t="s">
        <v>2355</v>
      </c>
      <c r="F5973" t="s">
        <v>2682</v>
      </c>
      <c r="G5973">
        <v>119</v>
      </c>
      <c r="H5973">
        <v>129.36000000000001</v>
      </c>
      <c r="I5973">
        <v>129.35</v>
      </c>
      <c r="J5973">
        <v>0.01</v>
      </c>
    </row>
    <row r="5974" spans="1:10" x14ac:dyDescent="0.3">
      <c r="A5974" t="str">
        <f>HYPERLINK("https://us2.cloudbeds.com/connect/10074733072513#/reservations/30687716188295?display=YR1T94UNM&amp;reservation_id=30687716188295", "YR1T94UNM")</f>
        <v>YR1T94UNM</v>
      </c>
      <c r="B5974" t="s">
        <v>10</v>
      </c>
      <c r="C5974" t="s">
        <v>17</v>
      </c>
      <c r="D5974" t="str">
        <f>HYPERLINK("https://us2.cloudbeds.com/connect/10074733072513#/reservations/30687716188295?display=Tennille%20Black%20Feather&amp;reservation_id=30687716188295&amp;guest_id=30687716184204", "Tennille Black Feather")</f>
        <v>Tennille Black Feather</v>
      </c>
      <c r="E5974" t="s">
        <v>3290</v>
      </c>
      <c r="F5974" t="s">
        <v>3212</v>
      </c>
      <c r="G5974">
        <v>139</v>
      </c>
      <c r="H5974">
        <v>151.1</v>
      </c>
      <c r="I5974">
        <v>151.09</v>
      </c>
      <c r="J5974">
        <v>0.01</v>
      </c>
    </row>
    <row r="5975" spans="1:10" x14ac:dyDescent="0.3">
      <c r="A5975" t="str">
        <f>HYPERLINK("https://us2.cloudbeds.com/connect/10074733072513#/reservations/30687279894685?display=YR1X48DQ6&amp;reservation_id=30687279894685", "YR1X48DQ6")</f>
        <v>YR1X48DQ6</v>
      </c>
      <c r="B5975" t="s">
        <v>10</v>
      </c>
      <c r="C5975" t="s">
        <v>42</v>
      </c>
      <c r="D5975" t="str">
        <f>HYPERLINK("https://us2.cloudbeds.com/connect/10074733072513#/reservations/30687279894685?display=Denise%20Duffy&amp;reservation_id=30687279894685&amp;guest_id=30682386936024", "Denise Duffy")</f>
        <v>Denise Duffy</v>
      </c>
      <c r="E5975" t="s">
        <v>3233</v>
      </c>
      <c r="F5975" t="s">
        <v>3141</v>
      </c>
      <c r="G5975">
        <v>376</v>
      </c>
      <c r="H5975">
        <v>408.72</v>
      </c>
      <c r="I5975">
        <v>408.71</v>
      </c>
      <c r="J5975">
        <v>0.01</v>
      </c>
    </row>
    <row r="5976" spans="1:10" x14ac:dyDescent="0.3">
      <c r="A5976" t="str">
        <f>HYPERLINK("https://us2.cloudbeds.com/connect/10074733072513#/reservations/30684890001566?display=YQWN213UJ&amp;reservation_id=30684890001566", "YQWN213UJ")</f>
        <v>YQWN213UJ</v>
      </c>
      <c r="B5976" t="s">
        <v>10</v>
      </c>
      <c r="C5976" t="s">
        <v>42</v>
      </c>
      <c r="D5976" t="str">
        <f>HYPERLINK("https://us2.cloudbeds.com/connect/10074733072513#/reservations/30684890001566?display=Bonnie%20Kunz&amp;reservation_id=30684890001566&amp;guest_id=30684890001561", "Bonnie Kunz")</f>
        <v>Bonnie Kunz</v>
      </c>
      <c r="E5976" t="s">
        <v>3291</v>
      </c>
      <c r="F5976" t="s">
        <v>3292</v>
      </c>
      <c r="G5976">
        <v>139</v>
      </c>
      <c r="H5976">
        <v>151.1</v>
      </c>
      <c r="I5976">
        <v>151.09</v>
      </c>
      <c r="J5976">
        <v>0.01</v>
      </c>
    </row>
    <row r="5977" spans="1:10" x14ac:dyDescent="0.3">
      <c r="A5977" t="str">
        <f>HYPERLINK("https://us2.cloudbeds.com/connect/10074733072513#/reservations/30684889997444?display=YQWN2104M&amp;reservation_id=30684889997444", "YQWN2104M")</f>
        <v>YQWN2104M</v>
      </c>
      <c r="B5977" t="s">
        <v>10</v>
      </c>
      <c r="C5977" t="s">
        <v>42</v>
      </c>
      <c r="D5977" t="str">
        <f>HYPERLINK("https://us2.cloudbeds.com/connect/10074733072513#/reservations/30684889997444?display=Maria%20Waller&amp;reservation_id=30684889997444&amp;guest_id=30684876644596", "Maria Waller")</f>
        <v>Maria Waller</v>
      </c>
      <c r="E5977" t="s">
        <v>3293</v>
      </c>
      <c r="F5977" t="s">
        <v>3292</v>
      </c>
      <c r="G5977">
        <v>129</v>
      </c>
      <c r="H5977">
        <v>140.22999999999999</v>
      </c>
      <c r="I5977">
        <v>140.22</v>
      </c>
      <c r="J5977">
        <v>0.01</v>
      </c>
    </row>
    <row r="5978" spans="1:10" x14ac:dyDescent="0.3">
      <c r="A5978" t="str">
        <f>HYPERLINK("https://us2.cloudbeds.com/connect/10074733072513#/reservations/30687851671734?display=YR1WZCVJE&amp;reservation_id=30687851671734", "YR1WZCVJE")</f>
        <v>YR1WZCVJE</v>
      </c>
      <c r="B5978" t="s">
        <v>10</v>
      </c>
      <c r="C5978" t="s">
        <v>20</v>
      </c>
      <c r="D5978" t="str">
        <f>HYPERLINK("https://us2.cloudbeds.com/connect/10074733072513#/reservations/30687851671734?display=Gayne%20Nitta&amp;reservation_id=30687851671734&amp;guest_id=30687851671718", "Gayne Nitta")</f>
        <v>Gayne Nitta</v>
      </c>
      <c r="E5978" t="s">
        <v>3297</v>
      </c>
      <c r="F5978" t="s">
        <v>3212</v>
      </c>
      <c r="G5978">
        <v>144.54</v>
      </c>
      <c r="H5978">
        <v>157.12</v>
      </c>
      <c r="I5978">
        <v>157.11000000000001</v>
      </c>
      <c r="J5978">
        <v>0.01</v>
      </c>
    </row>
    <row r="5979" spans="1:10" x14ac:dyDescent="0.3">
      <c r="A5979" t="str">
        <f>HYPERLINK("https://us2.cloudbeds.com/connect/10074733072513#/reservations/30687951220895?display=YR229B1VM&amp;reservation_id=30687951220895", "YR229B1VM")</f>
        <v>YR229B1VM</v>
      </c>
      <c r="B5979" t="s">
        <v>10</v>
      </c>
      <c r="C5979" t="s">
        <v>23</v>
      </c>
      <c r="D5979" t="str">
        <f>HYPERLINK("https://us2.cloudbeds.com/connect/10074733072513#/reservations/30687951220895?display=Jeremy%20Stiefel&amp;reservation_id=30687951220895&amp;guest_id=30687951220892", "Jeremy Stiefel")</f>
        <v>Jeremy Stiefel</v>
      </c>
      <c r="E5979" t="s">
        <v>3299</v>
      </c>
      <c r="F5979" t="s">
        <v>2867</v>
      </c>
      <c r="G5979">
        <v>189</v>
      </c>
      <c r="H5979">
        <v>205.45</v>
      </c>
      <c r="I5979">
        <v>205.44</v>
      </c>
      <c r="J5979">
        <v>0.01</v>
      </c>
    </row>
    <row r="5980" spans="1:10" x14ac:dyDescent="0.3">
      <c r="A5980" t="str">
        <f>HYPERLINK("https://us2.cloudbeds.com/connect/10074733072513#/reservations/30686908387579?display=YR18KWMK3&amp;reservation_id=30686908387579", "YR18KWMK3")</f>
        <v>YR18KWMK3</v>
      </c>
      <c r="B5980" t="s">
        <v>10</v>
      </c>
      <c r="C5980" t="s">
        <v>42</v>
      </c>
      <c r="D5980" t="str">
        <f>HYPERLINK("https://us2.cloudbeds.com/connect/10074733072513#/reservations/30686908387579?display=Rachelle%20Zimmer&amp;reservation_id=30686908387579&amp;guest_id=30686908387577", "Rachelle Zimmer")</f>
        <v>Rachelle Zimmer</v>
      </c>
      <c r="E5980" t="s">
        <v>3301</v>
      </c>
      <c r="F5980" t="s">
        <v>3302</v>
      </c>
      <c r="G5980">
        <v>189</v>
      </c>
      <c r="H5980">
        <v>205.45</v>
      </c>
      <c r="I5980">
        <v>205.44</v>
      </c>
      <c r="J5980">
        <v>0.01</v>
      </c>
    </row>
    <row r="5981" spans="1:10" x14ac:dyDescent="0.3">
      <c r="A5981" t="str">
        <f>HYPERLINK("https://us2.cloudbeds.com/connect/10074733072513#/reservations/30685616754920?display=YR08KS3CG&amp;reservation_id=30685616754920", "YR08KS3CG")</f>
        <v>YR08KS3CG</v>
      </c>
      <c r="B5981" t="s">
        <v>10</v>
      </c>
      <c r="C5981" t="s">
        <v>42</v>
      </c>
      <c r="D5981" t="str">
        <f>HYPERLINK("https://us2.cloudbeds.com/connect/10074733072513#/reservations/30685616754920?display=John%20Hall&amp;reservation_id=30685616754920&amp;guest_id=30685616754918", "John Hall")</f>
        <v>John Hall</v>
      </c>
      <c r="E5981" t="s">
        <v>3303</v>
      </c>
      <c r="F5981" t="s">
        <v>3196</v>
      </c>
      <c r="G5981">
        <v>238</v>
      </c>
      <c r="H5981">
        <v>258.72000000000003</v>
      </c>
      <c r="I5981">
        <v>258.70999999999998</v>
      </c>
      <c r="J5981">
        <v>0.01</v>
      </c>
    </row>
    <row r="5982" spans="1:10" x14ac:dyDescent="0.3">
      <c r="A5982" t="str">
        <f>HYPERLINK("https://us2.cloudbeds.com/connect/10074733072513#/reservations/30687706927262?display=YR1T1B7XA&amp;reservation_id=30687706927262", "YR1T1B7XA")</f>
        <v>YR1T1B7XA</v>
      </c>
      <c r="B5982" t="s">
        <v>10</v>
      </c>
      <c r="C5982" t="s">
        <v>20</v>
      </c>
      <c r="D5982" t="str">
        <f>HYPERLINK("https://us2.cloudbeds.com/connect/10074733072513#/reservations/30687706927262?display=Karen%20Jay&amp;reservation_id=30687706927262&amp;guest_id=30687699878087", "Karen Jay")</f>
        <v>Karen Jay</v>
      </c>
      <c r="E5982" t="s">
        <v>3304</v>
      </c>
      <c r="F5982" t="s">
        <v>3212</v>
      </c>
      <c r="G5982">
        <v>144.54</v>
      </c>
      <c r="H5982">
        <v>157.12</v>
      </c>
      <c r="I5982">
        <v>157.11000000000001</v>
      </c>
      <c r="J5982">
        <v>0.01</v>
      </c>
    </row>
    <row r="5983" spans="1:10" x14ac:dyDescent="0.3">
      <c r="A5983" t="str">
        <f>HYPERLINK("https://us2.cloudbeds.com/connect/10074733072513#/reservations/30687984959669?display=YR234PTCP&amp;reservation_id=30687984959669", "YR234PTCP")</f>
        <v>YR234PTCP</v>
      </c>
      <c r="B5983" t="s">
        <v>10</v>
      </c>
      <c r="C5983" t="s">
        <v>23</v>
      </c>
      <c r="D5983" t="str">
        <f>HYPERLINK("https://us2.cloudbeds.com/connect/10074733072513#/reservations/30687984959669?display=Tennille%20Black%20Feather&amp;reservation_id=30687984959669&amp;guest_id=30687716184204", "Tennille Black Feather")</f>
        <v>Tennille Black Feather</v>
      </c>
      <c r="E5983" t="s">
        <v>3290</v>
      </c>
      <c r="F5983" t="s">
        <v>2945</v>
      </c>
      <c r="G5983">
        <v>159</v>
      </c>
      <c r="H5983">
        <v>172.84</v>
      </c>
      <c r="I5983">
        <v>172.83</v>
      </c>
      <c r="J5983">
        <v>0.01</v>
      </c>
    </row>
    <row r="5984" spans="1:10" x14ac:dyDescent="0.3">
      <c r="A5984" t="str">
        <f>HYPERLINK("https://us2.cloudbeds.com/connect/10074733072513#/reservations/30688258687175?display=YR2A4JP4M&amp;reservation_id=30688258687175", "YR2A4JP4M")</f>
        <v>YR2A4JP4M</v>
      </c>
      <c r="B5984" t="s">
        <v>10</v>
      </c>
      <c r="C5984" t="s">
        <v>42</v>
      </c>
      <c r="D5984" t="str">
        <f>HYPERLINK("https://us2.cloudbeds.com/connect/10074733072513#/reservations/30688258687175?display=Eric%20Miller&amp;reservation_id=30688258687175&amp;guest_id=30649504555214", "Eric Miller")</f>
        <v>Eric Miller</v>
      </c>
      <c r="E5984" t="s">
        <v>3277</v>
      </c>
      <c r="F5984" t="s">
        <v>2945</v>
      </c>
      <c r="G5984">
        <v>159</v>
      </c>
      <c r="H5984">
        <v>172.84</v>
      </c>
      <c r="I5984">
        <v>172.83</v>
      </c>
      <c r="J5984">
        <v>0.01</v>
      </c>
    </row>
    <row r="5985" spans="1:10" x14ac:dyDescent="0.3">
      <c r="A5985" t="str">
        <f>HYPERLINK("https://us2.cloudbeds.com/connect/10074733072513#/reservations/30687216328838?display=YR1GGYJVD&amp;reservation_id=30687216328838", "YR1GGYJVD")</f>
        <v>YR1GGYJVD</v>
      </c>
      <c r="B5985" t="s">
        <v>10</v>
      </c>
      <c r="C5985" t="s">
        <v>42</v>
      </c>
      <c r="D5985" t="str">
        <f>HYPERLINK("https://us2.cloudbeds.com/connect/10074733072513#/reservations/30687216328838?display=Julie%20Ehlers&amp;reservation_id=30687216328838&amp;guest_id=30687207878895", "Julie Ehlers")</f>
        <v>Julie Ehlers</v>
      </c>
      <c r="E5985" t="s">
        <v>3307</v>
      </c>
      <c r="F5985" t="s">
        <v>2481</v>
      </c>
      <c r="G5985">
        <v>258</v>
      </c>
      <c r="H5985">
        <v>280.45999999999998</v>
      </c>
      <c r="I5985">
        <v>280.45</v>
      </c>
      <c r="J5985">
        <v>0.01</v>
      </c>
    </row>
    <row r="5986" spans="1:10" x14ac:dyDescent="0.3">
      <c r="A5986" t="str">
        <f>HYPERLINK("https://us2.cloudbeds.com/connect/10074733072513#/reservations/30684901462221?display=YQWNBN0V5&amp;reservation_id=30684901462221", "YQWNBN0V5")</f>
        <v>YQWNBN0V5</v>
      </c>
      <c r="B5986" t="s">
        <v>10</v>
      </c>
      <c r="C5986" t="s">
        <v>42</v>
      </c>
      <c r="D5986" t="str">
        <f>HYPERLINK("https://us2.cloudbeds.com/connect/10074733072513#/reservations/30684901462221?display=Mollie%20Mahler&amp;reservation_id=30684901462221&amp;guest_id=30684898005155", "Mollie Mahler")</f>
        <v>Mollie Mahler</v>
      </c>
      <c r="E5986" t="s">
        <v>3310</v>
      </c>
      <c r="F5986" t="s">
        <v>3292</v>
      </c>
      <c r="G5986">
        <v>129</v>
      </c>
      <c r="H5986">
        <v>140.22999999999999</v>
      </c>
      <c r="I5986">
        <v>140.22</v>
      </c>
      <c r="J5986">
        <v>0.01</v>
      </c>
    </row>
    <row r="5987" spans="1:10" x14ac:dyDescent="0.3">
      <c r="A5987" t="str">
        <f>HYPERLINK("https://us2.cloudbeds.com/connect/10074733072513#/reservations/30687199715463?display=YR1G2YAAQ&amp;reservation_id=30687199715463", "YR1G2YAAQ")</f>
        <v>YR1G2YAAQ</v>
      </c>
      <c r="B5987" t="s">
        <v>10</v>
      </c>
      <c r="C5987" t="s">
        <v>42</v>
      </c>
      <c r="D5987" t="str">
        <f>HYPERLINK("https://us2.cloudbeds.com/connect/10074733072513#/reservations/30687199715463?display=Clint%20Lemburg&amp;reservation_id=30687199715463&amp;guest_id=30687199711382", "Clint Lemburg")</f>
        <v>Clint Lemburg</v>
      </c>
      <c r="E5987" t="s">
        <v>3311</v>
      </c>
      <c r="F5987" t="s">
        <v>2481</v>
      </c>
      <c r="G5987">
        <v>238</v>
      </c>
      <c r="H5987">
        <v>258.72000000000003</v>
      </c>
      <c r="I5987">
        <v>258.70999999999998</v>
      </c>
      <c r="J5987">
        <v>0.01</v>
      </c>
    </row>
    <row r="5988" spans="1:10" x14ac:dyDescent="0.3">
      <c r="A5988" t="str">
        <f>HYPERLINK("https://us2.cloudbeds.com/connect/10074733072513#/reservations/30688242237642?display=YR29NZ0VW&amp;reservation_id=30688242237642", "YR29NZ0VW")</f>
        <v>YR29NZ0VW</v>
      </c>
      <c r="B5988" t="s">
        <v>10</v>
      </c>
      <c r="C5988" t="s">
        <v>42</v>
      </c>
      <c r="D5988" t="str">
        <f>HYPERLINK("https://us2.cloudbeds.com/connect/10074733072513#/reservations/30688242237642?display=John%20Teupel&amp;reservation_id=30688242237642&amp;guest_id=30676634038498", "John Teupel")</f>
        <v>John Teupel</v>
      </c>
      <c r="E5988" t="s">
        <v>2970</v>
      </c>
      <c r="F5988" t="s">
        <v>2945</v>
      </c>
      <c r="G5988">
        <v>79</v>
      </c>
      <c r="H5988">
        <v>85.88</v>
      </c>
      <c r="I5988">
        <v>85.87</v>
      </c>
      <c r="J5988">
        <v>0.01</v>
      </c>
    </row>
    <row r="5989" spans="1:10" x14ac:dyDescent="0.3">
      <c r="A5989" t="str">
        <f>HYPERLINK("https://us2.cloudbeds.com/connect/10074733072513#/reservations/30687300833410?display=YR1XYU290&amp;reservation_id=30687300833410", "YR1XYU290")</f>
        <v>YR1XYU290</v>
      </c>
      <c r="B5989" t="s">
        <v>10</v>
      </c>
      <c r="C5989" t="s">
        <v>42</v>
      </c>
      <c r="D5989" t="str">
        <f>HYPERLINK("https://us2.cloudbeds.com/connect/10074733072513#/reservations/30687300833410?display=Mark%20Richardson&amp;reservation_id=30687300833410&amp;guest_id=30687300833408", "Mark Richardson")</f>
        <v>Mark Richardson</v>
      </c>
      <c r="E5989" t="s">
        <v>3314</v>
      </c>
      <c r="F5989" t="s">
        <v>3162</v>
      </c>
      <c r="G5989">
        <v>79</v>
      </c>
      <c r="H5989">
        <v>85.88</v>
      </c>
      <c r="I5989">
        <v>85.87</v>
      </c>
      <c r="J5989">
        <v>0.01</v>
      </c>
    </row>
    <row r="5990" spans="1:10" x14ac:dyDescent="0.3">
      <c r="A5990" t="str">
        <f>HYPERLINK("https://us2.cloudbeds.com/connect/10074733072513#/reservations/30688335618243?display=YR2C3FFU5&amp;reservation_id=30688335618243", "YR2C3FFU5")</f>
        <v>YR2C3FFU5</v>
      </c>
      <c r="B5990" t="s">
        <v>10</v>
      </c>
      <c r="C5990" t="s">
        <v>23</v>
      </c>
      <c r="D5990" t="str">
        <f>HYPERLINK("https://us2.cloudbeds.com/connect/10074733072513#/reservations/30688335618243?display=Mike%20Benson&amp;reservation_id=30688335618243&amp;guest_id=30688335614206", "Mike Benson")</f>
        <v>Mike Benson</v>
      </c>
      <c r="E5990" t="s">
        <v>3315</v>
      </c>
      <c r="F5990" t="s">
        <v>2998</v>
      </c>
      <c r="G5990">
        <v>189</v>
      </c>
      <c r="H5990">
        <v>205.45</v>
      </c>
      <c r="I5990">
        <v>205.44</v>
      </c>
      <c r="J5990">
        <v>0.01</v>
      </c>
    </row>
    <row r="5991" spans="1:10" x14ac:dyDescent="0.3">
      <c r="A5991" t="str">
        <f>HYPERLINK("https://us2.cloudbeds.com/connect/10074733072513#/reservations/30688217075848?display=YR292GSXB&amp;reservation_id=30688217075848", "YR292GSXB")</f>
        <v>YR292GSXB</v>
      </c>
      <c r="B5991" t="s">
        <v>10</v>
      </c>
      <c r="C5991" t="s">
        <v>20</v>
      </c>
      <c r="D5991" t="str">
        <f>HYPERLINK("https://us2.cloudbeds.com/connect/10074733072513#/reservations/30688217075848?display=Kyle%20Sepppanen&amp;reservation_id=30688217075848&amp;guest_id=30688217075845", "Kyle Sepppanen")</f>
        <v>Kyle Sepppanen</v>
      </c>
      <c r="E5991" t="s">
        <v>3316</v>
      </c>
      <c r="F5991" t="s">
        <v>2867</v>
      </c>
      <c r="G5991">
        <v>189</v>
      </c>
      <c r="H5991">
        <v>205.45</v>
      </c>
      <c r="I5991">
        <v>205.44</v>
      </c>
      <c r="J5991">
        <v>0.01</v>
      </c>
    </row>
    <row r="5992" spans="1:10" x14ac:dyDescent="0.3">
      <c r="A5992" t="str">
        <f>HYPERLINK("https://us2.cloudbeds.com/connect/10074733072513#/reservations/30687951216800?display=YR229AV6J&amp;reservation_id=30687951216800", "YR229AV6J")</f>
        <v>YR229AV6J</v>
      </c>
      <c r="B5992" t="s">
        <v>10</v>
      </c>
      <c r="C5992" t="s">
        <v>42</v>
      </c>
      <c r="D5992" t="str">
        <f>HYPERLINK("https://us2.cloudbeds.com/connect/10074733072513#/reservations/30687951216800?display=Carrie%20Sikkink&amp;reservation_id=30687951216800&amp;guest_id=30687951216798", "Carrie Sikkink")</f>
        <v>Carrie Sikkink</v>
      </c>
      <c r="E5992" t="s">
        <v>3320</v>
      </c>
      <c r="F5992" t="s">
        <v>2945</v>
      </c>
      <c r="G5992">
        <v>159</v>
      </c>
      <c r="H5992">
        <v>172.84</v>
      </c>
      <c r="I5992">
        <v>172.83</v>
      </c>
      <c r="J5992">
        <v>0.01</v>
      </c>
    </row>
    <row r="5993" spans="1:10" x14ac:dyDescent="0.3">
      <c r="A5993" t="str">
        <f>HYPERLINK("https://us2.cloudbeds.com/connect/10074733072513#/reservations/30687964991722?display=YR22KV8BF&amp;reservation_id=30687964991722", "YR22KV8BF")</f>
        <v>YR22KV8BF</v>
      </c>
      <c r="B5993" t="s">
        <v>10</v>
      </c>
      <c r="C5993" t="s">
        <v>42</v>
      </c>
      <c r="D5993" t="str">
        <f>HYPERLINK("https://us2.cloudbeds.com/connect/10074733072513#/reservations/30687964991722?display=Carter%20Paulson&amp;reservation_id=30687964991722&amp;guest_id=30687951220893", "Carter Paulson")</f>
        <v>Carter Paulson</v>
      </c>
      <c r="E5993" t="s">
        <v>3321</v>
      </c>
      <c r="F5993" t="s">
        <v>2945</v>
      </c>
      <c r="G5993">
        <v>159</v>
      </c>
      <c r="H5993">
        <v>172.84</v>
      </c>
      <c r="I5993">
        <v>172.83</v>
      </c>
      <c r="J5993">
        <v>0.01</v>
      </c>
    </row>
    <row r="5994" spans="1:10" x14ac:dyDescent="0.3">
      <c r="A5994" t="str">
        <f>HYPERLINK("https://us2.cloudbeds.com/connect/10074733072513#/reservations/30688017162369?display=YR23VUW95&amp;reservation_id=30688017162369", "YR23VUW95")</f>
        <v>YR23VUW95</v>
      </c>
      <c r="B5994" t="s">
        <v>10</v>
      </c>
      <c r="C5994" t="s">
        <v>42</v>
      </c>
      <c r="D5994" t="str">
        <f>HYPERLINK("https://us2.cloudbeds.com/connect/10074733072513#/reservations/30688017162369?display=Linda%20Keiser&amp;reservation_id=30688017162369&amp;guest_id=30656425431178", "Linda Keiser")</f>
        <v>Linda Keiser</v>
      </c>
      <c r="E5994" t="s">
        <v>3322</v>
      </c>
      <c r="F5994" t="s">
        <v>2840</v>
      </c>
      <c r="G5994">
        <v>94.5</v>
      </c>
      <c r="H5994">
        <v>102.73</v>
      </c>
      <c r="I5994">
        <v>102.72</v>
      </c>
      <c r="J5994">
        <v>0.01</v>
      </c>
    </row>
    <row r="5995" spans="1:10" x14ac:dyDescent="0.3">
      <c r="A5995" t="str">
        <f>HYPERLINK("https://us2.cloudbeds.com/connect/10074733072513#/reservations/30684909588687?display=YQWNXX58N&amp;reservation_id=30684909588687", "YQWNXX58N")</f>
        <v>YQWNXX58N</v>
      </c>
      <c r="B5995" t="s">
        <v>10</v>
      </c>
      <c r="C5995" t="s">
        <v>42</v>
      </c>
      <c r="D5995" t="str">
        <f>HYPERLINK("https://us2.cloudbeds.com/connect/10074733072513#/reservations/30684909588687?display=Matthew%20Kuntz&amp;reservation_id=30684909588687&amp;guest_id=30684907745423", "Matthew Kuntz")</f>
        <v>Matthew Kuntz</v>
      </c>
      <c r="E5995" t="s">
        <v>3323</v>
      </c>
      <c r="F5995" t="s">
        <v>3292</v>
      </c>
      <c r="G5995">
        <v>129</v>
      </c>
      <c r="H5995">
        <v>140.22999999999999</v>
      </c>
      <c r="I5995">
        <v>140.22</v>
      </c>
      <c r="J5995">
        <v>0.01</v>
      </c>
    </row>
    <row r="5996" spans="1:10" x14ac:dyDescent="0.3">
      <c r="A5996" t="str">
        <f>HYPERLINK("https://us2.cloudbeds.com/connect/10074733072513#/reservations/30688024236186?display=YR244TQW8&amp;reservation_id=30688024236186", "YR244TQW8")</f>
        <v>YR244TQW8</v>
      </c>
      <c r="B5996" t="s">
        <v>10</v>
      </c>
      <c r="C5996" t="s">
        <v>42</v>
      </c>
      <c r="D5996" t="str">
        <f>HYPERLINK("https://us2.cloudbeds.com/connect/10074733072513#/reservations/30688024236186?display=Matt%20Sulivin&amp;reservation_id=30688024236186&amp;guest_id=30688024236184", "Matt Sulivin")</f>
        <v>Matt Sulivin</v>
      </c>
      <c r="E5996" t="s">
        <v>3324</v>
      </c>
      <c r="F5996" t="s">
        <v>2840</v>
      </c>
      <c r="G5996">
        <v>189</v>
      </c>
      <c r="H5996">
        <v>205.45</v>
      </c>
      <c r="I5996">
        <v>205.44</v>
      </c>
      <c r="J5996">
        <v>0.01</v>
      </c>
    </row>
    <row r="5997" spans="1:10" x14ac:dyDescent="0.3">
      <c r="A5997" t="str">
        <f>HYPERLINK("https://us2.cloudbeds.com/connect/10074733072513#/reservations/30687899541729?display=YR20VP0BA&amp;reservation_id=30687899541729", "YR20VP0BA")</f>
        <v>YR20VP0BA</v>
      </c>
      <c r="B5997" t="s">
        <v>10</v>
      </c>
      <c r="C5997" t="s">
        <v>42</v>
      </c>
      <c r="D5997" t="str">
        <f>HYPERLINK("https://us2.cloudbeds.com/connect/10074733072513#/reservations/30687899541729?display=Tom%20Jacobs&amp;reservation_id=30687899541729&amp;guest_id=30687638589635", "Tom Jacobs")</f>
        <v>Tom Jacobs</v>
      </c>
      <c r="E5997" t="s">
        <v>3170</v>
      </c>
      <c r="F5997" t="s">
        <v>2840</v>
      </c>
      <c r="G5997">
        <v>179</v>
      </c>
      <c r="H5997">
        <v>194.58</v>
      </c>
      <c r="I5997">
        <v>194.57</v>
      </c>
      <c r="J5997">
        <v>0.01</v>
      </c>
    </row>
    <row r="5998" spans="1:10" x14ac:dyDescent="0.3">
      <c r="A5998" t="str">
        <f>HYPERLINK("https://us2.cloudbeds.com/connect/10074733072513#/reservations/30687521878261?display=YR1ZA9VUR&amp;reservation_id=30687521878261", "YR1ZA9VUR")</f>
        <v>YR1ZA9VUR</v>
      </c>
      <c r="B5998" t="s">
        <v>10</v>
      </c>
      <c r="C5998" t="s">
        <v>42</v>
      </c>
      <c r="D5998" t="str">
        <f>HYPERLINK("https://us2.cloudbeds.com/connect/10074733072513#/reservations/30687521878261?display=Jeremy%20Ordal&amp;reservation_id=30687521878261&amp;guest_id=30687521878244", "Jeremy Ordal")</f>
        <v>Jeremy Ordal</v>
      </c>
      <c r="E5998" t="s">
        <v>3326</v>
      </c>
      <c r="F5998" t="s">
        <v>3048</v>
      </c>
      <c r="G5998">
        <v>129</v>
      </c>
      <c r="H5998">
        <v>140.22999999999999</v>
      </c>
      <c r="I5998">
        <v>140.22</v>
      </c>
      <c r="J5998">
        <v>0.01</v>
      </c>
    </row>
    <row r="5999" spans="1:10" x14ac:dyDescent="0.3">
      <c r="A5999" t="str">
        <f>HYPERLINK("https://us2.cloudbeds.com/connect/10074733072513#/reservations/30686940610785?display=YR19F5BAT&amp;reservation_id=30686940610785", "YR19F5BAT")</f>
        <v>YR19F5BAT</v>
      </c>
      <c r="B5999" t="s">
        <v>10</v>
      </c>
      <c r="C5999" t="s">
        <v>42</v>
      </c>
      <c r="D5999" t="str">
        <f>HYPERLINK("https://us2.cloudbeds.com/connect/10074733072513#/reservations/30686940610785?display=Eric%20Black&amp;reservation_id=30686940610785&amp;guest_id=30686933676170", "Eric Black")</f>
        <v>Eric Black</v>
      </c>
      <c r="E5999" t="s">
        <v>3327</v>
      </c>
      <c r="F5999" t="s">
        <v>2872</v>
      </c>
      <c r="G5999">
        <v>189</v>
      </c>
      <c r="H5999">
        <v>205.45</v>
      </c>
      <c r="I5999">
        <v>205.44</v>
      </c>
      <c r="J5999">
        <v>0.01</v>
      </c>
    </row>
    <row r="6000" spans="1:10" x14ac:dyDescent="0.3">
      <c r="A6000" t="str">
        <f>HYPERLINK("https://us2.cloudbeds.com/connect/10074733072513#/reservations/30687772446938?display=YR1UNJDX1&amp;reservation_id=30687772446938", "YR1UNJDX1")</f>
        <v>YR1UNJDX1</v>
      </c>
      <c r="B6000" t="s">
        <v>10</v>
      </c>
      <c r="C6000" t="s">
        <v>42</v>
      </c>
      <c r="D6000" t="str">
        <f>HYPERLINK("https://us2.cloudbeds.com/connect/10074733072513#/reservations/30687772446938?display=Daniel%20Smith&amp;reservation_id=30687772446938&amp;guest_id=30685738828028", "Daniel Smith")</f>
        <v>Daniel Smith</v>
      </c>
      <c r="E6000" t="s">
        <v>3329</v>
      </c>
      <c r="F6000" t="s">
        <v>2998</v>
      </c>
      <c r="G6000">
        <v>384</v>
      </c>
      <c r="H6000">
        <v>417.42</v>
      </c>
      <c r="I6000">
        <v>417.41</v>
      </c>
      <c r="J6000">
        <v>0.01</v>
      </c>
    </row>
    <row r="6001" spans="1:10" x14ac:dyDescent="0.3">
      <c r="A6001" t="str">
        <f>HYPERLINK("https://us2.cloudbeds.com/connect/10074733072513#/reservations/30686952902868?display=YR19PHCR8&amp;reservation_id=30686952902868", "YR19PHCR8")</f>
        <v>YR19PHCR8</v>
      </c>
      <c r="B6001" t="s">
        <v>10</v>
      </c>
      <c r="C6001" t="s">
        <v>23</v>
      </c>
      <c r="D6001" t="str">
        <f>HYPERLINK("https://us2.cloudbeds.com/connect/10074733072513#/reservations/30686952902868?display=Kelly%20Kiggins&amp;reservation_id=30686952902868&amp;guest_id=30686098014429", "Kelly Kiggins")</f>
        <v>Kelly Kiggins</v>
      </c>
      <c r="E6001" t="s">
        <v>3336</v>
      </c>
      <c r="F6001" t="s">
        <v>2872</v>
      </c>
      <c r="G6001">
        <v>159</v>
      </c>
      <c r="H6001">
        <v>172.84</v>
      </c>
      <c r="I6001">
        <v>172.83</v>
      </c>
      <c r="J6001">
        <v>0.01</v>
      </c>
    </row>
    <row r="6002" spans="1:10" x14ac:dyDescent="0.3">
      <c r="A6002" t="str">
        <f>HYPERLINK("https://us2.cloudbeds.com/connect/10074733072513#/reservations/30683062698236?display=YQV9C6NED&amp;reservation_id=30683062698236", "YQV9C6NED")</f>
        <v>YQV9C6NED</v>
      </c>
      <c r="B6002" t="s">
        <v>10</v>
      </c>
      <c r="C6002" t="s">
        <v>42</v>
      </c>
      <c r="D6002" t="str">
        <f>HYPERLINK("https://us2.cloudbeds.com/connect/10074733072513#/reservations/30683062698236?display=John-Anna%20Johnson&amp;reservation_id=30683062698236&amp;guest_id=30683062698234", "John-Anna Johnson")</f>
        <v>John-Anna Johnson</v>
      </c>
      <c r="E6002" t="s">
        <v>3337</v>
      </c>
      <c r="F6002" t="s">
        <v>3332</v>
      </c>
      <c r="G6002">
        <v>218</v>
      </c>
      <c r="H6002">
        <v>236.98</v>
      </c>
      <c r="I6002">
        <v>236.97</v>
      </c>
      <c r="J6002">
        <v>0.01</v>
      </c>
    </row>
    <row r="6003" spans="1:10" x14ac:dyDescent="0.3">
      <c r="A6003" t="str">
        <f>HYPERLINK("https://us2.cloudbeds.com/connect/10074733072513#/reservations/30686796705990?display=YR15PQWBH&amp;reservation_id=30686796705990", "YR15PQWBH")</f>
        <v>YR15PQWBH</v>
      </c>
      <c r="B6003" t="s">
        <v>10</v>
      </c>
      <c r="C6003" t="s">
        <v>42</v>
      </c>
      <c r="D6003" t="str">
        <f>HYPERLINK("https://us2.cloudbeds.com/connect/10074733072513#/reservations/30686796705990?display=Stephen%20Hugunin&amp;reservation_id=30686796705990&amp;guest_id=30685484023945", "Stephen Hugunin")</f>
        <v>Stephen Hugunin</v>
      </c>
      <c r="E6003" t="s">
        <v>3338</v>
      </c>
      <c r="F6003" t="s">
        <v>3068</v>
      </c>
      <c r="G6003">
        <v>320</v>
      </c>
      <c r="H6003">
        <v>347.85</v>
      </c>
      <c r="I6003">
        <v>347.84</v>
      </c>
      <c r="J6003">
        <v>0.01</v>
      </c>
    </row>
    <row r="6004" spans="1:10" x14ac:dyDescent="0.3">
      <c r="A6004" t="str">
        <f>HYPERLINK("https://us2.cloudbeds.com/connect/10074733072513#/reservations/30688319598811?display=YR2BMVNMR&amp;reservation_id=30688319598811", "YR2BMVNMR")</f>
        <v>YR2BMVNMR</v>
      </c>
      <c r="B6004" t="s">
        <v>10</v>
      </c>
      <c r="C6004" t="s">
        <v>42</v>
      </c>
      <c r="D6004" t="str">
        <f>HYPERLINK("https://us2.cloudbeds.com/connect/10074733072513#/reservations/30688319598811?display=Kerry%20Johnson&amp;reservation_id=30688319598811&amp;guest_id=30688319598794", "Kerry Johnson")</f>
        <v>Kerry Johnson</v>
      </c>
      <c r="E6004" t="s">
        <v>3339</v>
      </c>
      <c r="F6004" t="s">
        <v>2998</v>
      </c>
      <c r="G6004">
        <v>94.5</v>
      </c>
      <c r="H6004">
        <v>102.73</v>
      </c>
      <c r="I6004">
        <v>102.72</v>
      </c>
      <c r="J6004">
        <v>0.01</v>
      </c>
    </row>
    <row r="6005" spans="1:10" x14ac:dyDescent="0.3">
      <c r="A6005" t="str">
        <f>HYPERLINK("https://us2.cloudbeds.com/connect/10074733072513#/reservations/30686961008809?display=YR19WBV9R&amp;reservation_id=30686961008809", "YR19WBV9R")</f>
        <v>YR19WBV9R</v>
      </c>
      <c r="B6005" t="s">
        <v>10</v>
      </c>
      <c r="C6005" t="s">
        <v>23</v>
      </c>
      <c r="D6005" t="str">
        <f>HYPERLINK("https://us2.cloudbeds.com/connect/10074733072513#/reservations/30686961008809?display=Kari%20Jensen&amp;reservation_id=30686961008809&amp;guest_id=30686961008792", "Kari Jensen")</f>
        <v>Kari Jensen</v>
      </c>
      <c r="E6005" t="s">
        <v>3340</v>
      </c>
      <c r="F6005" t="s">
        <v>2872</v>
      </c>
      <c r="G6005">
        <v>149</v>
      </c>
      <c r="H6005">
        <v>161.97</v>
      </c>
      <c r="I6005">
        <v>161.96</v>
      </c>
      <c r="J6005">
        <v>0.01</v>
      </c>
    </row>
    <row r="6006" spans="1:10" x14ac:dyDescent="0.3">
      <c r="A6006" t="str">
        <f>HYPERLINK("https://us2.cloudbeds.com/connect/10074733072513#/reservations/30687777071307?display=YR1URG2WE&amp;reservation_id=30687777071307", "YR1URG2WE")</f>
        <v>YR1URG2WE</v>
      </c>
      <c r="B6006" t="s">
        <v>10</v>
      </c>
      <c r="C6006" t="s">
        <v>42</v>
      </c>
      <c r="D6006" t="str">
        <f>HYPERLINK("https://us2.cloudbeds.com/connect/10074733072513#/reservations/30687777071307?display=Russell%20Fugitt,%20Russel&amp;reservation_id=30687777071307&amp;guest_id=30687777067263", "Russell Fugitt, Russel")</f>
        <v>Russell Fugitt, Russel</v>
      </c>
      <c r="E6006" t="s">
        <v>3341</v>
      </c>
      <c r="F6006" t="s">
        <v>2998</v>
      </c>
      <c r="G6006">
        <v>384</v>
      </c>
      <c r="H6006">
        <v>417.42</v>
      </c>
      <c r="I6006">
        <v>417.41</v>
      </c>
      <c r="J6006">
        <v>0.01</v>
      </c>
    </row>
    <row r="6007" spans="1:10" x14ac:dyDescent="0.3">
      <c r="A6007" t="str">
        <f>HYPERLINK("https://us2.cloudbeds.com/connect/10074733072513#/reservations/30687383957697?display=YR1KQ043Q&amp;reservation_id=30687383957697", "YR1KQ043Q")</f>
        <v>YR1KQ043Q</v>
      </c>
      <c r="B6007" t="s">
        <v>10</v>
      </c>
      <c r="C6007" t="s">
        <v>23</v>
      </c>
      <c r="D6007" t="str">
        <f>HYPERLINK("https://us2.cloudbeds.com/connect/10074733072513#/reservations/30687383957697?display=Vicki%20Hovorka&amp;reservation_id=30687383957697&amp;guest_id=30687377367201", "Vicki Hovorka")</f>
        <v>Vicki Hovorka</v>
      </c>
      <c r="E6007" t="s">
        <v>3344</v>
      </c>
      <c r="F6007" t="s">
        <v>3162</v>
      </c>
      <c r="G6007">
        <v>159</v>
      </c>
      <c r="H6007">
        <v>172.84</v>
      </c>
      <c r="I6007">
        <v>172.83</v>
      </c>
      <c r="J6007">
        <v>0.01</v>
      </c>
    </row>
    <row r="6008" spans="1:10" x14ac:dyDescent="0.3">
      <c r="A6008" t="str">
        <f>HYPERLINK("https://us2.cloudbeds.com/connect/10074733072513#/reservations/30685704724680?display=YR0AT0WMQ&amp;reservation_id=30685704724680", "YR0AT0WMQ")</f>
        <v>YR0AT0WMQ</v>
      </c>
      <c r="B6008" t="s">
        <v>10</v>
      </c>
      <c r="C6008" t="s">
        <v>42</v>
      </c>
      <c r="D6008" t="str">
        <f>HYPERLINK("https://us2.cloudbeds.com/connect/10074733072513#/reservations/30685704724680?display=Jennifer%20Edwards&amp;reservation_id=30685704724680&amp;guest_id=30685704724676", "Jennifer Edwards")</f>
        <v>Jennifer Edwards</v>
      </c>
      <c r="E6008" t="s">
        <v>3347</v>
      </c>
      <c r="F6008" t="s">
        <v>2682</v>
      </c>
      <c r="G6008">
        <v>159</v>
      </c>
      <c r="H6008">
        <v>172.84</v>
      </c>
      <c r="I6008">
        <v>172.83</v>
      </c>
      <c r="J6008">
        <v>0.01</v>
      </c>
    </row>
    <row r="6009" spans="1:10" x14ac:dyDescent="0.3">
      <c r="A6009" t="str">
        <f>HYPERLINK("https://us2.cloudbeds.com/connect/10074733072513#/reservations/30684909592779?display=YQWNXX90N&amp;reservation_id=30684909592779", "YQWNXX90N")</f>
        <v>YQWNXX90N</v>
      </c>
      <c r="B6009" t="s">
        <v>10</v>
      </c>
      <c r="C6009" t="s">
        <v>42</v>
      </c>
      <c r="D6009" t="str">
        <f>HYPERLINK("https://us2.cloudbeds.com/connect/10074733072513#/reservations/30684909592779?display=Dominick%20Kunz&amp;reservation_id=30684909592779&amp;guest_id=30684909592777", "Dominick Kunz")</f>
        <v>Dominick Kunz</v>
      </c>
      <c r="E6009" t="s">
        <v>3348</v>
      </c>
      <c r="F6009" t="s">
        <v>3292</v>
      </c>
      <c r="G6009">
        <v>258</v>
      </c>
      <c r="H6009">
        <v>280.45999999999998</v>
      </c>
      <c r="I6009">
        <v>280.45</v>
      </c>
      <c r="J6009">
        <v>0.01</v>
      </c>
    </row>
    <row r="6010" spans="1:10" x14ac:dyDescent="0.3">
      <c r="A6010" t="str">
        <f>HYPERLINK("https://us2.cloudbeds.com/connect/10074733072513#/reservations/30688429465792?display=YR2EBVH17&amp;reservation_id=30688429465792", "YR2EBVH17")</f>
        <v>YR2EBVH17</v>
      </c>
      <c r="B6010" t="s">
        <v>10</v>
      </c>
      <c r="C6010" t="s">
        <v>20</v>
      </c>
      <c r="D6010" t="str">
        <f>HYPERLINK("https://us2.cloudbeds.com/connect/10074733072513#/reservations/30688429465792?display=David%20Garreffa&amp;reservation_id=30688429465792&amp;guest_id=30688423948485", "David Garreffa")</f>
        <v>David Garreffa</v>
      </c>
      <c r="E6010" t="s">
        <v>3349</v>
      </c>
      <c r="F6010" t="s">
        <v>3131</v>
      </c>
      <c r="G6010">
        <v>141.55000000000001</v>
      </c>
      <c r="H6010">
        <v>153.87</v>
      </c>
      <c r="I6010">
        <v>153.86000000000001</v>
      </c>
      <c r="J6010">
        <v>0.01</v>
      </c>
    </row>
    <row r="6011" spans="1:10" x14ac:dyDescent="0.3">
      <c r="A6011" t="str">
        <f>HYPERLINK("https://us2.cloudbeds.com/connect/10074733072513#/reservations/30687333146871?display=YR1JG57SQ&amp;reservation_id=30687333146871", "YR1JG57SQ")</f>
        <v>YR1JG57SQ</v>
      </c>
      <c r="B6011" t="s">
        <v>10</v>
      </c>
      <c r="C6011" t="s">
        <v>42</v>
      </c>
      <c r="D6011" t="str">
        <f>HYPERLINK("https://us2.cloudbeds.com/connect/10074733072513#/reservations/30687333146871?display=Morgan%20Glanzer&amp;reservation_id=30687333146871&amp;guest_id=30687333146866", "Morgan Glanzer")</f>
        <v>Morgan Glanzer</v>
      </c>
      <c r="E6011" t="s">
        <v>3350</v>
      </c>
      <c r="F6011" t="s">
        <v>3162</v>
      </c>
      <c r="G6011">
        <v>149</v>
      </c>
      <c r="H6011">
        <v>161.97</v>
      </c>
      <c r="I6011">
        <v>161.96</v>
      </c>
      <c r="J6011">
        <v>0.01</v>
      </c>
    </row>
    <row r="6012" spans="1:10" x14ac:dyDescent="0.3">
      <c r="A6012" t="str">
        <f>HYPERLINK("https://us2.cloudbeds.com/connect/10074733072513#/reservations/30686769750261?display=YR1532TK8&amp;reservation_id=30686769750261", "YR1532TK8")</f>
        <v>YR1532TK8</v>
      </c>
      <c r="B6012" t="s">
        <v>10</v>
      </c>
      <c r="C6012" t="s">
        <v>42</v>
      </c>
      <c r="D6012" t="str">
        <f>HYPERLINK("https://us2.cloudbeds.com/connect/10074733072513#/reservations/30686769750261?display=Kellie%20Kimmen&amp;reservation_id=30686769750261&amp;guest_id=30686769750256", "Kellie Kimmen")</f>
        <v>Kellie Kimmen</v>
      </c>
      <c r="E6012" t="s">
        <v>3353</v>
      </c>
      <c r="F6012" t="s">
        <v>3141</v>
      </c>
      <c r="G6012">
        <v>159</v>
      </c>
      <c r="H6012">
        <v>172.84</v>
      </c>
      <c r="I6012">
        <v>172.83</v>
      </c>
      <c r="J6012">
        <v>0.01</v>
      </c>
    </row>
    <row r="6013" spans="1:10" x14ac:dyDescent="0.3">
      <c r="A6013" t="str">
        <f>HYPERLINK("https://us2.cloudbeds.com/connect/10074733072513#/reservations/30687365198024?display=YR1KA63JS&amp;reservation_id=30687365198024", "YR1KA63JS")</f>
        <v>YR1KA63JS</v>
      </c>
      <c r="B6013" t="s">
        <v>10</v>
      </c>
      <c r="C6013" t="s">
        <v>42</v>
      </c>
      <c r="D6013" t="str">
        <f>HYPERLINK("https://us2.cloudbeds.com/connect/10074733072513#/reservations/30687365198024?display=Paul%20Haecherl&amp;reservation_id=30687365198024&amp;guest_id=30687365198022", "Paul Haecherl")</f>
        <v>Paul Haecherl</v>
      </c>
      <c r="E6013" t="s">
        <v>3354</v>
      </c>
      <c r="F6013" t="s">
        <v>3162</v>
      </c>
      <c r="G6013">
        <v>169</v>
      </c>
      <c r="H6013">
        <v>183.71</v>
      </c>
      <c r="I6013">
        <v>183.7</v>
      </c>
      <c r="J6013">
        <v>0.01</v>
      </c>
    </row>
    <row r="6014" spans="1:10" x14ac:dyDescent="0.3">
      <c r="A6014" t="str">
        <f>HYPERLINK("https://us2.cloudbeds.com/connect/10074733072513#/reservations/30687803539707?display=YR1VGQK75&amp;reservation_id=30687803539707", "YR1VGQK75")</f>
        <v>YR1VGQK75</v>
      </c>
      <c r="B6014" t="s">
        <v>10</v>
      </c>
      <c r="C6014" t="s">
        <v>42</v>
      </c>
      <c r="D6014" t="str">
        <f>HYPERLINK("https://us2.cloudbeds.com/connect/10074733072513#/reservations/30687803539707?display=John%20Teupel&amp;reservation_id=30687803539707&amp;guest_id=30677025317017", "John Teupel")</f>
        <v>John Teupel</v>
      </c>
      <c r="E6014" t="s">
        <v>3355</v>
      </c>
      <c r="F6014" t="s">
        <v>3068</v>
      </c>
      <c r="G6014">
        <v>79</v>
      </c>
      <c r="H6014">
        <v>85.88</v>
      </c>
      <c r="I6014">
        <v>85.87</v>
      </c>
      <c r="J6014">
        <v>0.01</v>
      </c>
    </row>
    <row r="6015" spans="1:10" x14ac:dyDescent="0.3">
      <c r="A6015" t="str">
        <f>HYPERLINK("https://us2.cloudbeds.com/connect/10074733072513#/reservations/30686830047367?display=YR16KUZS9&amp;reservation_id=30686830047367", "YR16KUZS9")</f>
        <v>YR16KUZS9</v>
      </c>
      <c r="B6015" t="s">
        <v>10</v>
      </c>
      <c r="C6015" t="s">
        <v>23</v>
      </c>
      <c r="D6015" t="str">
        <f>HYPERLINK("https://us2.cloudbeds.com/connect/10074733072513#/reservations/30686830047367?display=Zachary%20Shackelford&amp;reservation_id=30686830047367&amp;guest_id=30686830043286", "Zachary Shackelford")</f>
        <v>Zachary Shackelford</v>
      </c>
      <c r="E6015" t="s">
        <v>3356</v>
      </c>
      <c r="F6015" t="s">
        <v>3141</v>
      </c>
      <c r="G6015">
        <v>179</v>
      </c>
      <c r="H6015">
        <v>194.58</v>
      </c>
      <c r="I6015">
        <v>194.57</v>
      </c>
      <c r="J6015">
        <v>0.01</v>
      </c>
    </row>
    <row r="6016" spans="1:10" x14ac:dyDescent="0.3">
      <c r="A6016" t="str">
        <f>HYPERLINK("https://us2.cloudbeds.com/connect/10074733072513#/reservations/31678159085702?display=MH9QCRXR7&amp;reservation_id=31678159085702", "MH9QCRXR7")</f>
        <v>MH9QCRXR7</v>
      </c>
      <c r="B6016" t="s">
        <v>10</v>
      </c>
      <c r="C6016" t="s">
        <v>42</v>
      </c>
      <c r="D6016" t="str">
        <f>HYPERLINK("https://us2.cloudbeds.com/connect/10074733072513#/reservations/31678159085702?display=Tom%20Laurie%20Behrends&amp;reservation_id=31678159085702&amp;guest_id=31678153109739", "Tom Laurie Behrends")</f>
        <v>Tom Laurie Behrends</v>
      </c>
      <c r="E6016" t="s">
        <v>3357</v>
      </c>
      <c r="F6016" t="s">
        <v>3061</v>
      </c>
      <c r="G6016">
        <v>258</v>
      </c>
      <c r="H6016">
        <v>280.45999999999998</v>
      </c>
      <c r="I6016">
        <v>280.45</v>
      </c>
      <c r="J6016">
        <v>0.01</v>
      </c>
    </row>
    <row r="6017" spans="1:10" x14ac:dyDescent="0.3">
      <c r="A6017" t="str">
        <f>HYPERLINK("https://us2.cloudbeds.com/connect/10074733072513#/reservations/30686760902816?display=YR14SKN7S&amp;reservation_id=30686760902816", "YR14SKN7S")</f>
        <v>YR14SKN7S</v>
      </c>
      <c r="B6017" t="s">
        <v>10</v>
      </c>
      <c r="C6017" t="s">
        <v>42</v>
      </c>
      <c r="D6017" t="str">
        <f>HYPERLINK("https://us2.cloudbeds.com/connect/10074733072513#/reservations/30686760902816?display=Mikkel%20Larson&amp;reservation_id=30686760902816&amp;guest_id=30686760902805", "Mikkel Larson")</f>
        <v>Mikkel Larson</v>
      </c>
      <c r="E6017" t="s">
        <v>3358</v>
      </c>
      <c r="F6017" t="s">
        <v>3141</v>
      </c>
      <c r="G6017">
        <v>169</v>
      </c>
      <c r="H6017">
        <v>183.71</v>
      </c>
      <c r="I6017">
        <v>183.7</v>
      </c>
      <c r="J6017">
        <v>0.01</v>
      </c>
    </row>
    <row r="6018" spans="1:10" x14ac:dyDescent="0.3">
      <c r="A6018" t="str">
        <f>HYPERLINK("https://us2.cloudbeds.com/connect/10074733072513#/reservations/30684894920865?display=YQWN66068&amp;reservation_id=30684894920865", "YQWN66068")</f>
        <v>YQWN66068</v>
      </c>
      <c r="B6018" t="s">
        <v>10</v>
      </c>
      <c r="C6018" t="s">
        <v>42</v>
      </c>
      <c r="D6018" t="str">
        <f>HYPERLINK("https://us2.cloudbeds.com/connect/10074733072513#/reservations/30684894920865?display=Diane%20Hansen&amp;reservation_id=30684894920865&amp;guest_id=30684894920863", "Diane Hansen")</f>
        <v>Diane Hansen</v>
      </c>
      <c r="E6018" t="s">
        <v>3361</v>
      </c>
      <c r="F6018" t="s">
        <v>3292</v>
      </c>
      <c r="G6018">
        <v>129</v>
      </c>
      <c r="H6018">
        <v>140.22999999999999</v>
      </c>
      <c r="I6018">
        <v>140.22</v>
      </c>
      <c r="J6018">
        <v>0.01</v>
      </c>
    </row>
    <row r="6019" spans="1:10" x14ac:dyDescent="0.3">
      <c r="A6019" t="str">
        <f>HYPERLINK("https://us2.cloudbeds.com/connect/10074733072513#/reservations/30687877877976?display=YR20DG62W&amp;reservation_id=30687877877976", "YR20DG62W")</f>
        <v>YR20DG62W</v>
      </c>
      <c r="B6019" t="s">
        <v>10</v>
      </c>
      <c r="C6019" t="s">
        <v>42</v>
      </c>
      <c r="D6019" t="str">
        <f>HYPERLINK("https://us2.cloudbeds.com/connect/10074733072513#/reservations/30687877877976?display=Robyn%20Rohr&amp;reservation_id=30687877877976&amp;guest_id=30687877877972", "Robyn Rohr")</f>
        <v>Robyn Rohr</v>
      </c>
      <c r="E6019" t="s">
        <v>3362</v>
      </c>
      <c r="F6019" t="s">
        <v>2481</v>
      </c>
      <c r="G6019">
        <v>189</v>
      </c>
      <c r="H6019">
        <v>205.45</v>
      </c>
      <c r="I6019">
        <v>205.44</v>
      </c>
      <c r="J6019">
        <v>0.01</v>
      </c>
    </row>
    <row r="6020" spans="1:10" x14ac:dyDescent="0.3">
      <c r="A6020" t="str">
        <f>HYPERLINK("https://us2.cloudbeds.com/connect/10074733072513#/reservations/30685415289003?display=YR03FW0HN&amp;reservation_id=30685415289003", "YR03FW0HN")</f>
        <v>YR03FW0HN</v>
      </c>
      <c r="B6020" t="s">
        <v>10</v>
      </c>
      <c r="C6020" t="s">
        <v>42</v>
      </c>
      <c r="D6020" t="str">
        <f>HYPERLINK("https://us2.cloudbeds.com/connect/10074733072513#/reservations/30685415289003?display=Tonia%20Poirier%20Tim%20Gisi&amp;reservation_id=30685415289003&amp;guest_id=30685415288991", "Tonia Poirier Tim Gisi")</f>
        <v>Tonia Poirier Tim Gisi</v>
      </c>
      <c r="E6020" t="s">
        <v>3364</v>
      </c>
      <c r="F6020" t="s">
        <v>3196</v>
      </c>
      <c r="G6020">
        <v>119</v>
      </c>
      <c r="H6020">
        <v>129.36000000000001</v>
      </c>
      <c r="I6020">
        <v>129.35</v>
      </c>
      <c r="J6020">
        <v>0.01</v>
      </c>
    </row>
    <row r="6021" spans="1:10" x14ac:dyDescent="0.3">
      <c r="A6021" t="str">
        <f>HYPERLINK("https://us2.cloudbeds.com/connect/10074733072513#/reservations/30688351215763?display=YR2CGKGN9&amp;reservation_id=30688351215763", "YR2CGKGN9")</f>
        <v>YR2CGKGN9</v>
      </c>
      <c r="B6021" t="s">
        <v>10</v>
      </c>
      <c r="C6021" t="s">
        <v>23</v>
      </c>
      <c r="D6021" t="str">
        <f>HYPERLINK("https://us2.cloudbeds.com/connect/10074733072513#/reservations/30688351215763?display=Melissa%20Newell&amp;reservation_id=30688351215763&amp;guest_id=30688351215758", "Melissa Newell")</f>
        <v>Melissa Newell</v>
      </c>
      <c r="E6021" t="s">
        <v>3365</v>
      </c>
      <c r="F6021" t="s">
        <v>2998</v>
      </c>
      <c r="G6021">
        <v>149</v>
      </c>
      <c r="H6021">
        <v>161.97</v>
      </c>
      <c r="I6021">
        <v>161.96</v>
      </c>
      <c r="J6021">
        <v>0.01</v>
      </c>
    </row>
    <row r="6022" spans="1:10" x14ac:dyDescent="0.3">
      <c r="A6022" t="str">
        <f>HYPERLINK("https://us2.cloudbeds.com/connect/10074733072513#/reservations/30684251283679?display=YQW6ZES43&amp;reservation_id=30684251283679", "YQW6ZES43")</f>
        <v>YQW6ZES43</v>
      </c>
      <c r="B6022" t="s">
        <v>10</v>
      </c>
      <c r="C6022" t="s">
        <v>42</v>
      </c>
      <c r="D6022" t="str">
        <f>HYPERLINK("https://us2.cloudbeds.com/connect/10074733072513#/reservations/30684251283679?display=Denise%20Duffy&amp;reservation_id=30684251283679&amp;guest_id=30682386936024", "Denise Duffy")</f>
        <v>Denise Duffy</v>
      </c>
      <c r="E6022" t="s">
        <v>3233</v>
      </c>
      <c r="F6022" t="s">
        <v>3309</v>
      </c>
      <c r="G6022">
        <v>282</v>
      </c>
      <c r="H6022">
        <v>306.54000000000002</v>
      </c>
      <c r="I6022">
        <v>306.52999999999997</v>
      </c>
      <c r="J6022">
        <v>0.01</v>
      </c>
    </row>
    <row r="6023" spans="1:10" x14ac:dyDescent="0.3">
      <c r="A6023" t="str">
        <f>HYPERLINK("https://us2.cloudbeds.com/connect/10074733072513#/reservations/30687902900475?display=YR211JFJH&amp;reservation_id=30687902900475", "YR211JFJH")</f>
        <v>YR211JFJH</v>
      </c>
      <c r="B6023" t="s">
        <v>10</v>
      </c>
      <c r="C6023" t="s">
        <v>20</v>
      </c>
      <c r="D6023" t="str">
        <f>HYPERLINK("https://us2.cloudbeds.com/connect/10074733072513#/reservations/30687902900475?display=Harlen%20Henke&amp;reservation_id=30687902900475&amp;guest_id=30687902900470", "Harlen Henke")</f>
        <v>Harlen Henke</v>
      </c>
      <c r="E6023" t="s">
        <v>3367</v>
      </c>
      <c r="F6023" t="s">
        <v>3191</v>
      </c>
      <c r="G6023">
        <v>144.54</v>
      </c>
      <c r="H6023">
        <v>157.12</v>
      </c>
      <c r="I6023">
        <v>157.11000000000001</v>
      </c>
      <c r="J6023">
        <v>0.01</v>
      </c>
    </row>
    <row r="6024" spans="1:10" x14ac:dyDescent="0.3">
      <c r="A6024" t="str">
        <f>HYPERLINK("https://us2.cloudbeds.com/connect/10074733072513#/reservations/30687643537631?display=YR1RDTAHC&amp;reservation_id=30687643537631", "YR1RDTAHC")</f>
        <v>YR1RDTAHC</v>
      </c>
      <c r="B6024" t="s">
        <v>10</v>
      </c>
      <c r="C6024" t="s">
        <v>20</v>
      </c>
      <c r="D6024" t="str">
        <f>HYPERLINK("https://us2.cloudbeds.com/connect/10074733072513#/reservations/30687643537631?display=Juanita%20Peters&amp;reservation_id=30687643537631&amp;guest_id=30687643533541", "Juanita Peters")</f>
        <v>Juanita Peters</v>
      </c>
      <c r="E6024" t="s">
        <v>3368</v>
      </c>
      <c r="F6024" t="s">
        <v>3068</v>
      </c>
      <c r="G6024">
        <v>144.5</v>
      </c>
      <c r="H6024">
        <v>157.08000000000001</v>
      </c>
      <c r="I6024">
        <v>157.07</v>
      </c>
      <c r="J6024">
        <v>0.01</v>
      </c>
    </row>
    <row r="6025" spans="1:10" x14ac:dyDescent="0.3">
      <c r="A6025" t="str">
        <f>HYPERLINK("https://us2.cloudbeds.com/connect/10074733072513#/reservations/30687636766862?display=YR1R85U3J&amp;reservation_id=30687636766862", "YR1R85U3J")</f>
        <v>YR1R85U3J</v>
      </c>
      <c r="B6025" t="s">
        <v>10</v>
      </c>
      <c r="C6025" t="s">
        <v>20</v>
      </c>
      <c r="D6025" t="str">
        <f>HYPERLINK("https://us2.cloudbeds.com/connect/10074733072513#/reservations/30687636766862?display=Bruce%20Dunn&amp;reservation_id=30687636766862&amp;guest_id=30687636766851", "Bruce Dunn")</f>
        <v>Bruce Dunn</v>
      </c>
      <c r="E6025" t="s">
        <v>3369</v>
      </c>
      <c r="F6025" t="s">
        <v>3068</v>
      </c>
      <c r="G6025">
        <v>144.54</v>
      </c>
      <c r="H6025">
        <v>157.12</v>
      </c>
      <c r="I6025">
        <v>157.11000000000001</v>
      </c>
      <c r="J6025">
        <v>0.01</v>
      </c>
    </row>
    <row r="6026" spans="1:10" x14ac:dyDescent="0.3">
      <c r="A6026" t="str">
        <f>HYPERLINK("https://us2.cloudbeds.com/connect/10074733072513#/reservations/30687612887285?display=YR1QY1E41&amp;reservation_id=30687612887285", "YR1QY1E41")</f>
        <v>YR1QY1E41</v>
      </c>
      <c r="B6026" t="s">
        <v>10</v>
      </c>
      <c r="C6026" t="s">
        <v>121</v>
      </c>
      <c r="D6026" t="str">
        <f>HYPERLINK("https://us2.cloudbeds.com/connect/10074733072513#/reservations/30687612887285?display=Nickolis%20Greiner&amp;reservation_id=30687612887285&amp;guest_id=30687612887282", "Nickolis Greiner")</f>
        <v>Nickolis Greiner</v>
      </c>
      <c r="E6026" t="s">
        <v>3370</v>
      </c>
      <c r="F6026" t="s">
        <v>3068</v>
      </c>
      <c r="G6026">
        <v>130</v>
      </c>
      <c r="H6026">
        <v>141.32</v>
      </c>
      <c r="I6026">
        <v>141.31</v>
      </c>
      <c r="J6026">
        <v>0.01</v>
      </c>
    </row>
    <row r="6027" spans="1:10" x14ac:dyDescent="0.3">
      <c r="A6027" t="str">
        <f>HYPERLINK("https://us2.cloudbeds.com/connect/10074733072513#/reservations/30686980882563?display=YR1AG3VRQ&amp;reservation_id=30686980882563", "YR1AG3VRQ")</f>
        <v>YR1AG3VRQ</v>
      </c>
      <c r="B6027" t="s">
        <v>10</v>
      </c>
      <c r="C6027" t="s">
        <v>23</v>
      </c>
      <c r="D6027" t="str">
        <f>HYPERLINK("https://us2.cloudbeds.com/connect/10074733072513#/reservations/30686980882563?display=Kristen%20Mccool&amp;reservation_id=30686980882563&amp;guest_id=30686980882561", "Kristen Mccool")</f>
        <v>Kristen Mccool</v>
      </c>
      <c r="E6027" t="s">
        <v>3373</v>
      </c>
      <c r="F6027" t="s">
        <v>3374</v>
      </c>
      <c r="G6027">
        <v>159</v>
      </c>
      <c r="H6027">
        <v>172.84</v>
      </c>
      <c r="I6027">
        <v>172.83</v>
      </c>
      <c r="J6027">
        <v>0.01</v>
      </c>
    </row>
    <row r="6028" spans="1:10" x14ac:dyDescent="0.3">
      <c r="A6028" t="str">
        <f>HYPERLINK("https://us2.cloudbeds.com/connect/10074733072513#/reservations/30687939145909?display=YR21W51R0&amp;reservation_id=30687939145909", "YR21W51R0")</f>
        <v>YR21W51R0</v>
      </c>
      <c r="B6028" t="s">
        <v>10</v>
      </c>
      <c r="C6028" t="s">
        <v>11</v>
      </c>
      <c r="D6028" t="str">
        <f>HYPERLINK("https://us2.cloudbeds.com/connect/10074733072513#/reservations/30687939145909?display=Daechang%20Bu&amp;reservation_id=30687939145909&amp;guest_id=30687930921117", "Daechang Bu")</f>
        <v>Daechang Bu</v>
      </c>
      <c r="E6028" t="s">
        <v>1319</v>
      </c>
      <c r="F6028" t="s">
        <v>3191</v>
      </c>
      <c r="G6028">
        <v>106.8</v>
      </c>
      <c r="H6028">
        <v>116.1</v>
      </c>
      <c r="I6028">
        <v>116.09</v>
      </c>
      <c r="J6028">
        <v>0.01</v>
      </c>
    </row>
    <row r="6029" spans="1:10" x14ac:dyDescent="0.3">
      <c r="A6029" t="str">
        <f>HYPERLINK("https://us2.cloudbeds.com/connect/10074733072513#/reservations/30687810052239?display=YR1VM9RGK&amp;reservation_id=30687810052239", "YR1VM9RGK")</f>
        <v>YR1VM9RGK</v>
      </c>
      <c r="B6029" t="s">
        <v>10</v>
      </c>
      <c r="C6029" t="s">
        <v>42</v>
      </c>
      <c r="D6029" t="str">
        <f>HYPERLINK("https://us2.cloudbeds.com/connect/10074733072513#/reservations/30687810052239?display=Greg%20Brusven&amp;reservation_id=30687810052239&amp;guest_id=30678363181204", "Greg Brusven")</f>
        <v>Greg Brusven</v>
      </c>
      <c r="E6029" t="s">
        <v>3375</v>
      </c>
      <c r="F6029" t="s">
        <v>3068</v>
      </c>
      <c r="G6029">
        <v>79</v>
      </c>
      <c r="H6029">
        <v>85.88</v>
      </c>
      <c r="I6029">
        <v>85.87</v>
      </c>
      <c r="J6029">
        <v>0.01</v>
      </c>
    </row>
    <row r="6030" spans="1:10" x14ac:dyDescent="0.3">
      <c r="A6030" t="str">
        <f>HYPERLINK("https://us2.cloudbeds.com/connect/10074733072513#/reservations/30685209206989?display=YQWV76FS6&amp;reservation_id=30685209206989", "YQWV76FS6")</f>
        <v>YQWV76FS6</v>
      </c>
      <c r="B6030" t="s">
        <v>10</v>
      </c>
      <c r="C6030" t="s">
        <v>42</v>
      </c>
      <c r="D6030" t="str">
        <f>HYPERLINK("https://us2.cloudbeds.com/connect/10074733072513#/reservations/30685209206989?display=Adam%20Chally&amp;reservation_id=30685209206989&amp;guest_id=30685204426930", "Adam Chally")</f>
        <v>Adam Chally</v>
      </c>
      <c r="E6030" t="s">
        <v>3376</v>
      </c>
      <c r="F6030" t="s">
        <v>3283</v>
      </c>
      <c r="G6030">
        <v>278</v>
      </c>
      <c r="H6030">
        <v>302.2</v>
      </c>
      <c r="I6030">
        <v>302.19</v>
      </c>
      <c r="J6030">
        <v>0.01</v>
      </c>
    </row>
    <row r="6031" spans="1:10" x14ac:dyDescent="0.3">
      <c r="A6031" t="str">
        <f>HYPERLINK("https://us2.cloudbeds.com/connect/10074733072513#/reservations/30688066818297?display=YR257QZ08&amp;reservation_id=30688066818297", "YR257QZ08")</f>
        <v>YR257QZ08</v>
      </c>
      <c r="B6031" t="s">
        <v>10</v>
      </c>
      <c r="C6031" t="s">
        <v>42</v>
      </c>
      <c r="D6031" t="str">
        <f>HYPERLINK("https://us2.cloudbeds.com/connect/10074733072513#/reservations/30688066818297?display=Mark%20Richardson&amp;reservation_id=30688066818297&amp;guest_id=30686508482778", "Mark Richardson")</f>
        <v>Mark Richardson</v>
      </c>
      <c r="E6031" t="s">
        <v>3209</v>
      </c>
      <c r="F6031" t="s">
        <v>3309</v>
      </c>
      <c r="G6031">
        <v>158</v>
      </c>
      <c r="H6031">
        <v>171.76</v>
      </c>
      <c r="I6031">
        <v>171.75</v>
      </c>
      <c r="J6031">
        <v>0.01</v>
      </c>
    </row>
    <row r="6032" spans="1:10" x14ac:dyDescent="0.3">
      <c r="A6032" t="str">
        <f>HYPERLINK("https://us2.cloudbeds.com/connect/10074733072513#/reservations/30686712897749?display=YR13Y4TES&amp;reservation_id=30686712897749", "YR13Y4TES")</f>
        <v>YR13Y4TES</v>
      </c>
      <c r="B6032" t="s">
        <v>10</v>
      </c>
      <c r="C6032" t="s">
        <v>42</v>
      </c>
      <c r="D6032" t="str">
        <f>HYPERLINK("https://us2.cloudbeds.com/connect/10074733072513#/reservations/30686712897749?display=Brian%20Jarvis&amp;reservation_id=30686712897749&amp;guest_id=30678539014283", "Brian Jarvis")</f>
        <v>Brian Jarvis</v>
      </c>
      <c r="E6032" t="s">
        <v>3382</v>
      </c>
      <c r="F6032" t="s">
        <v>3383</v>
      </c>
      <c r="G6032">
        <v>320</v>
      </c>
      <c r="H6032">
        <v>347.85</v>
      </c>
      <c r="I6032">
        <v>347.84</v>
      </c>
      <c r="J6032">
        <v>0.01</v>
      </c>
    </row>
    <row r="6033" spans="1:10" x14ac:dyDescent="0.3">
      <c r="A6033" t="str">
        <f>HYPERLINK("https://us2.cloudbeds.com/connect/10074733072513#/reservations/30688316289206?display=YR2BK5KXP&amp;reservation_id=30688316289206", "YR2BK5KXP")</f>
        <v>YR2BK5KXP</v>
      </c>
      <c r="B6033" t="s">
        <v>10</v>
      </c>
      <c r="C6033" t="s">
        <v>23</v>
      </c>
      <c r="D6033" t="str">
        <f>HYPERLINK("https://us2.cloudbeds.com/connect/10074733072513#/reservations/30688316289206?display=Michael%20Latson&amp;reservation_id=30688316289206&amp;guest_id=30688316289154", "Michael Latson")</f>
        <v>Michael Latson</v>
      </c>
      <c r="E6033" t="s">
        <v>3384</v>
      </c>
      <c r="F6033" t="s">
        <v>2998</v>
      </c>
      <c r="G6033">
        <v>229</v>
      </c>
      <c r="H6033">
        <v>248.93</v>
      </c>
      <c r="I6033">
        <v>248.92</v>
      </c>
      <c r="J6033">
        <v>0.01</v>
      </c>
    </row>
    <row r="6034" spans="1:10" x14ac:dyDescent="0.3">
      <c r="A6034" t="str">
        <f>HYPERLINK("https://us2.cloudbeds.com/connect/10074733072513#/reservations/30688340893923?display=YR2C7U9E8&amp;reservation_id=30688340893923", "YR2C7U9E8")</f>
        <v>YR2C7U9E8</v>
      </c>
      <c r="B6034" t="s">
        <v>10</v>
      </c>
      <c r="C6034" t="s">
        <v>42</v>
      </c>
      <c r="D6034" t="str">
        <f>HYPERLINK("https://us2.cloudbeds.com/connect/10074733072513#/reservations/30688340893923?display=Cory%20Glick&amp;reservation_id=30688340893923&amp;guest_id=30669423403138", "Cory Glick")</f>
        <v>Cory Glick</v>
      </c>
      <c r="E6034" t="s">
        <v>2769</v>
      </c>
      <c r="F6034" t="s">
        <v>2998</v>
      </c>
      <c r="G6034">
        <v>79</v>
      </c>
      <c r="H6034">
        <v>85.88</v>
      </c>
      <c r="I6034">
        <v>85.87</v>
      </c>
      <c r="J6034">
        <v>0.01</v>
      </c>
    </row>
    <row r="6035" spans="1:10" x14ac:dyDescent="0.3">
      <c r="A6035" t="str">
        <f>HYPERLINK("https://us2.cloudbeds.com/connect/10074733072513#/reservations/30688292991108?display=YR2B0HAHQ&amp;reservation_id=30688292991108", "YR2B0HAHQ")</f>
        <v>YR2B0HAHQ</v>
      </c>
      <c r="B6035" t="s">
        <v>10</v>
      </c>
      <c r="C6035" t="s">
        <v>121</v>
      </c>
      <c r="D6035" t="str">
        <f>HYPERLINK("https://us2.cloudbeds.com/connect/10074733072513#/reservations/30688292991108?display=James%20Hoffman&amp;reservation_id=30688292991108&amp;guest_id=30688292987055", "James Hoffman")</f>
        <v>James Hoffman</v>
      </c>
      <c r="E6035" t="s">
        <v>3385</v>
      </c>
      <c r="F6035" t="s">
        <v>2998</v>
      </c>
      <c r="G6035">
        <v>249</v>
      </c>
      <c r="H6035">
        <v>270.67</v>
      </c>
      <c r="I6035">
        <v>270.66000000000003</v>
      </c>
      <c r="J6035">
        <v>0.01</v>
      </c>
    </row>
    <row r="6036" spans="1:10" x14ac:dyDescent="0.3">
      <c r="A6036" t="str">
        <f>HYPERLINK("https://us2.cloudbeds.com/connect/10074733072513#/reservations/30688332828815?display=YR2C13SF1&amp;reservation_id=30688332828815", "YR2C13SF1")</f>
        <v>YR2C13SF1</v>
      </c>
      <c r="B6036" t="s">
        <v>10</v>
      </c>
      <c r="C6036" t="s">
        <v>42</v>
      </c>
      <c r="D6036" t="str">
        <f>HYPERLINK("https://us2.cloudbeds.com/connect/10074733072513#/reservations/30688332828815?display=Charles%20Benton&amp;reservation_id=30688332828815&amp;guest_id=30688332828813", "Charles Benton")</f>
        <v>Charles Benton</v>
      </c>
      <c r="E6036" t="s">
        <v>3386</v>
      </c>
      <c r="F6036" t="s">
        <v>2998</v>
      </c>
      <c r="G6036">
        <v>199</v>
      </c>
      <c r="H6036">
        <v>216.32</v>
      </c>
      <c r="I6036">
        <v>216.31</v>
      </c>
      <c r="J6036">
        <v>0.01</v>
      </c>
    </row>
    <row r="6037" spans="1:10" x14ac:dyDescent="0.3">
      <c r="A6037" t="str">
        <f>HYPERLINK("https://us2.cloudbeds.com/connect/10074733072513#/reservations/30688332824720?display=YR2C13ZMV&amp;reservation_id=30688332824720", "YR2C13ZMV")</f>
        <v>YR2C13ZMV</v>
      </c>
      <c r="B6037" t="s">
        <v>10</v>
      </c>
      <c r="C6037" t="s">
        <v>42</v>
      </c>
      <c r="D6037" t="str">
        <f>HYPERLINK("https://us2.cloudbeds.com/connect/10074733072513#/reservations/30688332824720?display=Daniel%20Amaya&amp;reservation_id=30688332824720&amp;guest_id=30688326897908", "Daniel Amaya")</f>
        <v>Daniel Amaya</v>
      </c>
      <c r="E6037" t="s">
        <v>3388</v>
      </c>
      <c r="F6037" t="s">
        <v>2998</v>
      </c>
      <c r="G6037">
        <v>199</v>
      </c>
      <c r="H6037">
        <v>216.32</v>
      </c>
      <c r="I6037">
        <v>216.31</v>
      </c>
      <c r="J6037">
        <v>0.01</v>
      </c>
    </row>
    <row r="6038" spans="1:10" x14ac:dyDescent="0.3">
      <c r="A6038" t="str">
        <f>HYPERLINK("https://us2.cloudbeds.com/connect/10074733072513#/reservations/30687853351047?display=YR1WPQMYN&amp;reservation_id=30687853351047", "YR1WPQMYN")</f>
        <v>YR1WPQMYN</v>
      </c>
      <c r="B6038" t="s">
        <v>10</v>
      </c>
      <c r="C6038" t="s">
        <v>42</v>
      </c>
      <c r="D6038" t="str">
        <f>HYPERLINK("https://us2.cloudbeds.com/connect/10074733072513#/reservations/30687853351047?display=Samantha%20Brink&amp;reservation_id=30687853351047&amp;guest_id=30687845167319", "Samantha Brink")</f>
        <v>Samantha Brink</v>
      </c>
      <c r="E6038" t="s">
        <v>3392</v>
      </c>
      <c r="F6038" t="s">
        <v>2481</v>
      </c>
      <c r="G6038">
        <v>219</v>
      </c>
      <c r="H6038">
        <v>238.06</v>
      </c>
      <c r="I6038">
        <v>238.05</v>
      </c>
      <c r="J6038">
        <v>0.01</v>
      </c>
    </row>
    <row r="6039" spans="1:10" x14ac:dyDescent="0.3">
      <c r="A6039" t="str">
        <f>HYPERLINK("https://us2.cloudbeds.com/connect/10074733072513#/reservations/30684271218909?display=YQW788J3V&amp;reservation_id=30684271218909", "YQW788J3V")</f>
        <v>YQW788J3V</v>
      </c>
      <c r="B6039" t="s">
        <v>10</v>
      </c>
      <c r="C6039" t="s">
        <v>42</v>
      </c>
      <c r="D6039" t="str">
        <f>HYPERLINK("https://us2.cloudbeds.com/connect/10074733072513#/reservations/30684271218909?display=Julie%20Kreikemeier&amp;reservation_id=30684271218909&amp;guest_id=30684271214826", "Julie Kreikemeier")</f>
        <v>Julie Kreikemeier</v>
      </c>
      <c r="E6039" t="s">
        <v>3394</v>
      </c>
      <c r="F6039" t="s">
        <v>3191</v>
      </c>
      <c r="G6039">
        <v>149</v>
      </c>
      <c r="H6039">
        <v>161.97</v>
      </c>
      <c r="I6039">
        <v>161.96</v>
      </c>
      <c r="J6039">
        <v>0.01</v>
      </c>
    </row>
    <row r="6040" spans="1:10" x14ac:dyDescent="0.3">
      <c r="A6040" t="str">
        <f>HYPERLINK("https://us2.cloudbeds.com/connect/10074733072513#/reservations/30688095510701?display=YR25W04G1&amp;reservation_id=30688095510701", "YR25W04G1")</f>
        <v>YR25W04G1</v>
      </c>
      <c r="B6040" t="s">
        <v>10</v>
      </c>
      <c r="C6040" t="s">
        <v>17</v>
      </c>
      <c r="D6040" t="str">
        <f>HYPERLINK("https://us2.cloudbeds.com/connect/10074733072513#/reservations/30688095510701?display=Jay%20Howard&amp;reservation_id=30688095510701&amp;guest_id=30688095510689", "Jay Howard")</f>
        <v>Jay Howard</v>
      </c>
      <c r="E6040" t="s">
        <v>3282</v>
      </c>
      <c r="F6040" t="s">
        <v>3309</v>
      </c>
      <c r="G6040">
        <v>318</v>
      </c>
      <c r="H6040">
        <v>345.68</v>
      </c>
      <c r="I6040">
        <v>345.67</v>
      </c>
      <c r="J6040">
        <v>0.01</v>
      </c>
    </row>
    <row r="6041" spans="1:10" x14ac:dyDescent="0.3">
      <c r="A6041" t="str">
        <f>HYPERLINK("https://us2.cloudbeds.com/connect/10074733072513#/reservations/30687792586901?display=YR1V7XRHV&amp;reservation_id=30687792586901", "YR1V7XRHV")</f>
        <v>YR1V7XRHV</v>
      </c>
      <c r="B6041" t="s">
        <v>10</v>
      </c>
      <c r="C6041" t="s">
        <v>11</v>
      </c>
      <c r="D6041" t="str">
        <f>HYPERLINK("https://us2.cloudbeds.com/connect/10074733072513#/reservations/30687792586901?display=Kathy%20Svoboda&amp;reservation_id=30687792586901&amp;guest_id=30687792586896", "Kathy Svoboda")</f>
        <v>Kathy Svoboda</v>
      </c>
      <c r="E6041" t="s">
        <v>3395</v>
      </c>
      <c r="F6041" t="s">
        <v>3302</v>
      </c>
      <c r="G6041">
        <v>740.1</v>
      </c>
      <c r="H6041">
        <v>804.5</v>
      </c>
      <c r="I6041">
        <v>804.49</v>
      </c>
      <c r="J6041">
        <v>0.01</v>
      </c>
    </row>
    <row r="6042" spans="1:10" x14ac:dyDescent="0.3">
      <c r="A6042" t="str">
        <f>HYPERLINK("https://us2.cloudbeds.com/connect/10074733072513#/reservations/30687447249150?display=YR1MDC9WK&amp;reservation_id=30687447249150", "YR1MDC9WK")</f>
        <v>YR1MDC9WK</v>
      </c>
      <c r="B6042" t="s">
        <v>10</v>
      </c>
      <c r="C6042" t="s">
        <v>42</v>
      </c>
      <c r="D6042" t="str">
        <f>HYPERLINK("https://us2.cloudbeds.com/connect/10074733072513#/reservations/30687447249150?display=Carlos%20Lara&amp;reservation_id=30687447249150&amp;guest_id=30687447249147", "Carlos Lara")</f>
        <v>Carlos Lara</v>
      </c>
      <c r="E6042" t="s">
        <v>3399</v>
      </c>
      <c r="F6042" t="s">
        <v>2786</v>
      </c>
      <c r="G6042">
        <v>159</v>
      </c>
      <c r="H6042">
        <v>172.84</v>
      </c>
      <c r="I6042">
        <v>172.83</v>
      </c>
      <c r="J6042">
        <v>0.01</v>
      </c>
    </row>
    <row r="6043" spans="1:10" x14ac:dyDescent="0.3">
      <c r="A6043" t="str">
        <f>HYPERLINK("https://us2.cloudbeds.com/connect/10074733072513#/reservations/30684264186067?display=YQW72AT1X&amp;reservation_id=30684264186067", "YQW72AT1X")</f>
        <v>YQW72AT1X</v>
      </c>
      <c r="B6043" t="s">
        <v>10</v>
      </c>
      <c r="C6043" t="s">
        <v>42</v>
      </c>
      <c r="D6043" t="str">
        <f>HYPERLINK("https://us2.cloudbeds.com/connect/10074733072513#/reservations/30684264186067?display=Jeffrey%20Potts&amp;reservation_id=30684264186067&amp;guest_id=30663715266764", "Jeffrey Potts")</f>
        <v>Jeffrey Potts</v>
      </c>
      <c r="E6043" t="s">
        <v>3400</v>
      </c>
      <c r="F6043" t="s">
        <v>3191</v>
      </c>
      <c r="G6043">
        <v>69</v>
      </c>
      <c r="H6043">
        <v>75.010000000000005</v>
      </c>
      <c r="I6043">
        <v>75</v>
      </c>
      <c r="J6043">
        <v>0.01</v>
      </c>
    </row>
    <row r="6044" spans="1:10" x14ac:dyDescent="0.3">
      <c r="A6044" t="str">
        <f>HYPERLINK("https://us2.cloudbeds.com/connect/10074733072513#/reservations/30685092257932?display=YQWS7J6KC&amp;reservation_id=30685092257932", "YQWS7J6KC")</f>
        <v>YQWS7J6KC</v>
      </c>
      <c r="B6044" t="s">
        <v>10</v>
      </c>
      <c r="C6044" t="s">
        <v>42</v>
      </c>
      <c r="D6044" t="str">
        <f>HYPERLINK("https://us2.cloudbeds.com/connect/10074733072513#/reservations/30685092257932?display=Andrew%20Townsend&amp;reservation_id=30685092257932&amp;guest_id=30685092257927", "Andrew Townsend")</f>
        <v>Andrew Townsend</v>
      </c>
      <c r="E6044" t="s">
        <v>3402</v>
      </c>
      <c r="F6044" t="s">
        <v>3403</v>
      </c>
      <c r="G6044">
        <v>119</v>
      </c>
      <c r="H6044">
        <v>129.36000000000001</v>
      </c>
      <c r="I6044">
        <v>129.35</v>
      </c>
      <c r="J6044">
        <v>0.01</v>
      </c>
    </row>
    <row r="6045" spans="1:10" x14ac:dyDescent="0.3">
      <c r="A6045" t="str">
        <f>HYPERLINK("https://us2.cloudbeds.com/connect/10074733072513#/reservations/30684921843906?display=YQWNST5TW&amp;reservation_id=30684921843906", "YQWNST5TW")</f>
        <v>YQWNST5TW</v>
      </c>
      <c r="B6045" t="s">
        <v>10</v>
      </c>
      <c r="C6045" t="s">
        <v>42</v>
      </c>
      <c r="D6045" t="str">
        <f>HYPERLINK("https://us2.cloudbeds.com/connect/10074733072513#/reservations/30684921843906?display=Robert%20Konz&amp;reservation_id=30684921843906&amp;guest_id=30684921843904", "Robert Konz")</f>
        <v>Robert Konz</v>
      </c>
      <c r="E6045" t="s">
        <v>3405</v>
      </c>
      <c r="F6045" t="s">
        <v>3292</v>
      </c>
      <c r="G6045">
        <v>248</v>
      </c>
      <c r="H6045">
        <v>269.58999999999997</v>
      </c>
      <c r="I6045">
        <v>269.58</v>
      </c>
      <c r="J6045">
        <v>0.01</v>
      </c>
    </row>
    <row r="6046" spans="1:10" x14ac:dyDescent="0.3">
      <c r="A6046" t="str">
        <f>HYPERLINK("https://us2.cloudbeds.com/connect/10074733072513#/reservations/30687789531321?display=YR1V4WQMK&amp;reservation_id=30687789531321", "YR1V4WQMK")</f>
        <v>YR1V4WQMK</v>
      </c>
      <c r="B6046" t="s">
        <v>10</v>
      </c>
      <c r="C6046" t="s">
        <v>17</v>
      </c>
      <c r="D6046" t="str">
        <f>HYPERLINK("https://us2.cloudbeds.com/connect/10074733072513#/reservations/30687789531321?display=Michael%20Clegg&amp;reservation_id=30687789531321&amp;guest_id=30687777071305", "Michael Clegg")</f>
        <v>Michael Clegg</v>
      </c>
      <c r="E6046" t="s">
        <v>3406</v>
      </c>
      <c r="F6046" t="s">
        <v>3302</v>
      </c>
      <c r="G6046">
        <v>219</v>
      </c>
      <c r="H6046">
        <v>238.06</v>
      </c>
      <c r="I6046">
        <v>238.05</v>
      </c>
      <c r="J6046">
        <v>0.01</v>
      </c>
    </row>
    <row r="6047" spans="1:10" x14ac:dyDescent="0.3">
      <c r="A6047" t="str">
        <f>HYPERLINK("https://us2.cloudbeds.com/connect/10074733072513#/reservations/30685862727808?display=YR0ENF47K&amp;reservation_id=30685862727808", "YR0ENF47K")</f>
        <v>YR0ENF47K</v>
      </c>
      <c r="B6047" t="s">
        <v>10</v>
      </c>
      <c r="C6047" t="s">
        <v>42</v>
      </c>
      <c r="D6047" t="str">
        <f>HYPERLINK("https://us2.cloudbeds.com/connect/10074733072513#/reservations/30685862727808?display=Jacob%20Bradly&amp;reservation_id=30685862727808&amp;guest_id=30685854658785", "Jacob Bradly")</f>
        <v>Jacob Bradly</v>
      </c>
      <c r="E6047" t="s">
        <v>3407</v>
      </c>
      <c r="F6047" t="s">
        <v>2682</v>
      </c>
      <c r="G6047">
        <v>238</v>
      </c>
      <c r="H6047">
        <v>258.72000000000003</v>
      </c>
      <c r="I6047">
        <v>258.70999999999998</v>
      </c>
      <c r="J6047">
        <v>0.01</v>
      </c>
    </row>
    <row r="6048" spans="1:10" x14ac:dyDescent="0.3">
      <c r="A6048" t="str">
        <f>HYPERLINK("https://us2.cloudbeds.com/connect/10074733072513#/reservations/30684264181962?display=YQW72AP95&amp;reservation_id=30684264181962", "YQW72AP95")</f>
        <v>YQW72AP95</v>
      </c>
      <c r="B6048" t="s">
        <v>10</v>
      </c>
      <c r="C6048" t="s">
        <v>42</v>
      </c>
      <c r="D6048" t="str">
        <f>HYPERLINK("https://us2.cloudbeds.com/connect/10074733072513#/reservations/30684264181962?display=Manh%20Nguyen&amp;reservation_id=30684264181962&amp;guest_id=30684257480891", "Manh Nguyen")</f>
        <v>Manh Nguyen</v>
      </c>
      <c r="E6048" t="s">
        <v>3408</v>
      </c>
      <c r="F6048" t="s">
        <v>3191</v>
      </c>
      <c r="G6048">
        <v>199</v>
      </c>
      <c r="H6048">
        <v>216.32</v>
      </c>
      <c r="I6048">
        <v>216.31</v>
      </c>
      <c r="J6048">
        <v>0.01</v>
      </c>
    </row>
    <row r="6049" spans="1:10" x14ac:dyDescent="0.3">
      <c r="A6049" t="str">
        <f>HYPERLINK("https://us2.cloudbeds.com/connect/10074733072513#/reservations/30688157548751?display=YR27XAECV&amp;reservation_id=30688157548751", "YR27XAECV")</f>
        <v>YR27XAECV</v>
      </c>
      <c r="B6049" t="s">
        <v>10</v>
      </c>
      <c r="C6049" t="s">
        <v>42</v>
      </c>
      <c r="D6049" t="str">
        <f>HYPERLINK("https://us2.cloudbeds.com/connect/10074733072513#/reservations/30688157548751?display=Mark%20Richardson%20Joe&amp;reservation_id=30688157548751&amp;guest_id=30688157544666", "Mark Richardson Joe")</f>
        <v>Mark Richardson Joe</v>
      </c>
      <c r="E6049" t="s">
        <v>3209</v>
      </c>
      <c r="F6049" t="s">
        <v>3309</v>
      </c>
      <c r="G6049">
        <v>79</v>
      </c>
      <c r="H6049">
        <v>85.88</v>
      </c>
      <c r="I6049">
        <v>85.87</v>
      </c>
      <c r="J6049">
        <v>0.01</v>
      </c>
    </row>
    <row r="6050" spans="1:10" x14ac:dyDescent="0.3">
      <c r="A6050" t="str">
        <f>HYPERLINK("https://us2.cloudbeds.com/connect/10074733072513#/reservations/30686662598865?display=YR12BZ8A8&amp;reservation_id=30686662598865", "YR12BZ8A8")</f>
        <v>YR12BZ8A8</v>
      </c>
      <c r="B6050" t="s">
        <v>10</v>
      </c>
      <c r="C6050" t="s">
        <v>42</v>
      </c>
      <c r="D6050" t="str">
        <f>HYPERLINK("https://us2.cloudbeds.com/connect/10074733072513#/reservations/30686662598865?display=Brock%20Smith&amp;reservation_id=30686662598865&amp;guest_id=30666138878158", "Brock Smith")</f>
        <v>Brock Smith</v>
      </c>
      <c r="E6050" t="s">
        <v>3409</v>
      </c>
      <c r="F6050" t="s">
        <v>3383</v>
      </c>
      <c r="G6050">
        <v>192</v>
      </c>
      <c r="H6050">
        <v>208.71</v>
      </c>
      <c r="I6050">
        <v>208.7</v>
      </c>
      <c r="J6050">
        <v>0.01</v>
      </c>
    </row>
    <row r="6051" spans="1:10" x14ac:dyDescent="0.3">
      <c r="A6051" t="str">
        <f>HYPERLINK("https://us2.cloudbeds.com/connect/10074733072513#/reservations/30687099224278?display=YR1DGTWUC&amp;reservation_id=30687099224278", "YR1DGTWUC")</f>
        <v>YR1DGTWUC</v>
      </c>
      <c r="B6051" t="s">
        <v>10</v>
      </c>
      <c r="C6051" t="s">
        <v>42</v>
      </c>
      <c r="D6051" t="str">
        <f>HYPERLINK("https://us2.cloudbeds.com/connect/10074733072513#/reservations/30687099224278?display=Garage%20Angry%201&amp;reservation_id=30687099224278&amp;guest_id=30687099224276", "Garage Angry 1")</f>
        <v>Garage Angry 1</v>
      </c>
      <c r="E6051" t="s">
        <v>3410</v>
      </c>
      <c r="F6051" t="s">
        <v>3309</v>
      </c>
      <c r="G6051">
        <v>89</v>
      </c>
      <c r="H6051">
        <v>96.75</v>
      </c>
      <c r="I6051">
        <v>96.74</v>
      </c>
      <c r="J6051">
        <v>0.01</v>
      </c>
    </row>
    <row r="6052" spans="1:10" x14ac:dyDescent="0.3">
      <c r="A6052" t="str">
        <f>HYPERLINK("https://us2.cloudbeds.com/connect/10074733072513#/reservations/30687748497538?display=YR1U3CWEY&amp;reservation_id=30687748497538", "YR1U3CWEY")</f>
        <v>YR1U3CWEY</v>
      </c>
      <c r="B6052" t="s">
        <v>10</v>
      </c>
      <c r="C6052" t="s">
        <v>42</v>
      </c>
      <c r="D6052" t="str">
        <f>HYPERLINK("https://us2.cloudbeds.com/connect/10074733072513#/reservations/30687748497538?display=Bob%20Rasch&amp;reservation_id=30687748497538&amp;guest_id=30687748493446", "Bob Rasch")</f>
        <v>Bob Rasch</v>
      </c>
      <c r="E6052" t="s">
        <v>3411</v>
      </c>
      <c r="F6052" t="s">
        <v>3383</v>
      </c>
      <c r="G6052">
        <v>338</v>
      </c>
      <c r="H6052">
        <v>367.42</v>
      </c>
      <c r="I6052">
        <v>367.41</v>
      </c>
      <c r="J6052">
        <v>0.01</v>
      </c>
    </row>
    <row r="6053" spans="1:10" x14ac:dyDescent="0.3">
      <c r="A6053" t="str">
        <f>HYPERLINK("https://us2.cloudbeds.com/connect/10074733072513#/reservations/30684244226250?display=YQW6XGFFH&amp;reservation_id=30684244226250", "YQW6XGFFH")</f>
        <v>YQW6XGFFH</v>
      </c>
      <c r="B6053" t="s">
        <v>10</v>
      </c>
      <c r="C6053" t="s">
        <v>11</v>
      </c>
      <c r="D6053" t="str">
        <f>HYPERLINK("https://us2.cloudbeds.com/connect/10074733072513#/reservations/30684244226250?display=Mason%20Pitts&amp;reservation_id=30684244226250&amp;guest_id=30684238549236", "Mason Pitts")</f>
        <v>Mason Pitts</v>
      </c>
      <c r="E6053" t="s">
        <v>2955</v>
      </c>
      <c r="F6053" t="s">
        <v>3309</v>
      </c>
      <c r="G6053">
        <v>106.8</v>
      </c>
      <c r="H6053">
        <v>116.1</v>
      </c>
      <c r="I6053">
        <v>116.09</v>
      </c>
      <c r="J6053">
        <v>0.01</v>
      </c>
    </row>
    <row r="6054" spans="1:10" x14ac:dyDescent="0.3">
      <c r="A6054" t="str">
        <f>HYPERLINK("https://us2.cloudbeds.com/connect/10074733072513#/reservations/30685709963408?display=YR0B0EP94&amp;reservation_id=30685709963408", "YR0B0EP94")</f>
        <v>YR0B0EP94</v>
      </c>
      <c r="B6054" t="s">
        <v>10</v>
      </c>
      <c r="C6054" t="s">
        <v>42</v>
      </c>
      <c r="D6054" t="str">
        <f>HYPERLINK("https://us2.cloudbeds.com/connect/10074733072513#/reservations/30685709963408?display=Katie%20Wigen&amp;reservation_id=30685709963408&amp;guest_id=30685709959320", "Katie Wigen")</f>
        <v>Katie Wigen</v>
      </c>
      <c r="E6054" t="s">
        <v>3412</v>
      </c>
      <c r="F6054" t="s">
        <v>2682</v>
      </c>
      <c r="G6054">
        <v>278</v>
      </c>
      <c r="H6054">
        <v>302.2</v>
      </c>
      <c r="I6054">
        <v>302.19</v>
      </c>
      <c r="J6054">
        <v>0.01</v>
      </c>
    </row>
    <row r="6055" spans="1:10" x14ac:dyDescent="0.3">
      <c r="A6055" t="str">
        <f>HYPERLINK("https://us2.cloudbeds.com/connect/10074733072513#/reservations/30688129949942?display=YR26S1F4D&amp;reservation_id=30688129949942", "YR26S1F4D")</f>
        <v>YR26S1F4D</v>
      </c>
      <c r="B6055" t="s">
        <v>10</v>
      </c>
      <c r="C6055" t="s">
        <v>11</v>
      </c>
      <c r="D6055" t="str">
        <f>HYPERLINK("https://us2.cloudbeds.com/connect/10074733072513#/reservations/30688129949942?display=Robert%20Ringger&amp;reservation_id=30688129949942&amp;guest_id=30688129949893", "Robert Ringger")</f>
        <v>Robert Ringger</v>
      </c>
      <c r="E6055" t="s">
        <v>1319</v>
      </c>
      <c r="F6055" t="s">
        <v>3309</v>
      </c>
      <c r="G6055">
        <v>106.8</v>
      </c>
      <c r="H6055">
        <v>116.1</v>
      </c>
      <c r="I6055">
        <v>116.09</v>
      </c>
      <c r="J6055">
        <v>0.01</v>
      </c>
    </row>
    <row r="6056" spans="1:10" x14ac:dyDescent="0.3">
      <c r="A6056" t="str">
        <f>HYPERLINK("https://us2.cloudbeds.com/connect/10074733072513#/reservations/30688177205394?display=YR281TDXQ&amp;reservation_id=30688177205394", "YR281TDXQ")</f>
        <v>YR281TDXQ</v>
      </c>
      <c r="B6056" t="s">
        <v>10</v>
      </c>
      <c r="C6056" t="s">
        <v>42</v>
      </c>
      <c r="D6056" t="str">
        <f>HYPERLINK("https://us2.cloudbeds.com/connect/10074733072513#/reservations/30688177205394?display=Patrick%20Wood&amp;reservation_id=30688177205394&amp;guest_id=30688171147457", "Patrick Wood")</f>
        <v>Patrick Wood</v>
      </c>
      <c r="E6056" t="s">
        <v>3415</v>
      </c>
      <c r="F6056" t="s">
        <v>3309</v>
      </c>
      <c r="G6056">
        <v>169</v>
      </c>
      <c r="H6056">
        <v>183.71</v>
      </c>
      <c r="I6056">
        <v>183.7</v>
      </c>
      <c r="J6056">
        <v>0.01</v>
      </c>
    </row>
    <row r="6057" spans="1:10" x14ac:dyDescent="0.3">
      <c r="A6057" t="str">
        <f>HYPERLINK("https://us2.cloudbeds.com/connect/10074733072513#/reservations/30686262305012?display=YR0P46G0G&amp;reservation_id=30686262305012", "YR0P46G0G")</f>
        <v>YR0P46G0G</v>
      </c>
      <c r="B6057" t="s">
        <v>10</v>
      </c>
      <c r="C6057" t="s">
        <v>42</v>
      </c>
      <c r="D6057" t="str">
        <f>HYPERLINK("https://us2.cloudbeds.com/connect/10074733072513#/reservations/30686262305012?display=Gerben%20De%20Jong&amp;reservation_id=30686262305012&amp;guest_id=30686262305010", "Gerben De Jong")</f>
        <v>Gerben De Jong</v>
      </c>
      <c r="E6057" t="s">
        <v>3416</v>
      </c>
      <c r="F6057" t="s">
        <v>2959</v>
      </c>
      <c r="G6057">
        <v>238</v>
      </c>
      <c r="H6057">
        <v>258.72000000000003</v>
      </c>
      <c r="I6057">
        <v>258.70999999999998</v>
      </c>
      <c r="J6057">
        <v>0.01</v>
      </c>
    </row>
    <row r="6058" spans="1:10" x14ac:dyDescent="0.3">
      <c r="A6058" t="str">
        <f>HYPERLINK("https://us2.cloudbeds.com/connect/10074733072513#/reservations/30685524918468?display=YR069DKCN&amp;reservation_id=30685524918468", "YR069DKCN")</f>
        <v>YR069DKCN</v>
      </c>
      <c r="B6058" t="s">
        <v>10</v>
      </c>
      <c r="C6058" t="s">
        <v>20</v>
      </c>
      <c r="D6058" t="str">
        <f>HYPERLINK("https://us2.cloudbeds.com/connect/10074733072513#/reservations/30685524918468?display=Danielle%20Bahr&amp;reservation_id=30685524918468&amp;guest_id=30685524914431", "Danielle Bahr")</f>
        <v>Danielle Bahr</v>
      </c>
      <c r="E6058" t="s">
        <v>3417</v>
      </c>
      <c r="F6058" t="s">
        <v>2959</v>
      </c>
      <c r="G6058">
        <v>219</v>
      </c>
      <c r="H6058">
        <v>238.06</v>
      </c>
      <c r="I6058">
        <v>238.05</v>
      </c>
      <c r="J6058">
        <v>0.01</v>
      </c>
    </row>
    <row r="6059" spans="1:10" x14ac:dyDescent="0.3">
      <c r="A6059" t="str">
        <f>HYPERLINK("https://us2.cloudbeds.com/connect/10074733072513#/reservations/30686979571941?display=YR1AF0GAW&amp;reservation_id=30686979571941", "YR1AF0GAW")</f>
        <v>YR1AF0GAW</v>
      </c>
      <c r="B6059" t="s">
        <v>10</v>
      </c>
      <c r="C6059" t="s">
        <v>11</v>
      </c>
      <c r="D6059" t="str">
        <f>HYPERLINK("https://us2.cloudbeds.com/connect/10074733072513#/reservations/30686979571941?display=Matthew%20Kuehl&amp;reservation_id=30686979571941&amp;guest_id=30686979571939", "Matthew Kuehl")</f>
        <v>Matthew Kuehl</v>
      </c>
      <c r="E6059" t="s">
        <v>1319</v>
      </c>
      <c r="F6059" t="s">
        <v>3418</v>
      </c>
      <c r="G6059">
        <v>106.8</v>
      </c>
      <c r="H6059">
        <v>116.1</v>
      </c>
      <c r="I6059">
        <v>116.09</v>
      </c>
      <c r="J6059">
        <v>0.01</v>
      </c>
    </row>
    <row r="6060" spans="1:10" x14ac:dyDescent="0.3">
      <c r="A6060" t="str">
        <f>HYPERLINK("https://us2.cloudbeds.com/connect/10074733072513#/reservations/30686736945316?display=YR148E1N0&amp;reservation_id=30686736945316", "YR148E1N0")</f>
        <v>YR148E1N0</v>
      </c>
      <c r="B6060" t="s">
        <v>10</v>
      </c>
      <c r="C6060" t="s">
        <v>42</v>
      </c>
      <c r="D6060" t="str">
        <f>HYPERLINK("https://us2.cloudbeds.com/connect/10074733072513#/reservations/30686736945316?display=Cameron%20Olson&amp;reservation_id=30686736945316&amp;guest_id=30686729691345", "Cameron Olson")</f>
        <v>Cameron Olson</v>
      </c>
      <c r="E6060" t="s">
        <v>3419</v>
      </c>
      <c r="F6060" t="s">
        <v>3418</v>
      </c>
      <c r="G6060">
        <v>169</v>
      </c>
      <c r="H6060">
        <v>183.71</v>
      </c>
      <c r="I6060">
        <v>183.7</v>
      </c>
      <c r="J6060">
        <v>0.01</v>
      </c>
    </row>
    <row r="6061" spans="1:10" x14ac:dyDescent="0.3">
      <c r="A6061" t="str">
        <f>HYPERLINK("https://us2.cloudbeds.com/connect/10074733072513#/reservations/30688196976887?display=YR28XXJ6V&amp;reservation_id=30688196976887", "YR28XXJ6V")</f>
        <v>YR28XXJ6V</v>
      </c>
      <c r="B6061" t="s">
        <v>10</v>
      </c>
      <c r="C6061" t="s">
        <v>42</v>
      </c>
      <c r="D6061" t="str">
        <f>HYPERLINK("https://us2.cloudbeds.com/connect/10074733072513#/reservations/30688196976887?display=Florez%20.&amp;reservation_id=30688196976887&amp;guest_id=30688196976874", "Florez .")</f>
        <v>Florez .</v>
      </c>
      <c r="E6061" t="s">
        <v>3420</v>
      </c>
      <c r="F6061" t="s">
        <v>3309</v>
      </c>
      <c r="G6061">
        <v>179</v>
      </c>
      <c r="H6061">
        <v>194.58</v>
      </c>
      <c r="I6061">
        <v>194.57</v>
      </c>
      <c r="J6061">
        <v>0.01</v>
      </c>
    </row>
    <row r="6062" spans="1:10" x14ac:dyDescent="0.3">
      <c r="A6062" t="str">
        <f>HYPERLINK("https://us2.cloudbeds.com/connect/10074733072513#/reservations/30686201491687?display=YR0NXU8ZF&amp;reservation_id=30686201491687", "YR0NXU8ZF")</f>
        <v>YR0NXU8ZF</v>
      </c>
      <c r="B6062" t="s">
        <v>10</v>
      </c>
      <c r="C6062" t="s">
        <v>42</v>
      </c>
      <c r="D6062" t="str">
        <f>HYPERLINK("https://us2.cloudbeds.com/connect/10074733072513#/reservations/30686201491687?display=Brian%20Jarveis&amp;reservation_id=30686201491687&amp;guest_id=30678973055201", "Brian Jarveis")</f>
        <v>Brian Jarveis</v>
      </c>
      <c r="E6062" t="s">
        <v>3421</v>
      </c>
      <c r="F6062" t="s">
        <v>2786</v>
      </c>
      <c r="G6062">
        <v>256</v>
      </c>
      <c r="H6062">
        <v>278.27999999999997</v>
      </c>
      <c r="I6062">
        <v>278.27</v>
      </c>
      <c r="J6062">
        <v>0.01</v>
      </c>
    </row>
    <row r="6063" spans="1:10" x14ac:dyDescent="0.3">
      <c r="A6063" t="str">
        <f>HYPERLINK("https://us2.cloudbeds.com/connect/10074733072513#/reservations/30687023874279?display=YR1BJC902&amp;reservation_id=30687023874279", "YR1BJC902")</f>
        <v>YR1BJC902</v>
      </c>
      <c r="B6063" t="s">
        <v>10</v>
      </c>
      <c r="C6063" t="s">
        <v>11</v>
      </c>
      <c r="D6063" t="str">
        <f>HYPERLINK("https://us2.cloudbeds.com/connect/10074733072513#/reservations/30687023874279?display=Mason%20Pitts&amp;reservation_id=30687023874279&amp;guest_id=30684238549236", "Mason Pitts")</f>
        <v>Mason Pitts</v>
      </c>
      <c r="E6063" t="s">
        <v>2955</v>
      </c>
      <c r="F6063" t="s">
        <v>3418</v>
      </c>
      <c r="G6063">
        <v>106.8</v>
      </c>
      <c r="H6063">
        <v>116.1</v>
      </c>
      <c r="I6063">
        <v>116.09</v>
      </c>
      <c r="J6063">
        <v>0.01</v>
      </c>
    </row>
    <row r="6064" spans="1:10" x14ac:dyDescent="0.3">
      <c r="A6064" t="str">
        <f>HYPERLINK("https://us2.cloudbeds.com/connect/10074733072513#/reservations/30687598108886?display=YR1Q8J6GP&amp;reservation_id=30687598108886", "YR1Q8J6GP")</f>
        <v>YR1Q8J6GP</v>
      </c>
      <c r="B6064" t="s">
        <v>10</v>
      </c>
      <c r="C6064" t="s">
        <v>11</v>
      </c>
      <c r="D6064" t="str">
        <f>HYPERLINK("https://us2.cloudbeds.com/connect/10074733072513#/reservations/30687598108886?display=Veronica%20Little&amp;reservation_id=30687598108886&amp;guest_id=30687598108881", "Veronica Little")</f>
        <v>Veronica Little</v>
      </c>
      <c r="E6064" t="s">
        <v>3422</v>
      </c>
      <c r="F6064" t="s">
        <v>3080</v>
      </c>
      <c r="G6064">
        <v>134.69999999999999</v>
      </c>
      <c r="H6064">
        <v>146.43</v>
      </c>
      <c r="I6064">
        <v>146.41999999999999</v>
      </c>
      <c r="J6064">
        <v>0.01</v>
      </c>
    </row>
    <row r="6065" spans="1:10" x14ac:dyDescent="0.3">
      <c r="A6065" t="str">
        <f>HYPERLINK("https://us2.cloudbeds.com/connect/10074733072513#/reservations/30686875099377?display=YR17PUCUN&amp;reservation_id=30686875099377", "YR17PUCUN")</f>
        <v>YR17PUCUN</v>
      </c>
      <c r="B6065" t="s">
        <v>10</v>
      </c>
      <c r="C6065" t="s">
        <v>121</v>
      </c>
      <c r="D6065" t="str">
        <f>HYPERLINK("https://us2.cloudbeds.com/connect/10074733072513#/reservations/30686875099377?display=Alexa%20Hanisch&amp;reservation_id=30686875099377&amp;guest_id=30686865674389", "Alexa Hanisch")</f>
        <v>Alexa Hanisch</v>
      </c>
      <c r="E6065" t="s">
        <v>3423</v>
      </c>
      <c r="F6065" t="s">
        <v>2481</v>
      </c>
      <c r="G6065">
        <v>437</v>
      </c>
      <c r="H6065">
        <v>475.03</v>
      </c>
      <c r="I6065">
        <v>475.02</v>
      </c>
      <c r="J6065">
        <v>0.01</v>
      </c>
    </row>
    <row r="6066" spans="1:10" x14ac:dyDescent="0.3">
      <c r="A6066" t="str">
        <f>HYPERLINK("https://us2.cloudbeds.com/connect/10074733072513#/reservations/30687222182112?display=YR1GYJFSB&amp;reservation_id=30687222182112", "YR1GYJFSB")</f>
        <v>YR1GYJFSB</v>
      </c>
      <c r="B6066" t="s">
        <v>10</v>
      </c>
      <c r="C6066" t="s">
        <v>42</v>
      </c>
      <c r="D6066" t="str">
        <f>HYPERLINK("https://us2.cloudbeds.com/connect/10074733072513#/reservations/30687222182112?display=Reynaldo%20Castillo&amp;reservation_id=30687222182112&amp;guest_id=30647397593257", "Reynaldo Castillo")</f>
        <v>Reynaldo Castillo</v>
      </c>
      <c r="E6066" t="s">
        <v>3425</v>
      </c>
      <c r="F6066" t="s">
        <v>2481</v>
      </c>
      <c r="G6066">
        <v>438</v>
      </c>
      <c r="H6066">
        <v>476.12</v>
      </c>
      <c r="I6066">
        <v>476.11</v>
      </c>
      <c r="J6066">
        <v>0.01</v>
      </c>
    </row>
    <row r="6067" spans="1:10" x14ac:dyDescent="0.3">
      <c r="A6067" t="str">
        <f>HYPERLINK("https://us2.cloudbeds.com/connect/10074733072513#/reservations/30685099315429?display=YQWSDHJAU&amp;reservation_id=30685099315429", "YQWSDHJAU")</f>
        <v>YQWSDHJAU</v>
      </c>
      <c r="B6067" t="s">
        <v>10</v>
      </c>
      <c r="C6067" t="s">
        <v>42</v>
      </c>
      <c r="D6067" t="str">
        <f>HYPERLINK("https://us2.cloudbeds.com/connect/10074733072513#/reservations/30685099315429?display=Nicole%20Hollaar&amp;reservation_id=30685099315429&amp;guest_id=30685099315425", "Nicole Hollaar")</f>
        <v>Nicole Hollaar</v>
      </c>
      <c r="E6067" t="s">
        <v>3426</v>
      </c>
      <c r="F6067" t="s">
        <v>3403</v>
      </c>
      <c r="G6067">
        <v>159</v>
      </c>
      <c r="H6067">
        <v>172.84</v>
      </c>
      <c r="I6067">
        <v>172.83</v>
      </c>
      <c r="J6067">
        <v>0.01</v>
      </c>
    </row>
    <row r="6068" spans="1:10" x14ac:dyDescent="0.3">
      <c r="A6068" t="str">
        <f>HYPERLINK("https://us2.cloudbeds.com/connect/10074733072513#/reservations/30687756050596?display=YR1U9P576&amp;reservation_id=30687756050596", "YR1U9P576")</f>
        <v>YR1U9P576</v>
      </c>
      <c r="B6068" t="s">
        <v>10</v>
      </c>
      <c r="C6068" t="s">
        <v>42</v>
      </c>
      <c r="D6068" t="str">
        <f>HYPERLINK("https://us2.cloudbeds.com/connect/10074733072513#/reservations/30687756050596?display=Scott%20Coates&amp;reservation_id=30687756050596&amp;guest_id=30687756050593", "Scott Coates")</f>
        <v>Scott Coates</v>
      </c>
      <c r="E6068" t="s">
        <v>3427</v>
      </c>
      <c r="F6068" t="s">
        <v>3383</v>
      </c>
      <c r="G6068">
        <v>378</v>
      </c>
      <c r="H6068">
        <v>410.9</v>
      </c>
      <c r="I6068">
        <v>410.89</v>
      </c>
      <c r="J6068">
        <v>0.01</v>
      </c>
    </row>
    <row r="6069" spans="1:10" x14ac:dyDescent="0.3">
      <c r="A6069" t="str">
        <f>HYPERLINK("https://us2.cloudbeds.com/connect/10074733072513#/reservations/30686596903112?display=YR10MB5KS&amp;reservation_id=30686596903112", "YR10MB5KS")</f>
        <v>YR10MB5KS</v>
      </c>
      <c r="B6069" t="s">
        <v>10</v>
      </c>
      <c r="C6069" t="s">
        <v>20</v>
      </c>
      <c r="D6069" t="str">
        <f>HYPERLINK("https://us2.cloudbeds.com/connect/10074733072513#/reservations/30686596903112?display=Nathan%20Weathers&amp;reservation_id=30686596903112&amp;guest_id=30686596903107", "Nathan Weathers")</f>
        <v>Nathan Weathers</v>
      </c>
      <c r="E6069" t="s">
        <v>3428</v>
      </c>
      <c r="F6069" t="s">
        <v>3383</v>
      </c>
      <c r="G6069">
        <v>397.1</v>
      </c>
      <c r="H6069">
        <v>431.66</v>
      </c>
      <c r="I6069">
        <v>431.65</v>
      </c>
      <c r="J6069">
        <v>0.01</v>
      </c>
    </row>
    <row r="6070" spans="1:10" x14ac:dyDescent="0.3">
      <c r="A6070" t="str">
        <f>HYPERLINK("https://us2.cloudbeds.com/connect/10074733072513#/reservations/30686590062749?display=YR10GXRA4&amp;reservation_id=30686590062749", "YR10GXRA4")</f>
        <v>YR10GXRA4</v>
      </c>
      <c r="B6070" t="s">
        <v>10</v>
      </c>
      <c r="C6070" t="s">
        <v>11</v>
      </c>
      <c r="D6070" t="str">
        <f>HYPERLINK("https://us2.cloudbeds.com/connect/10074733072513#/reservations/30686590062749?display=Heather%20Kreciak&amp;reservation_id=30686590062749&amp;guest_id=30686590058661", "Heather Kreciak")</f>
        <v>Heather Kreciak</v>
      </c>
      <c r="E6070" t="s">
        <v>1319</v>
      </c>
      <c r="F6070" t="s">
        <v>3383</v>
      </c>
      <c r="G6070">
        <v>106.8</v>
      </c>
      <c r="H6070">
        <v>116.1</v>
      </c>
      <c r="I6070">
        <v>116.09</v>
      </c>
      <c r="J6070">
        <v>0.01</v>
      </c>
    </row>
    <row r="6071" spans="1:10" x14ac:dyDescent="0.3">
      <c r="A6071" t="str">
        <f>HYPERLINK("https://us2.cloudbeds.com/connect/10074733072513#/reservations/30687013515420?display=YR1BAY0Z8&amp;reservation_id=30687013515420", "YR1BAY0Z8")</f>
        <v>YR1BAY0Z8</v>
      </c>
      <c r="B6071" t="s">
        <v>10</v>
      </c>
      <c r="C6071" t="s">
        <v>20</v>
      </c>
      <c r="D6071" t="str">
        <f>HYPERLINK("https://us2.cloudbeds.com/connect/10074733072513#/reservations/30687013515420?display=Dena%20Whitney&amp;reservation_id=30687013515420&amp;guest_id=30687008301252", "Dena Whitney")</f>
        <v>Dena Whitney</v>
      </c>
      <c r="E6071" t="s">
        <v>3430</v>
      </c>
      <c r="F6071" t="s">
        <v>3258</v>
      </c>
      <c r="G6071">
        <v>458</v>
      </c>
      <c r="H6071">
        <v>497.86</v>
      </c>
      <c r="I6071">
        <v>497.85</v>
      </c>
      <c r="J6071">
        <v>0.01</v>
      </c>
    </row>
    <row r="6072" spans="1:10" x14ac:dyDescent="0.3">
      <c r="A6072" t="str">
        <f>HYPERLINK("https://us2.cloudbeds.com/connect/10074733072513#/reservations/30686027210994?display=YR0J3VYCB&amp;reservation_id=30686027210994", "YR0J3VYCB")</f>
        <v>YR0J3VYCB</v>
      </c>
      <c r="B6072" t="s">
        <v>10</v>
      </c>
      <c r="C6072" t="s">
        <v>42</v>
      </c>
      <c r="D6072" t="str">
        <f>HYPERLINK("https://us2.cloudbeds.com/connect/10074733072513#/reservations/30686027210994?display=Sarha%20Carr&amp;reservation_id=30686027210994&amp;guest_id=30686016962706", "Sarha Carr")</f>
        <v>Sarha Carr</v>
      </c>
      <c r="E6072" t="s">
        <v>3432</v>
      </c>
      <c r="F6072" t="s">
        <v>2581</v>
      </c>
      <c r="G6072">
        <v>278</v>
      </c>
      <c r="H6072">
        <v>302.2</v>
      </c>
      <c r="I6072">
        <v>302.19</v>
      </c>
      <c r="J6072">
        <v>0.01</v>
      </c>
    </row>
    <row r="6073" spans="1:10" x14ac:dyDescent="0.3">
      <c r="A6073" t="str">
        <f>HYPERLINK("https://us2.cloudbeds.com/connect/10074733072513#/reservations/30687699878089?display=YR1SSD2G0&amp;reservation_id=30687699878089", "YR1SSD2G0")</f>
        <v>YR1SSD2G0</v>
      </c>
      <c r="B6073" t="s">
        <v>10</v>
      </c>
      <c r="C6073" t="s">
        <v>42</v>
      </c>
      <c r="D6073" t="str">
        <f>HYPERLINK("https://us2.cloudbeds.com/connect/10074733072513#/reservations/30687699878089?display=Bob%20Willey&amp;reservation_id=30687699878089&amp;guest_id=30687699878084", "Bob Willey")</f>
        <v>Bob Willey</v>
      </c>
      <c r="E6073" t="s">
        <v>3433</v>
      </c>
      <c r="F6073" t="s">
        <v>3383</v>
      </c>
      <c r="G6073">
        <v>149</v>
      </c>
      <c r="H6073">
        <v>161.97</v>
      </c>
      <c r="I6073">
        <v>161.96</v>
      </c>
      <c r="J6073">
        <v>0.01</v>
      </c>
    </row>
    <row r="6074" spans="1:10" x14ac:dyDescent="0.3">
      <c r="A6074" t="str">
        <f>HYPERLINK("https://us2.cloudbeds.com/connect/10074733072513#/reservations/30686231101651?display=YR0ZAT6Q3&amp;reservation_id=30686231101651", "YR0ZAT6Q3")</f>
        <v>YR0ZAT6Q3</v>
      </c>
      <c r="B6074" t="s">
        <v>10</v>
      </c>
      <c r="C6074" t="s">
        <v>42</v>
      </c>
      <c r="D6074" t="str">
        <f>HYPERLINK("https://us2.cloudbeds.com/connect/10074733072513#/reservations/30686231101651?display=Sarah%20Dejong&amp;reservation_id=30686231101651&amp;guest_id=30686231101649", "Sarah Dejong")</f>
        <v>Sarah Dejong</v>
      </c>
      <c r="E6074" t="s">
        <v>3437</v>
      </c>
      <c r="F6074" t="s">
        <v>2959</v>
      </c>
      <c r="G6074">
        <v>238</v>
      </c>
      <c r="H6074">
        <v>258.72000000000003</v>
      </c>
      <c r="I6074">
        <v>258.70999999999998</v>
      </c>
      <c r="J6074">
        <v>0.01</v>
      </c>
    </row>
    <row r="6075" spans="1:10" x14ac:dyDescent="0.3">
      <c r="A6075" t="str">
        <f>HYPERLINK("https://us2.cloudbeds.com/connect/10074733072513#/reservations/30686922014915?display=YR18WFT7M&amp;reservation_id=30686922014915", "YR18WFT7M")</f>
        <v>YR18WFT7M</v>
      </c>
      <c r="B6075" t="s">
        <v>10</v>
      </c>
      <c r="C6075" t="s">
        <v>42</v>
      </c>
      <c r="D6075" t="str">
        <f>HYPERLINK("https://us2.cloudbeds.com/connect/10074733072513#/reservations/30686922014915?display=John%20Teupel&amp;reservation_id=30686922014915&amp;guest_id=30676634038498", "John Teupel")</f>
        <v>John Teupel</v>
      </c>
      <c r="E6075" t="s">
        <v>2970</v>
      </c>
      <c r="F6075" t="s">
        <v>3302</v>
      </c>
      <c r="G6075">
        <v>79</v>
      </c>
      <c r="H6075">
        <v>85.88</v>
      </c>
      <c r="I6075">
        <v>85.87</v>
      </c>
      <c r="J6075">
        <v>0.01</v>
      </c>
    </row>
    <row r="6076" spans="1:10" x14ac:dyDescent="0.3">
      <c r="A6076" t="str">
        <f>HYPERLINK("https://us2.cloudbeds.com/connect/10074733072513#/reservations/30687722676451?display=YR1TEKFKF&amp;reservation_id=30687722676451", "YR1TEKFKF")</f>
        <v>YR1TEKFKF</v>
      </c>
      <c r="B6076" t="s">
        <v>10</v>
      </c>
      <c r="C6076" t="s">
        <v>42</v>
      </c>
      <c r="D6076" t="str">
        <f>HYPERLINK("https://us2.cloudbeds.com/connect/10074733072513#/reservations/30687722676451?display=Kraft%20Stratton&amp;reservation_id=30687722676451&amp;guest_id=30687722676438", "Kraft Stratton")</f>
        <v>Kraft Stratton</v>
      </c>
      <c r="E6076" t="s">
        <v>3440</v>
      </c>
      <c r="F6076" t="s">
        <v>3383</v>
      </c>
      <c r="G6076">
        <v>199</v>
      </c>
      <c r="H6076">
        <v>216.32</v>
      </c>
      <c r="I6076">
        <v>216.31</v>
      </c>
      <c r="J6076">
        <v>0.01</v>
      </c>
    </row>
    <row r="6077" spans="1:10" x14ac:dyDescent="0.3">
      <c r="A6077" t="str">
        <f>HYPERLINK("https://us2.cloudbeds.com/connect/10074733072513#/reservations/30685419974854?display=YR03JUDE6&amp;reservation_id=30685419974854", "YR03JUDE6")</f>
        <v>YR03JUDE6</v>
      </c>
      <c r="B6077" t="s">
        <v>10</v>
      </c>
      <c r="C6077" t="s">
        <v>42</v>
      </c>
      <c r="D6077" t="str">
        <f>HYPERLINK("https://us2.cloudbeds.com/connect/10074733072513#/reservations/30685419974854?display=Britni%20Ridge&amp;reservation_id=30685419974854&amp;guest_id=30685419974851", "Britni Ridge")</f>
        <v>Britni Ridge</v>
      </c>
      <c r="E6077" t="s">
        <v>3441</v>
      </c>
      <c r="F6077" t="s">
        <v>3196</v>
      </c>
      <c r="G6077">
        <v>129</v>
      </c>
      <c r="H6077">
        <v>140.22999999999999</v>
      </c>
      <c r="I6077">
        <v>140.22</v>
      </c>
      <c r="J6077">
        <v>0.01</v>
      </c>
    </row>
    <row r="6078" spans="1:10" x14ac:dyDescent="0.3">
      <c r="A6078" t="str">
        <f>HYPERLINK("https://us2.cloudbeds.com/connect/10074733072513#/reservations/30687161270504?display=YR1F37HB1&amp;reservation_id=30687161270504", "YR1F37HB1")</f>
        <v>YR1F37HB1</v>
      </c>
      <c r="B6078" t="s">
        <v>10</v>
      </c>
      <c r="C6078" t="s">
        <v>42</v>
      </c>
      <c r="D6078" t="str">
        <f>HYPERLINK("https://us2.cloudbeds.com/connect/10074733072513#/reservations/30687161270504?display=Donna%20Rost&amp;reservation_id=30687161270504&amp;guest_id=30687154372753", "Donna Rost")</f>
        <v>Donna Rost</v>
      </c>
      <c r="E6078" t="s">
        <v>3442</v>
      </c>
      <c r="F6078" t="s">
        <v>2481</v>
      </c>
      <c r="G6078">
        <v>458</v>
      </c>
      <c r="H6078">
        <v>497.86</v>
      </c>
      <c r="I6078">
        <v>497.85</v>
      </c>
      <c r="J6078">
        <v>0.01</v>
      </c>
    </row>
    <row r="6079" spans="1:10" x14ac:dyDescent="0.3">
      <c r="A6079" t="str">
        <f>HYPERLINK("https://us2.cloudbeds.com/connect/10074733072513#/reservations/30687836774632?display=YR1WBRDW3&amp;reservation_id=30687836774632", "YR1WBRDW3")</f>
        <v>YR1WBRDW3</v>
      </c>
      <c r="B6079" t="s">
        <v>10</v>
      </c>
      <c r="C6079" t="s">
        <v>17</v>
      </c>
      <c r="D6079" t="str">
        <f>HYPERLINK("https://us2.cloudbeds.com/connect/10074733072513#/reservations/30687836774632?display=Timothy%20Cox&amp;reservation_id=30687836774632&amp;guest_id=30687830638737", "Timothy Cox")</f>
        <v>Timothy Cox</v>
      </c>
      <c r="E6079" t="s">
        <v>3443</v>
      </c>
      <c r="F6079" t="s">
        <v>3302</v>
      </c>
      <c r="G6079">
        <v>229</v>
      </c>
      <c r="H6079">
        <v>248.93</v>
      </c>
      <c r="I6079">
        <v>248.92</v>
      </c>
      <c r="J6079">
        <v>0.01</v>
      </c>
    </row>
    <row r="6080" spans="1:10" x14ac:dyDescent="0.3">
      <c r="A6080" t="str">
        <f>HYPERLINK("https://us2.cloudbeds.com/connect/10074733072513#/reservations/30686877475026?display=YR17RUGE2&amp;reservation_id=30686877475026", "YR17RUGE2")</f>
        <v>YR17RUGE2</v>
      </c>
      <c r="B6080" t="s">
        <v>10</v>
      </c>
      <c r="C6080" t="s">
        <v>42</v>
      </c>
      <c r="D6080" t="str">
        <f>HYPERLINK("https://us2.cloudbeds.com/connect/10074733072513#/reservations/30686877475026?display=Randy%20Schmeichel&amp;reservation_id=30686877475026&amp;guest_id=30686877470930", "Randy Schmeichel")</f>
        <v>Randy Schmeichel</v>
      </c>
      <c r="E6080" t="s">
        <v>3445</v>
      </c>
      <c r="F6080" t="s">
        <v>3302</v>
      </c>
      <c r="G6080">
        <v>239</v>
      </c>
      <c r="H6080">
        <v>259.8</v>
      </c>
      <c r="I6080">
        <v>259.79000000000002</v>
      </c>
      <c r="J6080">
        <v>0.01</v>
      </c>
    </row>
    <row r="6081" spans="1:10" x14ac:dyDescent="0.3">
      <c r="A6081" t="str">
        <f>HYPERLINK("https://us2.cloudbeds.com/connect/10074733072513#/reservations/30685317640439?display=YR00WKQEA&amp;reservation_id=30685317640439", "YR00WKQEA")</f>
        <v>YR00WKQEA</v>
      </c>
      <c r="B6081" t="s">
        <v>10</v>
      </c>
      <c r="C6081" t="s">
        <v>11</v>
      </c>
      <c r="D6081" t="str">
        <f>HYPERLINK("https://us2.cloudbeds.com/connect/10074733072513#/reservations/30685317640439?display=Douglas%20Sinclair&amp;reservation_id=30685317640439&amp;guest_id=30685313487011", "Douglas Sinclair")</f>
        <v>Douglas Sinclair</v>
      </c>
      <c r="E6081" t="s">
        <v>1933</v>
      </c>
      <c r="F6081" t="s">
        <v>2581</v>
      </c>
      <c r="G6081">
        <v>106.8</v>
      </c>
      <c r="H6081">
        <v>116.1</v>
      </c>
      <c r="I6081">
        <v>116.09</v>
      </c>
      <c r="J6081">
        <v>0.01</v>
      </c>
    </row>
    <row r="6082" spans="1:10" x14ac:dyDescent="0.3">
      <c r="A6082" t="str">
        <f>HYPERLINK("https://us2.cloudbeds.com/connect/10074733072513#/reservations/30687905788032?display=YR20VP43X&amp;reservation_id=30687905788032", "YR20VP43X")</f>
        <v>YR20VP43X</v>
      </c>
      <c r="B6082" t="s">
        <v>10</v>
      </c>
      <c r="C6082" t="s">
        <v>42</v>
      </c>
      <c r="D6082" t="str">
        <f>HYPERLINK("https://us2.cloudbeds.com/connect/10074733072513#/reservations/30687905788032?display=Jonnica%20Eller&amp;reservation_id=30687905788032&amp;guest_id=30687899545823", "Jonnica Eller")</f>
        <v>Jonnica Eller</v>
      </c>
      <c r="E6082" t="s">
        <v>3447</v>
      </c>
      <c r="F6082" t="s">
        <v>2481</v>
      </c>
      <c r="G6082">
        <v>219</v>
      </c>
      <c r="H6082">
        <v>238.06</v>
      </c>
      <c r="I6082">
        <v>238.05</v>
      </c>
      <c r="J6082">
        <v>0.01</v>
      </c>
    </row>
    <row r="6083" spans="1:10" x14ac:dyDescent="0.3">
      <c r="A6083" t="str">
        <f>HYPERLINK("https://us2.cloudbeds.com/connect/10074733072513#/reservations/30686486925533?display=YR0USJT3V&amp;reservation_id=30686486925533", "YR0USJT3V")</f>
        <v>YR0USJT3V</v>
      </c>
      <c r="B6083" t="s">
        <v>10</v>
      </c>
      <c r="C6083" t="s">
        <v>42</v>
      </c>
      <c r="D6083" t="str">
        <f>HYPERLINK("https://us2.cloudbeds.com/connect/10074733072513#/reservations/30686486925533?display=Donna%20Rost&amp;reservation_id=30686486925533&amp;guest_id=30679375417545", "Donna Rost")</f>
        <v>Donna Rost</v>
      </c>
      <c r="E6083" t="s">
        <v>3442</v>
      </c>
      <c r="F6083" t="s">
        <v>3450</v>
      </c>
      <c r="G6083">
        <v>483</v>
      </c>
      <c r="H6083">
        <v>525.03</v>
      </c>
      <c r="I6083">
        <v>525.02</v>
      </c>
      <c r="J6083">
        <v>0.01</v>
      </c>
    </row>
    <row r="6084" spans="1:10" x14ac:dyDescent="0.3">
      <c r="A6084" t="str">
        <f>HYPERLINK("https://us2.cloudbeds.com/connect/10074733072513#/reservations/30685487575180?display=YR05AUG0U&amp;reservation_id=30685487575180", "YR05AUG0U")</f>
        <v>YR05AUG0U</v>
      </c>
      <c r="B6084" t="s">
        <v>10</v>
      </c>
      <c r="C6084" t="s">
        <v>42</v>
      </c>
      <c r="D6084" t="str">
        <f>HYPERLINK("https://us2.cloudbeds.com/connect/10074733072513#/reservations/30685487575180?display=Jeff%20Hoffman&amp;reservation_id=30685487575180&amp;guest_id=30685479518384", "Jeff Hoffman")</f>
        <v>Jeff Hoffman</v>
      </c>
      <c r="E6084" t="s">
        <v>3451</v>
      </c>
      <c r="F6084" t="s">
        <v>3283</v>
      </c>
      <c r="G6084">
        <v>139</v>
      </c>
      <c r="H6084">
        <v>151.1</v>
      </c>
      <c r="I6084">
        <v>151.09</v>
      </c>
      <c r="J6084">
        <v>0.01</v>
      </c>
    </row>
    <row r="6085" spans="1:10" x14ac:dyDescent="0.3">
      <c r="A6085" t="str">
        <f>HYPERLINK("https://us2.cloudbeds.com/connect/10074733072513#/reservations/30686484152514?display=YR0UQ8NZ2&amp;reservation_id=30686484152514", "YR0UQ8NZ2")</f>
        <v>YR0UQ8NZ2</v>
      </c>
      <c r="B6085" t="s">
        <v>10</v>
      </c>
      <c r="C6085" t="s">
        <v>42</v>
      </c>
      <c r="D6085" t="str">
        <f>HYPERLINK("https://us2.cloudbeds.com/connect/10074733072513#/reservations/30686484152514?display=Ashley%20Quigley&amp;reservation_id=30686484152514&amp;guest_id=30686477779161", "Ashley Quigley")</f>
        <v>Ashley Quigley</v>
      </c>
      <c r="E6085" t="s">
        <v>3452</v>
      </c>
      <c r="F6085" t="s">
        <v>3450</v>
      </c>
      <c r="G6085">
        <v>169</v>
      </c>
      <c r="H6085">
        <v>183.71</v>
      </c>
      <c r="I6085">
        <v>183.7</v>
      </c>
      <c r="J6085">
        <v>0.01</v>
      </c>
    </row>
    <row r="6086" spans="1:10" x14ac:dyDescent="0.3">
      <c r="A6086" t="str">
        <f>HYPERLINK("https://us2.cloudbeds.com/connect/10074733072513#/reservations/30687595909248?display=YR1Q129QX&amp;reservation_id=30687595909248", "YR1Q129QX")</f>
        <v>YR1Q129QX</v>
      </c>
      <c r="B6086" t="s">
        <v>10</v>
      </c>
      <c r="C6086" t="s">
        <v>23</v>
      </c>
      <c r="D6086" t="str">
        <f>HYPERLINK("https://us2.cloudbeds.com/connect/10074733072513#/reservations/30687595909248?display=Jessica%20Sturis&amp;reservation_id=30687595909248&amp;guest_id=30687589200095", "Jessica Sturis")</f>
        <v>Jessica Sturis</v>
      </c>
      <c r="E6086" t="s">
        <v>3456</v>
      </c>
      <c r="F6086" t="s">
        <v>3080</v>
      </c>
      <c r="G6086">
        <v>199</v>
      </c>
      <c r="H6086">
        <v>216.32</v>
      </c>
      <c r="I6086">
        <v>216.31</v>
      </c>
      <c r="J6086">
        <v>0.01</v>
      </c>
    </row>
    <row r="6087" spans="1:10" x14ac:dyDescent="0.3">
      <c r="A6087" t="str">
        <f>HYPERLINK("https://us2.cloudbeds.com/connect/10074733072513#/reservations/30686726308063?display=YR13WF1Q0&amp;reservation_id=30686726308063", "YR13WF1Q0")</f>
        <v>YR13WF1Q0</v>
      </c>
      <c r="B6087" t="s">
        <v>10</v>
      </c>
      <c r="C6087" t="s">
        <v>17</v>
      </c>
      <c r="D6087" t="str">
        <f>HYPERLINK("https://us2.cloudbeds.com/connect/10074733072513#/reservations/30686726308063?display=Tiffany%20Dubbelde&amp;reservation_id=30686726308063&amp;guest_id=30686726303971", "Tiffany Dubbelde")</f>
        <v>Tiffany Dubbelde</v>
      </c>
      <c r="E6087" t="s">
        <v>3457</v>
      </c>
      <c r="F6087" t="s">
        <v>2639</v>
      </c>
      <c r="G6087">
        <v>518</v>
      </c>
      <c r="H6087">
        <v>563.08000000000004</v>
      </c>
      <c r="I6087">
        <v>563.07000000000005</v>
      </c>
      <c r="J6087">
        <v>0.01</v>
      </c>
    </row>
    <row r="6088" spans="1:10" x14ac:dyDescent="0.3">
      <c r="A6088" t="str">
        <f>HYPERLINK("https://us2.cloudbeds.com/connect/10074733072513#/reservations/30687581110415?display=YR1PR868J&amp;reservation_id=30687581110415", "YR1PR868J")</f>
        <v>YR1PR868J</v>
      </c>
      <c r="B6088" t="s">
        <v>10</v>
      </c>
      <c r="C6088" t="s">
        <v>121</v>
      </c>
      <c r="D6088" t="str">
        <f>HYPERLINK("https://us2.cloudbeds.com/connect/10074733072513#/reservations/30687581110415?display=Jeff%20Reese&amp;reservation_id=30687581110415&amp;guest_id=30687581110410", "Jeff Reese")</f>
        <v>Jeff Reese</v>
      </c>
      <c r="E6088" t="s">
        <v>3458</v>
      </c>
      <c r="F6088" t="s">
        <v>3080</v>
      </c>
      <c r="G6088">
        <v>169</v>
      </c>
      <c r="H6088">
        <v>183.71</v>
      </c>
      <c r="I6088">
        <v>183.7</v>
      </c>
      <c r="J6088">
        <v>0.01</v>
      </c>
    </row>
    <row r="6089" spans="1:10" x14ac:dyDescent="0.3">
      <c r="A6089" t="str">
        <f>HYPERLINK("https://us2.cloudbeds.com/connect/10074733072513#/reservations/30685544644822?display=YR06Q1HJ0&amp;reservation_id=30685544644822", "YR06Q1HJ0")</f>
        <v>YR06Q1HJ0</v>
      </c>
      <c r="B6089" t="s">
        <v>10</v>
      </c>
      <c r="C6089" t="s">
        <v>42</v>
      </c>
      <c r="D6089" t="str">
        <f>HYPERLINK("https://us2.cloudbeds.com/connect/10074733072513#/reservations/30685544644822?display=Laura%20Franke&amp;reservation_id=30685544644822&amp;guest_id=30685544644820", "Laura Franke")</f>
        <v>Laura Franke</v>
      </c>
      <c r="E6089" t="s">
        <v>3459</v>
      </c>
      <c r="F6089" t="s">
        <v>2959</v>
      </c>
      <c r="G6089">
        <v>407</v>
      </c>
      <c r="H6089">
        <v>442.42</v>
      </c>
      <c r="I6089">
        <v>442.41</v>
      </c>
      <c r="J6089">
        <v>0.01</v>
      </c>
    </row>
    <row r="6090" spans="1:10" x14ac:dyDescent="0.3">
      <c r="A6090" t="str">
        <f>HYPERLINK("https://us2.cloudbeds.com/connect/10074733072513#/reservations/30687574290682?display=YR1PYGDT0&amp;reservation_id=30687574290682", "YR1PYGDT0")</f>
        <v>YR1PYGDT0</v>
      </c>
      <c r="B6090" t="s">
        <v>10</v>
      </c>
      <c r="C6090" t="s">
        <v>42</v>
      </c>
      <c r="D6090" t="str">
        <f>HYPERLINK("https://us2.cloudbeds.com/connect/10074733072513#/reservations/30687574290682?display=Gracie%20Hinn&amp;reservation_id=30687574290682&amp;guest_id=30687574290677", "Gracie Hinn")</f>
        <v>Gracie Hinn</v>
      </c>
      <c r="E6090" t="s">
        <v>3460</v>
      </c>
      <c r="F6090" t="s">
        <v>3080</v>
      </c>
      <c r="G6090">
        <v>189</v>
      </c>
      <c r="H6090">
        <v>205.45</v>
      </c>
      <c r="I6090">
        <v>205.44</v>
      </c>
      <c r="J6090">
        <v>0.01</v>
      </c>
    </row>
    <row r="6091" spans="1:10" x14ac:dyDescent="0.3">
      <c r="A6091" t="str">
        <f>HYPERLINK("https://us2.cloudbeds.com/connect/10074733072513#/reservations/30687574851735?display=YR1PYW12K&amp;reservation_id=30687574851735", "YR1PYW12K")</f>
        <v>YR1PYW12K</v>
      </c>
      <c r="B6091" t="s">
        <v>10</v>
      </c>
      <c r="C6091" t="s">
        <v>42</v>
      </c>
      <c r="D6091" t="str">
        <f>HYPERLINK("https://us2.cloudbeds.com/connect/10074733072513#/reservations/30687574851735?display=John%20Pool&amp;reservation_id=30687574851735&amp;guest_id=30681940979955", "John Pool")</f>
        <v>John Pool</v>
      </c>
      <c r="E6091" t="s">
        <v>1918</v>
      </c>
      <c r="F6091" t="s">
        <v>2835</v>
      </c>
      <c r="G6091">
        <v>320</v>
      </c>
      <c r="H6091">
        <v>347.85</v>
      </c>
      <c r="I6091">
        <v>347.84</v>
      </c>
      <c r="J6091">
        <v>0.01</v>
      </c>
    </row>
    <row r="6092" spans="1:10" x14ac:dyDescent="0.3">
      <c r="A6092" t="str">
        <f>HYPERLINK("https://us2.cloudbeds.com/connect/10074733072513#/reservations/30686312792313?display=YR0QDPC5N&amp;reservation_id=30686312792313", "YR0QDPC5N")</f>
        <v>YR0QDPC5N</v>
      </c>
      <c r="B6092" t="s">
        <v>10</v>
      </c>
      <c r="C6092" t="s">
        <v>42</v>
      </c>
      <c r="D6092" t="str">
        <f>HYPERLINK("https://us2.cloudbeds.com/connect/10074733072513#/reservations/30686312792313?display=Shuler%20Dawn&amp;reservation_id=30686312792313&amp;guest_id=30686312792309", "Shuler Dawn")</f>
        <v>Shuler Dawn</v>
      </c>
      <c r="E6092" t="s">
        <v>3462</v>
      </c>
      <c r="F6092" t="s">
        <v>3244</v>
      </c>
      <c r="G6092">
        <v>338</v>
      </c>
      <c r="H6092">
        <v>367.42</v>
      </c>
      <c r="I6092">
        <v>367.41</v>
      </c>
      <c r="J6092">
        <v>0.01</v>
      </c>
    </row>
    <row r="6093" spans="1:10" x14ac:dyDescent="0.3">
      <c r="A6093" t="str">
        <f>HYPERLINK("https://us2.cloudbeds.com/connect/10074733072513#/reservations/30685107278012?display=YQWSK855A&amp;reservation_id=30685107278012", "YQWSK855A")</f>
        <v>YQWSK855A</v>
      </c>
      <c r="B6093" t="s">
        <v>10</v>
      </c>
      <c r="C6093" t="s">
        <v>42</v>
      </c>
      <c r="D6093" t="str">
        <f>HYPERLINK("https://us2.cloudbeds.com/connect/10074733072513#/reservations/30685107278012?display=Aaron%20Townsend&amp;reservation_id=30685107278012&amp;guest_id=30685107277995", "Aaron Townsend")</f>
        <v>Aaron Townsend</v>
      </c>
      <c r="E6093" t="s">
        <v>3463</v>
      </c>
      <c r="F6093" t="s">
        <v>3403</v>
      </c>
      <c r="G6093">
        <v>119</v>
      </c>
      <c r="H6093">
        <v>129.36000000000001</v>
      </c>
      <c r="I6093">
        <v>129.35</v>
      </c>
      <c r="J6093">
        <v>0.01</v>
      </c>
    </row>
    <row r="6094" spans="1:10" x14ac:dyDescent="0.3">
      <c r="A6094" t="str">
        <f>HYPERLINK("https://us2.cloudbeds.com/connect/10074733072513#/reservations/30686447567044?display=YR0TSDM8F&amp;reservation_id=30686447567044", "YR0TSDM8F")</f>
        <v>YR0TSDM8F</v>
      </c>
      <c r="B6094" t="s">
        <v>10</v>
      </c>
      <c r="C6094" t="s">
        <v>23</v>
      </c>
      <c r="D6094" t="str">
        <f>HYPERLINK("https://us2.cloudbeds.com/connect/10074733072513#/reservations/30686447567044?display=Christopher%20Mccann&amp;reservation_id=30686447567044&amp;guest_id=30686441963683", "Christopher Mccann")</f>
        <v>Christopher Mccann</v>
      </c>
      <c r="E6094" t="s">
        <v>3464</v>
      </c>
      <c r="F6094" t="s">
        <v>3450</v>
      </c>
      <c r="G6094">
        <v>298</v>
      </c>
      <c r="H6094">
        <v>323.94</v>
      </c>
      <c r="I6094">
        <v>323.93</v>
      </c>
      <c r="J6094">
        <v>0.01</v>
      </c>
    </row>
    <row r="6095" spans="1:10" x14ac:dyDescent="0.3">
      <c r="A6095" t="str">
        <f>HYPERLINK("https://us2.cloudbeds.com/connect/10074733072513#/reservations/30686499143853?display=YR0V5TST2&amp;reservation_id=30686499143853", "YR0V5TST2")</f>
        <v>YR0V5TST2</v>
      </c>
      <c r="B6095" t="s">
        <v>10</v>
      </c>
      <c r="C6095" t="s">
        <v>42</v>
      </c>
      <c r="D6095" t="str">
        <f>HYPERLINK("https://us2.cloudbeds.com/connect/10074733072513#/reservations/30686499143853?display=John%20Teupel&amp;reservation_id=30686499143853&amp;guest_id=30676634038498", "John Teupel")</f>
        <v>John Teupel</v>
      </c>
      <c r="E6095" t="s">
        <v>2970</v>
      </c>
      <c r="F6095" t="s">
        <v>3174</v>
      </c>
      <c r="G6095">
        <v>79</v>
      </c>
      <c r="H6095">
        <v>85.88</v>
      </c>
      <c r="I6095">
        <v>85.87</v>
      </c>
      <c r="J6095">
        <v>0.01</v>
      </c>
    </row>
    <row r="6096" spans="1:10" x14ac:dyDescent="0.3">
      <c r="A6096" t="str">
        <f>HYPERLINK("https://us2.cloudbeds.com/connect/10074733072513#/reservations/30686517047469?display=YR0VY029T&amp;reservation_id=30686517047469", "YR0VY029T")</f>
        <v>YR0VY029T</v>
      </c>
      <c r="B6096" t="s">
        <v>10</v>
      </c>
      <c r="C6096" t="s">
        <v>42</v>
      </c>
      <c r="D6096" t="str">
        <f>HYPERLINK("https://us2.cloudbeds.com/connect/10074733072513#/reservations/30686517047469?display=Kelly%20Kiggins&amp;reservation_id=30686517047469&amp;guest_id=30686503489697", "Kelly Kiggins")</f>
        <v>Kelly Kiggins</v>
      </c>
      <c r="E6096" t="s">
        <v>3467</v>
      </c>
      <c r="F6096" t="s">
        <v>3466</v>
      </c>
      <c r="G6096">
        <v>149</v>
      </c>
      <c r="H6096">
        <v>161.97</v>
      </c>
      <c r="I6096">
        <v>161.96</v>
      </c>
      <c r="J6096">
        <v>0.01</v>
      </c>
    </row>
    <row r="6097" spans="1:10" x14ac:dyDescent="0.3">
      <c r="A6097" t="str">
        <f>HYPERLINK("https://us2.cloudbeds.com/connect/10074733072513#/reservations/30686670188704?display=YR12X4ESC&amp;reservation_id=30686670188704", "YR12X4ESC")</f>
        <v>YR12X4ESC</v>
      </c>
      <c r="B6097" t="s">
        <v>10</v>
      </c>
      <c r="C6097" t="s">
        <v>42</v>
      </c>
      <c r="D6097" t="str">
        <f>HYPERLINK("https://us2.cloudbeds.com/connect/10074733072513#/reservations/30686670188704?display=Gyenelle%20Ochs&amp;reservation_id=30686670188704&amp;guest_id=30679356104845", "Gyenelle Ochs")</f>
        <v>Gyenelle Ochs</v>
      </c>
      <c r="E6097" t="s">
        <v>3470</v>
      </c>
      <c r="F6097" t="s">
        <v>2928</v>
      </c>
      <c r="G6097">
        <v>258</v>
      </c>
      <c r="H6097">
        <v>280.45999999999998</v>
      </c>
      <c r="I6097">
        <v>280.45</v>
      </c>
      <c r="J6097">
        <v>0.01</v>
      </c>
    </row>
    <row r="6098" spans="1:10" x14ac:dyDescent="0.3">
      <c r="A6098" t="str">
        <f>HYPERLINK("https://us2.cloudbeds.com/connect/10074733072513#/reservations/30686793379997?display=YR15N0E5S&amp;reservation_id=30686793379997", "YR15N0E5S")</f>
        <v>YR15N0E5S</v>
      </c>
      <c r="B6098" t="s">
        <v>10</v>
      </c>
      <c r="C6098" t="s">
        <v>42</v>
      </c>
      <c r="D6098" t="str">
        <f>HYPERLINK("https://us2.cloudbeds.com/connect/10074733072513#/reservations/30686793379997?display=Mary%20Sampson&amp;reservation_id=30686793379997&amp;guest_id=30686793379995", "Mary Sampson")</f>
        <v>Mary Sampson</v>
      </c>
      <c r="E6098" t="s">
        <v>3471</v>
      </c>
      <c r="F6098" t="s">
        <v>2639</v>
      </c>
      <c r="G6098">
        <v>376</v>
      </c>
      <c r="H6098">
        <v>408.72</v>
      </c>
      <c r="I6098">
        <v>408.71</v>
      </c>
      <c r="J6098">
        <v>0.01</v>
      </c>
    </row>
    <row r="6099" spans="1:10" x14ac:dyDescent="0.3">
      <c r="A6099" t="str">
        <f>HYPERLINK("https://us2.cloudbeds.com/connect/10074733072513#/reservations/30686796706040?display=YR15PQWD1&amp;reservation_id=30686796706040", "YR15PQWD1")</f>
        <v>YR15PQWD1</v>
      </c>
      <c r="B6099" t="s">
        <v>10</v>
      </c>
      <c r="C6099" t="s">
        <v>20</v>
      </c>
      <c r="D6099" t="str">
        <f>HYPERLINK("https://us2.cloudbeds.com/connect/10074733072513#/reservations/30686796706040?display=Chelsea%20Parrott&amp;reservation_id=30686796706040&amp;guest_id=30686796705986", "Chelsea Parrott")</f>
        <v>Chelsea Parrott</v>
      </c>
      <c r="E6099" t="s">
        <v>3472</v>
      </c>
      <c r="F6099" t="s">
        <v>3449</v>
      </c>
      <c r="G6099">
        <v>389.3</v>
      </c>
      <c r="H6099">
        <v>423.18</v>
      </c>
      <c r="I6099">
        <v>423.17</v>
      </c>
      <c r="J6099">
        <v>0.01</v>
      </c>
    </row>
    <row r="6100" spans="1:10" x14ac:dyDescent="0.3">
      <c r="A6100" t="str">
        <f>HYPERLINK("https://us2.cloudbeds.com/connect/10074733072513#/reservations/30681785213183?display=YQU9NWQJ4&amp;reservation_id=30681785213183", "YQU9NWQJ4")</f>
        <v>YQU9NWQJ4</v>
      </c>
      <c r="B6100" t="s">
        <v>10</v>
      </c>
      <c r="C6100" t="s">
        <v>42</v>
      </c>
      <c r="D6100" t="str">
        <f>HYPERLINK("https://us2.cloudbeds.com/connect/10074733072513#/reservations/30681785213183?display=Angela%20Henriksen&amp;reservation_id=30681785213183&amp;guest_id=30681785213129", "Angela Henriksen")</f>
        <v>Angela Henriksen</v>
      </c>
      <c r="E6100" t="s">
        <v>3474</v>
      </c>
      <c r="F6100" t="s">
        <v>3475</v>
      </c>
      <c r="G6100">
        <v>270</v>
      </c>
      <c r="H6100">
        <v>293.5</v>
      </c>
      <c r="I6100">
        <v>293.49</v>
      </c>
      <c r="J6100">
        <v>0.01</v>
      </c>
    </row>
    <row r="6101" spans="1:10" x14ac:dyDescent="0.3">
      <c r="A6101" t="str">
        <f>HYPERLINK("https://us2.cloudbeds.com/connect/10074733072513#/reservations/30685767086234?display=YR0CFK9YS&amp;reservation_id=30685767086234", "YR0CFK9YS")</f>
        <v>YR0CFK9YS</v>
      </c>
      <c r="B6101" t="s">
        <v>10</v>
      </c>
      <c r="C6101" t="s">
        <v>23</v>
      </c>
      <c r="D6101" t="str">
        <f>HYPERLINK("https://us2.cloudbeds.com/connect/10074733072513#/reservations/30685767086234?display=Drew%20Christensen&amp;reservation_id=30685767086234&amp;guest_id=30685767086232", "Drew Christensen")</f>
        <v>Drew Christensen</v>
      </c>
      <c r="E6101" t="s">
        <v>3478</v>
      </c>
      <c r="F6101" t="s">
        <v>3479</v>
      </c>
      <c r="G6101">
        <v>149</v>
      </c>
      <c r="H6101">
        <v>161.97</v>
      </c>
      <c r="I6101">
        <v>161.96</v>
      </c>
      <c r="J6101">
        <v>0.01</v>
      </c>
    </row>
    <row r="6102" spans="1:10" x14ac:dyDescent="0.3">
      <c r="A6102" t="str">
        <f>HYPERLINK("https://us2.cloudbeds.com/connect/10074733072513#/reservations/30685806452949?display=YR0DFQZ2K&amp;reservation_id=30685806452949", "YR0DFQZ2K")</f>
        <v>YR0DFQZ2K</v>
      </c>
      <c r="B6102" t="s">
        <v>10</v>
      </c>
      <c r="C6102" t="s">
        <v>42</v>
      </c>
      <c r="D6102" t="str">
        <f>HYPERLINK("https://us2.cloudbeds.com/connect/10074733072513#/reservations/30685806452949?display=Parker%20School%20District&amp;reservation_id=30685806452949&amp;guest_id=30685798928569", "Parker School District")</f>
        <v>Parker School District</v>
      </c>
      <c r="E6102" t="s">
        <v>3480</v>
      </c>
      <c r="F6102" t="s">
        <v>3379</v>
      </c>
      <c r="G6102">
        <v>222</v>
      </c>
      <c r="H6102">
        <v>241.32</v>
      </c>
      <c r="I6102">
        <v>241.31</v>
      </c>
      <c r="J6102">
        <v>0.01</v>
      </c>
    </row>
    <row r="6103" spans="1:10" x14ac:dyDescent="0.3">
      <c r="A6103" t="str">
        <f>HYPERLINK("https://us2.cloudbeds.com/connect/10074733072513#/reservations/30686253609177?display=YR0ZTSGSB&amp;reservation_id=30686253609177", "YR0ZTSGSB")</f>
        <v>YR0ZTSGSB</v>
      </c>
      <c r="B6103" t="s">
        <v>10</v>
      </c>
      <c r="C6103" t="s">
        <v>42</v>
      </c>
      <c r="D6103" t="str">
        <f>HYPERLINK("https://us2.cloudbeds.com/connect/10074733072513#/reservations/30686253609177?display=Mikkey%20Harris&amp;reservation_id=30686253609177&amp;guest_id=30686253605066", "Mikkey Harris")</f>
        <v>Mikkey Harris</v>
      </c>
      <c r="E6103" t="s">
        <v>3483</v>
      </c>
      <c r="F6103" t="s">
        <v>3244</v>
      </c>
      <c r="G6103">
        <v>189</v>
      </c>
      <c r="H6103">
        <v>205.45</v>
      </c>
      <c r="I6103">
        <v>205.44</v>
      </c>
      <c r="J6103">
        <v>0.01</v>
      </c>
    </row>
    <row r="6104" spans="1:10" x14ac:dyDescent="0.3">
      <c r="A6104" t="str">
        <f>HYPERLINK("https://us2.cloudbeds.com/connect/10074733072513#/reservations/30686326616231?display=YR0QPE1AA&amp;reservation_id=30686326616231", "YR0QPE1AA")</f>
        <v>YR0QPE1AA</v>
      </c>
      <c r="B6104" t="s">
        <v>10</v>
      </c>
      <c r="C6104" t="s">
        <v>42</v>
      </c>
      <c r="D6104" t="str">
        <f>HYPERLINK("https://us2.cloudbeds.com/connect/10074733072513#/reservations/30686326616231?display=Jake%20Parker&amp;reservation_id=30686326616231&amp;guest_id=30686319263888", "Jake Parker")</f>
        <v>Jake Parker</v>
      </c>
      <c r="E6104" t="s">
        <v>3485</v>
      </c>
      <c r="F6104" t="s">
        <v>3244</v>
      </c>
      <c r="G6104">
        <v>318</v>
      </c>
      <c r="H6104">
        <v>345.68</v>
      </c>
      <c r="I6104">
        <v>345.67</v>
      </c>
      <c r="J6104">
        <v>0.01</v>
      </c>
    </row>
    <row r="6105" spans="1:10" x14ac:dyDescent="0.3">
      <c r="A6105" t="str">
        <f>HYPERLINK("https://us2.cloudbeds.com/connect/10074733072513#/reservations/30686344503542?display=YR0R7GPP1&amp;reservation_id=30686344503542", "YR0R7GPP1")</f>
        <v>YR0R7GPP1</v>
      </c>
      <c r="B6105" t="s">
        <v>10</v>
      </c>
      <c r="C6105" t="s">
        <v>20</v>
      </c>
      <c r="D6105" t="str">
        <f>HYPERLINK("https://us2.cloudbeds.com/connect/10074733072513#/reservations/30686344503542?display=Tammy%20Dick&amp;reservation_id=30686344503542&amp;guest_id=30686344503540", "Tammy Dick")</f>
        <v>Tammy Dick</v>
      </c>
      <c r="E6105" t="s">
        <v>3486</v>
      </c>
      <c r="F6105" t="s">
        <v>3244</v>
      </c>
      <c r="G6105">
        <v>144.54</v>
      </c>
      <c r="H6105">
        <v>157.12</v>
      </c>
      <c r="I6105">
        <v>157.11000000000001</v>
      </c>
      <c r="J6105">
        <v>0.01</v>
      </c>
    </row>
    <row r="6106" spans="1:10" x14ac:dyDescent="0.3">
      <c r="A6106" t="str">
        <f>HYPERLINK("https://us2.cloudbeds.com/connect/10074733072513#/reservations/30686460219622?display=YR0U62ZPU&amp;reservation_id=30686460219622", "YR0U62ZPU")</f>
        <v>YR0U62ZPU</v>
      </c>
      <c r="B6106" t="s">
        <v>10</v>
      </c>
      <c r="C6106" t="s">
        <v>14</v>
      </c>
      <c r="D6106" t="str">
        <f>HYPERLINK("https://us2.cloudbeds.com/connect/10074733072513#/reservations/30686460219622?display=Billy%20Clark&amp;reservation_id=30686460219622&amp;guest_id=30676589019271", "Billy Clark")</f>
        <v>Billy Clark</v>
      </c>
      <c r="E6106" t="s">
        <v>3146</v>
      </c>
      <c r="F6106" t="s">
        <v>3244</v>
      </c>
      <c r="G6106">
        <v>134.41999999999999</v>
      </c>
      <c r="H6106">
        <v>146.12</v>
      </c>
      <c r="I6106">
        <v>146.11000000000001</v>
      </c>
      <c r="J6106">
        <v>0.01</v>
      </c>
    </row>
    <row r="6107" spans="1:10" x14ac:dyDescent="0.3">
      <c r="A6107" t="str">
        <f>HYPERLINK("https://us2.cloudbeds.com/connect/10074733072513#/reservations/30686469738652?display=YR0UE3KSC&amp;reservation_id=30686469738652", "YR0UE3KSC")</f>
        <v>YR0UE3KSC</v>
      </c>
      <c r="B6107" t="s">
        <v>10</v>
      </c>
      <c r="C6107" t="s">
        <v>20</v>
      </c>
      <c r="D6107" t="str">
        <f>HYPERLINK("https://us2.cloudbeds.com/connect/10074733072513#/reservations/30686469738652?display=Robert%20Granberry&amp;reservation_id=30686469738652&amp;guest_id=30686469738647", "Robert Granberry")</f>
        <v>Robert Granberry</v>
      </c>
      <c r="E6107" t="s">
        <v>3488</v>
      </c>
      <c r="F6107" t="s">
        <v>3450</v>
      </c>
      <c r="G6107">
        <v>141.55000000000001</v>
      </c>
      <c r="H6107">
        <v>153.87</v>
      </c>
      <c r="I6107">
        <v>153.86000000000001</v>
      </c>
      <c r="J6107">
        <v>0.01</v>
      </c>
    </row>
    <row r="6108" spans="1:10" x14ac:dyDescent="0.3">
      <c r="A6108" t="str">
        <f>HYPERLINK("https://us2.cloudbeds.com/connect/10074733072513#/reservations/30686488113299?display=YR0UTJUQS&amp;reservation_id=30686488113299", "YR0UTJUQS")</f>
        <v>YR0UTJUQS</v>
      </c>
      <c r="B6108" t="s">
        <v>10</v>
      </c>
      <c r="C6108" t="s">
        <v>121</v>
      </c>
      <c r="D6108" t="str">
        <f>HYPERLINK("https://us2.cloudbeds.com/connect/10074733072513#/reservations/30686488113299?display=Randy%20Barnhart&amp;reservation_id=30686488113299&amp;guest_id=30686488113288", "Randy Barnhart")</f>
        <v>Randy Barnhart</v>
      </c>
      <c r="E6108" t="s">
        <v>3489</v>
      </c>
      <c r="F6108" t="s">
        <v>2786</v>
      </c>
      <c r="G6108">
        <v>358</v>
      </c>
      <c r="H6108">
        <v>389.16</v>
      </c>
      <c r="I6108">
        <v>389.15</v>
      </c>
      <c r="J6108">
        <v>0.01</v>
      </c>
    </row>
    <row r="6109" spans="1:10" x14ac:dyDescent="0.3">
      <c r="A6109" t="str">
        <f>HYPERLINK("https://us2.cloudbeds.com/connect/10074733072513#/reservations/30686502678664?display=YR0V8T7QX&amp;reservation_id=30686502678664", "YR0V8T7QX")</f>
        <v>YR0V8T7QX</v>
      </c>
      <c r="B6109" t="s">
        <v>10</v>
      </c>
      <c r="C6109" t="s">
        <v>42</v>
      </c>
      <c r="D6109" t="str">
        <f>HYPERLINK("https://us2.cloudbeds.com/connect/10074733072513#/reservations/30686502678664?display=Mark%20Richardson%20Marty%20Rolfus&amp;reservation_id=30686502678664&amp;guest_id=30686502678661", "Mark Richardson Marty Rolfus")</f>
        <v>Mark Richardson Marty Rolfus</v>
      </c>
      <c r="E6109" t="s">
        <v>3209</v>
      </c>
      <c r="F6109" t="s">
        <v>3174</v>
      </c>
      <c r="G6109">
        <v>79</v>
      </c>
      <c r="H6109">
        <v>85.88</v>
      </c>
      <c r="I6109">
        <v>85.87</v>
      </c>
      <c r="J6109">
        <v>0.01</v>
      </c>
    </row>
    <row r="6110" spans="1:10" x14ac:dyDescent="0.3">
      <c r="A6110" t="str">
        <f>HYPERLINK("https://us2.cloudbeds.com/connect/10074733072513#/reservations/30686508486871?display=YR0VDPSAR&amp;reservation_id=30686508486871", "YR0VDPSAR")</f>
        <v>YR0VDPSAR</v>
      </c>
      <c r="B6110" t="s">
        <v>10</v>
      </c>
      <c r="C6110" t="s">
        <v>42</v>
      </c>
      <c r="D6110" t="str">
        <f>HYPERLINK("https://us2.cloudbeds.com/connect/10074733072513#/reservations/30686508486871?display=Mark%20Richardson&amp;reservation_id=30686508486871&amp;guest_id=30686508482778", "Mark Richardson")</f>
        <v>Mark Richardson</v>
      </c>
      <c r="E6110" t="s">
        <v>3209</v>
      </c>
      <c r="F6110" t="s">
        <v>3174</v>
      </c>
      <c r="G6110">
        <v>158</v>
      </c>
      <c r="H6110">
        <v>171.76</v>
      </c>
      <c r="I6110">
        <v>171.75</v>
      </c>
      <c r="J6110">
        <v>0.01</v>
      </c>
    </row>
    <row r="6111" spans="1:10" x14ac:dyDescent="0.3">
      <c r="A6111" t="str">
        <f>HYPERLINK("https://us2.cloudbeds.com/connect/10074733072513#/reservations/30687021764803?display=YR1BHJXUX&amp;reservation_id=30687021764803", "YR1BHJXUX")</f>
        <v>YR1BHJXUX</v>
      </c>
      <c r="B6111" t="s">
        <v>10</v>
      </c>
      <c r="C6111" t="s">
        <v>42</v>
      </c>
      <c r="D6111" t="str">
        <f>HYPERLINK("https://us2.cloudbeds.com/connect/10074733072513#/reservations/30687021764803?display=Sonia%20Leece&amp;reservation_id=30687021764803&amp;guest_id=30687021764801", "Sonia Leece")</f>
        <v>Sonia Leece</v>
      </c>
      <c r="E6111" t="s">
        <v>3490</v>
      </c>
      <c r="F6111" t="s">
        <v>3185</v>
      </c>
      <c r="G6111">
        <v>179</v>
      </c>
      <c r="H6111">
        <v>194.58</v>
      </c>
      <c r="I6111">
        <v>194.57</v>
      </c>
      <c r="J6111">
        <v>0.01</v>
      </c>
    </row>
    <row r="6112" spans="1:10" x14ac:dyDescent="0.3">
      <c r="A6112" t="str">
        <f>HYPERLINK("https://us2.cloudbeds.com/connect/10074733072513#/reservations/30687415828614?display=YR1YJSWB5&amp;reservation_id=30687415828614", "YR1YJSWB5")</f>
        <v>YR1YJSWB5</v>
      </c>
      <c r="B6112" t="s">
        <v>10</v>
      </c>
      <c r="C6112" t="s">
        <v>42</v>
      </c>
      <c r="D6112" t="str">
        <f>HYPERLINK("https://us2.cloudbeds.com/connect/10074733072513#/reservations/30687415828614?display=Brian%20Davis&amp;reservation_id=30687415828614&amp;guest_id=30672283512995", "Brian Davis")</f>
        <v>Brian Davis</v>
      </c>
      <c r="E6112" t="s">
        <v>3491</v>
      </c>
      <c r="F6112" t="s">
        <v>3492</v>
      </c>
      <c r="G6112">
        <v>420</v>
      </c>
      <c r="H6112">
        <v>456.55</v>
      </c>
      <c r="I6112">
        <v>456.54</v>
      </c>
      <c r="J6112">
        <v>0.01</v>
      </c>
    </row>
    <row r="6113" spans="1:10" x14ac:dyDescent="0.3">
      <c r="A6113" t="str">
        <f>HYPERLINK("https://us2.cloudbeds.com/connect/10074733072513#/reservations/30685607436490?display=YR08CWQGR&amp;reservation_id=30685607436490", "YR08CWQGR")</f>
        <v>YR08CWQGR</v>
      </c>
      <c r="B6113" t="s">
        <v>10</v>
      </c>
      <c r="C6113" t="s">
        <v>42</v>
      </c>
      <c r="D6113" t="str">
        <f>HYPERLINK("https://us2.cloudbeds.com/connect/10074733072513#/reservations/30685607436490?display=Tami%20Keller&amp;reservation_id=30685607436490&amp;guest_id=30685601271942", "Tami Keller")</f>
        <v>Tami Keller</v>
      </c>
      <c r="E6113" t="s">
        <v>3493</v>
      </c>
      <c r="F6113" t="s">
        <v>3196</v>
      </c>
      <c r="G6113">
        <v>278</v>
      </c>
      <c r="H6113">
        <v>302.2</v>
      </c>
      <c r="I6113">
        <v>302.19</v>
      </c>
      <c r="J6113">
        <v>0.01</v>
      </c>
    </row>
    <row r="6114" spans="1:10" x14ac:dyDescent="0.3">
      <c r="A6114" t="str">
        <f>HYPERLINK("https://us2.cloudbeds.com/connect/10074733072513#/reservations/30687482028264?display=YR1N9N2Z5&amp;reservation_id=30687482028264", "YR1N9N2Z5")</f>
        <v>YR1N9N2Z5</v>
      </c>
      <c r="B6114" t="s">
        <v>10</v>
      </c>
      <c r="C6114" t="s">
        <v>42</v>
      </c>
      <c r="D6114" t="str">
        <f>HYPERLINK("https://us2.cloudbeds.com/connect/10074733072513#/reservations/30687482028264?display=Carmen%20Blythe&amp;reservation_id=30687482028264&amp;guest_id=30687469723857", "Carmen Blythe")</f>
        <v>Carmen Blythe</v>
      </c>
      <c r="E6114" t="s">
        <v>3494</v>
      </c>
      <c r="F6114" t="s">
        <v>2786</v>
      </c>
      <c r="G6114">
        <v>358</v>
      </c>
      <c r="H6114">
        <v>389.16</v>
      </c>
      <c r="I6114">
        <v>389.15</v>
      </c>
      <c r="J6114">
        <v>0.01</v>
      </c>
    </row>
    <row r="6115" spans="1:10" x14ac:dyDescent="0.3">
      <c r="A6115" t="str">
        <f>HYPERLINK("https://us2.cloudbeds.com/connect/10074733072513#/reservations/30684908892411?display=YQWNHVPTE&amp;reservation_id=30684908892411", "YQWNHVPTE")</f>
        <v>YQWNHVPTE</v>
      </c>
      <c r="B6115" t="s">
        <v>10</v>
      </c>
      <c r="C6115" t="s">
        <v>42</v>
      </c>
      <c r="D6115" t="str">
        <f>HYPERLINK("https://us2.cloudbeds.com/connect/10074733072513#/reservations/30684908892411?display=James%20Courneya&amp;reservation_id=30684908892411&amp;guest_id=30684908892407", "James Courneya")</f>
        <v>James Courneya</v>
      </c>
      <c r="E6115" t="s">
        <v>3495</v>
      </c>
      <c r="F6115" t="s">
        <v>3292</v>
      </c>
      <c r="G6115">
        <v>129</v>
      </c>
      <c r="H6115">
        <v>140.22999999999999</v>
      </c>
      <c r="I6115">
        <v>140.22</v>
      </c>
      <c r="J6115">
        <v>0.01</v>
      </c>
    </row>
    <row r="6116" spans="1:10" x14ac:dyDescent="0.3">
      <c r="A6116" t="str">
        <f>HYPERLINK("https://us2.cloudbeds.com/connect/10074733072513#/reservations/30686096818386?display=YR0KTYJ08&amp;reservation_id=30686096818386", "YR0KTYJ08")</f>
        <v>YR0KTYJ08</v>
      </c>
      <c r="B6116" t="s">
        <v>10</v>
      </c>
      <c r="C6116" t="s">
        <v>42</v>
      </c>
      <c r="D6116" t="str">
        <f>HYPERLINK("https://us2.cloudbeds.com/connect/10074733072513#/reservations/30686096818386?display=Kristin%20Winter&amp;reservation_id=30686096818386&amp;guest_id=30686088700128", "Kristin Winter")</f>
        <v>Kristin Winter</v>
      </c>
      <c r="E6116" t="s">
        <v>3496</v>
      </c>
      <c r="F6116" t="s">
        <v>2959</v>
      </c>
      <c r="G6116">
        <v>119</v>
      </c>
      <c r="H6116">
        <v>129.36000000000001</v>
      </c>
      <c r="I6116">
        <v>129.35</v>
      </c>
      <c r="J6116">
        <v>0.01</v>
      </c>
    </row>
    <row r="6117" spans="1:10" x14ac:dyDescent="0.3">
      <c r="A6117" t="str">
        <f>HYPERLINK("https://us2.cloudbeds.com/connect/10074733072513#/reservations/30686541197457?display=YR0W8C2JN&amp;reservation_id=30686541197457", "YR0W8C2JN")</f>
        <v>YR0W8C2JN</v>
      </c>
      <c r="B6117" t="s">
        <v>10</v>
      </c>
      <c r="C6117" t="s">
        <v>11</v>
      </c>
      <c r="D6117" t="str">
        <f>HYPERLINK("https://us2.cloudbeds.com/connect/10074733072513#/reservations/30686541197457?display=Lauren%20Chen&amp;reservation_id=30686541197457&amp;guest_id=30686541197455", "Lauren Chen")</f>
        <v>Lauren Chen</v>
      </c>
      <c r="E6117" t="s">
        <v>1319</v>
      </c>
      <c r="F6117" t="s">
        <v>2786</v>
      </c>
      <c r="G6117">
        <v>101.76</v>
      </c>
      <c r="H6117">
        <v>110.62</v>
      </c>
      <c r="I6117">
        <v>110.61</v>
      </c>
      <c r="J6117">
        <v>0.01</v>
      </c>
    </row>
    <row r="6118" spans="1:10" x14ac:dyDescent="0.3">
      <c r="A6118" t="str">
        <f>HYPERLINK("https://us2.cloudbeds.com/connect/10074733072513#/reservations/30686234435731?display=YR0ZDMWCR&amp;reservation_id=30686234435731", "YR0ZDMWCR")</f>
        <v>YR0ZDMWCR</v>
      </c>
      <c r="B6118" t="s">
        <v>10</v>
      </c>
      <c r="C6118" t="s">
        <v>42</v>
      </c>
      <c r="D6118" t="str">
        <f>HYPERLINK("https://us2.cloudbeds.com/connect/10074733072513#/reservations/30686234435731?display=Dave%20Mccandless&amp;reservation_id=30686234435731&amp;guest_id=30682040148123", "Dave Mccandless")</f>
        <v>Dave Mccandless</v>
      </c>
      <c r="E6118" t="s">
        <v>3497</v>
      </c>
      <c r="F6118" t="s">
        <v>3174</v>
      </c>
      <c r="G6118">
        <v>89</v>
      </c>
      <c r="H6118">
        <v>96.75</v>
      </c>
      <c r="I6118">
        <v>96.74</v>
      </c>
      <c r="J6118">
        <v>0.01</v>
      </c>
    </row>
    <row r="6119" spans="1:10" x14ac:dyDescent="0.3">
      <c r="A6119" t="str">
        <f>HYPERLINK("https://us2.cloudbeds.com/connect/10074733072513#/reservations/30687465853058?display=YR1MT1WFD&amp;reservation_id=30687465853058", "YR1MT1WFD")</f>
        <v>YR1MT1WFD</v>
      </c>
      <c r="B6119" t="s">
        <v>10</v>
      </c>
      <c r="C6119" t="s">
        <v>42</v>
      </c>
      <c r="D6119" t="str">
        <f>HYPERLINK("https://us2.cloudbeds.com/connect/10074733072513#/reservations/30687465853058?display=Joe%20Chesek&amp;reservation_id=30687465853058&amp;guest_id=30687461937315", "Joe Chesek")</f>
        <v>Joe Chesek</v>
      </c>
      <c r="E6119" t="s">
        <v>3498</v>
      </c>
      <c r="F6119" t="s">
        <v>2786</v>
      </c>
      <c r="G6119">
        <v>159</v>
      </c>
      <c r="H6119">
        <v>172.84</v>
      </c>
      <c r="I6119">
        <v>172.83</v>
      </c>
      <c r="J6119">
        <v>0.01</v>
      </c>
    </row>
    <row r="6120" spans="1:10" x14ac:dyDescent="0.3">
      <c r="A6120" t="str">
        <f>HYPERLINK("https://us2.cloudbeds.com/connect/10074733072513#/reservations/30682798870737?display=YQV2KZAJN&amp;reservation_id=30682798870737", "YQV2KZAJN")</f>
        <v>YQV2KZAJN</v>
      </c>
      <c r="B6120" t="s">
        <v>10</v>
      </c>
      <c r="C6120" t="s">
        <v>42</v>
      </c>
      <c r="D6120" t="str">
        <f>HYPERLINK("https://us2.cloudbeds.com/connect/10074733072513#/reservations/30682798870737?display=John%20Gerhold&amp;reservation_id=30682798870737&amp;guest_id=30682798870735", "John Gerhold")</f>
        <v>John Gerhold</v>
      </c>
      <c r="E6120" t="s">
        <v>3499</v>
      </c>
      <c r="F6120" t="s">
        <v>2788</v>
      </c>
      <c r="G6120">
        <v>109</v>
      </c>
      <c r="H6120">
        <v>118.49</v>
      </c>
      <c r="I6120">
        <v>118.48</v>
      </c>
      <c r="J6120">
        <v>0.01</v>
      </c>
    </row>
    <row r="6121" spans="1:10" x14ac:dyDescent="0.3">
      <c r="A6121" t="str">
        <f>HYPERLINK("https://us2.cloudbeds.com/connect/10074733072513#/reservations/30687469719766?display=YR1MWAJ5C&amp;reservation_id=30687469719766", "YR1MWAJ5C")</f>
        <v>YR1MWAJ5C</v>
      </c>
      <c r="B6121" t="s">
        <v>10</v>
      </c>
      <c r="C6121" t="s">
        <v>42</v>
      </c>
      <c r="D6121" t="str">
        <f>HYPERLINK("https://us2.cloudbeds.com/connect/10074733072513#/reservations/30687469719766?display=Shawn%20Hill&amp;reservation_id=30687469719766&amp;guest_id=30655641366729", "Shawn Hill")</f>
        <v>Shawn Hill</v>
      </c>
      <c r="E6121" t="s">
        <v>3501</v>
      </c>
      <c r="F6121" t="s">
        <v>2786</v>
      </c>
      <c r="G6121">
        <v>189</v>
      </c>
      <c r="H6121">
        <v>205.45</v>
      </c>
      <c r="I6121">
        <v>205.44</v>
      </c>
      <c r="J6121">
        <v>0.01</v>
      </c>
    </row>
    <row r="6122" spans="1:10" x14ac:dyDescent="0.3">
      <c r="A6122" t="str">
        <f>HYPERLINK("https://us2.cloudbeds.com/connect/10074733072513#/reservations/30686279745775?display=YR0PXTQDF&amp;reservation_id=30686279745775", "YR0PXTQDF")</f>
        <v>YR0PXTQDF</v>
      </c>
      <c r="B6122" t="s">
        <v>10</v>
      </c>
      <c r="C6122" t="s">
        <v>42</v>
      </c>
      <c r="D6122" t="str">
        <f>HYPERLINK("https://us2.cloudbeds.com/connect/10074733072513#/reservations/30686279745775?display=Mushapa%20Osborn&amp;reservation_id=30686279745775&amp;guest_id=30686271733907", "Mushapa Osborn")</f>
        <v>Mushapa Osborn</v>
      </c>
      <c r="E6122" t="s">
        <v>3503</v>
      </c>
      <c r="F6122" t="s">
        <v>3244</v>
      </c>
      <c r="G6122">
        <v>169</v>
      </c>
      <c r="H6122">
        <v>183.71</v>
      </c>
      <c r="I6122">
        <v>183.7</v>
      </c>
      <c r="J6122">
        <v>0.01</v>
      </c>
    </row>
    <row r="6123" spans="1:10" x14ac:dyDescent="0.3">
      <c r="A6123" t="str">
        <f>HYPERLINK("https://us2.cloudbeds.com/connect/10074733072513#/reservations/30686557782208?display=YR0WMBF7Z&amp;reservation_id=30686557782208", "YR0WMBF7Z")</f>
        <v>YR0WMBF7Z</v>
      </c>
      <c r="B6123" t="s">
        <v>10</v>
      </c>
      <c r="C6123" t="s">
        <v>11</v>
      </c>
      <c r="D6123" t="str">
        <f>HYPERLINK("https://us2.cloudbeds.com/connect/10074733072513#/reservations/30686557782208?display=Alex%20Hicklin&amp;reservation_id=30686557782208&amp;guest_id=30686557778174", "Alex Hicklin")</f>
        <v>Alex Hicklin</v>
      </c>
      <c r="E6123" t="s">
        <v>1319</v>
      </c>
      <c r="F6123" t="s">
        <v>2786</v>
      </c>
      <c r="G6123">
        <v>106.8</v>
      </c>
      <c r="H6123">
        <v>116.1</v>
      </c>
      <c r="I6123">
        <v>116.09</v>
      </c>
      <c r="J6123">
        <v>0.01</v>
      </c>
    </row>
    <row r="6124" spans="1:10" x14ac:dyDescent="0.3">
      <c r="A6124" t="str">
        <f>HYPERLINK("https://us2.cloudbeds.com/connect/10074733072513#/reservations/30687619870848?display=YR1QY1HSY&amp;reservation_id=30687619870848", "YR1QY1HSY")</f>
        <v>YR1QY1HSY</v>
      </c>
      <c r="B6124" t="s">
        <v>10</v>
      </c>
      <c r="C6124" t="s">
        <v>42</v>
      </c>
      <c r="D6124" t="str">
        <f>HYPERLINK("https://us2.cloudbeds.com/connect/10074733072513#/reservations/30687619870848?display=David%20Brud&amp;reservation_id=30687619870848&amp;guest_id=30687612887283", "David Brud")</f>
        <v>David Brud</v>
      </c>
      <c r="E6124" t="s">
        <v>3504</v>
      </c>
      <c r="F6124" t="s">
        <v>3449</v>
      </c>
      <c r="G6124">
        <v>219</v>
      </c>
      <c r="H6124">
        <v>238.06</v>
      </c>
      <c r="I6124">
        <v>238.05</v>
      </c>
      <c r="J6124">
        <v>0.01</v>
      </c>
    </row>
    <row r="6125" spans="1:10" x14ac:dyDescent="0.3">
      <c r="A6125" t="str">
        <f>HYPERLINK("https://us2.cloudbeds.com/connect/10074733072513#/reservations/30686194208909?display=YR0NCPK57&amp;reservation_id=30686194208909", "YR0NCPK57")</f>
        <v>YR0NCPK57</v>
      </c>
      <c r="B6125" t="s">
        <v>10</v>
      </c>
      <c r="C6125" t="s">
        <v>11</v>
      </c>
      <c r="D6125" t="str">
        <f>HYPERLINK("https://us2.cloudbeds.com/connect/10074733072513#/reservations/30686194208909?display=Melissa%20Fraser&amp;reservation_id=30686194208909&amp;guest_id=30686194208905", "Melissa Fraser")</f>
        <v>Melissa Fraser</v>
      </c>
      <c r="E6125" t="s">
        <v>3505</v>
      </c>
      <c r="F6125" t="s">
        <v>2786</v>
      </c>
      <c r="G6125">
        <v>134.41999999999999</v>
      </c>
      <c r="H6125">
        <v>146.12</v>
      </c>
      <c r="I6125">
        <v>146.11000000000001</v>
      </c>
      <c r="J6125">
        <v>0.01</v>
      </c>
    </row>
    <row r="6126" spans="1:10" x14ac:dyDescent="0.3">
      <c r="A6126" t="str">
        <f>HYPERLINK("https://us2.cloudbeds.com/connect/10074733072513#/reservations/30686345506971?display=YR0R8BN5W&amp;reservation_id=30686345506971", "YR0R8BN5W")</f>
        <v>YR0R8BN5W</v>
      </c>
      <c r="B6126" t="s">
        <v>10</v>
      </c>
      <c r="C6126" t="s">
        <v>42</v>
      </c>
      <c r="D6126" t="str">
        <f>HYPERLINK("https://us2.cloudbeds.com/connect/10074733072513#/reservations/30686345506971?display=Ag%20Builders%20.&amp;reservation_id=30686345506971&amp;guest_id=30686208884874", "Ag Builders .")</f>
        <v>Ag Builders .</v>
      </c>
      <c r="E6126" t="s">
        <v>3506</v>
      </c>
      <c r="F6126" t="s">
        <v>3398</v>
      </c>
      <c r="G6126">
        <v>504</v>
      </c>
      <c r="H6126">
        <v>547.86</v>
      </c>
      <c r="I6126">
        <v>547.85</v>
      </c>
      <c r="J6126">
        <v>0.01</v>
      </c>
    </row>
    <row r="6127" spans="1:10" x14ac:dyDescent="0.3">
      <c r="A6127" t="str">
        <f>HYPERLINK("https://us2.cloudbeds.com/connect/10074733072513#/reservations/30687636762768?display=YR1R85QBH&amp;reservation_id=30687636762768", "YR1R85QBH")</f>
        <v>YR1R85QBH</v>
      </c>
      <c r="B6127" t="s">
        <v>10</v>
      </c>
      <c r="C6127" t="s">
        <v>42</v>
      </c>
      <c r="D6127" t="str">
        <f>HYPERLINK("https://us2.cloudbeds.com/connect/10074733072513#/reservations/30687636762768?display=Laura%20Schuler&amp;reservation_id=30687636762768&amp;guest_id=20392278323400", "Laura Schuler")</f>
        <v>Laura Schuler</v>
      </c>
      <c r="E6127" t="s">
        <v>3507</v>
      </c>
      <c r="F6127" t="s">
        <v>3449</v>
      </c>
      <c r="G6127">
        <v>149</v>
      </c>
      <c r="H6127">
        <v>161.97</v>
      </c>
      <c r="I6127">
        <v>161.96</v>
      </c>
      <c r="J6127">
        <v>0.01</v>
      </c>
    </row>
    <row r="6128" spans="1:10" x14ac:dyDescent="0.3">
      <c r="A6128" t="str">
        <f>HYPERLINK("https://us2.cloudbeds.com/connect/10074733072513#/reservations/30686027231430?display=YR0J3W74K&amp;reservation_id=30686027231430", "YR0J3W74K")</f>
        <v>YR0J3W74K</v>
      </c>
      <c r="B6128" t="s">
        <v>10</v>
      </c>
      <c r="C6128" t="s">
        <v>20</v>
      </c>
      <c r="D6128" t="str">
        <f>HYPERLINK("https://us2.cloudbeds.com/connect/10074733072513#/reservations/30686027231430?display=Julie%20Lentz&amp;reservation_id=30686027231430&amp;guest_id=30686027231425", "Julie Lentz")</f>
        <v>Julie Lentz</v>
      </c>
      <c r="E6128" t="s">
        <v>3509</v>
      </c>
      <c r="F6128" t="s">
        <v>3482</v>
      </c>
      <c r="G6128">
        <v>141.55000000000001</v>
      </c>
      <c r="H6128">
        <v>153.87</v>
      </c>
      <c r="I6128">
        <v>153.86000000000001</v>
      </c>
      <c r="J6128">
        <v>0.01</v>
      </c>
    </row>
    <row r="6129" spans="1:10" x14ac:dyDescent="0.3">
      <c r="A6129" t="str">
        <f>HYPERLINK("https://us2.cloudbeds.com/connect/10074733072513#/reservations/30687080583396?display=YR1D169G5&amp;reservation_id=30687080583396", "YR1D169G5")</f>
        <v>YR1D169G5</v>
      </c>
      <c r="B6129" t="s">
        <v>10</v>
      </c>
      <c r="C6129" t="s">
        <v>23</v>
      </c>
      <c r="D6129" t="str">
        <f>HYPERLINK("https://us2.cloudbeds.com/connect/10074733072513#/reservations/30687080583396?display=Jamie%20Dekker&amp;reservation_id=30687080583396&amp;guest_id=30687071817943", "Jamie Dekker")</f>
        <v>Jamie Dekker</v>
      </c>
      <c r="E6129" t="s">
        <v>3510</v>
      </c>
      <c r="F6129" t="s">
        <v>3185</v>
      </c>
      <c r="G6129">
        <v>229</v>
      </c>
      <c r="H6129">
        <v>248.93</v>
      </c>
      <c r="I6129">
        <v>248.92</v>
      </c>
      <c r="J6129">
        <v>0.01</v>
      </c>
    </row>
    <row r="6130" spans="1:10" x14ac:dyDescent="0.3">
      <c r="A6130" t="str">
        <f>HYPERLINK("https://us2.cloudbeds.com/connect/10074733072513#/reservations/30686300750050?display=YR0Q3K92Y&amp;reservation_id=30686300750050", "YR0Q3K92Y")</f>
        <v>YR0Q3K92Y</v>
      </c>
      <c r="B6130" t="s">
        <v>10</v>
      </c>
      <c r="C6130" t="s">
        <v>20</v>
      </c>
      <c r="D6130" t="str">
        <f>HYPERLINK("https://us2.cloudbeds.com/connect/10074733072513#/reservations/30686300750050?display=Ben%20Kriegler&amp;reservation_id=30686300750050&amp;guest_id=30686300750046", "Ben Kriegler")</f>
        <v>Ben Kriegler</v>
      </c>
      <c r="E6130" t="s">
        <v>3512</v>
      </c>
      <c r="F6130" t="s">
        <v>3174</v>
      </c>
      <c r="G6130">
        <v>144.5</v>
      </c>
      <c r="H6130">
        <v>157.08000000000001</v>
      </c>
      <c r="I6130">
        <v>157.07</v>
      </c>
      <c r="J6130">
        <v>0.01</v>
      </c>
    </row>
    <row r="6131" spans="1:10" x14ac:dyDescent="0.3">
      <c r="A6131" t="str">
        <f>HYPERLINK("https://us2.cloudbeds.com/connect/10074733072513#/reservations/30686111531223?display=YR0Y91WDQ&amp;reservation_id=30686111531223", "YR0Y91WDQ")</f>
        <v>YR0Y91WDQ</v>
      </c>
      <c r="B6131" t="s">
        <v>10</v>
      </c>
      <c r="C6131" t="s">
        <v>42</v>
      </c>
      <c r="D6131" t="str">
        <f>HYPERLINK("https://us2.cloudbeds.com/connect/10074733072513#/reservations/30686111531223?display=Runnar%20Bahr&amp;reservation_id=30686111531223&amp;guest_id=30686111531219", "Runnar Bahr")</f>
        <v>Runnar Bahr</v>
      </c>
      <c r="E6131" t="s">
        <v>3513</v>
      </c>
      <c r="F6131" t="s">
        <v>2959</v>
      </c>
      <c r="G6131">
        <v>119</v>
      </c>
      <c r="H6131">
        <v>129.36000000000001</v>
      </c>
      <c r="I6131">
        <v>129.35</v>
      </c>
      <c r="J6131">
        <v>0.01</v>
      </c>
    </row>
    <row r="6132" spans="1:10" x14ac:dyDescent="0.3">
      <c r="A6132" t="str">
        <f>HYPERLINK("https://us2.cloudbeds.com/connect/10074733072513#/reservations/30687498784903?display=YR1NNRBU3&amp;reservation_id=30687498784903", "YR1NNRBU3")</f>
        <v>YR1NNRBU3</v>
      </c>
      <c r="B6132" t="s">
        <v>10</v>
      </c>
      <c r="C6132" t="s">
        <v>42</v>
      </c>
      <c r="D6132" t="str">
        <f>HYPERLINK("https://us2.cloudbeds.com/connect/10074733072513#/reservations/30687498784903?display=James%20Mcconnell&amp;reservation_id=30687498784903&amp;guest_id=30687498784898", "James Mcconnell")</f>
        <v>James Mcconnell</v>
      </c>
      <c r="E6132" t="s">
        <v>3514</v>
      </c>
      <c r="F6132" t="s">
        <v>2835</v>
      </c>
      <c r="G6132">
        <v>153</v>
      </c>
      <c r="H6132">
        <v>166.32</v>
      </c>
      <c r="I6132">
        <v>166.31</v>
      </c>
      <c r="J6132">
        <v>0.01</v>
      </c>
    </row>
    <row r="6133" spans="1:10" x14ac:dyDescent="0.3">
      <c r="A6133" t="str">
        <f>HYPERLINK("https://us2.cloudbeds.com/connect/10074733072513#/reservations/30686088696048?display=YR0KMQXFQ&amp;reservation_id=30686088696048", "YR0KMQXFQ")</f>
        <v>YR0KMQXFQ</v>
      </c>
      <c r="B6133" t="s">
        <v>10</v>
      </c>
      <c r="C6133" t="s">
        <v>42</v>
      </c>
      <c r="D6133" t="str">
        <f>HYPERLINK("https://us2.cloudbeds.com/connect/10074733072513#/reservations/30686088696048?display=Nick%20Hahler&amp;reservation_id=30686088696048&amp;guest_id=30686088696046", "Nick Hahler")</f>
        <v>Nick Hahler</v>
      </c>
      <c r="E6133" t="s">
        <v>3515</v>
      </c>
      <c r="F6133" t="s">
        <v>3516</v>
      </c>
      <c r="G6133">
        <v>192</v>
      </c>
      <c r="H6133">
        <v>208.71</v>
      </c>
      <c r="I6133">
        <v>208.7</v>
      </c>
      <c r="J6133">
        <v>0.01</v>
      </c>
    </row>
    <row r="6134" spans="1:10" x14ac:dyDescent="0.3">
      <c r="A6134" t="str">
        <f>HYPERLINK("https://us2.cloudbeds.com/connect/10074733072513#/reservations/30687526305994?display=YR1ZE15QX&amp;reservation_id=30687526305994", "YR1ZE15QX")</f>
        <v>YR1ZE15QX</v>
      </c>
      <c r="B6134" t="s">
        <v>10</v>
      </c>
      <c r="C6134" t="s">
        <v>42</v>
      </c>
      <c r="D6134" t="str">
        <f>HYPERLINK("https://us2.cloudbeds.com/connect/10074733072513#/reservations/30687526305994?display=Andrea%20Libengood&amp;reservation_id=30687526305994&amp;guest_id=30687526301946", "Andrea Libengood")</f>
        <v>Andrea Libengood</v>
      </c>
      <c r="E6134" t="s">
        <v>3517</v>
      </c>
      <c r="F6134" t="s">
        <v>3048</v>
      </c>
      <c r="G6134">
        <v>199</v>
      </c>
      <c r="H6134">
        <v>216.32</v>
      </c>
      <c r="I6134">
        <v>216.31</v>
      </c>
      <c r="J6134">
        <v>0.01</v>
      </c>
    </row>
    <row r="6135" spans="1:10" x14ac:dyDescent="0.3">
      <c r="A6135" t="str">
        <f>HYPERLINK("https://us2.cloudbeds.com/connect/10074733072513#/reservations/30687533150366?display=YR1ZJQKQP&amp;reservation_id=30687533150366", "YR1ZJQKQP")</f>
        <v>YR1ZJQKQP</v>
      </c>
      <c r="B6135" t="s">
        <v>10</v>
      </c>
      <c r="C6135" t="s">
        <v>42</v>
      </c>
      <c r="D6135" t="str">
        <f>HYPERLINK("https://us2.cloudbeds.com/connect/10074733072513#/reservations/30687533150366?display=Travis%20Leisinger&amp;reservation_id=30687533150366&amp;guest_id=30687533150354", "Travis Leisinger")</f>
        <v>Travis Leisinger</v>
      </c>
      <c r="E6135" t="s">
        <v>3518</v>
      </c>
      <c r="F6135" t="s">
        <v>3048</v>
      </c>
      <c r="G6135">
        <v>149</v>
      </c>
      <c r="H6135">
        <v>161.97</v>
      </c>
      <c r="I6135">
        <v>161.96</v>
      </c>
      <c r="J6135">
        <v>0.01</v>
      </c>
    </row>
    <row r="6136" spans="1:10" x14ac:dyDescent="0.3">
      <c r="A6136" t="str">
        <f>HYPERLINK("https://us2.cloudbeds.com/connect/10074733072513#/reservations/30686827827393?display=YR167P59D&amp;reservation_id=30686827827393", "YR167P59D")</f>
        <v>YR167P59D</v>
      </c>
      <c r="B6136" t="s">
        <v>10</v>
      </c>
      <c r="C6136" t="s">
        <v>20</v>
      </c>
      <c r="D6136" t="str">
        <f>HYPERLINK("https://us2.cloudbeds.com/connect/10074733072513#/reservations/30686827827393?display=Peter%20Padgett&amp;reservation_id=30686827827393&amp;guest_id=30686814429392", "Peter Padgett")</f>
        <v>Peter Padgett</v>
      </c>
      <c r="E6136" t="s">
        <v>3519</v>
      </c>
      <c r="F6136" t="s">
        <v>3449</v>
      </c>
      <c r="G6136">
        <v>194.65</v>
      </c>
      <c r="H6136">
        <v>211.59</v>
      </c>
      <c r="I6136">
        <v>211.58</v>
      </c>
      <c r="J6136">
        <v>0.01</v>
      </c>
    </row>
    <row r="6137" spans="1:10" x14ac:dyDescent="0.3">
      <c r="A6137" t="str">
        <f>HYPERLINK("https://us2.cloudbeds.com/connect/10074733072513#/reservations/30686089764998?display=YR0KNNA27&amp;reservation_id=30686089764998", "YR0KNNA27")</f>
        <v>YR0KNNA27</v>
      </c>
      <c r="B6137" t="s">
        <v>10</v>
      </c>
      <c r="C6137" t="s">
        <v>42</v>
      </c>
      <c r="D6137" t="str">
        <f>HYPERLINK("https://us2.cloudbeds.com/connect/10074733072513#/reservations/30686089764998?display=Cindy%20Chapelin&amp;reservation_id=30686089764998&amp;guest_id=30686080069810", "Cindy Chapelin")</f>
        <v>Cindy Chapelin</v>
      </c>
      <c r="E6137" t="s">
        <v>3520</v>
      </c>
      <c r="F6137" t="s">
        <v>3516</v>
      </c>
      <c r="G6137">
        <v>338</v>
      </c>
      <c r="H6137">
        <v>367.42</v>
      </c>
      <c r="I6137">
        <v>367.41</v>
      </c>
      <c r="J6137">
        <v>0.01</v>
      </c>
    </row>
    <row r="6138" spans="1:10" x14ac:dyDescent="0.3">
      <c r="A6138" t="str">
        <f>HYPERLINK("https://us2.cloudbeds.com/connect/10074733072513#/reservations/30686764966117?display=YR14W1PF6&amp;reservation_id=30686764966117", "YR14W1PF6")</f>
        <v>YR14W1PF6</v>
      </c>
      <c r="B6138" t="s">
        <v>10</v>
      </c>
      <c r="C6138" t="s">
        <v>42</v>
      </c>
      <c r="D6138" t="str">
        <f>HYPERLINK("https://us2.cloudbeds.com/connect/10074733072513#/reservations/30686764966117?display=David%20Underwood&amp;reservation_id=30686764966117&amp;guest_id=30686764966113", "David Underwood")</f>
        <v>David Underwood</v>
      </c>
      <c r="E6138" t="s">
        <v>3521</v>
      </c>
      <c r="F6138" t="s">
        <v>3449</v>
      </c>
      <c r="G6138">
        <v>209</v>
      </c>
      <c r="H6138">
        <v>227.19</v>
      </c>
      <c r="I6138">
        <v>227.18</v>
      </c>
      <c r="J6138">
        <v>0.01</v>
      </c>
    </row>
    <row r="6139" spans="1:10" x14ac:dyDescent="0.3">
      <c r="A6139" t="str">
        <f>HYPERLINK("https://us2.cloudbeds.com/connect/10074733072513#/reservations/30687363977458?display=YR1K954Q0&amp;reservation_id=30687363977458", "YR1K954Q0")</f>
        <v>YR1K954Q0</v>
      </c>
      <c r="B6139" t="s">
        <v>10</v>
      </c>
      <c r="C6139" t="s">
        <v>20</v>
      </c>
      <c r="D6139" t="str">
        <f>HYPERLINK("https://us2.cloudbeds.com/connect/10074733072513#/reservations/30687363977458?display=Michele%20Mckinley&amp;reservation_id=30687363977458&amp;guest_id=30687355981978", "Michele Mckinley")</f>
        <v>Michele Mckinley</v>
      </c>
      <c r="E6139" t="s">
        <v>3522</v>
      </c>
      <c r="F6139" t="s">
        <v>3048</v>
      </c>
      <c r="G6139">
        <v>229</v>
      </c>
      <c r="H6139">
        <v>248.93</v>
      </c>
      <c r="I6139">
        <v>248.92</v>
      </c>
      <c r="J6139">
        <v>0.01</v>
      </c>
    </row>
    <row r="6140" spans="1:10" x14ac:dyDescent="0.3">
      <c r="A6140" t="str">
        <f>HYPERLINK("https://us2.cloudbeds.com/connect/10074733072513#/reservations/30687287021770?display=YR1XA8ZDF&amp;reservation_id=30687287021770", "YR1XA8ZDF")</f>
        <v>YR1XA8ZDF</v>
      </c>
      <c r="B6140" t="s">
        <v>10</v>
      </c>
      <c r="C6140" t="s">
        <v>20</v>
      </c>
      <c r="D6140" t="str">
        <f>HYPERLINK("https://us2.cloudbeds.com/connect/10074733072513#/reservations/30687287021770?display=Keysha%20Zamora&amp;reservation_id=30687287021770&amp;guest_id=30687287021768", "Keysha Zamora")</f>
        <v>Keysha Zamora</v>
      </c>
      <c r="E6140" t="s">
        <v>3523</v>
      </c>
      <c r="F6140" t="s">
        <v>3048</v>
      </c>
      <c r="G6140">
        <v>239</v>
      </c>
      <c r="H6140">
        <v>259.8</v>
      </c>
      <c r="I6140">
        <v>259.79000000000002</v>
      </c>
      <c r="J6140">
        <v>0.01</v>
      </c>
    </row>
    <row r="6141" spans="1:10" x14ac:dyDescent="0.3">
      <c r="A6141" t="str">
        <f>HYPERLINK("https://us2.cloudbeds.com/connect/10074733072513#/reservations/30686764970209?display=YR14W1T76&amp;reservation_id=30686764970209", "YR14W1T76")</f>
        <v>YR14W1T76</v>
      </c>
      <c r="B6141" t="s">
        <v>10</v>
      </c>
      <c r="C6141" t="s">
        <v>42</v>
      </c>
      <c r="D6141" t="str">
        <f>HYPERLINK("https://us2.cloudbeds.com/connect/10074733072513#/reservations/30686764970209?display=Lonnie%20Myers&amp;reservation_id=30686764970209&amp;guest_id=30686764970207", "Lonnie Myers")</f>
        <v>Lonnie Myers</v>
      </c>
      <c r="E6141" t="s">
        <v>3524</v>
      </c>
      <c r="F6141" t="s">
        <v>3449</v>
      </c>
      <c r="G6141">
        <v>239</v>
      </c>
      <c r="H6141">
        <v>259.8</v>
      </c>
      <c r="I6141">
        <v>259.79000000000002</v>
      </c>
      <c r="J6141">
        <v>0.01</v>
      </c>
    </row>
    <row r="6142" spans="1:10" x14ac:dyDescent="0.3">
      <c r="A6142" t="str">
        <f>HYPERLINK("https://us2.cloudbeds.com/connect/10074733072513#/reservations/30683038167195?display=YQV8ZH37H&amp;reservation_id=30683038167195", "YQV8ZH37H")</f>
        <v>YQV8ZH37H</v>
      </c>
      <c r="B6142" t="s">
        <v>10</v>
      </c>
      <c r="C6142" t="s">
        <v>20</v>
      </c>
      <c r="D6142" t="str">
        <f>HYPERLINK("https://us2.cloudbeds.com/connect/10074733072513#/reservations/30683038167195?display=Adam%20Turbak&amp;reservation_id=30683038167195&amp;guest_id=30683038163102", "Adam Turbak")</f>
        <v>Adam Turbak</v>
      </c>
      <c r="E6142" t="s">
        <v>3525</v>
      </c>
      <c r="F6142" t="s">
        <v>3526</v>
      </c>
      <c r="G6142">
        <v>322.2</v>
      </c>
      <c r="H6142">
        <v>350.24</v>
      </c>
      <c r="I6142">
        <v>350.23</v>
      </c>
      <c r="J6142">
        <v>0.01</v>
      </c>
    </row>
    <row r="6143" spans="1:10" x14ac:dyDescent="0.3">
      <c r="A6143" t="str">
        <f>HYPERLINK("https://us2.cloudbeds.com/connect/10074733072513#/reservations/30687662670023?display=YR1RU0N9S&amp;reservation_id=30687662670023", "YR1RU0N9S")</f>
        <v>YR1RU0N9S</v>
      </c>
      <c r="B6143" t="s">
        <v>10</v>
      </c>
      <c r="C6143" t="s">
        <v>42</v>
      </c>
      <c r="D6143" t="str">
        <f>HYPERLINK("https://us2.cloudbeds.com/connect/10074733072513#/reservations/30687662670023?display=Laurence%20Pruett&amp;reservation_id=30687662670023&amp;guest_id=30687662665934", "Laurence Pruett")</f>
        <v>Laurence Pruett</v>
      </c>
      <c r="E6143" t="s">
        <v>3527</v>
      </c>
      <c r="F6143" t="s">
        <v>3449</v>
      </c>
      <c r="G6143">
        <v>398</v>
      </c>
      <c r="H6143">
        <v>432.64</v>
      </c>
      <c r="I6143">
        <v>432.63</v>
      </c>
      <c r="J6143">
        <v>0.01</v>
      </c>
    </row>
    <row r="6144" spans="1:10" x14ac:dyDescent="0.3">
      <c r="A6144" t="str">
        <f>HYPERLINK("https://us2.cloudbeds.com/connect/10074733072513#/reservations/30687581728969?display=YR1PRPD8Y&amp;reservation_id=30687581728969", "YR1PRPD8Y")</f>
        <v>YR1PRPD8Y</v>
      </c>
      <c r="B6144" t="s">
        <v>10</v>
      </c>
      <c r="C6144" t="s">
        <v>11</v>
      </c>
      <c r="D6144" t="str">
        <f>HYPERLINK("https://us2.cloudbeds.com/connect/10074733072513#/reservations/30687581728969?display=Patricia%20Cafazzo&amp;reservation_id=30687581728969&amp;guest_id=30687581728963", "Patricia Cafazzo")</f>
        <v>Patricia Cafazzo</v>
      </c>
      <c r="E6144" t="s">
        <v>3528</v>
      </c>
      <c r="F6144" t="s">
        <v>3048</v>
      </c>
      <c r="G6144">
        <v>169.93</v>
      </c>
      <c r="H6144">
        <v>184.72</v>
      </c>
      <c r="I6144">
        <v>184.71</v>
      </c>
      <c r="J6144">
        <v>0.01</v>
      </c>
    </row>
    <row r="6145" spans="1:10" x14ac:dyDescent="0.3">
      <c r="A6145" t="str">
        <f>HYPERLINK("https://us2.cloudbeds.com/connect/10074733072513#/reservations/30687543853201?display=YR1ZSREV3&amp;reservation_id=30687543853201", "YR1ZSREV3")</f>
        <v>YR1ZSREV3</v>
      </c>
      <c r="B6145" t="s">
        <v>10</v>
      </c>
      <c r="C6145" t="s">
        <v>42</v>
      </c>
      <c r="D6145" t="str">
        <f>HYPERLINK("https://us2.cloudbeds.com/connect/10074733072513#/reservations/30687543853201?display=Stanley%20Dobosenski&amp;reservation_id=30687543853201&amp;guest_id=30687540220131", "Stanley Dobosenski")</f>
        <v>Stanley Dobosenski</v>
      </c>
      <c r="E6145" t="s">
        <v>3529</v>
      </c>
      <c r="F6145" t="s">
        <v>3048</v>
      </c>
      <c r="G6145">
        <v>229</v>
      </c>
      <c r="H6145">
        <v>248.93</v>
      </c>
      <c r="I6145">
        <v>248.92</v>
      </c>
      <c r="J6145">
        <v>0.01</v>
      </c>
    </row>
    <row r="6146" spans="1:10" x14ac:dyDescent="0.3">
      <c r="A6146" t="str">
        <f>HYPERLINK("https://us2.cloudbeds.com/connect/10074733072513#/reservations/30687367065800?display=YR1KBP2Z4&amp;reservation_id=30687367065800", "YR1KBP2Z4")</f>
        <v>YR1KBP2Z4</v>
      </c>
      <c r="B6146" t="s">
        <v>10</v>
      </c>
      <c r="C6146" t="s">
        <v>11</v>
      </c>
      <c r="D6146" t="str">
        <f>HYPERLINK("https://us2.cloudbeds.com/connect/10074733072513#/reservations/30687367065800?display=April%20Lea%20Smith&amp;reservation_id=30687367065800&amp;guest_id=30687367061708", "April Lea Smith")</f>
        <v>April Lea Smith</v>
      </c>
      <c r="E6146" t="s">
        <v>2211</v>
      </c>
      <c r="F6146" t="s">
        <v>3048</v>
      </c>
      <c r="G6146">
        <v>169.93</v>
      </c>
      <c r="H6146">
        <v>184.72</v>
      </c>
      <c r="I6146">
        <v>184.71</v>
      </c>
      <c r="J6146">
        <v>0.01</v>
      </c>
    </row>
    <row r="6147" spans="1:10" x14ac:dyDescent="0.3">
      <c r="A6147" t="str">
        <f>HYPERLINK("https://us2.cloudbeds.com/connect/10074733072513#/reservations/30686219518162?display=YR0Z13SW9&amp;reservation_id=30686219518162", "YR0Z13SW9")</f>
        <v>YR0Z13SW9</v>
      </c>
      <c r="B6147" t="s">
        <v>10</v>
      </c>
      <c r="C6147" t="s">
        <v>14</v>
      </c>
      <c r="D6147" t="str">
        <f>HYPERLINK("https://us2.cloudbeds.com/connect/10074733072513#/reservations/30686219518162?display=Jackie%20Dekker&amp;reservation_id=30686219518162&amp;guest_id=30686219514072", "Jackie Dekker")</f>
        <v>Jackie Dekker</v>
      </c>
      <c r="E6147" t="s">
        <v>3534</v>
      </c>
      <c r="F6147" t="s">
        <v>3185</v>
      </c>
      <c r="G6147">
        <v>199</v>
      </c>
      <c r="H6147">
        <v>216.32</v>
      </c>
      <c r="I6147">
        <v>216.31</v>
      </c>
      <c r="J6147">
        <v>0.01</v>
      </c>
    </row>
    <row r="6148" spans="1:10" x14ac:dyDescent="0.3">
      <c r="A6148" t="str">
        <f>HYPERLINK("https://us2.cloudbeds.com/connect/10074733072513#/reservations/30686281437329?display=YR0PKASNM&amp;reservation_id=30686281437329", "YR0PKASNM")</f>
        <v>YR0PKASNM</v>
      </c>
      <c r="B6148" t="s">
        <v>10</v>
      </c>
      <c r="C6148" t="s">
        <v>23</v>
      </c>
      <c r="D6148" t="str">
        <f>HYPERLINK("https://us2.cloudbeds.com/connect/10074733072513#/reservations/30686281437329?display=Brooks%20Bowman&amp;reservation_id=30686281437329&amp;guest_id=30679278809295", "Brooks Bowman")</f>
        <v>Brooks Bowman</v>
      </c>
      <c r="E6148" t="s">
        <v>3087</v>
      </c>
      <c r="F6148" t="s">
        <v>3174</v>
      </c>
      <c r="G6148">
        <v>189</v>
      </c>
      <c r="H6148">
        <v>205.45</v>
      </c>
      <c r="I6148">
        <v>205.44</v>
      </c>
      <c r="J6148">
        <v>0.01</v>
      </c>
    </row>
    <row r="6149" spans="1:10" x14ac:dyDescent="0.3">
      <c r="A6149" t="str">
        <f>HYPERLINK("https://us2.cloudbeds.com/connect/10074733072513#/reservations/30686248558721?display=YR0ZPJW57&amp;reservation_id=30686248558721", "YR0ZPJW57")</f>
        <v>YR0ZPJW57</v>
      </c>
      <c r="B6149" t="s">
        <v>10</v>
      </c>
      <c r="C6149" t="s">
        <v>42</v>
      </c>
      <c r="D6149" t="str">
        <f>HYPERLINK("https://us2.cloudbeds.com/connect/10074733072513#/reservations/30686248558721?display=Robert%20Lindsey&amp;reservation_id=30686248558721&amp;guest_id=30686248554630", "Robert Lindsey")</f>
        <v>Robert Lindsey</v>
      </c>
      <c r="E6149" t="s">
        <v>3537</v>
      </c>
      <c r="F6149" t="s">
        <v>3174</v>
      </c>
      <c r="G6149">
        <v>169</v>
      </c>
      <c r="H6149">
        <v>183.71</v>
      </c>
      <c r="I6149">
        <v>183.7</v>
      </c>
      <c r="J6149">
        <v>0.01</v>
      </c>
    </row>
    <row r="6150" spans="1:10" x14ac:dyDescent="0.3">
      <c r="A6150" t="str">
        <f>HYPERLINK("https://us2.cloudbeds.com/connect/10074733072513#/reservations/30686243864814?display=YR0ZYYBSK&amp;reservation_id=30686243864814", "YR0ZYYBSK")</f>
        <v>YR0ZYYBSK</v>
      </c>
      <c r="B6150" t="s">
        <v>10</v>
      </c>
      <c r="C6150" t="s">
        <v>42</v>
      </c>
      <c r="D6150" t="str">
        <f>HYPERLINK("https://us2.cloudbeds.com/connect/10074733072513#/reservations/30686243864814?display=I29%20Rv&amp;reservation_id=30686243864814&amp;guest_id=30686243864795", "I29 Rv")</f>
        <v>I29 Rv</v>
      </c>
      <c r="E6150" t="s">
        <v>3538</v>
      </c>
      <c r="F6150" t="s">
        <v>3174</v>
      </c>
      <c r="G6150">
        <v>129</v>
      </c>
      <c r="H6150">
        <v>140.22999999999999</v>
      </c>
      <c r="I6150">
        <v>140.22</v>
      </c>
      <c r="J6150">
        <v>0.01</v>
      </c>
    </row>
    <row r="6151" spans="1:10" x14ac:dyDescent="0.3">
      <c r="A6151" t="str">
        <f>HYPERLINK("https://us2.cloudbeds.com/connect/10074733072513#/reservations/30687413338325?display=YR1YHPMXS&amp;reservation_id=30687413338325", "YR1YHPMXS")</f>
        <v>YR1YHPMXS</v>
      </c>
      <c r="B6151" t="s">
        <v>10</v>
      </c>
      <c r="C6151" t="s">
        <v>42</v>
      </c>
      <c r="D6151" t="str">
        <f>HYPERLINK("https://us2.cloudbeds.com/connect/10074733072513#/reservations/30687413338325?display=Brian%20Jarvis&amp;reservation_id=30687413338325&amp;guest_id=30678539014283", "Brian Jarvis")</f>
        <v>Brian Jarvis</v>
      </c>
      <c r="E6151" t="s">
        <v>3382</v>
      </c>
      <c r="F6151" t="s">
        <v>3492</v>
      </c>
      <c r="G6151">
        <v>256</v>
      </c>
      <c r="H6151">
        <v>278.27999999999997</v>
      </c>
      <c r="I6151">
        <v>278.27</v>
      </c>
      <c r="J6151">
        <v>0.01</v>
      </c>
    </row>
    <row r="6152" spans="1:10" x14ac:dyDescent="0.3">
      <c r="A6152" t="str">
        <f>HYPERLINK("https://us2.cloudbeds.com/connect/10074733072513#/reservations/30686933676172?display=YR199ACF3&amp;reservation_id=30686933676172", "YR199ACF3")</f>
        <v>YR199ACF3</v>
      </c>
      <c r="B6152" t="s">
        <v>10</v>
      </c>
      <c r="C6152" t="s">
        <v>42</v>
      </c>
      <c r="D6152" t="str">
        <f>HYPERLINK("https://us2.cloudbeds.com/connect/10074733072513#/reservations/30686933676172?display=Michelle%20Rickett&amp;reservation_id=30686933676172&amp;guest_id=30686933676167", "Michelle Rickett")</f>
        <v>Michelle Rickett</v>
      </c>
      <c r="E6152" t="s">
        <v>3540</v>
      </c>
      <c r="F6152" t="s">
        <v>3179</v>
      </c>
      <c r="G6152">
        <v>199</v>
      </c>
      <c r="H6152">
        <v>216.32</v>
      </c>
      <c r="I6152">
        <v>216.31</v>
      </c>
      <c r="J6152">
        <v>0.01</v>
      </c>
    </row>
    <row r="6153" spans="1:10" x14ac:dyDescent="0.3">
      <c r="A6153" t="str">
        <f>HYPERLINK("https://us2.cloudbeds.com/connect/10074733072513#/reservations/30686310645948?display=YR0QBVY7B&amp;reservation_id=30686310645948", "YR0QBVY7B")</f>
        <v>YR0QBVY7B</v>
      </c>
      <c r="B6153" t="s">
        <v>10</v>
      </c>
      <c r="C6153" t="s">
        <v>42</v>
      </c>
      <c r="D6153" t="str">
        <f>HYPERLINK("https://us2.cloudbeds.com/connect/10074733072513#/reservations/30686310645948?display=Barb%20Beckers&amp;reservation_id=30686310645948&amp;guest_id=30686310645942", "Barb Beckers")</f>
        <v>Barb Beckers</v>
      </c>
      <c r="E6153" t="s">
        <v>3541</v>
      </c>
      <c r="F6153" t="s">
        <v>3398</v>
      </c>
      <c r="G6153">
        <v>149</v>
      </c>
      <c r="H6153">
        <v>161.97</v>
      </c>
      <c r="I6153">
        <v>161.96</v>
      </c>
      <c r="J6153">
        <v>0.01</v>
      </c>
    </row>
    <row r="6154" spans="1:10" x14ac:dyDescent="0.3">
      <c r="A6154" t="str">
        <f>HYPERLINK("https://us2.cloudbeds.com/connect/10074733072513#/reservations/30684430807260?display=YQWBARBTK&amp;reservation_id=30684430807260", "YQWBARBTK")</f>
        <v>YQWBARBTK</v>
      </c>
      <c r="B6154" t="s">
        <v>10</v>
      </c>
      <c r="C6154" t="s">
        <v>14</v>
      </c>
      <c r="D6154" t="str">
        <f>HYPERLINK("https://us2.cloudbeds.com/connect/10074733072513#/reservations/30684430807260?display=Alex%20Machado&amp;reservation_id=30684430807260&amp;guest_id=30684430803173", "Alex Machado")</f>
        <v>Alex Machado</v>
      </c>
      <c r="E6154" t="s">
        <v>3542</v>
      </c>
      <c r="F6154" t="s">
        <v>2659</v>
      </c>
      <c r="G6154">
        <v>211.88</v>
      </c>
      <c r="H6154">
        <v>230.32</v>
      </c>
      <c r="I6154">
        <v>230.31</v>
      </c>
      <c r="J6154">
        <v>0.01</v>
      </c>
    </row>
    <row r="6155" spans="1:10" x14ac:dyDescent="0.3">
      <c r="A6155" t="str">
        <f>HYPERLINK("https://us2.cloudbeds.com/connect/10074733072513#/reservations/30687028617371?display=YR1BNC8F4&amp;reservation_id=30687028617371", "YR1BNC8F4")</f>
        <v>YR1BNC8F4</v>
      </c>
      <c r="B6155" t="s">
        <v>10</v>
      </c>
      <c r="C6155" t="s">
        <v>42</v>
      </c>
      <c r="D6155" t="str">
        <f>HYPERLINK("https://us2.cloudbeds.com/connect/10074733072513#/reservations/30687028617371?display=Nicholas%20Hacker&amp;reservation_id=30687028617371&amp;guest_id=30687028617369", "Nicholas Hacker")</f>
        <v>Nicholas Hacker</v>
      </c>
      <c r="E6155" t="s">
        <v>3543</v>
      </c>
      <c r="F6155" t="s">
        <v>3185</v>
      </c>
      <c r="G6155">
        <v>229</v>
      </c>
      <c r="H6155">
        <v>248.93</v>
      </c>
      <c r="I6155">
        <v>248.92</v>
      </c>
      <c r="J6155">
        <v>0.01</v>
      </c>
    </row>
    <row r="6156" spans="1:10" x14ac:dyDescent="0.3">
      <c r="A6156" t="str">
        <f>HYPERLINK("https://us2.cloudbeds.com/connect/10074733072513#/reservations/30685890728105?display=YR0FKSQZ7&amp;reservation_id=30685890728105", "YR0FKSQZ7")</f>
        <v>YR0FKSQZ7</v>
      </c>
      <c r="B6156" t="s">
        <v>10</v>
      </c>
      <c r="C6156" t="s">
        <v>11</v>
      </c>
      <c r="D6156" t="str">
        <f>HYPERLINK("https://us2.cloudbeds.com/connect/10074733072513#/reservations/30685890728105?display=Jorge%20Luna&amp;reservation_id=30685890728105&amp;guest_id=30685883072721", "Jorge Luna")</f>
        <v>Jorge Luna</v>
      </c>
      <c r="E6156" t="s">
        <v>3546</v>
      </c>
      <c r="F6156" t="s">
        <v>3092</v>
      </c>
      <c r="G6156">
        <v>134.41999999999999</v>
      </c>
      <c r="H6156">
        <v>146.12</v>
      </c>
      <c r="I6156">
        <v>146.11000000000001</v>
      </c>
      <c r="J6156">
        <v>0.01</v>
      </c>
    </row>
    <row r="6157" spans="1:10" x14ac:dyDescent="0.3">
      <c r="A6157" t="str">
        <f>HYPERLINK("https://us2.cloudbeds.com/connect/10074733072513#/reservations/30686107091140?display=YR0Y5AE6R&amp;reservation_id=30686107091140", "YR0Y5AE6R")</f>
        <v>YR0Y5AE6R</v>
      </c>
      <c r="B6157" t="s">
        <v>10</v>
      </c>
      <c r="C6157" t="s">
        <v>14</v>
      </c>
      <c r="D6157" t="str">
        <f>HYPERLINK("https://us2.cloudbeds.com/connect/10074733072513#/reservations/30686107091140?display=Tony%20Mccallister&amp;reservation_id=30686107091140&amp;guest_id=30683690860771", "Tony Mccallister")</f>
        <v>Tony Mccallister</v>
      </c>
      <c r="E6157" t="s">
        <v>3547</v>
      </c>
      <c r="F6157" t="s">
        <v>3516</v>
      </c>
      <c r="G6157">
        <v>226.1</v>
      </c>
      <c r="H6157">
        <v>245.78</v>
      </c>
      <c r="I6157">
        <v>245.77</v>
      </c>
      <c r="J6157">
        <v>0.01</v>
      </c>
    </row>
    <row r="6158" spans="1:10" x14ac:dyDescent="0.3">
      <c r="A6158" t="str">
        <f>HYPERLINK("https://us2.cloudbeds.com/connect/10074733072513#/reservations/30686120833199?display=YR0YGTR5S&amp;reservation_id=30686120833199", "YR0YGTR5S")</f>
        <v>YR0YGTR5S</v>
      </c>
      <c r="B6158" t="s">
        <v>10</v>
      </c>
      <c r="C6158" t="s">
        <v>121</v>
      </c>
      <c r="D6158" t="str">
        <f>HYPERLINK("https://us2.cloudbeds.com/connect/10074733072513#/reservations/30686120833199?display=Haeli%20Sacks&amp;reservation_id=30686120833199&amp;guest_id=30686120833188", "Haeli Sacks")</f>
        <v>Haeli Sacks</v>
      </c>
      <c r="E6158" t="s">
        <v>3548</v>
      </c>
      <c r="F6158" t="s">
        <v>3398</v>
      </c>
      <c r="G6158">
        <v>169</v>
      </c>
      <c r="H6158">
        <v>183.71</v>
      </c>
      <c r="I6158">
        <v>183.7</v>
      </c>
      <c r="J6158">
        <v>0.01</v>
      </c>
    </row>
    <row r="6159" spans="1:10" x14ac:dyDescent="0.3">
      <c r="A6159" t="str">
        <f>HYPERLINK("https://us2.cloudbeds.com/connect/10074733072513#/reservations/30684555813079?display=YQWEH7REZ&amp;reservation_id=30684555813079", "YQWEH7REZ")</f>
        <v>YQWEH7REZ</v>
      </c>
      <c r="B6159" t="s">
        <v>10</v>
      </c>
      <c r="C6159" t="s">
        <v>11</v>
      </c>
      <c r="D6159" t="str">
        <f>HYPERLINK("https://us2.cloudbeds.com/connect/10074733072513#/reservations/30684555813079?display=Kirsten%20Huebner&amp;reservation_id=30684555813079&amp;guest_id=30684555813074", "Kirsten Huebner")</f>
        <v>Kirsten Huebner</v>
      </c>
      <c r="E6159" t="s">
        <v>3549</v>
      </c>
      <c r="F6159" t="s">
        <v>3292</v>
      </c>
      <c r="G6159">
        <v>227.91</v>
      </c>
      <c r="H6159">
        <v>247.75</v>
      </c>
      <c r="I6159">
        <v>247.74</v>
      </c>
      <c r="J6159">
        <v>0.01</v>
      </c>
    </row>
    <row r="6160" spans="1:10" x14ac:dyDescent="0.3">
      <c r="A6160" t="str">
        <f>HYPERLINK("https://us2.cloudbeds.com/connect/10074733072513#/reservations/30687454449865?display=YR1MJEM73&amp;reservation_id=30687454449865", "YR1MJEM73")</f>
        <v>YR1MJEM73</v>
      </c>
      <c r="B6160" t="s">
        <v>10</v>
      </c>
      <c r="C6160" t="s">
        <v>42</v>
      </c>
      <c r="D6160" t="str">
        <f>HYPERLINK("https://us2.cloudbeds.com/connect/10074733072513#/reservations/30687454449865?display=Micah%20Weltzl&amp;reservation_id=30687454449865&amp;guest_id=30687447249148", "Micah Weltzl")</f>
        <v>Micah Weltzl</v>
      </c>
      <c r="E6160" t="s">
        <v>3550</v>
      </c>
      <c r="F6160" t="s">
        <v>3516</v>
      </c>
      <c r="G6160">
        <v>149</v>
      </c>
      <c r="H6160">
        <v>161.97</v>
      </c>
      <c r="I6160">
        <v>161.96</v>
      </c>
      <c r="J6160">
        <v>0.01</v>
      </c>
    </row>
    <row r="6161" spans="1:10" x14ac:dyDescent="0.3">
      <c r="A6161" t="str">
        <f>HYPERLINK("https://us2.cloudbeds.com/connect/10074733072513#/reservations/30685110771857?display=YQWSN6CFD&amp;reservation_id=30685110771857", "YQWSN6CFD")</f>
        <v>YQWSN6CFD</v>
      </c>
      <c r="B6161" t="s">
        <v>10</v>
      </c>
      <c r="C6161" t="s">
        <v>42</v>
      </c>
      <c r="D6161" t="str">
        <f>HYPERLINK("https://us2.cloudbeds.com/connect/10074733072513#/reservations/30685110771857?display=Evan%20Bungum&amp;reservation_id=30685110771857&amp;guest_id=30685110767765", "Evan Bungum")</f>
        <v>Evan Bungum</v>
      </c>
      <c r="E6161" t="s">
        <v>3553</v>
      </c>
      <c r="F6161" t="s">
        <v>3403</v>
      </c>
      <c r="G6161">
        <v>119</v>
      </c>
      <c r="H6161">
        <v>129.36000000000001</v>
      </c>
      <c r="I6161">
        <v>129.35</v>
      </c>
      <c r="J6161">
        <v>0.01</v>
      </c>
    </row>
    <row r="6162" spans="1:10" x14ac:dyDescent="0.3">
      <c r="A6162" t="str">
        <f>HYPERLINK("https://us2.cloudbeds.com/connect/10074733072513#/reservations/30684567142589?display=YQWEQQ317&amp;reservation_id=30684567142589", "YQWEQQ317")</f>
        <v>YQWEQQ317</v>
      </c>
      <c r="B6162" t="s">
        <v>10</v>
      </c>
      <c r="C6162" t="s">
        <v>20</v>
      </c>
      <c r="D6162" t="str">
        <f>HYPERLINK("https://us2.cloudbeds.com/connect/10074733072513#/reservations/30684567142589?display=Michael%20Saalfeld&amp;reservation_id=30684567142589&amp;guest_id=30684567142540", "Michael Saalfeld")</f>
        <v>Michael Saalfeld</v>
      </c>
      <c r="E6162" t="s">
        <v>3555</v>
      </c>
      <c r="F6162" t="s">
        <v>3292</v>
      </c>
      <c r="G6162">
        <v>169</v>
      </c>
      <c r="H6162">
        <v>183.71</v>
      </c>
      <c r="I6162">
        <v>183.7</v>
      </c>
      <c r="J6162">
        <v>0.01</v>
      </c>
    </row>
    <row r="6163" spans="1:10" x14ac:dyDescent="0.3">
      <c r="A6163" t="str">
        <f>HYPERLINK("https://us2.cloudbeds.com/connect/10074733072513#/reservations/30686041419907?display=YR0JFV11F&amp;reservation_id=30686041419907", "YR0JFV11F")</f>
        <v>YR0JFV11F</v>
      </c>
      <c r="B6163" t="s">
        <v>10</v>
      </c>
      <c r="C6163" t="s">
        <v>42</v>
      </c>
      <c r="D6163" t="str">
        <f>HYPERLINK("https://us2.cloudbeds.com/connect/10074733072513#/reservations/30686041419907?display=Margaret%20Bruhn&amp;reservation_id=30686041419907&amp;guest_id=30686041415869", "Margaret Bruhn")</f>
        <v>Margaret Bruhn</v>
      </c>
      <c r="E6163" t="s">
        <v>3558</v>
      </c>
      <c r="F6163" t="s">
        <v>3516</v>
      </c>
      <c r="G6163">
        <v>169</v>
      </c>
      <c r="H6163">
        <v>183.71</v>
      </c>
      <c r="I6163">
        <v>183.7</v>
      </c>
      <c r="J6163">
        <v>0.01</v>
      </c>
    </row>
    <row r="6164" spans="1:10" x14ac:dyDescent="0.3">
      <c r="A6164" t="str">
        <f>HYPERLINK("https://us2.cloudbeds.com/connect/10074733072513#/reservations/30686378516712?display=YR0S36855&amp;reservation_id=30686378516712", "YR0S36855")</f>
        <v>YR0S36855</v>
      </c>
      <c r="B6164" t="s">
        <v>10</v>
      </c>
      <c r="C6164" t="s">
        <v>23</v>
      </c>
      <c r="D6164" t="str">
        <f>HYPERLINK("https://us2.cloudbeds.com/connect/10074733072513#/reservations/30686378516712?display=Wendy%20Bell&amp;reservation_id=30686378516712&amp;guest_id=30686378516707", "Wendy Bell")</f>
        <v>Wendy Bell</v>
      </c>
      <c r="E6164" t="s">
        <v>3559</v>
      </c>
      <c r="F6164" t="s">
        <v>3398</v>
      </c>
      <c r="G6164">
        <v>89</v>
      </c>
      <c r="H6164">
        <v>96.75</v>
      </c>
      <c r="I6164">
        <v>96.74</v>
      </c>
      <c r="J6164">
        <v>0.01</v>
      </c>
    </row>
    <row r="6165" spans="1:10" x14ac:dyDescent="0.3">
      <c r="A6165" t="str">
        <f>HYPERLINK("https://us2.cloudbeds.com/connect/10074733072513#/reservations/30687013413117?display=YR1BAX5Q5&amp;reservation_id=30687013413117", "YR1BAX5Q5")</f>
        <v>YR1BAX5Q5</v>
      </c>
      <c r="B6165" t="s">
        <v>10</v>
      </c>
      <c r="C6165" t="s">
        <v>42</v>
      </c>
      <c r="D6165" t="str">
        <f>HYPERLINK("https://us2.cloudbeds.com/connect/10074733072513#/reservations/30687013413117?display=Jason%20Dekker&amp;reservation_id=30687013413117&amp;guest_id=30687013413114", "Jason Dekker")</f>
        <v>Jason Dekker</v>
      </c>
      <c r="E6165" t="s">
        <v>3560</v>
      </c>
      <c r="F6165" t="s">
        <v>3185</v>
      </c>
      <c r="G6165">
        <v>219</v>
      </c>
      <c r="H6165">
        <v>238.06</v>
      </c>
      <c r="I6165">
        <v>238.05</v>
      </c>
      <c r="J6165">
        <v>0.01</v>
      </c>
    </row>
    <row r="6166" spans="1:10" x14ac:dyDescent="0.3">
      <c r="A6166" t="str">
        <f>HYPERLINK("https://us2.cloudbeds.com/connect/10074733072513#/reservations/30683033882756?display=YQV8KTSV1&amp;reservation_id=30683033882756", "YQV8KTSV1")</f>
        <v>YQV8KTSV1</v>
      </c>
      <c r="B6166" t="s">
        <v>10</v>
      </c>
      <c r="C6166" t="s">
        <v>23</v>
      </c>
      <c r="D6166" t="str">
        <f>HYPERLINK("https://us2.cloudbeds.com/connect/10074733072513#/reservations/30683033882756?display=Karla%20Hall&amp;reservation_id=30683033882756&amp;guest_id=30683033878705", "Karla Hall")</f>
        <v>Karla Hall</v>
      </c>
      <c r="E6166" t="s">
        <v>3561</v>
      </c>
      <c r="F6166" t="s">
        <v>3526</v>
      </c>
      <c r="G6166">
        <v>149</v>
      </c>
      <c r="H6166">
        <v>161.97</v>
      </c>
      <c r="I6166">
        <v>161.96</v>
      </c>
      <c r="J6166">
        <v>0.01</v>
      </c>
    </row>
    <row r="6167" spans="1:10" x14ac:dyDescent="0.3">
      <c r="A6167" t="str">
        <f>HYPERLINK("https://us2.cloudbeds.com/connect/10074733072513#/reservations/30683984453841?display=YQVWUEUAE&amp;reservation_id=30683984453841", "YQVWUEUAE")</f>
        <v>YQVWUEUAE</v>
      </c>
      <c r="B6167" t="s">
        <v>10</v>
      </c>
      <c r="C6167" t="s">
        <v>42</v>
      </c>
      <c r="D6167" t="str">
        <f>HYPERLINK("https://us2.cloudbeds.com/connect/10074733072513#/reservations/30683984453841?display=Taylor%20King&amp;reservation_id=30683984453841&amp;guest_id=30683917693084", "Taylor King")</f>
        <v>Taylor King</v>
      </c>
      <c r="E6167" t="s">
        <v>3564</v>
      </c>
      <c r="F6167" t="s">
        <v>3123</v>
      </c>
      <c r="G6167">
        <v>109</v>
      </c>
      <c r="H6167">
        <v>118.49</v>
      </c>
      <c r="I6167">
        <v>118.48</v>
      </c>
      <c r="J6167">
        <v>0.01</v>
      </c>
    </row>
    <row r="6168" spans="1:10" x14ac:dyDescent="0.3">
      <c r="A6168" t="str">
        <f>HYPERLINK("https://us2.cloudbeds.com/connect/10074733072513#/reservations/30687440224419?display=YR1M7ERBW&amp;reservation_id=30687440224419", "YR1M7ERBW")</f>
        <v>YR1M7ERBW</v>
      </c>
      <c r="B6168" t="s">
        <v>10</v>
      </c>
      <c r="C6168" t="s">
        <v>121</v>
      </c>
      <c r="D6168" t="str">
        <f>HYPERLINK("https://us2.cloudbeds.com/connect/10074733072513#/reservations/30687440224419?display=Scott%20Johnson&amp;reservation_id=30687440224419&amp;guest_id=30687440224400", "Scott Johnson")</f>
        <v>Scott Johnson</v>
      </c>
      <c r="E6168" t="s">
        <v>3565</v>
      </c>
      <c r="F6168" t="s">
        <v>3516</v>
      </c>
      <c r="G6168">
        <v>179</v>
      </c>
      <c r="H6168">
        <v>194.58</v>
      </c>
      <c r="I6168">
        <v>194.57</v>
      </c>
      <c r="J6168">
        <v>0.01</v>
      </c>
    </row>
    <row r="6169" spans="1:10" x14ac:dyDescent="0.3">
      <c r="A6169" t="str">
        <f>HYPERLINK("https://us2.cloudbeds.com/connect/10074733072513#/reservations/30683328790676?display=YQVG5J43M&amp;reservation_id=30683328790676", "YQVG5J43M")</f>
        <v>YQVG5J43M</v>
      </c>
      <c r="B6169" t="s">
        <v>10</v>
      </c>
      <c r="C6169" t="s">
        <v>20</v>
      </c>
      <c r="D6169" t="str">
        <f>HYPERLINK("https://us2.cloudbeds.com/connect/10074733072513#/reservations/30683328790676?display=Claire%20Martinson&amp;reservation_id=30683328790676&amp;guest_id=30683328790660", "Claire Martinson")</f>
        <v>Claire Martinson</v>
      </c>
      <c r="E6169" t="s">
        <v>3566</v>
      </c>
      <c r="F6169" t="s">
        <v>3567</v>
      </c>
      <c r="G6169">
        <v>393.3</v>
      </c>
      <c r="H6169">
        <v>427.53</v>
      </c>
      <c r="I6169">
        <v>427.52</v>
      </c>
      <c r="J6169">
        <v>0.01</v>
      </c>
    </row>
    <row r="6170" spans="1:10" x14ac:dyDescent="0.3">
      <c r="A6170" t="str">
        <f>HYPERLINK("https://us2.cloudbeds.com/connect/10074733072513#/reservations/30687430107336?display=YR1YVUA3N&amp;reservation_id=30687430107336", "YR1YVUA3N")</f>
        <v>YR1YVUA3N</v>
      </c>
      <c r="B6170" t="s">
        <v>10</v>
      </c>
      <c r="C6170" t="s">
        <v>121</v>
      </c>
      <c r="D6170" t="str">
        <f>HYPERLINK("https://us2.cloudbeds.com/connect/10074733072513#/reservations/30687430107336?display=Michael%20Mund&amp;reservation_id=30687430107336&amp;guest_id=30687430103291", "Michael Mund")</f>
        <v>Michael Mund</v>
      </c>
      <c r="E6170" t="s">
        <v>3568</v>
      </c>
      <c r="F6170" t="s">
        <v>3516</v>
      </c>
      <c r="G6170">
        <v>179</v>
      </c>
      <c r="H6170">
        <v>194.58</v>
      </c>
      <c r="I6170">
        <v>194.57</v>
      </c>
      <c r="J6170">
        <v>0.01</v>
      </c>
    </row>
    <row r="6171" spans="1:10" x14ac:dyDescent="0.3">
      <c r="A6171" t="str">
        <f>HYPERLINK("https://us2.cloudbeds.com/connect/10074733072513#/reservations/30686295113913?display=YR0PVSEXX&amp;reservation_id=30686295113913", "YR0PVSEXX")</f>
        <v>YR0PVSEXX</v>
      </c>
      <c r="B6171" t="s">
        <v>10</v>
      </c>
      <c r="C6171" t="s">
        <v>20</v>
      </c>
      <c r="D6171" t="str">
        <f>HYPERLINK("https://us2.cloudbeds.com/connect/10074733072513#/reservations/30686295113913?display=Constance%20Munnell&amp;reservation_id=30686295113913&amp;guest_id=30686295113865", "Constance Munnell")</f>
        <v>Constance Munnell</v>
      </c>
      <c r="E6171" t="s">
        <v>3569</v>
      </c>
      <c r="F6171" t="s">
        <v>3492</v>
      </c>
      <c r="G6171">
        <v>141.55000000000001</v>
      </c>
      <c r="H6171">
        <v>153.87</v>
      </c>
      <c r="I6171">
        <v>153.86000000000001</v>
      </c>
      <c r="J6171">
        <v>0.01</v>
      </c>
    </row>
    <row r="6172" spans="1:10" x14ac:dyDescent="0.3">
      <c r="A6172" t="str">
        <f>HYPERLINK("https://us2.cloudbeds.com/connect/10074733072513#/reservations/30684565319846?display=YQWEP8C8J&amp;reservation_id=30684565319846", "YQWEP8C8J")</f>
        <v>YQWEP8C8J</v>
      </c>
      <c r="B6172" t="s">
        <v>10</v>
      </c>
      <c r="C6172" t="s">
        <v>23</v>
      </c>
      <c r="D6172" t="str">
        <f>HYPERLINK("https://us2.cloudbeds.com/connect/10074733072513#/reservations/30684565319846?display=Mckenzie%20Hall&amp;reservation_id=30684565319846&amp;guest_id=30684555813077", "Mckenzie Hall")</f>
        <v>Mckenzie Hall</v>
      </c>
      <c r="E6172" t="s">
        <v>3570</v>
      </c>
      <c r="F6172" t="s">
        <v>3475</v>
      </c>
      <c r="G6172">
        <v>149</v>
      </c>
      <c r="H6172">
        <v>161.97</v>
      </c>
      <c r="I6172">
        <v>161.96</v>
      </c>
      <c r="J6172">
        <v>0.01</v>
      </c>
    </row>
    <row r="6173" spans="1:10" x14ac:dyDescent="0.3">
      <c r="A6173" t="str">
        <f>HYPERLINK("https://us2.cloudbeds.com/connect/10074733072513#/reservations/30687385833713?display=YR1KRJAQN&amp;reservation_id=30687385833713", "YR1KRJAQN")</f>
        <v>YR1KRJAQN</v>
      </c>
      <c r="B6173" t="s">
        <v>10</v>
      </c>
      <c r="C6173" t="s">
        <v>20</v>
      </c>
      <c r="D6173" t="str">
        <f>HYPERLINK("https://us2.cloudbeds.com/connect/10074733072513#/reservations/30687385833713?display=Margaret%20Dix&amp;reservation_id=30687385833713&amp;guest_id=30687373537440", "Margaret Dix")</f>
        <v>Margaret Dix</v>
      </c>
      <c r="E6173" t="s">
        <v>3571</v>
      </c>
      <c r="F6173" t="s">
        <v>3492</v>
      </c>
      <c r="G6173">
        <v>141.55000000000001</v>
      </c>
      <c r="H6173">
        <v>153.87</v>
      </c>
      <c r="I6173">
        <v>153.86000000000001</v>
      </c>
      <c r="J6173">
        <v>0.01</v>
      </c>
    </row>
    <row r="6174" spans="1:10" x14ac:dyDescent="0.3">
      <c r="A6174" t="str">
        <f>HYPERLINK("https://us2.cloudbeds.com/connect/10074733072513#/reservations/30686234439822?display=YR0ZDN34Q&amp;reservation_id=30686234439822", "YR0ZDN34Q")</f>
        <v>YR0ZDN34Q</v>
      </c>
      <c r="B6174" t="s">
        <v>10</v>
      </c>
      <c r="C6174" t="s">
        <v>121</v>
      </c>
      <c r="D6174" t="str">
        <f>HYPERLINK("https://us2.cloudbeds.com/connect/10074733072513#/reservations/30686234439822?display=Apirl%20Holey&amp;reservation_id=30686234439822&amp;guest_id=30686234435729", "Apirl Holey")</f>
        <v>Apirl Holey</v>
      </c>
      <c r="E6174" t="s">
        <v>3573</v>
      </c>
      <c r="F6174" t="s">
        <v>3492</v>
      </c>
      <c r="G6174">
        <v>358</v>
      </c>
      <c r="H6174">
        <v>389.16</v>
      </c>
      <c r="I6174">
        <v>389.15</v>
      </c>
      <c r="J6174">
        <v>0.01</v>
      </c>
    </row>
    <row r="6175" spans="1:10" x14ac:dyDescent="0.3">
      <c r="A6175" t="str">
        <f>HYPERLINK("https://us2.cloudbeds.com/connect/10074733072513#/reservations/30684543455391?display=YQWE6QVNB&amp;reservation_id=30684543455391", "YQWE6QVNB")</f>
        <v>YQWE6QVNB</v>
      </c>
      <c r="B6175" t="s">
        <v>10</v>
      </c>
      <c r="C6175" t="s">
        <v>23</v>
      </c>
      <c r="D6175" t="str">
        <f>HYPERLINK("https://us2.cloudbeds.com/connect/10074733072513#/reservations/30684543455391?display=Derek%20Crompton&amp;reservation_id=30684543455391&amp;guest_id=30684537520321", "Derek Crompton")</f>
        <v>Derek Crompton</v>
      </c>
      <c r="E6175" t="s">
        <v>3574</v>
      </c>
      <c r="F6175" t="s">
        <v>3292</v>
      </c>
      <c r="G6175">
        <v>199</v>
      </c>
      <c r="H6175">
        <v>216.32</v>
      </c>
      <c r="I6175">
        <v>216.31</v>
      </c>
      <c r="J6175">
        <v>0.01</v>
      </c>
    </row>
    <row r="6176" spans="1:10" x14ac:dyDescent="0.3">
      <c r="A6176" t="str">
        <f>HYPERLINK("https://us2.cloudbeds.com/connect/10074733072513#/reservations/30686161141916?display=YR0MHTFK4&amp;reservation_id=30686161141916", "YR0MHTFK4")</f>
        <v>YR0MHTFK4</v>
      </c>
      <c r="B6176" t="s">
        <v>10</v>
      </c>
      <c r="C6176" t="s">
        <v>42</v>
      </c>
      <c r="D6176" t="str">
        <f>HYPERLINK("https://us2.cloudbeds.com/connect/10074733072513#/reservations/30686161141916?display=John%20Pool&amp;reservation_id=30686161141916&amp;guest_id=30686161137825", "John Pool")</f>
        <v>John Pool</v>
      </c>
      <c r="E6176" t="s">
        <v>1918</v>
      </c>
      <c r="F6176" t="s">
        <v>3482</v>
      </c>
      <c r="G6176">
        <v>448</v>
      </c>
      <c r="H6176">
        <v>486.99</v>
      </c>
      <c r="I6176">
        <v>486.98</v>
      </c>
      <c r="J6176">
        <v>0.01</v>
      </c>
    </row>
    <row r="6177" spans="1:10" x14ac:dyDescent="0.3">
      <c r="A6177" t="str">
        <f>HYPERLINK("https://us2.cloudbeds.com/connect/10074733072513#/reservations/30685217906904?display=YQWVEHXZW&amp;reservation_id=30685217906904", "YQWVEHXZW")</f>
        <v>YQWVEHXZW</v>
      </c>
      <c r="B6177" t="s">
        <v>10</v>
      </c>
      <c r="C6177" t="s">
        <v>42</v>
      </c>
      <c r="D6177" t="str">
        <f>HYPERLINK("https://us2.cloudbeds.com/connect/10074733072513#/reservations/30685217906904?display=Ryan%20Hollaar&amp;reservation_id=30685217906904&amp;guest_id=30685217902808", "Ryan Hollaar")</f>
        <v>Ryan Hollaar</v>
      </c>
      <c r="E6177" t="s">
        <v>3576</v>
      </c>
      <c r="F6177" t="s">
        <v>3403</v>
      </c>
      <c r="G6177">
        <v>119</v>
      </c>
      <c r="H6177">
        <v>129.36000000000001</v>
      </c>
      <c r="I6177">
        <v>129.35</v>
      </c>
      <c r="J6177">
        <v>0.01</v>
      </c>
    </row>
    <row r="6178" spans="1:10" x14ac:dyDescent="0.3">
      <c r="A6178" t="str">
        <f>HYPERLINK("https://us2.cloudbeds.com/connect/10074733072513#/reservations/31678164672741?display=MH9QHX18E&amp;reservation_id=31678164672741", "MH9QHX18E")</f>
        <v>MH9QHX18E</v>
      </c>
      <c r="B6178" t="s">
        <v>10</v>
      </c>
      <c r="C6178" t="s">
        <v>42</v>
      </c>
      <c r="D6178" t="str">
        <f>HYPERLINK("https://us2.cloudbeds.com/connect/10074733072513#/reservations/31678164672741?display=Rhonda%20Heine&amp;reservation_id=31678164672741&amp;guest_id=31678164672736", "Rhonda Heine")</f>
        <v>Rhonda Heine</v>
      </c>
      <c r="E6178" t="s">
        <v>3577</v>
      </c>
      <c r="F6178" t="s">
        <v>3061</v>
      </c>
      <c r="G6178">
        <v>258</v>
      </c>
      <c r="H6178">
        <v>280.45999999999998</v>
      </c>
      <c r="I6178">
        <v>280.45</v>
      </c>
      <c r="J6178">
        <v>0.01</v>
      </c>
    </row>
    <row r="6179" spans="1:10" x14ac:dyDescent="0.3">
      <c r="A6179" t="str">
        <f>HYPERLINK("https://us2.cloudbeds.com/connect/10074733072513#/reservations/30684920844525?display=YQWNS1C6N&amp;reservation_id=30684920844525", "YQWNS1C6N")</f>
        <v>YQWNS1C6N</v>
      </c>
      <c r="B6179" t="s">
        <v>10</v>
      </c>
      <c r="C6179" t="s">
        <v>42</v>
      </c>
      <c r="D6179" t="str">
        <f>HYPERLINK("https://us2.cloudbeds.com/connect/10074733072513#/reservations/30684920844525?display=Mathew%20Kuntz&amp;reservation_id=30684920844525&amp;guest_id=30684920844523", "Mathew Kuntz")</f>
        <v>Mathew Kuntz</v>
      </c>
      <c r="E6179" t="s">
        <v>3579</v>
      </c>
      <c r="F6179" t="s">
        <v>3292</v>
      </c>
      <c r="G6179">
        <v>129</v>
      </c>
      <c r="H6179">
        <v>140.22999999999999</v>
      </c>
      <c r="I6179">
        <v>140.22</v>
      </c>
      <c r="J6179">
        <v>0.01</v>
      </c>
    </row>
    <row r="6180" spans="1:10" x14ac:dyDescent="0.3">
      <c r="A6180" t="str">
        <f>HYPERLINK("https://us2.cloudbeds.com/connect/10074733072513#/reservations/30683102236887?display=YQVACHUZB&amp;reservation_id=30683102236887", "YQVACHUZB")</f>
        <v>YQVACHUZB</v>
      </c>
      <c r="B6180" t="s">
        <v>10</v>
      </c>
      <c r="C6180" t="s">
        <v>23</v>
      </c>
      <c r="D6180" t="str">
        <f>HYPERLINK("https://us2.cloudbeds.com/connect/10074733072513#/reservations/30683102236887?display=Kim%20Vickery&amp;reservation_id=30683102236887&amp;guest_id=30683102236885", "Kim Vickery")</f>
        <v>Kim Vickery</v>
      </c>
      <c r="E6180" t="s">
        <v>3580</v>
      </c>
      <c r="F6180" t="s">
        <v>3123</v>
      </c>
      <c r="G6180">
        <v>318</v>
      </c>
      <c r="H6180">
        <v>345.68</v>
      </c>
      <c r="I6180">
        <v>345.67</v>
      </c>
      <c r="J6180">
        <v>0.01</v>
      </c>
    </row>
    <row r="6181" spans="1:10" x14ac:dyDescent="0.3">
      <c r="A6181" t="str">
        <f>HYPERLINK("https://us2.cloudbeds.com/connect/10074733072513#/reservations/30686271733909?display=YR0PC4SAY&amp;reservation_id=30686271733909", "YR0PC4SAY")</f>
        <v>YR0PC4SAY</v>
      </c>
      <c r="B6181" t="s">
        <v>10</v>
      </c>
      <c r="C6181" t="s">
        <v>42</v>
      </c>
      <c r="D6181" t="str">
        <f>HYPERLINK("https://us2.cloudbeds.com/connect/10074733072513#/reservations/30686271733909?display=Sam%20Scholten&amp;reservation_id=30686271733909&amp;guest_id=30686271733904", "Sam Scholten")</f>
        <v>Sam Scholten</v>
      </c>
      <c r="E6181" t="s">
        <v>3584</v>
      </c>
      <c r="F6181" t="s">
        <v>2959</v>
      </c>
      <c r="G6181">
        <v>298</v>
      </c>
      <c r="H6181">
        <v>323.94</v>
      </c>
      <c r="I6181">
        <v>323.93</v>
      </c>
      <c r="J6181">
        <v>0.01</v>
      </c>
    </row>
    <row r="6182" spans="1:10" x14ac:dyDescent="0.3">
      <c r="A6182" t="str">
        <f>HYPERLINK("https://us2.cloudbeds.com/connect/10074733072513#/reservations/30685252112562?display=YQWWACCU2&amp;reservation_id=30685252112562", "YQWWACCU2")</f>
        <v>YQWWACCU2</v>
      </c>
      <c r="B6182" t="s">
        <v>10</v>
      </c>
      <c r="C6182" t="s">
        <v>42</v>
      </c>
      <c r="D6182" t="str">
        <f>HYPERLINK("https://us2.cloudbeds.com/connect/10074733072513#/reservations/30685252112562?display=Melissa%20Clouse&amp;reservation_id=30685252112562&amp;guest_id=30685242527970", "Melissa Clouse")</f>
        <v>Melissa Clouse</v>
      </c>
      <c r="E6182" t="s">
        <v>3585</v>
      </c>
      <c r="F6182" t="s">
        <v>2581</v>
      </c>
      <c r="G6182">
        <v>298</v>
      </c>
      <c r="H6182">
        <v>323.94</v>
      </c>
      <c r="I6182">
        <v>323.93</v>
      </c>
      <c r="J6182">
        <v>0.01</v>
      </c>
    </row>
    <row r="6183" spans="1:10" x14ac:dyDescent="0.3">
      <c r="A6183" t="str">
        <f>HYPERLINK("https://us2.cloudbeds.com/connect/10074733072513#/reservations/30687028621494?display=YR1BNCC82&amp;reservation_id=30687028621494", "YR1BNCC82")</f>
        <v>YR1BNCC82</v>
      </c>
      <c r="B6183" t="s">
        <v>10</v>
      </c>
      <c r="C6183" t="s">
        <v>42</v>
      </c>
      <c r="D6183" t="str">
        <f>HYPERLINK("https://us2.cloudbeds.com/connect/10074733072513#/reservations/30687028621494?display=Cortney%20Desmet&amp;reservation_id=30687028621494&amp;guest_id=30687028621492", "Cortney Desmet")</f>
        <v>Cortney Desmet</v>
      </c>
      <c r="E6183" t="s">
        <v>3586</v>
      </c>
      <c r="F6183" t="s">
        <v>3185</v>
      </c>
      <c r="G6183">
        <v>199</v>
      </c>
      <c r="H6183">
        <v>216.32</v>
      </c>
      <c r="I6183">
        <v>216.31</v>
      </c>
      <c r="J6183">
        <v>0.01</v>
      </c>
    </row>
    <row r="6184" spans="1:10" x14ac:dyDescent="0.3">
      <c r="A6184" t="str">
        <f>HYPERLINK("https://us2.cloudbeds.com/connect/10074733072513#/reservations/30685887926430?display=YR0FXGS0W&amp;reservation_id=30685887926430", "YR0FXGS0W")</f>
        <v>YR0FXGS0W</v>
      </c>
      <c r="B6184" t="s">
        <v>10</v>
      </c>
      <c r="C6184" t="s">
        <v>42</v>
      </c>
      <c r="D6184" t="str">
        <f>HYPERLINK("https://us2.cloudbeds.com/connect/10074733072513#/reservations/30685887926430?display=Dominic%20Warmbein&amp;reservation_id=30685887926430&amp;guest_id=30685887926426", "Dominic Warmbein")</f>
        <v>Dominic Warmbein</v>
      </c>
      <c r="E6184" t="s">
        <v>3590</v>
      </c>
      <c r="F6184" t="s">
        <v>2639</v>
      </c>
      <c r="G6184">
        <v>129</v>
      </c>
      <c r="H6184">
        <v>140.22999999999999</v>
      </c>
      <c r="I6184">
        <v>140.22</v>
      </c>
      <c r="J6184">
        <v>0.01</v>
      </c>
    </row>
    <row r="6185" spans="1:10" x14ac:dyDescent="0.3">
      <c r="A6185" t="str">
        <f>HYPERLINK("https://us2.cloudbeds.com/connect/10074733072513#/reservations/30685973606557?display=YR0HZP0RF&amp;reservation_id=30685973606557", "YR0HZP0RF")</f>
        <v>YR0HZP0RF</v>
      </c>
      <c r="B6185" t="s">
        <v>10</v>
      </c>
      <c r="C6185" t="s">
        <v>23</v>
      </c>
      <c r="D6185" t="str">
        <f>HYPERLINK("https://us2.cloudbeds.com/connect/10074733072513#/reservations/30685973606557?display=Emily%20Wallum&amp;reservation_id=30685973606557&amp;guest_id=30685973606555", "Emily Wallum")</f>
        <v>Emily Wallum</v>
      </c>
      <c r="E6185" t="s">
        <v>3591</v>
      </c>
      <c r="F6185" t="s">
        <v>2639</v>
      </c>
      <c r="G6185">
        <v>179</v>
      </c>
      <c r="H6185">
        <v>194.58</v>
      </c>
      <c r="I6185">
        <v>194.57</v>
      </c>
      <c r="J6185">
        <v>0.01</v>
      </c>
    </row>
    <row r="6186" spans="1:10" x14ac:dyDescent="0.3">
      <c r="A6186" t="str">
        <f>HYPERLINK("https://us2.cloudbeds.com/connect/10074733072513#/reservations/30685806457040?display=YR0DFQRRJ&amp;reservation_id=30685806457040", "YR0DFQRRJ")</f>
        <v>YR0DFQRRJ</v>
      </c>
      <c r="B6186" t="s">
        <v>10</v>
      </c>
      <c r="C6186" t="s">
        <v>42</v>
      </c>
      <c r="D6186" t="str">
        <f>HYPERLINK("https://us2.cloudbeds.com/connect/10074733072513#/reservations/30685806457040?display=Michael%20Fuller&amp;reservation_id=30685806457040&amp;guest_id=30685806452947", "Michael Fuller")</f>
        <v>Michael Fuller</v>
      </c>
      <c r="E6186" t="s">
        <v>3600</v>
      </c>
      <c r="F6186" t="s">
        <v>3374</v>
      </c>
      <c r="G6186">
        <v>149</v>
      </c>
      <c r="H6186">
        <v>161.97</v>
      </c>
      <c r="I6186">
        <v>161.96</v>
      </c>
      <c r="J6186">
        <v>0.01</v>
      </c>
    </row>
    <row r="6187" spans="1:10" x14ac:dyDescent="0.3">
      <c r="A6187" t="str">
        <f>HYPERLINK("https://us2.cloudbeds.com/connect/10074733072513#/reservations/30685921611931?display=YR0GDU6HZ&amp;reservation_id=30685921611931", "YR0GDU6HZ")</f>
        <v>YR0GDU6HZ</v>
      </c>
      <c r="B6187" t="s">
        <v>10</v>
      </c>
      <c r="C6187" t="s">
        <v>42</v>
      </c>
      <c r="D6187" t="str">
        <f>HYPERLINK("https://us2.cloudbeds.com/connect/10074733072513#/reservations/30685921611931?display=Mathew%20Scivoletti&amp;reservation_id=30685921611931&amp;guest_id=30685911830731", "Mathew Scivoletti")</f>
        <v>Mathew Scivoletti</v>
      </c>
      <c r="E6187" t="s">
        <v>3601</v>
      </c>
      <c r="F6187" t="s">
        <v>2639</v>
      </c>
      <c r="G6187">
        <v>189</v>
      </c>
      <c r="H6187">
        <v>205.45</v>
      </c>
      <c r="I6187">
        <v>205.44</v>
      </c>
      <c r="J6187">
        <v>0.01</v>
      </c>
    </row>
    <row r="6188" spans="1:10" x14ac:dyDescent="0.3">
      <c r="A6188" t="str">
        <f>HYPERLINK("https://us2.cloudbeds.com/connect/10074733072513#/reservations/30683711738106?display=YQVPVG6Y8&amp;reservation_id=30683711738106", "YQVPVG6Y8")</f>
        <v>YQVPVG6Y8</v>
      </c>
      <c r="B6188" t="s">
        <v>10</v>
      </c>
      <c r="C6188" t="s">
        <v>14</v>
      </c>
      <c r="D6188" t="str">
        <f>HYPERLINK("https://us2.cloudbeds.com/connect/10074733072513#/reservations/30683711738106?display=Renae%20Anderson&amp;reservation_id=30683711738106&amp;guest_id=30683711738103", "Renae Anderson")</f>
        <v>Renae Anderson</v>
      </c>
      <c r="E6188" t="s">
        <v>3604</v>
      </c>
      <c r="F6188" t="s">
        <v>3123</v>
      </c>
      <c r="G6188">
        <v>159</v>
      </c>
      <c r="H6188">
        <v>172.84</v>
      </c>
      <c r="I6188">
        <v>172.83</v>
      </c>
      <c r="J6188">
        <v>0.01</v>
      </c>
    </row>
    <row r="6189" spans="1:10" x14ac:dyDescent="0.3">
      <c r="A6189" t="str">
        <f>HYPERLINK("https://us2.cloudbeds.com/connect/10074733072513#/reservations/30686997455054?display=YR1AU33UG&amp;reservation_id=30686997455054", "YR1AU33UG")</f>
        <v>YR1AU33UG</v>
      </c>
      <c r="B6189" t="s">
        <v>10</v>
      </c>
      <c r="C6189" t="s">
        <v>42</v>
      </c>
      <c r="D6189" t="str">
        <f>HYPERLINK("https://us2.cloudbeds.com/connect/10074733072513#/reservations/30686997455054?display=Kelly%20Kiggins&amp;reservation_id=30686997455054&amp;guest_id=30686503489697", "Kelly Kiggins")</f>
        <v>Kelly Kiggins</v>
      </c>
      <c r="E6189" t="s">
        <v>3467</v>
      </c>
      <c r="F6189" t="s">
        <v>3306</v>
      </c>
      <c r="G6189">
        <v>149</v>
      </c>
      <c r="H6189">
        <v>161.97</v>
      </c>
      <c r="I6189">
        <v>161.96</v>
      </c>
      <c r="J6189">
        <v>0.01</v>
      </c>
    </row>
    <row r="6190" spans="1:10" x14ac:dyDescent="0.3">
      <c r="A6190" t="str">
        <f>HYPERLINK("https://us2.cloudbeds.com/connect/10074733072513#/reservations/30687452627074?display=YR1MHTVD0&amp;reservation_id=30687452627074", "YR1MHTVD0")</f>
        <v>YR1MHTVD0</v>
      </c>
      <c r="B6190" t="s">
        <v>10</v>
      </c>
      <c r="C6190" t="s">
        <v>17</v>
      </c>
      <c r="D6190" t="str">
        <f>HYPERLINK("https://us2.cloudbeds.com/connect/10074733072513#/reservations/30687452627074?display=Brock%20Smith&amp;reservation_id=30687452627074&amp;guest_id=30682988146901", "Brock Smith")</f>
        <v>Brock Smith</v>
      </c>
      <c r="E6190" t="s">
        <v>2818</v>
      </c>
      <c r="F6190" t="s">
        <v>3605</v>
      </c>
      <c r="G6190">
        <v>256</v>
      </c>
      <c r="H6190">
        <v>278.27999999999997</v>
      </c>
      <c r="I6190">
        <v>278.27</v>
      </c>
      <c r="J6190">
        <v>0.01</v>
      </c>
    </row>
    <row r="6191" spans="1:10" x14ac:dyDescent="0.3">
      <c r="A6191" t="str">
        <f>HYPERLINK("https://us2.cloudbeds.com/connect/10074733072513#/reservations/30686156611781?display=YR0ME2DNA&amp;reservation_id=30686156611781", "YR0ME2DNA")</f>
        <v>YR0ME2DNA</v>
      </c>
      <c r="B6191" t="s">
        <v>10</v>
      </c>
      <c r="C6191" t="s">
        <v>42</v>
      </c>
      <c r="D6191" t="str">
        <f>HYPERLINK("https://us2.cloudbeds.com/connect/10074733072513#/reservations/30686156611781?display=Stephen%20Huginin&amp;reservation_id=30686156611781&amp;guest_id=30686156611776", "Stephen Huginin")</f>
        <v>Stephen Huginin</v>
      </c>
      <c r="E6191" t="s">
        <v>3606</v>
      </c>
      <c r="F6191" t="s">
        <v>3482</v>
      </c>
      <c r="G6191">
        <v>192</v>
      </c>
      <c r="H6191">
        <v>208.71</v>
      </c>
      <c r="I6191">
        <v>208.7</v>
      </c>
      <c r="J6191">
        <v>0.01</v>
      </c>
    </row>
    <row r="6192" spans="1:10" x14ac:dyDescent="0.3">
      <c r="A6192" t="str">
        <f>HYPERLINK("https://us2.cloudbeds.com/connect/10074733072513#/reservations/30685208735952?display=YQWV6QCAB&amp;reservation_id=30685208735952", "YQWV6QCAB")</f>
        <v>YQWV6QCAB</v>
      </c>
      <c r="B6192" t="s">
        <v>10</v>
      </c>
      <c r="C6192" t="s">
        <v>42</v>
      </c>
      <c r="D6192" t="str">
        <f>HYPERLINK("https://us2.cloudbeds.com/connect/10074733072513#/reservations/30685208735952?display=Betty%20Andersen&amp;reservation_id=30685208735952&amp;guest_id=30685202243779", "Betty Andersen")</f>
        <v>Betty Andersen</v>
      </c>
      <c r="E6192" t="s">
        <v>3607</v>
      </c>
      <c r="F6192" t="s">
        <v>2581</v>
      </c>
      <c r="G6192">
        <v>278</v>
      </c>
      <c r="H6192">
        <v>302.2</v>
      </c>
      <c r="I6192">
        <v>302.19</v>
      </c>
      <c r="J6192">
        <v>0.01</v>
      </c>
    </row>
    <row r="6193" spans="1:10" x14ac:dyDescent="0.3">
      <c r="A6193" t="str">
        <f>HYPERLINK("https://us2.cloudbeds.com/connect/10074733072513#/reservations/30685820399829?display=YR0DRXR4B&amp;reservation_id=30685820399829", "YR0DRXR4B")</f>
        <v>YR0DRXR4B</v>
      </c>
      <c r="B6193" t="s">
        <v>10</v>
      </c>
      <c r="C6193" t="s">
        <v>42</v>
      </c>
      <c r="D6193" t="str">
        <f>HYPERLINK("https://us2.cloudbeds.com/connect/10074733072513#/reservations/30685820399829?display=Umar%20Abdullayev&amp;reservation_id=30685820399829&amp;guest_id=30685820399827", "Umar Abdullayev")</f>
        <v>Umar Abdullayev</v>
      </c>
      <c r="E6193" t="s">
        <v>3608</v>
      </c>
      <c r="F6193" t="s">
        <v>3374</v>
      </c>
      <c r="G6193">
        <v>149</v>
      </c>
      <c r="H6193">
        <v>161.97</v>
      </c>
      <c r="I6193">
        <v>161.96</v>
      </c>
      <c r="J6193">
        <v>0.01</v>
      </c>
    </row>
    <row r="6194" spans="1:10" x14ac:dyDescent="0.3">
      <c r="A6194" t="str">
        <f>HYPERLINK("https://us2.cloudbeds.com/connect/10074733072513#/reservations/30683645763729?display=YQVZ8SC3N&amp;reservation_id=30683645763729", "YQVZ8SC3N")</f>
        <v>YQVZ8SC3N</v>
      </c>
      <c r="B6194" t="s">
        <v>10</v>
      </c>
      <c r="C6194" t="s">
        <v>42</v>
      </c>
      <c r="D6194" t="str">
        <f>HYPERLINK("https://us2.cloudbeds.com/connect/10074733072513#/reservations/30683645763729?display=Marge%20Lorence&amp;reservation_id=30683645763729&amp;guest_id=30683645759627", "Marge Lorence")</f>
        <v>Marge Lorence</v>
      </c>
      <c r="E6194" t="s">
        <v>3474</v>
      </c>
      <c r="F6194" t="s">
        <v>3475</v>
      </c>
      <c r="G6194">
        <v>169</v>
      </c>
      <c r="H6194">
        <v>183.71</v>
      </c>
      <c r="I6194">
        <v>183.7</v>
      </c>
      <c r="J6194">
        <v>0.01</v>
      </c>
    </row>
    <row r="6195" spans="1:10" x14ac:dyDescent="0.3">
      <c r="A6195" t="str">
        <f>HYPERLINK("https://us2.cloudbeds.com/connect/10074733072513#/reservations/30685813645500?display=YR0DYSSQN&amp;reservation_id=30685813645500", "YR0DYSSQN")</f>
        <v>YR0DYSSQN</v>
      </c>
      <c r="B6195" t="s">
        <v>10</v>
      </c>
      <c r="C6195" t="s">
        <v>42</v>
      </c>
      <c r="D6195" t="str">
        <f>HYPERLINK("https://us2.cloudbeds.com/connect/10074733072513#/reservations/30685813645500?display=Jeff%20Potts&amp;reservation_id=30685813645500&amp;guest_id=30665228038373", "Jeff Potts")</f>
        <v>Jeff Potts</v>
      </c>
      <c r="E6195" t="s">
        <v>3400</v>
      </c>
      <c r="F6195" t="s">
        <v>3374</v>
      </c>
      <c r="G6195">
        <v>69</v>
      </c>
      <c r="H6195">
        <v>75.010000000000005</v>
      </c>
      <c r="I6195">
        <v>75</v>
      </c>
      <c r="J6195">
        <v>0.01</v>
      </c>
    </row>
    <row r="6196" spans="1:10" x14ac:dyDescent="0.3">
      <c r="A6196" t="str">
        <f>HYPERLINK("https://us2.cloudbeds.com/connect/10074733072513#/reservations/30686958887050?display=YR19UXTV3&amp;reservation_id=30686958887050", "YR19UXTV3")</f>
        <v>YR19UXTV3</v>
      </c>
      <c r="B6196" t="s">
        <v>10</v>
      </c>
      <c r="C6196" t="s">
        <v>42</v>
      </c>
      <c r="D6196" t="str">
        <f>HYPERLINK("https://us2.cloudbeds.com/connect/10074733072513#/reservations/30686958887050?display=Jason%20Bauer&amp;reservation_id=30686958887050&amp;guest_id=30682828742813", "Jason Bauer")</f>
        <v>Jason Bauer</v>
      </c>
      <c r="E6196" t="s">
        <v>3609</v>
      </c>
      <c r="F6196" t="s">
        <v>3258</v>
      </c>
      <c r="G6196">
        <v>149</v>
      </c>
      <c r="H6196">
        <v>161.97</v>
      </c>
      <c r="I6196">
        <v>161.96</v>
      </c>
      <c r="J6196">
        <v>0.01</v>
      </c>
    </row>
    <row r="6197" spans="1:10" x14ac:dyDescent="0.3">
      <c r="A6197" t="str">
        <f>HYPERLINK("https://us2.cloudbeds.com/connect/10074733072513#/reservations/30687013413056?display=YR1B4JB14&amp;reservation_id=30687013413056", "YR1B4JB14")</f>
        <v>YR1B4JB14</v>
      </c>
      <c r="B6197" t="s">
        <v>10</v>
      </c>
      <c r="C6197" t="s">
        <v>42</v>
      </c>
      <c r="D6197" t="str">
        <f>HYPERLINK("https://us2.cloudbeds.com/connect/10074733072513#/reservations/30687013413056?display=Adam%20Court&amp;reservation_id=30687013413056&amp;guest_id=30687006339230", "Adam Court")</f>
        <v>Adam Court</v>
      </c>
      <c r="E6197" t="s">
        <v>3610</v>
      </c>
      <c r="F6197" t="s">
        <v>3306</v>
      </c>
      <c r="G6197">
        <v>149</v>
      </c>
      <c r="H6197">
        <v>161.97</v>
      </c>
      <c r="I6197">
        <v>161.96</v>
      </c>
      <c r="J6197">
        <v>0.01</v>
      </c>
    </row>
    <row r="6198" spans="1:10" x14ac:dyDescent="0.3">
      <c r="A6198" t="str">
        <f>HYPERLINK("https://us2.cloudbeds.com/connect/10074733072513#/reservations/30686219514074?display=YR0Z13P7D&amp;reservation_id=30686219514074", "YR0Z13P7D")</f>
        <v>YR0Z13P7D</v>
      </c>
      <c r="B6198" t="s">
        <v>10</v>
      </c>
      <c r="C6198" t="s">
        <v>42</v>
      </c>
      <c r="D6198" t="str">
        <f>HYPERLINK("https://us2.cloudbeds.com/connect/10074733072513#/reservations/30686219514074?display=Damein%20Label&amp;reservation_id=30686219514074&amp;guest_id=30686219514058", "Damein Label")</f>
        <v>Damein Label</v>
      </c>
      <c r="E6198" t="s">
        <v>3611</v>
      </c>
      <c r="F6198" t="s">
        <v>3454</v>
      </c>
      <c r="G6198">
        <v>178</v>
      </c>
      <c r="H6198">
        <v>193.5</v>
      </c>
      <c r="I6198">
        <v>193.49</v>
      </c>
      <c r="J6198">
        <v>0.01</v>
      </c>
    </row>
    <row r="6199" spans="1:10" x14ac:dyDescent="0.3">
      <c r="A6199" t="str">
        <f>HYPERLINK("https://us2.cloudbeds.com/connect/10074733072513#/reservations/30685555900641?display=YR072HZGE&amp;reservation_id=30685555900641", "YR072HZGE")</f>
        <v>YR072HZGE</v>
      </c>
      <c r="B6199" t="s">
        <v>10</v>
      </c>
      <c r="C6199" t="s">
        <v>42</v>
      </c>
      <c r="D6199" t="str">
        <f>HYPERLINK("https://us2.cloudbeds.com/connect/10074733072513#/reservations/30685555900641?display=Jennifer%20Markon&amp;reservation_id=30685555900641&amp;guest_id=30685555896535", "Jennifer Markon")</f>
        <v>Jennifer Markon</v>
      </c>
      <c r="E6199" t="s">
        <v>3612</v>
      </c>
      <c r="F6199" t="s">
        <v>3283</v>
      </c>
      <c r="G6199">
        <v>278</v>
      </c>
      <c r="H6199">
        <v>302.2</v>
      </c>
      <c r="I6199">
        <v>302.19</v>
      </c>
      <c r="J6199">
        <v>0.01</v>
      </c>
    </row>
    <row r="6200" spans="1:10" x14ac:dyDescent="0.3">
      <c r="A6200" t="str">
        <f>HYPERLINK("https://us2.cloudbeds.com/connect/10074733072513#/reservations/30685722697931?display=YR0BB641P&amp;reservation_id=30685722697931", "YR0BB641P")</f>
        <v>YR0BB641P</v>
      </c>
      <c r="B6200" t="s">
        <v>10</v>
      </c>
      <c r="C6200" t="s">
        <v>42</v>
      </c>
      <c r="D6200" t="str">
        <f>HYPERLINK("https://us2.cloudbeds.com/connect/10074733072513#/reservations/30685722697931?display=Niki%20Wright&amp;reservation_id=30685722697931&amp;guest_id=30685722693835", "Niki Wright")</f>
        <v>Niki Wright</v>
      </c>
      <c r="E6200" t="s">
        <v>3613</v>
      </c>
      <c r="F6200" t="s">
        <v>3454</v>
      </c>
      <c r="G6200">
        <v>139</v>
      </c>
      <c r="H6200">
        <v>151.1</v>
      </c>
      <c r="I6200">
        <v>151.09</v>
      </c>
      <c r="J6200">
        <v>0.01</v>
      </c>
    </row>
    <row r="6201" spans="1:10" x14ac:dyDescent="0.3">
      <c r="A6201" t="str">
        <f>HYPERLINK("https://us2.cloudbeds.com/connect/10074733072513#/reservations/30686952906961?display=YR19PHGJ9&amp;reservation_id=30686952906961", "YR19PHGJ9")</f>
        <v>YR19PHGJ9</v>
      </c>
      <c r="B6201" t="s">
        <v>10</v>
      </c>
      <c r="C6201" t="s">
        <v>42</v>
      </c>
      <c r="D6201" t="str">
        <f>HYPERLINK("https://us2.cloudbeds.com/connect/10074733072513#/reservations/30686952906961?display=Bradlee%20Damm&amp;reservation_id=30686952906961&amp;guest_id=30686952906947", "Bradlee Damm")</f>
        <v>Bradlee Damm</v>
      </c>
      <c r="E6201" t="s">
        <v>3614</v>
      </c>
      <c r="F6201" t="s">
        <v>3374</v>
      </c>
      <c r="G6201">
        <v>149</v>
      </c>
      <c r="H6201">
        <v>161.97</v>
      </c>
      <c r="I6201">
        <v>161.96</v>
      </c>
      <c r="J6201">
        <v>0.01</v>
      </c>
    </row>
    <row r="6202" spans="1:10" x14ac:dyDescent="0.3">
      <c r="A6202" t="str">
        <f>HYPERLINK("https://us2.cloudbeds.com/connect/10074733072513#/reservations/30687406313701?display=YR1YBS71F&amp;reservation_id=30687406313701", "YR1YBS71F")</f>
        <v>YR1YBS71F</v>
      </c>
      <c r="B6202" t="s">
        <v>10</v>
      </c>
      <c r="C6202" t="s">
        <v>42</v>
      </c>
      <c r="D6202" t="str">
        <f>HYPERLINK("https://us2.cloudbeds.com/connect/10074733072513#/reservations/30687406313701?display=Gayla%20Dean&amp;reservation_id=30687406313701&amp;guest_id=30687406313696", "Gayla Dean")</f>
        <v>Gayla Dean</v>
      </c>
      <c r="E6202" t="s">
        <v>3615</v>
      </c>
      <c r="F6202" t="s">
        <v>3605</v>
      </c>
      <c r="G6202">
        <v>149</v>
      </c>
      <c r="H6202">
        <v>161.97</v>
      </c>
      <c r="I6202">
        <v>161.96</v>
      </c>
      <c r="J6202">
        <v>0.01</v>
      </c>
    </row>
    <row r="6203" spans="1:10" x14ac:dyDescent="0.3">
      <c r="A6203" t="str">
        <f>HYPERLINK("https://us2.cloudbeds.com/connect/10074733072513#/reservations/30684447232223?display=YQWBZMDGP&amp;reservation_id=30684447232223", "YQWBZMDGP")</f>
        <v>YQWBZMDGP</v>
      </c>
      <c r="B6203" t="s">
        <v>10</v>
      </c>
      <c r="C6203" t="s">
        <v>23</v>
      </c>
      <c r="D6203" t="str">
        <f>HYPERLINK("https://us2.cloudbeds.com/connect/10074733072513#/reservations/30684447232223?display=Dominic%20Maakestad&amp;reservation_id=30684447232223&amp;guest_id=30684438900866", "Dominic Maakestad")</f>
        <v>Dominic Maakestad</v>
      </c>
      <c r="E6203" t="s">
        <v>3616</v>
      </c>
      <c r="F6203" t="s">
        <v>3179</v>
      </c>
      <c r="G6203">
        <v>219</v>
      </c>
      <c r="H6203">
        <v>238.06</v>
      </c>
      <c r="I6203">
        <v>238.05</v>
      </c>
      <c r="J6203">
        <v>0.01</v>
      </c>
    </row>
    <row r="6204" spans="1:10" x14ac:dyDescent="0.3">
      <c r="A6204" t="str">
        <f>HYPERLINK("https://us2.cloudbeds.com/connect/10074733072513#/reservations/30685731070179?display=YR0BX8328&amp;reservation_id=30685731070179", "YR0BX8328")</f>
        <v>YR0BX8328</v>
      </c>
      <c r="B6204" t="s">
        <v>10</v>
      </c>
      <c r="C6204" t="s">
        <v>42</v>
      </c>
      <c r="D6204" t="str">
        <f>HYPERLINK("https://us2.cloudbeds.com/connect/10074733072513#/reservations/30685731070179?display=Jeff%20Potts&amp;reservation_id=30685731070179&amp;guest_id=30665228038373", "Jeff Potts")</f>
        <v>Jeff Potts</v>
      </c>
      <c r="E6204" t="s">
        <v>3400</v>
      </c>
      <c r="F6204" t="s">
        <v>3454</v>
      </c>
      <c r="G6204">
        <v>69</v>
      </c>
      <c r="H6204">
        <v>75.010000000000005</v>
      </c>
      <c r="I6204">
        <v>75</v>
      </c>
      <c r="J6204">
        <v>0.01</v>
      </c>
    </row>
    <row r="6205" spans="1:10" x14ac:dyDescent="0.3">
      <c r="A6205" t="str">
        <f>HYPERLINK("https://us2.cloudbeds.com/connect/10074733072513#/reservations/30684467400951?display=YQWC8MKUB&amp;reservation_id=30684467400951", "YQWC8MKUB")</f>
        <v>YQWC8MKUB</v>
      </c>
      <c r="B6205" t="s">
        <v>10</v>
      </c>
      <c r="C6205" t="s">
        <v>20</v>
      </c>
      <c r="D6205" t="str">
        <f>HYPERLINK("https://us2.cloudbeds.com/connect/10074733072513#/reservations/30684467400951?display=Aj%20Mese&amp;reservation_id=30684467400951&amp;guest_id=30684467400949", "Aj Mese")</f>
        <v>Aj Mese</v>
      </c>
      <c r="E6205" t="s">
        <v>3617</v>
      </c>
      <c r="F6205" t="s">
        <v>3179</v>
      </c>
      <c r="G6205">
        <v>312.8</v>
      </c>
      <c r="H6205">
        <v>340.02</v>
      </c>
      <c r="I6205">
        <v>340.01</v>
      </c>
      <c r="J6205">
        <v>0.01</v>
      </c>
    </row>
    <row r="6206" spans="1:10" x14ac:dyDescent="0.3">
      <c r="A6206" t="str">
        <f>HYPERLINK("https://us2.cloudbeds.com/connect/10074733072513#/reservations/30685823099030?display=YR0DTRUZA&amp;reservation_id=30685823099030", "YR0DTRUZA")</f>
        <v>YR0DTRUZA</v>
      </c>
      <c r="B6206" t="s">
        <v>10</v>
      </c>
      <c r="C6206" t="s">
        <v>42</v>
      </c>
      <c r="D6206" t="str">
        <f>HYPERLINK("https://us2.cloudbeds.com/connect/10074733072513#/reservations/30685823099030?display=Heather%20Christensen&amp;reservation_id=30685823099030&amp;guest_id=30685823099012", "Heather Christensen")</f>
        <v>Heather Christensen</v>
      </c>
      <c r="E6206" t="s">
        <v>3618</v>
      </c>
      <c r="F6206" t="s">
        <v>3479</v>
      </c>
      <c r="G6206">
        <v>1044</v>
      </c>
      <c r="H6206">
        <v>1134.8399999999999</v>
      </c>
      <c r="I6206">
        <v>1134.83</v>
      </c>
      <c r="J6206">
        <v>0.01</v>
      </c>
    </row>
    <row r="6207" spans="1:10" x14ac:dyDescent="0.3">
      <c r="A6207" t="str">
        <f>HYPERLINK("https://us2.cloudbeds.com/connect/10074733072513#/reservations/30685322944666?display=YR0143D5F&amp;reservation_id=30685322944666", "YR0143D5F")</f>
        <v>YR0143D5F</v>
      </c>
      <c r="B6207" t="s">
        <v>10</v>
      </c>
      <c r="C6207" t="s">
        <v>42</v>
      </c>
      <c r="D6207" t="str">
        <f>HYPERLINK("https://us2.cloudbeds.com/connect/10074733072513#/reservations/30685322944666?display=Maureen%20Novak&amp;reservation_id=30685322944666&amp;guest_id=30685322944661", "Maureen Novak")</f>
        <v>Maureen Novak</v>
      </c>
      <c r="E6207" t="s">
        <v>3622</v>
      </c>
      <c r="F6207" t="s">
        <v>3272</v>
      </c>
      <c r="G6207">
        <v>149</v>
      </c>
      <c r="H6207">
        <v>161.97</v>
      </c>
      <c r="I6207">
        <v>161.96</v>
      </c>
      <c r="J6207">
        <v>0.01</v>
      </c>
    </row>
    <row r="6208" spans="1:10" x14ac:dyDescent="0.3">
      <c r="A6208" t="str">
        <f>HYPERLINK("https://us2.cloudbeds.com/connect/10074733072513#/reservations/30685796090027?display=YR0D72C2M&amp;reservation_id=30685796090027", "YR0D72C2M")</f>
        <v>YR0D72C2M</v>
      </c>
      <c r="B6208" t="s">
        <v>10</v>
      </c>
      <c r="C6208" t="s">
        <v>23</v>
      </c>
      <c r="D6208" t="str">
        <f>HYPERLINK("https://us2.cloudbeds.com/connect/10074733072513#/reservations/30685796090027?display=Maggie%20Leigh%20Dickson&amp;reservation_id=30685796090027&amp;guest_id=30685796090002", "Maggie Leigh Dickson")</f>
        <v>Maggie Leigh Dickson</v>
      </c>
      <c r="E6208" t="s">
        <v>3623</v>
      </c>
      <c r="F6208" t="s">
        <v>3479</v>
      </c>
      <c r="G6208">
        <v>149</v>
      </c>
      <c r="H6208">
        <v>161.97</v>
      </c>
      <c r="I6208">
        <v>161.96</v>
      </c>
      <c r="J6208">
        <v>0.01</v>
      </c>
    </row>
    <row r="6209" spans="1:10" x14ac:dyDescent="0.3">
      <c r="A6209" t="str">
        <f>HYPERLINK("https://us2.cloudbeds.com/connect/10074733072513#/reservations/30686948798651?display=YR19M2611&amp;reservation_id=30686948798651", "YR19M2611")</f>
        <v>YR19M2611</v>
      </c>
      <c r="B6209" t="s">
        <v>10</v>
      </c>
      <c r="C6209" t="s">
        <v>42</v>
      </c>
      <c r="D6209" t="str">
        <f>HYPERLINK("https://us2.cloudbeds.com/connect/10074733072513#/reservations/30686948798651?display=Brandon%20Mapes&amp;reservation_id=30686948798651&amp;guest_id=30686948798630", "Brandon Mapes")</f>
        <v>Brandon Mapes</v>
      </c>
      <c r="E6209" t="s">
        <v>3624</v>
      </c>
      <c r="F6209" t="s">
        <v>3374</v>
      </c>
      <c r="G6209">
        <v>169</v>
      </c>
      <c r="H6209">
        <v>183.71</v>
      </c>
      <c r="I6209">
        <v>183.7</v>
      </c>
      <c r="J6209">
        <v>0.01</v>
      </c>
    </row>
    <row r="6210" spans="1:10" x14ac:dyDescent="0.3">
      <c r="A6210" t="str">
        <f>HYPERLINK("https://us2.cloudbeds.com/connect/10074733072513#/reservations/30686187765973?display=YR0N7BAPZ&amp;reservation_id=30686187765973", "YR0N7BAPZ")</f>
        <v>YR0N7BAPZ</v>
      </c>
      <c r="B6210" t="s">
        <v>10</v>
      </c>
      <c r="C6210" t="s">
        <v>121</v>
      </c>
      <c r="D6210" t="str">
        <f>HYPERLINK("https://us2.cloudbeds.com/connect/10074733072513#/reservations/30686187765973?display=Lazaro%20Jimez%20Rodriguez&amp;reservation_id=30686187765973&amp;guest_id=30686183903420", "Lazaro Jimez Rodriguez")</f>
        <v>Lazaro Jimez Rodriguez</v>
      </c>
      <c r="E6210" t="s">
        <v>3626</v>
      </c>
      <c r="F6210" t="s">
        <v>3454</v>
      </c>
      <c r="G6210">
        <v>159</v>
      </c>
      <c r="H6210">
        <v>172.84</v>
      </c>
      <c r="I6210">
        <v>172.83</v>
      </c>
      <c r="J6210">
        <v>0.01</v>
      </c>
    </row>
    <row r="6211" spans="1:10" x14ac:dyDescent="0.3">
      <c r="A6211" t="str">
        <f>HYPERLINK("https://us2.cloudbeds.com/connect/10074733072513#/reservations/30685640437983?display=YR097R3U2&amp;reservation_id=30685640437983", "YR097R3U2")</f>
        <v>YR097R3U2</v>
      </c>
      <c r="B6211" t="s">
        <v>10</v>
      </c>
      <c r="C6211" t="s">
        <v>23</v>
      </c>
      <c r="D6211" t="str">
        <f>HYPERLINK("https://us2.cloudbeds.com/connect/10074733072513#/reservations/30685640437983?display=Deborah%20Tweedy&amp;reservation_id=30685640437983&amp;guest_id=30685640437981", "Deborah Tweedy")</f>
        <v>Deborah Tweedy</v>
      </c>
      <c r="E6211" t="s">
        <v>3627</v>
      </c>
      <c r="F6211" t="s">
        <v>2859</v>
      </c>
      <c r="G6211">
        <v>209</v>
      </c>
      <c r="H6211">
        <v>227.19</v>
      </c>
      <c r="I6211">
        <v>227.18</v>
      </c>
      <c r="J6211">
        <v>0.01</v>
      </c>
    </row>
    <row r="6212" spans="1:10" x14ac:dyDescent="0.3">
      <c r="A6212" t="str">
        <f>HYPERLINK("https://us2.cloudbeds.com/connect/10074733072513#/reservations/30687415132346?display=YR1YJ9JW4&amp;reservation_id=30687415132346", "YR1YJ9JW4")</f>
        <v>YR1YJ9JW4</v>
      </c>
      <c r="B6212" t="s">
        <v>10</v>
      </c>
      <c r="C6212" t="s">
        <v>42</v>
      </c>
      <c r="D6212" t="str">
        <f>HYPERLINK("https://us2.cloudbeds.com/connect/10074733072513#/reservations/30687415132346?display=John%20Teupel&amp;reservation_id=30687415132346&amp;guest_id=30676634038498", "John Teupel")</f>
        <v>John Teupel</v>
      </c>
      <c r="E6212" t="s">
        <v>2970</v>
      </c>
      <c r="F6212" t="s">
        <v>3605</v>
      </c>
      <c r="G6212">
        <v>79</v>
      </c>
      <c r="H6212">
        <v>85.88</v>
      </c>
      <c r="I6212">
        <v>85.87</v>
      </c>
      <c r="J6212">
        <v>0.01</v>
      </c>
    </row>
    <row r="6213" spans="1:10" x14ac:dyDescent="0.3">
      <c r="A6213" t="str">
        <f>HYPERLINK("https://us2.cloudbeds.com/connect/10074733072513#/reservations/30685656662189?display=YR09YGJ5M&amp;reservation_id=30685656662189", "YR09YGJ5M")</f>
        <v>YR09YGJ5M</v>
      </c>
      <c r="B6213" t="s">
        <v>10</v>
      </c>
      <c r="C6213" t="s">
        <v>23</v>
      </c>
      <c r="D6213" t="str">
        <f>HYPERLINK("https://us2.cloudbeds.com/connect/10074733072513#/reservations/30685656662189?display=Stephanie%20Ulses&amp;reservation_id=30685656662189&amp;guest_id=30685656662184", "Stephanie Ulses")</f>
        <v>Stephanie Ulses</v>
      </c>
      <c r="E6213" t="s">
        <v>3628</v>
      </c>
      <c r="F6213" t="s">
        <v>3196</v>
      </c>
      <c r="G6213">
        <v>338</v>
      </c>
      <c r="H6213">
        <v>367.42</v>
      </c>
      <c r="I6213">
        <v>367.41</v>
      </c>
      <c r="J6213">
        <v>0.01</v>
      </c>
    </row>
    <row r="6214" spans="1:10" x14ac:dyDescent="0.3">
      <c r="A6214" t="str">
        <f>HYPERLINK("https://us2.cloudbeds.com/connect/10074733072513#/reservations/30687419764947?display=YR1YN6GVW&amp;reservation_id=30687419764947", "YR1YN6GVW")</f>
        <v>YR1YN6GVW</v>
      </c>
      <c r="B6214" t="s">
        <v>10</v>
      </c>
      <c r="C6214" t="s">
        <v>42</v>
      </c>
      <c r="D6214" t="str">
        <f>HYPERLINK("https://us2.cloudbeds.com/connect/10074733072513#/reservations/30687419764947?display=Brian%20Lee&amp;reservation_id=30687419764947&amp;guest_id=30687419764944", "Brian Lee")</f>
        <v>Brian Lee</v>
      </c>
      <c r="E6214" t="s">
        <v>2970</v>
      </c>
      <c r="F6214" t="s">
        <v>3605</v>
      </c>
      <c r="G6214">
        <v>79</v>
      </c>
      <c r="H6214">
        <v>85.88</v>
      </c>
      <c r="I6214">
        <v>85.87</v>
      </c>
      <c r="J6214">
        <v>0.01</v>
      </c>
    </row>
    <row r="6215" spans="1:10" x14ac:dyDescent="0.3">
      <c r="A6215" t="str">
        <f>HYPERLINK("https://us2.cloudbeds.com/connect/10074733072513#/reservations/30687464538245?display=YR1MRVD3J&amp;reservation_id=30687464538245", "YR1MRVD3J")</f>
        <v>YR1MRVD3J</v>
      </c>
      <c r="B6215" t="s">
        <v>10</v>
      </c>
      <c r="C6215" t="s">
        <v>11</v>
      </c>
      <c r="D6215" t="str">
        <f>HYPERLINK("https://us2.cloudbeds.com/connect/10074733072513#/reservations/30687464538245?display=Rob%20Villars&amp;reservation_id=30687464538245&amp;guest_id=30687464538241", "Rob Villars")</f>
        <v>Rob Villars</v>
      </c>
      <c r="E6215" t="s">
        <v>3630</v>
      </c>
      <c r="F6215" t="s">
        <v>3605</v>
      </c>
      <c r="G6215">
        <v>305.14</v>
      </c>
      <c r="H6215">
        <v>331.7</v>
      </c>
      <c r="I6215">
        <v>331.69</v>
      </c>
      <c r="J6215">
        <v>0.01</v>
      </c>
    </row>
    <row r="6216" spans="1:10" x14ac:dyDescent="0.3">
      <c r="A6216" t="str">
        <f>HYPERLINK("https://us2.cloudbeds.com/connect/10074733072513#/reservations/30686861803719?display=YR17ENDSW&amp;reservation_id=30686861803719", "YR17ENDSW")</f>
        <v>YR17ENDSW</v>
      </c>
      <c r="B6216" t="s">
        <v>10</v>
      </c>
      <c r="C6216" t="s">
        <v>20</v>
      </c>
      <c r="D6216" t="str">
        <f>HYPERLINK("https://us2.cloudbeds.com/connect/10074733072513#/reservations/30686861803719?display=Renee%20Oechsle&amp;reservation_id=30686861803719&amp;guest_id=30686861799631", "Renee Oechsle")</f>
        <v>Renee Oechsle</v>
      </c>
      <c r="E6216" t="s">
        <v>3631</v>
      </c>
      <c r="F6216" t="s">
        <v>3258</v>
      </c>
      <c r="G6216">
        <v>149</v>
      </c>
      <c r="H6216">
        <v>161.97</v>
      </c>
      <c r="I6216">
        <v>161.96</v>
      </c>
      <c r="J6216">
        <v>0.01</v>
      </c>
    </row>
    <row r="6217" spans="1:10" x14ac:dyDescent="0.3">
      <c r="A6217" t="str">
        <f>HYPERLINK("https://us2.cloudbeds.com/connect/10074733072513#/reservations/30685970772182?display=YR0HMC53A&amp;reservation_id=30685970772182", "YR0HMC53A")</f>
        <v>YR0HMC53A</v>
      </c>
      <c r="B6217" t="s">
        <v>10</v>
      </c>
      <c r="C6217" t="s">
        <v>121</v>
      </c>
      <c r="D6217" t="str">
        <f>HYPERLINK("https://us2.cloudbeds.com/connect/10074733072513#/reservations/30685970772182?display=Steven%20Olson&amp;reservation_id=30685970772182&amp;guest_id=30685970772179", "Steven Olson")</f>
        <v>Steven Olson</v>
      </c>
      <c r="E6217" t="s">
        <v>3632</v>
      </c>
      <c r="F6217" t="s">
        <v>3482</v>
      </c>
      <c r="G6217">
        <v>159</v>
      </c>
      <c r="H6217">
        <v>172.84</v>
      </c>
      <c r="I6217">
        <v>172.83</v>
      </c>
      <c r="J6217">
        <v>0.01</v>
      </c>
    </row>
    <row r="6218" spans="1:10" x14ac:dyDescent="0.3">
      <c r="A6218" t="str">
        <f>HYPERLINK("https://us2.cloudbeds.com/connect/10074733072513#/reservations/30685969871022?display=YR0HYK2JE&amp;reservation_id=30685969871022", "YR0HYK2JE")</f>
        <v>YR0HYK2JE</v>
      </c>
      <c r="B6218" t="s">
        <v>10</v>
      </c>
      <c r="C6218" t="s">
        <v>20</v>
      </c>
      <c r="D6218" t="str">
        <f>HYPERLINK("https://us2.cloudbeds.com/connect/10074733072513#/reservations/30685969871022?display=Linda%20Zebley&amp;reservation_id=30685969871022&amp;guest_id=30685961937122", "Linda Zebley")</f>
        <v>Linda Zebley</v>
      </c>
      <c r="E6218" t="s">
        <v>3634</v>
      </c>
      <c r="F6218" t="s">
        <v>3605</v>
      </c>
      <c r="G6218">
        <v>144.5</v>
      </c>
      <c r="H6218">
        <v>157.08000000000001</v>
      </c>
      <c r="I6218">
        <v>157.07</v>
      </c>
      <c r="J6218">
        <v>0.01</v>
      </c>
    </row>
    <row r="6219" spans="1:10" x14ac:dyDescent="0.3">
      <c r="A6219" t="str">
        <f>HYPERLINK("https://us2.cloudbeds.com/connect/10074733072513#/reservations/30685162361022?display=YQWU0MUEE&amp;reservation_id=30685162361022", "YQWU0MUEE")</f>
        <v>YQWU0MUEE</v>
      </c>
      <c r="B6219" t="s">
        <v>10</v>
      </c>
      <c r="C6219" t="s">
        <v>42</v>
      </c>
      <c r="D6219" t="str">
        <f>HYPERLINK("https://us2.cloudbeds.com/connect/10074733072513#/reservations/30685162361022?display=Twyla%20Nielsen&amp;reservation_id=30685162361022&amp;guest_id=30674179043554", "Twyla Nielsen")</f>
        <v>Twyla Nielsen</v>
      </c>
      <c r="E6219" t="s">
        <v>3635</v>
      </c>
      <c r="F6219" t="s">
        <v>3439</v>
      </c>
      <c r="G6219">
        <v>129</v>
      </c>
      <c r="H6219">
        <v>140.22999999999999</v>
      </c>
      <c r="I6219">
        <v>140.22</v>
      </c>
      <c r="J6219">
        <v>0.01</v>
      </c>
    </row>
    <row r="6220" spans="1:10" x14ac:dyDescent="0.3">
      <c r="A6220" t="str">
        <f>HYPERLINK("https://us2.cloudbeds.com/connect/10074733072513#/reservations/30685990727824?display=YR0X66ERZ&amp;reservation_id=30685990727824", "YR0X66ERZ")</f>
        <v>YR0X66ERZ</v>
      </c>
      <c r="B6220" t="s">
        <v>10</v>
      </c>
      <c r="C6220" t="s">
        <v>42</v>
      </c>
      <c r="D6220" t="str">
        <f>HYPERLINK("https://us2.cloudbeds.com/connect/10074733072513#/reservations/30685990727824?display=Carlo%20Leon&amp;reservation_id=30685990727824&amp;guest_id=30685990723739", "Carlo Leon")</f>
        <v>Carlo Leon</v>
      </c>
      <c r="E6220" t="s">
        <v>3637</v>
      </c>
      <c r="F6220" t="s">
        <v>3482</v>
      </c>
      <c r="G6220">
        <v>139</v>
      </c>
      <c r="H6220">
        <v>151.1</v>
      </c>
      <c r="I6220">
        <v>151.09</v>
      </c>
      <c r="J6220">
        <v>0.01</v>
      </c>
    </row>
    <row r="6221" spans="1:10" x14ac:dyDescent="0.3">
      <c r="A6221" t="str">
        <f>HYPERLINK("https://us2.cloudbeds.com/connect/10074733072513#/reservations/30684543504597?display=YQWE6SATE&amp;reservation_id=30684543504597", "YQWE6SATE")</f>
        <v>YQWE6SATE</v>
      </c>
      <c r="B6221" t="s">
        <v>10</v>
      </c>
      <c r="C6221" t="s">
        <v>20</v>
      </c>
      <c r="D6221" t="str">
        <f>HYPERLINK("https://us2.cloudbeds.com/connect/10074733072513#/reservations/30684543504597?display=Stormy%20Culberson&amp;reservation_id=30684543504597&amp;guest_id=30684543504583", "Stormy Culberson")</f>
        <v>Stormy Culberson</v>
      </c>
      <c r="E6221" t="s">
        <v>3638</v>
      </c>
      <c r="F6221" t="s">
        <v>3639</v>
      </c>
      <c r="G6221">
        <v>144.54</v>
      </c>
      <c r="H6221">
        <v>157.12</v>
      </c>
      <c r="I6221">
        <v>157.11000000000001</v>
      </c>
      <c r="J6221">
        <v>0.01</v>
      </c>
    </row>
    <row r="6222" spans="1:10" x14ac:dyDescent="0.3">
      <c r="A6222" t="str">
        <f>HYPERLINK("https://us2.cloudbeds.com/connect/10074733072513#/reservations/30684485554309?display=YQWCNWPM3&amp;reservation_id=30684485554309", "YQWCNWPM3")</f>
        <v>YQWCNWPM3</v>
      </c>
      <c r="B6222" t="s">
        <v>10</v>
      </c>
      <c r="C6222" t="s">
        <v>20</v>
      </c>
      <c r="D6222" t="str">
        <f>HYPERLINK("https://us2.cloudbeds.com/connect/10074733072513#/reservations/30684485554309?display=Maryann%20Mccoy&amp;reservation_id=30684485554309&amp;guest_id=30684481368286", "Maryann Mccoy")</f>
        <v>Maryann Mccoy</v>
      </c>
      <c r="E6222" t="s">
        <v>3640</v>
      </c>
      <c r="F6222" t="s">
        <v>3179</v>
      </c>
      <c r="G6222">
        <v>179</v>
      </c>
      <c r="H6222">
        <v>194.58</v>
      </c>
      <c r="I6222">
        <v>194.57</v>
      </c>
      <c r="J6222">
        <v>0.01</v>
      </c>
    </row>
    <row r="6223" spans="1:10" x14ac:dyDescent="0.3">
      <c r="A6223" t="str">
        <f>HYPERLINK("https://us2.cloudbeds.com/connect/10074733072513#/reservations/30687435567356?display=YR1M3H7TS&amp;reservation_id=30687435567356", "YR1M3H7TS")</f>
        <v>YR1M3H7TS</v>
      </c>
      <c r="B6223" t="s">
        <v>10</v>
      </c>
      <c r="C6223" t="s">
        <v>121</v>
      </c>
      <c r="D6223" t="str">
        <f>HYPERLINK("https://us2.cloudbeds.com/connect/10074733072513#/reservations/30687435567356?display=Timothy%20Potet&amp;reservation_id=30687435567356&amp;guest_id=30687435567343", "Timothy Potet")</f>
        <v>Timothy Potet</v>
      </c>
      <c r="E6223" t="s">
        <v>3641</v>
      </c>
      <c r="F6223" t="s">
        <v>3605</v>
      </c>
      <c r="G6223">
        <v>159</v>
      </c>
      <c r="H6223">
        <v>172.84</v>
      </c>
      <c r="I6223">
        <v>172.83</v>
      </c>
      <c r="J6223">
        <v>0.01</v>
      </c>
    </row>
    <row r="6224" spans="1:10" x14ac:dyDescent="0.3">
      <c r="A6224" t="str">
        <f>HYPERLINK("https://us2.cloudbeds.com/connect/10074733072513#/reservations/30685339181188?display=YR01HQ6Z9&amp;reservation_id=30685339181188", "YR01HQ6Z9")</f>
        <v>YR01HQ6Z9</v>
      </c>
      <c r="B6224" t="s">
        <v>10</v>
      </c>
      <c r="C6224" t="s">
        <v>14</v>
      </c>
      <c r="D6224" t="str">
        <f>HYPERLINK("https://us2.cloudbeds.com/connect/10074733072513#/reservations/30685339181188?display=Nicholas%20Ullom&amp;reservation_id=30685339181188&amp;guest_id=30685332250844", "Nicholas Ullom")</f>
        <v>Nicholas Ullom</v>
      </c>
      <c r="E6224" t="s">
        <v>3644</v>
      </c>
      <c r="F6224" t="s">
        <v>2581</v>
      </c>
      <c r="G6224">
        <v>212.51</v>
      </c>
      <c r="H6224">
        <v>231.01</v>
      </c>
      <c r="I6224">
        <v>231</v>
      </c>
      <c r="J6224">
        <v>0.01</v>
      </c>
    </row>
    <row r="6225" spans="1:10" x14ac:dyDescent="0.3">
      <c r="A6225" t="str">
        <f>HYPERLINK("https://us2.cloudbeds.com/connect/10074733072513#/reservations/30684808659164?display=YQWKWEYB9&amp;reservation_id=30684808659164", "YQWKWEYB9")</f>
        <v>YQWKWEYB9</v>
      </c>
      <c r="B6225" t="s">
        <v>10</v>
      </c>
      <c r="C6225" t="s">
        <v>11</v>
      </c>
      <c r="D6225" t="str">
        <f>HYPERLINK("https://us2.cloudbeds.com/connect/10074733072513#/reservations/30684808659164?display=Olivia%20Gross&amp;reservation_id=30684808659164&amp;guest_id=30679287312548", "Olivia Gross")</f>
        <v>Olivia Gross</v>
      </c>
      <c r="E6225" t="s">
        <v>3645</v>
      </c>
      <c r="F6225" t="s">
        <v>3646</v>
      </c>
      <c r="G6225">
        <v>127.27</v>
      </c>
      <c r="H6225">
        <v>138.35</v>
      </c>
      <c r="I6225">
        <v>138.34</v>
      </c>
      <c r="J6225">
        <v>0.01</v>
      </c>
    </row>
    <row r="6226" spans="1:10" x14ac:dyDescent="0.3">
      <c r="A6226" t="str">
        <f>HYPERLINK("https://us2.cloudbeds.com/connect/10074733072513#/reservations/30685973610653?display=YR0HZP4JJ&amp;reservation_id=30685973610653", "YR0HZP4JJ")</f>
        <v>YR0HZP4JJ</v>
      </c>
      <c r="B6226" t="s">
        <v>10</v>
      </c>
      <c r="C6226" t="s">
        <v>42</v>
      </c>
      <c r="D6226" t="str">
        <f>HYPERLINK("https://us2.cloudbeds.com/connect/10074733072513#/reservations/30685973610653?display=Cody%20Heumiller&amp;reservation_id=30685973610653&amp;guest_id=30685973610648", "Cody Heumiller")</f>
        <v>Cody Heumiller</v>
      </c>
      <c r="E6226" t="s">
        <v>3648</v>
      </c>
      <c r="F6226" t="s">
        <v>3083</v>
      </c>
      <c r="G6226">
        <v>448</v>
      </c>
      <c r="H6226">
        <v>486.99</v>
      </c>
      <c r="I6226">
        <v>486.98</v>
      </c>
      <c r="J6226">
        <v>0.01</v>
      </c>
    </row>
    <row r="6227" spans="1:10" x14ac:dyDescent="0.3">
      <c r="A6227" t="str">
        <f>HYPERLINK("https://us2.cloudbeds.com/connect/10074733072513#/reservations/31677008527525?display=MH8TWYJXU&amp;reservation_id=31677008527525", "MH8TWYJXU")</f>
        <v>MH8TWYJXU</v>
      </c>
      <c r="B6227" t="s">
        <v>10</v>
      </c>
      <c r="C6227" t="s">
        <v>42</v>
      </c>
      <c r="D6227" t="str">
        <f>HYPERLINK("https://us2.cloudbeds.com/connect/10074733072513#/reservations/31677008527525?display=Jodi%20Van%20Emmerik&amp;reservation_id=31677008527525&amp;guest_id=17963757531273", "Jodi Van Emmerik")</f>
        <v>Jodi Van Emmerik</v>
      </c>
      <c r="E6227" t="s">
        <v>3649</v>
      </c>
      <c r="F6227" t="s">
        <v>3650</v>
      </c>
      <c r="G6227">
        <v>278</v>
      </c>
      <c r="H6227">
        <v>302.2</v>
      </c>
      <c r="I6227">
        <v>302.19</v>
      </c>
      <c r="J6227">
        <v>0.01</v>
      </c>
    </row>
    <row r="6228" spans="1:10" x14ac:dyDescent="0.3">
      <c r="A6228" t="str">
        <f>HYPERLINK("https://us2.cloudbeds.com/connect/10074733072513#/reservations/30686979576025?display=YR1AF0K2N&amp;reservation_id=30686979576025", "YR1AF0K2N")</f>
        <v>YR1AF0K2N</v>
      </c>
      <c r="B6228" t="s">
        <v>10</v>
      </c>
      <c r="C6228" t="s">
        <v>42</v>
      </c>
      <c r="D6228" t="str">
        <f>HYPERLINK("https://us2.cloudbeds.com/connect/10074733072513#/reservations/30686979576025?display=Chris%20Poeckes&amp;reservation_id=30686979576025&amp;guest_id=30686979571936", "Chris Poeckes")</f>
        <v>Chris Poeckes</v>
      </c>
      <c r="E6228" t="s">
        <v>3651</v>
      </c>
      <c r="F6228" t="s">
        <v>3258</v>
      </c>
      <c r="G6228">
        <v>169</v>
      </c>
      <c r="H6228">
        <v>183.71</v>
      </c>
      <c r="I6228">
        <v>183.7</v>
      </c>
      <c r="J6228">
        <v>0.01</v>
      </c>
    </row>
    <row r="6229" spans="1:10" x14ac:dyDescent="0.3">
      <c r="A6229" t="str">
        <f>HYPERLINK("https://us2.cloudbeds.com/connect/10074733072513#/reservations/30681817641182?display=YQUAXB5BP&amp;reservation_id=30681817641182", "YQUAXB5BP")</f>
        <v>YQUAXB5BP</v>
      </c>
      <c r="B6229" t="s">
        <v>10</v>
      </c>
      <c r="C6229" t="s">
        <v>23</v>
      </c>
      <c r="D6229" t="str">
        <f>HYPERLINK("https://us2.cloudbeds.com/connect/10074733072513#/reservations/30681817641182?display=Nick%20Koel&amp;reservation_id=30681817641182&amp;guest_id=30681817641179", "Nick Koel")</f>
        <v>Nick Koel</v>
      </c>
      <c r="E6229" t="s">
        <v>3652</v>
      </c>
      <c r="F6229" t="s">
        <v>3475</v>
      </c>
      <c r="G6229">
        <v>149</v>
      </c>
      <c r="H6229">
        <v>161.97</v>
      </c>
      <c r="I6229">
        <v>161.96</v>
      </c>
      <c r="J6229">
        <v>0.01</v>
      </c>
    </row>
    <row r="6230" spans="1:10" x14ac:dyDescent="0.3">
      <c r="A6230" t="str">
        <f>HYPERLINK("https://us2.cloudbeds.com/connect/10074733072513#/reservations/30686912151748?display=YR18Z5E4R&amp;reservation_id=30686912151748", "YR18Z5E4R")</f>
        <v>YR18Z5E4R</v>
      </c>
      <c r="B6230" t="s">
        <v>10</v>
      </c>
      <c r="C6230" t="s">
        <v>14</v>
      </c>
      <c r="D6230" t="str">
        <f>HYPERLINK("https://us2.cloudbeds.com/connect/10074733072513#/reservations/30686912151748?display=Marc%20Cassens&amp;reservation_id=30686912151748&amp;guest_id=30686912151746", "Marc Cassens")</f>
        <v>Marc Cassens</v>
      </c>
      <c r="E6230" t="s">
        <v>3654</v>
      </c>
      <c r="F6230" t="s">
        <v>3258</v>
      </c>
      <c r="G6230">
        <v>111.82</v>
      </c>
      <c r="H6230">
        <v>121.56</v>
      </c>
      <c r="I6230">
        <v>121.55</v>
      </c>
      <c r="J6230">
        <v>0.01</v>
      </c>
    </row>
    <row r="6231" spans="1:10" x14ac:dyDescent="0.3">
      <c r="A6231" t="str">
        <f>HYPERLINK("https://us2.cloudbeds.com/connect/10074733072513#/reservations/30686898507922?display=YR18CYPCX&amp;reservation_id=30686898507922", "YR18CYPCX")</f>
        <v>YR18CYPCX</v>
      </c>
      <c r="B6231" t="s">
        <v>10</v>
      </c>
      <c r="C6231" t="s">
        <v>20</v>
      </c>
      <c r="D6231" t="str">
        <f>HYPERLINK("https://us2.cloudbeds.com/connect/10074733072513#/reservations/30686898507922?display=Dan%20Balls&amp;reservation_id=30686898507922&amp;guest_id=30686898507907", "Dan Balls")</f>
        <v>Dan Balls</v>
      </c>
      <c r="E6231" t="s">
        <v>3655</v>
      </c>
      <c r="F6231" t="s">
        <v>3258</v>
      </c>
      <c r="G6231">
        <v>189</v>
      </c>
      <c r="H6231">
        <v>205.45</v>
      </c>
      <c r="I6231">
        <v>205.44</v>
      </c>
      <c r="J6231">
        <v>0.01</v>
      </c>
    </row>
    <row r="6232" spans="1:10" x14ac:dyDescent="0.3">
      <c r="A6232" t="str">
        <f>HYPERLINK("https://us2.cloudbeds.com/connect/10074733072513#/reservations/30685142974635?display=YQWTHBFE5&amp;reservation_id=30685142974635", "YQWTHBFE5")</f>
        <v>YQWTHBFE5</v>
      </c>
      <c r="B6232" t="s">
        <v>10</v>
      </c>
      <c r="C6232" t="s">
        <v>42</v>
      </c>
      <c r="D6232" t="str">
        <f>HYPERLINK("https://us2.cloudbeds.com/connect/10074733072513#/reservations/30685142974635?display=Noah%20Tousignant&amp;reservation_id=30685142974635&amp;guest_id=30685134295262", "Noah Tousignant")</f>
        <v>Noah Tousignant</v>
      </c>
      <c r="E6232" t="s">
        <v>3658</v>
      </c>
      <c r="F6232" t="s">
        <v>3283</v>
      </c>
      <c r="G6232">
        <v>358</v>
      </c>
      <c r="H6232">
        <v>389.16</v>
      </c>
      <c r="I6232">
        <v>389.15</v>
      </c>
      <c r="J6232">
        <v>0.01</v>
      </c>
    </row>
    <row r="6233" spans="1:10" x14ac:dyDescent="0.3">
      <c r="A6233" t="str">
        <f>HYPERLINK("https://us2.cloudbeds.com/connect/10074733072513#/reservations/30686208884877?display=YR0NP4WNH&amp;reservation_id=30686208884877", "YR0NP4WNH")</f>
        <v>YR0NP4WNH</v>
      </c>
      <c r="B6233" t="s">
        <v>10</v>
      </c>
      <c r="C6233" t="s">
        <v>42</v>
      </c>
      <c r="D6233" t="str">
        <f>HYPERLINK("https://us2.cloudbeds.com/connect/10074733072513#/reservations/30686208884877?display=Reese%20Powers&amp;reservation_id=30686208884877&amp;guest_id=30686208884875", "Reese Powers")</f>
        <v>Reese Powers</v>
      </c>
      <c r="E6233" t="s">
        <v>3659</v>
      </c>
      <c r="F6233" t="s">
        <v>2959</v>
      </c>
      <c r="G6233">
        <v>119</v>
      </c>
      <c r="H6233">
        <v>129.36000000000001</v>
      </c>
      <c r="I6233">
        <v>129.35</v>
      </c>
      <c r="J6233">
        <v>0.01</v>
      </c>
    </row>
    <row r="6234" spans="1:10" x14ac:dyDescent="0.3">
      <c r="A6234" t="str">
        <f>HYPERLINK("https://us2.cloudbeds.com/connect/10074733072513#/reservations/30685144379536?display=YQWTXHXGU&amp;reservation_id=30685144379536", "YQWTXHXGU")</f>
        <v>YQWTXHXGU</v>
      </c>
      <c r="B6234" t="s">
        <v>10</v>
      </c>
      <c r="C6234" t="s">
        <v>42</v>
      </c>
      <c r="D6234" t="str">
        <f>HYPERLINK("https://us2.cloudbeds.com/connect/10074733072513#/reservations/30685144379536?display=Lucian%20Bedard&amp;reservation_id=30685144379536&amp;guest_id=30685144375444", "Lucian Bedard")</f>
        <v>Lucian Bedard</v>
      </c>
      <c r="E6234" t="s">
        <v>3660</v>
      </c>
      <c r="F6234" t="s">
        <v>3283</v>
      </c>
      <c r="G6234">
        <v>338</v>
      </c>
      <c r="H6234">
        <v>367.42</v>
      </c>
      <c r="I6234">
        <v>367.41</v>
      </c>
      <c r="J6234">
        <v>0.01</v>
      </c>
    </row>
    <row r="6235" spans="1:10" x14ac:dyDescent="0.3">
      <c r="A6235" t="str">
        <f>HYPERLINK("https://us2.cloudbeds.com/connect/10074733072513#/reservations/30686178537610?display=YR0MWXHKC&amp;reservation_id=30686178537610", "YR0MWXHKC")</f>
        <v>YR0MWXHKC</v>
      </c>
      <c r="B6235" t="s">
        <v>10</v>
      </c>
      <c r="C6235" t="s">
        <v>23</v>
      </c>
      <c r="D6235" t="str">
        <f>HYPERLINK("https://us2.cloudbeds.com/connect/10074733072513#/reservations/30686178537610?display=Kelly%20Kiggins&amp;reservation_id=30686178537610&amp;guest_id=30686098014429", "Kelly Kiggins")</f>
        <v>Kelly Kiggins</v>
      </c>
      <c r="E6235" t="s">
        <v>3336</v>
      </c>
      <c r="F6235" t="s">
        <v>3263</v>
      </c>
      <c r="G6235">
        <v>149</v>
      </c>
      <c r="H6235">
        <v>161.97</v>
      </c>
      <c r="I6235">
        <v>161.96</v>
      </c>
      <c r="J6235">
        <v>0.01</v>
      </c>
    </row>
    <row r="6236" spans="1:10" x14ac:dyDescent="0.3">
      <c r="A6236" t="str">
        <f>HYPERLINK("https://us2.cloudbeds.com/connect/10074733072513#/reservations/30685828055255?display=YR0E10RTV&amp;reservation_id=30685828055255", "YR0E10RTV")</f>
        <v>YR0E10RTV</v>
      </c>
      <c r="B6236" t="s">
        <v>10</v>
      </c>
      <c r="C6236" t="s">
        <v>42</v>
      </c>
      <c r="D6236" t="str">
        <f>HYPERLINK("https://us2.cloudbeds.com/connect/10074733072513#/reservations/30685828055255?display=Dentiny%20Zoss&amp;reservation_id=30685828055255&amp;guest_id=30685828055253", "Dentiny Zoss")</f>
        <v>Dentiny Zoss</v>
      </c>
      <c r="E6236" t="s">
        <v>3664</v>
      </c>
      <c r="F6236" t="s">
        <v>3263</v>
      </c>
      <c r="G6236">
        <v>139</v>
      </c>
      <c r="H6236">
        <v>151.1</v>
      </c>
      <c r="I6236">
        <v>151.09</v>
      </c>
      <c r="J6236">
        <v>0.01</v>
      </c>
    </row>
    <row r="6237" spans="1:10" x14ac:dyDescent="0.3">
      <c r="A6237" t="str">
        <f>HYPERLINK("https://us2.cloudbeds.com/connect/10074733072513#/reservations/30685969760438?display=YR0HYH01D&amp;reservation_id=30685969760438", "YR0HYH01D")</f>
        <v>YR0HYH01D</v>
      </c>
      <c r="B6237" t="s">
        <v>10</v>
      </c>
      <c r="C6237" t="s">
        <v>42</v>
      </c>
      <c r="D6237" t="str">
        <f>HYPERLINK("https://us2.cloudbeds.com/connect/10074733072513#/reservations/30685969760438?display=Brock%20Smith&amp;reservation_id=30685969760438&amp;guest_id=30685969760419", "Brock Smith")</f>
        <v>Brock Smith</v>
      </c>
      <c r="E6237" t="s">
        <v>3409</v>
      </c>
      <c r="F6237" t="s">
        <v>3083</v>
      </c>
      <c r="G6237">
        <v>256</v>
      </c>
      <c r="H6237">
        <v>278.27999999999997</v>
      </c>
      <c r="I6237">
        <v>278.27</v>
      </c>
      <c r="J6237">
        <v>0.01</v>
      </c>
    </row>
    <row r="6238" spans="1:10" x14ac:dyDescent="0.3">
      <c r="A6238" t="str">
        <f>HYPERLINK("https://us2.cloudbeds.com/connect/10074733072513#/reservations/30684570128623?display=YQWETA613&amp;reservation_id=30684570128623", "YQWETA613")</f>
        <v>YQWETA613</v>
      </c>
      <c r="B6238" t="s">
        <v>10</v>
      </c>
      <c r="C6238" t="s">
        <v>42</v>
      </c>
      <c r="D6238" t="str">
        <f>HYPERLINK("https://us2.cloudbeds.com/connect/10074733072513#/reservations/30684570128623?display=Brian%20Simonson&amp;reservation_id=30684570128623&amp;guest_id=30684570128621", "Brian Simonson")</f>
        <v>Brian Simonson</v>
      </c>
      <c r="E6238" t="s">
        <v>3666</v>
      </c>
      <c r="F6238" t="s">
        <v>3479</v>
      </c>
      <c r="G6238">
        <v>139</v>
      </c>
      <c r="H6238">
        <v>151.1</v>
      </c>
      <c r="I6238">
        <v>151.09</v>
      </c>
      <c r="J6238">
        <v>0.01</v>
      </c>
    </row>
    <row r="6239" spans="1:10" x14ac:dyDescent="0.3">
      <c r="A6239" t="str">
        <f>HYPERLINK("https://us2.cloudbeds.com/connect/10074733072513#/reservations/30683677360327?display=YQVP2GJEC&amp;reservation_id=30683677360327", "YQVP2GJEC")</f>
        <v>YQVP2GJEC</v>
      </c>
      <c r="B6239" t="s">
        <v>10</v>
      </c>
      <c r="C6239" t="s">
        <v>20</v>
      </c>
      <c r="D6239" t="str">
        <f>HYPERLINK("https://us2.cloudbeds.com/connect/10074733072513#/reservations/30683677360327?display=Sarah%20Moeller&amp;reservation_id=30683677360327&amp;guest_id=30683671318714", "Sarah Moeller")</f>
        <v>Sarah Moeller</v>
      </c>
      <c r="E6239" t="s">
        <v>3667</v>
      </c>
      <c r="F6239" t="s">
        <v>3123</v>
      </c>
      <c r="G6239">
        <v>358</v>
      </c>
      <c r="H6239">
        <v>389.16</v>
      </c>
      <c r="I6239">
        <v>389.15</v>
      </c>
      <c r="J6239">
        <v>0.01</v>
      </c>
    </row>
    <row r="6240" spans="1:10" x14ac:dyDescent="0.3">
      <c r="A6240" t="str">
        <f>HYPERLINK("https://us2.cloudbeds.com/connect/10074733072513#/reservations/30685854654693?display=YR0ENF0FH&amp;reservation_id=30685854654693", "YR0ENF0FH")</f>
        <v>YR0ENF0FH</v>
      </c>
      <c r="B6240" t="s">
        <v>10</v>
      </c>
      <c r="C6240" t="s">
        <v>42</v>
      </c>
      <c r="D6240" t="str">
        <f>HYPERLINK("https://us2.cloudbeds.com/connect/10074733072513#/reservations/30685854654693?display=Colin%20Williams&amp;reservation_id=30685854654693&amp;guest_id=30685847011529", "Colin Williams")</f>
        <v>Colin Williams</v>
      </c>
      <c r="E6240" t="s">
        <v>3669</v>
      </c>
      <c r="F6240" t="s">
        <v>3263</v>
      </c>
      <c r="G6240">
        <v>139</v>
      </c>
      <c r="H6240">
        <v>151.1</v>
      </c>
      <c r="I6240">
        <v>151.09</v>
      </c>
      <c r="J6240">
        <v>0.01</v>
      </c>
    </row>
    <row r="6241" spans="1:10" x14ac:dyDescent="0.3">
      <c r="A6241" t="str">
        <f>HYPERLINK("https://us2.cloudbeds.com/connect/10074733072513#/reservations/30685780787392?display=YR0CR5EC9&amp;reservation_id=30685780787392", "YR0CR5EC9")</f>
        <v>YR0CR5EC9</v>
      </c>
      <c r="B6241" t="s">
        <v>10</v>
      </c>
      <c r="C6241" t="s">
        <v>17</v>
      </c>
      <c r="D6241" t="str">
        <f>HYPERLINK("https://us2.cloudbeds.com/connect/10074733072513#/reservations/30685780787392?display=Angela%20Ebel&amp;reservation_id=30685780787392&amp;guest_id=30685780783337", "Angela Ebel")</f>
        <v>Angela Ebel</v>
      </c>
      <c r="E6241" t="s">
        <v>3670</v>
      </c>
      <c r="F6241" t="s">
        <v>3479</v>
      </c>
      <c r="G6241">
        <v>139</v>
      </c>
      <c r="H6241">
        <v>151.1</v>
      </c>
      <c r="I6241">
        <v>151.09</v>
      </c>
      <c r="J6241">
        <v>0.01</v>
      </c>
    </row>
    <row r="6242" spans="1:10" x14ac:dyDescent="0.3">
      <c r="A6242" t="str">
        <f>HYPERLINK("https://us2.cloudbeds.com/connect/10074733072513#/reservations/30683310121212?display=YQVFMRKEB&amp;reservation_id=30683310121212", "YQVFMRKEB")</f>
        <v>YQVFMRKEB</v>
      </c>
      <c r="B6242" t="s">
        <v>10</v>
      </c>
      <c r="C6242" t="s">
        <v>14</v>
      </c>
      <c r="D6242" t="str">
        <f>HYPERLINK("https://us2.cloudbeds.com/connect/10074733072513#/reservations/30683310121212?display=Bruce%20Angle&amp;reservation_id=30683310121212&amp;guest_id=30683310121208", "Bruce Angle")</f>
        <v>Bruce Angle</v>
      </c>
      <c r="E6242" t="s">
        <v>3671</v>
      </c>
      <c r="F6242" t="s">
        <v>3005</v>
      </c>
      <c r="G6242">
        <v>169</v>
      </c>
      <c r="H6242">
        <v>183.71</v>
      </c>
      <c r="I6242">
        <v>183.7</v>
      </c>
      <c r="J6242">
        <v>0.01</v>
      </c>
    </row>
    <row r="6243" spans="1:10" x14ac:dyDescent="0.3">
      <c r="A6243" t="str">
        <f>HYPERLINK("https://us2.cloudbeds.com/connect/10074733072513#/reservations/30684536492166?display=YQWE0V6XH&amp;reservation_id=30684536492166", "YQWE0V6XH")</f>
        <v>YQWE0V6XH</v>
      </c>
      <c r="B6243" t="s">
        <v>10</v>
      </c>
      <c r="C6243" t="s">
        <v>42</v>
      </c>
      <c r="D6243" t="str">
        <f>HYPERLINK("https://us2.cloudbeds.com/connect/10074733072513#/reservations/30684536492166?display=Damian%20Ebel&amp;reservation_id=30684536492166&amp;guest_id=30684531953885", "Damian Ebel")</f>
        <v>Damian Ebel</v>
      </c>
      <c r="E6243" t="s">
        <v>3673</v>
      </c>
      <c r="F6243" t="s">
        <v>3639</v>
      </c>
      <c r="G6243">
        <v>178</v>
      </c>
      <c r="H6243">
        <v>193.5</v>
      </c>
      <c r="I6243">
        <v>193.49</v>
      </c>
      <c r="J6243">
        <v>0.01</v>
      </c>
    </row>
    <row r="6244" spans="1:10" x14ac:dyDescent="0.3">
      <c r="A6244" t="str">
        <f>HYPERLINK("https://us2.cloudbeds.com/connect/10074733072513#/reservations/30685667283159?display=YR09UF448&amp;reservation_id=30685667283159", "YR09UF448")</f>
        <v>YR09UF448</v>
      </c>
      <c r="B6244" t="s">
        <v>10</v>
      </c>
      <c r="C6244" t="s">
        <v>42</v>
      </c>
      <c r="D6244" t="str">
        <f>HYPERLINK("https://us2.cloudbeds.com/connect/10074733072513#/reservations/30685667283159?display=Sean%20Giambo&amp;reservation_id=30685667283159&amp;guest_id=30673245012174", "Sean Giambo")</f>
        <v>Sean Giambo</v>
      </c>
      <c r="E6244" t="s">
        <v>2791</v>
      </c>
      <c r="F6244" t="s">
        <v>3160</v>
      </c>
      <c r="G6244">
        <v>420</v>
      </c>
      <c r="H6244">
        <v>456.55</v>
      </c>
      <c r="I6244">
        <v>456.54</v>
      </c>
      <c r="J6244">
        <v>0.01</v>
      </c>
    </row>
    <row r="6245" spans="1:10" x14ac:dyDescent="0.3">
      <c r="A6245" t="str">
        <f>HYPERLINK("https://us2.cloudbeds.com/connect/10074733072513#/reservations/30684591816838?display=YQWFEJMZZ&amp;reservation_id=30684591816838", "YQWFEJMZZ")</f>
        <v>YQWFEJMZZ</v>
      </c>
      <c r="B6245" t="s">
        <v>10</v>
      </c>
      <c r="C6245" t="s">
        <v>42</v>
      </c>
      <c r="D6245" t="str">
        <f>HYPERLINK("https://us2.cloudbeds.com/connect/10074733072513#/reservations/30684591816838?display=Jeff%20Plummer&amp;reservation_id=30684591816838&amp;guest_id=30684585849060", "Jeff Plummer")</f>
        <v>Jeff Plummer</v>
      </c>
      <c r="E6245" t="s">
        <v>3674</v>
      </c>
      <c r="F6245" t="s">
        <v>3479</v>
      </c>
      <c r="G6245">
        <v>139</v>
      </c>
      <c r="H6245">
        <v>151.1</v>
      </c>
      <c r="I6245">
        <v>151.09</v>
      </c>
      <c r="J6245">
        <v>0.01</v>
      </c>
    </row>
    <row r="6246" spans="1:10" x14ac:dyDescent="0.3">
      <c r="A6246" t="str">
        <f>HYPERLINK("https://us2.cloudbeds.com/connect/10074733072513#/reservations/30684579786955?display=YQWF4EV0R&amp;reservation_id=30684579786955", "YQWF4EV0R")</f>
        <v>YQWF4EV0R</v>
      </c>
      <c r="B6246" t="s">
        <v>10</v>
      </c>
      <c r="C6246" t="s">
        <v>42</v>
      </c>
      <c r="D6246" t="str">
        <f>HYPERLINK("https://us2.cloudbeds.com/connect/10074733072513#/reservations/30684579786955?display=Jacob%20Penner&amp;reservation_id=30684579786955&amp;guest_id=30684579786953", "Jacob Penner")</f>
        <v>Jacob Penner</v>
      </c>
      <c r="E6246" t="s">
        <v>3676</v>
      </c>
      <c r="F6246" t="s">
        <v>3479</v>
      </c>
      <c r="G6246">
        <v>139</v>
      </c>
      <c r="H6246">
        <v>151.1</v>
      </c>
      <c r="I6246">
        <v>151.09</v>
      </c>
      <c r="J6246">
        <v>0.01</v>
      </c>
    </row>
    <row r="6247" spans="1:10" x14ac:dyDescent="0.3">
      <c r="A6247" t="str">
        <f>HYPERLINK("https://us2.cloudbeds.com/connect/10074733072513#/reservations/30686695395481?display=YR136CSJ3&amp;reservation_id=30686695395481", "YR136CSJ3")</f>
        <v>YR136CSJ3</v>
      </c>
      <c r="B6247" t="s">
        <v>10</v>
      </c>
      <c r="C6247" t="s">
        <v>17</v>
      </c>
      <c r="D6247" t="str">
        <f>HYPERLINK("https://us2.cloudbeds.com/connect/10074733072513#/reservations/30686695395481?display=Nick%20Blommer&amp;reservation_id=30686695395481&amp;guest_id=30686695391383", "Nick Blommer")</f>
        <v>Nick Blommer</v>
      </c>
      <c r="E6247" t="s">
        <v>3678</v>
      </c>
      <c r="F6247" t="s">
        <v>2928</v>
      </c>
      <c r="G6247">
        <v>322.2</v>
      </c>
      <c r="H6247">
        <v>350.24</v>
      </c>
      <c r="I6247">
        <v>350.23</v>
      </c>
      <c r="J6247">
        <v>0.01</v>
      </c>
    </row>
    <row r="6248" spans="1:10" x14ac:dyDescent="0.3">
      <c r="A6248" t="str">
        <f>HYPERLINK("https://us2.cloudbeds.com/connect/10074733072513#/reservations/30686016962717?display=YR0XSAFYG&amp;reservation_id=30686016962717", "YR0XSAFYG")</f>
        <v>YR0XSAFYG</v>
      </c>
      <c r="B6248" t="s">
        <v>10</v>
      </c>
      <c r="C6248" t="s">
        <v>42</v>
      </c>
      <c r="D6248" t="str">
        <f>HYPERLINK("https://us2.cloudbeds.com/connect/10074733072513#/reservations/30686016962717?display=Carli%20Mccoccer&amp;reservation_id=30686016962717&amp;guest_id=30686016962715", "Carli Mccoccer")</f>
        <v>Carli Mccoccer</v>
      </c>
      <c r="E6248" t="s">
        <v>3679</v>
      </c>
      <c r="F6248" t="s">
        <v>3639</v>
      </c>
      <c r="G6248">
        <v>159</v>
      </c>
      <c r="H6248">
        <v>172.84</v>
      </c>
      <c r="I6248">
        <v>172.83</v>
      </c>
      <c r="J6248">
        <v>0.01</v>
      </c>
    </row>
    <row r="6249" spans="1:10" x14ac:dyDescent="0.3">
      <c r="A6249" t="str">
        <f>HYPERLINK("https://us2.cloudbeds.com/connect/10074733072513#/reservations/30686076014826?display=YR0KC3MYB&amp;reservation_id=30686076014826", "YR0KC3MYB")</f>
        <v>YR0KC3MYB</v>
      </c>
      <c r="B6249" t="s">
        <v>10</v>
      </c>
      <c r="C6249" t="s">
        <v>42</v>
      </c>
      <c r="D6249" t="str">
        <f>HYPERLINK("https://us2.cloudbeds.com/connect/10074733072513#/reservations/30686076014826?display=Dean%20Nickel&amp;reservation_id=30686076014826&amp;guest_id=30678771052778", "Dean Nickel")</f>
        <v>Dean Nickel</v>
      </c>
      <c r="E6249" t="s">
        <v>3680</v>
      </c>
      <c r="F6249" t="s">
        <v>3283</v>
      </c>
      <c r="G6249">
        <v>333</v>
      </c>
      <c r="H6249">
        <v>361.98</v>
      </c>
      <c r="I6249">
        <v>361.97</v>
      </c>
      <c r="J6249">
        <v>0.01</v>
      </c>
    </row>
    <row r="6250" spans="1:10" x14ac:dyDescent="0.3">
      <c r="A6250" t="str">
        <f>HYPERLINK("https://us2.cloudbeds.com/connect/10074733072513#/reservations/30686295191747?display=YR0PVUK17&amp;reservation_id=30686295191747", "YR0PVUK17")</f>
        <v>YR0PVUK17</v>
      </c>
      <c r="B6250" t="s">
        <v>10</v>
      </c>
      <c r="C6250" t="s">
        <v>17</v>
      </c>
      <c r="D6250" t="str">
        <f>HYPERLINK("https://us2.cloudbeds.com/connect/10074733072513#/reservations/30686295191747?display=Jennifer%20Moore&amp;reservation_id=30686295191747&amp;guest_id=30686295187679", "Jennifer Moore")</f>
        <v>Jennifer Moore</v>
      </c>
      <c r="E6250" t="s">
        <v>3681</v>
      </c>
      <c r="F6250" t="s">
        <v>2959</v>
      </c>
      <c r="G6250">
        <v>179</v>
      </c>
      <c r="H6250">
        <v>194.58</v>
      </c>
      <c r="I6250">
        <v>194.57</v>
      </c>
      <c r="J6250">
        <v>0.01</v>
      </c>
    </row>
    <row r="6251" spans="1:10" x14ac:dyDescent="0.3">
      <c r="A6251" t="str">
        <f>HYPERLINK("https://us2.cloudbeds.com/connect/10074733072513#/reservations/30686319259780?display=YR0QJ7B2X&amp;reservation_id=30686319259780", "YR0QJ7B2X")</f>
        <v>YR0QJ7B2X</v>
      </c>
      <c r="B6251" t="s">
        <v>10</v>
      </c>
      <c r="C6251" t="s">
        <v>42</v>
      </c>
      <c r="D6251" t="str">
        <f>HYPERLINK("https://us2.cloudbeds.com/connect/10074733072513#/reservations/30686319259780?display=Connie%20Vosberg&amp;reservation_id=30686319259780&amp;guest_id=23047700934866", "Connie Vosberg")</f>
        <v>Connie Vosberg</v>
      </c>
      <c r="E6251" t="s">
        <v>3682</v>
      </c>
      <c r="F6251" t="s">
        <v>2747</v>
      </c>
      <c r="G6251">
        <v>149</v>
      </c>
      <c r="H6251">
        <v>161.97</v>
      </c>
      <c r="I6251">
        <v>161.96</v>
      </c>
      <c r="J6251">
        <v>0.01</v>
      </c>
    </row>
    <row r="6252" spans="1:10" x14ac:dyDescent="0.3">
      <c r="A6252" t="str">
        <f>HYPERLINK("https://us2.cloudbeds.com/connect/10074733072513#/reservations/30685163053219?display=YQWU19623&amp;reservation_id=30685163053219", "YQWU19623")</f>
        <v>YQWU19623</v>
      </c>
      <c r="B6252" t="s">
        <v>10</v>
      </c>
      <c r="C6252" t="s">
        <v>42</v>
      </c>
      <c r="D6252" t="str">
        <f>HYPERLINK("https://us2.cloudbeds.com/connect/10074733072513#/reservations/30685163053219?display=Murdoch%20Word&amp;reservation_id=30685163053219&amp;guest_id=30685163053208", "Murdoch Word")</f>
        <v>Murdoch Word</v>
      </c>
      <c r="E6252" t="s">
        <v>3683</v>
      </c>
      <c r="F6252" t="s">
        <v>3283</v>
      </c>
      <c r="G6252">
        <v>278</v>
      </c>
      <c r="H6252">
        <v>302.2</v>
      </c>
      <c r="I6252">
        <v>302.19</v>
      </c>
      <c r="J6252">
        <v>0.01</v>
      </c>
    </row>
    <row r="6253" spans="1:10" x14ac:dyDescent="0.3">
      <c r="A6253" t="str">
        <f>HYPERLINK("https://us2.cloudbeds.com/connect/10074733072513#/reservations/30685723640018?display=YR0BBWB4R&amp;reservation_id=30685723640018", "YR0BBWB4R")</f>
        <v>YR0BBWB4R</v>
      </c>
      <c r="B6253" t="s">
        <v>10</v>
      </c>
      <c r="C6253" t="s">
        <v>42</v>
      </c>
      <c r="D6253" t="str">
        <f>HYPERLINK("https://us2.cloudbeds.com/connect/10074733072513#/reservations/30685723640018?display=Cory%20Glick&amp;reservation_id=30685723640018&amp;guest_id=30679426039950", "Cory Glick")</f>
        <v>Cory Glick</v>
      </c>
      <c r="E6253" t="s">
        <v>2769</v>
      </c>
      <c r="F6253" t="s">
        <v>2682</v>
      </c>
      <c r="G6253">
        <v>158</v>
      </c>
      <c r="H6253">
        <v>171.76</v>
      </c>
      <c r="I6253">
        <v>171.75</v>
      </c>
      <c r="J6253">
        <v>0.01</v>
      </c>
    </row>
    <row r="6254" spans="1:10" x14ac:dyDescent="0.3">
      <c r="A6254" t="str">
        <f>HYPERLINK("https://us2.cloudbeds.com/connect/10074733072513#/reservations/30685616664778?display=YR08KPJJU&amp;reservation_id=30685616664778", "YR08KPJJU")</f>
        <v>YR08KPJJU</v>
      </c>
      <c r="B6254" t="s">
        <v>10</v>
      </c>
      <c r="C6254" t="s">
        <v>42</v>
      </c>
      <c r="D6254" t="str">
        <f>HYPERLINK("https://us2.cloudbeds.com/connect/10074733072513#/reservations/30685616664778?display=John%20Teupel&amp;reservation_id=30685616664778&amp;guest_id=30676634038498", "John Teupel")</f>
        <v>John Teupel</v>
      </c>
      <c r="E6254" t="s">
        <v>2970</v>
      </c>
      <c r="F6254" t="s">
        <v>2859</v>
      </c>
      <c r="G6254">
        <v>79</v>
      </c>
      <c r="H6254">
        <v>85.88</v>
      </c>
      <c r="I6254">
        <v>85.87</v>
      </c>
      <c r="J6254">
        <v>0.01</v>
      </c>
    </row>
    <row r="6255" spans="1:10" x14ac:dyDescent="0.3">
      <c r="A6255" t="str">
        <f>HYPERLINK("https://us2.cloudbeds.com/connect/10074733072513#/reservations/30683217166541?display=YQVDAF0K4&amp;reservation_id=30683217166541", "YQVDAF0K4")</f>
        <v>YQVDAF0K4</v>
      </c>
      <c r="B6255" t="s">
        <v>10</v>
      </c>
      <c r="C6255" t="s">
        <v>42</v>
      </c>
      <c r="D6255" t="str">
        <f>HYPERLINK("https://us2.cloudbeds.com/connect/10074733072513#/reservations/30683217166541?display=Seth%20Schamens&amp;reservation_id=30683217166541&amp;guest_id=30683210653937", "Seth Schamens")</f>
        <v>Seth Schamens</v>
      </c>
      <c r="E6255" t="s">
        <v>3684</v>
      </c>
      <c r="F6255" t="s">
        <v>3526</v>
      </c>
      <c r="G6255">
        <v>258</v>
      </c>
      <c r="H6255">
        <v>280.45999999999998</v>
      </c>
      <c r="I6255">
        <v>280.45</v>
      </c>
      <c r="J6255">
        <v>0.01</v>
      </c>
    </row>
    <row r="6256" spans="1:10" x14ac:dyDescent="0.3">
      <c r="A6256" t="str">
        <f>HYPERLINK("https://us2.cloudbeds.com/connect/10074733072513#/reservations/30681871585420?display=YQUBUR7UY&amp;reservation_id=30681871585420", "YQUBUR7UY")</f>
        <v>YQUBUR7UY</v>
      </c>
      <c r="B6256" t="s">
        <v>10</v>
      </c>
      <c r="C6256" t="s">
        <v>17</v>
      </c>
      <c r="D6256" t="str">
        <f>HYPERLINK("https://us2.cloudbeds.com/connect/10074733072513#/reservations/30681871585420?display=Michelle%20Kirkvold&amp;reservation_id=30681871585420&amp;guest_id=30681871581373", "Michelle Kirkvold")</f>
        <v>Michelle Kirkvold</v>
      </c>
      <c r="E6256" t="s">
        <v>3685</v>
      </c>
      <c r="F6256" t="s">
        <v>3475</v>
      </c>
      <c r="G6256">
        <v>149</v>
      </c>
      <c r="H6256">
        <v>161.97</v>
      </c>
      <c r="I6256">
        <v>161.96</v>
      </c>
      <c r="J6256">
        <v>0.01</v>
      </c>
    </row>
    <row r="6257" spans="1:10" x14ac:dyDescent="0.3">
      <c r="A6257" t="str">
        <f>HYPERLINK("https://us2.cloudbeds.com/connect/10074733072513#/reservations/30685711749342?display=YR0B1VF8B&amp;reservation_id=30685711749342", "YR0B1VF8B")</f>
        <v>YR0B1VF8B</v>
      </c>
      <c r="B6257" t="s">
        <v>10</v>
      </c>
      <c r="C6257" t="s">
        <v>121</v>
      </c>
      <c r="D6257" t="str">
        <f>HYPERLINK("https://us2.cloudbeds.com/connect/10074733072513#/reservations/30685711749342?display=Heather%20Grewing&amp;reservation_id=30685711749342&amp;guest_id=30685705560198", "Heather Grewing")</f>
        <v>Heather Grewing</v>
      </c>
      <c r="E6257" t="s">
        <v>3686</v>
      </c>
      <c r="F6257" t="s">
        <v>3083</v>
      </c>
      <c r="G6257">
        <v>169</v>
      </c>
      <c r="H6257">
        <v>183.71</v>
      </c>
      <c r="I6257">
        <v>183.7</v>
      </c>
      <c r="J6257">
        <v>0.01</v>
      </c>
    </row>
    <row r="6258" spans="1:10" x14ac:dyDescent="0.3">
      <c r="A6258" t="str">
        <f>HYPERLINK("https://us2.cloudbeds.com/connect/10074733072513#/reservations/30686016958625?display=YR0XSABTF&amp;reservation_id=30686016958625", "YR0XSABTF")</f>
        <v>YR0XSABTF</v>
      </c>
      <c r="B6258" t="s">
        <v>10</v>
      </c>
      <c r="C6258" t="s">
        <v>121</v>
      </c>
      <c r="D6258" t="str">
        <f>HYPERLINK("https://us2.cloudbeds.com/connect/10074733072513#/reservations/30686016958625?display=John%20Teuple&amp;reservation_id=30686016958625&amp;guest_id=30686004064457", "John Teuple")</f>
        <v>John Teuple</v>
      </c>
      <c r="E6258" t="s">
        <v>3687</v>
      </c>
      <c r="F6258" t="s">
        <v>3083</v>
      </c>
      <c r="G6258">
        <v>79</v>
      </c>
      <c r="H6258">
        <v>85.88</v>
      </c>
      <c r="I6258">
        <v>85.87</v>
      </c>
      <c r="J6258">
        <v>0.01</v>
      </c>
    </row>
    <row r="6259" spans="1:10" x14ac:dyDescent="0.3">
      <c r="A6259" t="str">
        <f>HYPERLINK("https://us2.cloudbeds.com/connect/10074733072513#/reservations/30685157548230?display=YQWTTKWW8&amp;reservation_id=30685157548230", "YQWTTKWW8")</f>
        <v>YQWTTKWW8</v>
      </c>
      <c r="B6259" t="s">
        <v>10</v>
      </c>
      <c r="C6259" t="s">
        <v>42</v>
      </c>
      <c r="D6259" t="str">
        <f>HYPERLINK("https://us2.cloudbeds.com/connect/10074733072513#/reservations/30685157548230?display=Dylan%20Severyn&amp;reservation_id=30685157548230&amp;guest_id=30685151359214", "Dylan Severyn")</f>
        <v>Dylan Severyn</v>
      </c>
      <c r="E6259" t="s">
        <v>3689</v>
      </c>
      <c r="F6259" t="s">
        <v>3283</v>
      </c>
      <c r="G6259">
        <v>318</v>
      </c>
      <c r="H6259">
        <v>345.68</v>
      </c>
      <c r="I6259">
        <v>345.67</v>
      </c>
      <c r="J6259">
        <v>0.01</v>
      </c>
    </row>
    <row r="6260" spans="1:10" x14ac:dyDescent="0.3">
      <c r="A6260" t="str">
        <f>HYPERLINK("https://us2.cloudbeds.com/connect/10074733072513#/reservations/30686299373724?display=YR0Q2EW7Q&amp;reservation_id=30686299373724", "YR0Q2EW7Q")</f>
        <v>YR0Q2EW7Q</v>
      </c>
      <c r="B6260" t="s">
        <v>10</v>
      </c>
      <c r="C6260" t="s">
        <v>17</v>
      </c>
      <c r="D6260" t="str">
        <f>HYPERLINK("https://us2.cloudbeds.com/connect/10074733072513#/reservations/30686299373724?display=Jeremy%20Lansink&amp;reservation_id=30686299373724&amp;guest_id=30686299373722", "Jeremy Lansink")</f>
        <v>Jeremy Lansink</v>
      </c>
      <c r="E6260" t="s">
        <v>3690</v>
      </c>
      <c r="F6260" t="s">
        <v>2959</v>
      </c>
      <c r="G6260">
        <v>209</v>
      </c>
      <c r="H6260">
        <v>227.19</v>
      </c>
      <c r="I6260">
        <v>227.18</v>
      </c>
      <c r="J6260">
        <v>0.01</v>
      </c>
    </row>
    <row r="6261" spans="1:10" x14ac:dyDescent="0.3">
      <c r="A6261" t="str">
        <f>HYPERLINK("https://us2.cloudbeds.com/connect/10074733072513#/reservations/30685192687758?display=YQWUQ8QME&amp;reservation_id=30685192687758", "YQWUQ8QME")</f>
        <v>YQWUQ8QME</v>
      </c>
      <c r="B6261" t="s">
        <v>10</v>
      </c>
      <c r="C6261" t="s">
        <v>23</v>
      </c>
      <c r="D6261" t="str">
        <f>HYPERLINK("https://us2.cloudbeds.com/connect/10074733072513#/reservations/30685192687758?display=Corey%20Green&amp;reservation_id=30685192687758&amp;guest_id=30685192687756", "Corey Green")</f>
        <v>Corey Green</v>
      </c>
      <c r="E6261" t="s">
        <v>3691</v>
      </c>
      <c r="F6261" t="s">
        <v>3283</v>
      </c>
      <c r="G6261">
        <v>418</v>
      </c>
      <c r="H6261">
        <v>454.38</v>
      </c>
      <c r="I6261">
        <v>454.37</v>
      </c>
      <c r="J6261">
        <v>0.01</v>
      </c>
    </row>
    <row r="6262" spans="1:10" x14ac:dyDescent="0.3">
      <c r="A6262" t="str">
        <f>HYPERLINK("https://us2.cloudbeds.com/connect/10074733072513#/reservations/30687233548460?display=YR1GV5P94&amp;reservation_id=30687233548460", "YR1GV5P94")</f>
        <v>YR1GV5P94</v>
      </c>
      <c r="B6262" t="s">
        <v>10</v>
      </c>
      <c r="C6262" t="s">
        <v>23</v>
      </c>
      <c r="D6262" t="str">
        <f>HYPERLINK("https://us2.cloudbeds.com/connect/10074733072513#/reservations/30687233548460?display=Nicole%20Nelson&amp;reservation_id=30687233548460&amp;guest_id=30652518375559", "Nicole Nelson")</f>
        <v>Nicole Nelson</v>
      </c>
      <c r="E6262" t="s">
        <v>1165</v>
      </c>
      <c r="F6262" t="s">
        <v>2747</v>
      </c>
      <c r="G6262">
        <v>199</v>
      </c>
      <c r="H6262">
        <v>216.32</v>
      </c>
      <c r="I6262">
        <v>216.31</v>
      </c>
      <c r="J6262">
        <v>0.01</v>
      </c>
    </row>
    <row r="6263" spans="1:10" x14ac:dyDescent="0.3">
      <c r="A6263" t="str">
        <f>HYPERLINK("https://us2.cloudbeds.com/connect/10074733072513#/reservations/30685705556108?display=YR0ATZ45J&amp;reservation_id=30685705556108", "YR0ATZ45J")</f>
        <v>YR0ATZ45J</v>
      </c>
      <c r="B6263" t="s">
        <v>10</v>
      </c>
      <c r="C6263" t="s">
        <v>121</v>
      </c>
      <c r="D6263" t="str">
        <f>HYPERLINK("https://us2.cloudbeds.com/connect/10074733072513#/reservations/30685705556108?display=Gladys%20Nooney&amp;reservation_id=30685705556108&amp;guest_id=30685698195635", "Gladys Nooney")</f>
        <v>Gladys Nooney</v>
      </c>
      <c r="E6263" t="s">
        <v>3692</v>
      </c>
      <c r="F6263" t="s">
        <v>3083</v>
      </c>
      <c r="G6263">
        <v>209</v>
      </c>
      <c r="H6263">
        <v>227.19</v>
      </c>
      <c r="I6263">
        <v>227.18</v>
      </c>
      <c r="J6263">
        <v>0.01</v>
      </c>
    </row>
    <row r="6264" spans="1:10" x14ac:dyDescent="0.3">
      <c r="A6264" t="str">
        <f>HYPERLINK("https://us2.cloudbeds.com/connect/10074733072513#/reservations/30685657997518?display=YR09MKZC6&amp;reservation_id=30685657997518", "YR09MKZC6")</f>
        <v>YR09MKZC6</v>
      </c>
      <c r="B6264" t="s">
        <v>10</v>
      </c>
      <c r="C6264" t="s">
        <v>11</v>
      </c>
      <c r="D6264" t="str">
        <f>HYPERLINK("https://us2.cloudbeds.com/connect/10074733072513#/reservations/30685657997518?display=Marge%20Martens&amp;reservation_id=30685657997518&amp;guest_id=30685657993424", "Marge Martens")</f>
        <v>Marge Martens</v>
      </c>
      <c r="E6264" t="s">
        <v>3693</v>
      </c>
      <c r="F6264" t="s">
        <v>2859</v>
      </c>
      <c r="G6264">
        <v>127.27</v>
      </c>
      <c r="H6264">
        <v>138.35</v>
      </c>
      <c r="I6264">
        <v>138.34</v>
      </c>
      <c r="J6264">
        <v>0.01</v>
      </c>
    </row>
    <row r="6265" spans="1:10" x14ac:dyDescent="0.3">
      <c r="A6265" t="str">
        <f>HYPERLINK("https://us2.cloudbeds.com/connect/10074733072513#/reservations/30685950161092?display=YR0H4WKFR&amp;reservation_id=30685950161092", "YR0H4WKFR")</f>
        <v>YR0H4WKFR</v>
      </c>
      <c r="B6265" t="s">
        <v>10</v>
      </c>
      <c r="C6265" t="s">
        <v>42</v>
      </c>
      <c r="D6265" t="str">
        <f>HYPERLINK("https://us2.cloudbeds.com/connect/10074733072513#/reservations/30685950161092?display=Mike%20Plumber&amp;reservation_id=30685950161092&amp;guest_id=30685943222452", "Mike Plumber")</f>
        <v>Mike Plumber</v>
      </c>
      <c r="E6265" t="s">
        <v>3694</v>
      </c>
      <c r="F6265" t="s">
        <v>2747</v>
      </c>
      <c r="G6265">
        <v>229</v>
      </c>
      <c r="H6265">
        <v>248.93</v>
      </c>
      <c r="I6265">
        <v>248.92</v>
      </c>
      <c r="J6265">
        <v>0.01</v>
      </c>
    </row>
    <row r="6266" spans="1:10" x14ac:dyDescent="0.3">
      <c r="A6266" t="str">
        <f>HYPERLINK("https://us2.cloudbeds.com/connect/10074733072513#/reservations/30686329356487?display=YR0QRZ9KC&amp;reservation_id=30686329356487", "YR0QRZ9KC")</f>
        <v>YR0QRZ9KC</v>
      </c>
      <c r="B6266" t="s">
        <v>10</v>
      </c>
      <c r="C6266" t="s">
        <v>42</v>
      </c>
      <c r="D6266" t="str">
        <f>HYPERLINK("https://us2.cloudbeds.com/connect/10074733072513#/reservations/30686329356487?display=William%20Braid&amp;reservation_id=30686329356487&amp;guest_id=30686329356482", "William Braid")</f>
        <v>William Braid</v>
      </c>
      <c r="E6266" t="s">
        <v>3695</v>
      </c>
      <c r="F6266" t="s">
        <v>2747</v>
      </c>
      <c r="G6266">
        <v>199</v>
      </c>
      <c r="H6266">
        <v>216.32</v>
      </c>
      <c r="I6266">
        <v>216.31</v>
      </c>
      <c r="J6266">
        <v>0.01</v>
      </c>
    </row>
    <row r="6267" spans="1:10" x14ac:dyDescent="0.3">
      <c r="A6267" t="str">
        <f>HYPERLINK("https://us2.cloudbeds.com/connect/10074733072513#/reservations/30683317428372?display=YQVFSWVDE&amp;reservation_id=30683317428372", "YQVFSWVDE")</f>
        <v>YQVFSWVDE</v>
      </c>
      <c r="B6267" t="s">
        <v>10</v>
      </c>
      <c r="C6267" t="s">
        <v>14</v>
      </c>
      <c r="D6267" t="str">
        <f>HYPERLINK("https://us2.cloudbeds.com/connect/10074733072513#/reservations/30683317428372?display=Shea%20Hardacre&amp;reservation_id=30683317428372&amp;guest_id=30683317428355", "Shea Hardacre")</f>
        <v>Shea Hardacre</v>
      </c>
      <c r="E6267" t="s">
        <v>3696</v>
      </c>
      <c r="F6267" t="s">
        <v>3005</v>
      </c>
      <c r="G6267">
        <v>169</v>
      </c>
      <c r="H6267">
        <v>183.71</v>
      </c>
      <c r="I6267">
        <v>183.7</v>
      </c>
      <c r="J6267">
        <v>0.01</v>
      </c>
    </row>
    <row r="6268" spans="1:10" x14ac:dyDescent="0.3">
      <c r="A6268" t="str">
        <f>HYPERLINK("https://us2.cloudbeds.com/connect/10074733072513#/reservations/30686357766392?display=YR0RXMRMJ&amp;reservation_id=30686357766392", "YR0RXMRMJ")</f>
        <v>YR0RXMRMJ</v>
      </c>
      <c r="B6268" t="s">
        <v>10</v>
      </c>
      <c r="C6268" t="s">
        <v>121</v>
      </c>
      <c r="D6268" t="str">
        <f>HYPERLINK("https://us2.cloudbeds.com/connect/10074733072513#/reservations/30686357766392?display=Rachel%20Ludemann&amp;reservation_id=30686357766392&amp;guest_id=30686357766389", "Rachel Ludemann")</f>
        <v>Rachel Ludemann</v>
      </c>
      <c r="E6268" t="s">
        <v>3698</v>
      </c>
      <c r="F6268" t="s">
        <v>2747</v>
      </c>
      <c r="G6268">
        <v>199</v>
      </c>
      <c r="H6268">
        <v>216.32</v>
      </c>
      <c r="I6268">
        <v>216.31</v>
      </c>
      <c r="J6268">
        <v>0.01</v>
      </c>
    </row>
    <row r="6269" spans="1:10" x14ac:dyDescent="0.3">
      <c r="A6269" t="str">
        <f>HYPERLINK("https://us2.cloudbeds.com/connect/10074733072513#/reservations/30685680341215?display=YR0A8FFWU&amp;reservation_id=30685680341215", "YR0A8FFWU")</f>
        <v>YR0A8FFWU</v>
      </c>
      <c r="B6269" t="s">
        <v>10</v>
      </c>
      <c r="C6269" t="s">
        <v>42</v>
      </c>
      <c r="D6269" t="str">
        <f>HYPERLINK("https://us2.cloudbeds.com/connect/10074733072513#/reservations/30685680341215?display=Justin%20French&amp;reservation_id=30685680341215&amp;guest_id=30685680337114", "Justin French")</f>
        <v>Justin French</v>
      </c>
      <c r="E6269" t="s">
        <v>3699</v>
      </c>
      <c r="F6269" t="s">
        <v>3160</v>
      </c>
      <c r="G6269">
        <v>384</v>
      </c>
      <c r="H6269">
        <v>417.42</v>
      </c>
      <c r="I6269">
        <v>417.41</v>
      </c>
      <c r="J6269">
        <v>0.01</v>
      </c>
    </row>
    <row r="6270" spans="1:10" x14ac:dyDescent="0.3">
      <c r="A6270" t="str">
        <f>HYPERLINK("https://us2.cloudbeds.com/connect/10074733072513#/reservations/30687289012411?display=YR1XBV4BU&amp;reservation_id=30687289012411", "YR1XBV4BU")</f>
        <v>YR1XBV4BU</v>
      </c>
      <c r="B6270" t="s">
        <v>10</v>
      </c>
      <c r="C6270" t="s">
        <v>11</v>
      </c>
      <c r="D6270" t="str">
        <f>HYPERLINK("https://us2.cloudbeds.com/connect/10074733072513#/reservations/30687289012411?display=Ty%20Barker&amp;reservation_id=30687289012411&amp;guest_id=30687289012352", "Ty Barker")</f>
        <v>Ty Barker</v>
      </c>
      <c r="E6270" t="s">
        <v>1319</v>
      </c>
      <c r="F6270" t="s">
        <v>2747</v>
      </c>
      <c r="G6270">
        <v>125.76</v>
      </c>
      <c r="H6270">
        <v>136.71</v>
      </c>
      <c r="I6270">
        <v>136.69999999999999</v>
      </c>
      <c r="J6270">
        <v>0.01</v>
      </c>
    </row>
    <row r="6271" spans="1:10" x14ac:dyDescent="0.3">
      <c r="A6271" t="str">
        <f>HYPERLINK("https://us2.cloudbeds.com/connect/10074733072513#/reservations/30686034403550?display=YR0JA0Q3J&amp;reservation_id=30686034403550", "YR0JA0Q3J")</f>
        <v>YR0JA0Q3J</v>
      </c>
      <c r="B6271" t="s">
        <v>10</v>
      </c>
      <c r="C6271" t="s">
        <v>42</v>
      </c>
      <c r="D6271" t="str">
        <f>HYPERLINK("https://us2.cloudbeds.com/connect/10074733072513#/reservations/30686034403550?display=Nicole%20Haan&amp;reservation_id=30686034403550&amp;guest_id=30686027231428", "Nicole Haan")</f>
        <v>Nicole Haan</v>
      </c>
      <c r="E6271" t="s">
        <v>3703</v>
      </c>
      <c r="F6271" t="s">
        <v>3092</v>
      </c>
      <c r="G6271">
        <v>139</v>
      </c>
      <c r="H6271">
        <v>151.1</v>
      </c>
      <c r="I6271">
        <v>151.09</v>
      </c>
      <c r="J6271">
        <v>0.01</v>
      </c>
    </row>
    <row r="6272" spans="1:10" x14ac:dyDescent="0.3">
      <c r="A6272" t="str">
        <f>HYPERLINK("https://us2.cloudbeds.com/connect/10074733072513#/reservations/30686018556063?display=YR0XTYQPN&amp;reservation_id=30686018556063", "YR0XTYQPN")</f>
        <v>YR0XTYQPN</v>
      </c>
      <c r="B6272" t="s">
        <v>10</v>
      </c>
      <c r="C6272" t="s">
        <v>42</v>
      </c>
      <c r="D6272" t="str">
        <f>HYPERLINK("https://us2.cloudbeds.com/connect/10074733072513#/reservations/30686018556063?display=Belinda%20Harper&amp;reservation_id=30686018556063&amp;guest_id=30686018551978", "Belinda Harper")</f>
        <v>Belinda Harper</v>
      </c>
      <c r="E6272" t="s">
        <v>3704</v>
      </c>
      <c r="F6272" t="s">
        <v>3092</v>
      </c>
      <c r="G6272">
        <v>139</v>
      </c>
      <c r="H6272">
        <v>151.1</v>
      </c>
      <c r="I6272">
        <v>151.09</v>
      </c>
      <c r="J6272">
        <v>0.01</v>
      </c>
    </row>
    <row r="6273" spans="1:10" x14ac:dyDescent="0.3">
      <c r="A6273" t="str">
        <f>HYPERLINK("https://us2.cloudbeds.com/connect/10074733072513#/reservations/30685077217493?display=YQWRRTMCG&amp;reservation_id=30685077217493", "YQWRRTMCG")</f>
        <v>YQWRRTMCG</v>
      </c>
      <c r="B6273" t="s">
        <v>10</v>
      </c>
      <c r="C6273" t="s">
        <v>17</v>
      </c>
      <c r="D6273" t="str">
        <f>HYPERLINK("https://us2.cloudbeds.com/connect/10074733072513#/reservations/30685077217493?display=Tom%20Green&amp;reservation_id=30685077217493&amp;guest_id=30685077217481", "Tom Green")</f>
        <v>Tom Green</v>
      </c>
      <c r="E6273" t="s">
        <v>3705</v>
      </c>
      <c r="F6273" t="s">
        <v>3283</v>
      </c>
      <c r="G6273">
        <v>322.2</v>
      </c>
      <c r="H6273">
        <v>350.24</v>
      </c>
      <c r="I6273">
        <v>350.23</v>
      </c>
      <c r="J6273">
        <v>0.01</v>
      </c>
    </row>
    <row r="6274" spans="1:10" x14ac:dyDescent="0.3">
      <c r="A6274" t="str">
        <f>HYPERLINK("https://us2.cloudbeds.com/connect/10074733072513#/reservations/30683163246753?display=YQVBUWKG5&amp;reservation_id=30683163246753", "YQVBUWKG5")</f>
        <v>YQVBUWKG5</v>
      </c>
      <c r="B6274" t="s">
        <v>10</v>
      </c>
      <c r="C6274" t="s">
        <v>42</v>
      </c>
      <c r="D6274" t="str">
        <f>HYPERLINK("https://us2.cloudbeds.com/connect/10074733072513#/reservations/30683163246753?display=Amy%20Moss&amp;reservation_id=30683163246753&amp;guest_id=30683151802564", "Amy Moss")</f>
        <v>Amy Moss</v>
      </c>
      <c r="E6274" t="s">
        <v>3706</v>
      </c>
      <c r="F6274" t="s">
        <v>3707</v>
      </c>
      <c r="G6274">
        <v>179</v>
      </c>
      <c r="H6274">
        <v>194.58</v>
      </c>
      <c r="I6274">
        <v>194.57</v>
      </c>
      <c r="J6274">
        <v>0.01</v>
      </c>
    </row>
    <row r="6275" spans="1:10" x14ac:dyDescent="0.3">
      <c r="A6275" t="str">
        <f>HYPERLINK("https://us2.cloudbeds.com/connect/10074733072513#/reservations/30685050650778?display=YQWR5GDSH&amp;reservation_id=30685050650778", "YQWR5GDSH")</f>
        <v>YQWR5GDSH</v>
      </c>
      <c r="B6275" t="s">
        <v>10</v>
      </c>
      <c r="C6275" t="s">
        <v>17</v>
      </c>
      <c r="D6275" t="str">
        <f>HYPERLINK("https://us2.cloudbeds.com/connect/10074733072513#/reservations/30685050650778?display=Steve%20Flaigle&amp;reservation_id=30685050650778&amp;guest_id=30685050650776", "Steve Flaigle")</f>
        <v>Steve Flaigle</v>
      </c>
      <c r="E6275" t="s">
        <v>3705</v>
      </c>
      <c r="F6275" t="s">
        <v>3283</v>
      </c>
      <c r="G6275">
        <v>322.2</v>
      </c>
      <c r="H6275">
        <v>350.24</v>
      </c>
      <c r="I6275">
        <v>350.23</v>
      </c>
      <c r="J6275">
        <v>0.01</v>
      </c>
    </row>
    <row r="6276" spans="1:10" x14ac:dyDescent="0.3">
      <c r="A6276" t="str">
        <f>HYPERLINK("https://us2.cloudbeds.com/connect/10074733072513#/reservations/30685863755998?display=YR0EV48VY&amp;reservation_id=30685863755998", "YR0EV48VY")</f>
        <v>YR0EV48VY</v>
      </c>
      <c r="B6276" t="s">
        <v>10</v>
      </c>
      <c r="C6276" t="s">
        <v>23</v>
      </c>
      <c r="D6276" t="str">
        <f>HYPERLINK("https://us2.cloudbeds.com/connect/10074733072513#/reservations/30685863755998?display=Lee%20Frier&amp;reservation_id=30685863755998&amp;guest_id=30685863755992", "Lee Frier")</f>
        <v>Lee Frier</v>
      </c>
      <c r="E6276" t="s">
        <v>3708</v>
      </c>
      <c r="F6276" t="s">
        <v>3092</v>
      </c>
      <c r="G6276">
        <v>139</v>
      </c>
      <c r="H6276">
        <v>151.1</v>
      </c>
      <c r="I6276">
        <v>151.09</v>
      </c>
      <c r="J6276">
        <v>0.01</v>
      </c>
    </row>
    <row r="6277" spans="1:10" x14ac:dyDescent="0.3">
      <c r="A6277" t="str">
        <f>HYPERLINK("https://us2.cloudbeds.com/connect/10074733072513#/reservations/30685050654876?display=YQWR5GHKN&amp;reservation_id=30685050654876", "YQWR5GHKN")</f>
        <v>YQWR5GHKN</v>
      </c>
      <c r="B6277" t="s">
        <v>10</v>
      </c>
      <c r="C6277" t="s">
        <v>17</v>
      </c>
      <c r="D6277" t="str">
        <f>HYPERLINK("https://us2.cloudbeds.com/connect/10074733072513#/reservations/30685050654876?display=Sean%20Flaigle&amp;reservation_id=30685050654876&amp;guest_id=30685050654874", "Sean Flaigle")</f>
        <v>Sean Flaigle</v>
      </c>
      <c r="E6277" t="s">
        <v>3705</v>
      </c>
      <c r="F6277" t="s">
        <v>3283</v>
      </c>
      <c r="G6277">
        <v>322.2</v>
      </c>
      <c r="H6277">
        <v>350.24</v>
      </c>
      <c r="I6277">
        <v>350.23</v>
      </c>
      <c r="J6277">
        <v>0.01</v>
      </c>
    </row>
    <row r="6278" spans="1:10" x14ac:dyDescent="0.3">
      <c r="A6278" t="str">
        <f>HYPERLINK("https://us2.cloudbeds.com/connect/10074733072513#/reservations/30686837645530?display=YR16RB61Y&amp;reservation_id=30686837645530", "YR16RB61Y")</f>
        <v>YR16RB61Y</v>
      </c>
      <c r="B6278" t="s">
        <v>10</v>
      </c>
      <c r="C6278" t="s">
        <v>42</v>
      </c>
      <c r="D6278" t="str">
        <f>HYPERLINK("https://us2.cloudbeds.com/connect/10074733072513#/reservations/30686837645530?display=Jessica%20Dodson&amp;reservation_id=30686837645530&amp;guest_id=30686837641450", "Jessica Dodson")</f>
        <v>Jessica Dodson</v>
      </c>
      <c r="E6278" t="s">
        <v>3710</v>
      </c>
      <c r="F6278" t="s">
        <v>3092</v>
      </c>
      <c r="G6278">
        <v>139</v>
      </c>
      <c r="H6278">
        <v>151.1</v>
      </c>
      <c r="I6278">
        <v>151.09</v>
      </c>
      <c r="J6278">
        <v>0.01</v>
      </c>
    </row>
    <row r="6279" spans="1:10" x14ac:dyDescent="0.3">
      <c r="A6279" t="str">
        <f>HYPERLINK("https://us2.cloudbeds.com/connect/10074733072513#/reservations/30686892019842?display=YR18767X2&amp;reservation_id=30686892019842", "YR18767X2")</f>
        <v>YR18767X2</v>
      </c>
      <c r="B6279" t="s">
        <v>10</v>
      </c>
      <c r="C6279" t="s">
        <v>23</v>
      </c>
      <c r="D6279" t="str">
        <f>HYPERLINK("https://us2.cloudbeds.com/connect/10074733072513#/reservations/30686892019842?display=Shayna%20Rupp&amp;reservation_id=30686892019842&amp;guest_id=30686892015805", "Shayna Rupp")</f>
        <v>Shayna Rupp</v>
      </c>
      <c r="E6279" t="s">
        <v>3711</v>
      </c>
      <c r="F6279" t="s">
        <v>3092</v>
      </c>
      <c r="G6279">
        <v>139</v>
      </c>
      <c r="H6279">
        <v>151.1</v>
      </c>
      <c r="I6279">
        <v>151.09</v>
      </c>
      <c r="J6279">
        <v>0.01</v>
      </c>
    </row>
    <row r="6280" spans="1:10" x14ac:dyDescent="0.3">
      <c r="A6280" t="str">
        <f>HYPERLINK("https://us2.cloudbeds.com/connect/10074733072513#/reservations/30685502115970?display=YR05N63EU&amp;reservation_id=30685502115970", "YR05N63EU")</f>
        <v>YR05N63EU</v>
      </c>
      <c r="B6280" t="s">
        <v>10</v>
      </c>
      <c r="C6280" t="s">
        <v>42</v>
      </c>
      <c r="D6280" t="str">
        <f>HYPERLINK("https://us2.cloudbeds.com/connect/10074733072513#/reservations/30685502115970?display=Sharon%20Jett&amp;reservation_id=30685502115970&amp;guest_id=30685502111933", "Sharon Jett")</f>
        <v>Sharon Jett</v>
      </c>
      <c r="E6280" t="s">
        <v>3713</v>
      </c>
      <c r="F6280" t="s">
        <v>3283</v>
      </c>
      <c r="G6280">
        <v>139</v>
      </c>
      <c r="H6280">
        <v>151.1</v>
      </c>
      <c r="I6280">
        <v>151.09</v>
      </c>
      <c r="J6280">
        <v>0.01</v>
      </c>
    </row>
    <row r="6281" spans="1:10" x14ac:dyDescent="0.3">
      <c r="A6281" t="str">
        <f>HYPERLINK("https://us2.cloudbeds.com/connect/10074733072513#/reservations/30686608744649?display=YR10WAMDA&amp;reservation_id=30686608744649", "YR10WAMDA")</f>
        <v>YR10WAMDA</v>
      </c>
      <c r="B6281" t="s">
        <v>10</v>
      </c>
      <c r="C6281" t="s">
        <v>42</v>
      </c>
      <c r="D6281" t="str">
        <f>HYPERLINK("https://us2.cloudbeds.com/connect/10074733072513#/reservations/30686608744649?display=Jeff%20Plummer&amp;reservation_id=30686608744649&amp;guest_id=30684585849060", "Jeff Plummer")</f>
        <v>Jeff Plummer</v>
      </c>
      <c r="E6281" t="s">
        <v>3674</v>
      </c>
      <c r="F6281" t="s">
        <v>2928</v>
      </c>
      <c r="G6281">
        <v>139</v>
      </c>
      <c r="H6281">
        <v>151.1</v>
      </c>
      <c r="I6281">
        <v>151.09</v>
      </c>
      <c r="J6281">
        <v>0.01</v>
      </c>
    </row>
    <row r="6282" spans="1:10" x14ac:dyDescent="0.3">
      <c r="A6282" t="str">
        <f>HYPERLINK("https://us2.cloudbeds.com/connect/10074733072513#/reservations/30686630670585?display=YR11HQQDK&amp;reservation_id=30686630670585", "YR11HQQDK")</f>
        <v>YR11HQQDK</v>
      </c>
      <c r="B6282" t="s">
        <v>10</v>
      </c>
      <c r="C6282" t="s">
        <v>42</v>
      </c>
      <c r="D6282" t="str">
        <f>HYPERLINK("https://us2.cloudbeds.com/connect/10074733072513#/reservations/30686630670585?display=Caleb%20Setpanen&amp;reservation_id=30686630670585&amp;guest_id=30686616699042", "Caleb Setpanen")</f>
        <v>Caleb Setpanen</v>
      </c>
      <c r="E6282" t="s">
        <v>3716</v>
      </c>
      <c r="F6282" t="s">
        <v>2928</v>
      </c>
      <c r="G6282">
        <v>256</v>
      </c>
      <c r="H6282">
        <v>278.27999999999997</v>
      </c>
      <c r="I6282">
        <v>278.27</v>
      </c>
      <c r="J6282">
        <v>0.01</v>
      </c>
    </row>
    <row r="6283" spans="1:10" x14ac:dyDescent="0.3">
      <c r="A6283" t="str">
        <f>HYPERLINK("https://us2.cloudbeds.com/connect/10074733072513#/reservations/30685656666271?display=YR09YGMUC&amp;reservation_id=30685656666271", "YR09YGMUC")</f>
        <v>YR09YGMUC</v>
      </c>
      <c r="B6283" t="s">
        <v>10</v>
      </c>
      <c r="C6283" t="s">
        <v>42</v>
      </c>
      <c r="D6283" t="str">
        <f>HYPERLINK("https://us2.cloudbeds.com/connect/10074733072513#/reservations/30685656666271?display=Brian%20Jarvius&amp;reservation_id=30685656666271&amp;guest_id=30685656662187", "Brian Jarvius")</f>
        <v>Brian Jarvius</v>
      </c>
      <c r="E6283" t="s">
        <v>3717</v>
      </c>
      <c r="F6283" t="s">
        <v>3160</v>
      </c>
      <c r="G6283">
        <v>256</v>
      </c>
      <c r="H6283">
        <v>278.27999999999997</v>
      </c>
      <c r="I6283">
        <v>278.27</v>
      </c>
      <c r="J6283">
        <v>0.01</v>
      </c>
    </row>
    <row r="6284" spans="1:10" x14ac:dyDescent="0.3">
      <c r="A6284" t="str">
        <f>HYPERLINK("https://us2.cloudbeds.com/connect/10074733072513#/reservations/30685641248995?display=YR098GMY6&amp;reservation_id=30685641248995", "YR098GMY6")</f>
        <v>YR098GMY6</v>
      </c>
      <c r="B6284" t="s">
        <v>10</v>
      </c>
      <c r="C6284" t="s">
        <v>42</v>
      </c>
      <c r="D6284" t="str">
        <f>HYPERLINK("https://us2.cloudbeds.com/connect/10074733072513#/reservations/30685641248995?display=Anthony%20Liston&amp;reservation_id=30685641248995&amp;guest_id=30672559624411", "Anthony Liston")</f>
        <v>Anthony Liston</v>
      </c>
      <c r="E6284" t="s">
        <v>3719</v>
      </c>
      <c r="F6284" t="s">
        <v>3160</v>
      </c>
      <c r="G6284">
        <v>256</v>
      </c>
      <c r="H6284">
        <v>278.27999999999997</v>
      </c>
      <c r="I6284">
        <v>278.27</v>
      </c>
      <c r="J6284">
        <v>0.01</v>
      </c>
    </row>
    <row r="6285" spans="1:10" x14ac:dyDescent="0.3">
      <c r="A6285" t="str">
        <f>HYPERLINK("https://us2.cloudbeds.com/connect/10074733072513#/reservations/30685519048837?display=YR064F9F3&amp;reservation_id=30685519048837", "YR064F9F3")</f>
        <v>YR064F9F3</v>
      </c>
      <c r="B6285" t="s">
        <v>10</v>
      </c>
      <c r="C6285" t="s">
        <v>11</v>
      </c>
      <c r="D6285" t="str">
        <f>HYPERLINK("https://us2.cloudbeds.com/connect/10074733072513#/reservations/30685519048837?display=Mike%20Krajicek&amp;reservation_id=30685519048837&amp;guest_id=30685514662106", "Mike Krajicek")</f>
        <v>Mike Krajicek</v>
      </c>
      <c r="E6285" t="s">
        <v>3720</v>
      </c>
      <c r="F6285" t="s">
        <v>2959</v>
      </c>
      <c r="G6285">
        <v>418</v>
      </c>
      <c r="H6285">
        <v>454.38</v>
      </c>
      <c r="I6285">
        <v>454.37</v>
      </c>
      <c r="J6285">
        <v>0.01</v>
      </c>
    </row>
    <row r="6286" spans="1:10" x14ac:dyDescent="0.3">
      <c r="A6286" t="str">
        <f>HYPERLINK("https://us2.cloudbeds.com/connect/10074733072513#/reservations/30685170462973?display=YQWU7HC83&amp;reservation_id=30685170462973", "YQWU7HC83")</f>
        <v>YQWU7HC83</v>
      </c>
      <c r="B6286" t="s">
        <v>10</v>
      </c>
      <c r="C6286" t="s">
        <v>42</v>
      </c>
      <c r="D6286" t="str">
        <f>HYPERLINK("https://us2.cloudbeds.com/connect/10074733072513#/reservations/30685170462973?display=Hannah%20Anderson&amp;reservation_id=30685170462973&amp;guest_id=30685170462968", "Hannah Anderson")</f>
        <v>Hannah Anderson</v>
      </c>
      <c r="E6286" t="s">
        <v>3721</v>
      </c>
      <c r="F6286" t="s">
        <v>3283</v>
      </c>
      <c r="G6286">
        <v>378</v>
      </c>
      <c r="H6286">
        <v>410.9</v>
      </c>
      <c r="I6286">
        <v>410.89</v>
      </c>
      <c r="J6286">
        <v>0.01</v>
      </c>
    </row>
    <row r="6287" spans="1:10" x14ac:dyDescent="0.3">
      <c r="A6287" t="str">
        <f>HYPERLINK("https://us2.cloudbeds.com/connect/10074733072513#/reservations/30683259465880?display=YQVED41W9&amp;reservation_id=30683259465880", "YQVED41W9")</f>
        <v>YQVED41W9</v>
      </c>
      <c r="B6287" t="s">
        <v>10</v>
      </c>
      <c r="C6287" t="s">
        <v>17</v>
      </c>
      <c r="D6287" t="str">
        <f>HYPERLINK("https://us2.cloudbeds.com/connect/10074733072513#/reservations/30683259465880?display=Annie%20Johnson&amp;reservation_id=30683259465880&amp;guest_id=30683259465876", "Annie Johnson")</f>
        <v>Annie Johnson</v>
      </c>
      <c r="E6287" t="s">
        <v>3722</v>
      </c>
      <c r="F6287" t="s">
        <v>2788</v>
      </c>
      <c r="G6287">
        <v>149</v>
      </c>
      <c r="H6287">
        <v>161.97</v>
      </c>
      <c r="I6287">
        <v>161.96</v>
      </c>
      <c r="J6287">
        <v>0.01</v>
      </c>
    </row>
    <row r="6288" spans="1:10" x14ac:dyDescent="0.3">
      <c r="A6288" t="str">
        <f>HYPERLINK("https://us2.cloudbeds.com/connect/10074733072513#/reservations/30685332246766?display=YR01BV819&amp;reservation_id=30685332246766", "YR01BV819")</f>
        <v>YR01BV819</v>
      </c>
      <c r="B6288" t="s">
        <v>10</v>
      </c>
      <c r="C6288" t="s">
        <v>42</v>
      </c>
      <c r="D6288" t="str">
        <f>HYPERLINK("https://us2.cloudbeds.com/connect/10074733072513#/reservations/30685332246766?display=Dwayne%20Cap&amp;reservation_id=30685332246766&amp;guest_id=30685332246751", "Dwayne Cap")</f>
        <v>Dwayne Cap</v>
      </c>
      <c r="E6288" t="s">
        <v>3723</v>
      </c>
      <c r="F6288" t="s">
        <v>3272</v>
      </c>
      <c r="G6288">
        <v>149</v>
      </c>
      <c r="H6288">
        <v>161.97</v>
      </c>
      <c r="I6288">
        <v>161.96</v>
      </c>
      <c r="J6288">
        <v>0.01</v>
      </c>
    </row>
    <row r="6289" spans="1:10" x14ac:dyDescent="0.3">
      <c r="A6289" t="str">
        <f>HYPERLINK("https://us2.cloudbeds.com/connect/10074733072513#/reservations/30686687219910?display=YR12WGC5H&amp;reservation_id=30686687219910", "YR12WGC5H")</f>
        <v>YR12WGC5H</v>
      </c>
      <c r="B6289" t="s">
        <v>10</v>
      </c>
      <c r="C6289" t="s">
        <v>23</v>
      </c>
      <c r="D6289" t="str">
        <f>HYPERLINK("https://us2.cloudbeds.com/connect/10074733072513#/reservations/30686687219910?display=Mark%20Taylor&amp;reservation_id=30686687219910&amp;guest_id=30686687219908", "Mark Taylor")</f>
        <v>Mark Taylor</v>
      </c>
      <c r="E6289" t="s">
        <v>3724</v>
      </c>
      <c r="F6289" t="s">
        <v>2928</v>
      </c>
      <c r="G6289">
        <v>139</v>
      </c>
      <c r="H6289">
        <v>151.1</v>
      </c>
      <c r="I6289">
        <v>151.09</v>
      </c>
      <c r="J6289">
        <v>0.01</v>
      </c>
    </row>
    <row r="6290" spans="1:10" x14ac:dyDescent="0.3">
      <c r="A6290" t="str">
        <f>HYPERLINK("https://us2.cloudbeds.com/connect/10074733072513#/reservations/30686662594767?display=YR12BZ4X2&amp;reservation_id=30686662594767", "YR12BZ4X2")</f>
        <v>YR12BZ4X2</v>
      </c>
      <c r="B6290" t="s">
        <v>10</v>
      </c>
      <c r="C6290" t="s">
        <v>42</v>
      </c>
      <c r="D6290" t="str">
        <f>HYPERLINK("https://us2.cloudbeds.com/connect/10074733072513#/reservations/30686662594767?display=Pamela%20Davis&amp;reservation_id=30686662594767&amp;guest_id=30686656155900", "Pamela Davis")</f>
        <v>Pamela Davis</v>
      </c>
      <c r="E6290" t="s">
        <v>3725</v>
      </c>
      <c r="F6290" t="s">
        <v>2928</v>
      </c>
      <c r="G6290">
        <v>139</v>
      </c>
      <c r="H6290">
        <v>151.1</v>
      </c>
      <c r="I6290">
        <v>151.09</v>
      </c>
      <c r="J6290">
        <v>0.01</v>
      </c>
    </row>
    <row r="6291" spans="1:10" x14ac:dyDescent="0.3">
      <c r="A6291" t="str">
        <f>HYPERLINK("https://us2.cloudbeds.com/connect/10074733072513#/reservations/30683651686636?display=YQVZDS5VZ&amp;reservation_id=30683651686636", "YQVZDS5VZ")</f>
        <v>YQVZDS5VZ</v>
      </c>
      <c r="B6291" t="s">
        <v>10</v>
      </c>
      <c r="C6291" t="s">
        <v>42</v>
      </c>
      <c r="D6291" t="str">
        <f>HYPERLINK("https://us2.cloudbeds.com/connect/10074733072513#/reservations/30683651686636?display=Coutney%20Warejcka&amp;reservation_id=30683651686636&amp;guest_id=30683651686631", "Coutney Warejcka")</f>
        <v>Coutney Warejcka</v>
      </c>
      <c r="E6291" t="s">
        <v>3727</v>
      </c>
      <c r="F6291" t="s">
        <v>3475</v>
      </c>
      <c r="G6291">
        <v>143</v>
      </c>
      <c r="H6291">
        <v>155.44999999999999</v>
      </c>
      <c r="I6291">
        <v>155.44</v>
      </c>
      <c r="J6291">
        <v>0.01</v>
      </c>
    </row>
    <row r="6292" spans="1:10" x14ac:dyDescent="0.3">
      <c r="A6292" t="str">
        <f>HYPERLINK("https://us2.cloudbeds.com/connect/10074733072513#/reservations/30684764356830?display=YQWJS2SMB&amp;reservation_id=30684764356830", "YQWJS2SMB")</f>
        <v>YQWJS2SMB</v>
      </c>
      <c r="B6292" t="s">
        <v>10</v>
      </c>
      <c r="C6292" t="s">
        <v>121</v>
      </c>
      <c r="D6292" t="str">
        <f>HYPERLINK("https://us2.cloudbeds.com/connect/10074733072513#/reservations/30684764356830?display=Andrea%20Rensch&amp;reservation_id=30684764356830&amp;guest_id=30684764356825", "Andrea Rensch")</f>
        <v>Andrea Rensch</v>
      </c>
      <c r="E6292" t="s">
        <v>3729</v>
      </c>
      <c r="F6292" t="s">
        <v>3646</v>
      </c>
      <c r="G6292">
        <v>278</v>
      </c>
      <c r="H6292">
        <v>302.2</v>
      </c>
      <c r="I6292">
        <v>302.19</v>
      </c>
      <c r="J6292">
        <v>0.01</v>
      </c>
    </row>
    <row r="6293" spans="1:10" x14ac:dyDescent="0.3">
      <c r="A6293" t="str">
        <f>HYPERLINK("https://us2.cloudbeds.com/connect/10074733072513#/reservations/30684786819212?display=YQWKE0U9J&amp;reservation_id=30684786819212", "YQWKE0U9J")</f>
        <v>YQWKE0U9J</v>
      </c>
      <c r="B6293" t="s">
        <v>10</v>
      </c>
      <c r="C6293" t="s">
        <v>42</v>
      </c>
      <c r="D6293" t="str">
        <f>HYPERLINK("https://us2.cloudbeds.com/connect/10074733072513#/reservations/30684786819212?display=Angie%20Maxfield&amp;reservation_id=30684786819212&amp;guest_id=30684779491499", "Angie Maxfield")</f>
        <v>Angie Maxfield</v>
      </c>
      <c r="E6293" t="s">
        <v>3730</v>
      </c>
      <c r="F6293" t="s">
        <v>3646</v>
      </c>
      <c r="G6293">
        <v>278</v>
      </c>
      <c r="H6293">
        <v>302.2</v>
      </c>
      <c r="I6293">
        <v>302.19</v>
      </c>
      <c r="J6293">
        <v>0.01</v>
      </c>
    </row>
    <row r="6294" spans="1:10" x14ac:dyDescent="0.3">
      <c r="A6294" t="str">
        <f>HYPERLINK("https://us2.cloudbeds.com/connect/10074733072513#/reservations/30685234647181?display=YQWVSYCU3&amp;reservation_id=30685234647181", "YQWVSYCU3")</f>
        <v>YQWVSYCU3</v>
      </c>
      <c r="B6294" t="s">
        <v>10</v>
      </c>
      <c r="C6294" t="s">
        <v>42</v>
      </c>
      <c r="D6294" t="str">
        <f>HYPERLINK("https://us2.cloudbeds.com/connect/10074733072513#/reservations/30685234647181?display=James%20Buszka&amp;reservation_id=30685234647181&amp;guest_id=30685229093105", "James Buszka")</f>
        <v>James Buszka</v>
      </c>
      <c r="E6294" t="s">
        <v>3731</v>
      </c>
      <c r="F6294" t="s">
        <v>3403</v>
      </c>
      <c r="G6294">
        <v>149</v>
      </c>
      <c r="H6294">
        <v>161.97</v>
      </c>
      <c r="I6294">
        <v>161.96</v>
      </c>
      <c r="J6294">
        <v>0.01</v>
      </c>
    </row>
    <row r="6295" spans="1:10" x14ac:dyDescent="0.3">
      <c r="A6295" t="str">
        <f>HYPERLINK("https://us2.cloudbeds.com/connect/10074733072513#/reservations/30685532197116?display=YR06FX55Q&amp;reservation_id=30685532197116", "YR06FX55Q")</f>
        <v>YR06FX55Q</v>
      </c>
      <c r="B6295" t="s">
        <v>10</v>
      </c>
      <c r="C6295" t="s">
        <v>42</v>
      </c>
      <c r="D6295" t="str">
        <f>HYPERLINK("https://us2.cloudbeds.com/connect/10074733072513#/reservations/30685532197116?display=Max%20Estrada&amp;reservation_id=30685532197116&amp;guest_id=30685532197101", "Max Estrada")</f>
        <v>Max Estrada</v>
      </c>
      <c r="E6295" t="s">
        <v>3732</v>
      </c>
      <c r="F6295" t="s">
        <v>3283</v>
      </c>
      <c r="G6295">
        <v>139</v>
      </c>
      <c r="H6295">
        <v>151.1</v>
      </c>
      <c r="I6295">
        <v>151.09</v>
      </c>
      <c r="J6295">
        <v>0.01</v>
      </c>
    </row>
    <row r="6296" spans="1:10" x14ac:dyDescent="0.3">
      <c r="A6296" t="str">
        <f>HYPERLINK("https://us2.cloudbeds.com/connect/10074733072513#/reservations/30685555896537?display=YR072HKZ2&amp;reservation_id=30685555896537", "YR072HKZ2")</f>
        <v>YR072HKZ2</v>
      </c>
      <c r="B6296" t="s">
        <v>10</v>
      </c>
      <c r="C6296" t="s">
        <v>42</v>
      </c>
      <c r="D6296" t="str">
        <f>HYPERLINK("https://us2.cloudbeds.com/connect/10074733072513#/reservations/30685555896537?display=Brock%20Smith&amp;reservation_id=30685555896537&amp;guest_id=30666138878158", "Brock Smith")</f>
        <v>Brock Smith</v>
      </c>
      <c r="E6296" t="s">
        <v>3409</v>
      </c>
      <c r="F6296" t="s">
        <v>2859</v>
      </c>
      <c r="G6296">
        <v>256</v>
      </c>
      <c r="H6296">
        <v>278.27999999999997</v>
      </c>
      <c r="I6296">
        <v>278.27</v>
      </c>
      <c r="J6296">
        <v>0.01</v>
      </c>
    </row>
    <row r="6297" spans="1:10" x14ac:dyDescent="0.3">
      <c r="A6297" t="str">
        <f>HYPERLINK("https://us2.cloudbeds.com/connect/10074733072513#/reservations/30685990723741?display=YR0X66B30&amp;reservation_id=30685990723741", "YR0X66B30")</f>
        <v>YR0X66B30</v>
      </c>
      <c r="B6297" t="s">
        <v>10</v>
      </c>
      <c r="C6297" t="s">
        <v>121</v>
      </c>
      <c r="D6297" t="str">
        <f>HYPERLINK("https://us2.cloudbeds.com/connect/10074733072513#/reservations/30685990723741?display=Ryan%20Schroeder&amp;reservation_id=30685990723741&amp;guest_id=30685990723736", "Ryan Schroeder")</f>
        <v>Ryan Schroeder</v>
      </c>
      <c r="E6297" t="s">
        <v>3733</v>
      </c>
      <c r="F6297" t="s">
        <v>3701</v>
      </c>
      <c r="G6297">
        <v>159</v>
      </c>
      <c r="H6297">
        <v>172.84</v>
      </c>
      <c r="I6297">
        <v>172.83</v>
      </c>
      <c r="J6297">
        <v>0.01</v>
      </c>
    </row>
    <row r="6298" spans="1:10" x14ac:dyDescent="0.3">
      <c r="A6298" t="str">
        <f>HYPERLINK("https://us2.cloudbeds.com/connect/10074733072513#/reservations/30684120719578?display=YQW3DBNX6&amp;reservation_id=30684120719578", "YQW3DBNX6")</f>
        <v>YQW3DBNX6</v>
      </c>
      <c r="B6298" t="s">
        <v>10</v>
      </c>
      <c r="C6298" t="s">
        <v>42</v>
      </c>
      <c r="D6298" t="str">
        <f>HYPERLINK("https://us2.cloudbeds.com/connect/10074733072513#/reservations/30684120719578?display=Tim%20Kjonegaard&amp;reservation_id=30684120719578&amp;guest_id=30684120719559", "Tim Kjonegaard")</f>
        <v>Tim Kjonegaard</v>
      </c>
      <c r="E6298" t="s">
        <v>3734</v>
      </c>
      <c r="F6298" t="s">
        <v>3735</v>
      </c>
      <c r="G6298">
        <v>393.3</v>
      </c>
      <c r="H6298">
        <v>427.53</v>
      </c>
      <c r="I6298">
        <v>427.52</v>
      </c>
      <c r="J6298">
        <v>0.01</v>
      </c>
    </row>
    <row r="6299" spans="1:10" x14ac:dyDescent="0.3">
      <c r="A6299" t="str">
        <f>HYPERLINK("https://us2.cloudbeds.com/connect/10074733072513#/reservations/30685711753435?display=YR0B1VJ0C&amp;reservation_id=30685711753435", "YR0B1VJ0C")</f>
        <v>YR0B1VJ0C</v>
      </c>
      <c r="B6299" t="s">
        <v>10</v>
      </c>
      <c r="C6299" t="s">
        <v>42</v>
      </c>
      <c r="D6299" t="str">
        <f>HYPERLINK("https://us2.cloudbeds.com/connect/10074733072513#/reservations/30685711753435?display=John%20Brady&amp;reservation_id=30685711753435&amp;guest_id=30685711753424", "John Brady")</f>
        <v>John Brady</v>
      </c>
      <c r="E6299" t="s">
        <v>3736</v>
      </c>
      <c r="F6299" t="s">
        <v>3646</v>
      </c>
      <c r="G6299">
        <v>139</v>
      </c>
      <c r="H6299">
        <v>151.1</v>
      </c>
      <c r="I6299">
        <v>151.09</v>
      </c>
      <c r="J6299">
        <v>0.01</v>
      </c>
    </row>
    <row r="6300" spans="1:10" x14ac:dyDescent="0.3">
      <c r="A6300" t="str">
        <f>HYPERLINK("https://us2.cloudbeds.com/connect/10074733072513#/reservations/30685705560200?display=YR0ATZ7UJ&amp;reservation_id=30685705560200", "YR0ATZ7UJ")</f>
        <v>YR0ATZ7UJ</v>
      </c>
      <c r="B6300" t="s">
        <v>10</v>
      </c>
      <c r="C6300" t="s">
        <v>42</v>
      </c>
      <c r="D6300" t="str">
        <f>HYPERLINK("https://us2.cloudbeds.com/connect/10074733072513#/reservations/30685705560200?display=Mike%20Jacobs&amp;reservation_id=30685705560200&amp;guest_id=30684554100887", "Mike Jacobs")</f>
        <v>Mike Jacobs</v>
      </c>
      <c r="E6300" t="s">
        <v>3737</v>
      </c>
      <c r="F6300" t="s">
        <v>3646</v>
      </c>
      <c r="G6300">
        <v>139</v>
      </c>
      <c r="H6300">
        <v>151.1</v>
      </c>
      <c r="I6300">
        <v>151.09</v>
      </c>
      <c r="J6300">
        <v>0.01</v>
      </c>
    </row>
    <row r="6301" spans="1:10" x14ac:dyDescent="0.3">
      <c r="A6301" t="str">
        <f>HYPERLINK("https://us2.cloudbeds.com/connect/10074733072513#/reservations/30684747976887?display=YQWJE92DE&amp;reservation_id=30684747976887", "YQWJE92DE")</f>
        <v>YQWJE92DE</v>
      </c>
      <c r="B6301" t="s">
        <v>10</v>
      </c>
      <c r="C6301" t="s">
        <v>42</v>
      </c>
      <c r="D6301" t="str">
        <f>HYPERLINK("https://us2.cloudbeds.com/connect/10074733072513#/reservations/30684747976887?display=Matt%20Mccaskill&amp;reservation_id=30684747976887&amp;guest_id=30684747976882", "Matt Mccaskill")</f>
        <v>Matt Mccaskill</v>
      </c>
      <c r="E6301" t="s">
        <v>3742</v>
      </c>
      <c r="F6301" t="s">
        <v>3646</v>
      </c>
      <c r="G6301">
        <v>139</v>
      </c>
      <c r="H6301">
        <v>151.1</v>
      </c>
      <c r="I6301">
        <v>151.09</v>
      </c>
      <c r="J6301">
        <v>0.01</v>
      </c>
    </row>
    <row r="6302" spans="1:10" x14ac:dyDescent="0.3">
      <c r="A6302" t="str">
        <f>HYPERLINK("https://us2.cloudbeds.com/connect/10074733072513#/reservations/30685571166410?display=YR07FDHYF&amp;reservation_id=30685571166410", "YR07FDHYF")</f>
        <v>YR07FDHYF</v>
      </c>
      <c r="B6302" t="s">
        <v>10</v>
      </c>
      <c r="C6302" t="s">
        <v>42</v>
      </c>
      <c r="D6302" t="str">
        <f>HYPERLINK("https://us2.cloudbeds.com/connect/10074733072513#/reservations/30685571166410?display=Mike%20Jacobs&amp;reservation_id=30685571166410&amp;guest_id=30684554100887", "Mike Jacobs")</f>
        <v>Mike Jacobs</v>
      </c>
      <c r="E6302" t="s">
        <v>3737</v>
      </c>
      <c r="F6302" t="s">
        <v>3160</v>
      </c>
      <c r="G6302">
        <v>139</v>
      </c>
      <c r="H6302">
        <v>151.1</v>
      </c>
      <c r="I6302">
        <v>151.09</v>
      </c>
      <c r="J6302">
        <v>0.01</v>
      </c>
    </row>
    <row r="6303" spans="1:10" x14ac:dyDescent="0.3">
      <c r="A6303" t="str">
        <f>HYPERLINK("https://us2.cloudbeds.com/connect/10074733072513#/reservations/30685590315154?display=YR07VXCEF&amp;reservation_id=30685590315154", "YR07VXCEF")</f>
        <v>YR07VXCEF</v>
      </c>
      <c r="B6303" t="s">
        <v>10</v>
      </c>
      <c r="C6303" t="s">
        <v>11</v>
      </c>
      <c r="D6303" t="str">
        <f>HYPERLINK("https://us2.cloudbeds.com/connect/10074733072513#/reservations/30685590315154?display=Doug%20Larson&amp;reservation_id=30685590315154&amp;guest_id=30676417040518", "Doug Larson")</f>
        <v>Doug Larson</v>
      </c>
      <c r="E6303" t="s">
        <v>2955</v>
      </c>
      <c r="F6303" t="s">
        <v>3160</v>
      </c>
      <c r="G6303">
        <v>87.84</v>
      </c>
      <c r="H6303">
        <v>95.49</v>
      </c>
      <c r="I6303">
        <v>95.48</v>
      </c>
      <c r="J6303">
        <v>0.01</v>
      </c>
    </row>
    <row r="6304" spans="1:10" x14ac:dyDescent="0.3">
      <c r="A6304" t="str">
        <f>HYPERLINK("https://us2.cloudbeds.com/connect/10074733072513#/reservations/30685543649518?display=YR06P6RK9&amp;reservation_id=30685543649518", "YR06P6RK9")</f>
        <v>YR06P6RK9</v>
      </c>
      <c r="B6304" t="s">
        <v>10</v>
      </c>
      <c r="C6304" t="s">
        <v>42</v>
      </c>
      <c r="D6304" t="str">
        <f>HYPERLINK("https://us2.cloudbeds.com/connect/10074733072513#/reservations/30685543649518?display=Nathaniel%20Wimmer&amp;reservation_id=30685543649518&amp;guest_id=30685543649516", "Nathaniel Wimmer")</f>
        <v>Nathaniel Wimmer</v>
      </c>
      <c r="E6304" t="s">
        <v>3745</v>
      </c>
      <c r="F6304" t="s">
        <v>3283</v>
      </c>
      <c r="G6304">
        <v>149</v>
      </c>
      <c r="H6304">
        <v>161.97</v>
      </c>
      <c r="I6304">
        <v>161.96</v>
      </c>
      <c r="J6304">
        <v>0.01</v>
      </c>
    </row>
    <row r="6305" spans="1:10" x14ac:dyDescent="0.3">
      <c r="A6305" t="str">
        <f>HYPERLINK("https://us2.cloudbeds.com/connect/10074733072513#/reservations/30685625913477?display=YR08SXVEH&amp;reservation_id=30685625913477", "YR08SXVEH")</f>
        <v>YR08SXVEH</v>
      </c>
      <c r="B6305" t="s">
        <v>10</v>
      </c>
      <c r="C6305" t="s">
        <v>42</v>
      </c>
      <c r="D6305" t="str">
        <f>HYPERLINK("https://us2.cloudbeds.com/connect/10074733072513#/reservations/30685625913477?display=Jo%20Niles&amp;reservation_id=30685625913477&amp;guest_id=30685625913475", "Jo Niles")</f>
        <v>Jo Niles</v>
      </c>
      <c r="E6305" t="s">
        <v>3746</v>
      </c>
      <c r="F6305" t="s">
        <v>3196</v>
      </c>
      <c r="G6305">
        <v>321.3</v>
      </c>
      <c r="H6305">
        <v>349.26</v>
      </c>
      <c r="I6305">
        <v>349.25</v>
      </c>
      <c r="J6305">
        <v>0.01</v>
      </c>
    </row>
    <row r="6306" spans="1:10" x14ac:dyDescent="0.3">
      <c r="A6306" t="str">
        <f>HYPERLINK("https://us2.cloudbeds.com/connect/10074733072513#/reservations/30685600084168?display=YR086Q726&amp;reservation_id=30685600084168", "YR086Q726")</f>
        <v>YR086Q726</v>
      </c>
      <c r="B6306" t="s">
        <v>10</v>
      </c>
      <c r="C6306" t="s">
        <v>23</v>
      </c>
      <c r="D6306" t="str">
        <f>HYPERLINK("https://us2.cloudbeds.com/connect/10074733072513#/reservations/30685600084168?display=Allen%20Terry&amp;reservation_id=30685600084168&amp;guest_id=30685600080075", "Allen Terry")</f>
        <v>Allen Terry</v>
      </c>
      <c r="E6306" t="s">
        <v>3747</v>
      </c>
      <c r="F6306" t="s">
        <v>3160</v>
      </c>
      <c r="G6306">
        <v>169</v>
      </c>
      <c r="H6306">
        <v>183.71</v>
      </c>
      <c r="I6306">
        <v>183.7</v>
      </c>
      <c r="J6306">
        <v>0.01</v>
      </c>
    </row>
    <row r="6307" spans="1:10" x14ac:dyDescent="0.3">
      <c r="A6307" t="str">
        <f>HYPERLINK("https://us2.cloudbeds.com/connect/10074733072513#/reservations/30685494563049?display=YR05GQUQH&amp;reservation_id=30685494563049", "YR05GQUQH")</f>
        <v>YR05GQUQH</v>
      </c>
      <c r="B6307" t="s">
        <v>10</v>
      </c>
      <c r="C6307" t="s">
        <v>42</v>
      </c>
      <c r="D6307" t="str">
        <f>HYPERLINK("https://us2.cloudbeds.com/connect/10074733072513#/reservations/30685494563049?display=Rella%20Botha&amp;reservation_id=30685494563049&amp;guest_id=30671959457942", "Rella Botha")</f>
        <v>Rella Botha</v>
      </c>
      <c r="E6307" t="s">
        <v>3748</v>
      </c>
      <c r="F6307" t="s">
        <v>3283</v>
      </c>
      <c r="G6307">
        <v>139</v>
      </c>
      <c r="H6307">
        <v>151.1</v>
      </c>
      <c r="I6307">
        <v>151.09</v>
      </c>
      <c r="J6307">
        <v>0.01</v>
      </c>
    </row>
    <row r="6308" spans="1:10" x14ac:dyDescent="0.3">
      <c r="A6308" t="str">
        <f>HYPERLINK("https://us2.cloudbeds.com/connect/10074733072513#/reservations/30685577326754?display=YR07KJVHJ&amp;reservation_id=30685577326754", "YR07KJVHJ")</f>
        <v>YR07KJVHJ</v>
      </c>
      <c r="B6308" t="s">
        <v>10</v>
      </c>
      <c r="C6308" t="s">
        <v>121</v>
      </c>
      <c r="D6308" t="str">
        <f>HYPERLINK("https://us2.cloudbeds.com/connect/10074733072513#/reservations/30685577326754?display=Emily%20Jolley&amp;reservation_id=30685577326754&amp;guest_id=30685577322669", "Emily Jolley")</f>
        <v>Emily Jolley</v>
      </c>
      <c r="E6308" t="s">
        <v>3749</v>
      </c>
      <c r="F6308" t="s">
        <v>3160</v>
      </c>
      <c r="G6308">
        <v>139</v>
      </c>
      <c r="H6308">
        <v>151.1</v>
      </c>
      <c r="I6308">
        <v>151.09</v>
      </c>
      <c r="J6308">
        <v>0.01</v>
      </c>
    </row>
    <row r="6309" spans="1:10" x14ac:dyDescent="0.3">
      <c r="A6309" t="str">
        <f>HYPERLINK("https://us2.cloudbeds.com/connect/10074733072513#/reservations/30682919813262?display=YQV5NNNUN&amp;reservation_id=30682919813262", "YQV5NNNUN")</f>
        <v>YQV5NNNUN</v>
      </c>
      <c r="B6309" t="s">
        <v>10</v>
      </c>
      <c r="C6309" t="s">
        <v>42</v>
      </c>
      <c r="D6309" t="str">
        <f>HYPERLINK("https://us2.cloudbeds.com/connect/10074733072513#/reservations/30682919813262?display=Shannon%20Daffern&amp;reservation_id=30682919813262&amp;guest_id=30682913382647", "Shannon Daffern")</f>
        <v>Shannon Daffern</v>
      </c>
      <c r="E6309" t="s">
        <v>3750</v>
      </c>
      <c r="F6309" t="s">
        <v>3332</v>
      </c>
      <c r="G6309">
        <v>347</v>
      </c>
      <c r="H6309">
        <v>377.2</v>
      </c>
      <c r="I6309">
        <v>377.19</v>
      </c>
      <c r="J6309">
        <v>0.01</v>
      </c>
    </row>
    <row r="6310" spans="1:10" x14ac:dyDescent="0.3">
      <c r="A6310" t="str">
        <f>HYPERLINK("https://us2.cloudbeds.com/connect/10074733072513#/reservations/30685284888792?display=YR0050EF5&amp;reservation_id=30685284888792", "YR0050EF5")</f>
        <v>YR0050EF5</v>
      </c>
      <c r="B6310" t="s">
        <v>10</v>
      </c>
      <c r="C6310" t="s">
        <v>17</v>
      </c>
      <c r="D6310" t="str">
        <f>HYPERLINK("https://us2.cloudbeds.com/connect/10074733072513#/reservations/30685284888792?display=Amanda%20Labarge&amp;reservation_id=30685284888792&amp;guest_id=30685284888789", "Amanda Labarge")</f>
        <v>Amanda Labarge</v>
      </c>
      <c r="E6310" t="s">
        <v>3751</v>
      </c>
      <c r="F6310" t="s">
        <v>3741</v>
      </c>
      <c r="G6310">
        <v>139</v>
      </c>
      <c r="H6310">
        <v>151.1</v>
      </c>
      <c r="I6310">
        <v>151.09</v>
      </c>
      <c r="J6310">
        <v>0.01</v>
      </c>
    </row>
    <row r="6311" spans="1:10" x14ac:dyDescent="0.3">
      <c r="A6311" t="str">
        <f>HYPERLINK("https://us2.cloudbeds.com/connect/10074733072513#/reservations/30686426988720?display=YR0TB21NT&amp;reservation_id=30686426988720", "YR0TB21NT")</f>
        <v>YR0TB21NT</v>
      </c>
      <c r="B6311" t="s">
        <v>10</v>
      </c>
      <c r="C6311" t="s">
        <v>23</v>
      </c>
      <c r="D6311" t="str">
        <f>HYPERLINK("https://us2.cloudbeds.com/connect/10074733072513#/reservations/30686426988720?display=Kyle%20Rohrbach&amp;reservation_id=30686426988720&amp;guest_id=30686415138969", "Kyle Rohrbach")</f>
        <v>Kyle Rohrbach</v>
      </c>
      <c r="E6311" t="s">
        <v>3752</v>
      </c>
      <c r="F6311" t="s">
        <v>3739</v>
      </c>
      <c r="G6311">
        <v>139</v>
      </c>
      <c r="H6311">
        <v>151.1</v>
      </c>
      <c r="I6311">
        <v>151.09</v>
      </c>
      <c r="J6311">
        <v>0.01</v>
      </c>
    </row>
    <row r="6312" spans="1:10" x14ac:dyDescent="0.3">
      <c r="A6312" t="str">
        <f>HYPERLINK("https://us2.cloudbeds.com/connect/10074733072513#/reservations/30685352054958?display=YR01SYECH&amp;reservation_id=30685352054958", "YR01SYECH")</f>
        <v>YR01SYECH</v>
      </c>
      <c r="B6312" t="s">
        <v>10</v>
      </c>
      <c r="C6312" t="s">
        <v>20</v>
      </c>
      <c r="D6312" t="str">
        <f>HYPERLINK("https://us2.cloudbeds.com/connect/10074733072513#/reservations/30685352054958?display=Kelly%20Nokes&amp;reservation_id=30685352054958&amp;guest_id=30685345239255", "Kelly Nokes")</f>
        <v>Kelly Nokes</v>
      </c>
      <c r="E6312" t="s">
        <v>3755</v>
      </c>
      <c r="F6312" t="s">
        <v>2581</v>
      </c>
      <c r="G6312">
        <v>169</v>
      </c>
      <c r="H6312">
        <v>183.71</v>
      </c>
      <c r="I6312">
        <v>183.7</v>
      </c>
      <c r="J6312">
        <v>0.01</v>
      </c>
    </row>
    <row r="6313" spans="1:10" x14ac:dyDescent="0.3">
      <c r="A6313" t="str">
        <f>HYPERLINK("https://us2.cloudbeds.com/connect/10074733072513#/reservations/30681801253008?display=YQUA4H4HE&amp;reservation_id=30681801253008", "YQUA4H4HE")</f>
        <v>YQUA4H4HE</v>
      </c>
      <c r="B6313" t="s">
        <v>10</v>
      </c>
      <c r="C6313" t="s">
        <v>23</v>
      </c>
      <c r="D6313" t="str">
        <f>HYPERLINK("https://us2.cloudbeds.com/connect/10074733072513#/reservations/30681801253008?display=Laura%20Hamacher&amp;reservation_id=30681801253008&amp;guest_id=30681801248917", "Laura Hamacher")</f>
        <v>Laura Hamacher</v>
      </c>
      <c r="E6313" t="s">
        <v>3756</v>
      </c>
      <c r="F6313" t="s">
        <v>3757</v>
      </c>
      <c r="G6313">
        <v>149</v>
      </c>
      <c r="H6313">
        <v>161.97</v>
      </c>
      <c r="I6313">
        <v>161.96</v>
      </c>
      <c r="J6313">
        <v>0.01</v>
      </c>
    </row>
    <row r="6314" spans="1:10" x14ac:dyDescent="0.3">
      <c r="A6314" t="str">
        <f>HYPERLINK("https://us2.cloudbeds.com/connect/10074733072513#/reservations/30685183541493?display=YQWUXX9TT&amp;reservation_id=30685183541493", "YQWUXX9TT")</f>
        <v>YQWUXX9TT</v>
      </c>
      <c r="B6314" t="s">
        <v>10</v>
      </c>
      <c r="C6314" t="s">
        <v>23</v>
      </c>
      <c r="D6314" t="str">
        <f>HYPERLINK("https://us2.cloudbeds.com/connect/10074733072513#/reservations/30685183541493?display=William%20Kline&amp;reservation_id=30685183541493&amp;guest_id=30685183541491", "William Kline")</f>
        <v>William Kline</v>
      </c>
      <c r="E6314" t="s">
        <v>3758</v>
      </c>
      <c r="F6314" t="s">
        <v>3283</v>
      </c>
      <c r="G6314">
        <v>169</v>
      </c>
      <c r="H6314">
        <v>183.71</v>
      </c>
      <c r="I6314">
        <v>183.7</v>
      </c>
      <c r="J6314">
        <v>0.01</v>
      </c>
    </row>
    <row r="6315" spans="1:10" x14ac:dyDescent="0.3">
      <c r="A6315" t="str">
        <f>HYPERLINK("https://us2.cloudbeds.com/connect/10074733072513#/reservations/30681448444083?display=YQU140NCT&amp;reservation_id=30681448444083", "YQU140NCT")</f>
        <v>YQU140NCT</v>
      </c>
      <c r="B6315" t="s">
        <v>10</v>
      </c>
      <c r="C6315" t="s">
        <v>42</v>
      </c>
      <c r="D6315" t="str">
        <f>HYPERLINK("https://us2.cloudbeds.com/connect/10074733072513#/reservations/30681448444083?display=Steve%20Kraushaar&amp;reservation_id=30681448444083&amp;guest_id=30681442214107", "Steve Kraushaar")</f>
        <v>Steve Kraushaar</v>
      </c>
      <c r="E6315" t="s">
        <v>3759</v>
      </c>
      <c r="F6315" t="s">
        <v>3760</v>
      </c>
      <c r="G6315">
        <v>258</v>
      </c>
      <c r="H6315">
        <v>280.45999999999998</v>
      </c>
      <c r="I6315">
        <v>280.45</v>
      </c>
      <c r="J6315">
        <v>0.01</v>
      </c>
    </row>
    <row r="6316" spans="1:10" x14ac:dyDescent="0.3">
      <c r="A6316" t="str">
        <f>HYPERLINK("https://us2.cloudbeds.com/connect/10074733072513#/reservations/30684706533572?display=YQWXCAS3D&amp;reservation_id=30684706533572", "YQWXCAS3D")</f>
        <v>YQWXCAS3D</v>
      </c>
      <c r="B6316" t="s">
        <v>10</v>
      </c>
      <c r="C6316" t="s">
        <v>23</v>
      </c>
      <c r="D6316" t="str">
        <f>HYPERLINK("https://us2.cloudbeds.com/connect/10074733072513#/reservations/30684706533572?display=Madison%20Trabing&amp;reservation_id=30684706533572&amp;guest_id=30684706533570", "Madison Trabing")</f>
        <v>Madison Trabing</v>
      </c>
      <c r="E6316" t="s">
        <v>3763</v>
      </c>
      <c r="F6316" t="s">
        <v>3196</v>
      </c>
      <c r="G6316">
        <v>169</v>
      </c>
      <c r="H6316">
        <v>183.71</v>
      </c>
      <c r="I6316">
        <v>183.7</v>
      </c>
      <c r="J6316">
        <v>0.01</v>
      </c>
    </row>
    <row r="6317" spans="1:10" x14ac:dyDescent="0.3">
      <c r="A6317" t="str">
        <f>HYPERLINK("https://us2.cloudbeds.com/connect/10074733072513#/reservations/30685006074070?display=YQWQ0U086&amp;reservation_id=30685006074070", "YQWQ0U086")</f>
        <v>YQWQ0U086</v>
      </c>
      <c r="B6317" t="s">
        <v>10</v>
      </c>
      <c r="C6317" t="s">
        <v>42</v>
      </c>
      <c r="D6317" t="str">
        <f>HYPERLINK("https://us2.cloudbeds.com/connect/10074733072513#/reservations/30685006074070?display=Brian%20Lee&amp;reservation_id=30685006074070&amp;guest_id=30681785213128", "Brian Lee")</f>
        <v>Brian Lee</v>
      </c>
      <c r="E6317" t="s">
        <v>3766</v>
      </c>
      <c r="F6317" t="s">
        <v>3739</v>
      </c>
      <c r="G6317">
        <v>79</v>
      </c>
      <c r="H6317">
        <v>85.88</v>
      </c>
      <c r="I6317">
        <v>85.87</v>
      </c>
      <c r="J6317">
        <v>0.01</v>
      </c>
    </row>
    <row r="6318" spans="1:10" x14ac:dyDescent="0.3">
      <c r="A6318" t="str">
        <f>HYPERLINK("https://us2.cloudbeds.com/connect/10074733072513#/reservations/30683677364444?display=YQVP2GN74&amp;reservation_id=30683677364444", "YQVP2GN74")</f>
        <v>YQVP2GN74</v>
      </c>
      <c r="B6318" t="s">
        <v>10</v>
      </c>
      <c r="C6318" t="s">
        <v>11</v>
      </c>
      <c r="D6318" t="str">
        <f>HYPERLINK("https://us2.cloudbeds.com/connect/10074733072513#/reservations/30683677364444?display=Christi%20Banner&amp;reservation_id=30683677364444&amp;guest_id=30683677364440", "Christi Banner")</f>
        <v>Christi Banner</v>
      </c>
      <c r="E6318" t="s">
        <v>3767</v>
      </c>
      <c r="F6318" t="s">
        <v>3123</v>
      </c>
      <c r="G6318">
        <v>338</v>
      </c>
      <c r="H6318">
        <v>367.42</v>
      </c>
      <c r="I6318">
        <v>367.41</v>
      </c>
      <c r="J6318">
        <v>0.01</v>
      </c>
    </row>
    <row r="6319" spans="1:10" x14ac:dyDescent="0.3">
      <c r="A6319" t="str">
        <f>HYPERLINK("https://us2.cloudbeds.com/connect/10074733072513#/reservations/30684739424472?display=YQWJ722VB&amp;reservation_id=30684739424472", "YQWJ722VB")</f>
        <v>YQWJ722VB</v>
      </c>
      <c r="B6319" t="s">
        <v>10</v>
      </c>
      <c r="C6319" t="s">
        <v>20</v>
      </c>
      <c r="D6319" t="str">
        <f>HYPERLINK("https://us2.cloudbeds.com/connect/10074733072513#/reservations/30684739424472?display=James%20Brandt&amp;reservation_id=30684739424472&amp;guest_id=30684739424466", "James Brandt")</f>
        <v>James Brandt</v>
      </c>
      <c r="E6319" t="s">
        <v>3768</v>
      </c>
      <c r="F6319" t="s">
        <v>3196</v>
      </c>
      <c r="G6319">
        <v>322.2</v>
      </c>
      <c r="H6319">
        <v>350.24</v>
      </c>
      <c r="I6319">
        <v>350.23</v>
      </c>
      <c r="J6319">
        <v>0.01</v>
      </c>
    </row>
    <row r="6320" spans="1:10" x14ac:dyDescent="0.3">
      <c r="A6320" t="str">
        <f>HYPERLINK("https://us2.cloudbeds.com/connect/10074733072513#/reservations/30685363720342?display=YR025G1D0&amp;reservation_id=30685363720342", "YR025G1D0")</f>
        <v>YR025G1D0</v>
      </c>
      <c r="B6320" t="s">
        <v>10</v>
      </c>
      <c r="C6320" t="s">
        <v>121</v>
      </c>
      <c r="D6320" t="str">
        <f>HYPERLINK("https://us2.cloudbeds.com/connect/10074733072513#/reservations/30685363720342?display=Nikolas%20Worth&amp;reservation_id=30685363720342&amp;guest_id=30685363716249", "Nikolas Worth")</f>
        <v>Nikolas Worth</v>
      </c>
      <c r="E6320" t="s">
        <v>3769</v>
      </c>
      <c r="F6320" t="s">
        <v>3657</v>
      </c>
      <c r="G6320">
        <v>448</v>
      </c>
      <c r="H6320">
        <v>486.99</v>
      </c>
      <c r="I6320">
        <v>486.98</v>
      </c>
      <c r="J6320">
        <v>0.01</v>
      </c>
    </row>
    <row r="6321" spans="1:10" x14ac:dyDescent="0.3">
      <c r="A6321" t="str">
        <f>HYPERLINK("https://us2.cloudbeds.com/connect/10074733072513#/reservations/30685450440878?display=YR04CK5J0&amp;reservation_id=30685450440878", "YR04CK5J0")</f>
        <v>YR04CK5J0</v>
      </c>
      <c r="B6321" t="s">
        <v>10</v>
      </c>
      <c r="C6321" t="s">
        <v>42</v>
      </c>
      <c r="D6321" t="str">
        <f>HYPERLINK("https://us2.cloudbeds.com/connect/10074733072513#/reservations/30685450440878?display=Austin%20Clausen&amp;reservation_id=30685450440878&amp;guest_id=30685444227285", "Austin Clausen")</f>
        <v>Austin Clausen</v>
      </c>
      <c r="E6321" t="s">
        <v>3770</v>
      </c>
      <c r="F6321" t="s">
        <v>2635</v>
      </c>
      <c r="G6321">
        <v>129</v>
      </c>
      <c r="H6321">
        <v>140.22999999999999</v>
      </c>
      <c r="I6321">
        <v>140.22</v>
      </c>
      <c r="J6321">
        <v>0.01</v>
      </c>
    </row>
    <row r="6322" spans="1:10" x14ac:dyDescent="0.3">
      <c r="A6322" t="str">
        <f>HYPERLINK("https://us2.cloudbeds.com/connect/10074733072513#/reservations/30685242523867?display=YQWW29XSX&amp;reservation_id=30685242523867", "YQWW29XSX")</f>
        <v>YQWW29XSX</v>
      </c>
      <c r="B6322" t="s">
        <v>10</v>
      </c>
      <c r="C6322" t="s">
        <v>42</v>
      </c>
      <c r="D6322" t="str">
        <f>HYPERLINK("https://us2.cloudbeds.com/connect/10074733072513#/reservations/30685242523867?display=Jason%20Wolf&amp;reservation_id=30685242523867&amp;guest_id=30685234651274", "Jason Wolf")</f>
        <v>Jason Wolf</v>
      </c>
      <c r="E6322" t="s">
        <v>3771</v>
      </c>
      <c r="F6322" t="s">
        <v>3403</v>
      </c>
      <c r="G6322">
        <v>149</v>
      </c>
      <c r="H6322">
        <v>161.97</v>
      </c>
      <c r="I6322">
        <v>161.96</v>
      </c>
      <c r="J6322">
        <v>0.01</v>
      </c>
    </row>
    <row r="6323" spans="1:10" x14ac:dyDescent="0.3">
      <c r="A6323" t="str">
        <f>HYPERLINK("https://us2.cloudbeds.com/connect/10074733072513#/reservations/30682142585053?display=YQUXSB6ZZ&amp;reservation_id=30682142585053", "YQUXSB6ZZ")</f>
        <v>YQUXSB6ZZ</v>
      </c>
      <c r="B6323" t="s">
        <v>10</v>
      </c>
      <c r="C6323" t="s">
        <v>42</v>
      </c>
      <c r="D6323" t="str">
        <f>HYPERLINK("https://us2.cloudbeds.com/connect/10074733072513#/reservations/30682142585053?display=Jessica%20Voelker&amp;reservation_id=30682142585053&amp;guest_id=30682142585051", "Jessica Voelker")</f>
        <v>Jessica Voelker</v>
      </c>
      <c r="E6323" t="s">
        <v>3773</v>
      </c>
      <c r="F6323" t="s">
        <v>3774</v>
      </c>
      <c r="G6323">
        <v>129</v>
      </c>
      <c r="H6323">
        <v>140.22999999999999</v>
      </c>
      <c r="I6323">
        <v>140.22</v>
      </c>
      <c r="J6323">
        <v>0.01</v>
      </c>
    </row>
    <row r="6324" spans="1:10" x14ac:dyDescent="0.3">
      <c r="A6324" t="str">
        <f>HYPERLINK("https://us2.cloudbeds.com/connect/10074733072513#/reservations/30684965458146?display=YQWZWYQNK&amp;reservation_id=30684965458146", "YQWZWYQNK")</f>
        <v>YQWZWYQNK</v>
      </c>
      <c r="B6324" t="s">
        <v>10</v>
      </c>
      <c r="C6324" t="s">
        <v>23</v>
      </c>
      <c r="D6324" t="str">
        <f>HYPERLINK("https://us2.cloudbeds.com/connect/10074733072513#/reservations/30684965458146?display=Bryce%20Niemeyer&amp;reservation_id=30684965458146&amp;guest_id=30684965454061", "Bryce Niemeyer")</f>
        <v>Bryce Niemeyer</v>
      </c>
      <c r="E6324" t="s">
        <v>3775</v>
      </c>
      <c r="F6324" t="s">
        <v>3762</v>
      </c>
      <c r="G6324">
        <v>129</v>
      </c>
      <c r="H6324">
        <v>140.22999999999999</v>
      </c>
      <c r="I6324">
        <v>140.22</v>
      </c>
      <c r="J6324">
        <v>0.01</v>
      </c>
    </row>
    <row r="6325" spans="1:10" x14ac:dyDescent="0.3">
      <c r="A6325" t="str">
        <f>HYPERLINK("https://us2.cloudbeds.com/connect/10074733072513#/reservations/30685339185284?display=YR01HQAGD&amp;reservation_id=30685339185284", "YR01HQAGD")</f>
        <v>YR01HQAGD</v>
      </c>
      <c r="B6325" t="s">
        <v>10</v>
      </c>
      <c r="C6325" t="s">
        <v>42</v>
      </c>
      <c r="D6325" t="str">
        <f>HYPERLINK("https://us2.cloudbeds.com/connect/10074733072513#/reservations/30685339185284?display=Kathy%20Hornstra&amp;reservation_id=30685339185284&amp;guest_id=30685339181247", "Kathy Hornstra")</f>
        <v>Kathy Hornstra</v>
      </c>
      <c r="E6325" t="s">
        <v>3776</v>
      </c>
      <c r="F6325" t="s">
        <v>3272</v>
      </c>
      <c r="G6325">
        <v>109</v>
      </c>
      <c r="H6325">
        <v>118.49</v>
      </c>
      <c r="I6325">
        <v>118.48</v>
      </c>
      <c r="J6325">
        <v>0.01</v>
      </c>
    </row>
    <row r="6326" spans="1:10" x14ac:dyDescent="0.3">
      <c r="A6326" t="str">
        <f>HYPERLINK("https://us2.cloudbeds.com/connect/10074733072513#/reservations/30685294907595?display=YR00DF7F8&amp;reservation_id=30685294907595", "YR00DF7F8")</f>
        <v>YR00DF7F8</v>
      </c>
      <c r="B6326" t="s">
        <v>10</v>
      </c>
      <c r="C6326" t="s">
        <v>14</v>
      </c>
      <c r="D6326" t="str">
        <f>HYPERLINK("https://us2.cloudbeds.com/connect/10074733072513#/reservations/30685294907595?display=Timothy%20Motherway&amp;reservation_id=30685294907595&amp;guest_id=30685294907589", "Timothy Motherway")</f>
        <v>Timothy Motherway</v>
      </c>
      <c r="E6326" t="s">
        <v>3777</v>
      </c>
      <c r="F6326" t="s">
        <v>3741</v>
      </c>
      <c r="G6326">
        <v>214.13</v>
      </c>
      <c r="H6326">
        <v>232.77</v>
      </c>
      <c r="I6326">
        <v>232.76</v>
      </c>
      <c r="J6326">
        <v>0.01</v>
      </c>
    </row>
    <row r="6327" spans="1:10" x14ac:dyDescent="0.3">
      <c r="A6327" t="str">
        <f>HYPERLINK("https://us2.cloudbeds.com/connect/10074733072513#/reservations/30685481803944?display=YR0561TEW&amp;reservation_id=30685481803944", "YR0561TEW")</f>
        <v>YR0561TEW</v>
      </c>
      <c r="B6327" t="s">
        <v>10</v>
      </c>
      <c r="C6327" t="s">
        <v>42</v>
      </c>
      <c r="D6327" t="str">
        <f>HYPERLINK("https://us2.cloudbeds.com/connect/10074733072513#/reservations/30685481803944?display=Debra%20Offenbacher%20Merry&amp;reservation_id=30685481803944&amp;guest_id=30685469528218", "Debra Offenbacher Merry")</f>
        <v>Debra Offenbacher Merry</v>
      </c>
      <c r="E6327" t="s">
        <v>3778</v>
      </c>
      <c r="F6327" t="s">
        <v>3762</v>
      </c>
      <c r="G6327">
        <v>99</v>
      </c>
      <c r="H6327">
        <v>107.62</v>
      </c>
      <c r="I6327">
        <v>107.61</v>
      </c>
      <c r="J6327">
        <v>0.01</v>
      </c>
    </row>
    <row r="6328" spans="1:10" x14ac:dyDescent="0.3">
      <c r="A6328" t="str">
        <f>HYPERLINK("https://us2.cloudbeds.com/connect/10074733072513#/reservations/30685484023950?display=YR057UM0T&amp;reservation_id=30685484023950", "YR057UM0T")</f>
        <v>YR057UM0T</v>
      </c>
      <c r="B6328" t="s">
        <v>10</v>
      </c>
      <c r="C6328" t="s">
        <v>42</v>
      </c>
      <c r="D6328" t="str">
        <f>HYPERLINK("https://us2.cloudbeds.com/connect/10074733072513#/reservations/30685484023950?display=Debra%20Offenbacher%20Ledet,%20Ronnie&amp;reservation_id=30685484023950&amp;guest_id=30685484023948", "Debra Offenbacher Ledet, Ronnie")</f>
        <v>Debra Offenbacher Ledet, Ronnie</v>
      </c>
      <c r="E6328" t="s">
        <v>3778</v>
      </c>
      <c r="F6328" t="s">
        <v>3762</v>
      </c>
      <c r="G6328">
        <v>99</v>
      </c>
      <c r="H6328">
        <v>107.62</v>
      </c>
      <c r="I6328">
        <v>107.61</v>
      </c>
      <c r="J6328">
        <v>0.01</v>
      </c>
    </row>
    <row r="6329" spans="1:10" x14ac:dyDescent="0.3">
      <c r="A6329" t="str">
        <f>HYPERLINK("https://us2.cloudbeds.com/connect/10074733072513#/reservations/30685268562069?display=YQWWZ841W&amp;reservation_id=30685268562069", "YQWWZ841W")</f>
        <v>YQWWZ841W</v>
      </c>
      <c r="B6329" t="s">
        <v>10</v>
      </c>
      <c r="C6329" t="s">
        <v>23</v>
      </c>
      <c r="D6329" t="str">
        <f>HYPERLINK("https://us2.cloudbeds.com/connect/10074733072513#/reservations/30685268562069?display=Grant%20Straughn&amp;reservation_id=30685268562069&amp;guest_id=30685268562065", "Grant Straughn")</f>
        <v>Grant Straughn</v>
      </c>
      <c r="E6329" t="s">
        <v>3779</v>
      </c>
      <c r="F6329" t="s">
        <v>3403</v>
      </c>
      <c r="G6329">
        <v>358</v>
      </c>
      <c r="H6329">
        <v>389.16</v>
      </c>
      <c r="I6329">
        <v>389.15</v>
      </c>
      <c r="J6329">
        <v>0.01</v>
      </c>
    </row>
    <row r="6330" spans="1:10" x14ac:dyDescent="0.3">
      <c r="A6330" t="str">
        <f>HYPERLINK("https://us2.cloudbeds.com/connect/10074733072513#/reservations/30685484028033?display=YR057UPPK&amp;reservation_id=30685484028033", "YR057UPPK")</f>
        <v>YR057UPPK</v>
      </c>
      <c r="B6330" t="s">
        <v>10</v>
      </c>
      <c r="C6330" t="s">
        <v>121</v>
      </c>
      <c r="D6330" t="str">
        <f>HYPERLINK("https://us2.cloudbeds.com/connect/10074733072513#/reservations/30685484028033?display=Stephen%20Hugunin&amp;reservation_id=30685484028033&amp;guest_id=30685484023945", "Stephen Hugunin")</f>
        <v>Stephen Hugunin</v>
      </c>
      <c r="E6330" t="s">
        <v>3338</v>
      </c>
      <c r="F6330" t="s">
        <v>3780</v>
      </c>
      <c r="G6330">
        <v>192</v>
      </c>
      <c r="H6330">
        <v>208.71</v>
      </c>
      <c r="I6330">
        <v>208.7</v>
      </c>
      <c r="J6330">
        <v>0.01</v>
      </c>
    </row>
    <row r="6331" spans="1:10" x14ac:dyDescent="0.3">
      <c r="A6331" t="str">
        <f>HYPERLINK("https://us2.cloudbeds.com/connect/10074733072513#/reservations/30685253476568?display=YQWWBHBEJ&amp;reservation_id=30685253476568", "YQWWBHBEJ")</f>
        <v>YQWWBHBEJ</v>
      </c>
      <c r="B6331" t="s">
        <v>10</v>
      </c>
      <c r="C6331" t="s">
        <v>42</v>
      </c>
      <c r="D6331" t="str">
        <f>HYPERLINK("https://us2.cloudbeds.com/connect/10074733072513#/reservations/30685253476568?display=Shawn%20Hill&amp;reservation_id=30685253476568&amp;guest_id=30654184681678", "Shawn Hill")</f>
        <v>Shawn Hill</v>
      </c>
      <c r="E6331" t="s">
        <v>3781</v>
      </c>
      <c r="F6331" t="s">
        <v>3403</v>
      </c>
      <c r="G6331">
        <v>298</v>
      </c>
      <c r="H6331">
        <v>323.94</v>
      </c>
      <c r="I6331">
        <v>323.93</v>
      </c>
      <c r="J6331">
        <v>0.01</v>
      </c>
    </row>
    <row r="6332" spans="1:10" x14ac:dyDescent="0.3">
      <c r="A6332" t="str">
        <f>HYPERLINK("https://us2.cloudbeds.com/connect/10074733072513#/reservations/30685491192041?display=YR05DW49P&amp;reservation_id=30685491192041", "YR05DW49P")</f>
        <v>YR05DW49P</v>
      </c>
      <c r="B6332" t="s">
        <v>10</v>
      </c>
      <c r="C6332" t="s">
        <v>42</v>
      </c>
      <c r="D6332" t="str">
        <f>HYPERLINK("https://us2.cloudbeds.com/connect/10074733072513#/reservations/30685491192041?display=Debra%20Offenbacher&amp;reservation_id=30685491192041&amp;guest_id=30685491192039", "Debra Offenbacher")</f>
        <v>Debra Offenbacher</v>
      </c>
      <c r="E6332" t="s">
        <v>3778</v>
      </c>
      <c r="F6332" t="s">
        <v>3762</v>
      </c>
      <c r="G6332">
        <v>99</v>
      </c>
      <c r="H6332">
        <v>107.62</v>
      </c>
      <c r="I6332">
        <v>107.61</v>
      </c>
      <c r="J6332">
        <v>0.01</v>
      </c>
    </row>
    <row r="6333" spans="1:10" x14ac:dyDescent="0.3">
      <c r="A6333" t="str">
        <f>HYPERLINK("https://us2.cloudbeds.com/connect/10074733072513#/reservations/30685506424985?display=YR05QR0A4&amp;reservation_id=30685506424985", "YR05QR0A4")</f>
        <v>YR05QR0A4</v>
      </c>
      <c r="B6333" t="s">
        <v>10</v>
      </c>
      <c r="C6333" t="s">
        <v>42</v>
      </c>
      <c r="D6333" t="str">
        <f>HYPERLINK("https://us2.cloudbeds.com/connect/10074733072513#/reservations/30685506424985?display=Pascual%20Aguiler&amp;reservation_id=30685506424985&amp;guest_id=30685506424970", "Pascual Aguiler")</f>
        <v>Pascual Aguiler</v>
      </c>
      <c r="E6333" t="s">
        <v>3782</v>
      </c>
      <c r="F6333" t="s">
        <v>3762</v>
      </c>
      <c r="G6333">
        <v>129</v>
      </c>
      <c r="H6333">
        <v>140.22999999999999</v>
      </c>
      <c r="I6333">
        <v>140.22</v>
      </c>
      <c r="J6333">
        <v>0.01</v>
      </c>
    </row>
    <row r="6334" spans="1:10" x14ac:dyDescent="0.3">
      <c r="A6334" t="str">
        <f>HYPERLINK("https://us2.cloudbeds.com/connect/10074733072513#/reservations/31689570508996?display=MHXKW8833&amp;reservation_id=31689570508996", "MHXKW8833")</f>
        <v>MHXKW8833</v>
      </c>
      <c r="B6334" t="s">
        <v>10</v>
      </c>
      <c r="C6334" t="s">
        <v>42</v>
      </c>
      <c r="D6334" t="str">
        <f>HYPERLINK("https://us2.cloudbeds.com/connect/10074733072513#/reservations/31689570508996?display=Deb%20Bierman&amp;reservation_id=31689570508996&amp;guest_id=31689570508994", "Deb Bierman")</f>
        <v>Deb Bierman</v>
      </c>
      <c r="E6334" t="s">
        <v>3784</v>
      </c>
      <c r="F6334" t="s">
        <v>3785</v>
      </c>
      <c r="G6334">
        <v>278</v>
      </c>
      <c r="H6334">
        <v>302.2</v>
      </c>
      <c r="I6334">
        <v>302.19</v>
      </c>
      <c r="J6334">
        <v>0.01</v>
      </c>
    </row>
    <row r="6335" spans="1:10" x14ac:dyDescent="0.3">
      <c r="A6335" t="str">
        <f>HYPERLINK("https://us2.cloudbeds.com/connect/10074733072513#/reservations/30684661166301?display=YQWH72EHK&amp;reservation_id=30684661166301", "YQWH72EHK")</f>
        <v>YQWH72EHK</v>
      </c>
      <c r="B6335" t="s">
        <v>10</v>
      </c>
      <c r="C6335" t="s">
        <v>11</v>
      </c>
      <c r="D6335" t="str">
        <f>HYPERLINK("https://us2.cloudbeds.com/connect/10074733072513#/reservations/30684661166301?display=Phan%20Lam&amp;reservation_id=30684661166301&amp;guest_id=30684661166279", "Phan Lam")</f>
        <v>Phan Lam</v>
      </c>
      <c r="E6335" t="s">
        <v>1319</v>
      </c>
      <c r="F6335" t="s">
        <v>3295</v>
      </c>
      <c r="G6335">
        <v>87.84</v>
      </c>
      <c r="H6335">
        <v>95.49</v>
      </c>
      <c r="I6335">
        <v>95.48</v>
      </c>
      <c r="J6335">
        <v>0.01</v>
      </c>
    </row>
    <row r="6336" spans="1:10" x14ac:dyDescent="0.3">
      <c r="A6336" t="str">
        <f>HYPERLINK("https://us2.cloudbeds.com/connect/10074733072513#/reservations/30685438951555?display=YR042UF7Z&amp;reservation_id=30685438951555", "YR042UF7Z")</f>
        <v>YR042UF7Z</v>
      </c>
      <c r="B6336" t="s">
        <v>10</v>
      </c>
      <c r="C6336" t="s">
        <v>42</v>
      </c>
      <c r="D6336" t="str">
        <f>HYPERLINK("https://us2.cloudbeds.com/connect/10074733072513#/reservations/30685438951555?display=Sarah%20Devoid&amp;reservation_id=30685438951555&amp;guest_id=30685438947507", "Sarah Devoid")</f>
        <v>Sarah Devoid</v>
      </c>
      <c r="E6336" t="s">
        <v>3786</v>
      </c>
      <c r="F6336" t="s">
        <v>3196</v>
      </c>
      <c r="G6336">
        <v>169</v>
      </c>
      <c r="H6336">
        <v>183.71</v>
      </c>
      <c r="I6336">
        <v>183.7</v>
      </c>
      <c r="J6336">
        <v>0.01</v>
      </c>
    </row>
    <row r="6337" spans="1:10" x14ac:dyDescent="0.3">
      <c r="A6337" t="str">
        <f>HYPERLINK("https://us2.cloudbeds.com/connect/10074733072513#/reservations/30685453762713?display=YR04FDJUN&amp;reservation_id=30685453762713", "YR04FDJUN")</f>
        <v>YR04FDJUN</v>
      </c>
      <c r="B6337" t="s">
        <v>10</v>
      </c>
      <c r="C6337" t="s">
        <v>42</v>
      </c>
      <c r="D6337" t="str">
        <f>HYPERLINK("https://us2.cloudbeds.com/connect/10074733072513#/reservations/30685453762713?display=John%20Teupel&amp;reservation_id=30685453762713&amp;guest_id=30676634038498", "John Teupel")</f>
        <v>John Teupel</v>
      </c>
      <c r="E6337" t="s">
        <v>2970</v>
      </c>
      <c r="F6337" t="s">
        <v>3780</v>
      </c>
      <c r="G6337">
        <v>79</v>
      </c>
      <c r="H6337">
        <v>85.88</v>
      </c>
      <c r="I6337">
        <v>85.87</v>
      </c>
      <c r="J6337">
        <v>0.01</v>
      </c>
    </row>
    <row r="6338" spans="1:10" x14ac:dyDescent="0.3">
      <c r="A6338" t="str">
        <f>HYPERLINK("https://us2.cloudbeds.com/connect/10074733072513#/reservations/30686080061580?display=YR0KFH9M8&amp;reservation_id=30686080061580", "YR0KFH9M8")</f>
        <v>YR0KFH9M8</v>
      </c>
      <c r="B6338" t="s">
        <v>10</v>
      </c>
      <c r="C6338" t="s">
        <v>23</v>
      </c>
      <c r="D6338" t="str">
        <f>HYPERLINK("https://us2.cloudbeds.com/connect/10074733072513#/reservations/30686080061580?display=Charles%20Keith&amp;reservation_id=30686080061580&amp;guest_id=30686076018908", "Charles Keith")</f>
        <v>Charles Keith</v>
      </c>
      <c r="E6338" t="s">
        <v>3787</v>
      </c>
      <c r="F6338" t="s">
        <v>2581</v>
      </c>
      <c r="G6338">
        <v>139</v>
      </c>
      <c r="H6338">
        <v>151.1</v>
      </c>
      <c r="I6338">
        <v>151.09</v>
      </c>
      <c r="J6338">
        <v>0.01</v>
      </c>
    </row>
    <row r="6339" spans="1:10" x14ac:dyDescent="0.3">
      <c r="A6339" t="str">
        <f>HYPERLINK("https://us2.cloudbeds.com/connect/10074733072513#/reservations/30686068613333?display=YR0K5SZ1M&amp;reservation_id=30686068613333", "YR0K5SZ1M")</f>
        <v>YR0K5SZ1M</v>
      </c>
      <c r="B6339" t="s">
        <v>10</v>
      </c>
      <c r="C6339" t="s">
        <v>23</v>
      </c>
      <c r="D6339" t="str">
        <f>HYPERLINK("https://us2.cloudbeds.com/connect/10074733072513#/reservations/30686068613333?display=Michael%20Scott%20Turner&amp;reservation_id=30686068613333&amp;guest_id=30686068613329", "Michael Scott Turner")</f>
        <v>Michael Scott Turner</v>
      </c>
      <c r="E6339" t="s">
        <v>3788</v>
      </c>
      <c r="F6339" t="s">
        <v>2581</v>
      </c>
      <c r="G6339">
        <v>199</v>
      </c>
      <c r="H6339">
        <v>216.32</v>
      </c>
      <c r="I6339">
        <v>216.31</v>
      </c>
      <c r="J6339">
        <v>0.01</v>
      </c>
    </row>
    <row r="6340" spans="1:10" x14ac:dyDescent="0.3">
      <c r="A6340" t="str">
        <f>HYPERLINK("https://us2.cloudbeds.com/connect/10074733072513#/reservations/30685252112512?display=YQWW29MKV&amp;reservation_id=30685252112512", "YQWW29MKV")</f>
        <v>YQWW29MKV</v>
      </c>
      <c r="B6340" t="s">
        <v>10</v>
      </c>
      <c r="C6340" t="s">
        <v>42</v>
      </c>
      <c r="D6340" t="str">
        <f>HYPERLINK("https://us2.cloudbeds.com/connect/10074733072513#/reservations/30685252112512?display=Brian%20Lee&amp;reservation_id=30685252112512&amp;guest_id=30681785213128", "Brian Lee")</f>
        <v>Brian Lee</v>
      </c>
      <c r="E6340" t="s">
        <v>3766</v>
      </c>
      <c r="F6340" t="s">
        <v>3403</v>
      </c>
      <c r="G6340">
        <v>79</v>
      </c>
      <c r="H6340">
        <v>85.88</v>
      </c>
      <c r="I6340">
        <v>85.87</v>
      </c>
      <c r="J6340">
        <v>0.01</v>
      </c>
    </row>
    <row r="6341" spans="1:10" x14ac:dyDescent="0.3">
      <c r="A6341" t="str">
        <f>HYPERLINK("https://us2.cloudbeds.com/connect/10074733072513#/reservations/31688889262309?display=MHX3XQX73&amp;reservation_id=31688889262309", "MHX3XQX73")</f>
        <v>MHX3XQX73</v>
      </c>
      <c r="B6341" t="s">
        <v>10</v>
      </c>
      <c r="C6341" t="s">
        <v>42</v>
      </c>
      <c r="D6341" t="str">
        <f>HYPERLINK("https://us2.cloudbeds.com/connect/10074733072513#/reservations/31688889262309?display=Taylor%20Pruett&amp;reservation_id=31688889262309&amp;guest_id=31688877207758", "Taylor Pruett")</f>
        <v>Taylor Pruett</v>
      </c>
      <c r="E6341" t="s">
        <v>3784</v>
      </c>
      <c r="F6341" t="s">
        <v>3785</v>
      </c>
      <c r="G6341">
        <v>139</v>
      </c>
      <c r="H6341">
        <v>151.1</v>
      </c>
      <c r="I6341">
        <v>151.09</v>
      </c>
      <c r="J6341">
        <v>0.01</v>
      </c>
    </row>
    <row r="6342" spans="1:10" x14ac:dyDescent="0.3">
      <c r="A6342" t="str">
        <f>HYPERLINK("https://us2.cloudbeds.com/connect/10074733072513#/reservations/30685514658028?display=YR060P3G9&amp;reservation_id=30685514658028", "YR060P3G9")</f>
        <v>YR060P3G9</v>
      </c>
      <c r="B6342" t="s">
        <v>10</v>
      </c>
      <c r="C6342" t="s">
        <v>42</v>
      </c>
      <c r="D6342" t="str">
        <f>HYPERLINK("https://us2.cloudbeds.com/connect/10074733072513#/reservations/30685514658028?display=Skyler%20Gaddis&amp;reservation_id=30685514658028&amp;guest_id=30685506429076", "Skyler Gaddis")</f>
        <v>Skyler Gaddis</v>
      </c>
      <c r="E6342" t="s">
        <v>3790</v>
      </c>
      <c r="F6342" t="s">
        <v>3762</v>
      </c>
      <c r="G6342">
        <v>139</v>
      </c>
      <c r="H6342">
        <v>151.1</v>
      </c>
      <c r="I6342">
        <v>151.09</v>
      </c>
      <c r="J6342">
        <v>0.01</v>
      </c>
    </row>
    <row r="6343" spans="1:10" x14ac:dyDescent="0.3">
      <c r="A6343" t="str">
        <f>HYPERLINK("https://us2.cloudbeds.com/connect/10074733072513#/reservations/30685463527626?display=YR04NYAQ5&amp;reservation_id=30685463527626", "YR04NYAQ5")</f>
        <v>YR04NYAQ5</v>
      </c>
      <c r="B6343" t="s">
        <v>10</v>
      </c>
      <c r="C6343" t="s">
        <v>42</v>
      </c>
      <c r="D6343" t="str">
        <f>HYPERLINK("https://us2.cloudbeds.com/connect/10074733072513#/reservations/30685463527626?display=Matt%20Knock&amp;reservation_id=30685463527626&amp;guest_id=30685463527621", "Matt Knock")</f>
        <v>Matt Knock</v>
      </c>
      <c r="E6343" t="s">
        <v>3792</v>
      </c>
      <c r="F6343" t="s">
        <v>3780</v>
      </c>
      <c r="G6343">
        <v>129</v>
      </c>
      <c r="H6343">
        <v>140.22999999999999</v>
      </c>
      <c r="I6343">
        <v>140.22</v>
      </c>
      <c r="J6343">
        <v>0.01</v>
      </c>
    </row>
    <row r="6344" spans="1:10" x14ac:dyDescent="0.3">
      <c r="A6344" t="str">
        <f>HYPERLINK("https://us2.cloudbeds.com/connect/10074733072513#/reservations/30682152313004?display=YQUJ3HTM3&amp;reservation_id=30682152313004", "YQUJ3HTM3")</f>
        <v>YQUJ3HTM3</v>
      </c>
      <c r="B6344" t="s">
        <v>10</v>
      </c>
      <c r="C6344" t="s">
        <v>42</v>
      </c>
      <c r="D6344" t="str">
        <f>HYPERLINK("https://us2.cloudbeds.com/connect/10074733072513#/reservations/30682152313004?display=Abigail%20Vanverwerf&amp;reservation_id=30682152313004&amp;guest_id=30682142589144", "Abigail Vanverwerf")</f>
        <v>Abigail Vanverwerf</v>
      </c>
      <c r="E6344" t="s">
        <v>3794</v>
      </c>
      <c r="F6344" t="s">
        <v>3774</v>
      </c>
      <c r="G6344">
        <v>169</v>
      </c>
      <c r="H6344">
        <v>183.71</v>
      </c>
      <c r="I6344">
        <v>183.7</v>
      </c>
      <c r="J6344">
        <v>0.01</v>
      </c>
    </row>
    <row r="6345" spans="1:10" x14ac:dyDescent="0.3">
      <c r="A6345" t="str">
        <f>HYPERLINK("https://us2.cloudbeds.com/connect/10074733072513#/reservations/30683690856672?display=YQVPDT4PH&amp;reservation_id=30683690856672", "YQVPDT4PH")</f>
        <v>YQVPDT4PH</v>
      </c>
      <c r="B6345" t="s">
        <v>10</v>
      </c>
      <c r="C6345" t="s">
        <v>20</v>
      </c>
      <c r="D6345" t="str">
        <f>HYPERLINK("https://us2.cloudbeds.com/connect/10074733072513#/reservations/30683690856672?display=Samuel%20Wipf&amp;reservation_id=30683690856672&amp;guest_id=30683685327097", "Samuel Wipf")</f>
        <v>Samuel Wipf</v>
      </c>
      <c r="E6345" t="s">
        <v>3795</v>
      </c>
      <c r="F6345" t="s">
        <v>3123</v>
      </c>
      <c r="G6345">
        <v>398</v>
      </c>
      <c r="H6345">
        <v>432.64</v>
      </c>
      <c r="I6345">
        <v>432.63</v>
      </c>
      <c r="J6345">
        <v>0.01</v>
      </c>
    </row>
    <row r="6346" spans="1:10" x14ac:dyDescent="0.3">
      <c r="A6346" t="str">
        <f>HYPERLINK("https://us2.cloudbeds.com/connect/10074733072513#/reservations/30684712194293?display=YQWXH3C6D&amp;reservation_id=30684712194293", "YQWXH3C6D")</f>
        <v>YQWXH3C6D</v>
      </c>
      <c r="B6346" t="s">
        <v>10</v>
      </c>
      <c r="C6346" t="s">
        <v>11</v>
      </c>
      <c r="D6346" t="str">
        <f>HYPERLINK("https://us2.cloudbeds.com/connect/10074733072513#/reservations/30684712194293?display=Barbara%20Chiszar&amp;reservation_id=30684712194293&amp;guest_id=30684712194279", "Barbara Chiszar")</f>
        <v>Barbara Chiszar</v>
      </c>
      <c r="E6346" t="s">
        <v>1319</v>
      </c>
      <c r="F6346" t="s">
        <v>3603</v>
      </c>
      <c r="G6346">
        <v>194.64</v>
      </c>
      <c r="H6346">
        <v>211.58</v>
      </c>
      <c r="I6346">
        <v>211.57</v>
      </c>
      <c r="J6346">
        <v>0.01</v>
      </c>
    </row>
    <row r="6347" spans="1:10" x14ac:dyDescent="0.3">
      <c r="A6347" t="str">
        <f>HYPERLINK("https://us2.cloudbeds.com/connect/10074733072513#/reservations/30685055000729?display=YQWR95FA7&amp;reservation_id=30685055000729", "YQWR95FA7")</f>
        <v>YQWR95FA7</v>
      </c>
      <c r="B6347" t="s">
        <v>10</v>
      </c>
      <c r="C6347" t="s">
        <v>23</v>
      </c>
      <c r="D6347" t="str">
        <f>HYPERLINK("https://us2.cloudbeds.com/connect/10074733072513#/reservations/30685055000729?display=Christi%20Reeder&amp;reservation_id=30685055000729&amp;guest_id=30685055000727", "Christi Reeder")</f>
        <v>Christi Reeder</v>
      </c>
      <c r="E6347" t="s">
        <v>3798</v>
      </c>
      <c r="F6347" t="s">
        <v>3005</v>
      </c>
      <c r="G6347">
        <v>179</v>
      </c>
      <c r="H6347">
        <v>194.58</v>
      </c>
      <c r="I6347">
        <v>194.57</v>
      </c>
      <c r="J6347">
        <v>0.01</v>
      </c>
    </row>
    <row r="6348" spans="1:10" x14ac:dyDescent="0.3">
      <c r="A6348" t="str">
        <f>HYPERLINK("https://us2.cloudbeds.com/connect/10074733072513#/reservations/30685294911693?display=YR00DFB7E&amp;reservation_id=30685294911693", "YR00DFB7E")</f>
        <v>YR00DFB7E</v>
      </c>
      <c r="B6348" t="s">
        <v>10</v>
      </c>
      <c r="C6348" t="s">
        <v>42</v>
      </c>
      <c r="D6348" t="str">
        <f>HYPERLINK("https://us2.cloudbeds.com/connect/10074733072513#/reservations/30685294911693?display=John%20Teupel&amp;reservation_id=30685294911693&amp;guest_id=30676634038498", "John Teupel")</f>
        <v>John Teupel</v>
      </c>
      <c r="E6348" t="s">
        <v>2970</v>
      </c>
      <c r="F6348" t="s">
        <v>3657</v>
      </c>
      <c r="G6348">
        <v>79</v>
      </c>
      <c r="H6348">
        <v>85.88</v>
      </c>
      <c r="I6348">
        <v>85.87</v>
      </c>
      <c r="J6348">
        <v>0.01</v>
      </c>
    </row>
    <row r="6349" spans="1:10" x14ac:dyDescent="0.3">
      <c r="A6349" t="str">
        <f>HYPERLINK("https://us2.cloudbeds.com/connect/10074733072513#/reservations/30685590311052?display=YR07VX8M5&amp;reservation_id=30685590311052", "YR07VX8M5")</f>
        <v>YR07VX8M5</v>
      </c>
      <c r="B6349" t="s">
        <v>10</v>
      </c>
      <c r="C6349" t="s">
        <v>42</v>
      </c>
      <c r="D6349" t="str">
        <f>HYPERLINK("https://us2.cloudbeds.com/connect/10074733072513#/reservations/30685590311052?display=David%20Score&amp;reservation_id=30685590311052&amp;guest_id=30685578076348", "David Score")</f>
        <v>David Score</v>
      </c>
      <c r="E6349" t="s">
        <v>3799</v>
      </c>
      <c r="F6349" t="s">
        <v>3196</v>
      </c>
      <c r="G6349">
        <v>169</v>
      </c>
      <c r="H6349">
        <v>183.71</v>
      </c>
      <c r="I6349">
        <v>183.7</v>
      </c>
      <c r="J6349">
        <v>0.01</v>
      </c>
    </row>
    <row r="6350" spans="1:10" x14ac:dyDescent="0.3">
      <c r="A6350" t="str">
        <f>HYPERLINK("https://us2.cloudbeds.com/connect/10074733072513#/reservations/30685454360774?display=YR04FU83P&amp;reservation_id=30685454360774", "YR04FU83P")</f>
        <v>YR04FU83P</v>
      </c>
      <c r="B6350" t="s">
        <v>10</v>
      </c>
      <c r="C6350" t="s">
        <v>42</v>
      </c>
      <c r="D6350" t="str">
        <f>HYPERLINK("https://us2.cloudbeds.com/connect/10074733072513#/reservations/30685454360774?display=Brenda%20Treftz&amp;reservation_id=30685454360774&amp;guest_id=30685039341774", "Brenda Treftz")</f>
        <v>Brenda Treftz</v>
      </c>
      <c r="E6350" t="s">
        <v>3800</v>
      </c>
      <c r="F6350" t="s">
        <v>3196</v>
      </c>
      <c r="G6350">
        <v>119</v>
      </c>
      <c r="H6350">
        <v>129.36000000000001</v>
      </c>
      <c r="I6350">
        <v>129.35</v>
      </c>
      <c r="J6350">
        <v>0.01</v>
      </c>
    </row>
    <row r="6351" spans="1:10" x14ac:dyDescent="0.3">
      <c r="A6351" t="str">
        <f>HYPERLINK("https://us2.cloudbeds.com/connect/10074733072513#/reservations/30685238001826?display=YQWVVFZD0&amp;reservation_id=30685238001826", "YQWVVFZD0")</f>
        <v>YQWVVFZD0</v>
      </c>
      <c r="B6351" t="s">
        <v>10</v>
      </c>
      <c r="C6351" t="s">
        <v>42</v>
      </c>
      <c r="D6351" t="str">
        <f>HYPERLINK("https://us2.cloudbeds.com/connect/10074733072513#/reservations/30685238001826?display=Brian%20Jarvis&amp;reservation_id=30685238001826&amp;guest_id=30664302166149", "Brian Jarvis")</f>
        <v>Brian Jarvis</v>
      </c>
      <c r="E6351" t="s">
        <v>3802</v>
      </c>
      <c r="F6351" t="s">
        <v>3379</v>
      </c>
      <c r="G6351">
        <v>320</v>
      </c>
      <c r="H6351">
        <v>347.85</v>
      </c>
      <c r="I6351">
        <v>347.84</v>
      </c>
      <c r="J6351">
        <v>0.01</v>
      </c>
    </row>
    <row r="6352" spans="1:10" x14ac:dyDescent="0.3">
      <c r="A6352" t="str">
        <f>HYPERLINK("https://us2.cloudbeds.com/connect/10074733072513#/reservations/30685322092698?display=YR013CMR8&amp;reservation_id=30685322092698", "YR013CMR8")</f>
        <v>YR013CMR8</v>
      </c>
      <c r="B6352" t="s">
        <v>10</v>
      </c>
      <c r="C6352" t="s">
        <v>42</v>
      </c>
      <c r="D6352" t="str">
        <f>HYPERLINK("https://us2.cloudbeds.com/connect/10074733072513#/reservations/30685322092698?display=Gene%20Westerbuhr&amp;reservation_id=30685322092698&amp;guest_id=30656755101836", "Gene Westerbuhr")</f>
        <v>Gene Westerbuhr</v>
      </c>
      <c r="E6352" t="s">
        <v>3803</v>
      </c>
      <c r="F6352" t="s">
        <v>3657</v>
      </c>
      <c r="G6352">
        <v>79</v>
      </c>
      <c r="H6352">
        <v>85.88</v>
      </c>
      <c r="I6352">
        <v>85.87</v>
      </c>
      <c r="J6352">
        <v>0.01</v>
      </c>
    </row>
    <row r="6353" spans="1:10" x14ac:dyDescent="0.3">
      <c r="A6353" t="str">
        <f>HYPERLINK("https://us2.cloudbeds.com/connect/10074733072513#/reservations/30686061068543?display=YR0JWGPSM&amp;reservation_id=30686061068543", "YR0JWGPSM")</f>
        <v>YR0JWGPSM</v>
      </c>
      <c r="B6353" t="s">
        <v>10</v>
      </c>
      <c r="C6353" t="s">
        <v>20</v>
      </c>
      <c r="D6353" t="str">
        <f>HYPERLINK("https://us2.cloudbeds.com/connect/10074733072513#/reservations/30686061068543?display=Shanel%20Gleis&amp;reservation_id=30686061068543&amp;guest_id=30686061068539", "Shanel Gleis")</f>
        <v>Shanel Gleis</v>
      </c>
      <c r="E6353" t="s">
        <v>3807</v>
      </c>
      <c r="F6353" t="s">
        <v>3808</v>
      </c>
      <c r="G6353">
        <v>271.88</v>
      </c>
      <c r="H6353">
        <v>295.54000000000002</v>
      </c>
      <c r="I6353">
        <v>295.52999999999997</v>
      </c>
      <c r="J6353">
        <v>0.01</v>
      </c>
    </row>
    <row r="6354" spans="1:10" x14ac:dyDescent="0.3">
      <c r="A6354" t="str">
        <f>HYPERLINK("https://us2.cloudbeds.com/connect/10074733072513#/reservations/30685269287075?display=YQWWZS9QS&amp;reservation_id=30685269287075", "YQWWZS9QS")</f>
        <v>YQWWZS9QS</v>
      </c>
      <c r="B6354" t="s">
        <v>10</v>
      </c>
      <c r="C6354" t="s">
        <v>42</v>
      </c>
      <c r="D6354" t="str">
        <f>HYPERLINK("https://us2.cloudbeds.com/connect/10074733072513#/reservations/30685269287075?display=Ag%20Builders&amp;reservation_id=30685269287075&amp;guest_id=30685269287058", "Ag Builders")</f>
        <v>Ag Builders</v>
      </c>
      <c r="E6354" t="s">
        <v>3809</v>
      </c>
      <c r="F6354" t="s">
        <v>3741</v>
      </c>
      <c r="G6354">
        <v>158</v>
      </c>
      <c r="H6354">
        <v>171.76</v>
      </c>
      <c r="I6354">
        <v>171.75</v>
      </c>
      <c r="J6354">
        <v>0.01</v>
      </c>
    </row>
    <row r="6355" spans="1:10" x14ac:dyDescent="0.3">
      <c r="A6355" t="str">
        <f>HYPERLINK("https://us2.cloudbeds.com/connect/10074733072513#/reservations/30685144375446?display=YQWTXHEZW&amp;reservation_id=30685144375446", "YQWTXHEZW")</f>
        <v>YQWTXHEZW</v>
      </c>
      <c r="B6355" t="s">
        <v>10</v>
      </c>
      <c r="C6355" t="s">
        <v>23</v>
      </c>
      <c r="D6355" t="str">
        <f>HYPERLINK("https://us2.cloudbeds.com/connect/10074733072513#/reservations/30685144375446?display=Sebastian%20Soto&amp;reservation_id=30685144375446&amp;guest_id=30685144375441", "Sebastian Soto")</f>
        <v>Sebastian Soto</v>
      </c>
      <c r="E6355" t="s">
        <v>3810</v>
      </c>
      <c r="F6355" t="s">
        <v>3379</v>
      </c>
      <c r="G6355">
        <v>129</v>
      </c>
      <c r="H6355">
        <v>140.22999999999999</v>
      </c>
      <c r="I6355">
        <v>140.22</v>
      </c>
      <c r="J6355">
        <v>0.01</v>
      </c>
    </row>
    <row r="6356" spans="1:10" x14ac:dyDescent="0.3">
      <c r="A6356" t="str">
        <f>HYPERLINK("https://us2.cloudbeds.com/connect/10074733072513#/reservations/30686183903422?display=YR0N42RTZ&amp;reservation_id=30686183903422", "YR0N42RTZ")</f>
        <v>YR0N42RTZ</v>
      </c>
      <c r="B6356" t="s">
        <v>10</v>
      </c>
      <c r="C6356" t="s">
        <v>42</v>
      </c>
      <c r="D6356" t="str">
        <f>HYPERLINK("https://us2.cloudbeds.com/connect/10074733072513#/reservations/30686183903422?display=Cori%20Reisch&amp;reservation_id=30686183903422&amp;guest_id=30686183903408", "Cori Reisch")</f>
        <v>Cori Reisch</v>
      </c>
      <c r="E6356" t="s">
        <v>3811</v>
      </c>
      <c r="F6356" t="s">
        <v>3094</v>
      </c>
      <c r="G6356">
        <v>129</v>
      </c>
      <c r="H6356">
        <v>140.22999999999999</v>
      </c>
      <c r="I6356">
        <v>140.22</v>
      </c>
      <c r="J6356">
        <v>0.01</v>
      </c>
    </row>
    <row r="6357" spans="1:10" x14ac:dyDescent="0.3">
      <c r="A6357" t="str">
        <f>HYPERLINK("https://us2.cloudbeds.com/connect/10074733072513#/reservations/30684404404406?display=YQWAYXYS4&amp;reservation_id=30684404404406", "YQWAYXYS4")</f>
        <v>YQWAYXYS4</v>
      </c>
      <c r="B6357" t="s">
        <v>10</v>
      </c>
      <c r="C6357" t="s">
        <v>11</v>
      </c>
      <c r="D6357" t="str">
        <f>HYPERLINK("https://us2.cloudbeds.com/connect/10074733072513#/reservations/30684404404406?display=Emil%20Van%20Essen&amp;reservation_id=30684404404406&amp;guest_id=30684404404404", "Emil Van Essen")</f>
        <v>Emil Van Essen</v>
      </c>
      <c r="E6357" t="s">
        <v>3812</v>
      </c>
      <c r="F6357" t="s">
        <v>3808</v>
      </c>
      <c r="G6357">
        <v>129</v>
      </c>
      <c r="H6357">
        <v>140.22999999999999</v>
      </c>
      <c r="I6357">
        <v>140.22</v>
      </c>
      <c r="J6357">
        <v>0.01</v>
      </c>
    </row>
    <row r="6358" spans="1:10" x14ac:dyDescent="0.3">
      <c r="A6358" t="str">
        <f>HYPERLINK("https://us2.cloudbeds.com/connect/10074733072513#/reservations/30683573293274?display=YQVMDZPDA&amp;reservation_id=30683573293274", "YQVMDZPDA")</f>
        <v>YQVMDZPDA</v>
      </c>
      <c r="B6358" t="s">
        <v>10</v>
      </c>
      <c r="C6358" t="s">
        <v>42</v>
      </c>
      <c r="D6358" t="str">
        <f>HYPERLINK("https://us2.cloudbeds.com/connect/10074733072513#/reservations/30683573293274?display=Michael%20Daniels&amp;reservation_id=30683573293274&amp;guest_id=30671090090186", "Michael Daniels")</f>
        <v>Michael Daniels</v>
      </c>
      <c r="E6358" t="s">
        <v>3262</v>
      </c>
      <c r="F6358" t="s">
        <v>3814</v>
      </c>
      <c r="G6358">
        <v>192</v>
      </c>
      <c r="H6358">
        <v>208.71</v>
      </c>
      <c r="I6358">
        <v>208.7</v>
      </c>
      <c r="J6358">
        <v>0.01</v>
      </c>
    </row>
    <row r="6359" spans="1:10" x14ac:dyDescent="0.3">
      <c r="A6359" t="str">
        <f>HYPERLINK("https://us2.cloudbeds.com/connect/10074733072513#/reservations/30682531676288?display=YQUSQE491&amp;reservation_id=30682531676288", "YQUSQE491")</f>
        <v>YQUSQE491</v>
      </c>
      <c r="B6359" t="s">
        <v>10</v>
      </c>
      <c r="C6359" t="s">
        <v>42</v>
      </c>
      <c r="D6359" t="str">
        <f>HYPERLINK("https://us2.cloudbeds.com/connect/10074733072513#/reservations/30682531676288?display=Nicole%20Hoffman&amp;reservation_id=30682531676288&amp;guest_id=30682531672251", "Nicole Hoffman")</f>
        <v>Nicole Hoffman</v>
      </c>
      <c r="E6359" t="s">
        <v>3815</v>
      </c>
      <c r="F6359" t="s">
        <v>2633</v>
      </c>
      <c r="G6359">
        <v>238</v>
      </c>
      <c r="H6359">
        <v>258.72000000000003</v>
      </c>
      <c r="I6359">
        <v>258.70999999999998</v>
      </c>
      <c r="J6359">
        <v>0.01</v>
      </c>
    </row>
    <row r="6360" spans="1:10" x14ac:dyDescent="0.3">
      <c r="A6360" t="str">
        <f>HYPERLINK("https://us2.cloudbeds.com/connect/10074733072513#/reservations/30686174523628?display=YR0MT5RMX&amp;reservation_id=30686174523628", "YR0MT5RMX")</f>
        <v>YR0MT5RMX</v>
      </c>
      <c r="B6360" t="s">
        <v>10</v>
      </c>
      <c r="C6360" t="s">
        <v>42</v>
      </c>
      <c r="D6360" t="str">
        <f>HYPERLINK("https://us2.cloudbeds.com/connect/10074733072513#/reservations/30686174523628?display=Alex%20Hoehn&amp;reservation_id=30686174523628&amp;guest_id=30686174523624", "Alex Hoehn")</f>
        <v>Alex Hoehn</v>
      </c>
      <c r="E6360" t="s">
        <v>3816</v>
      </c>
      <c r="F6360" t="s">
        <v>3094</v>
      </c>
      <c r="G6360">
        <v>159</v>
      </c>
      <c r="H6360">
        <v>172.84</v>
      </c>
      <c r="I6360">
        <v>172.83</v>
      </c>
      <c r="J6360">
        <v>0.01</v>
      </c>
    </row>
    <row r="6361" spans="1:10" x14ac:dyDescent="0.3">
      <c r="A6361" t="str">
        <f>HYPERLINK("https://us2.cloudbeds.com/connect/10074733072513#/reservations/30684555808983?display=YQWEH7NMK&amp;reservation_id=30684555808983", "YQWEH7NMK")</f>
        <v>YQWEH7NMK</v>
      </c>
      <c r="B6361" t="s">
        <v>10</v>
      </c>
      <c r="C6361" t="s">
        <v>17</v>
      </c>
      <c r="D6361" t="str">
        <f>HYPERLINK("https://us2.cloudbeds.com/connect/10074733072513#/reservations/30684555808983?display=Noah%20Casanova&amp;reservation_id=30684555808983&amp;guest_id=30684555808963", "Noah Casanova")</f>
        <v>Noah Casanova</v>
      </c>
      <c r="E6361" t="s">
        <v>3817</v>
      </c>
      <c r="F6361" t="s">
        <v>3475</v>
      </c>
      <c r="G6361">
        <v>149</v>
      </c>
      <c r="H6361">
        <v>161.97</v>
      </c>
      <c r="I6361">
        <v>161.96</v>
      </c>
      <c r="J6361">
        <v>0.01</v>
      </c>
    </row>
    <row r="6362" spans="1:10" x14ac:dyDescent="0.3">
      <c r="A6362" t="str">
        <f>HYPERLINK("https://us2.cloudbeds.com/connect/10074733072513#/reservations/31689121529992?display=MHX9GYZGZ&amp;reservation_id=31689121529992", "MHX9GYZGZ")</f>
        <v>MHX9GYZGZ</v>
      </c>
      <c r="B6362" t="s">
        <v>10</v>
      </c>
      <c r="C6362" t="s">
        <v>42</v>
      </c>
      <c r="D6362" t="str">
        <f>HYPERLINK("https://us2.cloudbeds.com/connect/10074733072513#/reservations/31689121529992?display=Ann%20Mcclain&amp;reservation_id=31689121529992&amp;guest_id=31689121525908", "Ann Mcclain")</f>
        <v>Ann Mcclain</v>
      </c>
      <c r="E6362" t="s">
        <v>3818</v>
      </c>
      <c r="F6362" t="s">
        <v>3785</v>
      </c>
      <c r="G6362">
        <v>278</v>
      </c>
      <c r="H6362">
        <v>302.2</v>
      </c>
      <c r="I6362">
        <v>302.19</v>
      </c>
      <c r="J6362">
        <v>0.01</v>
      </c>
    </row>
    <row r="6363" spans="1:10" x14ac:dyDescent="0.3">
      <c r="A6363" t="str">
        <f>HYPERLINK("https://us2.cloudbeds.com/connect/10074733072513#/reservations/30686134362299?display=YR0YSA9JJ&amp;reservation_id=30686134362299", "YR0YSA9JJ")</f>
        <v>YR0YSA9JJ</v>
      </c>
      <c r="B6363" t="s">
        <v>10</v>
      </c>
      <c r="C6363" t="s">
        <v>42</v>
      </c>
      <c r="D6363" t="str">
        <f>HYPERLINK("https://us2.cloudbeds.com/connect/10074733072513#/reservations/30686134362299?display=Orione%20Swanson&amp;reservation_id=30686134362299&amp;guest_id=30686134362293", "Orione Swanson")</f>
        <v>Orione Swanson</v>
      </c>
      <c r="E6363" t="s">
        <v>3821</v>
      </c>
      <c r="F6363" t="s">
        <v>3094</v>
      </c>
      <c r="G6363">
        <v>129</v>
      </c>
      <c r="H6363">
        <v>140.22999999999999</v>
      </c>
      <c r="I6363">
        <v>140.22</v>
      </c>
      <c r="J6363">
        <v>0.01</v>
      </c>
    </row>
    <row r="6364" spans="1:10" x14ac:dyDescent="0.3">
      <c r="A6364" t="str">
        <f>HYPERLINK("https://us2.cloudbeds.com/connect/10074733072513#/reservations/30684279414927?display=YQW7F5YA5&amp;reservation_id=30684279414927", "YQW7F5YA5")</f>
        <v>YQW7F5YA5</v>
      </c>
      <c r="B6364" t="s">
        <v>10</v>
      </c>
      <c r="C6364" t="s">
        <v>42</v>
      </c>
      <c r="D6364" t="str">
        <f>HYPERLINK("https://us2.cloudbeds.com/connect/10074733072513#/reservations/30684279414927?display=John%20Seppanen&amp;reservation_id=30684279414927&amp;guest_id=30684279414925", "John Seppanen")</f>
        <v>John Seppanen</v>
      </c>
      <c r="E6364" t="s">
        <v>3822</v>
      </c>
      <c r="F6364" t="s">
        <v>3808</v>
      </c>
      <c r="G6364">
        <v>99</v>
      </c>
      <c r="H6364">
        <v>107.62</v>
      </c>
      <c r="I6364">
        <v>107.61</v>
      </c>
      <c r="J6364">
        <v>0.01</v>
      </c>
    </row>
    <row r="6365" spans="1:10" x14ac:dyDescent="0.3">
      <c r="A6365" t="str">
        <f>HYPERLINK("https://us2.cloudbeds.com/connect/10074733072513#/reservations/30685300981972?display=YR00XJ8D9&amp;reservation_id=30685300981972", "YR00XJ8D9")</f>
        <v>YR00XJ8D9</v>
      </c>
      <c r="B6365" t="s">
        <v>10</v>
      </c>
      <c r="C6365" t="s">
        <v>14</v>
      </c>
      <c r="D6365" t="str">
        <f>HYPERLINK("https://us2.cloudbeds.com/connect/10074733072513#/reservations/30685300981972?display=Dinh%20Luu&amp;reservation_id=30685300981972&amp;guest_id=30685300981967", "Dinh Luu")</f>
        <v>Dinh Luu</v>
      </c>
      <c r="E6365" t="s">
        <v>3823</v>
      </c>
      <c r="F6365" t="s">
        <v>3295</v>
      </c>
      <c r="G6365">
        <v>122.55</v>
      </c>
      <c r="H6365">
        <v>133.22</v>
      </c>
      <c r="I6365">
        <v>133.21</v>
      </c>
      <c r="J6365">
        <v>0.01</v>
      </c>
    </row>
    <row r="6366" spans="1:10" x14ac:dyDescent="0.3">
      <c r="A6366" t="str">
        <f>HYPERLINK("https://us2.cloudbeds.com/connect/10074733072513#/reservations/30684687085734?display=YQWHSUMYW&amp;reservation_id=30684687085734", "YQWHSUMYW")</f>
        <v>YQWHSUMYW</v>
      </c>
      <c r="B6366" t="s">
        <v>10</v>
      </c>
      <c r="C6366" t="s">
        <v>23</v>
      </c>
      <c r="D6366" t="str">
        <f>HYPERLINK("https://us2.cloudbeds.com/connect/10074733072513#/reservations/30684687085734?display=Danielle%20Livingston&amp;reservation_id=30684687085734&amp;guest_id=30684675387610", "Danielle Livingston")</f>
        <v>Danielle Livingston</v>
      </c>
      <c r="E6366" t="s">
        <v>3824</v>
      </c>
      <c r="F6366" t="s">
        <v>3603</v>
      </c>
      <c r="G6366">
        <v>169</v>
      </c>
      <c r="H6366">
        <v>183.71</v>
      </c>
      <c r="I6366">
        <v>183.7</v>
      </c>
      <c r="J6366">
        <v>0.01</v>
      </c>
    </row>
    <row r="6367" spans="1:10" x14ac:dyDescent="0.3">
      <c r="A6367" t="str">
        <f>HYPERLINK("https://us2.cloudbeds.com/connect/10074733072513#/reservations/30685134291157?display=YQWTA0RKF&amp;reservation_id=30685134291157", "YQWTA0RKF")</f>
        <v>YQWTA0RKF</v>
      </c>
      <c r="B6367" t="s">
        <v>10</v>
      </c>
      <c r="C6367" t="s">
        <v>17</v>
      </c>
      <c r="D6367" t="str">
        <f>HYPERLINK("https://us2.cloudbeds.com/connect/10074733072513#/reservations/30685134291157?display=Darcie%20Strehlow&amp;reservation_id=30685134291157&amp;guest_id=30685123514564", "Darcie Strehlow")</f>
        <v>Darcie Strehlow</v>
      </c>
      <c r="E6367" t="s">
        <v>3827</v>
      </c>
      <c r="F6367" t="s">
        <v>3379</v>
      </c>
      <c r="G6367">
        <v>159</v>
      </c>
      <c r="H6367">
        <v>172.84</v>
      </c>
      <c r="I6367">
        <v>172.83</v>
      </c>
      <c r="J6367">
        <v>0.01</v>
      </c>
    </row>
    <row r="6368" spans="1:10" x14ac:dyDescent="0.3">
      <c r="A6368" t="str">
        <f>HYPERLINK("https://us2.cloudbeds.com/connect/10074733072513#/reservations/30685039345888?display=YQWQSVRT3&amp;reservation_id=30685039345888", "YQWQSVRT3")</f>
        <v>YQWQSVRT3</v>
      </c>
      <c r="B6368" t="s">
        <v>10</v>
      </c>
      <c r="C6368" t="s">
        <v>17</v>
      </c>
      <c r="D6368" t="str">
        <f>HYPERLINK("https://us2.cloudbeds.com/connect/10074733072513#/reservations/30685039345888?display=Samantha%20Gilbert&amp;reservation_id=30685039345888&amp;guest_id=30685039345884", "Samantha Gilbert")</f>
        <v>Samantha Gilbert</v>
      </c>
      <c r="E6368" t="s">
        <v>3828</v>
      </c>
      <c r="F6368" t="s">
        <v>3005</v>
      </c>
      <c r="G6368">
        <v>179</v>
      </c>
      <c r="H6368">
        <v>194.58</v>
      </c>
      <c r="I6368">
        <v>194.57</v>
      </c>
      <c r="J6368">
        <v>0.01</v>
      </c>
    </row>
    <row r="6369" spans="1:10" x14ac:dyDescent="0.3">
      <c r="A6369" t="str">
        <f>HYPERLINK("https://us2.cloudbeds.com/connect/10074733072513#/reservations/30685835669640?display=YR0E7ENWT&amp;reservation_id=30685835669640", "YR0E7ENWT")</f>
        <v>YR0E7ENWT</v>
      </c>
      <c r="B6369" t="s">
        <v>10</v>
      </c>
      <c r="C6369" t="s">
        <v>42</v>
      </c>
      <c r="D6369" t="str">
        <f>HYPERLINK("https://us2.cloudbeds.com/connect/10074733072513#/reservations/30685835669640?display=Cody%20Coupland&amp;reservation_id=30685835669640&amp;guest_id=30685827883185", "Cody Coupland")</f>
        <v>Cody Coupland</v>
      </c>
      <c r="E6369" t="s">
        <v>3829</v>
      </c>
      <c r="F6369" t="s">
        <v>3379</v>
      </c>
      <c r="G6369">
        <v>139</v>
      </c>
      <c r="H6369">
        <v>151.1</v>
      </c>
      <c r="I6369">
        <v>151.09</v>
      </c>
      <c r="J6369">
        <v>0.01</v>
      </c>
    </row>
    <row r="6370" spans="1:10" x14ac:dyDescent="0.3">
      <c r="A6370" t="str">
        <f>HYPERLINK("https://us2.cloudbeds.com/connect/10074733072513#/reservations/30683055882407?display=YQV96F1Y4&amp;reservation_id=30683055882407", "YQV96F1Y4")</f>
        <v>YQV96F1Y4</v>
      </c>
      <c r="B6370" t="s">
        <v>10</v>
      </c>
      <c r="C6370" t="s">
        <v>23</v>
      </c>
      <c r="D6370" t="str">
        <f>HYPERLINK("https://us2.cloudbeds.com/connect/10074733072513#/reservations/30683055882407?display=Edna%20Sobania&amp;reservation_id=30683055882407&amp;guest_id=30683055882402", "Edna Sobania")</f>
        <v>Edna Sobania</v>
      </c>
      <c r="E6370" t="s">
        <v>3830</v>
      </c>
      <c r="F6370" t="s">
        <v>3526</v>
      </c>
      <c r="G6370">
        <v>149</v>
      </c>
      <c r="H6370">
        <v>161.97</v>
      </c>
      <c r="I6370">
        <v>161.96</v>
      </c>
      <c r="J6370">
        <v>0.01</v>
      </c>
    </row>
    <row r="6371" spans="1:10" x14ac:dyDescent="0.3">
      <c r="A6371" t="str">
        <f>HYPERLINK("https://us2.cloudbeds.com/connect/10074733072513#/reservations/31673860190349?display=MH6FHTFH2&amp;reservation_id=31673860190349", "MH6FHTFH2")</f>
        <v>MH6FHTFH2</v>
      </c>
      <c r="B6371" t="s">
        <v>10</v>
      </c>
      <c r="C6371" t="s">
        <v>17</v>
      </c>
      <c r="D6371" t="str">
        <f>HYPERLINK("https://us2.cloudbeds.com/connect/10074733072513#/reservations/31673860190349?display=Jaclyn%20Wiechmann&amp;reservation_id=31673860190349&amp;guest_id=31673860190343", "Jaclyn Wiechmann")</f>
        <v>Jaclyn Wiechmann</v>
      </c>
      <c r="E6371" t="s">
        <v>3833</v>
      </c>
      <c r="F6371" t="s">
        <v>3834</v>
      </c>
      <c r="G6371">
        <v>129</v>
      </c>
      <c r="H6371">
        <v>140.22999999999999</v>
      </c>
      <c r="I6371">
        <v>140.22</v>
      </c>
      <c r="J6371">
        <v>0.01</v>
      </c>
    </row>
    <row r="6372" spans="1:10" x14ac:dyDescent="0.3">
      <c r="A6372" t="str">
        <f>HYPERLINK("https://us2.cloudbeds.com/connect/10074733072513#/reservations/31674825089168?display=MH776H6M7&amp;reservation_id=31674825089168", "MH776H6M7")</f>
        <v>MH776H6M7</v>
      </c>
      <c r="B6372" t="s">
        <v>10</v>
      </c>
      <c r="C6372" t="s">
        <v>23</v>
      </c>
      <c r="D6372" t="str">
        <f>HYPERLINK("https://us2.cloudbeds.com/connect/10074733072513#/reservations/31674825089168?display=Holly%20Folk&amp;reservation_id=31674825089168&amp;guest_id=31674825089166", "Holly Folk")</f>
        <v>Holly Folk</v>
      </c>
      <c r="E6372" t="s">
        <v>3835</v>
      </c>
      <c r="F6372" t="s">
        <v>3836</v>
      </c>
      <c r="G6372">
        <v>258</v>
      </c>
      <c r="H6372">
        <v>280.45999999999998</v>
      </c>
      <c r="I6372">
        <v>280.45</v>
      </c>
      <c r="J6372">
        <v>0.01</v>
      </c>
    </row>
    <row r="6373" spans="1:10" x14ac:dyDescent="0.3">
      <c r="A6373" t="str">
        <f>HYPERLINK("https://us2.cloudbeds.com/connect/10074733072513#/reservations/30683092201703?display=YQVA42MMS&amp;reservation_id=30683092201703", "YQVA42MMS")</f>
        <v>YQVA42MMS</v>
      </c>
      <c r="B6373" t="s">
        <v>10</v>
      </c>
      <c r="C6373" t="s">
        <v>23</v>
      </c>
      <c r="D6373" t="str">
        <f>HYPERLINK("https://us2.cloudbeds.com/connect/10074733072513#/reservations/30683092201703?display=Alyssa%20Juelfs&amp;reservation_id=30683092201703&amp;guest_id=30683092201698", "Alyssa Juelfs")</f>
        <v>Alyssa Juelfs</v>
      </c>
      <c r="E6373" t="s">
        <v>3837</v>
      </c>
      <c r="F6373" t="s">
        <v>3123</v>
      </c>
      <c r="G6373">
        <v>338</v>
      </c>
      <c r="H6373">
        <v>367.42</v>
      </c>
      <c r="I6373">
        <v>367.41</v>
      </c>
      <c r="J6373">
        <v>0.01</v>
      </c>
    </row>
    <row r="6374" spans="1:10" x14ac:dyDescent="0.3">
      <c r="A6374" t="str">
        <f>HYPERLINK("https://us2.cloudbeds.com/connect/10074733072513#/reservations/30685291798748?display=YR00ARNMP&amp;reservation_id=30685291798748", "YR00ARNMP")</f>
        <v>YR00ARNMP</v>
      </c>
      <c r="B6374" t="s">
        <v>10</v>
      </c>
      <c r="C6374" t="s">
        <v>17</v>
      </c>
      <c r="D6374" t="str">
        <f>HYPERLINK("https://us2.cloudbeds.com/connect/10074733072513#/reservations/30685291798748?display=Joseph%20Marinac&amp;reservation_id=30685291798748&amp;guest_id=30685284614283", "Joseph Marinac")</f>
        <v>Joseph Marinac</v>
      </c>
      <c r="E6374" t="s">
        <v>3838</v>
      </c>
      <c r="F6374" t="s">
        <v>2581</v>
      </c>
      <c r="G6374">
        <v>169</v>
      </c>
      <c r="H6374">
        <v>183.71</v>
      </c>
      <c r="I6374">
        <v>183.7</v>
      </c>
      <c r="J6374">
        <v>0.01</v>
      </c>
    </row>
    <row r="6375" spans="1:10" x14ac:dyDescent="0.3">
      <c r="A6375" t="str">
        <f>HYPERLINK("https://us2.cloudbeds.com/connect/10074733072513#/reservations/31675566846110?display=MH7Q4WMHA&amp;reservation_id=31675566846110", "MH7Q4WMHA")</f>
        <v>MH7Q4WMHA</v>
      </c>
      <c r="B6375" t="s">
        <v>10</v>
      </c>
      <c r="C6375" t="s">
        <v>42</v>
      </c>
      <c r="D6375" t="str">
        <f>HYPERLINK("https://us2.cloudbeds.com/connect/10074733072513#/reservations/31675566846110?display=Bonnie%20Sander&amp;reservation_id=31675566846110&amp;guest_id=31675566846105", "Bonnie Sander")</f>
        <v>Bonnie Sander</v>
      </c>
      <c r="E6375" t="s">
        <v>3839</v>
      </c>
      <c r="F6375" t="s">
        <v>3836</v>
      </c>
      <c r="G6375">
        <v>258</v>
      </c>
      <c r="H6375">
        <v>280.45999999999998</v>
      </c>
      <c r="I6375">
        <v>280.45</v>
      </c>
      <c r="J6375">
        <v>0.01</v>
      </c>
    </row>
    <row r="6376" spans="1:10" x14ac:dyDescent="0.3">
      <c r="A6376" t="str">
        <f>HYPERLINK("https://us2.cloudbeds.com/connect/10074733072513#/reservations/30685835673737?display=YR0E7ERP1&amp;reservation_id=30685835673737", "YR0E7ERP1")</f>
        <v>YR0E7ERP1</v>
      </c>
      <c r="B6376" t="s">
        <v>10</v>
      </c>
      <c r="C6376" t="s">
        <v>42</v>
      </c>
      <c r="D6376" t="str">
        <f>HYPERLINK("https://us2.cloudbeds.com/connect/10074733072513#/reservations/30685835673737?display=Cyhnthia%20Longchamps&amp;reservation_id=30685835673737&amp;guest_id=30685835673734", "Cyhnthia Longchamps")</f>
        <v>Cyhnthia Longchamps</v>
      </c>
      <c r="E6376" t="s">
        <v>3842</v>
      </c>
      <c r="F6376" t="s">
        <v>3379</v>
      </c>
      <c r="G6376">
        <v>139</v>
      </c>
      <c r="H6376">
        <v>151.1</v>
      </c>
      <c r="I6376">
        <v>151.09</v>
      </c>
      <c r="J6376">
        <v>0.01</v>
      </c>
    </row>
    <row r="6377" spans="1:10" x14ac:dyDescent="0.3">
      <c r="A6377" t="str">
        <f>HYPERLINK("https://us2.cloudbeds.com/connect/10074733072513#/reservations/31675579543736?display=MH7QFN0DS&amp;reservation_id=31675579543736", "MH7QFN0DS")</f>
        <v>MH7QFN0DS</v>
      </c>
      <c r="B6377" t="s">
        <v>10</v>
      </c>
      <c r="C6377" t="s">
        <v>42</v>
      </c>
      <c r="D6377" t="str">
        <f>HYPERLINK("https://us2.cloudbeds.com/connect/10074733072513#/reservations/31675579543736?display=Janae%20Tostenson&amp;reservation_id=31675579543736&amp;guest_id=31675579543731", "Janae Tostenson")</f>
        <v>Janae Tostenson</v>
      </c>
      <c r="E6377" t="s">
        <v>3845</v>
      </c>
      <c r="F6377" t="s">
        <v>3836</v>
      </c>
      <c r="G6377">
        <v>278</v>
      </c>
      <c r="H6377">
        <v>302.2</v>
      </c>
      <c r="I6377">
        <v>302.19</v>
      </c>
      <c r="J6377">
        <v>0.01</v>
      </c>
    </row>
    <row r="6378" spans="1:10" x14ac:dyDescent="0.3">
      <c r="A6378" t="str">
        <f>HYPERLINK("https://us2.cloudbeds.com/connect/10074733072513#/reservations/30682769715416?display=YQV1T5114&amp;reservation_id=30682769715416", "YQV1T5114")</f>
        <v>YQV1T5114</v>
      </c>
      <c r="B6378" t="s">
        <v>10</v>
      </c>
      <c r="C6378" t="s">
        <v>42</v>
      </c>
      <c r="D6378" t="str">
        <f>HYPERLINK("https://us2.cloudbeds.com/connect/10074733072513#/reservations/30682769715416?display=Kelli%20Stephan'S&amp;reservation_id=30682769715416&amp;guest_id=30682769715411", "Kelli Stephan'S")</f>
        <v>Kelli Stephan'S</v>
      </c>
      <c r="E6378" t="s">
        <v>3846</v>
      </c>
      <c r="F6378" t="s">
        <v>2788</v>
      </c>
      <c r="G6378">
        <v>109</v>
      </c>
      <c r="H6378">
        <v>118.49</v>
      </c>
      <c r="I6378">
        <v>118.48</v>
      </c>
      <c r="J6378">
        <v>0.01</v>
      </c>
    </row>
    <row r="6379" spans="1:10" x14ac:dyDescent="0.3">
      <c r="A6379" t="str">
        <f>HYPERLINK("https://us2.cloudbeds.com/connect/10074733072513#/reservations/30684865450179?display=YQWMEAV15&amp;reservation_id=30684865450179", "YQWMEAV15")</f>
        <v>YQWMEAV15</v>
      </c>
      <c r="B6379" t="s">
        <v>10</v>
      </c>
      <c r="C6379" t="s">
        <v>42</v>
      </c>
      <c r="D6379" t="str">
        <f>HYPERLINK("https://us2.cloudbeds.com/connect/10074733072513#/reservations/30684865450179?display=Sharon%20Petersma&amp;reservation_id=30684865450179&amp;guest_id=30684859420898", "Sharon Petersma")</f>
        <v>Sharon Petersma</v>
      </c>
      <c r="E6379" t="s">
        <v>3847</v>
      </c>
      <c r="F6379" t="s">
        <v>3005</v>
      </c>
      <c r="G6379">
        <v>298</v>
      </c>
      <c r="H6379">
        <v>323.94</v>
      </c>
      <c r="I6379">
        <v>323.93</v>
      </c>
      <c r="J6379">
        <v>0.01</v>
      </c>
    </row>
    <row r="6380" spans="1:10" x14ac:dyDescent="0.3">
      <c r="A6380" t="str">
        <f>HYPERLINK("https://us2.cloudbeds.com/connect/10074733072513#/reservations/30684894916773?display=YQWN65TE8&amp;reservation_id=30684894916773", "YQWN65TE8")</f>
        <v>YQWN65TE8</v>
      </c>
      <c r="B6380" t="s">
        <v>10</v>
      </c>
      <c r="C6380" t="s">
        <v>42</v>
      </c>
      <c r="D6380" t="str">
        <f>HYPERLINK("https://us2.cloudbeds.com/connect/10074733072513#/reservations/30684894916773?display=Greg%20Schaffer&amp;reservation_id=30684894916773&amp;guest_id=30684894916771", "Greg Schaffer")</f>
        <v>Greg Schaffer</v>
      </c>
      <c r="E6380" t="s">
        <v>3849</v>
      </c>
      <c r="F6380" t="s">
        <v>3292</v>
      </c>
      <c r="G6380">
        <v>249</v>
      </c>
      <c r="H6380">
        <v>270.67</v>
      </c>
      <c r="I6380">
        <v>270.66000000000003</v>
      </c>
      <c r="J6380">
        <v>0.01</v>
      </c>
    </row>
    <row r="6381" spans="1:10" x14ac:dyDescent="0.3">
      <c r="A6381" t="str">
        <f>HYPERLINK("https://us2.cloudbeds.com/connect/10074733072513#/reservations/30685187891422?display=YQWUM7BAU&amp;reservation_id=30685187891422", "YQWUM7BAU")</f>
        <v>YQWUM7BAU</v>
      </c>
      <c r="B6381" t="s">
        <v>10</v>
      </c>
      <c r="C6381" t="s">
        <v>42</v>
      </c>
      <c r="D6381" t="str">
        <f>HYPERLINK("https://us2.cloudbeds.com/connect/10074733072513#/reservations/30685187891422?display=Lyndsey%20Ludwig&amp;reservation_id=30685187891422&amp;guest_id=30685187891417", "Lyndsey Ludwig")</f>
        <v>Lyndsey Ludwig</v>
      </c>
      <c r="E6381" t="s">
        <v>3850</v>
      </c>
      <c r="F6381" t="s">
        <v>2581</v>
      </c>
      <c r="G6381">
        <v>249</v>
      </c>
      <c r="H6381">
        <v>270.67</v>
      </c>
      <c r="I6381">
        <v>270.66000000000003</v>
      </c>
      <c r="J6381">
        <v>0.01</v>
      </c>
    </row>
    <row r="6382" spans="1:10" x14ac:dyDescent="0.3">
      <c r="A6382" t="str">
        <f>HYPERLINK("https://us2.cloudbeds.com/connect/10074733072513#/reservations/30683659722952?display=YQVZKKQGF&amp;reservation_id=30683659722952", "YQVZKKQGF")</f>
        <v>YQVZKKQGF</v>
      </c>
      <c r="B6382" t="s">
        <v>10</v>
      </c>
      <c r="C6382" t="s">
        <v>42</v>
      </c>
      <c r="D6382" t="str">
        <f>HYPERLINK("https://us2.cloudbeds.com/connect/10074733072513#/reservations/30683659722952?display=Marissa%20Van%20Donge&amp;reservation_id=30683659722952&amp;guest_id=30683659722950", "Marissa Van Donge")</f>
        <v>Marissa Van Donge</v>
      </c>
      <c r="E6382" t="s">
        <v>3851</v>
      </c>
      <c r="F6382" t="s">
        <v>3475</v>
      </c>
      <c r="G6382">
        <v>109</v>
      </c>
      <c r="H6382">
        <v>118.49</v>
      </c>
      <c r="I6382">
        <v>118.48</v>
      </c>
      <c r="J6382">
        <v>0.01</v>
      </c>
    </row>
    <row r="6383" spans="1:10" x14ac:dyDescent="0.3">
      <c r="A6383" t="str">
        <f>HYPERLINK("https://us2.cloudbeds.com/connect/10074733072513#/reservations/30685187895501?display=YQWUM7F2H&amp;reservation_id=30685187895501", "YQWUM7F2H")</f>
        <v>YQWUM7F2H</v>
      </c>
      <c r="B6383" t="s">
        <v>10</v>
      </c>
      <c r="C6383" t="s">
        <v>42</v>
      </c>
      <c r="D6383" t="str">
        <f>HYPERLINK("https://us2.cloudbeds.com/connect/10074733072513#/reservations/30685187895501?display=Paul%20Sonberg&amp;reservation_id=30685187895501&amp;guest_id=30685187891420", "Paul Sonberg")</f>
        <v>Paul Sonberg</v>
      </c>
      <c r="E6383" t="s">
        <v>3853</v>
      </c>
      <c r="F6383" t="s">
        <v>3251</v>
      </c>
      <c r="G6383">
        <v>149</v>
      </c>
      <c r="H6383">
        <v>161.97</v>
      </c>
      <c r="I6383">
        <v>161.96</v>
      </c>
      <c r="J6383">
        <v>0.01</v>
      </c>
    </row>
    <row r="6384" spans="1:10" x14ac:dyDescent="0.3">
      <c r="A6384" t="str">
        <f>HYPERLINK("https://us2.cloudbeds.com/connect/10074733072513#/reservations/30683333255317?display=YQVG9BBSR&amp;reservation_id=30683333255317", "YQVG9BBSR")</f>
        <v>YQVG9BBSR</v>
      </c>
      <c r="B6384" t="s">
        <v>10</v>
      </c>
      <c r="C6384" t="s">
        <v>20</v>
      </c>
      <c r="D6384" t="str">
        <f>HYPERLINK("https://us2.cloudbeds.com/connect/10074733072513#/reservations/30683333255317?display=Seng%20Thor&amp;reservation_id=30683333255317&amp;guest_id=30683333255315", "Seng Thor")</f>
        <v>Seng Thor</v>
      </c>
      <c r="E6384" t="s">
        <v>3855</v>
      </c>
      <c r="F6384" t="s">
        <v>3005</v>
      </c>
      <c r="G6384">
        <v>194.65</v>
      </c>
      <c r="H6384">
        <v>211.59</v>
      </c>
      <c r="I6384">
        <v>211.58</v>
      </c>
      <c r="J6384">
        <v>0.01</v>
      </c>
    </row>
    <row r="6385" spans="1:10" x14ac:dyDescent="0.3">
      <c r="A6385" t="str">
        <f>HYPERLINK("https://us2.cloudbeds.com/connect/10074733072513#/reservations/30683998818497?display=YQW09XY01&amp;reservation_id=30683998818497", "YQW09XY01")</f>
        <v>YQW09XY01</v>
      </c>
      <c r="B6385" t="s">
        <v>10</v>
      </c>
      <c r="C6385" t="s">
        <v>42</v>
      </c>
      <c r="D6385" t="str">
        <f>HYPERLINK("https://us2.cloudbeds.com/connect/10074733072513#/reservations/30683998818497?display=Jon%20Faulkenberry&amp;reservation_id=30683998818497&amp;guest_id=30683992158378", "Jon Faulkenberry")</f>
        <v>Jon Faulkenberry</v>
      </c>
      <c r="E6385" t="s">
        <v>3861</v>
      </c>
      <c r="F6385" t="s">
        <v>3123</v>
      </c>
      <c r="G6385">
        <v>79</v>
      </c>
      <c r="H6385">
        <v>85.88</v>
      </c>
      <c r="I6385">
        <v>85.87</v>
      </c>
      <c r="J6385">
        <v>0.01</v>
      </c>
    </row>
    <row r="6386" spans="1:10" x14ac:dyDescent="0.3">
      <c r="A6386" t="str">
        <f>HYPERLINK("https://us2.cloudbeds.com/connect/10074733072513#/reservations/30684915458195?display=YQWNNGG2J&amp;reservation_id=30684915458195", "YQWNNGG2J")</f>
        <v>YQWNNGG2J</v>
      </c>
      <c r="B6386" t="s">
        <v>10</v>
      </c>
      <c r="C6386" t="s">
        <v>42</v>
      </c>
      <c r="D6386" t="str">
        <f>HYPERLINK("https://us2.cloudbeds.com/connect/10074733072513#/reservations/30684915458195?display=Julie%20Erhart&amp;reservation_id=30684915458195&amp;guest_id=30677643481290", "Julie Erhart")</f>
        <v>Julie Erhart</v>
      </c>
      <c r="E6386" t="s">
        <v>3866</v>
      </c>
      <c r="F6386" t="s">
        <v>3826</v>
      </c>
      <c r="G6386">
        <v>444</v>
      </c>
      <c r="H6386">
        <v>482.64</v>
      </c>
      <c r="I6386">
        <v>482.63</v>
      </c>
      <c r="J6386">
        <v>0.01</v>
      </c>
    </row>
    <row r="6387" spans="1:10" x14ac:dyDescent="0.3">
      <c r="A6387" t="str">
        <f>HYPERLINK("https://us2.cloudbeds.com/connect/10074733072513#/reservations/30685168140495?display=YQWU5XZXW&amp;reservation_id=30685168140495", "YQWU5XZXW")</f>
        <v>YQWU5XZXW</v>
      </c>
      <c r="B6387" t="s">
        <v>10</v>
      </c>
      <c r="C6387" t="s">
        <v>42</v>
      </c>
      <c r="D6387" t="str">
        <f>HYPERLINK("https://us2.cloudbeds.com/connect/10074733072513#/reservations/30685168140495?display=Brian%20Lee&amp;reservation_id=30685168140495&amp;guest_id=30681785213128", "Brian Lee")</f>
        <v>Brian Lee</v>
      </c>
      <c r="E6387" t="s">
        <v>3766</v>
      </c>
      <c r="F6387" t="s">
        <v>3439</v>
      </c>
      <c r="G6387">
        <v>79</v>
      </c>
      <c r="H6387">
        <v>85.88</v>
      </c>
      <c r="I6387">
        <v>85.87</v>
      </c>
      <c r="J6387">
        <v>0.01</v>
      </c>
    </row>
    <row r="6388" spans="1:10" x14ac:dyDescent="0.3">
      <c r="A6388" t="str">
        <f>HYPERLINK("https://us2.cloudbeds.com/connect/10074733072513#/reservations/30685174685859?display=YQWUB2T0A&amp;reservation_id=30685174685859", "YQWUB2T0A")</f>
        <v>YQWUB2T0A</v>
      </c>
      <c r="B6388" t="s">
        <v>10</v>
      </c>
      <c r="C6388" t="s">
        <v>42</v>
      </c>
      <c r="D6388" t="str">
        <f>HYPERLINK("https://us2.cloudbeds.com/connect/10074733072513#/reservations/30685174685859?display=Demarcus%20Boston&amp;reservation_id=30685174685859&amp;guest_id=30685174681774", "Demarcus Boston")</f>
        <v>Demarcus Boston</v>
      </c>
      <c r="E6388" t="s">
        <v>3868</v>
      </c>
      <c r="F6388" t="s">
        <v>3439</v>
      </c>
      <c r="G6388">
        <v>129</v>
      </c>
      <c r="H6388">
        <v>140.22999999999999</v>
      </c>
      <c r="I6388">
        <v>140.22</v>
      </c>
      <c r="J6388">
        <v>0.01</v>
      </c>
    </row>
    <row r="6389" spans="1:10" x14ac:dyDescent="0.3">
      <c r="A6389" t="str">
        <f>HYPERLINK("https://us2.cloudbeds.com/connect/10074733072513#/reservations/30685139513512?display=YQWTEE55Y&amp;reservation_id=30685139513512", "YQWTEE55Y")</f>
        <v>YQWTEE55Y</v>
      </c>
      <c r="B6389" t="s">
        <v>10</v>
      </c>
      <c r="C6389" t="s">
        <v>121</v>
      </c>
      <c r="D6389" t="str">
        <f>HYPERLINK("https://us2.cloudbeds.com/connect/10074733072513#/reservations/30685139513512?display=Cornie%20Stahl&amp;reservation_id=30685139513512&amp;guest_id=30685131546771", "Cornie Stahl")</f>
        <v>Cornie Stahl</v>
      </c>
      <c r="E6389" t="s">
        <v>3872</v>
      </c>
      <c r="F6389" t="s">
        <v>3439</v>
      </c>
      <c r="G6389">
        <v>119</v>
      </c>
      <c r="H6389">
        <v>129.36000000000001</v>
      </c>
      <c r="I6389">
        <v>129.35</v>
      </c>
      <c r="J6389">
        <v>0.01</v>
      </c>
    </row>
    <row r="6390" spans="1:10" x14ac:dyDescent="0.3">
      <c r="A6390" t="str">
        <f>HYPERLINK("https://us2.cloudbeds.com/connect/10074733072513#/reservations/30685109244123?display=YQWSYTSJE&amp;reservation_id=30685109244123", "YQWSYTSJE")</f>
        <v>YQWSYTSJE</v>
      </c>
      <c r="B6390" t="s">
        <v>10</v>
      </c>
      <c r="C6390" t="s">
        <v>121</v>
      </c>
      <c r="D6390" t="str">
        <f>HYPERLINK("https://us2.cloudbeds.com/connect/10074733072513#/reservations/30685109244123?display=Gerald%20Goff&amp;reservation_id=30685109244123&amp;guest_id=30685109244118", "Gerald Goff")</f>
        <v>Gerald Goff</v>
      </c>
      <c r="E6390" t="s">
        <v>3873</v>
      </c>
      <c r="F6390" t="s">
        <v>3439</v>
      </c>
      <c r="G6390">
        <v>119</v>
      </c>
      <c r="H6390">
        <v>129.36000000000001</v>
      </c>
      <c r="I6390">
        <v>129.35</v>
      </c>
      <c r="J6390">
        <v>0.01</v>
      </c>
    </row>
    <row r="6391" spans="1:10" x14ac:dyDescent="0.3">
      <c r="A6391" t="str">
        <f>HYPERLINK("https://us2.cloudbeds.com/connect/10074733072513#/reservations/30685090738368?display=YQWS0H3T6&amp;reservation_id=30685090738368", "YQWS0H3T6")</f>
        <v>YQWS0H3T6</v>
      </c>
      <c r="B6391" t="s">
        <v>10</v>
      </c>
      <c r="C6391" t="s">
        <v>42</v>
      </c>
      <c r="D6391" t="str">
        <f>HYPERLINK("https://us2.cloudbeds.com/connect/10074733072513#/reservations/30685090738368?display=Shawn%20Gaunt&amp;reservation_id=30685090738368&amp;guest_id=30685083877549", "Shawn Gaunt")</f>
        <v>Shawn Gaunt</v>
      </c>
      <c r="E6391" t="s">
        <v>3874</v>
      </c>
      <c r="F6391" t="s">
        <v>3793</v>
      </c>
      <c r="G6391">
        <v>99</v>
      </c>
      <c r="H6391">
        <v>107.62</v>
      </c>
      <c r="I6391">
        <v>107.61</v>
      </c>
      <c r="J6391">
        <v>0.01</v>
      </c>
    </row>
    <row r="6392" spans="1:10" x14ac:dyDescent="0.3">
      <c r="A6392" t="str">
        <f>HYPERLINK("https://us2.cloudbeds.com/connect/10074733072513#/reservations/30685374382305?display=YR02EFNWQ&amp;reservation_id=30685374382305", "YR02EFNWQ")</f>
        <v>YR02EFNWQ</v>
      </c>
      <c r="B6392" t="s">
        <v>10</v>
      </c>
      <c r="C6392" t="s">
        <v>42</v>
      </c>
      <c r="D6392" t="str">
        <f>HYPERLINK("https://us2.cloudbeds.com/connect/10074733072513#/reservations/30685374382305?display=David%20Nahnsen&amp;reservation_id=30685374382305&amp;guest_id=30685209604331", "David Nahnsen")</f>
        <v>David Nahnsen</v>
      </c>
      <c r="E6392" t="s">
        <v>3875</v>
      </c>
      <c r="F6392" t="s">
        <v>3870</v>
      </c>
      <c r="G6392">
        <v>89</v>
      </c>
      <c r="H6392">
        <v>96.75</v>
      </c>
      <c r="I6392">
        <v>96.74</v>
      </c>
      <c r="J6392">
        <v>0.01</v>
      </c>
    </row>
    <row r="6393" spans="1:10" x14ac:dyDescent="0.3">
      <c r="A6393" t="str">
        <f>HYPERLINK("https://us2.cloudbeds.com/connect/10074733072513#/reservations/30685584400579?display=YR07QXQ7U&amp;reservation_id=30685584400579", "YR07QXQ7U")</f>
        <v>YR07QXQ7U</v>
      </c>
      <c r="B6393" t="s">
        <v>10</v>
      </c>
      <c r="C6393" t="s">
        <v>42</v>
      </c>
      <c r="D6393" t="str">
        <f>HYPERLINK("https://us2.cloudbeds.com/connect/10074733072513#/reservations/30685584400579?display=Jason%20Schroepfer&amp;reservation_id=30685584400579&amp;guest_id=30685584396542", "Jason Schroepfer")</f>
        <v>Jason Schroepfer</v>
      </c>
      <c r="E6393" t="s">
        <v>3876</v>
      </c>
      <c r="F6393" t="s">
        <v>3603</v>
      </c>
      <c r="G6393">
        <v>179</v>
      </c>
      <c r="H6393">
        <v>194.58</v>
      </c>
      <c r="I6393">
        <v>194.57</v>
      </c>
      <c r="J6393">
        <v>0.01</v>
      </c>
    </row>
    <row r="6394" spans="1:10" x14ac:dyDescent="0.3">
      <c r="A6394" t="str">
        <f>HYPERLINK("https://us2.cloudbeds.com/connect/10074733072513#/reservations/30685151944854?display=YQWTZU2HW&amp;reservation_id=30685151944854", "YQWTZU2HW")</f>
        <v>YQWTZU2HW</v>
      </c>
      <c r="B6394" t="s">
        <v>10</v>
      </c>
      <c r="C6394" t="s">
        <v>42</v>
      </c>
      <c r="D6394" t="str">
        <f>HYPERLINK("https://us2.cloudbeds.com/connect/10074733072513#/reservations/30685151944854?display=Joseph%20Devore&amp;reservation_id=30685151944854&amp;guest_id=30685141733573", "Joseph Devore")</f>
        <v>Joseph Devore</v>
      </c>
      <c r="E6394" t="s">
        <v>3877</v>
      </c>
      <c r="F6394" t="s">
        <v>3439</v>
      </c>
      <c r="G6394">
        <v>119</v>
      </c>
      <c r="H6394">
        <v>129.36000000000001</v>
      </c>
      <c r="I6394">
        <v>129.35</v>
      </c>
      <c r="J6394">
        <v>0.01</v>
      </c>
    </row>
    <row r="6395" spans="1:10" x14ac:dyDescent="0.3">
      <c r="A6395" t="str">
        <f>HYPERLINK("https://us2.cloudbeds.com/connect/10074733072513#/reservations/30685090742473?display=YQWS6A10C&amp;reservation_id=30685090742473", "YQWS6A10C")</f>
        <v>YQWS6A10C</v>
      </c>
      <c r="B6395" t="s">
        <v>10</v>
      </c>
      <c r="C6395" t="s">
        <v>42</v>
      </c>
      <c r="D6395" t="str">
        <f>HYPERLINK("https://us2.cloudbeds.com/connect/10074733072513#/reservations/30685090742473?display=Richard%20Voletz&amp;reservation_id=30685090742473&amp;guest_id=30685090742470", "Richard Voletz")</f>
        <v>Richard Voletz</v>
      </c>
      <c r="E6395" t="s">
        <v>3874</v>
      </c>
      <c r="F6395" t="s">
        <v>3793</v>
      </c>
      <c r="G6395">
        <v>99</v>
      </c>
      <c r="H6395">
        <v>107.62</v>
      </c>
      <c r="I6395">
        <v>107.61</v>
      </c>
      <c r="J6395">
        <v>0.01</v>
      </c>
    </row>
    <row r="6396" spans="1:10" x14ac:dyDescent="0.3">
      <c r="A6396" t="str">
        <f>HYPERLINK("https://us2.cloudbeds.com/connect/10074733072513#/reservations/30681859133580?display=YQUBKAZZ4&amp;reservation_id=30681859133580", "YQUBKAZZ4")</f>
        <v>YQUBKAZZ4</v>
      </c>
      <c r="B6396" t="s">
        <v>10</v>
      </c>
      <c r="C6396" t="s">
        <v>20</v>
      </c>
      <c r="D6396" t="str">
        <f>HYPERLINK("https://us2.cloudbeds.com/connect/10074733072513#/reservations/30681859133580?display=The%20Ruskauffs&amp;reservation_id=30681859133580&amp;guest_id=30681852432572", "The Ruskauffs")</f>
        <v>The Ruskauffs</v>
      </c>
      <c r="E6396" t="s">
        <v>3880</v>
      </c>
      <c r="F6396" t="s">
        <v>3475</v>
      </c>
      <c r="G6396">
        <v>358</v>
      </c>
      <c r="H6396">
        <v>389.16</v>
      </c>
      <c r="I6396">
        <v>389.15</v>
      </c>
      <c r="J6396">
        <v>0.01</v>
      </c>
    </row>
    <row r="6397" spans="1:10" x14ac:dyDescent="0.3">
      <c r="A6397" t="str">
        <f>HYPERLINK("https://us2.cloudbeds.com/connect/10074733072513#/reservations/30682828742815?display=YQV3CUXB6&amp;reservation_id=30682828742815", "YQV3CUXB6")</f>
        <v>YQV3CUXB6</v>
      </c>
      <c r="B6397" t="s">
        <v>10</v>
      </c>
      <c r="C6397" t="s">
        <v>42</v>
      </c>
      <c r="D6397" t="str">
        <f>HYPERLINK("https://us2.cloudbeds.com/connect/10074733072513#/reservations/30682828742815?display=Jason%20Bauer&amp;reservation_id=30682828742815&amp;guest_id=30682828742813", "Jason Bauer")</f>
        <v>Jason Bauer</v>
      </c>
      <c r="E6397" t="s">
        <v>3609</v>
      </c>
      <c r="F6397" t="s">
        <v>3881</v>
      </c>
      <c r="G6397">
        <v>238</v>
      </c>
      <c r="H6397">
        <v>258.72000000000003</v>
      </c>
      <c r="I6397">
        <v>258.70999999999998</v>
      </c>
      <c r="J6397">
        <v>0.01</v>
      </c>
    </row>
    <row r="6398" spans="1:10" x14ac:dyDescent="0.3">
      <c r="A6398" t="str">
        <f>HYPERLINK("https://us2.cloudbeds.com/connect/10074733072513#/reservations/30682895835300?display=YQV53GGJQ&amp;reservation_id=30682895835300", "YQV53GGJQ")</f>
        <v>YQV53GGJQ</v>
      </c>
      <c r="B6398" t="s">
        <v>10</v>
      </c>
      <c r="C6398" t="s">
        <v>42</v>
      </c>
      <c r="D6398" t="str">
        <f>HYPERLINK("https://us2.cloudbeds.com/connect/10074733072513#/reservations/30682895835300?display=Craig%20Patzer&amp;reservation_id=30682895835300&amp;guest_id=30682895835298", "Craig Patzer")</f>
        <v>Craig Patzer</v>
      </c>
      <c r="E6398" t="s">
        <v>3882</v>
      </c>
      <c r="F6398" t="s">
        <v>3332</v>
      </c>
      <c r="G6398">
        <v>129</v>
      </c>
      <c r="H6398">
        <v>140.22999999999999</v>
      </c>
      <c r="I6398">
        <v>140.22</v>
      </c>
      <c r="J6398">
        <v>0.01</v>
      </c>
    </row>
    <row r="6399" spans="1:10" x14ac:dyDescent="0.3">
      <c r="A6399" t="str">
        <f>HYPERLINK("https://us2.cloudbeds.com/connect/10074733072513#/reservations/30684869628059?display=YQWMHS6FJ&amp;reservation_id=30684869628059", "YQWMHS6FJ")</f>
        <v>YQWMHS6FJ</v>
      </c>
      <c r="B6399" t="s">
        <v>10</v>
      </c>
      <c r="C6399" t="s">
        <v>42</v>
      </c>
      <c r="D6399" t="str">
        <f>HYPERLINK("https://us2.cloudbeds.com/connect/10074733072513#/reservations/30684869628059?display=Jason%20Bauer&amp;reservation_id=30684869628059&amp;guest_id=30682828742813", "Jason Bauer")</f>
        <v>Jason Bauer</v>
      </c>
      <c r="E6399" t="s">
        <v>3609</v>
      </c>
      <c r="F6399" t="s">
        <v>3005</v>
      </c>
      <c r="G6399">
        <v>258</v>
      </c>
      <c r="H6399">
        <v>280.45999999999998</v>
      </c>
      <c r="I6399">
        <v>280.45</v>
      </c>
      <c r="J6399">
        <v>0.01</v>
      </c>
    </row>
    <row r="6400" spans="1:10" x14ac:dyDescent="0.3">
      <c r="A6400" t="str">
        <f>HYPERLINK("https://us2.cloudbeds.com/connect/10074733072513#/reservations/30685098037408?display=YQWSCF0P0&amp;reservation_id=30685098037408", "YQWSCF0P0")</f>
        <v>YQWSCF0P0</v>
      </c>
      <c r="B6400" t="s">
        <v>10</v>
      </c>
      <c r="C6400" t="s">
        <v>121</v>
      </c>
      <c r="D6400" t="str">
        <f>HYPERLINK("https://us2.cloudbeds.com/connect/10074733072513#/reservations/30685098037408?display=Ellyn%20Kohlnhofer&amp;reservation_id=30685098037408&amp;guest_id=30685098037396", "Ellyn Kohlnhofer")</f>
        <v>Ellyn Kohlnhofer</v>
      </c>
      <c r="E6400" t="s">
        <v>3883</v>
      </c>
      <c r="F6400" t="s">
        <v>3793</v>
      </c>
      <c r="G6400">
        <v>139</v>
      </c>
      <c r="H6400">
        <v>151.1</v>
      </c>
      <c r="I6400">
        <v>151.09</v>
      </c>
      <c r="J6400">
        <v>0.01</v>
      </c>
    </row>
    <row r="6401" spans="1:10" x14ac:dyDescent="0.3">
      <c r="A6401" t="str">
        <f>HYPERLINK("https://us2.cloudbeds.com/connect/10074733072513#/reservations/30685209604333?display=YQWV7HHNU&amp;reservation_id=30685209604333", "YQWV7HHNU")</f>
        <v>YQWV7HHNU</v>
      </c>
      <c r="B6401" t="s">
        <v>10</v>
      </c>
      <c r="C6401" t="s">
        <v>42</v>
      </c>
      <c r="D6401" t="str">
        <f>HYPERLINK("https://us2.cloudbeds.com/connect/10074733072513#/reservations/30685209604333?display=David%20Nahnsen&amp;reservation_id=30685209604333&amp;guest_id=30685209604331", "David Nahnsen")</f>
        <v>David Nahnsen</v>
      </c>
      <c r="E6401" t="s">
        <v>3875</v>
      </c>
      <c r="F6401" t="s">
        <v>3793</v>
      </c>
      <c r="G6401">
        <v>89</v>
      </c>
      <c r="H6401">
        <v>96.75</v>
      </c>
      <c r="I6401">
        <v>96.74</v>
      </c>
      <c r="J6401">
        <v>0.01</v>
      </c>
    </row>
    <row r="6402" spans="1:10" x14ac:dyDescent="0.3">
      <c r="A6402" t="str">
        <f>HYPERLINK("https://us2.cloudbeds.com/connect/10074733072513#/reservations/30685657993423?display=YR09MKKK3&amp;reservation_id=30685657993423", "YR09MKKK3")</f>
        <v>YR09MKKK3</v>
      </c>
      <c r="B6402" t="s">
        <v>10</v>
      </c>
      <c r="C6402" t="s">
        <v>42</v>
      </c>
      <c r="D6402" t="str">
        <f>HYPERLINK("https://us2.cloudbeds.com/connect/10074733072513#/reservations/30685657993423?display=Linda%20Mohlman&amp;reservation_id=30685657993423&amp;guest_id=30683506958526", "Linda Mohlman")</f>
        <v>Linda Mohlman</v>
      </c>
      <c r="E6402" t="s">
        <v>3884</v>
      </c>
      <c r="F6402" t="s">
        <v>3603</v>
      </c>
      <c r="G6402">
        <v>290</v>
      </c>
      <c r="H6402">
        <v>315.24</v>
      </c>
      <c r="I6402">
        <v>315.23</v>
      </c>
      <c r="J6402">
        <v>0.01</v>
      </c>
    </row>
    <row r="6403" spans="1:10" x14ac:dyDescent="0.3">
      <c r="A6403" t="str">
        <f>HYPERLINK("https://us2.cloudbeds.com/connect/10074733072513#/reservations/30683224244396?display=YQVDGDW0J&amp;reservation_id=30683224244396", "YQVDGDW0J")</f>
        <v>YQVDGDW0J</v>
      </c>
      <c r="B6403" t="s">
        <v>10</v>
      </c>
      <c r="C6403" t="s">
        <v>42</v>
      </c>
      <c r="D6403" t="str">
        <f>HYPERLINK("https://us2.cloudbeds.com/connect/10074733072513#/reservations/30683224244396?display=Theresa%20Flynn&amp;reservation_id=30683224244396&amp;guest_id=30683224244386", "Theresa Flynn")</f>
        <v>Theresa Flynn</v>
      </c>
      <c r="E6403" t="s">
        <v>3885</v>
      </c>
      <c r="F6403" t="s">
        <v>3526</v>
      </c>
      <c r="G6403">
        <v>258</v>
      </c>
      <c r="H6403">
        <v>280.45999999999998</v>
      </c>
      <c r="I6403">
        <v>280.45</v>
      </c>
      <c r="J6403">
        <v>0.01</v>
      </c>
    </row>
    <row r="6404" spans="1:10" x14ac:dyDescent="0.3">
      <c r="A6404" t="str">
        <f>HYPERLINK("https://us2.cloudbeds.com/connect/10074733072513#/reservations/30685370597578?display=YR02B9DJ3&amp;reservation_id=30685370597578", "YR02B9DJ3")</f>
        <v>YR02B9DJ3</v>
      </c>
      <c r="B6404" t="s">
        <v>10</v>
      </c>
      <c r="C6404" t="s">
        <v>42</v>
      </c>
      <c r="D6404" t="str">
        <f>HYPERLINK("https://us2.cloudbeds.com/connect/10074733072513#/reservations/30685370597578?display=Matthew%20Knock&amp;reservation_id=30685370597578&amp;guest_id=30685370593504", "Matthew Knock")</f>
        <v>Matthew Knock</v>
      </c>
      <c r="E6404" t="s">
        <v>3886</v>
      </c>
      <c r="F6404" t="s">
        <v>3870</v>
      </c>
      <c r="G6404">
        <v>159</v>
      </c>
      <c r="H6404">
        <v>172.84</v>
      </c>
      <c r="I6404">
        <v>172.83</v>
      </c>
      <c r="J6404">
        <v>0.01</v>
      </c>
    </row>
    <row r="6405" spans="1:10" x14ac:dyDescent="0.3">
      <c r="A6405" t="str">
        <f>HYPERLINK("https://us2.cloudbeds.com/connect/10074733072513#/reservations/30683185770745?display=YQVCGWCMC&amp;reservation_id=30683185770745", "YQVCGWCMC")</f>
        <v>YQVCGWCMC</v>
      </c>
      <c r="B6405" t="s">
        <v>10</v>
      </c>
      <c r="C6405" t="s">
        <v>42</v>
      </c>
      <c r="D6405" t="str">
        <f>HYPERLINK("https://us2.cloudbeds.com/connect/10074733072513#/reservations/30683185770745?display=Lance%20Thiry&amp;reservation_id=30683185770745&amp;guest_id=30683185770697", "Lance Thiry")</f>
        <v>Lance Thiry</v>
      </c>
      <c r="E6405" t="s">
        <v>3889</v>
      </c>
      <c r="F6405" t="s">
        <v>2788</v>
      </c>
      <c r="G6405">
        <v>218</v>
      </c>
      <c r="H6405">
        <v>236.98</v>
      </c>
      <c r="I6405">
        <v>236.97</v>
      </c>
      <c r="J6405">
        <v>0.01</v>
      </c>
    </row>
    <row r="6406" spans="1:10" x14ac:dyDescent="0.3">
      <c r="A6406" t="str">
        <f>HYPERLINK("https://us2.cloudbeds.com/connect/10074733072513#/reservations/30684827140250?display=YQWYF0U17&amp;reservation_id=30684827140250", "YQWYF0U17")</f>
        <v>YQWYF0U17</v>
      </c>
      <c r="B6406" t="s">
        <v>10</v>
      </c>
      <c r="C6406" t="s">
        <v>42</v>
      </c>
      <c r="D6406" t="str">
        <f>HYPERLINK("https://us2.cloudbeds.com/connect/10074733072513#/reservations/30684827140250?display=Jazmine%20Seeders&amp;reservation_id=30684827140250&amp;guest_id=30684821430467", "Jazmine Seeders")</f>
        <v>Jazmine Seeders</v>
      </c>
      <c r="E6406" t="s">
        <v>3890</v>
      </c>
      <c r="F6406" t="s">
        <v>3005</v>
      </c>
      <c r="G6406">
        <v>189</v>
      </c>
      <c r="H6406">
        <v>205.45</v>
      </c>
      <c r="I6406">
        <v>205.44</v>
      </c>
      <c r="J6406">
        <v>0.01</v>
      </c>
    </row>
    <row r="6407" spans="1:10" x14ac:dyDescent="0.3">
      <c r="A6407" t="str">
        <f>HYPERLINK("https://us2.cloudbeds.com/connect/10074733072513#/reservations/30684271214828?display=YQW788FCA&amp;reservation_id=30684271214828", "YQW788FCA")</f>
        <v>YQW788FCA</v>
      </c>
      <c r="B6407" t="s">
        <v>10</v>
      </c>
      <c r="C6407" t="s">
        <v>20</v>
      </c>
      <c r="D6407" t="str">
        <f>HYPERLINK("https://us2.cloudbeds.com/connect/10074733072513#/reservations/30684271214828?display=Janet%20Murphy&amp;reservation_id=30684271214828&amp;guest_id=30684271214823", "Janet Murphy")</f>
        <v>Janet Murphy</v>
      </c>
      <c r="E6407" t="s">
        <v>3891</v>
      </c>
      <c r="F6407" t="s">
        <v>3123</v>
      </c>
      <c r="G6407">
        <v>169</v>
      </c>
      <c r="H6407">
        <v>183.71</v>
      </c>
      <c r="I6407">
        <v>183.7</v>
      </c>
      <c r="J6407">
        <v>0.01</v>
      </c>
    </row>
    <row r="6408" spans="1:10" x14ac:dyDescent="0.3">
      <c r="A6408" t="str">
        <f>HYPERLINK("https://us2.cloudbeds.com/connect/10074733072513#/reservations/30685590868188?display=YR07W0P92&amp;reservation_id=30685590868188", "YR07W0P92")</f>
        <v>YR07W0P92</v>
      </c>
      <c r="B6408" t="s">
        <v>10</v>
      </c>
      <c r="C6408" t="s">
        <v>42</v>
      </c>
      <c r="D6408" t="str">
        <f>HYPERLINK("https://us2.cloudbeds.com/connect/10074733072513#/reservations/30685590868188?display=Charity%20Waldner&amp;reservation_id=30685590868188&amp;guest_id=30685590868183", "Charity Waldner")</f>
        <v>Charity Waldner</v>
      </c>
      <c r="E6408" t="s">
        <v>3892</v>
      </c>
      <c r="F6408" t="s">
        <v>3603</v>
      </c>
      <c r="G6408">
        <v>169</v>
      </c>
      <c r="H6408">
        <v>183.71</v>
      </c>
      <c r="I6408">
        <v>183.7</v>
      </c>
      <c r="J6408">
        <v>0.01</v>
      </c>
    </row>
    <row r="6409" spans="1:10" x14ac:dyDescent="0.3">
      <c r="A6409" t="str">
        <f>HYPERLINK("https://us2.cloudbeds.com/connect/10074733072513#/reservations/30685013659803?display=YQWQ7A30T&amp;reservation_id=30685013659803", "YQWQ7A30T")</f>
        <v>YQWQ7A30T</v>
      </c>
      <c r="B6409" t="s">
        <v>10</v>
      </c>
      <c r="C6409" t="s">
        <v>11</v>
      </c>
      <c r="D6409" t="str">
        <f>HYPERLINK("https://us2.cloudbeds.com/connect/10074733072513#/reservations/30685013659803?display=Melissa%20Williams&amp;reservation_id=30685013659803&amp;guest_id=30685013659801", "Melissa Williams")</f>
        <v>Melissa Williams</v>
      </c>
      <c r="E6409" t="s">
        <v>3893</v>
      </c>
      <c r="F6409" t="s">
        <v>3805</v>
      </c>
      <c r="G6409">
        <v>119</v>
      </c>
      <c r="H6409">
        <v>129.36000000000001</v>
      </c>
      <c r="I6409">
        <v>129.35</v>
      </c>
      <c r="J6409">
        <v>0.01</v>
      </c>
    </row>
    <row r="6410" spans="1:10" x14ac:dyDescent="0.3">
      <c r="A6410" t="str">
        <f>HYPERLINK("https://us2.cloudbeds.com/connect/10074733072513#/reservations/30685606092961?display=YR08BSDPR&amp;reservation_id=30685606092961", "YR08BSDPR")</f>
        <v>YR08BSDPR</v>
      </c>
      <c r="B6410" t="s">
        <v>10</v>
      </c>
      <c r="C6410" t="s">
        <v>42</v>
      </c>
      <c r="D6410" t="str">
        <f>HYPERLINK("https://us2.cloudbeds.com/connect/10074733072513#/reservations/30685606092961?display=Rom%20Maymon&amp;reservation_id=30685606092961&amp;guest_id=30685606092946", "Rom Maymon")</f>
        <v>Rom Maymon</v>
      </c>
      <c r="E6410" t="s">
        <v>3894</v>
      </c>
      <c r="F6410" t="s">
        <v>3603</v>
      </c>
      <c r="G6410">
        <v>139</v>
      </c>
      <c r="H6410">
        <v>151.1</v>
      </c>
      <c r="I6410">
        <v>151.09</v>
      </c>
      <c r="J6410">
        <v>0.01</v>
      </c>
    </row>
    <row r="6411" spans="1:10" x14ac:dyDescent="0.3">
      <c r="A6411" t="str">
        <f>HYPERLINK("https://us2.cloudbeds.com/connect/10074733072513#/reservations/30685571162330?display=YR07FDDTS&amp;reservation_id=30685571162330", "YR07FDDTS")</f>
        <v>YR07FDDTS</v>
      </c>
      <c r="B6411" t="s">
        <v>10</v>
      </c>
      <c r="C6411" t="s">
        <v>20</v>
      </c>
      <c r="D6411" t="str">
        <f>HYPERLINK("https://us2.cloudbeds.com/connect/10074733072513#/reservations/30685571162330?display=Howard%20Staska&amp;reservation_id=30685571162330&amp;guest_id=30685571162321", "Howard Staska")</f>
        <v>Howard Staska</v>
      </c>
      <c r="E6411" t="s">
        <v>3895</v>
      </c>
      <c r="F6411" t="s">
        <v>3005</v>
      </c>
      <c r="G6411">
        <v>169</v>
      </c>
      <c r="H6411">
        <v>183.71</v>
      </c>
      <c r="I6411">
        <v>183.7</v>
      </c>
      <c r="J6411">
        <v>0.01</v>
      </c>
    </row>
    <row r="6412" spans="1:10" x14ac:dyDescent="0.3">
      <c r="A6412" t="str">
        <f>HYPERLINK("https://us2.cloudbeds.com/connect/10074733072513#/reservations/30685600080077?display=YR086Q3A7&amp;reservation_id=30685600080077", "YR086Q3A7")</f>
        <v>YR086Q3A7</v>
      </c>
      <c r="B6412" t="s">
        <v>10</v>
      </c>
      <c r="C6412" t="s">
        <v>42</v>
      </c>
      <c r="D6412" t="str">
        <f>HYPERLINK("https://us2.cloudbeds.com/connect/10074733072513#/reservations/30685600080077?display=Carol%20Sonnichsen&amp;reservation_id=30685600080077&amp;guest_id=30685600080065", "Carol Sonnichsen")</f>
        <v>Carol Sonnichsen</v>
      </c>
      <c r="E6412" t="s">
        <v>3896</v>
      </c>
      <c r="F6412" t="s">
        <v>3603</v>
      </c>
      <c r="G6412">
        <v>169</v>
      </c>
      <c r="H6412">
        <v>183.71</v>
      </c>
      <c r="I6412">
        <v>183.7</v>
      </c>
      <c r="J6412">
        <v>0.01</v>
      </c>
    </row>
    <row r="6413" spans="1:10" x14ac:dyDescent="0.3">
      <c r="A6413" t="str">
        <f>HYPERLINK("https://us2.cloudbeds.com/connect/10074733072513#/reservations/30682656125095?display=YQUVWC716&amp;reservation_id=30682656125095", "YQUVWC716")</f>
        <v>YQUVWC716</v>
      </c>
      <c r="B6413" t="s">
        <v>10</v>
      </c>
      <c r="C6413" t="s">
        <v>42</v>
      </c>
      <c r="D6413" t="str">
        <f>HYPERLINK("https://us2.cloudbeds.com/connect/10074733072513#/reservations/30682656125095?display=David%20Lee&amp;reservation_id=30682656125095&amp;guest_id=30682647695578", "David Lee")</f>
        <v>David Lee</v>
      </c>
      <c r="E6413" t="s">
        <v>3900</v>
      </c>
      <c r="F6413" t="s">
        <v>3088</v>
      </c>
      <c r="G6413">
        <v>129</v>
      </c>
      <c r="H6413">
        <v>140.22999999999999</v>
      </c>
      <c r="I6413">
        <v>140.22</v>
      </c>
      <c r="J6413">
        <v>0.01</v>
      </c>
    </row>
    <row r="6414" spans="1:10" x14ac:dyDescent="0.3">
      <c r="A6414" t="str">
        <f>HYPERLINK("https://us2.cloudbeds.com/connect/10074733072513#/reservations/30683956105441?display=YQVW6X2Z0&amp;reservation_id=30683956105441", "YQVW6X2Z0")</f>
        <v>YQVW6X2Z0</v>
      </c>
      <c r="B6414" t="s">
        <v>10</v>
      </c>
      <c r="C6414" t="s">
        <v>23</v>
      </c>
      <c r="D6414" t="str">
        <f>HYPERLINK("https://us2.cloudbeds.com/connect/10074733072513#/reservations/30683956105441?display=Mariah%20Snyder&amp;reservation_id=30683956105441&amp;guest_id=30683956101330", "Mariah Snyder")</f>
        <v>Mariah Snyder</v>
      </c>
      <c r="E6414" t="s">
        <v>3901</v>
      </c>
      <c r="F6414" t="s">
        <v>3272</v>
      </c>
      <c r="G6414">
        <v>298</v>
      </c>
      <c r="H6414">
        <v>323.94</v>
      </c>
      <c r="I6414">
        <v>323.93</v>
      </c>
      <c r="J6414">
        <v>0.01</v>
      </c>
    </row>
    <row r="6415" spans="1:10" x14ac:dyDescent="0.3">
      <c r="A6415" t="str">
        <f>HYPERLINK("https://us2.cloudbeds.com/connect/10074733072513#/reservations/30683953680569?display=YQVW4GK11&amp;reservation_id=30683953680569", "YQVW4GK11")</f>
        <v>YQVW4GK11</v>
      </c>
      <c r="B6415" t="s">
        <v>10</v>
      </c>
      <c r="C6415" t="s">
        <v>20</v>
      </c>
      <c r="D6415" t="str">
        <f>HYPERLINK("https://us2.cloudbeds.com/connect/10074733072513#/reservations/30683953680569?display=Kathy%20Evey&amp;reservation_id=30683953680569&amp;guest_id=30683946750177", "Kathy Evey")</f>
        <v>Kathy Evey</v>
      </c>
      <c r="E6415" t="s">
        <v>3902</v>
      </c>
      <c r="F6415" t="s">
        <v>3272</v>
      </c>
      <c r="G6415">
        <v>122.55</v>
      </c>
      <c r="H6415">
        <v>133.22</v>
      </c>
      <c r="I6415">
        <v>133.21</v>
      </c>
      <c r="J6415">
        <v>0.01</v>
      </c>
    </row>
    <row r="6416" spans="1:10" x14ac:dyDescent="0.3">
      <c r="A6416" t="str">
        <f>HYPERLINK("https://us2.cloudbeds.com/connect/10074733072513#/reservations/30684589838493?display=YQWFCUY2T&amp;reservation_id=30684589838493", "YQWFCUY2T")</f>
        <v>YQWFCUY2T</v>
      </c>
      <c r="B6416" t="s">
        <v>10</v>
      </c>
      <c r="C6416" t="s">
        <v>20</v>
      </c>
      <c r="D6416" t="str">
        <f>HYPERLINK("https://us2.cloudbeds.com/connect/10074733072513#/reservations/30684589838493?display=Stephanie%20Adams&amp;reservation_id=30684589838493&amp;guest_id=30684589834401", "Stephanie Adams")</f>
        <v>Stephanie Adams</v>
      </c>
      <c r="E6416" t="s">
        <v>3903</v>
      </c>
      <c r="F6416" t="s">
        <v>3475</v>
      </c>
      <c r="G6416">
        <v>338</v>
      </c>
      <c r="H6416">
        <v>367.42</v>
      </c>
      <c r="I6416">
        <v>367.41</v>
      </c>
      <c r="J6416">
        <v>0.01</v>
      </c>
    </row>
    <row r="6417" spans="1:10" x14ac:dyDescent="0.3">
      <c r="A6417" t="str">
        <f>HYPERLINK("https://us2.cloudbeds.com/connect/10074733072513#/reservations/30685425176800?display=YR03ZA57U&amp;reservation_id=30685425176800", "YR03ZA57U")</f>
        <v>YR03ZA57U</v>
      </c>
      <c r="B6417" t="s">
        <v>10</v>
      </c>
      <c r="C6417" t="s">
        <v>42</v>
      </c>
      <c r="D6417" t="str">
        <f>HYPERLINK("https://us2.cloudbeds.com/connect/10074733072513#/reservations/30685425176800?display=Susan%20Myren&amp;reservation_id=30685425176800&amp;guest_id=30685033234633", "Susan Myren")</f>
        <v>Susan Myren</v>
      </c>
      <c r="E6417" t="s">
        <v>3904</v>
      </c>
      <c r="F6417" t="s">
        <v>3863</v>
      </c>
      <c r="G6417">
        <v>321.3</v>
      </c>
      <c r="H6417">
        <v>349.26</v>
      </c>
      <c r="I6417">
        <v>349.25</v>
      </c>
      <c r="J6417">
        <v>0.01</v>
      </c>
    </row>
    <row r="6418" spans="1:10" x14ac:dyDescent="0.3">
      <c r="A6418" t="str">
        <f>HYPERLINK("https://us2.cloudbeds.com/connect/10074733072513#/reservations/30684959109270?display=YQWZRA4NE&amp;reservation_id=30684959109270", "YQWZRA4NE")</f>
        <v>YQWZRA4NE</v>
      </c>
      <c r="B6418" t="s">
        <v>10</v>
      </c>
      <c r="C6418" t="s">
        <v>11</v>
      </c>
      <c r="D6418" t="str">
        <f>HYPERLINK("https://us2.cloudbeds.com/connect/10074733072513#/reservations/30684959109270?display=Laurie%20Curtis&amp;reservation_id=30684959109270&amp;guest_id=30656899784880", "Laurie Curtis")</f>
        <v>Laurie Curtis</v>
      </c>
      <c r="E6418" t="s">
        <v>892</v>
      </c>
      <c r="F6418" t="s">
        <v>3372</v>
      </c>
      <c r="G6418">
        <v>80.38</v>
      </c>
      <c r="H6418">
        <v>87.38</v>
      </c>
      <c r="I6418">
        <v>87.37</v>
      </c>
      <c r="J6418">
        <v>0.01</v>
      </c>
    </row>
    <row r="6419" spans="1:10" x14ac:dyDescent="0.3">
      <c r="A6419" t="str">
        <f>HYPERLINK("https://us2.cloudbeds.com/connect/10074733072513#/reservations/30685392187569?display=YR02TG638&amp;reservation_id=30685392187569", "YR02TG638")</f>
        <v>YR02TG638</v>
      </c>
      <c r="B6419" t="s">
        <v>10</v>
      </c>
      <c r="C6419" t="s">
        <v>42</v>
      </c>
      <c r="D6419" t="str">
        <f>HYPERLINK("https://us2.cloudbeds.com/connect/10074733072513#/reservations/30685392187569?display=Eric%20Hall&amp;reservation_id=30685392187569&amp;guest_id=30685392187556", "Eric Hall")</f>
        <v>Eric Hall</v>
      </c>
      <c r="E6419" t="s">
        <v>3905</v>
      </c>
      <c r="F6419" t="s">
        <v>3863</v>
      </c>
      <c r="G6419">
        <v>238</v>
      </c>
      <c r="H6419">
        <v>258.72000000000003</v>
      </c>
      <c r="I6419">
        <v>258.70999999999998</v>
      </c>
      <c r="J6419">
        <v>0.01</v>
      </c>
    </row>
    <row r="6420" spans="1:10" x14ac:dyDescent="0.3">
      <c r="A6420" t="str">
        <f>HYPERLINK("https://us2.cloudbeds.com/connect/10074733072513#/reservations/30684639813776?display=YQWGM292D&amp;reservation_id=30684639813776", "YQWGM292D")</f>
        <v>YQWGM292D</v>
      </c>
      <c r="B6420" t="s">
        <v>10</v>
      </c>
      <c r="C6420" t="s">
        <v>42</v>
      </c>
      <c r="D6420" t="str">
        <f>HYPERLINK("https://us2.cloudbeds.com/connect/10074733072513#/reservations/30684639813776?display=Angie%20Cauwels&amp;reservation_id=30684639813776&amp;guest_id=30684639813771", "Angie Cauwels")</f>
        <v>Angie Cauwels</v>
      </c>
      <c r="E6420" t="s">
        <v>3906</v>
      </c>
      <c r="F6420" t="s">
        <v>3854</v>
      </c>
      <c r="G6420">
        <v>119</v>
      </c>
      <c r="H6420">
        <v>129.36000000000001</v>
      </c>
      <c r="I6420">
        <v>129.35</v>
      </c>
      <c r="J6420">
        <v>0.01</v>
      </c>
    </row>
    <row r="6421" spans="1:10" x14ac:dyDescent="0.3">
      <c r="A6421" t="str">
        <f>HYPERLINK("https://us2.cloudbeds.com/connect/10074733072513#/reservations/30684638474472?display=YQWGKV07E&amp;reservation_id=30684638474472", "YQWGKV07E")</f>
        <v>YQWGKV07E</v>
      </c>
      <c r="B6421" t="s">
        <v>10</v>
      </c>
      <c r="C6421" t="s">
        <v>42</v>
      </c>
      <c r="D6421" t="str">
        <f>HYPERLINK("https://us2.cloudbeds.com/connect/10074733072513#/reservations/30684638474472?display=Richard%20Rudd&amp;reservation_id=30684638474472&amp;guest_id=30684629921941", "Richard Rudd")</f>
        <v>Richard Rudd</v>
      </c>
      <c r="E6421" t="s">
        <v>3907</v>
      </c>
      <c r="F6421" t="s">
        <v>3854</v>
      </c>
      <c r="G6421">
        <v>119</v>
      </c>
      <c r="H6421">
        <v>129.36000000000001</v>
      </c>
      <c r="I6421">
        <v>129.35</v>
      </c>
      <c r="J6421">
        <v>0.01</v>
      </c>
    </row>
    <row r="6422" spans="1:10" x14ac:dyDescent="0.3">
      <c r="A6422" t="str">
        <f>HYPERLINK("https://us2.cloudbeds.com/connect/10074733072513#/reservations/30684296843478?display=YQW7TSKG2&amp;reservation_id=30684296843478", "YQW7TSKG2")</f>
        <v>YQW7TSKG2</v>
      </c>
      <c r="B6422" t="s">
        <v>10</v>
      </c>
      <c r="C6422" t="s">
        <v>42</v>
      </c>
      <c r="D6422" t="str">
        <f>HYPERLINK("https://us2.cloudbeds.com/connect/10074733072513#/reservations/30684296843478?display=David%20Emig&amp;reservation_id=30684296843478&amp;guest_id=30684296843475", "David Emig")</f>
        <v>David Emig</v>
      </c>
      <c r="E6422" t="s">
        <v>3908</v>
      </c>
      <c r="F6422" t="s">
        <v>3909</v>
      </c>
      <c r="G6422">
        <v>169</v>
      </c>
      <c r="H6422">
        <v>183.71</v>
      </c>
      <c r="I6422">
        <v>183.7</v>
      </c>
      <c r="J6422">
        <v>0.01</v>
      </c>
    </row>
    <row r="6423" spans="1:10" x14ac:dyDescent="0.3">
      <c r="A6423" t="str">
        <f>HYPERLINK("https://us2.cloudbeds.com/connect/10074733072513#/reservations/30682583359648?display=YQUU40DEY&amp;reservation_id=30682583359648", "YQUU40DEY")</f>
        <v>YQUU40DEY</v>
      </c>
      <c r="B6423" t="s">
        <v>10</v>
      </c>
      <c r="C6423" t="s">
        <v>17</v>
      </c>
      <c r="D6423" t="str">
        <f>HYPERLINK("https://us2.cloudbeds.com/connect/10074733072513#/reservations/30682583359648?display=Taylor%20Vining&amp;reservation_id=30682583359648&amp;guest_id=30682583359630", "Taylor Vining")</f>
        <v>Taylor Vining</v>
      </c>
      <c r="E6423" t="s">
        <v>3910</v>
      </c>
      <c r="F6423" t="s">
        <v>2633</v>
      </c>
      <c r="G6423">
        <v>318</v>
      </c>
      <c r="H6423">
        <v>345.68</v>
      </c>
      <c r="I6423">
        <v>345.67</v>
      </c>
      <c r="J6423">
        <v>0.01</v>
      </c>
    </row>
    <row r="6424" spans="1:10" x14ac:dyDescent="0.3">
      <c r="A6424" t="str">
        <f>HYPERLINK("https://us2.cloudbeds.com/connect/10074733072513#/reservations/30684537520323?display=YQWE1QQMQ&amp;reservation_id=30684537520323", "YQWE1QQMQ")</f>
        <v>YQWE1QQMQ</v>
      </c>
      <c r="B6424" t="s">
        <v>10</v>
      </c>
      <c r="C6424" t="s">
        <v>11</v>
      </c>
      <c r="D6424" t="str">
        <f>HYPERLINK("https://us2.cloudbeds.com/connect/10074733072513#/reservations/30684537520323?display=Jill%20Hafermann&amp;reservation_id=30684537520323&amp;guest_id=30684537516278", "Jill Hafermann")</f>
        <v>Jill Hafermann</v>
      </c>
      <c r="E6424" t="s">
        <v>3911</v>
      </c>
      <c r="F6424" t="s">
        <v>3475</v>
      </c>
      <c r="G6424">
        <v>211.88</v>
      </c>
      <c r="H6424">
        <v>230.32</v>
      </c>
      <c r="I6424">
        <v>230.31</v>
      </c>
      <c r="J6424">
        <v>0.01</v>
      </c>
    </row>
    <row r="6425" spans="1:10" x14ac:dyDescent="0.3">
      <c r="A6425" t="str">
        <f>HYPERLINK("https://us2.cloudbeds.com/connect/10074733072513#/reservations/30682593267962?display=YQUUCC3WJ&amp;reservation_id=30682593267962", "YQUUCC3WJ")</f>
        <v>YQUUCC3WJ</v>
      </c>
      <c r="B6425" t="s">
        <v>10</v>
      </c>
      <c r="C6425" t="s">
        <v>23</v>
      </c>
      <c r="D6425" t="str">
        <f>HYPERLINK("https://us2.cloudbeds.com/connect/10074733072513#/reservations/30682593267962?display=Josh%20Greeney&amp;reservation_id=30682593267962&amp;guest_id=30668569321607", "Josh Greeney")</f>
        <v>Josh Greeney</v>
      </c>
      <c r="E6425" t="s">
        <v>2390</v>
      </c>
      <c r="F6425" t="s">
        <v>2633</v>
      </c>
      <c r="G6425">
        <v>149</v>
      </c>
      <c r="H6425">
        <v>161.97</v>
      </c>
      <c r="I6425">
        <v>161.96</v>
      </c>
      <c r="J6425">
        <v>0.01</v>
      </c>
    </row>
    <row r="6426" spans="1:10" x14ac:dyDescent="0.3">
      <c r="A6426" t="str">
        <f>HYPERLINK("https://us2.cloudbeds.com/connect/10074733072513#/reservations/30684958683335?display=YQWZQV9JA&amp;reservation_id=30684958683335", "YQWZQV9JA")</f>
        <v>YQWZQV9JA</v>
      </c>
      <c r="B6426" t="s">
        <v>10</v>
      </c>
      <c r="C6426" t="s">
        <v>42</v>
      </c>
      <c r="D6426" t="str">
        <f>HYPERLINK("https://us2.cloudbeds.com/connect/10074733072513#/reservations/30684958683335?display=Brock%20Smith&amp;reservation_id=30684958683335&amp;guest_id=30684958679251", "Brock Smith")</f>
        <v>Brock Smith</v>
      </c>
      <c r="E6426" t="s">
        <v>3409</v>
      </c>
      <c r="F6426" t="s">
        <v>3805</v>
      </c>
      <c r="G6426">
        <v>192</v>
      </c>
      <c r="H6426">
        <v>208.71</v>
      </c>
      <c r="I6426">
        <v>208.7</v>
      </c>
      <c r="J6426">
        <v>0.01</v>
      </c>
    </row>
    <row r="6427" spans="1:10" x14ac:dyDescent="0.3">
      <c r="A6427" t="str">
        <f>HYPERLINK("https://us2.cloudbeds.com/connect/10074733072513#/reservations/30684000059544?display=YQW0AK5KH&amp;reservation_id=30684000059544", "YQW0AK5KH")</f>
        <v>YQW0AK5KH</v>
      </c>
      <c r="B6427" t="s">
        <v>10</v>
      </c>
      <c r="C6427" t="s">
        <v>121</v>
      </c>
      <c r="D6427" t="str">
        <f>HYPERLINK("https://us2.cloudbeds.com/connect/10074733072513#/reservations/30684000059544?display=Anna%20Okerson&amp;reservation_id=30684000059544&amp;guest_id=30684000059540", "Anna Okerson")</f>
        <v>Anna Okerson</v>
      </c>
      <c r="E6427" t="s">
        <v>3913</v>
      </c>
      <c r="F6427" t="s">
        <v>3854</v>
      </c>
      <c r="G6427">
        <v>119</v>
      </c>
      <c r="H6427">
        <v>129.36000000000001</v>
      </c>
      <c r="I6427">
        <v>129.35</v>
      </c>
      <c r="J6427">
        <v>0.01</v>
      </c>
    </row>
    <row r="6428" spans="1:10" x14ac:dyDescent="0.3">
      <c r="A6428" t="str">
        <f>HYPERLINK("https://us2.cloudbeds.com/connect/10074733072513#/reservations/30684567142542?display=YQWEQQ2WQ&amp;reservation_id=30684567142542", "YQWEQQ2WQ")</f>
        <v>YQWEQQ2WQ</v>
      </c>
      <c r="B6428" t="s">
        <v>10</v>
      </c>
      <c r="C6428" t="s">
        <v>14</v>
      </c>
      <c r="D6428" t="str">
        <f>HYPERLINK("https://us2.cloudbeds.com/connect/10074733072513#/reservations/30684567142542?display=Debbie%20Muzio&amp;reservation_id=30684567142542&amp;guest_id=30684567142539", "Debbie Muzio")</f>
        <v>Debbie Muzio</v>
      </c>
      <c r="E6428" t="s">
        <v>3914</v>
      </c>
      <c r="F6428" t="s">
        <v>3475</v>
      </c>
      <c r="G6428">
        <v>226.1</v>
      </c>
      <c r="H6428">
        <v>245.78</v>
      </c>
      <c r="I6428">
        <v>245.77</v>
      </c>
      <c r="J6428">
        <v>0.01</v>
      </c>
    </row>
    <row r="6429" spans="1:10" x14ac:dyDescent="0.3">
      <c r="A6429" t="str">
        <f>HYPERLINK("https://us2.cloudbeds.com/connect/10074733072513#/reservations/30682895839392?display=YQV53GKBQ&amp;reservation_id=30682895839392", "YQV53GKBQ")</f>
        <v>YQV53GKBQ</v>
      </c>
      <c r="B6429" t="s">
        <v>10</v>
      </c>
      <c r="C6429" t="s">
        <v>42</v>
      </c>
      <c r="D6429" t="str">
        <f>HYPERLINK("https://us2.cloudbeds.com/connect/10074733072513#/reservations/30682895839392?display=Tammy%20Koupal&amp;reservation_id=30682895839392&amp;guest_id=30682895839390", "Tammy Koupal")</f>
        <v>Tammy Koupal</v>
      </c>
      <c r="E6429" t="s">
        <v>3916</v>
      </c>
      <c r="F6429" t="s">
        <v>3332</v>
      </c>
      <c r="G6429">
        <v>109</v>
      </c>
      <c r="H6429">
        <v>118.49</v>
      </c>
      <c r="I6429">
        <v>118.48</v>
      </c>
      <c r="J6429">
        <v>0.01</v>
      </c>
    </row>
    <row r="6430" spans="1:10" x14ac:dyDescent="0.3">
      <c r="A6430" t="str">
        <f>HYPERLINK("https://us2.cloudbeds.com/connect/10074733072513#/reservations/30683702558849?display=YQVPNZPXV&amp;reservation_id=30683702558849", "YQVPNZPXV")</f>
        <v>YQVPNZPXV</v>
      </c>
      <c r="B6430" t="s">
        <v>10</v>
      </c>
      <c r="C6430" t="s">
        <v>14</v>
      </c>
      <c r="D6430" t="str">
        <f>HYPERLINK("https://us2.cloudbeds.com/connect/10074733072513#/reservations/30683702558849?display=Julie%20Wessman&amp;reservation_id=30683702558849&amp;guest_id=30683690860768", "Julie Wessman")</f>
        <v>Julie Wessman</v>
      </c>
      <c r="E6430" t="s">
        <v>3917</v>
      </c>
      <c r="F6430" t="s">
        <v>3123</v>
      </c>
      <c r="G6430">
        <v>322.2</v>
      </c>
      <c r="H6430">
        <v>350.24</v>
      </c>
      <c r="I6430">
        <v>350.23</v>
      </c>
      <c r="J6430">
        <v>0.01</v>
      </c>
    </row>
    <row r="6431" spans="1:10" x14ac:dyDescent="0.3">
      <c r="A6431" t="str">
        <f>HYPERLINK("https://us2.cloudbeds.com/connect/10074733072513#/reservations/30683990433949?display=YQW02GAMR&amp;reservation_id=30683990433949", "YQW02GAMR")</f>
        <v>YQW02GAMR</v>
      </c>
      <c r="B6431" t="s">
        <v>10</v>
      </c>
      <c r="C6431" t="s">
        <v>20</v>
      </c>
      <c r="D6431" t="str">
        <f>HYPERLINK("https://us2.cloudbeds.com/connect/10074733072513#/reservations/30683990433949?display=Martie%20Elmore&amp;reservation_id=30683990433949&amp;guest_id=30683990433946", "Martie Elmore")</f>
        <v>Martie Elmore</v>
      </c>
      <c r="E6431" t="s">
        <v>3919</v>
      </c>
      <c r="F6431" t="s">
        <v>3854</v>
      </c>
      <c r="G6431">
        <v>101.75</v>
      </c>
      <c r="H6431">
        <v>110.61</v>
      </c>
      <c r="I6431">
        <v>110.6</v>
      </c>
      <c r="J6431">
        <v>0.01</v>
      </c>
    </row>
    <row r="6432" spans="1:10" x14ac:dyDescent="0.3">
      <c r="A6432" t="str">
        <f>HYPERLINK("https://us2.cloudbeds.com/connect/10074733072513#/reservations/30683082018968?display=YQV9SGB54&amp;reservation_id=30683082018968", "YQV9SGB54")</f>
        <v>YQV9SGB54</v>
      </c>
      <c r="B6432" t="s">
        <v>10</v>
      </c>
      <c r="C6432" t="s">
        <v>42</v>
      </c>
      <c r="D6432" t="str">
        <f>HYPERLINK("https://us2.cloudbeds.com/connect/10074733072513#/reservations/30683082018968?display=Tea%20School%20District&amp;reservation_id=30683082018968&amp;guest_id=30683082018964", "Tea School District")</f>
        <v>Tea School District</v>
      </c>
      <c r="E6432" t="s">
        <v>3921</v>
      </c>
      <c r="F6432" t="s">
        <v>3922</v>
      </c>
      <c r="G6432">
        <v>444</v>
      </c>
      <c r="H6432">
        <v>482.64</v>
      </c>
      <c r="I6432">
        <v>482.63</v>
      </c>
      <c r="J6432">
        <v>0.01</v>
      </c>
    </row>
    <row r="6433" spans="1:10" x14ac:dyDescent="0.3">
      <c r="A6433" t="str">
        <f>HYPERLINK("https://us2.cloudbeds.com/connect/10074733072513#/reservations/30682127777952?display=YQUXFS5PN&amp;reservation_id=30682127777952", "YQUXFS5PN")</f>
        <v>YQUXFS5PN</v>
      </c>
      <c r="B6433" t="s">
        <v>10</v>
      </c>
      <c r="C6433" t="s">
        <v>42</v>
      </c>
      <c r="D6433" t="str">
        <f>HYPERLINK("https://us2.cloudbeds.com/connect/10074733072513#/reservations/30682127777952?display=Jenny%20Bohls&amp;reservation_id=30682127777952&amp;guest_id=30682127773859", "Jenny Bohls")</f>
        <v>Jenny Bohls</v>
      </c>
      <c r="E6433" t="s">
        <v>3684</v>
      </c>
      <c r="F6433" t="s">
        <v>3526</v>
      </c>
      <c r="G6433">
        <v>109</v>
      </c>
      <c r="H6433">
        <v>118.49</v>
      </c>
      <c r="I6433">
        <v>118.48</v>
      </c>
      <c r="J6433">
        <v>0.01</v>
      </c>
    </row>
    <row r="6434" spans="1:10" x14ac:dyDescent="0.3">
      <c r="A6434" t="str">
        <f>HYPERLINK("https://us2.cloudbeds.com/connect/10074733072513#/reservations/30685460431086?display=YR04Y15AK&amp;reservation_id=30685460431086", "YR04Y15AK")</f>
        <v>YR04Y15AK</v>
      </c>
      <c r="B6434" t="s">
        <v>10</v>
      </c>
      <c r="C6434" t="s">
        <v>17</v>
      </c>
      <c r="D6434" t="str">
        <f>HYPERLINK("https://us2.cloudbeds.com/connect/10074733072513#/reservations/30685460431086?display=Austin%20Lesmann&amp;reservation_id=30685460431086&amp;guest_id=30685453762711", "Austin Lesmann")</f>
        <v>Austin Lesmann</v>
      </c>
      <c r="E6434" t="s">
        <v>3923</v>
      </c>
      <c r="F6434" t="s">
        <v>3863</v>
      </c>
      <c r="G6434">
        <v>119</v>
      </c>
      <c r="H6434">
        <v>129.36000000000001</v>
      </c>
      <c r="I6434">
        <v>129.35</v>
      </c>
      <c r="J6434">
        <v>0.01</v>
      </c>
    </row>
    <row r="6435" spans="1:10" x14ac:dyDescent="0.3">
      <c r="A6435" t="str">
        <f>HYPERLINK("https://us2.cloudbeds.com/connect/10074733072513#/reservations/30683846709451?display=YQVTD9W90&amp;reservation_id=30683846709451", "YQVTD9W90")</f>
        <v>YQVTD9W90</v>
      </c>
      <c r="B6435" t="s">
        <v>10</v>
      </c>
      <c r="C6435" t="s">
        <v>14</v>
      </c>
      <c r="D6435" t="str">
        <f>HYPERLINK("https://us2.cloudbeds.com/connect/10074733072513#/reservations/30683846709451?display=Brian%20Paulsen&amp;reservation_id=30683846709451&amp;guest_id=30683846705355", "Brian Paulsen")</f>
        <v>Brian Paulsen</v>
      </c>
      <c r="E6435" t="s">
        <v>3924</v>
      </c>
      <c r="F6435" t="s">
        <v>3909</v>
      </c>
      <c r="G6435">
        <v>169</v>
      </c>
      <c r="H6435">
        <v>183.71</v>
      </c>
      <c r="I6435">
        <v>183.7</v>
      </c>
      <c r="J6435">
        <v>0.01</v>
      </c>
    </row>
    <row r="6436" spans="1:10" x14ac:dyDescent="0.3">
      <c r="A6436" t="str">
        <f>HYPERLINK("https://us2.cloudbeds.com/connect/10074733072513#/reservations/30685372690671?display=YR02D1YK5&amp;reservation_id=30685372690671", "YR02D1YK5")</f>
        <v>YR02D1YK5</v>
      </c>
      <c r="B6436" t="s">
        <v>10</v>
      </c>
      <c r="C6436" t="s">
        <v>42</v>
      </c>
      <c r="D6436" t="str">
        <f>HYPERLINK("https://us2.cloudbeds.com/connect/10074733072513#/reservations/30685372690671?display=Jason%20Doherty&amp;reservation_id=30685372690671&amp;guest_id=30685365620888", "Jason Doherty")</f>
        <v>Jason Doherty</v>
      </c>
      <c r="E6436" t="s">
        <v>3925</v>
      </c>
      <c r="F6436" t="s">
        <v>3863</v>
      </c>
      <c r="G6436">
        <v>99</v>
      </c>
      <c r="H6436">
        <v>107.62</v>
      </c>
      <c r="I6436">
        <v>107.61</v>
      </c>
      <c r="J6436">
        <v>0.01</v>
      </c>
    </row>
    <row r="6437" spans="1:10" x14ac:dyDescent="0.3">
      <c r="A6437" t="str">
        <f>HYPERLINK("https://us2.cloudbeds.com/connect/10074733072513#/reservations/30684589834403?display=YQWFCUHAV&amp;reservation_id=30684589834403", "YQWFCUHAV")</f>
        <v>YQWFCUHAV</v>
      </c>
      <c r="B6437" t="s">
        <v>10</v>
      </c>
      <c r="C6437" t="s">
        <v>20</v>
      </c>
      <c r="D6437" t="str">
        <f>HYPERLINK("https://us2.cloudbeds.com/connect/10074733072513#/reservations/30684589834403?display=Paul%20Leddon&amp;reservation_id=30684589834403&amp;guest_id=30684589834398", "Paul Leddon")</f>
        <v>Paul Leddon</v>
      </c>
      <c r="E6437" t="s">
        <v>3926</v>
      </c>
      <c r="F6437" t="s">
        <v>3854</v>
      </c>
      <c r="G6437">
        <v>101.75</v>
      </c>
      <c r="H6437">
        <v>110.61</v>
      </c>
      <c r="I6437">
        <v>110.6</v>
      </c>
      <c r="J6437">
        <v>0.01</v>
      </c>
    </row>
    <row r="6438" spans="1:10" x14ac:dyDescent="0.3">
      <c r="A6438" t="str">
        <f>HYPERLINK("https://us2.cloudbeds.com/connect/10074733072513#/reservations/30684803289236?display=YQWKRU797&amp;reservation_id=30684803289236", "YQWKRU797")</f>
        <v>YQWKRU797</v>
      </c>
      <c r="B6438" t="s">
        <v>10</v>
      </c>
      <c r="C6438" t="s">
        <v>42</v>
      </c>
      <c r="D6438" t="str">
        <f>HYPERLINK("https://us2.cloudbeds.com/connect/10074733072513#/reservations/30684803289236?display=Bruce%20Vanderwall&amp;reservation_id=30684803289236&amp;guest_id=30684803289231", "Bruce Vanderwall")</f>
        <v>Bruce Vanderwall</v>
      </c>
      <c r="E6438" t="s">
        <v>3927</v>
      </c>
      <c r="F6438" t="s">
        <v>3920</v>
      </c>
      <c r="G6438">
        <v>321.3</v>
      </c>
      <c r="H6438">
        <v>349.26</v>
      </c>
      <c r="I6438">
        <v>349.25</v>
      </c>
      <c r="J6438">
        <v>0.01</v>
      </c>
    </row>
    <row r="6439" spans="1:10" x14ac:dyDescent="0.3">
      <c r="A6439" t="str">
        <f>HYPERLINK("https://us2.cloudbeds.com/connect/10074733072513#/reservations/30685376495810?display=YR02G8HPD&amp;reservation_id=30685376495810", "YR02G8HPD")</f>
        <v>YR02G8HPD</v>
      </c>
      <c r="B6439" t="s">
        <v>10</v>
      </c>
      <c r="C6439" t="s">
        <v>42</v>
      </c>
      <c r="D6439" t="str">
        <f>HYPERLINK("https://us2.cloudbeds.com/connect/10074733072513#/reservations/30685376495810?display=Joe%20Petrzilka&amp;reservation_id=30685376495810&amp;guest_id=30647509704857", "Joe Petrzilka")</f>
        <v>Joe Petrzilka</v>
      </c>
      <c r="E6439" t="s">
        <v>3930</v>
      </c>
      <c r="F6439" t="s">
        <v>3863</v>
      </c>
      <c r="G6439">
        <v>79</v>
      </c>
      <c r="H6439">
        <v>85.88</v>
      </c>
      <c r="I6439">
        <v>85.87</v>
      </c>
      <c r="J6439">
        <v>0.01</v>
      </c>
    </row>
    <row r="6440" spans="1:10" x14ac:dyDescent="0.3">
      <c r="A6440" t="str">
        <f>HYPERLINK("https://us2.cloudbeds.com/connect/10074733072513#/reservations/30683597451472?display=YQVN1407U&amp;reservation_id=30683597451472", "YQVN1407U")</f>
        <v>YQVN1407U</v>
      </c>
      <c r="B6440" t="s">
        <v>10</v>
      </c>
      <c r="C6440" t="s">
        <v>42</v>
      </c>
      <c r="D6440" t="str">
        <f>HYPERLINK("https://us2.cloudbeds.com/connect/10074733072513#/reservations/30683597451472?display=Cindy%20Hopper&amp;reservation_id=30683597451472&amp;guest_id=30683592020201", "Cindy Hopper")</f>
        <v>Cindy Hopper</v>
      </c>
      <c r="E6440" t="s">
        <v>3931</v>
      </c>
      <c r="F6440" t="s">
        <v>3526</v>
      </c>
      <c r="G6440">
        <v>109</v>
      </c>
      <c r="H6440">
        <v>118.49</v>
      </c>
      <c r="I6440">
        <v>118.48</v>
      </c>
      <c r="J6440">
        <v>0.01</v>
      </c>
    </row>
    <row r="6441" spans="1:10" x14ac:dyDescent="0.3">
      <c r="A6441" t="str">
        <f>HYPERLINK("https://us2.cloudbeds.com/connect/10074733072513#/reservations/30684284211348?display=YQW7J73Z8&amp;reservation_id=30684284211348", "YQW7J73Z8")</f>
        <v>YQW7J73Z8</v>
      </c>
      <c r="B6441" t="s">
        <v>10</v>
      </c>
      <c r="C6441" t="s">
        <v>42</v>
      </c>
      <c r="D6441" t="str">
        <f>HYPERLINK("https://us2.cloudbeds.com/connect/10074733072513#/reservations/30684284211348?display=Julie%20Snavely&amp;reservation_id=30684284211348&amp;guest_id=30682828746910", "Julie Snavely")</f>
        <v>Julie Snavely</v>
      </c>
      <c r="E6441" t="s">
        <v>3933</v>
      </c>
      <c r="F6441" t="s">
        <v>3123</v>
      </c>
      <c r="G6441">
        <v>218</v>
      </c>
      <c r="H6441">
        <v>236.98</v>
      </c>
      <c r="I6441">
        <v>236.97</v>
      </c>
      <c r="J6441">
        <v>0.01</v>
      </c>
    </row>
    <row r="6442" spans="1:10" x14ac:dyDescent="0.3">
      <c r="A6442" t="str">
        <f>HYPERLINK("https://us2.cloudbeds.com/connect/10074733072513#/reservations/30683795361952?display=YQVS30576&amp;reservation_id=30683795361952", "YQVS30576")</f>
        <v>YQVS30576</v>
      </c>
      <c r="B6442" t="s">
        <v>10</v>
      </c>
      <c r="C6442" t="s">
        <v>42</v>
      </c>
      <c r="D6442" t="str">
        <f>HYPERLINK("https://us2.cloudbeds.com/connect/10074733072513#/reservations/30683795361952?display=Chelscy%20Baer&amp;reservation_id=30683795361952&amp;guest_id=30683795361950", "Chelscy Baer")</f>
        <v>Chelscy Baer</v>
      </c>
      <c r="E6442" t="s">
        <v>3935</v>
      </c>
      <c r="F6442" t="s">
        <v>2659</v>
      </c>
      <c r="G6442">
        <v>258</v>
      </c>
      <c r="H6442">
        <v>280.45999999999998</v>
      </c>
      <c r="I6442">
        <v>280.45</v>
      </c>
      <c r="J6442">
        <v>0.01</v>
      </c>
    </row>
    <row r="6443" spans="1:10" x14ac:dyDescent="0.3">
      <c r="A6443" t="str">
        <f>HYPERLINK("https://us2.cloudbeds.com/connect/10074733072513#/reservations/30685453758618?display=YR04FDG5K&amp;reservation_id=30685453758618", "YR04FDG5K")</f>
        <v>YR04FDG5K</v>
      </c>
      <c r="B6443" t="s">
        <v>10</v>
      </c>
      <c r="C6443" t="s">
        <v>23</v>
      </c>
      <c r="D6443" t="str">
        <f>HYPERLINK("https://us2.cloudbeds.com/connect/10074733072513#/reservations/30685453758618?display=Morganne%20Masters&amp;reservation_id=30685453758618&amp;guest_id=30685444935811", "Morganne Masters")</f>
        <v>Morganne Masters</v>
      </c>
      <c r="E6443" t="s">
        <v>3936</v>
      </c>
      <c r="F6443" t="s">
        <v>3863</v>
      </c>
      <c r="G6443">
        <v>159</v>
      </c>
      <c r="H6443">
        <v>172.84</v>
      </c>
      <c r="I6443">
        <v>172.83</v>
      </c>
      <c r="J6443">
        <v>0.01</v>
      </c>
    </row>
    <row r="6444" spans="1:10" x14ac:dyDescent="0.3">
      <c r="A6444" t="str">
        <f>HYPERLINK("https://us2.cloudbeds.com/connect/10074733072513#/reservations/30684865454273?display=YQWMEB1Q7&amp;reservation_id=30684865454273", "YQWMEB1Q7")</f>
        <v>YQWMEB1Q7</v>
      </c>
      <c r="B6444" t="s">
        <v>10</v>
      </c>
      <c r="C6444" t="s">
        <v>42</v>
      </c>
      <c r="D6444" t="str">
        <f>HYPERLINK("https://us2.cloudbeds.com/connect/10074733072513#/reservations/30684865454273?display=Phyllis%20Brown&amp;reservation_id=30684865454273&amp;guest_id=30684865450177", "Phyllis Brown")</f>
        <v>Phyllis Brown</v>
      </c>
      <c r="E6444" t="s">
        <v>3937</v>
      </c>
      <c r="F6444" t="s">
        <v>3805</v>
      </c>
      <c r="G6444">
        <v>129</v>
      </c>
      <c r="H6444">
        <v>140.22999999999999</v>
      </c>
      <c r="I6444">
        <v>140.22</v>
      </c>
      <c r="J6444">
        <v>0.01</v>
      </c>
    </row>
    <row r="6445" spans="1:10" x14ac:dyDescent="0.3">
      <c r="A6445" t="str">
        <f>HYPERLINK("https://us2.cloudbeds.com/connect/10074733072513#/reservations/30684849479817?display=YQWM0SHSQ&amp;reservation_id=30684849479817", "YQWM0SHSQ")</f>
        <v>YQWM0SHSQ</v>
      </c>
      <c r="B6445" t="s">
        <v>10</v>
      </c>
      <c r="C6445" t="s">
        <v>11</v>
      </c>
      <c r="D6445" t="str">
        <f>HYPERLINK("https://us2.cloudbeds.com/connect/10074733072513#/reservations/30684849479817?display=Mike%20Blexrud&amp;reservation_id=30684849479817&amp;guest_id=30684849479815", "Mike Blexrud")</f>
        <v>Mike Blexrud</v>
      </c>
      <c r="E6445" t="s">
        <v>2955</v>
      </c>
      <c r="F6445" t="s">
        <v>3920</v>
      </c>
      <c r="G6445">
        <v>148.9</v>
      </c>
      <c r="H6445">
        <v>161.86000000000001</v>
      </c>
      <c r="I6445">
        <v>161.85</v>
      </c>
      <c r="J6445">
        <v>0.01</v>
      </c>
    </row>
    <row r="6446" spans="1:10" x14ac:dyDescent="0.3">
      <c r="A6446" t="str">
        <f>HYPERLINK("https://us2.cloudbeds.com/connect/10074733072513#/reservations/30684714193118?display=YQWXXPWYS&amp;reservation_id=30684714193118", "YQWXXPWYS")</f>
        <v>YQWXXPWYS</v>
      </c>
      <c r="B6446" t="s">
        <v>10</v>
      </c>
      <c r="C6446" t="s">
        <v>11</v>
      </c>
      <c r="D6446" t="str">
        <f>HYPERLINK("https://us2.cloudbeds.com/connect/10074733072513#/reservations/30684714193118?display=Lisa%20Dickmeyer&amp;reservation_id=30684714193118&amp;guest_id=30684714193104", "Lisa Dickmeyer")</f>
        <v>Lisa Dickmeyer</v>
      </c>
      <c r="E6446" t="s">
        <v>3944</v>
      </c>
      <c r="F6446" t="s">
        <v>3381</v>
      </c>
      <c r="G6446">
        <v>129</v>
      </c>
      <c r="H6446">
        <v>140.22999999999999</v>
      </c>
      <c r="I6446">
        <v>140.22</v>
      </c>
      <c r="J6446">
        <v>0.01</v>
      </c>
    </row>
    <row r="6447" spans="1:10" x14ac:dyDescent="0.3">
      <c r="A6447" t="str">
        <f>HYPERLINK("https://us2.cloudbeds.com/connect/10074733072513#/reservations/30684654792833?display=YQWH1N2V7&amp;reservation_id=30684654792833", "YQWH1N2V7")</f>
        <v>YQWH1N2V7</v>
      </c>
      <c r="B6447" t="s">
        <v>10</v>
      </c>
      <c r="C6447" t="s">
        <v>17</v>
      </c>
      <c r="D6447" t="str">
        <f>HYPERLINK("https://us2.cloudbeds.com/connect/10074733072513#/reservations/30684654792833?display=Tim%20Schavee&amp;reservation_id=30684654792833&amp;guest_id=30684654788798", "Tim Schavee")</f>
        <v>Tim Schavee</v>
      </c>
      <c r="E6447" t="s">
        <v>3945</v>
      </c>
      <c r="F6447" t="s">
        <v>3295</v>
      </c>
      <c r="G6447">
        <v>169</v>
      </c>
      <c r="H6447">
        <v>183.71</v>
      </c>
      <c r="I6447">
        <v>183.7</v>
      </c>
      <c r="J6447">
        <v>0.01</v>
      </c>
    </row>
    <row r="6448" spans="1:10" x14ac:dyDescent="0.3">
      <c r="A6448" t="str">
        <f>HYPERLINK("https://us2.cloudbeds.com/connect/10074733072513#/reservations/30684828577949?display=YQWYG7U7S&amp;reservation_id=30684828577949", "YQWYG7U7S")</f>
        <v>YQWYG7U7S</v>
      </c>
      <c r="B6448" t="s">
        <v>10</v>
      </c>
      <c r="C6448" t="s">
        <v>11</v>
      </c>
      <c r="D6448" t="str">
        <f>HYPERLINK("https://us2.cloudbeds.com/connect/10074733072513#/reservations/30684828577949?display=Kevin%20Brown&amp;reservation_id=30684828577949&amp;guest_id=30684828573861", "Kevin Brown")</f>
        <v>Kevin Brown</v>
      </c>
      <c r="E6448" t="s">
        <v>3946</v>
      </c>
      <c r="F6448" t="s">
        <v>3920</v>
      </c>
      <c r="G6448">
        <v>80.38</v>
      </c>
      <c r="H6448">
        <v>87.38</v>
      </c>
      <c r="I6448">
        <v>87.37</v>
      </c>
      <c r="J6448">
        <v>0.01</v>
      </c>
    </row>
    <row r="6449" spans="1:10" x14ac:dyDescent="0.3">
      <c r="A6449" t="str">
        <f>HYPERLINK("https://us2.cloudbeds.com/connect/10074733072513#/reservations/30684855992461?display=YQWM6BP8Y&amp;reservation_id=30684855992461", "YQWM6BP8Y")</f>
        <v>YQWM6BP8Y</v>
      </c>
      <c r="B6449" t="s">
        <v>10</v>
      </c>
      <c r="C6449" t="s">
        <v>14</v>
      </c>
      <c r="D6449" t="str">
        <f>HYPERLINK("https://us2.cloudbeds.com/connect/10074733072513#/reservations/30684855992461?display=William%20Trotter&amp;reservation_id=30684855992461&amp;guest_id=30684851892386", "William Trotter")</f>
        <v>William Trotter</v>
      </c>
      <c r="E6449" t="s">
        <v>3947</v>
      </c>
      <c r="F6449" t="s">
        <v>3920</v>
      </c>
      <c r="G6449">
        <v>80.38</v>
      </c>
      <c r="H6449">
        <v>87.38</v>
      </c>
      <c r="I6449">
        <v>87.37</v>
      </c>
      <c r="J6449">
        <v>0.01</v>
      </c>
    </row>
    <row r="6450" spans="1:10" x14ac:dyDescent="0.3">
      <c r="A6450" t="str">
        <f>HYPERLINK("https://us2.cloudbeds.com/connect/10074733072513#/reservations/30684354031782?display=YQW9C2VWW&amp;reservation_id=30684354031782", "YQW9C2VWW")</f>
        <v>YQW9C2VWW</v>
      </c>
      <c r="B6450" t="s">
        <v>10</v>
      </c>
      <c r="C6450" t="s">
        <v>23</v>
      </c>
      <c r="D6450" t="str">
        <f>HYPERLINK("https://us2.cloudbeds.com/connect/10074733072513#/reservations/30684354031782?display=Maranda%20Slocum&amp;reservation_id=30684354031782&amp;guest_id=30684354031768", "Maranda Slocum")</f>
        <v>Maranda Slocum</v>
      </c>
      <c r="E6450" t="s">
        <v>3949</v>
      </c>
      <c r="F6450" t="s">
        <v>3909</v>
      </c>
      <c r="G6450">
        <v>189</v>
      </c>
      <c r="H6450">
        <v>205.45</v>
      </c>
      <c r="I6450">
        <v>205.44</v>
      </c>
      <c r="J6450">
        <v>0.01</v>
      </c>
    </row>
    <row r="6451" spans="1:10" x14ac:dyDescent="0.3">
      <c r="A6451" t="str">
        <f>HYPERLINK("https://us2.cloudbeds.com/connect/10074733072513#/reservations/30684306956518?display=YQW85D10R&amp;reservation_id=30684306956518", "YQW85D10R")</f>
        <v>YQW85D10R</v>
      </c>
      <c r="B6451" t="s">
        <v>10</v>
      </c>
      <c r="C6451" t="s">
        <v>42</v>
      </c>
      <c r="D6451" t="str">
        <f>HYPERLINK("https://us2.cloudbeds.com/connect/10074733072513#/reservations/30684306956518?display=Arlyn%20Jons&amp;reservation_id=30684306956518&amp;guest_id=30650862653620", "Arlyn Jons")</f>
        <v>Arlyn Jons</v>
      </c>
      <c r="E6451" t="s">
        <v>3948</v>
      </c>
      <c r="F6451" t="s">
        <v>3909</v>
      </c>
      <c r="G6451">
        <v>159</v>
      </c>
      <c r="H6451">
        <v>172.84</v>
      </c>
      <c r="I6451">
        <v>172.83</v>
      </c>
      <c r="J6451">
        <v>0.01</v>
      </c>
    </row>
    <row r="6452" spans="1:10" x14ac:dyDescent="0.3">
      <c r="A6452" t="str">
        <f>HYPERLINK("https://us2.cloudbeds.com/connect/10074733072513#/reservations/30683121590468?display=YQVASSFKG&amp;reservation_id=30683121590468", "YQVASSFKG")</f>
        <v>YQVASSFKG</v>
      </c>
      <c r="B6452" t="s">
        <v>10</v>
      </c>
      <c r="C6452" t="s">
        <v>17</v>
      </c>
      <c r="D6452" t="str">
        <f>HYPERLINK("https://us2.cloudbeds.com/connect/10074733072513#/reservations/30683121590468?display=Jon%20Johnson&amp;reservation_id=30683121590468&amp;guest_id=30683121590466", "Jon Johnson")</f>
        <v>Jon Johnson</v>
      </c>
      <c r="E6452" t="s">
        <v>3950</v>
      </c>
      <c r="F6452" t="s">
        <v>3123</v>
      </c>
      <c r="G6452">
        <v>189</v>
      </c>
      <c r="H6452">
        <v>205.45</v>
      </c>
      <c r="I6452">
        <v>205.44</v>
      </c>
      <c r="J6452">
        <v>0.01</v>
      </c>
    </row>
    <row r="6453" spans="1:10" x14ac:dyDescent="0.3">
      <c r="A6453" t="str">
        <f>HYPERLINK("https://us2.cloudbeds.com/connect/10074733072513#/reservations/30684666777737?display=YQWHBQJC4&amp;reservation_id=30684666777737", "YQWHBQJC4")</f>
        <v>YQWHBQJC4</v>
      </c>
      <c r="B6453" t="s">
        <v>10</v>
      </c>
      <c r="C6453" t="s">
        <v>20</v>
      </c>
      <c r="D6453" t="str">
        <f>HYPERLINK("https://us2.cloudbeds.com/connect/10074733072513#/reservations/30684666777737?display=Heather%20Harmon&amp;reservation_id=30684666777737&amp;guest_id=30684666773657", "Heather Harmon")</f>
        <v>Heather Harmon</v>
      </c>
      <c r="E6453" t="s">
        <v>3951</v>
      </c>
      <c r="F6453" t="s">
        <v>3475</v>
      </c>
      <c r="G6453">
        <v>149</v>
      </c>
      <c r="H6453">
        <v>161.97</v>
      </c>
      <c r="I6453">
        <v>161.96</v>
      </c>
      <c r="J6453">
        <v>0.01</v>
      </c>
    </row>
    <row r="6454" spans="1:10" x14ac:dyDescent="0.3">
      <c r="A6454" t="str">
        <f>HYPERLINK("https://us2.cloudbeds.com/connect/10074733072513#/reservations/30683865563354?display=YQVTT6KAD&amp;reservation_id=30683865563354", "YQVTT6KAD")</f>
        <v>YQVTT6KAD</v>
      </c>
      <c r="B6454" t="s">
        <v>10</v>
      </c>
      <c r="C6454" t="s">
        <v>11</v>
      </c>
      <c r="D6454" t="str">
        <f>HYPERLINK("https://us2.cloudbeds.com/connect/10074733072513#/reservations/30683865563354?display=Ronald%20Hines&amp;reservation_id=30683865563354&amp;guest_id=30683865563341", "Ronald Hines")</f>
        <v>Ronald Hines</v>
      </c>
      <c r="E6454" t="s">
        <v>547</v>
      </c>
      <c r="F6454" t="s">
        <v>3909</v>
      </c>
      <c r="G6454">
        <v>106.8</v>
      </c>
      <c r="H6454">
        <v>116.1</v>
      </c>
      <c r="I6454">
        <v>116.09</v>
      </c>
      <c r="J6454">
        <v>0.01</v>
      </c>
    </row>
    <row r="6455" spans="1:10" x14ac:dyDescent="0.3">
      <c r="A6455" t="str">
        <f>HYPERLINK("https://us2.cloudbeds.com/connect/10074733072513#/reservations/30683860320450?display=YQVTZPNTH&amp;reservation_id=30683860320450", "YQVTZPNTH")</f>
        <v>YQVTZPNTH</v>
      </c>
      <c r="B6455" t="s">
        <v>10</v>
      </c>
      <c r="C6455" t="s">
        <v>11</v>
      </c>
      <c r="D6455" t="str">
        <f>HYPERLINK("https://us2.cloudbeds.com/connect/10074733072513#/reservations/30683860320450?display=Steve%20Bennett&amp;reservation_id=30683860320450&amp;guest_id=30683860316413", "Steve Bennett")</f>
        <v>Steve Bennett</v>
      </c>
      <c r="E6455" t="s">
        <v>1319</v>
      </c>
      <c r="F6455" t="s">
        <v>3909</v>
      </c>
      <c r="G6455">
        <v>106.8</v>
      </c>
      <c r="H6455">
        <v>116.1</v>
      </c>
      <c r="I6455">
        <v>116.09</v>
      </c>
      <c r="J6455">
        <v>0.01</v>
      </c>
    </row>
    <row r="6456" spans="1:10" x14ac:dyDescent="0.3">
      <c r="A6456" t="str">
        <f>HYPERLINK("https://us2.cloudbeds.com/connect/10074733072513#/reservations/30683822674048?display=YQVSK2EC9&amp;reservation_id=30683822674048", "YQVSK2EC9")</f>
        <v>YQVSK2EC9</v>
      </c>
      <c r="B6456" t="s">
        <v>10</v>
      </c>
      <c r="C6456" t="s">
        <v>17</v>
      </c>
      <c r="D6456" t="str">
        <f>HYPERLINK("https://us2.cloudbeds.com/connect/10074733072513#/reservations/30683822674048?display=Kyle%20Bailey&amp;reservation_id=30683822674048&amp;guest_id=30683815604436", "Kyle Bailey")</f>
        <v>Kyle Bailey</v>
      </c>
      <c r="E6456" t="s">
        <v>3952</v>
      </c>
      <c r="F6456" t="s">
        <v>3953</v>
      </c>
      <c r="G6456">
        <v>139</v>
      </c>
      <c r="H6456">
        <v>151.1</v>
      </c>
      <c r="I6456">
        <v>151.09</v>
      </c>
      <c r="J6456">
        <v>0.01</v>
      </c>
    </row>
    <row r="6457" spans="1:10" x14ac:dyDescent="0.3">
      <c r="A6457" t="str">
        <f>HYPERLINK("https://us2.cloudbeds.com/connect/10074733072513#/reservations/30682141048979?display=YQUXR1F71&amp;reservation_id=30682141048979", "YQUXR1F71")</f>
        <v>YQUXR1F71</v>
      </c>
      <c r="B6457" t="s">
        <v>10</v>
      </c>
      <c r="C6457" t="s">
        <v>42</v>
      </c>
      <c r="D6457" t="str">
        <f>HYPERLINK("https://us2.cloudbeds.com/connect/10074733072513#/reservations/30682141048979?display=Stephanie%20Sundby&amp;reservation_id=30682141048979&amp;guest_id=30682141048977", "Stephanie Sundby")</f>
        <v>Stephanie Sundby</v>
      </c>
      <c r="E6457" t="s">
        <v>3954</v>
      </c>
      <c r="F6457" t="s">
        <v>3526</v>
      </c>
      <c r="G6457">
        <v>109</v>
      </c>
      <c r="H6457">
        <v>118.49</v>
      </c>
      <c r="I6457">
        <v>118.48</v>
      </c>
      <c r="J6457">
        <v>0.01</v>
      </c>
    </row>
    <row r="6458" spans="1:10" x14ac:dyDescent="0.3">
      <c r="A6458" t="str">
        <f>HYPERLINK("https://us2.cloudbeds.com/connect/10074733072513#/reservations/30683475079301?display=YQVJTUR3A&amp;reservation_id=30683475079301", "YQVJTUR3A")</f>
        <v>YQVJTUR3A</v>
      </c>
      <c r="B6458" t="s">
        <v>10</v>
      </c>
      <c r="C6458" t="s">
        <v>42</v>
      </c>
      <c r="D6458" t="str">
        <f>HYPERLINK("https://us2.cloudbeds.com/connect/10074733072513#/reservations/30683475079301?display=Troy%20Rohrboch&amp;reservation_id=30683475079301&amp;guest_id=30683475075220", "Troy Rohrboch")</f>
        <v>Troy Rohrboch</v>
      </c>
      <c r="E6458" t="s">
        <v>3955</v>
      </c>
      <c r="F6458" t="s">
        <v>3662</v>
      </c>
      <c r="G6458">
        <v>149</v>
      </c>
      <c r="H6458">
        <v>161.97</v>
      </c>
      <c r="I6458">
        <v>161.96</v>
      </c>
      <c r="J6458">
        <v>0.01</v>
      </c>
    </row>
    <row r="6459" spans="1:10" x14ac:dyDescent="0.3">
      <c r="A6459" t="str">
        <f>HYPERLINK("https://us2.cloudbeds.com/connect/10074733072513#/reservations/30682987864286?display=YQV7F3BCV&amp;reservation_id=30682987864286", "YQV7F3BCV")</f>
        <v>YQV7F3BCV</v>
      </c>
      <c r="B6459" t="s">
        <v>10</v>
      </c>
      <c r="C6459" t="s">
        <v>42</v>
      </c>
      <c r="D6459" t="str">
        <f>HYPERLINK("https://us2.cloudbeds.com/connect/10074733072513#/reservations/30682987864286?display=Mary%20Kay%20Gesinger&amp;reservation_id=30682987864286&amp;guest_id=30682987860194", "Mary Kay Gesinger")</f>
        <v>Mary Kay Gesinger</v>
      </c>
      <c r="E6459" t="s">
        <v>3956</v>
      </c>
      <c r="F6459" t="s">
        <v>3526</v>
      </c>
      <c r="G6459">
        <v>218</v>
      </c>
      <c r="H6459">
        <v>236.98</v>
      </c>
      <c r="I6459">
        <v>236.97</v>
      </c>
      <c r="J6459">
        <v>0.01</v>
      </c>
    </row>
    <row r="6460" spans="1:10" x14ac:dyDescent="0.3">
      <c r="A6460" t="str">
        <f>HYPERLINK("https://us2.cloudbeds.com/connect/10074733072513#/reservations/30684771197074?display=YQWK0S6TF&amp;reservation_id=30684771197074", "YQWK0S6TF")</f>
        <v>YQWK0S6TF</v>
      </c>
      <c r="B6460" t="s">
        <v>10</v>
      </c>
      <c r="C6460" t="s">
        <v>121</v>
      </c>
      <c r="D6460" t="str">
        <f>HYPERLINK("https://us2.cloudbeds.com/connect/10074733072513#/reservations/30684771197074?display=Jan%20Sutherland&amp;reservation_id=30684771197074&amp;guest_id=30684771192982", "Jan Sutherland")</f>
        <v>Jan Sutherland</v>
      </c>
      <c r="E6460" t="s">
        <v>3957</v>
      </c>
      <c r="F6460" t="s">
        <v>3920</v>
      </c>
      <c r="G6460">
        <v>79</v>
      </c>
      <c r="H6460">
        <v>85.88</v>
      </c>
      <c r="I6460">
        <v>85.87</v>
      </c>
      <c r="J6460">
        <v>0.01</v>
      </c>
    </row>
    <row r="6461" spans="1:10" x14ac:dyDescent="0.3">
      <c r="A6461" t="str">
        <f>HYPERLINK("https://us2.cloudbeds.com/connect/10074733072513#/reservations/30683889393916?display=YQVUG9Z9Y&amp;reservation_id=30683889393916", "YQVUG9Z9Y")</f>
        <v>YQVUG9Z9Y</v>
      </c>
      <c r="B6461" t="s">
        <v>10</v>
      </c>
      <c r="C6461" t="s">
        <v>20</v>
      </c>
      <c r="D6461" t="str">
        <f>HYPERLINK("https://us2.cloudbeds.com/connect/10074733072513#/reservations/30683889393916?display=William%20Gibson&amp;reservation_id=30683889393916&amp;guest_id=30683889393856", "William Gibson")</f>
        <v>William Gibson</v>
      </c>
      <c r="E6461" t="s">
        <v>3959</v>
      </c>
      <c r="F6461" t="s">
        <v>3909</v>
      </c>
      <c r="G6461">
        <v>169</v>
      </c>
      <c r="H6461">
        <v>183.71</v>
      </c>
      <c r="I6461">
        <v>183.7</v>
      </c>
      <c r="J6461">
        <v>0.01</v>
      </c>
    </row>
    <row r="6462" spans="1:10" x14ac:dyDescent="0.3">
      <c r="A6462" t="str">
        <f>HYPERLINK("https://us2.cloudbeds.com/connect/10074733072513#/reservations/30684321185929?display=YQW8HCWH3&amp;reservation_id=30684321185929", "YQW8HCWH3")</f>
        <v>YQW8HCWH3</v>
      </c>
      <c r="B6462" t="s">
        <v>10</v>
      </c>
      <c r="C6462" t="s">
        <v>42</v>
      </c>
      <c r="D6462" t="str">
        <f>HYPERLINK("https://us2.cloudbeds.com/connect/10074733072513#/reservations/30684321185929?display=Brian%20Lee&amp;reservation_id=30684321185929&amp;guest_id=30681785213128", "Brian Lee")</f>
        <v>Brian Lee</v>
      </c>
      <c r="E6462" t="s">
        <v>3766</v>
      </c>
      <c r="F6462" t="s">
        <v>3909</v>
      </c>
      <c r="G6462">
        <v>158</v>
      </c>
      <c r="H6462">
        <v>171.76</v>
      </c>
      <c r="I6462">
        <v>171.75</v>
      </c>
      <c r="J6462">
        <v>0.01</v>
      </c>
    </row>
    <row r="6463" spans="1:10" x14ac:dyDescent="0.3">
      <c r="A6463" t="str">
        <f>HYPERLINK("https://us2.cloudbeds.com/connect/10074733072513#/reservations/30682579587327?display=YQUU0REDT&amp;reservation_id=30682579587327", "YQUU0REDT")</f>
        <v>YQUU0REDT</v>
      </c>
      <c r="B6463" t="s">
        <v>10</v>
      </c>
      <c r="C6463" t="s">
        <v>20</v>
      </c>
      <c r="D6463" t="str">
        <f>HYPERLINK("https://us2.cloudbeds.com/connect/10074733072513#/reservations/30682579587327?display=Kirby%20Holbrook&amp;reservation_id=30682579587327&amp;guest_id=30682571247778", "Kirby Holbrook")</f>
        <v>Kirby Holbrook</v>
      </c>
      <c r="E6463" t="s">
        <v>3960</v>
      </c>
      <c r="F6463" t="s">
        <v>3961</v>
      </c>
      <c r="G6463">
        <v>238</v>
      </c>
      <c r="H6463">
        <v>258.72000000000003</v>
      </c>
      <c r="I6463">
        <v>258.70999999999998</v>
      </c>
      <c r="J6463">
        <v>0.01</v>
      </c>
    </row>
    <row r="6464" spans="1:10" x14ac:dyDescent="0.3">
      <c r="A6464" t="str">
        <f>HYPERLINK("https://us2.cloudbeds.com/connect/10074733072513#/reservations/30684724220083?display=YQWXR8059&amp;reservation_id=30684724220083", "YQWXR8059")</f>
        <v>YQWXR8059</v>
      </c>
      <c r="B6464" t="s">
        <v>10</v>
      </c>
      <c r="C6464" t="s">
        <v>17</v>
      </c>
      <c r="D6464" t="str">
        <f>HYPERLINK("https://us2.cloudbeds.com/connect/10074733072513#/reservations/30684724220083?display=Jason%20Glaser&amp;reservation_id=30684724220083&amp;guest_id=30684724220070", "Jason Glaser")</f>
        <v>Jason Glaser</v>
      </c>
      <c r="E6464" t="s">
        <v>3962</v>
      </c>
      <c r="F6464" t="s">
        <v>3589</v>
      </c>
      <c r="G6464">
        <v>129</v>
      </c>
      <c r="H6464">
        <v>140.22999999999999</v>
      </c>
      <c r="I6464">
        <v>140.22</v>
      </c>
      <c r="J6464">
        <v>0.01</v>
      </c>
    </row>
    <row r="6465" spans="1:10" x14ac:dyDescent="0.3">
      <c r="A6465" t="str">
        <f>HYPERLINK("https://us2.cloudbeds.com/connect/10074733072513#/reservations/30681891295447?display=YQUCEEN46&amp;reservation_id=30681891295447", "YQUCEEN46")</f>
        <v>YQUCEEN46</v>
      </c>
      <c r="B6465" t="s">
        <v>10</v>
      </c>
      <c r="C6465" t="s">
        <v>23</v>
      </c>
      <c r="D6465" t="str">
        <f>HYPERLINK("https://us2.cloudbeds.com/connect/10074733072513#/reservations/30681891295447?display=Savanah%20Boike&amp;reservation_id=30681891295447&amp;guest_id=30681891295442", "Savanah Boike")</f>
        <v>Savanah Boike</v>
      </c>
      <c r="E6465" t="s">
        <v>3963</v>
      </c>
      <c r="F6465" t="s">
        <v>3760</v>
      </c>
      <c r="G6465">
        <v>139</v>
      </c>
      <c r="H6465">
        <v>151.1</v>
      </c>
      <c r="I6465">
        <v>151.09</v>
      </c>
      <c r="J6465">
        <v>0.01</v>
      </c>
    </row>
    <row r="6466" spans="1:10" x14ac:dyDescent="0.3">
      <c r="A6466" t="str">
        <f>HYPERLINK("https://us2.cloudbeds.com/connect/10074733072513#/reservations/30682155692286?display=YQUJ6CUPK&amp;reservation_id=30682155692286", "YQUJ6CUPK")</f>
        <v>YQUJ6CUPK</v>
      </c>
      <c r="B6466" t="s">
        <v>10</v>
      </c>
      <c r="C6466" t="s">
        <v>42</v>
      </c>
      <c r="D6466" t="str">
        <f>HYPERLINK("https://us2.cloudbeds.com/connect/10074733072513#/reservations/30682155692286?display=Linda%20Vanderwerf&amp;reservation_id=30682155692286&amp;guest_id=30682155692233", "Linda Vanderwerf")</f>
        <v>Linda Vanderwerf</v>
      </c>
      <c r="E6466" t="s">
        <v>3964</v>
      </c>
      <c r="F6466" t="s">
        <v>3774</v>
      </c>
      <c r="G6466">
        <v>129</v>
      </c>
      <c r="H6466">
        <v>140.22999999999999</v>
      </c>
      <c r="I6466">
        <v>140.22</v>
      </c>
      <c r="J6466">
        <v>0.01</v>
      </c>
    </row>
    <row r="6467" spans="1:10" x14ac:dyDescent="0.3">
      <c r="A6467" t="str">
        <f>HYPERLINK("https://us2.cloudbeds.com/connect/10074733072513#/reservations/30684293153016?display=YQW7QZUKT&amp;reservation_id=30684293153016", "YQW7QZUKT")</f>
        <v>YQW7QZUKT</v>
      </c>
      <c r="B6467" t="s">
        <v>10</v>
      </c>
      <c r="C6467" t="s">
        <v>20</v>
      </c>
      <c r="D6467" t="str">
        <f>HYPERLINK("https://us2.cloudbeds.com/connect/10074733072513#/reservations/30684293153016?display=Joey%20Johannes&amp;reservation_id=30684293153016&amp;guest_id=30684293153000", "Joey Johannes")</f>
        <v>Joey Johannes</v>
      </c>
      <c r="E6467" t="s">
        <v>3965</v>
      </c>
      <c r="F6467" t="s">
        <v>3123</v>
      </c>
      <c r="G6467">
        <v>129</v>
      </c>
      <c r="H6467">
        <v>140.22999999999999</v>
      </c>
      <c r="I6467">
        <v>140.22</v>
      </c>
      <c r="J6467">
        <v>0.01</v>
      </c>
    </row>
    <row r="6468" spans="1:10" x14ac:dyDescent="0.3">
      <c r="A6468" t="str">
        <f>HYPERLINK("https://us2.cloudbeds.com/connect/10074733072513#/reservations/30684042944681?display=YQW1DPGU4&amp;reservation_id=30684042944681", "YQW1DPGU4")</f>
        <v>YQW1DPGU4</v>
      </c>
      <c r="B6468" t="s">
        <v>10</v>
      </c>
      <c r="C6468" t="s">
        <v>42</v>
      </c>
      <c r="D6468" t="str">
        <f>HYPERLINK("https://us2.cloudbeds.com/connect/10074733072513#/reservations/30684042944681?display=John%20Teupel&amp;reservation_id=30684042944681&amp;guest_id=30677025317017", "John Teupel")</f>
        <v>John Teupel</v>
      </c>
      <c r="E6468" t="s">
        <v>3355</v>
      </c>
      <c r="F6468" t="s">
        <v>3123</v>
      </c>
      <c r="G6468">
        <v>158</v>
      </c>
      <c r="H6468">
        <v>171.76</v>
      </c>
      <c r="I6468">
        <v>171.75</v>
      </c>
      <c r="J6468">
        <v>0.01</v>
      </c>
    </row>
    <row r="6469" spans="1:10" x14ac:dyDescent="0.3">
      <c r="A6469" t="str">
        <f>HYPERLINK("https://us2.cloudbeds.com/connect/10074733072513#/reservations/30683893125347?display=YQVUJEXPA&amp;reservation_id=30683893125347", "YQVUJEXPA")</f>
        <v>YQVUJEXPA</v>
      </c>
      <c r="B6469" t="s">
        <v>10</v>
      </c>
      <c r="C6469" t="s">
        <v>42</v>
      </c>
      <c r="D6469" t="str">
        <f>HYPERLINK("https://us2.cloudbeds.com/connect/10074733072513#/reservations/30683893125347?display=Denise%20Duffy&amp;reservation_id=30683893125347&amp;guest_id=30682386936024", "Denise Duffy")</f>
        <v>Denise Duffy</v>
      </c>
      <c r="E6469" t="s">
        <v>3233</v>
      </c>
      <c r="F6469" t="s">
        <v>3899</v>
      </c>
      <c r="G6469">
        <v>282</v>
      </c>
      <c r="H6469">
        <v>306.54000000000002</v>
      </c>
      <c r="I6469">
        <v>306.52999999999997</v>
      </c>
      <c r="J6469">
        <v>0.01</v>
      </c>
    </row>
    <row r="6470" spans="1:10" x14ac:dyDescent="0.3">
      <c r="A6470" t="str">
        <f>HYPERLINK("https://us2.cloudbeds.com/connect/10074733072513#/reservations/30684616257740?display=YQWG26Q64&amp;reservation_id=30684616257740", "YQWG26Q64")</f>
        <v>YQWG26Q64</v>
      </c>
      <c r="B6470" t="s">
        <v>10</v>
      </c>
      <c r="C6470" t="s">
        <v>20</v>
      </c>
      <c r="D6470" t="str">
        <f>HYPERLINK("https://us2.cloudbeds.com/connect/10074733072513#/reservations/30684616257740?display=Tim%20Abrams&amp;reservation_id=30684616257740&amp;guest_id=30684608647410", "Tim Abrams")</f>
        <v>Tim Abrams</v>
      </c>
      <c r="E6470" t="s">
        <v>3970</v>
      </c>
      <c r="F6470" t="s">
        <v>3475</v>
      </c>
      <c r="G6470">
        <v>189</v>
      </c>
      <c r="H6470">
        <v>205.45</v>
      </c>
      <c r="I6470">
        <v>205.44</v>
      </c>
      <c r="J6470">
        <v>0.01</v>
      </c>
    </row>
    <row r="6471" spans="1:10" x14ac:dyDescent="0.3">
      <c r="A6471" t="str">
        <f>HYPERLINK("https://us2.cloudbeds.com/connect/10074733072513#/reservations/30684447236317?display=YQWBZMH8R&amp;reservation_id=30684447236317", "YQWBZMH8R")</f>
        <v>YQWBZMH8R</v>
      </c>
      <c r="B6471" t="s">
        <v>10</v>
      </c>
      <c r="C6471" t="s">
        <v>20</v>
      </c>
      <c r="D6471" t="str">
        <f>HYPERLINK("https://us2.cloudbeds.com/connect/10074733072513#/reservations/30684447236317?display=Ashtan%20Wible&amp;reservation_id=30684447236317&amp;guest_id=30684447236312", "Ashtan Wible")</f>
        <v>Ashtan Wible</v>
      </c>
      <c r="E6471" t="s">
        <v>3971</v>
      </c>
      <c r="F6471" t="s">
        <v>2659</v>
      </c>
      <c r="G6471">
        <v>418</v>
      </c>
      <c r="H6471">
        <v>454.38</v>
      </c>
      <c r="I6471">
        <v>454.37</v>
      </c>
      <c r="J6471">
        <v>0.01</v>
      </c>
    </row>
    <row r="6472" spans="1:10" x14ac:dyDescent="0.3">
      <c r="A6472" t="str">
        <f>HYPERLINK("https://us2.cloudbeds.com/connect/10074733072513#/reservations/30685365620890?display=YR0272UKC&amp;reservation_id=30685365620890", "YR0272UKC")</f>
        <v>YR0272UKC</v>
      </c>
      <c r="B6472" t="s">
        <v>10</v>
      </c>
      <c r="C6472" t="s">
        <v>42</v>
      </c>
      <c r="D6472" t="str">
        <f>HYPERLINK("https://us2.cloudbeds.com/connect/10074733072513#/reservations/30685365620890?display=Tom%20Moore&amp;reservation_id=30685365620890&amp;guest_id=30681789317334", "Tom Moore")</f>
        <v>Tom Moore</v>
      </c>
      <c r="E6472" t="s">
        <v>3973</v>
      </c>
      <c r="F6472" t="s">
        <v>3272</v>
      </c>
      <c r="G6472">
        <v>73</v>
      </c>
      <c r="H6472">
        <v>79.36</v>
      </c>
      <c r="I6472">
        <v>79.349999999999994</v>
      </c>
      <c r="J6472">
        <v>0.01</v>
      </c>
    </row>
    <row r="6473" spans="1:10" x14ac:dyDescent="0.3">
      <c r="A6473" t="str">
        <f>HYPERLINK("https://us2.cloudbeds.com/connect/10074733072513#/reservations/30684693373109?display=YQWX17Y6G&amp;reservation_id=30684693373109", "YQWX17Y6G")</f>
        <v>YQWX17Y6G</v>
      </c>
      <c r="B6473" t="s">
        <v>10</v>
      </c>
      <c r="C6473" t="s">
        <v>14</v>
      </c>
      <c r="D6473" t="str">
        <f>HYPERLINK("https://us2.cloudbeds.com/connect/10074733072513#/reservations/30684693373109?display=Tony%20Mccallister&amp;reservation_id=30684693373109&amp;guest_id=30684693373056", "Tony Mccallister")</f>
        <v>Tony Mccallister</v>
      </c>
      <c r="E6473" t="s">
        <v>3547</v>
      </c>
      <c r="F6473" t="s">
        <v>3381</v>
      </c>
      <c r="G6473">
        <v>296.49</v>
      </c>
      <c r="H6473">
        <v>322.29000000000002</v>
      </c>
      <c r="I6473">
        <v>322.27999999999997</v>
      </c>
      <c r="J6473">
        <v>0.01</v>
      </c>
    </row>
    <row r="6474" spans="1:10" x14ac:dyDescent="0.3">
      <c r="A6474" t="str">
        <f>HYPERLINK("https://us2.cloudbeds.com/connect/10074733072513#/reservations/30682868175008?display=YQV4D5QT4&amp;reservation_id=30682868175008", "YQV4D5QT4")</f>
        <v>YQV4D5QT4</v>
      </c>
      <c r="B6474" t="s">
        <v>10</v>
      </c>
      <c r="C6474" t="s">
        <v>42</v>
      </c>
      <c r="D6474" t="str">
        <f>HYPERLINK("https://us2.cloudbeds.com/connect/10074733072513#/reservations/30682868175008?display=Lu%20Peverill&amp;reservation_id=30682868175008&amp;guest_id=30682868175006", "Lu Peverill")</f>
        <v>Lu Peverill</v>
      </c>
      <c r="E6474" t="s">
        <v>3974</v>
      </c>
      <c r="F6474" t="s">
        <v>3332</v>
      </c>
      <c r="G6474">
        <v>129</v>
      </c>
      <c r="H6474">
        <v>140.22999999999999</v>
      </c>
      <c r="I6474">
        <v>140.22</v>
      </c>
      <c r="J6474">
        <v>0.01</v>
      </c>
    </row>
    <row r="6475" spans="1:10" x14ac:dyDescent="0.3">
      <c r="A6475" t="str">
        <f>HYPERLINK("https://us2.cloudbeds.com/connect/10074733072513#/reservations/30683579228350?display=YQVMXZUE3&amp;reservation_id=30683579228350", "YQVMXZUE3")</f>
        <v>YQVMXZUE3</v>
      </c>
      <c r="B6475" t="s">
        <v>10</v>
      </c>
      <c r="C6475" t="s">
        <v>42</v>
      </c>
      <c r="D6475" t="str">
        <f>HYPERLINK("https://us2.cloudbeds.com/connect/10074733072513#/reservations/30683579228350?display=Lissa%20Turback&amp;reservation_id=30683579228350&amp;guest_id=30683579228346", "Lissa Turback")</f>
        <v>Lissa Turback</v>
      </c>
      <c r="E6475" t="s">
        <v>3975</v>
      </c>
      <c r="F6475" t="s">
        <v>3526</v>
      </c>
      <c r="G6475">
        <v>119</v>
      </c>
      <c r="H6475">
        <v>129.36000000000001</v>
      </c>
      <c r="I6475">
        <v>129.35</v>
      </c>
      <c r="J6475">
        <v>0.01</v>
      </c>
    </row>
    <row r="6476" spans="1:10" x14ac:dyDescent="0.3">
      <c r="A6476" t="str">
        <f>HYPERLINK("https://us2.cloudbeds.com/connect/10074733072513#/reservations/30684787802242?display=YQWKES8WC&amp;reservation_id=30684787802242", "YQWKES8WC")</f>
        <v>YQWKES8WC</v>
      </c>
      <c r="B6476" t="s">
        <v>10</v>
      </c>
      <c r="C6476" t="s">
        <v>17</v>
      </c>
      <c r="D6476" t="str">
        <f>HYPERLINK("https://us2.cloudbeds.com/connect/10074733072513#/reservations/30684787802242?display=Jerry%20Schryver&amp;reservation_id=30684787802242&amp;guest_id=30684787798205", "Jerry Schryver")</f>
        <v>Jerry Schryver</v>
      </c>
      <c r="E6476" t="s">
        <v>3977</v>
      </c>
      <c r="F6476" t="s">
        <v>3662</v>
      </c>
      <c r="G6476">
        <v>278</v>
      </c>
      <c r="H6476">
        <v>302.2</v>
      </c>
      <c r="I6476">
        <v>302.19</v>
      </c>
      <c r="J6476">
        <v>0.01</v>
      </c>
    </row>
    <row r="6477" spans="1:10" x14ac:dyDescent="0.3">
      <c r="A6477" t="str">
        <f>HYPERLINK("https://us2.cloudbeds.com/connect/10074733072513#/reservations/30682148835559?display=YQUJ0K4E0&amp;reservation_id=30682148835559", "YQUJ0K4E0")</f>
        <v>YQUJ0K4E0</v>
      </c>
      <c r="B6477" t="s">
        <v>10</v>
      </c>
      <c r="C6477" t="s">
        <v>42</v>
      </c>
      <c r="D6477" t="str">
        <f>HYPERLINK("https://us2.cloudbeds.com/connect/10074733072513#/reservations/30682148835559?display=Karla%20May&amp;reservation_id=30682148835559&amp;guest_id=30682141053071", "Karla May")</f>
        <v>Karla May</v>
      </c>
      <c r="E6477" t="s">
        <v>3979</v>
      </c>
      <c r="F6477" t="s">
        <v>3526</v>
      </c>
      <c r="G6477">
        <v>109</v>
      </c>
      <c r="H6477">
        <v>118.49</v>
      </c>
      <c r="I6477">
        <v>118.48</v>
      </c>
      <c r="J6477">
        <v>0.01</v>
      </c>
    </row>
    <row r="6478" spans="1:10" x14ac:dyDescent="0.3">
      <c r="A6478" t="str">
        <f>HYPERLINK("https://us2.cloudbeds.com/connect/10074733072513#/reservations/30682155430074?display=YQUJ65KWQ&amp;reservation_id=30682155430074", "YQUJ65KWQ")</f>
        <v>YQUJ65KWQ</v>
      </c>
      <c r="B6478" t="s">
        <v>10</v>
      </c>
      <c r="C6478" t="s">
        <v>42</v>
      </c>
      <c r="D6478" t="str">
        <f>HYPERLINK("https://us2.cloudbeds.com/connect/10074733072513#/reservations/30682155430074?display=Kelli%20Helms&amp;reservation_id=30682155430074&amp;guest_id=30682148839650", "Kelli Helms")</f>
        <v>Kelli Helms</v>
      </c>
      <c r="E6478" t="s">
        <v>3684</v>
      </c>
      <c r="F6478" t="s">
        <v>3526</v>
      </c>
      <c r="G6478">
        <v>119</v>
      </c>
      <c r="H6478">
        <v>129.36000000000001</v>
      </c>
      <c r="I6478">
        <v>129.35</v>
      </c>
      <c r="J6478">
        <v>0.01</v>
      </c>
    </row>
    <row r="6479" spans="1:10" x14ac:dyDescent="0.3">
      <c r="A6479" t="str">
        <f>HYPERLINK("https://us2.cloudbeds.com/connect/10074733072513#/reservations/30684666773659?display=YQWHBQFKX&amp;reservation_id=30684666773659", "YQWHBQFKX")</f>
        <v>YQWHBQFKX</v>
      </c>
      <c r="B6479" t="s">
        <v>10</v>
      </c>
      <c r="C6479" t="s">
        <v>42</v>
      </c>
      <c r="D6479" t="str">
        <f>HYPERLINK("https://us2.cloudbeds.com/connect/10074733072513#/reservations/30684666773659?display=Michael%20Murphy&amp;reservation_id=30684666773659&amp;guest_id=30684666773656", "Michael Murphy")</f>
        <v>Michael Murphy</v>
      </c>
      <c r="E6479" t="s">
        <v>3982</v>
      </c>
      <c r="F6479" t="s">
        <v>3381</v>
      </c>
      <c r="G6479">
        <v>222</v>
      </c>
      <c r="H6479">
        <v>241.32</v>
      </c>
      <c r="I6479">
        <v>241.31</v>
      </c>
      <c r="J6479">
        <v>0.01</v>
      </c>
    </row>
    <row r="6480" spans="1:10" x14ac:dyDescent="0.3">
      <c r="A6480" t="str">
        <f>HYPERLINK("https://us2.cloudbeds.com/connect/10074733072513#/reservations/30683486884084?display=YQVK6TA40&amp;reservation_id=30683486884084", "YQVK6TA40")</f>
        <v>YQVK6TA40</v>
      </c>
      <c r="B6480" t="s">
        <v>10</v>
      </c>
      <c r="C6480" t="s">
        <v>42</v>
      </c>
      <c r="D6480" t="str">
        <f>HYPERLINK("https://us2.cloudbeds.com/connect/10074733072513#/reservations/30683486884084?display=Brian%20Lee&amp;reservation_id=30683486884084&amp;guest_id=30681785213128", "Brian Lee")</f>
        <v>Brian Lee</v>
      </c>
      <c r="E6480" t="s">
        <v>3766</v>
      </c>
      <c r="F6480" t="s">
        <v>3662</v>
      </c>
      <c r="G6480">
        <v>79</v>
      </c>
      <c r="H6480">
        <v>85.88</v>
      </c>
      <c r="I6480">
        <v>85.87</v>
      </c>
      <c r="J6480">
        <v>0.01</v>
      </c>
    </row>
    <row r="6481" spans="1:10" x14ac:dyDescent="0.3">
      <c r="A6481" t="str">
        <f>HYPERLINK("https://us2.cloudbeds.com/connect/10074733072513#/reservations/30684609872009?display=YQWFTR3B4&amp;reservation_id=30684609872009", "YQWFTR3B4")</f>
        <v>YQWFTR3B4</v>
      </c>
      <c r="B6481" t="s">
        <v>10</v>
      </c>
      <c r="C6481" t="s">
        <v>42</v>
      </c>
      <c r="D6481" t="str">
        <f>HYPERLINK("https://us2.cloudbeds.com/connect/10074733072513#/reservations/30684609872009?display=Brian%20Lee&amp;reservation_id=30684609872009&amp;guest_id=30681785213128", "Brian Lee")</f>
        <v>Brian Lee</v>
      </c>
      <c r="E6481" t="s">
        <v>3766</v>
      </c>
      <c r="F6481" t="s">
        <v>3295</v>
      </c>
      <c r="G6481">
        <v>79</v>
      </c>
      <c r="H6481">
        <v>85.88</v>
      </c>
      <c r="I6481">
        <v>85.87</v>
      </c>
      <c r="J6481">
        <v>0.01</v>
      </c>
    </row>
    <row r="6482" spans="1:10" x14ac:dyDescent="0.3">
      <c r="A6482" t="str">
        <f>HYPERLINK("https://us2.cloudbeds.com/connect/10074733072513#/reservations/30682942312665?display=YQV69MQHQ&amp;reservation_id=30682942312665", "YQV69MQHQ")</f>
        <v>YQV69MQHQ</v>
      </c>
      <c r="B6482" t="s">
        <v>10</v>
      </c>
      <c r="C6482" t="s">
        <v>17</v>
      </c>
      <c r="D6482" t="str">
        <f>HYPERLINK("https://us2.cloudbeds.com/connect/10074733072513#/reservations/30682942312665?display=Paul%20Fritz&amp;reservation_id=30682942312665&amp;guest_id=30682942312661", "Paul Fritz")</f>
        <v>Paul Fritz</v>
      </c>
      <c r="E6482" t="s">
        <v>3987</v>
      </c>
      <c r="F6482" t="s">
        <v>2659</v>
      </c>
      <c r="G6482">
        <v>129</v>
      </c>
      <c r="H6482">
        <v>140.22999999999999</v>
      </c>
      <c r="I6482">
        <v>140.22</v>
      </c>
      <c r="J6482">
        <v>0.01</v>
      </c>
    </row>
    <row r="6483" spans="1:10" x14ac:dyDescent="0.3">
      <c r="A6483" t="str">
        <f>HYPERLINK("https://us2.cloudbeds.com/connect/10074733072513#/reservations/30682161299632?display=YQUJB3VS6&amp;reservation_id=30682161299632", "YQUJB3VS6")</f>
        <v>YQUJB3VS6</v>
      </c>
      <c r="B6483" t="s">
        <v>10</v>
      </c>
      <c r="C6483" t="s">
        <v>42</v>
      </c>
      <c r="D6483" t="str">
        <f>HYPERLINK("https://us2.cloudbeds.com/connect/10074733072513#/reservations/30682161299632?display=Donna%20Steever&amp;reservation_id=30682161299632&amp;guest_id=30682161299630", "Donna Steever")</f>
        <v>Donna Steever</v>
      </c>
      <c r="E6483" t="s">
        <v>3990</v>
      </c>
      <c r="F6483" t="s">
        <v>3774</v>
      </c>
      <c r="G6483">
        <v>129</v>
      </c>
      <c r="H6483">
        <v>140.22999999999999</v>
      </c>
      <c r="I6483">
        <v>140.22</v>
      </c>
      <c r="J6483">
        <v>0.01</v>
      </c>
    </row>
    <row r="6484" spans="1:10" x14ac:dyDescent="0.3">
      <c r="A6484" t="str">
        <f>HYPERLINK("https://us2.cloudbeds.com/connect/10074733072513#/reservations/30683506958465?display=YQVKNQTTJ&amp;reservation_id=30683506958465", "YQVKNQTTJ")</f>
        <v>YQVKNQTTJ</v>
      </c>
      <c r="B6484" t="s">
        <v>10</v>
      </c>
      <c r="C6484" t="s">
        <v>42</v>
      </c>
      <c r="D6484" t="str">
        <f>HYPERLINK("https://us2.cloudbeds.com/connect/10074733072513#/reservations/30683506958465?display=Anthony%20Melaragno&amp;reservation_id=30683506958465&amp;guest_id=30683500622031", "Anthony Melaragno")</f>
        <v>Anthony Melaragno</v>
      </c>
      <c r="E6484" t="s">
        <v>3992</v>
      </c>
      <c r="F6484" t="s">
        <v>3662</v>
      </c>
      <c r="G6484">
        <v>79</v>
      </c>
      <c r="H6484">
        <v>85.88</v>
      </c>
      <c r="I6484">
        <v>85.87</v>
      </c>
      <c r="J6484">
        <v>0.01</v>
      </c>
    </row>
    <row r="6485" spans="1:10" x14ac:dyDescent="0.3">
      <c r="A6485" t="str">
        <f>HYPERLINK("https://us2.cloudbeds.com/connect/10074733072513#/reservations/30682040148125?display=YQUG7VZKD&amp;reservation_id=30682040148125", "YQUG7VZKD")</f>
        <v>YQUG7VZKD</v>
      </c>
      <c r="B6485" t="s">
        <v>10</v>
      </c>
      <c r="C6485" t="s">
        <v>42</v>
      </c>
      <c r="D6485" t="str">
        <f>HYPERLINK("https://us2.cloudbeds.com/connect/10074733072513#/reservations/30682040148125?display=Dave%20Mccandless&amp;reservation_id=30682040148125&amp;guest_id=30682040148123", "Dave Mccandless")</f>
        <v>Dave Mccandless</v>
      </c>
      <c r="E6485" t="s">
        <v>3497</v>
      </c>
      <c r="F6485" t="s">
        <v>3993</v>
      </c>
      <c r="G6485">
        <v>89</v>
      </c>
      <c r="H6485">
        <v>96.75</v>
      </c>
      <c r="I6485">
        <v>96.74</v>
      </c>
      <c r="J6485">
        <v>0.01</v>
      </c>
    </row>
    <row r="6486" spans="1:10" x14ac:dyDescent="0.3">
      <c r="A6486" t="str">
        <f>HYPERLINK("https://us2.cloudbeds.com/connect/10074733072513#/reservations/30683002204308?display=YQV7R6CF2&amp;reservation_id=30683002204308", "YQV7R6CF2")</f>
        <v>YQV7R6CF2</v>
      </c>
      <c r="B6486" t="s">
        <v>10</v>
      </c>
      <c r="C6486" t="s">
        <v>42</v>
      </c>
      <c r="D6486" t="str">
        <f>HYPERLINK("https://us2.cloudbeds.com/connect/10074733072513#/reservations/30683002204308?display=Randy%20Turbak&amp;reservation_id=30683002204308&amp;guest_id=30682997473469", "Randy Turbak")</f>
        <v>Randy Turbak</v>
      </c>
      <c r="E6486" t="s">
        <v>3684</v>
      </c>
      <c r="F6486" t="s">
        <v>3526</v>
      </c>
      <c r="G6486">
        <v>218</v>
      </c>
      <c r="H6486">
        <v>236.98</v>
      </c>
      <c r="I6486">
        <v>236.97</v>
      </c>
      <c r="J6486">
        <v>0.01</v>
      </c>
    </row>
    <row r="6487" spans="1:10" x14ac:dyDescent="0.3">
      <c r="A6487" t="str">
        <f>HYPERLINK("https://us2.cloudbeds.com/connect/10074733072513#/reservations/30683955769579?display=YQVW68ZAC&amp;reservation_id=30683955769579", "YQVW68ZAC")</f>
        <v>YQVW68ZAC</v>
      </c>
      <c r="B6487" t="s">
        <v>10</v>
      </c>
      <c r="C6487" t="s">
        <v>11</v>
      </c>
      <c r="D6487" t="str">
        <f>HYPERLINK("https://us2.cloudbeds.com/connect/10074733072513#/reservations/30683955769579?display=Michael%20Jay%20Charnholm&amp;reservation_id=30683955769579&amp;guest_id=30683955769576", "Michael Jay Charnholm")</f>
        <v>Michael Jay Charnholm</v>
      </c>
      <c r="E6487" t="s">
        <v>3995</v>
      </c>
      <c r="F6487" t="s">
        <v>3899</v>
      </c>
      <c r="G6487">
        <v>80.38</v>
      </c>
      <c r="H6487">
        <v>87.38</v>
      </c>
      <c r="I6487">
        <v>87.37</v>
      </c>
      <c r="J6487">
        <v>0.01</v>
      </c>
    </row>
    <row r="6488" spans="1:10" x14ac:dyDescent="0.3">
      <c r="A6488" t="str">
        <f>HYPERLINK("https://us2.cloudbeds.com/connect/10074733072513#/reservations/30684828573866?display=YQWYG7QG4&amp;reservation_id=30684828573866", "YQWYG7QG4")</f>
        <v>YQWYG7QG4</v>
      </c>
      <c r="B6488" t="s">
        <v>10</v>
      </c>
      <c r="C6488" t="s">
        <v>20</v>
      </c>
      <c r="D6488" t="str">
        <f>HYPERLINK("https://us2.cloudbeds.com/connect/10074733072513#/reservations/30684828573866?display=Matthew%20Johnson&amp;reservation_id=30684828573866&amp;guest_id=30684828573864", "Matthew Johnson")</f>
        <v>Matthew Johnson</v>
      </c>
      <c r="E6488" t="s">
        <v>3996</v>
      </c>
      <c r="F6488" t="s">
        <v>3662</v>
      </c>
      <c r="G6488">
        <v>149</v>
      </c>
      <c r="H6488">
        <v>161.97</v>
      </c>
      <c r="I6488">
        <v>161.96</v>
      </c>
      <c r="J6488">
        <v>0.01</v>
      </c>
    </row>
    <row r="6489" spans="1:10" x14ac:dyDescent="0.3">
      <c r="A6489" t="str">
        <f>HYPERLINK("https://us2.cloudbeds.com/connect/10074733072513#/reservations/30684127953121?display=YQW3JEWUF&amp;reservation_id=30684127953121", "YQW3JEWUF")</f>
        <v>YQW3JEWUF</v>
      </c>
      <c r="B6489" t="s">
        <v>10</v>
      </c>
      <c r="C6489" t="s">
        <v>42</v>
      </c>
      <c r="D6489" t="str">
        <f>HYPERLINK("https://us2.cloudbeds.com/connect/10074733072513#/reservations/30684127953121?display=Brian%20Davis&amp;reservation_id=30684127953121&amp;guest_id=30684117090491", "Brian Davis")</f>
        <v>Brian Davis</v>
      </c>
      <c r="E6489" t="s">
        <v>3491</v>
      </c>
      <c r="F6489" t="s">
        <v>3735</v>
      </c>
      <c r="G6489">
        <v>504</v>
      </c>
      <c r="H6489">
        <v>547.86</v>
      </c>
      <c r="I6489">
        <v>547.85</v>
      </c>
      <c r="J6489">
        <v>0.01</v>
      </c>
    </row>
    <row r="6490" spans="1:10" x14ac:dyDescent="0.3">
      <c r="A6490" t="str">
        <f>HYPERLINK("https://us2.cloudbeds.com/connect/10074733072513#/reservations/30684115058817?display=YQW38J6DW&amp;reservation_id=30684115058817", "YQW38J6DW")</f>
        <v>YQW38J6DW</v>
      </c>
      <c r="B6490" t="s">
        <v>10</v>
      </c>
      <c r="C6490" t="s">
        <v>42</v>
      </c>
      <c r="D6490" t="str">
        <f>HYPERLINK("https://us2.cloudbeds.com/connect/10074733072513#/reservations/30684115058817?display=Zachery%20Kanter&amp;reservation_id=30684115058817&amp;guest_id=30684108001504", "Zachery Kanter")</f>
        <v>Zachery Kanter</v>
      </c>
      <c r="E6490" t="s">
        <v>3998</v>
      </c>
      <c r="F6490" t="s">
        <v>3735</v>
      </c>
      <c r="G6490">
        <v>504</v>
      </c>
      <c r="H6490">
        <v>547.86</v>
      </c>
      <c r="I6490">
        <v>547.85</v>
      </c>
      <c r="J6490">
        <v>0.01</v>
      </c>
    </row>
    <row r="6491" spans="1:10" x14ac:dyDescent="0.3">
      <c r="A6491" t="str">
        <f>HYPERLINK("https://us2.cloudbeds.com/connect/10074733072513#/reservations/30683962814593?display=YQVWC6YSE&amp;reservation_id=30683962814593", "YQVWC6YSE")</f>
        <v>YQVWC6YSE</v>
      </c>
      <c r="B6491" t="s">
        <v>10</v>
      </c>
      <c r="C6491" t="s">
        <v>42</v>
      </c>
      <c r="D6491" t="str">
        <f>HYPERLINK("https://us2.cloudbeds.com/connect/10074733072513#/reservations/30683962814593?display=Jacob%20Junker&amp;reservation_id=30683962814593&amp;guest_id=30683962810557", "Jacob Junker")</f>
        <v>Jacob Junker</v>
      </c>
      <c r="E6491" t="s">
        <v>3999</v>
      </c>
      <c r="F6491" t="s">
        <v>3381</v>
      </c>
      <c r="G6491">
        <v>119</v>
      </c>
      <c r="H6491">
        <v>129.36000000000001</v>
      </c>
      <c r="I6491">
        <v>129.35</v>
      </c>
      <c r="J6491">
        <v>0.01</v>
      </c>
    </row>
    <row r="6492" spans="1:10" x14ac:dyDescent="0.3">
      <c r="A6492" t="str">
        <f>HYPERLINK("https://us2.cloudbeds.com/connect/10074733072513#/reservations/30683940237465?display=YQVVQ5HJ8&amp;reservation_id=30683940237465", "YQVVQ5HJ8")</f>
        <v>YQVVQ5HJ8</v>
      </c>
      <c r="B6492" t="s">
        <v>10</v>
      </c>
      <c r="C6492" t="s">
        <v>23</v>
      </c>
      <c r="D6492" t="str">
        <f>HYPERLINK("https://us2.cloudbeds.com/connect/10074733072513#/reservations/30683940237465?display=Jennifer%20Richter&amp;reservation_id=30683940237465&amp;guest_id=30683930226893", "Jennifer Richter")</f>
        <v>Jennifer Richter</v>
      </c>
      <c r="E6492" t="s">
        <v>4000</v>
      </c>
      <c r="F6492" t="s">
        <v>3899</v>
      </c>
      <c r="G6492">
        <v>119</v>
      </c>
      <c r="H6492">
        <v>129.36000000000001</v>
      </c>
      <c r="I6492">
        <v>129.35</v>
      </c>
      <c r="J6492">
        <v>0.01</v>
      </c>
    </row>
    <row r="6493" spans="1:10" x14ac:dyDescent="0.3">
      <c r="A6493" t="str">
        <f>HYPERLINK("https://us2.cloudbeds.com/connect/10074733072513#/reservations/30683857334465?display=YQVTM8KV4&amp;reservation_id=30683857334465", "YQVTM8KV4")</f>
        <v>YQVTM8KV4</v>
      </c>
      <c r="B6493" t="s">
        <v>10</v>
      </c>
      <c r="C6493" t="s">
        <v>42</v>
      </c>
      <c r="D6493" t="str">
        <f>HYPERLINK("https://us2.cloudbeds.com/connect/10074733072513#/reservations/30683857334465?display=Bryan%20Schmacher&amp;reservation_id=30683857334465&amp;guest_id=30683845079194", "Bryan Schmacher")</f>
        <v>Bryan Schmacher</v>
      </c>
      <c r="E6493" t="s">
        <v>4001</v>
      </c>
      <c r="F6493" t="s">
        <v>3899</v>
      </c>
      <c r="G6493">
        <v>119</v>
      </c>
      <c r="H6493">
        <v>129.36000000000001</v>
      </c>
      <c r="I6493">
        <v>129.35</v>
      </c>
      <c r="J6493">
        <v>0.01</v>
      </c>
    </row>
    <row r="6494" spans="1:10" x14ac:dyDescent="0.3">
      <c r="A6494" t="str">
        <f>HYPERLINK("https://us2.cloudbeds.com/connect/10074733072513#/reservations/30683524743318?display=YQVY5QQ8H&amp;reservation_id=30683524743318", "YQVY5QQ8H")</f>
        <v>YQVY5QQ8H</v>
      </c>
      <c r="B6494" t="s">
        <v>10</v>
      </c>
      <c r="C6494" t="s">
        <v>20</v>
      </c>
      <c r="D6494" t="str">
        <f>HYPERLINK("https://us2.cloudbeds.com/connect/10074733072513#/reservations/30683524743318?display=Jenny%20Ovall&amp;reservation_id=30683524743318&amp;guest_id=30683524743307", "Jenny Ovall")</f>
        <v>Jenny Ovall</v>
      </c>
      <c r="E6494" t="s">
        <v>4003</v>
      </c>
      <c r="F6494" t="s">
        <v>3662</v>
      </c>
      <c r="G6494">
        <v>159</v>
      </c>
      <c r="H6494">
        <v>172.84</v>
      </c>
      <c r="I6494">
        <v>172.83</v>
      </c>
      <c r="J6494">
        <v>0.01</v>
      </c>
    </row>
    <row r="6495" spans="1:10" x14ac:dyDescent="0.3">
      <c r="A6495" t="str">
        <f>HYPERLINK("https://us2.cloudbeds.com/connect/10074733072513#/reservations/30682157953231?display=YQUJ89RV3&amp;reservation_id=30682157953231", "YQUJ89RV3")</f>
        <v>YQUJ89RV3</v>
      </c>
      <c r="B6495" t="s">
        <v>10</v>
      </c>
      <c r="C6495" t="s">
        <v>42</v>
      </c>
      <c r="D6495" t="str">
        <f>HYPERLINK("https://us2.cloudbeds.com/connect/10074733072513#/reservations/30682157953231?display=Stacy%20Zens&amp;reservation_id=30682157953231&amp;guest_id=30682157949139", "Stacy Zens")</f>
        <v>Stacy Zens</v>
      </c>
      <c r="E6495" t="s">
        <v>3684</v>
      </c>
      <c r="F6495" t="s">
        <v>3526</v>
      </c>
      <c r="G6495">
        <v>109</v>
      </c>
      <c r="H6495">
        <v>118.49</v>
      </c>
      <c r="I6495">
        <v>118.48</v>
      </c>
      <c r="J6495">
        <v>0.01</v>
      </c>
    </row>
    <row r="6496" spans="1:10" x14ac:dyDescent="0.3">
      <c r="A6496" t="str">
        <f>HYPERLINK("https://us2.cloudbeds.com/connect/10074733072513#/reservations/30682073415878?display=YQUH30FH4&amp;reservation_id=30682073415878", "YQUH30FH4")</f>
        <v>YQUH30FH4</v>
      </c>
      <c r="B6496" t="s">
        <v>10</v>
      </c>
      <c r="C6496" t="s">
        <v>17</v>
      </c>
      <c r="D6496" t="str">
        <f>HYPERLINK("https://us2.cloudbeds.com/connect/10074733072513#/reservations/30682073415878?display=Melody%20Peterson&amp;reservation_id=30682073415878&amp;guest_id=30682066153706", "Melody Peterson")</f>
        <v>Melody Peterson</v>
      </c>
      <c r="E6496" t="s">
        <v>4004</v>
      </c>
      <c r="F6496" t="s">
        <v>3993</v>
      </c>
      <c r="G6496">
        <v>129</v>
      </c>
      <c r="H6496">
        <v>140.22999999999999</v>
      </c>
      <c r="I6496">
        <v>140.22</v>
      </c>
      <c r="J6496">
        <v>0.01</v>
      </c>
    </row>
    <row r="6497" spans="1:10" x14ac:dyDescent="0.3">
      <c r="A6497" t="str">
        <f>HYPERLINK("https://us2.cloudbeds.com/connect/10074733072513#/reservations/30683210653939?display=YQVD4VQ8X&amp;reservation_id=30683210653939", "YQVD4VQ8X")</f>
        <v>YQVD4VQ8X</v>
      </c>
      <c r="B6497" t="s">
        <v>10</v>
      </c>
      <c r="C6497" t="s">
        <v>42</v>
      </c>
      <c r="D6497" t="str">
        <f>HYPERLINK("https://us2.cloudbeds.com/connect/10074733072513#/reservations/30683210653939?display=Jeff%20And%20Teri%20Van%20Kooten%20Vanhooten&amp;reservation_id=30683210653939&amp;guest_id=30683210653934", "Jeff And Teri Van Kooten Vanhooten")</f>
        <v>Jeff And Teri Van Kooten Vanhooten</v>
      </c>
      <c r="E6497" t="s">
        <v>4005</v>
      </c>
      <c r="F6497" t="s">
        <v>2788</v>
      </c>
      <c r="G6497">
        <v>318</v>
      </c>
      <c r="H6497">
        <v>345.68</v>
      </c>
      <c r="I6497">
        <v>345.67</v>
      </c>
      <c r="J6497">
        <v>0.01</v>
      </c>
    </row>
    <row r="6498" spans="1:10" x14ac:dyDescent="0.3">
      <c r="A6498" t="str">
        <f>HYPERLINK("https://us2.cloudbeds.com/connect/10074733072513#/reservations/30683204309141?display=YQVCWK7WV&amp;reservation_id=30683204309141", "YQVCWK7WV")</f>
        <v>YQVCWK7WV</v>
      </c>
      <c r="B6498" t="s">
        <v>10</v>
      </c>
      <c r="C6498" t="s">
        <v>42</v>
      </c>
      <c r="D6498" t="str">
        <f>HYPERLINK("https://us2.cloudbeds.com/connect/10074733072513#/reservations/30683204309141?display=Jeff%20And%20Kacey%20Van%20Kooten%20Hoffman&amp;reservation_id=30683204309141&amp;guest_id=30683204309129", "Jeff And Kacey Van Kooten Hoffman")</f>
        <v>Jeff And Kacey Van Kooten Hoffman</v>
      </c>
      <c r="E6498" t="s">
        <v>4006</v>
      </c>
      <c r="F6498" t="s">
        <v>2788</v>
      </c>
      <c r="G6498">
        <v>318</v>
      </c>
      <c r="H6498">
        <v>345.68</v>
      </c>
      <c r="I6498">
        <v>345.67</v>
      </c>
      <c r="J6498">
        <v>0.01</v>
      </c>
    </row>
    <row r="6499" spans="1:10" x14ac:dyDescent="0.3">
      <c r="A6499" t="str">
        <f>HYPERLINK("https://us2.cloudbeds.com/connect/10074733072513#/reservations/30683191345310?display=YQVCYMGYJ&amp;reservation_id=30683191345310", "YQVCYMGYJ")</f>
        <v>YQVCYMGYJ</v>
      </c>
      <c r="B6499" t="s">
        <v>10</v>
      </c>
      <c r="C6499" t="s">
        <v>42</v>
      </c>
      <c r="D6499" t="str">
        <f>HYPERLINK("https://us2.cloudbeds.com/connect/10074733072513#/reservations/30683191345310?display=Rich%20And%20Sharon%20Van%20Kooten%20Perersma&amp;reservation_id=30683191345310&amp;guest_id=30683191341219", "Rich And Sharon Van Kooten Perersma")</f>
        <v>Rich And Sharon Van Kooten Perersma</v>
      </c>
      <c r="E6499" t="s">
        <v>4007</v>
      </c>
      <c r="F6499" t="s">
        <v>2788</v>
      </c>
      <c r="G6499">
        <v>318</v>
      </c>
      <c r="H6499">
        <v>345.68</v>
      </c>
      <c r="I6499">
        <v>345.67</v>
      </c>
      <c r="J6499">
        <v>0.01</v>
      </c>
    </row>
    <row r="6500" spans="1:10" x14ac:dyDescent="0.3">
      <c r="A6500" t="str">
        <f>HYPERLINK("https://us2.cloudbeds.com/connect/10074733072513#/reservations/30684659355846?display=YQWH5X21B&amp;reservation_id=30684659355846", "YQWH5X21B")</f>
        <v>YQWH5X21B</v>
      </c>
      <c r="B6500" t="s">
        <v>10</v>
      </c>
      <c r="C6500" t="s">
        <v>121</v>
      </c>
      <c r="D6500" t="str">
        <f>HYPERLINK("https://us2.cloudbeds.com/connect/10074733072513#/reservations/30684659355846?display=Juan%20Hernandez&amp;reservation_id=30684659355846&amp;guest_id=30684659355841", "Juan Hernandez")</f>
        <v>Juan Hernandez</v>
      </c>
      <c r="E6500" t="s">
        <v>4008</v>
      </c>
      <c r="F6500" t="s">
        <v>3381</v>
      </c>
      <c r="G6500">
        <v>119</v>
      </c>
      <c r="H6500">
        <v>129.36000000000001</v>
      </c>
      <c r="I6500">
        <v>129.35</v>
      </c>
      <c r="J6500">
        <v>0.01</v>
      </c>
    </row>
    <row r="6501" spans="1:10" x14ac:dyDescent="0.3">
      <c r="A6501" t="str">
        <f>HYPERLINK("https://us2.cloudbeds.com/connect/10074733072513#/reservations/30683217170637?display=YQVDAF4C8&amp;reservation_id=30683217170637", "YQVDAF4C8")</f>
        <v>YQVDAF4C8</v>
      </c>
      <c r="B6501" t="s">
        <v>10</v>
      </c>
      <c r="C6501" t="s">
        <v>42</v>
      </c>
      <c r="D6501" t="str">
        <f>HYPERLINK("https://us2.cloudbeds.com/connect/10074733072513#/reservations/30683217170637?display=Joyce%20Grandma%20Van%20Kooten%20Vanhooten&amp;reservation_id=30683217170637&amp;guest_id=30683217170624", "Joyce Grandma Van Kooten Vanhooten")</f>
        <v>Joyce Grandma Van Kooten Vanhooten</v>
      </c>
      <c r="E6501" t="s">
        <v>4009</v>
      </c>
      <c r="F6501" t="s">
        <v>2788</v>
      </c>
      <c r="G6501">
        <v>318</v>
      </c>
      <c r="H6501">
        <v>345.68</v>
      </c>
      <c r="I6501">
        <v>345.67</v>
      </c>
      <c r="J6501">
        <v>0.01</v>
      </c>
    </row>
    <row r="6502" spans="1:10" x14ac:dyDescent="0.3">
      <c r="A6502" t="str">
        <f>HYPERLINK("https://us2.cloudbeds.com/connect/10074733072513#/reservations/30684782108909?display=YQWKA1RV4&amp;reservation_id=30684782108909", "YQWKA1RV4")</f>
        <v>YQWKA1RV4</v>
      </c>
      <c r="B6502" t="s">
        <v>10</v>
      </c>
      <c r="C6502" t="s">
        <v>23</v>
      </c>
      <c r="D6502" t="str">
        <f>HYPERLINK("https://us2.cloudbeds.com/connect/10074733072513#/reservations/30684782108909?display=Terry%20Bertsch&amp;reservation_id=30684782108909&amp;guest_id=30684782108904", "Terry Bertsch")</f>
        <v>Terry Bertsch</v>
      </c>
      <c r="E6502" t="s">
        <v>4010</v>
      </c>
      <c r="F6502" t="s">
        <v>3662</v>
      </c>
      <c r="G6502">
        <v>149</v>
      </c>
      <c r="H6502">
        <v>161.97</v>
      </c>
      <c r="I6502">
        <v>161.96</v>
      </c>
      <c r="J6502">
        <v>0.01</v>
      </c>
    </row>
    <row r="6503" spans="1:10" x14ac:dyDescent="0.3">
      <c r="A6503" t="str">
        <f>HYPERLINK("https://us2.cloudbeds.com/connect/10074733072513#/reservations/30684693373058?display=YQWX17Y4V&amp;reservation_id=30684693373058", "YQWX17Y4V")</f>
        <v>YQWX17Y4V</v>
      </c>
      <c r="B6503" t="s">
        <v>10</v>
      </c>
      <c r="C6503" t="s">
        <v>42</v>
      </c>
      <c r="D6503" t="str">
        <f>HYPERLINK("https://us2.cloudbeds.com/connect/10074733072513#/reservations/30684693373058?display=Yunhe%20Fu&amp;reservation_id=30684693373058&amp;guest_id=30684688396513", "Yunhe Fu")</f>
        <v>Yunhe Fu</v>
      </c>
      <c r="E6503" t="s">
        <v>4011</v>
      </c>
      <c r="F6503" t="s">
        <v>3662</v>
      </c>
      <c r="G6503">
        <v>73</v>
      </c>
      <c r="H6503">
        <v>79.36</v>
      </c>
      <c r="I6503">
        <v>79.349999999999994</v>
      </c>
      <c r="J6503">
        <v>0.01</v>
      </c>
    </row>
    <row r="6504" spans="1:10" x14ac:dyDescent="0.3">
      <c r="A6504" t="str">
        <f>HYPERLINK("https://us2.cloudbeds.com/connect/10074733072513#/reservations/30681764245691?display=YQU96ABMJ&amp;reservation_id=30681764245691", "YQU96ABMJ")</f>
        <v>YQU96ABMJ</v>
      </c>
      <c r="B6504" t="s">
        <v>10</v>
      </c>
      <c r="C6504" t="s">
        <v>42</v>
      </c>
      <c r="D6504" t="str">
        <f>HYPERLINK("https://us2.cloudbeds.com/connect/10074733072513#/reservations/30681764245691?display=Margaret%20Hauger&amp;reservation_id=30681764245691&amp;guest_id=30681764245685", "Margaret Hauger")</f>
        <v>Margaret Hauger</v>
      </c>
      <c r="E6504" t="s">
        <v>4012</v>
      </c>
      <c r="F6504" t="s">
        <v>4013</v>
      </c>
      <c r="G6504">
        <v>129</v>
      </c>
      <c r="H6504">
        <v>140.22999999999999</v>
      </c>
      <c r="I6504">
        <v>140.22</v>
      </c>
      <c r="J6504">
        <v>0.01</v>
      </c>
    </row>
    <row r="6505" spans="1:10" x14ac:dyDescent="0.3">
      <c r="A6505" t="str">
        <f>HYPERLINK("https://us2.cloudbeds.com/connect/10074733072513#/reservations/30684543459486?display=YQWE6R2FE&amp;reservation_id=30684543459486", "YQWE6R2FE")</f>
        <v>YQWE6R2FE</v>
      </c>
      <c r="B6505" t="s">
        <v>10</v>
      </c>
      <c r="C6505" t="s">
        <v>17</v>
      </c>
      <c r="D6505" t="str">
        <f>HYPERLINK("https://us2.cloudbeds.com/connect/10074733072513#/reservations/30684543459486?display=James%20Vanden%20Brink&amp;reservation_id=30684543459486&amp;guest_id=30684543459473", "James Vanden Brink")</f>
        <v>James Vanden Brink</v>
      </c>
      <c r="E6505" t="s">
        <v>4014</v>
      </c>
      <c r="F6505" t="s">
        <v>3475</v>
      </c>
      <c r="G6505">
        <v>179</v>
      </c>
      <c r="H6505">
        <v>194.58</v>
      </c>
      <c r="I6505">
        <v>194.57</v>
      </c>
      <c r="J6505">
        <v>0.01</v>
      </c>
    </row>
    <row r="6506" spans="1:10" x14ac:dyDescent="0.3">
      <c r="A6506" t="str">
        <f>HYPERLINK("https://us2.cloudbeds.com/connect/10074733072513#/reservations/30683023401192?display=YQV8C26WT&amp;reservation_id=30683023401192", "YQV8C26WT")</f>
        <v>YQV8C26WT</v>
      </c>
      <c r="B6506" t="s">
        <v>10</v>
      </c>
      <c r="C6506" t="s">
        <v>17</v>
      </c>
      <c r="D6506" t="str">
        <f>HYPERLINK("https://us2.cloudbeds.com/connect/10074733072513#/reservations/30683023401192?display=Lavon%20Booth&amp;reservation_id=30683023401192&amp;guest_id=30683023401189", "Lavon Booth")</f>
        <v>Lavon Booth</v>
      </c>
      <c r="E6506" t="s">
        <v>4015</v>
      </c>
      <c r="F6506" t="s">
        <v>3526</v>
      </c>
      <c r="G6506">
        <v>159</v>
      </c>
      <c r="H6506">
        <v>172.84</v>
      </c>
      <c r="I6506">
        <v>172.83</v>
      </c>
      <c r="J6506">
        <v>0.01</v>
      </c>
    </row>
    <row r="6507" spans="1:10" x14ac:dyDescent="0.3">
      <c r="A6507" t="str">
        <f>HYPERLINK("https://us2.cloudbeds.com/connect/10074733072513#/reservations/30682164338858?display=YQUJDMHMV&amp;reservation_id=30682164338858", "YQUJDMHMV")</f>
        <v>YQUJDMHMV</v>
      </c>
      <c r="B6507" t="s">
        <v>10</v>
      </c>
      <c r="C6507" t="s">
        <v>42</v>
      </c>
      <c r="D6507" t="str">
        <f>HYPERLINK("https://us2.cloudbeds.com/connect/10074733072513#/reservations/30682164338858?display=Lisa%20Nickel%20Kaylee&amp;reservation_id=30682164338858&amp;guest_id=30682164338856", "Lisa Nickel Kaylee")</f>
        <v>Lisa Nickel Kaylee</v>
      </c>
      <c r="E6507" t="s">
        <v>4017</v>
      </c>
      <c r="F6507" t="s">
        <v>3526</v>
      </c>
      <c r="G6507">
        <v>149</v>
      </c>
      <c r="H6507">
        <v>161.97</v>
      </c>
      <c r="I6507">
        <v>161.96</v>
      </c>
      <c r="J6507">
        <v>0.01</v>
      </c>
    </row>
    <row r="6508" spans="1:10" x14ac:dyDescent="0.3">
      <c r="A6508" t="str">
        <f>HYPERLINK("https://us2.cloudbeds.com/connect/10074733072513#/reservations/30684696928414?display=YQWX47XV0&amp;reservation_id=30684696928414", "YQWX47XV0")</f>
        <v>YQWX47XV0</v>
      </c>
      <c r="B6508" t="s">
        <v>10</v>
      </c>
      <c r="C6508" t="s">
        <v>42</v>
      </c>
      <c r="D6508" t="str">
        <f>HYPERLINK("https://us2.cloudbeds.com/connect/10074733072513#/reservations/30684696928414?display=Jason%20Tuma&amp;reservation_id=30684696928414&amp;guest_id=30684696928412", "Jason Tuma")</f>
        <v>Jason Tuma</v>
      </c>
      <c r="E6508" t="s">
        <v>4019</v>
      </c>
      <c r="F6508" t="s">
        <v>3662</v>
      </c>
      <c r="G6508">
        <v>73</v>
      </c>
      <c r="H6508">
        <v>79.36</v>
      </c>
      <c r="I6508">
        <v>79.349999999999994</v>
      </c>
      <c r="J6508">
        <v>0.01</v>
      </c>
    </row>
    <row r="6509" spans="1:10" x14ac:dyDescent="0.3">
      <c r="A6509" t="str">
        <f>HYPERLINK("https://us2.cloudbeds.com/connect/10074733072513#/reservations/30683845075102?display=YQVTBUGG9&amp;reservation_id=30683845075102", "YQVTBUGG9")</f>
        <v>YQVTBUGG9</v>
      </c>
      <c r="B6509" t="s">
        <v>10</v>
      </c>
      <c r="C6509" t="s">
        <v>20</v>
      </c>
      <c r="D6509" t="str">
        <f>HYPERLINK("https://us2.cloudbeds.com/connect/10074733072513#/reservations/30683845075102?display=Stephen%20Dean&amp;reservation_id=30683845075102&amp;guest_id=30683845075096", "Stephen Dean")</f>
        <v>Stephen Dean</v>
      </c>
      <c r="E6509" t="s">
        <v>4020</v>
      </c>
      <c r="F6509" t="s">
        <v>3662</v>
      </c>
      <c r="G6509">
        <v>179</v>
      </c>
      <c r="H6509">
        <v>194.58</v>
      </c>
      <c r="I6509">
        <v>194.57</v>
      </c>
      <c r="J6509">
        <v>0.01</v>
      </c>
    </row>
    <row r="6510" spans="1:10" x14ac:dyDescent="0.3">
      <c r="A6510" t="str">
        <f>HYPERLINK("https://us2.cloudbeds.com/connect/10074733072513#/reservations/30682868170916?display=YQV4D5N44&amp;reservation_id=30682868170916", "YQV4D5N44")</f>
        <v>YQV4D5N44</v>
      </c>
      <c r="B6510" t="s">
        <v>10</v>
      </c>
      <c r="C6510" t="s">
        <v>42</v>
      </c>
      <c r="D6510" t="str">
        <f>HYPERLINK("https://us2.cloudbeds.com/connect/10074733072513#/reservations/30682868170916?display=Brenda%20Shannon&amp;reservation_id=30682868170916&amp;guest_id=30682868170914", "Brenda Shannon")</f>
        <v>Brenda Shannon</v>
      </c>
      <c r="E6510" t="s">
        <v>4021</v>
      </c>
      <c r="F6510" t="s">
        <v>3332</v>
      </c>
      <c r="G6510">
        <v>129</v>
      </c>
      <c r="H6510">
        <v>140.22999999999999</v>
      </c>
      <c r="I6510">
        <v>140.22</v>
      </c>
      <c r="J6510">
        <v>0.01</v>
      </c>
    </row>
    <row r="6511" spans="1:10" x14ac:dyDescent="0.3">
      <c r="A6511" t="str">
        <f>HYPERLINK("https://us2.cloudbeds.com/connect/10074733072513#/reservations/30682538365150?display=YQUSW2C60&amp;reservation_id=30682538365150", "YQUSW2C60")</f>
        <v>YQUSW2C60</v>
      </c>
      <c r="B6511" t="s">
        <v>10</v>
      </c>
      <c r="C6511" t="s">
        <v>42</v>
      </c>
      <c r="D6511" t="str">
        <f>HYPERLINK("https://us2.cloudbeds.com/connect/10074733072513#/reservations/30682538365150?display=Joselyn%20Meek&amp;reservation_id=30682538365150&amp;guest_id=30682538365145", "Joselyn Meek")</f>
        <v>Joselyn Meek</v>
      </c>
      <c r="E6511" t="s">
        <v>4023</v>
      </c>
      <c r="F6511" t="s">
        <v>2633</v>
      </c>
      <c r="G6511">
        <v>298</v>
      </c>
      <c r="H6511">
        <v>323.94</v>
      </c>
      <c r="I6511">
        <v>323.93</v>
      </c>
      <c r="J6511">
        <v>0.01</v>
      </c>
    </row>
    <row r="6512" spans="1:10" x14ac:dyDescent="0.3">
      <c r="A6512" t="str">
        <f>HYPERLINK("https://us2.cloudbeds.com/connect/10074733072513#/reservations/30683388526825?display=YQVHMVC80&amp;reservation_id=30683388526825", "YQVHMVC80")</f>
        <v>YQVHMVC80</v>
      </c>
      <c r="B6512" t="s">
        <v>10</v>
      </c>
      <c r="C6512" t="s">
        <v>42</v>
      </c>
      <c r="D6512" t="str">
        <f>HYPERLINK("https://us2.cloudbeds.com/connect/10074733072513#/reservations/30683388526825?display=Sebastian%20Soto&amp;reservation_id=30683388526825&amp;guest_id=30681816453299", "Sebastian Soto")</f>
        <v>Sebastian Soto</v>
      </c>
      <c r="E6512" t="s">
        <v>4025</v>
      </c>
      <c r="F6512" t="s">
        <v>3744</v>
      </c>
      <c r="G6512">
        <v>178</v>
      </c>
      <c r="H6512">
        <v>193.5</v>
      </c>
      <c r="I6512">
        <v>193.49</v>
      </c>
      <c r="J6512">
        <v>0.01</v>
      </c>
    </row>
    <row r="6513" spans="1:10" x14ac:dyDescent="0.3">
      <c r="A6513" t="str">
        <f>HYPERLINK("https://us2.cloudbeds.com/connect/10074733072513#/reservations/30683883458770?display=YQVUB9J6H&amp;reservation_id=30683883458770", "YQVUB9J6H")</f>
        <v>YQVUB9J6H</v>
      </c>
      <c r="B6513" t="s">
        <v>10</v>
      </c>
      <c r="C6513" t="s">
        <v>42</v>
      </c>
      <c r="D6513" t="str">
        <f>HYPERLINK("https://us2.cloudbeds.com/connect/10074733072513#/reservations/30683883458770?display=Tessa%20Sporrer&amp;reservation_id=30683883458770&amp;guest_id=30683874185427", "Tessa Sporrer")</f>
        <v>Tessa Sporrer</v>
      </c>
      <c r="E6513" t="s">
        <v>4026</v>
      </c>
      <c r="F6513" t="s">
        <v>3899</v>
      </c>
      <c r="G6513">
        <v>238</v>
      </c>
      <c r="H6513">
        <v>258.72000000000003</v>
      </c>
      <c r="I6513">
        <v>258.70999999999998</v>
      </c>
      <c r="J6513">
        <v>0.01</v>
      </c>
    </row>
    <row r="6514" spans="1:10" x14ac:dyDescent="0.3">
      <c r="A6514" t="str">
        <f>HYPERLINK("https://us2.cloudbeds.com/connect/10074733072513#/reservations/30681740329171?display=YQU8J4RPH&amp;reservation_id=30681740329171", "YQU8J4RPH")</f>
        <v>YQU8J4RPH</v>
      </c>
      <c r="B6514" t="s">
        <v>10</v>
      </c>
      <c r="C6514" t="s">
        <v>17</v>
      </c>
      <c r="D6514" t="str">
        <f>HYPERLINK("https://us2.cloudbeds.com/connect/10074733072513#/reservations/30681740329171?display=Jill%20Buysse&amp;reservation_id=30681740329171&amp;guest_id=30681733927043", "Jill Buysse")</f>
        <v>Jill Buysse</v>
      </c>
      <c r="E6514" t="s">
        <v>4027</v>
      </c>
      <c r="F6514" t="s">
        <v>3343</v>
      </c>
      <c r="G6514">
        <v>169</v>
      </c>
      <c r="H6514">
        <v>183.71</v>
      </c>
      <c r="I6514">
        <v>183.7</v>
      </c>
      <c r="J6514">
        <v>0.01</v>
      </c>
    </row>
    <row r="6515" spans="1:10" x14ac:dyDescent="0.3">
      <c r="A6515" t="str">
        <f>HYPERLINK("https://us2.cloudbeds.com/connect/10074733072513#/reservations/30682131021953?display=YQUXXJEYP&amp;reservation_id=30682131021953", "YQUXXJEYP")</f>
        <v>YQUXXJEYP</v>
      </c>
      <c r="B6515" t="s">
        <v>10</v>
      </c>
      <c r="C6515" t="s">
        <v>42</v>
      </c>
      <c r="D6515" t="str">
        <f>HYPERLINK("https://us2.cloudbeds.com/connect/10074733072513#/reservations/30682131021953?display=Sarah%20Roe&amp;reservation_id=30682131021953&amp;guest_id=30682131017919", "Sarah Roe")</f>
        <v>Sarah Roe</v>
      </c>
      <c r="E6515" t="s">
        <v>4033</v>
      </c>
      <c r="F6515" t="s">
        <v>3774</v>
      </c>
      <c r="G6515">
        <v>129</v>
      </c>
      <c r="H6515">
        <v>140.22999999999999</v>
      </c>
      <c r="I6515">
        <v>140.22</v>
      </c>
      <c r="J6515">
        <v>0.01</v>
      </c>
    </row>
    <row r="6516" spans="1:10" x14ac:dyDescent="0.3">
      <c r="A6516" t="str">
        <f>HYPERLINK("https://us2.cloudbeds.com/connect/10074733072513#/reservations/30683585654929?display=YQVMZ5ZPU&amp;reservation_id=30683585654929", "YQVMZ5ZPU")</f>
        <v>YQVMZ5ZPU</v>
      </c>
      <c r="B6516" t="s">
        <v>10</v>
      </c>
      <c r="C6516" t="s">
        <v>42</v>
      </c>
      <c r="D6516" t="str">
        <f>HYPERLINK("https://us2.cloudbeds.com/connect/10074733072513#/reservations/30683585654929?display=Kim%20Turbak&amp;reservation_id=30683585654929&amp;guest_id=30683585654914", "Kim Turbak")</f>
        <v>Kim Turbak</v>
      </c>
      <c r="E6516" t="s">
        <v>4034</v>
      </c>
      <c r="F6516" t="s">
        <v>3526</v>
      </c>
      <c r="G6516">
        <v>109</v>
      </c>
      <c r="H6516">
        <v>118.49</v>
      </c>
      <c r="I6516">
        <v>118.48</v>
      </c>
      <c r="J6516">
        <v>0.01</v>
      </c>
    </row>
    <row r="6517" spans="1:10" x14ac:dyDescent="0.3">
      <c r="A6517" t="str">
        <f>HYPERLINK("https://us2.cloudbeds.com/connect/10074733072513#/reservations/30682118570222?display=YQUX82VXJ&amp;reservation_id=30682118570222", "YQUX82VXJ")</f>
        <v>YQUX82VXJ</v>
      </c>
      <c r="B6517" t="s">
        <v>10</v>
      </c>
      <c r="C6517" t="s">
        <v>42</v>
      </c>
      <c r="D6517" t="str">
        <f>HYPERLINK("https://us2.cloudbeds.com/connect/10074733072513#/reservations/30682118570222?display=Rhonda%20Roe&amp;reservation_id=30682118570222&amp;guest_id=30682107625628", "Rhonda Roe")</f>
        <v>Rhonda Roe</v>
      </c>
      <c r="E6517" t="s">
        <v>4035</v>
      </c>
      <c r="F6517" t="s">
        <v>3774</v>
      </c>
      <c r="G6517">
        <v>129</v>
      </c>
      <c r="H6517">
        <v>140.22999999999999</v>
      </c>
      <c r="I6517">
        <v>140.22</v>
      </c>
      <c r="J6517">
        <v>0.01</v>
      </c>
    </row>
    <row r="6518" spans="1:10" x14ac:dyDescent="0.3">
      <c r="A6518" t="str">
        <f>HYPERLINK("https://us2.cloudbeds.com/connect/10074733072513#/reservations/30682845970640?display=YQV3REV6G&amp;reservation_id=30682845970640", "YQV3REV6G")</f>
        <v>YQV3REV6G</v>
      </c>
      <c r="B6518" t="s">
        <v>10</v>
      </c>
      <c r="C6518" t="s">
        <v>42</v>
      </c>
      <c r="D6518" t="str">
        <f>HYPERLINK("https://us2.cloudbeds.com/connect/10074733072513#/reservations/30682845970640?display=John%20Mcmullen&amp;reservation_id=30682845970640&amp;guest_id=30682845970638", "John Mcmullen")</f>
        <v>John Mcmullen</v>
      </c>
      <c r="E6518" t="s">
        <v>4036</v>
      </c>
      <c r="F6518" t="s">
        <v>3332</v>
      </c>
      <c r="G6518">
        <v>129</v>
      </c>
      <c r="H6518">
        <v>140.22999999999999</v>
      </c>
      <c r="I6518">
        <v>140.22</v>
      </c>
      <c r="J6518">
        <v>0.01</v>
      </c>
    </row>
    <row r="6519" spans="1:10" x14ac:dyDescent="0.3">
      <c r="A6519" t="str">
        <f>HYPERLINK("https://us2.cloudbeds.com/connect/10074733072513#/reservations/30682168598731?display=YQUJH92E0&amp;reservation_id=30682168598731", "YQUJH92E0")</f>
        <v>YQUJH92E0</v>
      </c>
      <c r="B6519" t="s">
        <v>10</v>
      </c>
      <c r="C6519" t="s">
        <v>42</v>
      </c>
      <c r="D6519" t="str">
        <f>HYPERLINK("https://us2.cloudbeds.com/connect/10074733072513#/reservations/30682168598731?display=Jennifer%20Decou&amp;reservation_id=30682168598731&amp;guest_id=30682168598729", "Jennifer Decou")</f>
        <v>Jennifer Decou</v>
      </c>
      <c r="E6519" t="s">
        <v>4037</v>
      </c>
      <c r="F6519" t="s">
        <v>3774</v>
      </c>
      <c r="G6519">
        <v>159</v>
      </c>
      <c r="H6519">
        <v>172.84</v>
      </c>
      <c r="I6519">
        <v>172.83</v>
      </c>
      <c r="J6519">
        <v>0.01</v>
      </c>
    </row>
    <row r="6520" spans="1:10" x14ac:dyDescent="0.3">
      <c r="A6520" t="str">
        <f>HYPERLINK("https://us2.cloudbeds.com/connect/10074733072513#/reservations/30682045112565?display=YQUGC4TAW&amp;reservation_id=30682045112565", "YQUGC4TAW")</f>
        <v>YQUGC4TAW</v>
      </c>
      <c r="B6520" t="s">
        <v>10</v>
      </c>
      <c r="C6520" t="s">
        <v>42</v>
      </c>
      <c r="D6520" t="str">
        <f>HYPERLINK("https://us2.cloudbeds.com/connect/10074733072513#/reservations/30682045112565?display=Steve%20Walling&amp;reservation_id=30682045112565&amp;guest_id=30682045112563", "Steve Walling")</f>
        <v>Steve Walling</v>
      </c>
      <c r="E6520" t="s">
        <v>4038</v>
      </c>
      <c r="F6520" t="s">
        <v>3993</v>
      </c>
      <c r="G6520">
        <v>89</v>
      </c>
      <c r="H6520">
        <v>96.75</v>
      </c>
      <c r="I6520">
        <v>96.74</v>
      </c>
      <c r="J6520">
        <v>0.01</v>
      </c>
    </row>
    <row r="6521" spans="1:10" x14ac:dyDescent="0.3">
      <c r="A6521" t="str">
        <f>HYPERLINK("https://us2.cloudbeds.com/connect/10074733072513#/reservations/30684424867981?display=YQWB5R30E&amp;reservation_id=30684424867981", "YQWB5R30E")</f>
        <v>YQWB5R30E</v>
      </c>
      <c r="B6521" t="s">
        <v>10</v>
      </c>
      <c r="C6521" t="s">
        <v>11</v>
      </c>
      <c r="D6521" t="str">
        <f>HYPERLINK("https://us2.cloudbeds.com/connect/10074733072513#/reservations/30684424867981?display=Darla%20Endle&amp;reservation_id=30684424867981&amp;guest_id=30684424867977", "Darla Endle")</f>
        <v>Darla Endle</v>
      </c>
      <c r="E6521" t="s">
        <v>4039</v>
      </c>
      <c r="F6521" t="s">
        <v>4024</v>
      </c>
      <c r="G6521">
        <v>96.81</v>
      </c>
      <c r="H6521">
        <v>105.24</v>
      </c>
      <c r="I6521">
        <v>105.23</v>
      </c>
      <c r="J6521">
        <v>0.01</v>
      </c>
    </row>
    <row r="6522" spans="1:10" x14ac:dyDescent="0.3">
      <c r="A6522" t="str">
        <f>HYPERLINK("https://us2.cloudbeds.com/connect/10074733072513#/reservations/30683696935123?display=YQVPJ09F0&amp;reservation_id=30683696935123", "YQVPJ09F0")</f>
        <v>YQVPJ09F0</v>
      </c>
      <c r="B6522" t="s">
        <v>10</v>
      </c>
      <c r="C6522" t="s">
        <v>42</v>
      </c>
      <c r="D6522" t="str">
        <f>HYPERLINK("https://us2.cloudbeds.com/connect/10074733072513#/reservations/30683696935123?display=Mason%20Cooper&amp;reservation_id=30683696935123&amp;guest_id=30683696931038", "Mason Cooper")</f>
        <v>Mason Cooper</v>
      </c>
      <c r="E6522" t="s">
        <v>2791</v>
      </c>
      <c r="F6522" t="s">
        <v>4029</v>
      </c>
      <c r="G6522">
        <v>420</v>
      </c>
      <c r="H6522">
        <v>456.55</v>
      </c>
      <c r="I6522">
        <v>456.54</v>
      </c>
      <c r="J6522">
        <v>0.01</v>
      </c>
    </row>
    <row r="6523" spans="1:10" x14ac:dyDescent="0.3">
      <c r="A6523" t="str">
        <f>HYPERLINK("https://us2.cloudbeds.com/connect/10074733072513#/reservations/30683971563729?display=YQVWJJ7YW&amp;reservation_id=30683971563729", "YQVWJJ7YW")</f>
        <v>YQVWJJ7YW</v>
      </c>
      <c r="B6523" t="s">
        <v>10</v>
      </c>
      <c r="C6523" t="s">
        <v>42</v>
      </c>
      <c r="D6523" t="str">
        <f>HYPERLINK("https://us2.cloudbeds.com/connect/10074733072513#/reservations/30683971563729?display=Juli%20Larson&amp;reservation_id=30683971563729&amp;guest_id=30683963170944", "Juli Larson")</f>
        <v>Juli Larson</v>
      </c>
      <c r="E6523" t="s">
        <v>4040</v>
      </c>
      <c r="F6523" t="s">
        <v>3984</v>
      </c>
      <c r="G6523">
        <v>149</v>
      </c>
      <c r="H6523">
        <v>161.97</v>
      </c>
      <c r="I6523">
        <v>161.96</v>
      </c>
      <c r="J6523">
        <v>0.01</v>
      </c>
    </row>
    <row r="6524" spans="1:10" x14ac:dyDescent="0.3">
      <c r="A6524" t="str">
        <f>HYPERLINK("https://us2.cloudbeds.com/connect/10074733072513#/reservations/30683815600359?display=YQVSK2AK8&amp;reservation_id=30683815600359", "YQVSK2AK8")</f>
        <v>YQVSK2AK8</v>
      </c>
      <c r="B6524" t="s">
        <v>10</v>
      </c>
      <c r="C6524" t="s">
        <v>121</v>
      </c>
      <c r="D6524" t="str">
        <f>HYPERLINK("https://us2.cloudbeds.com/connect/10074733072513#/reservations/30683815600359?display=John%20Govig&amp;reservation_id=30683815600359&amp;guest_id=30683815600344", "John Govig")</f>
        <v>John Govig</v>
      </c>
      <c r="E6524" t="s">
        <v>4041</v>
      </c>
      <c r="F6524" t="s">
        <v>3993</v>
      </c>
      <c r="G6524">
        <v>119</v>
      </c>
      <c r="H6524">
        <v>129.36000000000001</v>
      </c>
      <c r="I6524">
        <v>129.35</v>
      </c>
      <c r="J6524">
        <v>0.01</v>
      </c>
    </row>
    <row r="6525" spans="1:10" x14ac:dyDescent="0.3">
      <c r="A6525" t="str">
        <f>HYPERLINK("https://us2.cloudbeds.com/connect/10074733072513#/reservations/30683822674106?display=YQVSQ1587&amp;reservation_id=30683822674106", "YQVSQ1587")</f>
        <v>YQVSQ1587</v>
      </c>
      <c r="B6525" t="s">
        <v>10</v>
      </c>
      <c r="C6525" t="s">
        <v>121</v>
      </c>
      <c r="D6525" t="str">
        <f>HYPERLINK("https://us2.cloudbeds.com/connect/10074733072513#/reservations/30683822674106?display=Lucas%20Garrett&amp;reservation_id=30683822674106&amp;guest_id=30683815604450", "Lucas Garrett")</f>
        <v>Lucas Garrett</v>
      </c>
      <c r="E6525" t="s">
        <v>4042</v>
      </c>
      <c r="F6525" t="s">
        <v>3993</v>
      </c>
      <c r="G6525">
        <v>119</v>
      </c>
      <c r="H6525">
        <v>129.36000000000001</v>
      </c>
      <c r="I6525">
        <v>129.35</v>
      </c>
      <c r="J6525">
        <v>0.01</v>
      </c>
    </row>
    <row r="6526" spans="1:10" x14ac:dyDescent="0.3">
      <c r="A6526" t="str">
        <f>HYPERLINK("https://us2.cloudbeds.com/connect/10074733072513#/reservations/30683825647828?display=YQVSSHTV0&amp;reservation_id=30683825647828", "YQVSSHTV0")</f>
        <v>YQVSSHTV0</v>
      </c>
      <c r="B6526" t="s">
        <v>10</v>
      </c>
      <c r="C6526" t="s">
        <v>121</v>
      </c>
      <c r="D6526" t="str">
        <f>HYPERLINK("https://us2.cloudbeds.com/connect/10074733072513#/reservations/30683825647828?display=John%20Skraba&amp;reservation_id=30683825647828&amp;guest_id=30683825643731", "John Skraba")</f>
        <v>John Skraba</v>
      </c>
      <c r="E6526" t="s">
        <v>4043</v>
      </c>
      <c r="F6526" t="s">
        <v>3993</v>
      </c>
      <c r="G6526">
        <v>119</v>
      </c>
      <c r="H6526">
        <v>129.36000000000001</v>
      </c>
      <c r="I6526">
        <v>129.35</v>
      </c>
      <c r="J6526">
        <v>0.01</v>
      </c>
    </row>
    <row r="6527" spans="1:10" x14ac:dyDescent="0.3">
      <c r="A6527" t="str">
        <f>HYPERLINK("https://us2.cloudbeds.com/connect/10074733072513#/reservations/30684392607942?display=YQWABKDFH&amp;reservation_id=30684392607942", "YQWABKDFH")</f>
        <v>YQWABKDFH</v>
      </c>
      <c r="B6527" t="s">
        <v>10</v>
      </c>
      <c r="C6527" t="s">
        <v>17</v>
      </c>
      <c r="D6527" t="str">
        <f>HYPERLINK("https://us2.cloudbeds.com/connect/10074733072513#/reservations/30684392607942?display=Amber%20Authier&amp;reservation_id=30684392607942&amp;guest_id=30684392607939", "Amber Authier")</f>
        <v>Amber Authier</v>
      </c>
      <c r="E6527" t="s">
        <v>4044</v>
      </c>
      <c r="F6527" t="s">
        <v>4024</v>
      </c>
      <c r="G6527">
        <v>129</v>
      </c>
      <c r="H6527">
        <v>140.22999999999999</v>
      </c>
      <c r="I6527">
        <v>140.22</v>
      </c>
      <c r="J6527">
        <v>0.01</v>
      </c>
    </row>
    <row r="6528" spans="1:10" x14ac:dyDescent="0.3">
      <c r="A6528" t="str">
        <f>HYPERLINK("https://us2.cloudbeds.com/connect/10074733072513#/reservations/30683265298635?display=YQVEX1C1E&amp;reservation_id=30683265298635", "YQVEX1C1E")</f>
        <v>YQVEX1C1E</v>
      </c>
      <c r="B6528" t="s">
        <v>10</v>
      </c>
      <c r="C6528" t="s">
        <v>14</v>
      </c>
      <c r="D6528" t="str">
        <f>HYPERLINK("https://us2.cloudbeds.com/connect/10074733072513#/reservations/30683265298635?display=Julie%20Moore&amp;reservation_id=30683265298635&amp;guest_id=30679574986880", "Julie Moore")</f>
        <v>Julie Moore</v>
      </c>
      <c r="E6528" t="s">
        <v>4045</v>
      </c>
      <c r="F6528" t="s">
        <v>2788</v>
      </c>
      <c r="G6528">
        <v>322.2</v>
      </c>
      <c r="H6528">
        <v>350.24</v>
      </c>
      <c r="I6528">
        <v>350.23</v>
      </c>
      <c r="J6528">
        <v>0.01</v>
      </c>
    </row>
    <row r="6529" spans="1:10" x14ac:dyDescent="0.3">
      <c r="A6529" t="str">
        <f>HYPERLINK("https://us2.cloudbeds.com/connect/10074733072513#/reservations/30684379472068?display=YQWA0HT4Z&amp;reservation_id=30684379472068", "YQWA0HT4Z")</f>
        <v>YQWA0HT4Z</v>
      </c>
      <c r="B6529" t="s">
        <v>10</v>
      </c>
      <c r="C6529" t="s">
        <v>42</v>
      </c>
      <c r="D6529" t="str">
        <f>HYPERLINK("https://us2.cloudbeds.com/connect/10074733072513#/reservations/30684379472068?display=Jeremy%20Ulmer&amp;reservation_id=30684379472068&amp;guest_id=30682487013543", "Jeremy Ulmer")</f>
        <v>Jeremy Ulmer</v>
      </c>
      <c r="E6529" t="s">
        <v>4047</v>
      </c>
      <c r="F6529" t="s">
        <v>4024</v>
      </c>
      <c r="G6529">
        <v>149</v>
      </c>
      <c r="H6529">
        <v>161.97</v>
      </c>
      <c r="I6529">
        <v>161.96</v>
      </c>
      <c r="J6529">
        <v>0.01</v>
      </c>
    </row>
    <row r="6530" spans="1:10" x14ac:dyDescent="0.3">
      <c r="A6530" t="str">
        <f>HYPERLINK("https://us2.cloudbeds.com/connect/10074733072513#/reservations/30682845974732?display=YQV3RF1VG&amp;reservation_id=30682845974732", "YQV3RF1VG")</f>
        <v>YQV3RF1VG</v>
      </c>
      <c r="B6530" t="s">
        <v>10</v>
      </c>
      <c r="C6530" t="s">
        <v>42</v>
      </c>
      <c r="D6530" t="str">
        <f>HYPERLINK("https://us2.cloudbeds.com/connect/10074733072513#/reservations/30682845974732?display=Brenda%20Purvis&amp;reservation_id=30682845974732&amp;guest_id=30682845974730", "Brenda Purvis")</f>
        <v>Brenda Purvis</v>
      </c>
      <c r="E6530" t="s">
        <v>4048</v>
      </c>
      <c r="F6530" t="s">
        <v>3332</v>
      </c>
      <c r="G6530">
        <v>159</v>
      </c>
      <c r="H6530">
        <v>172.84</v>
      </c>
      <c r="I6530">
        <v>172.83</v>
      </c>
      <c r="J6530">
        <v>0.01</v>
      </c>
    </row>
    <row r="6531" spans="1:10" x14ac:dyDescent="0.3">
      <c r="A6531" t="str">
        <f>HYPERLINK("https://us2.cloudbeds.com/connect/10074733072513#/reservations/30683615416450?display=YQVNG8U06&amp;reservation_id=30683615416450", "YQVNG8U06")</f>
        <v>YQVNG8U06</v>
      </c>
      <c r="B6531" t="s">
        <v>10</v>
      </c>
      <c r="C6531" t="s">
        <v>20</v>
      </c>
      <c r="D6531" t="str">
        <f>HYPERLINK("https://us2.cloudbeds.com/connect/10074733072513#/reservations/30683615416450?display=Ulrike%20Meserth&amp;reservation_id=30683615416450&amp;guest_id=30683610554593", "Ulrike Meserth")</f>
        <v>Ulrike Meserth</v>
      </c>
      <c r="E6531" t="s">
        <v>4049</v>
      </c>
      <c r="F6531" t="s">
        <v>3557</v>
      </c>
      <c r="G6531">
        <v>79</v>
      </c>
      <c r="H6531">
        <v>85.88</v>
      </c>
      <c r="I6531">
        <v>85.87</v>
      </c>
      <c r="J6531">
        <v>0.01</v>
      </c>
    </row>
    <row r="6532" spans="1:10" x14ac:dyDescent="0.3">
      <c r="A6532" t="str">
        <f>HYPERLINK("https://us2.cloudbeds.com/connect/10074733072513#/reservations/30683710808285?display=YQVPUNAQS&amp;reservation_id=30683710808285", "YQVPUNAQS")</f>
        <v>YQVPUNAQS</v>
      </c>
      <c r="B6532" t="s">
        <v>10</v>
      </c>
      <c r="C6532" t="s">
        <v>42</v>
      </c>
      <c r="D6532" t="str">
        <f>HYPERLINK("https://us2.cloudbeds.com/connect/10074733072513#/reservations/30683710808285?display=Todd%20Fobbe&amp;reservation_id=30683710808285&amp;guest_id=30683710804191", "Todd Fobbe")</f>
        <v>Todd Fobbe</v>
      </c>
      <c r="E6532" t="s">
        <v>4050</v>
      </c>
      <c r="F6532" t="s">
        <v>4051</v>
      </c>
      <c r="G6532">
        <v>238</v>
      </c>
      <c r="H6532">
        <v>258.72000000000003</v>
      </c>
      <c r="I6532">
        <v>258.70999999999998</v>
      </c>
      <c r="J6532">
        <v>0.01</v>
      </c>
    </row>
    <row r="6533" spans="1:10" x14ac:dyDescent="0.3">
      <c r="A6533" t="str">
        <f>HYPERLINK("https://us2.cloudbeds.com/connect/10074733072513#/reservations/30683737858239?display=YQVQKH12E&amp;reservation_id=30683737858239", "YQVQKH12E")</f>
        <v>YQVQKH12E</v>
      </c>
      <c r="B6533" t="s">
        <v>10</v>
      </c>
      <c r="C6533" t="s">
        <v>42</v>
      </c>
      <c r="D6533" t="str">
        <f>HYPERLINK("https://us2.cloudbeds.com/connect/10074733072513#/reservations/30683737858239?display=Oscar%20Pesrez&amp;reservation_id=30683737858239&amp;guest_id=30683737858234", "Oscar Pesrez")</f>
        <v>Oscar Pesrez</v>
      </c>
      <c r="E6533" t="s">
        <v>4052</v>
      </c>
      <c r="F6533" t="s">
        <v>4051</v>
      </c>
      <c r="G6533">
        <v>119</v>
      </c>
      <c r="H6533">
        <v>129.36000000000001</v>
      </c>
      <c r="I6533">
        <v>129.35</v>
      </c>
      <c r="J6533">
        <v>0.01</v>
      </c>
    </row>
    <row r="6534" spans="1:10" x14ac:dyDescent="0.3">
      <c r="A6534" t="str">
        <f>HYPERLINK("https://us2.cloudbeds.com/connect/10074733072513#/reservations/30683743105236?display=YQVQZV18B&amp;reservation_id=30683743105236", "YQVQZV18B")</f>
        <v>YQVQZV18B</v>
      </c>
      <c r="B6534" t="s">
        <v>10</v>
      </c>
      <c r="C6534" t="s">
        <v>121</v>
      </c>
      <c r="D6534" t="str">
        <f>HYPERLINK("https://us2.cloudbeds.com/connect/10074733072513#/reservations/30683743105236?display=Anthony%20Hundley&amp;reservation_id=30683743105236&amp;guest_id=30683743105231", "Anthony Hundley")</f>
        <v>Anthony Hundley</v>
      </c>
      <c r="E6534" t="s">
        <v>4053</v>
      </c>
      <c r="F6534" t="s">
        <v>4051</v>
      </c>
      <c r="G6534">
        <v>73</v>
      </c>
      <c r="H6534">
        <v>79.36</v>
      </c>
      <c r="I6534">
        <v>79.349999999999994</v>
      </c>
      <c r="J6534">
        <v>0.01</v>
      </c>
    </row>
    <row r="6535" spans="1:10" x14ac:dyDescent="0.3">
      <c r="A6535" t="str">
        <f>HYPERLINK("https://us2.cloudbeds.com/connect/10074733072513#/reservations/30683787210928?display=YQVRT4BBF&amp;reservation_id=30683787210928", "YQVRT4BBF")</f>
        <v>YQVRT4BBF</v>
      </c>
      <c r="B6535" t="s">
        <v>10</v>
      </c>
      <c r="C6535" t="s">
        <v>11</v>
      </c>
      <c r="D6535" t="str">
        <f>HYPERLINK("https://us2.cloudbeds.com/connect/10074733072513#/reservations/30683787210928?display=Chad%20Aldrich&amp;reservation_id=30683787210928&amp;guest_id=30683787210917", "Chad Aldrich")</f>
        <v>Chad Aldrich</v>
      </c>
      <c r="E6535" t="s">
        <v>4054</v>
      </c>
      <c r="F6535" t="s">
        <v>4051</v>
      </c>
      <c r="G6535">
        <v>80.38</v>
      </c>
      <c r="H6535">
        <v>87.38</v>
      </c>
      <c r="I6535">
        <v>87.37</v>
      </c>
      <c r="J6535">
        <v>0.01</v>
      </c>
    </row>
    <row r="6536" spans="1:10" x14ac:dyDescent="0.3">
      <c r="A6536" t="str">
        <f>HYPERLINK("https://us2.cloudbeds.com/connect/10074733072513#/reservations/30683798626462?display=YQVS5ZWUN&amp;reservation_id=30683798626462", "YQVS5ZWUN")</f>
        <v>YQVS5ZWUN</v>
      </c>
      <c r="B6536" t="s">
        <v>10</v>
      </c>
      <c r="C6536" t="s">
        <v>42</v>
      </c>
      <c r="D6536" t="str">
        <f>HYPERLINK("https://us2.cloudbeds.com/connect/10074733072513#/reservations/30683798626462?display=Andy%20Barker&amp;reservation_id=30683798626462&amp;guest_id=30683798626459", "Andy Barker")</f>
        <v>Andy Barker</v>
      </c>
      <c r="E6536" t="s">
        <v>4056</v>
      </c>
      <c r="F6536" t="s">
        <v>4051</v>
      </c>
      <c r="G6536">
        <v>73</v>
      </c>
      <c r="H6536">
        <v>79.36</v>
      </c>
      <c r="I6536">
        <v>79.349999999999994</v>
      </c>
      <c r="J6536">
        <v>0.01</v>
      </c>
    </row>
    <row r="6537" spans="1:10" x14ac:dyDescent="0.3">
      <c r="A6537" t="str">
        <f>HYPERLINK("https://us2.cloudbeds.com/connect/10074733072513#/reservations/30683809050769?display=YQVSEX29R&amp;reservation_id=30683809050769", "YQVSEX29R")</f>
        <v>YQVSEX29R</v>
      </c>
      <c r="B6537" t="s">
        <v>10</v>
      </c>
      <c r="C6537" t="s">
        <v>42</v>
      </c>
      <c r="D6537" t="str">
        <f>HYPERLINK("https://us2.cloudbeds.com/connect/10074733072513#/reservations/30683809050769?display=Donald%20Fredrickson&amp;reservation_id=30683809050769&amp;guest_id=30683805372642", "Donald Fredrickson")</f>
        <v>Donald Fredrickson</v>
      </c>
      <c r="E6537" t="s">
        <v>4057</v>
      </c>
      <c r="F6537" t="s">
        <v>4051</v>
      </c>
      <c r="G6537">
        <v>73</v>
      </c>
      <c r="H6537">
        <v>79.36</v>
      </c>
      <c r="I6537">
        <v>79.349999999999994</v>
      </c>
      <c r="J6537">
        <v>0.01</v>
      </c>
    </row>
    <row r="6538" spans="1:10" x14ac:dyDescent="0.3">
      <c r="A6538" t="str">
        <f>HYPERLINK("https://us2.cloudbeds.com/connect/10074733072513#/reservations/30682953732301?display=YQV6JAXTA&amp;reservation_id=30682953732301", "YQV6JAXTA")</f>
        <v>YQV6JAXTA</v>
      </c>
      <c r="B6538" t="s">
        <v>10</v>
      </c>
      <c r="C6538" t="s">
        <v>20</v>
      </c>
      <c r="D6538" t="str">
        <f>HYPERLINK("https://us2.cloudbeds.com/connect/10074733072513#/reservations/30682953732301?display=Mary%20Delaney&amp;reservation_id=30682953732301&amp;guest_id=30682953728217", "Mary Delaney")</f>
        <v>Mary Delaney</v>
      </c>
      <c r="E6538" t="s">
        <v>4058</v>
      </c>
      <c r="F6538" t="s">
        <v>3332</v>
      </c>
      <c r="G6538">
        <v>149</v>
      </c>
      <c r="H6538">
        <v>161.97</v>
      </c>
      <c r="I6538">
        <v>161.96</v>
      </c>
      <c r="J6538">
        <v>0.01</v>
      </c>
    </row>
    <row r="6539" spans="1:10" x14ac:dyDescent="0.3">
      <c r="A6539" t="str">
        <f>HYPERLINK("https://us2.cloudbeds.com/connect/10074733072513#/reservations/30682967789760?display=YQV6P5A43&amp;reservation_id=30682967789760", "YQV6P5A43")</f>
        <v>YQV6P5A43</v>
      </c>
      <c r="B6539" t="s">
        <v>10</v>
      </c>
      <c r="C6539" t="s">
        <v>20</v>
      </c>
      <c r="D6539" t="str">
        <f>HYPERLINK("https://us2.cloudbeds.com/connect/10074733072513#/reservations/30682967789760?display=Karey%20Sargent&amp;reservation_id=30682967789760&amp;guest_id=30682960654511", "Karey Sargent")</f>
        <v>Karey Sargent</v>
      </c>
      <c r="E6539" t="s">
        <v>4059</v>
      </c>
      <c r="F6539" t="s">
        <v>3332</v>
      </c>
      <c r="G6539">
        <v>159</v>
      </c>
      <c r="H6539">
        <v>172.84</v>
      </c>
      <c r="I6539">
        <v>172.83</v>
      </c>
      <c r="J6539">
        <v>0.01</v>
      </c>
    </row>
    <row r="6540" spans="1:10" x14ac:dyDescent="0.3">
      <c r="A6540" t="str">
        <f>HYPERLINK("https://us2.cloudbeds.com/connect/10074733072513#/reservations/30682309091557?display=YQUN3ZG9C&amp;reservation_id=30682309091557", "YQUN3ZG9C")</f>
        <v>YQUN3ZG9C</v>
      </c>
      <c r="B6540" t="s">
        <v>10</v>
      </c>
      <c r="C6540" t="s">
        <v>42</v>
      </c>
      <c r="D6540" t="str">
        <f>HYPERLINK("https://us2.cloudbeds.com/connect/10074733072513#/reservations/30682309091557?display=Craig%20Ericks&amp;reservation_id=30682309091557&amp;guest_id=30682309091554", "Craig Ericks")</f>
        <v>Craig Ericks</v>
      </c>
      <c r="E6540" t="s">
        <v>2970</v>
      </c>
      <c r="F6540" t="s">
        <v>2633</v>
      </c>
      <c r="G6540">
        <v>79</v>
      </c>
      <c r="H6540">
        <v>85.88</v>
      </c>
      <c r="I6540">
        <v>85.87</v>
      </c>
      <c r="J6540">
        <v>0.01</v>
      </c>
    </row>
    <row r="6541" spans="1:10" x14ac:dyDescent="0.3">
      <c r="A6541" t="str">
        <f>HYPERLINK("https://us2.cloudbeds.com/connect/10074733072513#/reservations/30683691028618?display=YQVPE0UM0&amp;reservation_id=30683691028618", "YQVPE0UM0")</f>
        <v>YQVPE0UM0</v>
      </c>
      <c r="B6541" t="s">
        <v>10</v>
      </c>
      <c r="C6541" t="s">
        <v>11</v>
      </c>
      <c r="D6541" t="str">
        <f>HYPERLINK("https://us2.cloudbeds.com/connect/10074733072513#/reservations/30683691028618?display=Chad%20Aldrich&amp;reservation_id=30683691028618&amp;guest_id=30681508045052", "Chad Aldrich")</f>
        <v>Chad Aldrich</v>
      </c>
      <c r="E6541" t="s">
        <v>4054</v>
      </c>
      <c r="F6541" t="s">
        <v>3088</v>
      </c>
      <c r="G6541">
        <v>80.38</v>
      </c>
      <c r="H6541">
        <v>87.38</v>
      </c>
      <c r="I6541">
        <v>87.37</v>
      </c>
      <c r="J6541">
        <v>0.01</v>
      </c>
    </row>
    <row r="6542" spans="1:10" x14ac:dyDescent="0.3">
      <c r="A6542" t="str">
        <f>HYPERLINK("https://us2.cloudbeds.com/connect/10074733072513#/reservations/30683171676409?display=YQVC53679&amp;reservation_id=30683171676409", "YQVC53679")</f>
        <v>YQVC53679</v>
      </c>
      <c r="B6542" t="s">
        <v>10</v>
      </c>
      <c r="C6542" t="s">
        <v>42</v>
      </c>
      <c r="D6542" t="str">
        <f>HYPERLINK("https://us2.cloudbeds.com/connect/10074733072513#/reservations/30683171676409?display=Gloria%20Gant&amp;reservation_id=30683171676409&amp;guest_id=30683163250846", "Gloria Gant")</f>
        <v>Gloria Gant</v>
      </c>
      <c r="E6542" t="s">
        <v>4060</v>
      </c>
      <c r="F6542" t="s">
        <v>3707</v>
      </c>
      <c r="G6542">
        <v>298</v>
      </c>
      <c r="H6542">
        <v>323.94</v>
      </c>
      <c r="I6542">
        <v>323.93</v>
      </c>
      <c r="J6542">
        <v>0.01</v>
      </c>
    </row>
    <row r="6543" spans="1:10" x14ac:dyDescent="0.3">
      <c r="A6543" t="str">
        <f>HYPERLINK("https://us2.cloudbeds.com/connect/10074733072513#/reservations/30683013128436?display=YQV83DBQ8&amp;reservation_id=30683013128436", "YQV83DBQ8")</f>
        <v>YQV83DBQ8</v>
      </c>
      <c r="B6543" t="s">
        <v>10</v>
      </c>
      <c r="C6543" t="s">
        <v>42</v>
      </c>
      <c r="D6543" t="str">
        <f>HYPERLINK("https://us2.cloudbeds.com/connect/10074733072513#/reservations/30683013128436?display=Melissa%20Mixan&amp;reservation_id=30683013128436&amp;guest_id=30683002208408", "Melissa Mixan")</f>
        <v>Melissa Mixan</v>
      </c>
      <c r="E6543" t="s">
        <v>4062</v>
      </c>
      <c r="F6543" t="s">
        <v>3332</v>
      </c>
      <c r="G6543">
        <v>129</v>
      </c>
      <c r="H6543">
        <v>140.22999999999999</v>
      </c>
      <c r="I6543">
        <v>140.22</v>
      </c>
      <c r="J6543">
        <v>0.01</v>
      </c>
    </row>
    <row r="6544" spans="1:10" x14ac:dyDescent="0.3">
      <c r="A6544" t="str">
        <f>HYPERLINK("https://us2.cloudbeds.com/connect/10074733072513#/reservations/30682350755988?display=YQUZ5SSKT&amp;reservation_id=30682350755988", "YQUZ5SSKT")</f>
        <v>YQUZ5SSKT</v>
      </c>
      <c r="B6544" t="s">
        <v>10</v>
      </c>
      <c r="C6544" t="s">
        <v>42</v>
      </c>
      <c r="D6544" t="str">
        <f>HYPERLINK("https://us2.cloudbeds.com/connect/10074733072513#/reservations/30682350755988?display=Gavin%20Gangwish&amp;reservation_id=30682350755988&amp;guest_id=30682350751932", "Gavin Gangwish")</f>
        <v>Gavin Gangwish</v>
      </c>
      <c r="E6544" t="s">
        <v>4063</v>
      </c>
      <c r="F6544" t="s">
        <v>2633</v>
      </c>
      <c r="G6544">
        <v>298</v>
      </c>
      <c r="H6544">
        <v>323.94</v>
      </c>
      <c r="I6544">
        <v>323.93</v>
      </c>
      <c r="J6544">
        <v>0.01</v>
      </c>
    </row>
    <row r="6545" spans="1:10" x14ac:dyDescent="0.3">
      <c r="A6545" t="str">
        <f>HYPERLINK("https://us2.cloudbeds.com/connect/10074733072513#/reservations/30682627264725?display=YQUV814AH&amp;reservation_id=30682627264725", "YQUV814AH")</f>
        <v>YQUV814AH</v>
      </c>
      <c r="B6545" t="s">
        <v>10</v>
      </c>
      <c r="C6545" t="s">
        <v>121</v>
      </c>
      <c r="D6545" t="str">
        <f>HYPERLINK("https://us2.cloudbeds.com/connect/10074733072513#/reservations/30682627264725?display=Bryan%20Thomas&amp;reservation_id=30682627264725&amp;guest_id=30682627260634", "Bryan Thomas")</f>
        <v>Bryan Thomas</v>
      </c>
      <c r="E6545" t="s">
        <v>4065</v>
      </c>
      <c r="F6545" t="s">
        <v>3088</v>
      </c>
      <c r="G6545">
        <v>119</v>
      </c>
      <c r="H6545">
        <v>129.36000000000001</v>
      </c>
      <c r="I6545">
        <v>129.35</v>
      </c>
      <c r="J6545">
        <v>0.01</v>
      </c>
    </row>
    <row r="6546" spans="1:10" x14ac:dyDescent="0.3">
      <c r="A6546" t="str">
        <f>HYPERLINK("https://us2.cloudbeds.com/connect/10074733072513#/reservations/30684296847569?display=YQW7TSZ81&amp;reservation_id=30684296847569", "YQW7TSZ81")</f>
        <v>YQW7TSZ81</v>
      </c>
      <c r="B6546" t="s">
        <v>10</v>
      </c>
      <c r="C6546" t="s">
        <v>42</v>
      </c>
      <c r="D6546" t="str">
        <f>HYPERLINK("https://us2.cloudbeds.com/connect/10074733072513#/reservations/30684296847569?display=Donna%20Wulss&amp;reservation_id=30684296847569&amp;guest_id=30684296843476", "Donna Wulss")</f>
        <v>Donna Wulss</v>
      </c>
      <c r="E6546" t="s">
        <v>4066</v>
      </c>
      <c r="F6546" t="s">
        <v>3088</v>
      </c>
      <c r="G6546">
        <v>119</v>
      </c>
      <c r="H6546">
        <v>129.36000000000001</v>
      </c>
      <c r="I6546">
        <v>129.35</v>
      </c>
      <c r="J6546">
        <v>0.01</v>
      </c>
    </row>
    <row r="6547" spans="1:10" x14ac:dyDescent="0.3">
      <c r="A6547" t="str">
        <f>HYPERLINK("https://us2.cloudbeds.com/connect/10074733072513#/reservations/30684314394816?display=YQW85D4PT&amp;reservation_id=30684314394816", "YQW85D4PT")</f>
        <v>YQW85D4PT</v>
      </c>
      <c r="B6547" t="s">
        <v>10</v>
      </c>
      <c r="C6547" t="s">
        <v>42</v>
      </c>
      <c r="D6547" t="str">
        <f>HYPERLINK("https://us2.cloudbeds.com/connect/10074733072513#/reservations/30684314394816?display=Ryan%20Maurer&amp;reservation_id=30684314394816&amp;guest_id=30684306960602", "Ryan Maurer")</f>
        <v>Ryan Maurer</v>
      </c>
      <c r="E6547" t="s">
        <v>4067</v>
      </c>
      <c r="F6547" t="s">
        <v>3088</v>
      </c>
      <c r="G6547">
        <v>73</v>
      </c>
      <c r="H6547">
        <v>79.36</v>
      </c>
      <c r="I6547">
        <v>79.349999999999994</v>
      </c>
      <c r="J6547">
        <v>0.01</v>
      </c>
    </row>
    <row r="6548" spans="1:10" x14ac:dyDescent="0.3">
      <c r="A6548" t="str">
        <f>HYPERLINK("https://us2.cloudbeds.com/connect/10074733072513#/reservations/30682913382649?display=YQV5X9PSY&amp;reservation_id=30682913382649", "YQV5X9PSY")</f>
        <v>YQV5X9PSY</v>
      </c>
      <c r="B6548" t="s">
        <v>10</v>
      </c>
      <c r="C6548" t="s">
        <v>42</v>
      </c>
      <c r="D6548" t="str">
        <f>HYPERLINK("https://us2.cloudbeds.com/connect/10074733072513#/reservations/30682913382649?display=Amy%20Anderson%20To%20Christine%20Keller&amp;reservation_id=30682913382649&amp;guest_id=30682913382644", "Amy Anderson To Christine Keller")</f>
        <v>Amy Anderson To Christine Keller</v>
      </c>
      <c r="E6548" t="s">
        <v>4068</v>
      </c>
      <c r="F6548" t="s">
        <v>3332</v>
      </c>
      <c r="G6548">
        <v>129</v>
      </c>
      <c r="H6548">
        <v>140.22999999999999</v>
      </c>
      <c r="I6548">
        <v>140.22</v>
      </c>
      <c r="J6548">
        <v>0.01</v>
      </c>
    </row>
    <row r="6549" spans="1:10" x14ac:dyDescent="0.3">
      <c r="A6549" t="str">
        <f>HYPERLINK("https://us2.cloudbeds.com/connect/10074733072513#/reservations/30682642145413?display=YQUVKJ6SF&amp;reservation_id=30682642145413", "YQUVKJ6SF")</f>
        <v>YQUVKJ6SF</v>
      </c>
      <c r="B6549" t="s">
        <v>10</v>
      </c>
      <c r="C6549" t="s">
        <v>121</v>
      </c>
      <c r="D6549" t="str">
        <f>HYPERLINK("https://us2.cloudbeds.com/connect/10074733072513#/reservations/30682642145413?display=Theresa%20Thraen&amp;reservation_id=30682642145413&amp;guest_id=30682635763886", "Theresa Thraen")</f>
        <v>Theresa Thraen</v>
      </c>
      <c r="E6549" t="s">
        <v>4069</v>
      </c>
      <c r="F6549" t="s">
        <v>3088</v>
      </c>
      <c r="G6549">
        <v>119</v>
      </c>
      <c r="H6549">
        <v>129.36000000000001</v>
      </c>
      <c r="I6549">
        <v>129.35</v>
      </c>
      <c r="J6549">
        <v>0.01</v>
      </c>
    </row>
    <row r="6550" spans="1:10" x14ac:dyDescent="0.3">
      <c r="A6550" t="str">
        <f>HYPERLINK("https://us2.cloudbeds.com/connect/10074733072513#/reservations/30682318856325?display=YQUNBW70E&amp;reservation_id=30682318856325", "YQUNBW70E")</f>
        <v>YQUNBW70E</v>
      </c>
      <c r="B6550" t="s">
        <v>10</v>
      </c>
      <c r="C6550" t="s">
        <v>42</v>
      </c>
      <c r="D6550" t="str">
        <f>HYPERLINK("https://us2.cloudbeds.com/connect/10074733072513#/reservations/30682318856325?display=Lynn%20Hendrickson&amp;reservation_id=30682318856325&amp;guest_id=30682318852266", "Lynn Hendrickson")</f>
        <v>Lynn Hendrickson</v>
      </c>
      <c r="E6550" t="s">
        <v>2970</v>
      </c>
      <c r="F6550" t="s">
        <v>2633</v>
      </c>
      <c r="G6550">
        <v>79</v>
      </c>
      <c r="H6550">
        <v>85.88</v>
      </c>
      <c r="I6550">
        <v>85.87</v>
      </c>
      <c r="J6550">
        <v>0.01</v>
      </c>
    </row>
    <row r="6551" spans="1:10" x14ac:dyDescent="0.3">
      <c r="A6551" t="str">
        <f>HYPERLINK("https://us2.cloudbeds.com/connect/10074733072513#/reservations/30684163563698?display=YQW4GFU5S&amp;reservation_id=30684163563698", "YQW4GFU5S")</f>
        <v>YQW4GFU5S</v>
      </c>
      <c r="B6551" t="s">
        <v>10</v>
      </c>
      <c r="C6551" t="s">
        <v>42</v>
      </c>
      <c r="D6551" t="str">
        <f>HYPERLINK("https://us2.cloudbeds.com/connect/10074733072513#/reservations/30684163563698?display=Lori%20Ehrefnann&amp;reservation_id=30684163563698&amp;guest_id=30684163563696", "Lori Ehrefnann")</f>
        <v>Lori Ehrefnann</v>
      </c>
      <c r="E6551" t="s">
        <v>4072</v>
      </c>
      <c r="F6551" t="s">
        <v>3961</v>
      </c>
      <c r="G6551">
        <v>139</v>
      </c>
      <c r="H6551">
        <v>151.1</v>
      </c>
      <c r="I6551">
        <v>151.09</v>
      </c>
      <c r="J6551">
        <v>0.01</v>
      </c>
    </row>
    <row r="6552" spans="1:10" x14ac:dyDescent="0.3">
      <c r="A6552" t="str">
        <f>HYPERLINK("https://us2.cloudbeds.com/connect/10074733072513#/reservations/30684340371612?display=YQW90XS7E&amp;reservation_id=30684340371612", "YQW90XS7E")</f>
        <v>YQW90XS7E</v>
      </c>
      <c r="B6552" t="s">
        <v>10</v>
      </c>
      <c r="C6552" t="s">
        <v>20</v>
      </c>
      <c r="D6552" t="str">
        <f>HYPERLINK("https://us2.cloudbeds.com/connect/10074733072513#/reservations/30684340371612?display=Alison%20Nelson&amp;reservation_id=30684340371612&amp;guest_id=30684340367527", "Alison Nelson")</f>
        <v>Alison Nelson</v>
      </c>
      <c r="E6552" t="s">
        <v>4074</v>
      </c>
      <c r="F6552" t="s">
        <v>3088</v>
      </c>
      <c r="G6552">
        <v>101.75</v>
      </c>
      <c r="H6552">
        <v>110.61</v>
      </c>
      <c r="I6552">
        <v>110.6</v>
      </c>
      <c r="J6552">
        <v>0.01</v>
      </c>
    </row>
    <row r="6553" spans="1:10" x14ac:dyDescent="0.3">
      <c r="A6553" t="str">
        <f>HYPERLINK("https://us2.cloudbeds.com/connect/10074733072513#/reservations/30682599043209?display=YQUUH7R82&amp;reservation_id=30682599043209", "YQUUH7R82")</f>
        <v>YQUUH7R82</v>
      </c>
      <c r="B6553" t="s">
        <v>10</v>
      </c>
      <c r="C6553" t="s">
        <v>20</v>
      </c>
      <c r="D6553" t="str">
        <f>HYPERLINK("https://us2.cloudbeds.com/connect/10074733072513#/reservations/30682599043209?display=Ashley%20Cronen&amp;reservation_id=30682599043209&amp;guest_id=30682593267960", "Ashley Cronen")</f>
        <v>Ashley Cronen</v>
      </c>
      <c r="E6553" t="s">
        <v>4076</v>
      </c>
      <c r="F6553" t="s">
        <v>3961</v>
      </c>
      <c r="G6553">
        <v>101.55</v>
      </c>
      <c r="H6553">
        <v>110.39</v>
      </c>
      <c r="I6553">
        <v>110.38</v>
      </c>
      <c r="J6553">
        <v>0.01</v>
      </c>
    </row>
    <row r="6554" spans="1:10" x14ac:dyDescent="0.3">
      <c r="A6554" t="str">
        <f>HYPERLINK("https://us2.cloudbeds.com/connect/10074733072513#/reservations/30683696931040?display=YQVPJ05N9&amp;reservation_id=30683696931040", "YQVPJ05N9")</f>
        <v>YQVPJ05N9</v>
      </c>
      <c r="B6554" t="s">
        <v>10</v>
      </c>
      <c r="C6554" t="s">
        <v>23</v>
      </c>
      <c r="D6554" t="str">
        <f>HYPERLINK("https://us2.cloudbeds.com/connect/10074733072513#/reservations/30683696931040?display=Ramon%20Mosqueda&amp;reservation_id=30683696931040&amp;guest_id=30683696931035", "Ramon Mosqueda")</f>
        <v>Ramon Mosqueda</v>
      </c>
      <c r="E6554" t="s">
        <v>4077</v>
      </c>
      <c r="F6554" t="s">
        <v>3088</v>
      </c>
      <c r="G6554">
        <v>119</v>
      </c>
      <c r="H6554">
        <v>129.36000000000001</v>
      </c>
      <c r="I6554">
        <v>129.35</v>
      </c>
      <c r="J6554">
        <v>0.01</v>
      </c>
    </row>
    <row r="6555" spans="1:10" x14ac:dyDescent="0.3">
      <c r="A6555" t="str">
        <f>HYPERLINK("https://us2.cloudbeds.com/connect/10074733072513#/reservations/30682606375136?display=YQUUNDRVY&amp;reservation_id=30682606375136", "YQUUNDRVY")</f>
        <v>YQUUNDRVY</v>
      </c>
      <c r="B6555" t="s">
        <v>10</v>
      </c>
      <c r="C6555" t="s">
        <v>11</v>
      </c>
      <c r="D6555" t="str">
        <f>HYPERLINK("https://us2.cloudbeds.com/connect/10074733072513#/reservations/30682606375136?display=Steven%20Reimer&amp;reservation_id=30682606375136&amp;guest_id=30682599047310", "Steven Reimer")</f>
        <v>Steven Reimer</v>
      </c>
      <c r="E6555" t="s">
        <v>3473</v>
      </c>
      <c r="F6555" t="s">
        <v>3961</v>
      </c>
      <c r="G6555">
        <v>80.38</v>
      </c>
      <c r="H6555">
        <v>87.38</v>
      </c>
      <c r="I6555">
        <v>87.37</v>
      </c>
      <c r="J6555">
        <v>0.01</v>
      </c>
    </row>
    <row r="6556" spans="1:10" x14ac:dyDescent="0.3">
      <c r="A6556" t="str">
        <f>HYPERLINK("https://us2.cloudbeds.com/connect/10074733072513#/reservations/30682022477955?display=YQUFQ21XN&amp;reservation_id=30682022477955", "YQUFQ21XN")</f>
        <v>YQUFQ21XN</v>
      </c>
      <c r="B6556" t="s">
        <v>10</v>
      </c>
      <c r="C6556" t="s">
        <v>11</v>
      </c>
      <c r="D6556" t="str">
        <f>HYPERLINK("https://us2.cloudbeds.com/connect/10074733072513#/reservations/30682022477955?display=Linda%20Mace&amp;reservation_id=30682022477955&amp;guest_id=30682015416476", "Linda Mace")</f>
        <v>Linda Mace</v>
      </c>
      <c r="E6556" t="s">
        <v>4079</v>
      </c>
      <c r="F6556" t="s">
        <v>2633</v>
      </c>
      <c r="G6556">
        <v>149</v>
      </c>
      <c r="H6556">
        <v>161.97</v>
      </c>
      <c r="I6556">
        <v>161.96</v>
      </c>
      <c r="J6556">
        <v>0.01</v>
      </c>
    </row>
    <row r="6557" spans="1:10" x14ac:dyDescent="0.3">
      <c r="A6557" t="str">
        <f>HYPERLINK("https://us2.cloudbeds.com/connect/10074733072513#/reservations/30682930163939?display=YQV5WEZMJ&amp;reservation_id=30682930163939", "YQV5WEZMJ")</f>
        <v>YQV5WEZMJ</v>
      </c>
      <c r="B6557" t="s">
        <v>10</v>
      </c>
      <c r="C6557" t="s">
        <v>20</v>
      </c>
      <c r="D6557" t="str">
        <f>HYPERLINK("https://us2.cloudbeds.com/connect/10074733072513#/reservations/30682930163939?display=Andrea%20Collver&amp;reservation_id=30682930163939&amp;guest_id=30682930163936", "Andrea Collver")</f>
        <v>Andrea Collver</v>
      </c>
      <c r="E6557" t="s">
        <v>4081</v>
      </c>
      <c r="F6557" t="s">
        <v>2659</v>
      </c>
      <c r="G6557">
        <v>398</v>
      </c>
      <c r="H6557">
        <v>432.64</v>
      </c>
      <c r="I6557">
        <v>432.63</v>
      </c>
      <c r="J6557">
        <v>0.01</v>
      </c>
    </row>
    <row r="6558" spans="1:10" x14ac:dyDescent="0.3">
      <c r="A6558" t="str">
        <f>HYPERLINK("https://us2.cloudbeds.com/connect/10074733072513#/reservations/30684000063632?display=YQW0AK9CD&amp;reservation_id=30684000063632", "YQW0AK9CD")</f>
        <v>YQW0AK9CD</v>
      </c>
      <c r="B6558" t="s">
        <v>10</v>
      </c>
      <c r="C6558" t="s">
        <v>14</v>
      </c>
      <c r="D6558" t="str">
        <f>HYPERLINK("https://us2.cloudbeds.com/connect/10074733072513#/reservations/30684000063632?display=Sharon%20Olheiser&amp;reservation_id=30684000063632&amp;guest_id=30684000063619", "Sharon Olheiser")</f>
        <v>Sharon Olheiser</v>
      </c>
      <c r="E6558" t="s">
        <v>4082</v>
      </c>
      <c r="F6558" t="s">
        <v>3754</v>
      </c>
      <c r="G6558">
        <v>80.38</v>
      </c>
      <c r="H6558">
        <v>87.38</v>
      </c>
      <c r="I6558">
        <v>87.37</v>
      </c>
      <c r="J6558">
        <v>0.01</v>
      </c>
    </row>
    <row r="6559" spans="1:10" x14ac:dyDescent="0.3">
      <c r="A6559" t="str">
        <f>HYPERLINK("https://us2.cloudbeds.com/connect/10074733072513#/reservations/30684144169122?display=YQW4047YE&amp;reservation_id=30684144169122", "YQW4047YE")</f>
        <v>YQW4047YE</v>
      </c>
      <c r="B6559" t="s">
        <v>10</v>
      </c>
      <c r="C6559" t="s">
        <v>42</v>
      </c>
      <c r="D6559" t="str">
        <f>HYPERLINK("https://us2.cloudbeds.com/connect/10074733072513#/reservations/30684144169122?display=George%20Burke&amp;reservation_id=30684144169122&amp;guest_id=30684144169112", "George Burke")</f>
        <v>George Burke</v>
      </c>
      <c r="E6559" t="s">
        <v>4083</v>
      </c>
      <c r="F6559" t="s">
        <v>3961</v>
      </c>
      <c r="G6559">
        <v>119</v>
      </c>
      <c r="H6559">
        <v>129.36000000000001</v>
      </c>
      <c r="I6559">
        <v>129.35</v>
      </c>
      <c r="J6559">
        <v>0.01</v>
      </c>
    </row>
    <row r="6560" spans="1:10" x14ac:dyDescent="0.3">
      <c r="A6560" t="str">
        <f>HYPERLINK("https://us2.cloudbeds.com/connect/10074733072513#/reservations/30684084039905?display=YQW2FE1XV&amp;reservation_id=30684084039905", "YQW2FE1XV")</f>
        <v>YQW2FE1XV</v>
      </c>
      <c r="B6560" t="s">
        <v>10</v>
      </c>
      <c r="C6560" t="s">
        <v>42</v>
      </c>
      <c r="D6560" t="str">
        <f>HYPERLINK("https://us2.cloudbeds.com/connect/10074733072513#/reservations/30684084039905?display=Nicholas%20Johnson&amp;reservation_id=30684084039905&amp;guest_id=30684084035821", "Nicholas Johnson")</f>
        <v>Nicholas Johnson</v>
      </c>
      <c r="E6560" t="s">
        <v>4084</v>
      </c>
      <c r="F6560" t="s">
        <v>3735</v>
      </c>
      <c r="G6560">
        <v>219</v>
      </c>
      <c r="H6560">
        <v>238.06</v>
      </c>
      <c r="I6560">
        <v>238.05</v>
      </c>
      <c r="J6560">
        <v>0.01</v>
      </c>
    </row>
    <row r="6561" spans="1:10" x14ac:dyDescent="0.3">
      <c r="A6561" t="str">
        <f>HYPERLINK("https://us2.cloudbeds.com/connect/10074733072513#/reservations/30683016917133?display=YQV86JPS8&amp;reservation_id=30683016917133", "YQV86JPS8")</f>
        <v>YQV86JPS8</v>
      </c>
      <c r="B6561" t="s">
        <v>10</v>
      </c>
      <c r="C6561" t="s">
        <v>42</v>
      </c>
      <c r="D6561" t="str">
        <f>HYPERLINK("https://us2.cloudbeds.com/connect/10074733072513#/reservations/30683016917133?display=Marty%20Griffin&amp;reservation_id=30683016917133&amp;guest_id=30683016913037", "Marty Griffin")</f>
        <v>Marty Griffin</v>
      </c>
      <c r="E6561" t="s">
        <v>4087</v>
      </c>
      <c r="F6561" t="s">
        <v>3332</v>
      </c>
      <c r="G6561">
        <v>149</v>
      </c>
      <c r="H6561">
        <v>161.97</v>
      </c>
      <c r="I6561">
        <v>161.96</v>
      </c>
      <c r="J6561">
        <v>0.01</v>
      </c>
    </row>
    <row r="6562" spans="1:10" x14ac:dyDescent="0.3">
      <c r="A6562" t="str">
        <f>HYPERLINK("https://us2.cloudbeds.com/connect/10074733072513#/reservations/30683703787668?display=YQVPZPVVS&amp;reservation_id=30683703787668", "YQVPZPVVS")</f>
        <v>YQVPZPVVS</v>
      </c>
      <c r="B6562" t="s">
        <v>10</v>
      </c>
      <c r="C6562" t="s">
        <v>11</v>
      </c>
      <c r="D6562" t="str">
        <f>HYPERLINK("https://us2.cloudbeds.com/connect/10074733072513#/reservations/30683703787668?display=Delina%20Rae%20Wallin&amp;reservation_id=30683703787668&amp;guest_id=30683703783583", "Delina Rae Wallin")</f>
        <v>Delina Rae Wallin</v>
      </c>
      <c r="E6562" t="s">
        <v>4090</v>
      </c>
      <c r="F6562" t="s">
        <v>4071</v>
      </c>
      <c r="G6562">
        <v>80.38</v>
      </c>
      <c r="H6562">
        <v>87.38</v>
      </c>
      <c r="I6562">
        <v>87.37</v>
      </c>
      <c r="J6562">
        <v>0.01</v>
      </c>
    </row>
    <row r="6563" spans="1:10" x14ac:dyDescent="0.3">
      <c r="A6563" t="str">
        <f>HYPERLINK("https://us2.cloudbeds.com/connect/10074733072513#/reservations/30684101374085?display=YQW2U1D34&amp;reservation_id=30684101374085", "YQW2U1D34")</f>
        <v>YQW2U1D34</v>
      </c>
      <c r="B6563" t="s">
        <v>10</v>
      </c>
      <c r="C6563" t="s">
        <v>42</v>
      </c>
      <c r="D6563" t="str">
        <f>HYPERLINK("https://us2.cloudbeds.com/connect/10074733072513#/reservations/30684101374085?display=Louis%20Botha&amp;reservation_id=30684101374085&amp;guest_id=30684101374083", "Louis Botha")</f>
        <v>Louis Botha</v>
      </c>
      <c r="E6563" t="s">
        <v>4091</v>
      </c>
      <c r="F6563" t="s">
        <v>3735</v>
      </c>
      <c r="G6563">
        <v>219</v>
      </c>
      <c r="H6563">
        <v>238.06</v>
      </c>
      <c r="I6563">
        <v>238.05</v>
      </c>
      <c r="J6563">
        <v>0.01</v>
      </c>
    </row>
    <row r="6564" spans="1:10" x14ac:dyDescent="0.3">
      <c r="A6564" t="str">
        <f>HYPERLINK("https://us2.cloudbeds.com/connect/10074733072513#/reservations/30682934841547?display=YQV63CU09&amp;reservation_id=30682934841547", "YQV63CU09")</f>
        <v>YQV63CU09</v>
      </c>
      <c r="B6564" t="s">
        <v>10</v>
      </c>
      <c r="C6564" t="s">
        <v>23</v>
      </c>
      <c r="D6564" t="str">
        <f>HYPERLINK("https://us2.cloudbeds.com/connect/10074733072513#/reservations/30682934841547?display=Ashley%20Hansen&amp;reservation_id=30682934841547&amp;guest_id=30682934841542", "Ashley Hansen")</f>
        <v>Ashley Hansen</v>
      </c>
      <c r="E6564" t="s">
        <v>4093</v>
      </c>
      <c r="F6564" t="s">
        <v>3332</v>
      </c>
      <c r="G6564">
        <v>149</v>
      </c>
      <c r="H6564">
        <v>161.97</v>
      </c>
      <c r="I6564">
        <v>161.96</v>
      </c>
      <c r="J6564">
        <v>0.01</v>
      </c>
    </row>
    <row r="6565" spans="1:10" x14ac:dyDescent="0.3">
      <c r="A6565" t="str">
        <f>HYPERLINK("https://us2.cloudbeds.com/connect/10074733072513#/reservations/30682322677920?display=YQUNF6X9B&amp;reservation_id=30682322677920", "YQUNF6X9B")</f>
        <v>YQUNF6X9B</v>
      </c>
      <c r="B6565" t="s">
        <v>10</v>
      </c>
      <c r="C6565" t="s">
        <v>42</v>
      </c>
      <c r="D6565" t="str">
        <f>HYPERLINK("https://us2.cloudbeds.com/connect/10074733072513#/reservations/30682322677920?display=Josh%20Few&amp;reservation_id=30682322677920&amp;guest_id=30682322677915", "Josh Few")</f>
        <v>Josh Few</v>
      </c>
      <c r="E6565" t="s">
        <v>4094</v>
      </c>
      <c r="F6565" t="s">
        <v>2633</v>
      </c>
      <c r="G6565">
        <v>169</v>
      </c>
      <c r="H6565">
        <v>183.71</v>
      </c>
      <c r="I6565">
        <v>183.7</v>
      </c>
      <c r="J6565">
        <v>0.01</v>
      </c>
    </row>
    <row r="6566" spans="1:10" x14ac:dyDescent="0.3">
      <c r="A6566" t="str">
        <f>HYPERLINK("https://us2.cloudbeds.com/connect/10074733072513#/reservations/30683955773658?display=YQVW68S1W&amp;reservation_id=30683955773658", "YQVW68S1W")</f>
        <v>YQVW68S1W</v>
      </c>
      <c r="B6566" t="s">
        <v>10</v>
      </c>
      <c r="C6566" t="s">
        <v>121</v>
      </c>
      <c r="D6566" t="str">
        <f>HYPERLINK("https://us2.cloudbeds.com/connect/10074733072513#/reservations/30683955773658?display=Escobedo%20Alvaro&amp;reservation_id=30683955773658&amp;guest_id=30683955769577", "Escobedo Alvaro")</f>
        <v>Escobedo Alvaro</v>
      </c>
      <c r="E6566" t="s">
        <v>4095</v>
      </c>
      <c r="F6566" t="s">
        <v>3754</v>
      </c>
      <c r="G6566">
        <v>119</v>
      </c>
      <c r="H6566">
        <v>129.36000000000001</v>
      </c>
      <c r="I6566">
        <v>129.35</v>
      </c>
      <c r="J6566">
        <v>0.01</v>
      </c>
    </row>
    <row r="6567" spans="1:10" x14ac:dyDescent="0.3">
      <c r="A6567" t="str">
        <f>HYPERLINK("https://us2.cloudbeds.com/connect/10074733072513#/reservations/30682879701122?display=YQV4MTX0A&amp;reservation_id=30682879701122", "YQV4MTX0A")</f>
        <v>YQV4MTX0A</v>
      </c>
      <c r="B6567" t="s">
        <v>10</v>
      </c>
      <c r="C6567" t="s">
        <v>14</v>
      </c>
      <c r="D6567" t="str">
        <f>HYPERLINK("https://us2.cloudbeds.com/connect/10074733072513#/reservations/30682879701122?display=Andrew%20Bangsund&amp;reservation_id=30682879701122&amp;guest_id=30682871775397", "Andrew Bangsund")</f>
        <v>Andrew Bangsund</v>
      </c>
      <c r="E6567" t="s">
        <v>4096</v>
      </c>
      <c r="F6567" t="s">
        <v>4086</v>
      </c>
      <c r="G6567">
        <v>160.76</v>
      </c>
      <c r="H6567">
        <v>174.76</v>
      </c>
      <c r="I6567">
        <v>174.75</v>
      </c>
      <c r="J6567">
        <v>0.01</v>
      </c>
    </row>
    <row r="6568" spans="1:10" x14ac:dyDescent="0.3">
      <c r="A6568" t="str">
        <f>HYPERLINK("https://us2.cloudbeds.com/connect/10074733072513#/reservations/30684011397362?display=YQW0K5YRP&amp;reservation_id=30684011397362", "YQW0K5YRP")</f>
        <v>YQW0K5YRP</v>
      </c>
      <c r="B6568" t="s">
        <v>10</v>
      </c>
      <c r="C6568" t="s">
        <v>121</v>
      </c>
      <c r="D6568" t="str">
        <f>HYPERLINK("https://us2.cloudbeds.com/connect/10074733072513#/reservations/30684011397362?display=Scott%20Haines&amp;reservation_id=30684011397362&amp;guest_id=30684011397358", "Scott Haines")</f>
        <v>Scott Haines</v>
      </c>
      <c r="E6568" t="s">
        <v>4097</v>
      </c>
      <c r="F6568" t="s">
        <v>2659</v>
      </c>
      <c r="G6568">
        <v>199</v>
      </c>
      <c r="H6568">
        <v>216.32</v>
      </c>
      <c r="I6568">
        <v>216.31</v>
      </c>
      <c r="J6568">
        <v>0.01</v>
      </c>
    </row>
    <row r="6569" spans="1:10" x14ac:dyDescent="0.3">
      <c r="A6569" t="str">
        <f>HYPERLINK("https://us2.cloudbeds.com/connect/10074733072513#/reservations/30683773440190?display=YQVRHH51C&amp;reservation_id=30683773440190", "YQVRHH51C")</f>
        <v>YQVRHH51C</v>
      </c>
      <c r="B6569" t="s">
        <v>10</v>
      </c>
      <c r="C6569" t="s">
        <v>42</v>
      </c>
      <c r="D6569" t="str">
        <f>HYPERLINK("https://us2.cloudbeds.com/connect/10074733072513#/reservations/30683773440190?display=Hannah%20Harbur&amp;reservation_id=30683773440190&amp;guest_id=30683773440186", "Hannah Harbur")</f>
        <v>Hannah Harbur</v>
      </c>
      <c r="E6569" t="s">
        <v>4099</v>
      </c>
      <c r="F6569" t="s">
        <v>3953</v>
      </c>
      <c r="G6569">
        <v>119</v>
      </c>
      <c r="H6569">
        <v>129.36000000000001</v>
      </c>
      <c r="I6569">
        <v>129.35</v>
      </c>
      <c r="J6569">
        <v>0.01</v>
      </c>
    </row>
    <row r="6570" spans="1:10" x14ac:dyDescent="0.3">
      <c r="A6570" t="str">
        <f>HYPERLINK("https://us2.cloudbeds.com/connect/10074733072513#/reservations/30682886287584?display=YQV4SER62&amp;reservation_id=30682886287584", "YQV4SER62")</f>
        <v>YQV4SER62</v>
      </c>
      <c r="B6570" t="s">
        <v>10</v>
      </c>
      <c r="C6570" t="s">
        <v>11</v>
      </c>
      <c r="D6570" t="str">
        <f>HYPERLINK("https://us2.cloudbeds.com/connect/10074733072513#/reservations/30682886287584?display=Chad%20Aldrich&amp;reservation_id=30682886287584&amp;guest_id=30681508045052", "Chad Aldrich")</f>
        <v>Chad Aldrich</v>
      </c>
      <c r="E6570" t="s">
        <v>4054</v>
      </c>
      <c r="F6570" t="s">
        <v>4086</v>
      </c>
      <c r="G6570">
        <v>160.76</v>
      </c>
      <c r="H6570">
        <v>174.76</v>
      </c>
      <c r="I6570">
        <v>174.75</v>
      </c>
      <c r="J6570">
        <v>0.01</v>
      </c>
    </row>
    <row r="6571" spans="1:10" x14ac:dyDescent="0.3">
      <c r="A6571" t="str">
        <f>HYPERLINK("https://us2.cloudbeds.com/connect/10074733072513#/reservations/30682974232738?display=YQV73K0TZ&amp;reservation_id=30682974232738", "YQV73K0TZ")</f>
        <v>YQV73K0TZ</v>
      </c>
      <c r="B6571" t="s">
        <v>10</v>
      </c>
      <c r="C6571" t="s">
        <v>14</v>
      </c>
      <c r="D6571" t="str">
        <f>HYPERLINK("https://us2.cloudbeds.com/connect/10074733072513#/reservations/30682974232738?display=Brooke%20Rudolph%20-%20Joe%20Sullivasn&amp;reservation_id=30682974232738&amp;guest_id=30682974232736", "Brooke Rudolph - Joe Sullivasn")</f>
        <v>Brooke Rudolph - Joe Sullivasn</v>
      </c>
      <c r="E6571" t="s">
        <v>4101</v>
      </c>
      <c r="F6571" t="s">
        <v>3332</v>
      </c>
      <c r="G6571">
        <v>189</v>
      </c>
      <c r="H6571">
        <v>205.45</v>
      </c>
      <c r="I6571">
        <v>205.44</v>
      </c>
      <c r="J6571">
        <v>0.01</v>
      </c>
    </row>
    <row r="6572" spans="1:10" x14ac:dyDescent="0.3">
      <c r="A6572" t="str">
        <f>HYPERLINK("https://us2.cloudbeds.com/connect/10074733072513#/reservations/30682949144773?display=YQV6FEU9C&amp;reservation_id=30682949144773", "YQV6FEU9C")</f>
        <v>YQV6FEU9C</v>
      </c>
      <c r="B6572" t="s">
        <v>10</v>
      </c>
      <c r="C6572" t="s">
        <v>14</v>
      </c>
      <c r="D6572" t="str">
        <f>HYPERLINK("https://us2.cloudbeds.com/connect/10074733072513#/reservations/30682949144773?display=Joe%20Sullivan%20Rudolph%20Wendy&amp;reservation_id=30682949144773&amp;guest_id=30682949144770", "Joe Sullivan Rudolph Wendy")</f>
        <v>Joe Sullivan Rudolph Wendy</v>
      </c>
      <c r="E6572" t="s">
        <v>4101</v>
      </c>
      <c r="F6572" t="s">
        <v>3332</v>
      </c>
      <c r="G6572">
        <v>179</v>
      </c>
      <c r="H6572">
        <v>194.58</v>
      </c>
      <c r="I6572">
        <v>194.57</v>
      </c>
      <c r="J6572">
        <v>0.01</v>
      </c>
    </row>
    <row r="6573" spans="1:10" x14ac:dyDescent="0.3">
      <c r="A6573" t="str">
        <f>HYPERLINK("https://us2.cloudbeds.com/connect/10074733072513#/reservations/30682953728219?display=YQV6JAF4M&amp;reservation_id=30682953728219", "YQV6JAF4M")</f>
        <v>YQV6JAF4M</v>
      </c>
      <c r="B6573" t="s">
        <v>10</v>
      </c>
      <c r="C6573" t="s">
        <v>14</v>
      </c>
      <c r="D6573" t="str">
        <f>HYPERLINK("https://us2.cloudbeds.com/connect/10074733072513#/reservations/30682953728219?display=Shawn%20Sullivan&amp;reservation_id=30682953728219&amp;guest_id=30682953728216", "Shawn Sullivan")</f>
        <v>Shawn Sullivan</v>
      </c>
      <c r="E6573" t="s">
        <v>4101</v>
      </c>
      <c r="F6573" t="s">
        <v>3332</v>
      </c>
      <c r="G6573">
        <v>169</v>
      </c>
      <c r="H6573">
        <v>183.71</v>
      </c>
      <c r="I6573">
        <v>183.7</v>
      </c>
      <c r="J6573">
        <v>0.01</v>
      </c>
    </row>
    <row r="6574" spans="1:10" x14ac:dyDescent="0.3">
      <c r="A6574" t="str">
        <f>HYPERLINK("https://us2.cloudbeds.com/connect/10074733072513#/reservations/30682960654513?display=YQV6P56CC&amp;reservation_id=30682960654513", "YQV6P56CC")</f>
        <v>YQV6P56CC</v>
      </c>
      <c r="B6574" t="s">
        <v>10</v>
      </c>
      <c r="C6574" t="s">
        <v>14</v>
      </c>
      <c r="D6574" t="str">
        <f>HYPERLINK("https://us2.cloudbeds.com/connect/10074733072513#/reservations/30682960654513?display=Tanner%20Hraby&amp;reservation_id=30682960654513&amp;guest_id=30682960654508", "Tanner Hraby")</f>
        <v>Tanner Hraby</v>
      </c>
      <c r="E6574" t="s">
        <v>4101</v>
      </c>
      <c r="F6574" t="s">
        <v>3332</v>
      </c>
      <c r="G6574">
        <v>179</v>
      </c>
      <c r="H6574">
        <v>194.58</v>
      </c>
      <c r="I6574">
        <v>194.57</v>
      </c>
      <c r="J6574">
        <v>0.01</v>
      </c>
    </row>
    <row r="6575" spans="1:10" x14ac:dyDescent="0.3">
      <c r="A6575" t="str">
        <f>HYPERLINK("https://us2.cloudbeds.com/connect/10074733072513#/reservations/30682967793864?display=YQV6V5S8B&amp;reservation_id=30682967793864", "YQV6V5S8B")</f>
        <v>YQV6V5S8B</v>
      </c>
      <c r="B6575" t="s">
        <v>10</v>
      </c>
      <c r="C6575" t="s">
        <v>14</v>
      </c>
      <c r="D6575" t="str">
        <f>HYPERLINK("https://us2.cloudbeds.com/connect/10074733072513#/reservations/30682967793864?display=Pat%20Sullivan&amp;reservation_id=30682967793864&amp;guest_id=30682967793858", "Pat Sullivan")</f>
        <v>Pat Sullivan</v>
      </c>
      <c r="E6575" t="s">
        <v>4101</v>
      </c>
      <c r="F6575" t="s">
        <v>3332</v>
      </c>
      <c r="G6575">
        <v>169</v>
      </c>
      <c r="H6575">
        <v>183.71</v>
      </c>
      <c r="I6575">
        <v>183.7</v>
      </c>
      <c r="J6575">
        <v>0.01</v>
      </c>
    </row>
    <row r="6576" spans="1:10" x14ac:dyDescent="0.3">
      <c r="A6576" t="str">
        <f>HYPERLINK("https://us2.cloudbeds.com/connect/10074733072513#/reservations/30682190782602?display=YQUK2WC9H&amp;reservation_id=30682190782602", "YQUK2WC9H")</f>
        <v>YQUK2WC9H</v>
      </c>
      <c r="B6576" t="s">
        <v>10</v>
      </c>
      <c r="C6576" t="s">
        <v>42</v>
      </c>
      <c r="D6576" t="str">
        <f>HYPERLINK("https://us2.cloudbeds.com/connect/10074733072513#/reservations/30682190782602?display=Janelle%20Ward&amp;reservation_id=30682190782602&amp;guest_id=30682184470714", "Janelle Ward")</f>
        <v>Janelle Ward</v>
      </c>
      <c r="E6576" t="s">
        <v>4104</v>
      </c>
      <c r="F6576" t="s">
        <v>3526</v>
      </c>
      <c r="G6576">
        <v>149</v>
      </c>
      <c r="H6576">
        <v>161.97</v>
      </c>
      <c r="I6576">
        <v>161.96</v>
      </c>
      <c r="J6576">
        <v>0.01</v>
      </c>
    </row>
    <row r="6577" spans="1:10" x14ac:dyDescent="0.3">
      <c r="A6577" t="str">
        <f>HYPERLINK("https://us2.cloudbeds.com/connect/10074733072513#/reservations/30683665490084?display=YQVZPG9A1&amp;reservation_id=30683665490084", "YQVZPG9A1")</f>
        <v>YQVZPG9A1</v>
      </c>
      <c r="B6577" t="s">
        <v>10</v>
      </c>
      <c r="C6577" t="s">
        <v>42</v>
      </c>
      <c r="D6577" t="str">
        <f>HYPERLINK("https://us2.cloudbeds.com/connect/10074733072513#/reservations/30683665490084?display=Gabby%20Chance&amp;reservation_id=30683665490084&amp;guest_id=30683665490079", "Gabby Chance")</f>
        <v>Gabby Chance</v>
      </c>
      <c r="E6577" t="s">
        <v>4105</v>
      </c>
      <c r="F6577" t="s">
        <v>3557</v>
      </c>
      <c r="G6577">
        <v>535.5</v>
      </c>
      <c r="H6577">
        <v>582.1</v>
      </c>
      <c r="I6577">
        <v>582.09</v>
      </c>
      <c r="J6577">
        <v>0.01</v>
      </c>
    </row>
    <row r="6578" spans="1:10" x14ac:dyDescent="0.3">
      <c r="A6578" t="str">
        <f>HYPERLINK("https://us2.cloudbeds.com/connect/10074733072513#/reservations/30682177904866?display=YQUJP4103&amp;reservation_id=30682177904866", "YQUJP4103")</f>
        <v>YQUJP4103</v>
      </c>
      <c r="B6578" t="s">
        <v>10</v>
      </c>
      <c r="C6578" t="s">
        <v>42</v>
      </c>
      <c r="D6578" t="str">
        <f>HYPERLINK("https://us2.cloudbeds.com/connect/10074733072513#/reservations/30682177904866?display=Lisa%20Scholsser&amp;reservation_id=30682177904866&amp;guest_id=30682177900769", "Lisa Scholsser")</f>
        <v>Lisa Scholsser</v>
      </c>
      <c r="E6578" t="s">
        <v>4106</v>
      </c>
      <c r="F6578" t="s">
        <v>3526</v>
      </c>
      <c r="G6578">
        <v>149</v>
      </c>
      <c r="H6578">
        <v>161.97</v>
      </c>
      <c r="I6578">
        <v>161.96</v>
      </c>
      <c r="J6578">
        <v>0.01</v>
      </c>
    </row>
    <row r="6579" spans="1:10" x14ac:dyDescent="0.3">
      <c r="A6579" t="str">
        <f>HYPERLINK("https://us2.cloudbeds.com/connect/10074733072513#/reservations/30683793051846?display=YQVS11STW&amp;reservation_id=30683793051846", "YQVS11STW")</f>
        <v>YQVS11STW</v>
      </c>
      <c r="B6579" t="s">
        <v>10</v>
      </c>
      <c r="C6579" t="s">
        <v>42</v>
      </c>
      <c r="D6579" t="str">
        <f>HYPERLINK("https://us2.cloudbeds.com/connect/10074733072513#/reservations/30683793051846?display=Albert%20Cox&amp;reservation_id=30683793051846&amp;guest_id=30683787210926", "Albert Cox")</f>
        <v>Albert Cox</v>
      </c>
      <c r="E6579" t="s">
        <v>4107</v>
      </c>
      <c r="F6579" t="s">
        <v>3953</v>
      </c>
      <c r="G6579">
        <v>149</v>
      </c>
      <c r="H6579">
        <v>161.97</v>
      </c>
      <c r="I6579">
        <v>161.96</v>
      </c>
      <c r="J6579">
        <v>0.01</v>
      </c>
    </row>
    <row r="6580" spans="1:10" x14ac:dyDescent="0.3">
      <c r="A6580" t="str">
        <f>HYPERLINK("https://us2.cloudbeds.com/connect/10074733072513#/reservations/30683832529071?display=YQVT1BCQH&amp;reservation_id=30683832529071", "YQVT1BCQH")</f>
        <v>YQVT1BCQH</v>
      </c>
      <c r="B6580" t="s">
        <v>10</v>
      </c>
      <c r="C6580" t="s">
        <v>14</v>
      </c>
      <c r="D6580" t="str">
        <f>HYPERLINK("https://us2.cloudbeds.com/connect/10074733072513#/reservations/30683832529071?display=Fredrick%20Feldhake&amp;reservation_id=30683832529071&amp;guest_id=30683832529066", "Fredrick Feldhake")</f>
        <v>Fredrick Feldhake</v>
      </c>
      <c r="E6580" t="s">
        <v>4096</v>
      </c>
      <c r="F6580" t="s">
        <v>3953</v>
      </c>
      <c r="G6580">
        <v>80.38</v>
      </c>
      <c r="H6580">
        <v>87.38</v>
      </c>
      <c r="I6580">
        <v>87.37</v>
      </c>
      <c r="J6580">
        <v>0.01</v>
      </c>
    </row>
    <row r="6581" spans="1:10" x14ac:dyDescent="0.3">
      <c r="A6581" t="str">
        <f>HYPERLINK("https://us2.cloudbeds.com/connect/10074733072513#/reservations/30684257480895?display=YQW6TM9SH&amp;reservation_id=30684257480895", "YQW6TM9SH")</f>
        <v>YQW6TM9SH</v>
      </c>
      <c r="B6581" t="s">
        <v>10</v>
      </c>
      <c r="C6581" t="s">
        <v>42</v>
      </c>
      <c r="D6581" t="str">
        <f>HYPERLINK("https://us2.cloudbeds.com/connect/10074733072513#/reservations/30684257480895?display=Escobedo%20Alvaro&amp;reservation_id=30684257480895&amp;guest_id=30683955769577", "Escobedo Alvaro")</f>
        <v>Escobedo Alvaro</v>
      </c>
      <c r="E6581" t="s">
        <v>4095</v>
      </c>
      <c r="F6581" t="s">
        <v>3953</v>
      </c>
      <c r="G6581">
        <v>119</v>
      </c>
      <c r="H6581">
        <v>129.36000000000001</v>
      </c>
      <c r="I6581">
        <v>129.35</v>
      </c>
      <c r="J6581">
        <v>0.01</v>
      </c>
    </row>
    <row r="6582" spans="1:10" x14ac:dyDescent="0.3">
      <c r="A6582" t="str">
        <f>HYPERLINK("https://us2.cloudbeds.com/connect/10074733072513#/reservations/30683949015175?display=YQVW0XPUE&amp;reservation_id=30683949015175", "YQVW0XPUE")</f>
        <v>YQVW0XPUE</v>
      </c>
      <c r="B6582" t="s">
        <v>10</v>
      </c>
      <c r="C6582" t="s">
        <v>121</v>
      </c>
      <c r="D6582" t="str">
        <f>HYPERLINK("https://us2.cloudbeds.com/connect/10074733072513#/reservations/30683949015175?display=Tony%20Bunting&amp;reservation_id=30683949015175&amp;guest_id=30683949011092", "Tony Bunting")</f>
        <v>Tony Bunting</v>
      </c>
      <c r="E6582" t="s">
        <v>4108</v>
      </c>
      <c r="F6582" t="s">
        <v>3754</v>
      </c>
      <c r="G6582">
        <v>119</v>
      </c>
      <c r="H6582">
        <v>129.36000000000001</v>
      </c>
      <c r="I6582">
        <v>129.35</v>
      </c>
      <c r="J6582">
        <v>0.01</v>
      </c>
    </row>
    <row r="6583" spans="1:10" x14ac:dyDescent="0.3">
      <c r="A6583" t="str">
        <f>HYPERLINK("https://us2.cloudbeds.com/connect/10074733072513#/reservations/30683990429843?display=YQW02G6UC&amp;reservation_id=30683990429843", "YQW02G6UC")</f>
        <v>YQW02G6UC</v>
      </c>
      <c r="B6583" t="s">
        <v>10</v>
      </c>
      <c r="C6583" t="s">
        <v>14</v>
      </c>
      <c r="D6583" t="str">
        <f>HYPERLINK("https://us2.cloudbeds.com/connect/10074733072513#/reservations/30683990429843?display=Ashlee%20Ament&amp;reservation_id=30683990429843&amp;guest_id=30683979378821", "Ashlee Ament")</f>
        <v>Ashlee Ament</v>
      </c>
      <c r="E6583" t="s">
        <v>4109</v>
      </c>
      <c r="F6583" t="s">
        <v>3754</v>
      </c>
      <c r="G6583">
        <v>80.38</v>
      </c>
      <c r="H6583">
        <v>87.38</v>
      </c>
      <c r="I6583">
        <v>87.37</v>
      </c>
      <c r="J6583">
        <v>0.01</v>
      </c>
    </row>
    <row r="6584" spans="1:10" x14ac:dyDescent="0.3">
      <c r="A6584" t="str">
        <f>HYPERLINK("https://us2.cloudbeds.com/connect/10074733072513#/reservations/30682779275479?display=YQV2471Q0&amp;reservation_id=30682779275479", "YQV2471Q0")</f>
        <v>YQV2471Q0</v>
      </c>
      <c r="B6584" t="s">
        <v>10</v>
      </c>
      <c r="C6584" t="s">
        <v>42</v>
      </c>
      <c r="D6584" t="str">
        <f>HYPERLINK("https://us2.cloudbeds.com/connect/10074733072513#/reservations/30682779275479?display=Gary%20Tostenson&amp;reservation_id=30682779275479&amp;guest_id=30682779275474", "Gary Tostenson")</f>
        <v>Gary Tostenson</v>
      </c>
      <c r="E6584" t="s">
        <v>4110</v>
      </c>
      <c r="F6584" t="s">
        <v>3332</v>
      </c>
      <c r="G6584">
        <v>218</v>
      </c>
      <c r="H6584">
        <v>236.98</v>
      </c>
      <c r="I6584">
        <v>236.97</v>
      </c>
      <c r="J6584">
        <v>0.01</v>
      </c>
    </row>
    <row r="6585" spans="1:10" x14ac:dyDescent="0.3">
      <c r="A6585" t="str">
        <f>HYPERLINK("https://us2.cloudbeds.com/connect/10074733072513#/reservations/30682787541172?display=YQV2B61VX&amp;reservation_id=30682787541172", "YQV2B61VX")</f>
        <v>YQV2B61VX</v>
      </c>
      <c r="B6585" t="s">
        <v>10</v>
      </c>
      <c r="C6585" t="s">
        <v>42</v>
      </c>
      <c r="D6585" t="str">
        <f>HYPERLINK("https://us2.cloudbeds.com/connect/10074733072513#/reservations/30682787541172?display=Lenny%20Johnson&amp;reservation_id=30682787541172&amp;guest_id=30682787541168", "Lenny Johnson")</f>
        <v>Lenny Johnson</v>
      </c>
      <c r="E6585" t="s">
        <v>4111</v>
      </c>
      <c r="F6585" t="s">
        <v>3332</v>
      </c>
      <c r="G6585">
        <v>318</v>
      </c>
      <c r="H6585">
        <v>345.68</v>
      </c>
      <c r="I6585">
        <v>345.67</v>
      </c>
      <c r="J6585">
        <v>0.01</v>
      </c>
    </row>
    <row r="6586" spans="1:10" x14ac:dyDescent="0.3">
      <c r="A6586" t="str">
        <f>HYPERLINK("https://us2.cloudbeds.com/connect/10074733072513#/reservations/30683947532530?display=YQVVWAHER&amp;reservation_id=30683947532530", "YQVVWAHER")</f>
        <v>YQVVWAHER</v>
      </c>
      <c r="B6586" t="s">
        <v>10</v>
      </c>
      <c r="C6586" t="s">
        <v>11</v>
      </c>
      <c r="D6586" t="str">
        <f>HYPERLINK("https://us2.cloudbeds.com/connect/10074733072513#/reservations/30683947532530?display=Kaila%20Brugman&amp;reservation_id=30683947532530&amp;guest_id=30683940241570", "Kaila Brugman")</f>
        <v>Kaila Brugman</v>
      </c>
      <c r="E6586" t="s">
        <v>4112</v>
      </c>
      <c r="F6586" t="s">
        <v>3953</v>
      </c>
      <c r="G6586">
        <v>96.81</v>
      </c>
      <c r="H6586">
        <v>105.24</v>
      </c>
      <c r="I6586">
        <v>105.23</v>
      </c>
      <c r="J6586">
        <v>0.01</v>
      </c>
    </row>
    <row r="6587" spans="1:10" x14ac:dyDescent="0.3">
      <c r="A6587" t="str">
        <f>HYPERLINK("https://us2.cloudbeds.com/connect/10074733072513#/reservations/30683433885940?display=YQVXS6XAY&amp;reservation_id=30683433885940", "YQVXS6XAY")</f>
        <v>YQVXS6XAY</v>
      </c>
      <c r="B6587" t="s">
        <v>10</v>
      </c>
      <c r="C6587" t="s">
        <v>42</v>
      </c>
      <c r="D6587" t="str">
        <f>HYPERLINK("https://us2.cloudbeds.com/connect/10074733072513#/reservations/30683433885940?display=Ziggy%20Szwajnos&amp;reservation_id=30683433885940&amp;guest_id=30683433885936", "Ziggy Szwajnos")</f>
        <v>Ziggy Szwajnos</v>
      </c>
      <c r="E6587" t="s">
        <v>4113</v>
      </c>
      <c r="F6587" t="s">
        <v>4029</v>
      </c>
      <c r="G6587">
        <v>321.3</v>
      </c>
      <c r="H6587">
        <v>349.26</v>
      </c>
      <c r="I6587">
        <v>349.25</v>
      </c>
      <c r="J6587">
        <v>0.01</v>
      </c>
    </row>
    <row r="6588" spans="1:10" x14ac:dyDescent="0.3">
      <c r="A6588" t="str">
        <f>HYPERLINK("https://us2.cloudbeds.com/connect/10074733072513#/reservations/30683045380343?display=YQV8UJQSP&amp;reservation_id=30683045380343", "YQV8UJQSP")</f>
        <v>YQV8UJQSP</v>
      </c>
      <c r="B6588" t="s">
        <v>10</v>
      </c>
      <c r="C6588" t="s">
        <v>42</v>
      </c>
      <c r="D6588" t="str">
        <f>HYPERLINK("https://us2.cloudbeds.com/connect/10074733072513#/reservations/30683045380343?display=Christie%20Keller%20To%20Amy%20Anderson&amp;reservation_id=30683045380343&amp;guest_id=30683045380326", "Christie Keller To Amy Anderson")</f>
        <v>Christie Keller To Amy Anderson</v>
      </c>
      <c r="E6588" t="s">
        <v>4114</v>
      </c>
      <c r="F6588" t="s">
        <v>3332</v>
      </c>
      <c r="G6588">
        <v>129</v>
      </c>
      <c r="H6588">
        <v>140.22999999999999</v>
      </c>
      <c r="I6588">
        <v>140.22</v>
      </c>
      <c r="J6588">
        <v>0.01</v>
      </c>
    </row>
    <row r="6589" spans="1:10" x14ac:dyDescent="0.3">
      <c r="A6589" t="str">
        <f>HYPERLINK("https://us2.cloudbeds.com/connect/10074733072513#/reservations/30684207620267?display=YQW5KKS5C&amp;reservation_id=30684207620267", "YQW5KKS5C")</f>
        <v>YQW5KKS5C</v>
      </c>
      <c r="B6589" t="s">
        <v>10</v>
      </c>
      <c r="C6589" t="s">
        <v>11</v>
      </c>
      <c r="D6589" t="str">
        <f>HYPERLINK("https://us2.cloudbeds.com/connect/10074733072513#/reservations/30684207620267?display=Richard%20Huff&amp;reservation_id=30684207620267&amp;guest_id=30684187299998", "Richard Huff")</f>
        <v>Richard Huff</v>
      </c>
      <c r="E6589" t="s">
        <v>4115</v>
      </c>
      <c r="F6589" t="s">
        <v>4086</v>
      </c>
      <c r="G6589">
        <v>80.38</v>
      </c>
      <c r="H6589">
        <v>87.38</v>
      </c>
      <c r="I6589">
        <v>87.37</v>
      </c>
      <c r="J6589">
        <v>0.01</v>
      </c>
    </row>
    <row r="6590" spans="1:10" x14ac:dyDescent="0.3">
      <c r="A6590" t="str">
        <f>HYPERLINK("https://us2.cloudbeds.com/connect/10074733072513#/reservations/30683930226895?display=YQVVHNW4Y&amp;reservation_id=30683930226895", "YQVVHNW4Y")</f>
        <v>YQVVHNW4Y</v>
      </c>
      <c r="B6590" t="s">
        <v>10</v>
      </c>
      <c r="C6590" t="s">
        <v>20</v>
      </c>
      <c r="D6590" t="str">
        <f>HYPERLINK("https://us2.cloudbeds.com/connect/10074733072513#/reservations/30683930226895?display=Brenda%20Harrison&amp;reservation_id=30683930226895&amp;guest_id=30683930226890", "Brenda Harrison")</f>
        <v>Brenda Harrison</v>
      </c>
      <c r="E6590" t="s">
        <v>4116</v>
      </c>
      <c r="F6590" t="s">
        <v>3953</v>
      </c>
      <c r="G6590">
        <v>101.75</v>
      </c>
      <c r="H6590">
        <v>110.61</v>
      </c>
      <c r="I6590">
        <v>110.6</v>
      </c>
      <c r="J6590">
        <v>0.01</v>
      </c>
    </row>
    <row r="6591" spans="1:10" x14ac:dyDescent="0.3">
      <c r="A6591" t="str">
        <f>HYPERLINK("https://us2.cloudbeds.com/connect/10074733072513#/reservations/30683892723862?display=YQVUJ3D33&amp;reservation_id=30683892723862", "YQVUJ3D33")</f>
        <v>YQVUJ3D33</v>
      </c>
      <c r="B6591" t="s">
        <v>10</v>
      </c>
      <c r="C6591" t="s">
        <v>11</v>
      </c>
      <c r="D6591" t="str">
        <f>HYPERLINK("https://us2.cloudbeds.com/connect/10074733072513#/reservations/30683892723862?display=Landon%20Thayer&amp;reservation_id=30683892723862&amp;guest_id=30683892723846", "Landon Thayer")</f>
        <v>Landon Thayer</v>
      </c>
      <c r="E6591" t="s">
        <v>4117</v>
      </c>
      <c r="F6591" t="s">
        <v>2633</v>
      </c>
      <c r="G6591">
        <v>106.8</v>
      </c>
      <c r="H6591">
        <v>116.1</v>
      </c>
      <c r="I6591">
        <v>116.09</v>
      </c>
      <c r="J6591">
        <v>0.01</v>
      </c>
    </row>
    <row r="6592" spans="1:10" x14ac:dyDescent="0.3">
      <c r="A6592" t="str">
        <f>HYPERLINK("https://us2.cloudbeds.com/connect/10074733072513#/reservations/30683872424118?display=YQVU1WHCB&amp;reservation_id=30683872424118", "YQVU1WHCB")</f>
        <v>YQVU1WHCB</v>
      </c>
      <c r="B6592" t="s">
        <v>10</v>
      </c>
      <c r="C6592" t="s">
        <v>23</v>
      </c>
      <c r="D6592" t="str">
        <f>HYPERLINK("https://us2.cloudbeds.com/connect/10074733072513#/reservations/30683872424118?display=Cheryl%20Vanderbrink&amp;reservation_id=30683872424118&amp;guest_id=30683872424106", "Cheryl Vanderbrink")</f>
        <v>Cheryl Vanderbrink</v>
      </c>
      <c r="E6592" t="s">
        <v>4118</v>
      </c>
      <c r="F6592" t="s">
        <v>3984</v>
      </c>
      <c r="G6592">
        <v>169</v>
      </c>
      <c r="H6592">
        <v>183.71</v>
      </c>
      <c r="I6592">
        <v>183.7</v>
      </c>
      <c r="J6592">
        <v>0.01</v>
      </c>
    </row>
    <row r="6593" spans="1:10" x14ac:dyDescent="0.3">
      <c r="A6593" t="str">
        <f>HYPERLINK("https://us2.cloudbeds.com/connect/10074733072513#/reservations/30684461977771?display=YQWC43NVX&amp;reservation_id=30684461977771", "YQWC43NVX")</f>
        <v>YQWC43NVX</v>
      </c>
      <c r="B6593" t="s">
        <v>10</v>
      </c>
      <c r="C6593" t="s">
        <v>23</v>
      </c>
      <c r="D6593" t="str">
        <f>HYPERLINK("https://us2.cloudbeds.com/connect/10074733072513#/reservations/30684461977771?display=Sun%20Kim&amp;reservation_id=30684461977771&amp;guest_id=30684461977769", "Sun Kim")</f>
        <v>Sun Kim</v>
      </c>
      <c r="E6593" t="s">
        <v>4119</v>
      </c>
      <c r="F6593" t="s">
        <v>4029</v>
      </c>
      <c r="G6593">
        <v>119</v>
      </c>
      <c r="H6593">
        <v>129.36000000000001</v>
      </c>
      <c r="I6593">
        <v>129.35</v>
      </c>
      <c r="J6593">
        <v>0.01</v>
      </c>
    </row>
    <row r="6594" spans="1:10" x14ac:dyDescent="0.3">
      <c r="A6594" t="str">
        <f>HYPERLINK("https://us2.cloudbeds.com/connect/10074733072513#/reservations/30683917693086?display=YQVV756M8&amp;reservation_id=30683917693086", "YQVV756M8")</f>
        <v>YQVV756M8</v>
      </c>
      <c r="B6594" t="s">
        <v>10</v>
      </c>
      <c r="C6594" t="s">
        <v>11</v>
      </c>
      <c r="D6594" t="str">
        <f>HYPERLINK("https://us2.cloudbeds.com/connect/10074733072513#/reservations/30683917693086?display=Sarah%20Wulff&amp;reservation_id=30683917693086&amp;guest_id=30683917693081", "Sarah Wulff")</f>
        <v>Sarah Wulff</v>
      </c>
      <c r="E6594" t="s">
        <v>4121</v>
      </c>
      <c r="F6594" t="s">
        <v>2633</v>
      </c>
      <c r="G6594">
        <v>149</v>
      </c>
      <c r="H6594">
        <v>161.97</v>
      </c>
      <c r="I6594">
        <v>161.96</v>
      </c>
      <c r="J6594">
        <v>0.01</v>
      </c>
    </row>
    <row r="6595" spans="1:10" x14ac:dyDescent="0.3">
      <c r="A6595" t="str">
        <f>HYPERLINK("https://us2.cloudbeds.com/connect/10074733072513#/reservations/30683924435191?display=YQVVCRQPF&amp;reservation_id=30683924435191", "YQVVCRQPF")</f>
        <v>YQVVCRQPF</v>
      </c>
      <c r="B6595" t="s">
        <v>10</v>
      </c>
      <c r="C6595" t="s">
        <v>20</v>
      </c>
      <c r="D6595" t="str">
        <f>HYPERLINK("https://us2.cloudbeds.com/connect/10074733072513#/reservations/30683924435191?display=Zoe%20Zapata&amp;reservation_id=30683924435191&amp;guest_id=30683924435189", "Zoe Zapata")</f>
        <v>Zoe Zapata</v>
      </c>
      <c r="E6595" t="s">
        <v>4122</v>
      </c>
      <c r="F6595" t="s">
        <v>2633</v>
      </c>
      <c r="G6595">
        <v>149</v>
      </c>
      <c r="H6595">
        <v>161.97</v>
      </c>
      <c r="I6595">
        <v>161.96</v>
      </c>
      <c r="J6595">
        <v>0.01</v>
      </c>
    </row>
    <row r="6596" spans="1:10" x14ac:dyDescent="0.3">
      <c r="A6596" t="str">
        <f>HYPERLINK("https://us2.cloudbeds.com/connect/10074733072513#/reservations/30684244230347?display=YQW6XGJ7P&amp;reservation_id=30684244230347", "YQW6XGJ7P")</f>
        <v>YQW6XGJ7P</v>
      </c>
      <c r="B6596" t="s">
        <v>10</v>
      </c>
      <c r="C6596" t="s">
        <v>121</v>
      </c>
      <c r="D6596" t="str">
        <f>HYPERLINK("https://us2.cloudbeds.com/connect/10074733072513#/reservations/30684244230347?display=Nicolette%20Anderson&amp;reservation_id=30684244230347&amp;guest_id=30684244230343", "Nicolette Anderson")</f>
        <v>Nicolette Anderson</v>
      </c>
      <c r="E6596" t="s">
        <v>4123</v>
      </c>
      <c r="F6596" t="s">
        <v>4071</v>
      </c>
      <c r="G6596">
        <v>80.38</v>
      </c>
      <c r="H6596">
        <v>87.38</v>
      </c>
      <c r="I6596">
        <v>87.37</v>
      </c>
      <c r="J6596">
        <v>0.01</v>
      </c>
    </row>
    <row r="6597" spans="1:10" x14ac:dyDescent="0.3">
      <c r="A6597" t="str">
        <f>HYPERLINK("https://us2.cloudbeds.com/connect/10074733072513#/reservations/30683002208410?display=YQV7R6G7C&amp;reservation_id=30683002208410", "YQV7R6G7C")</f>
        <v>YQV7R6G7C</v>
      </c>
      <c r="B6597" t="s">
        <v>10</v>
      </c>
      <c r="C6597" t="s">
        <v>42</v>
      </c>
      <c r="D6597" t="str">
        <f>HYPERLINK("https://us2.cloudbeds.com/connect/10074733072513#/reservations/30683002208410?display=Bill%20Lepley&amp;reservation_id=30683002208410&amp;guest_id=30683002208407", "Bill Lepley")</f>
        <v>Bill Lepley</v>
      </c>
      <c r="E6597" t="s">
        <v>4124</v>
      </c>
      <c r="F6597" t="s">
        <v>3526</v>
      </c>
      <c r="G6597">
        <v>378</v>
      </c>
      <c r="H6597">
        <v>410.9</v>
      </c>
      <c r="I6597">
        <v>410.89</v>
      </c>
      <c r="J6597">
        <v>0.01</v>
      </c>
    </row>
    <row r="6598" spans="1:10" x14ac:dyDescent="0.3">
      <c r="A6598" t="str">
        <f>HYPERLINK("https://us2.cloudbeds.com/connect/10074733072513#/reservations/30683016913039?display=YQV86JM36&amp;reservation_id=30683016913039", "YQV86JM36")</f>
        <v>YQV86JM36</v>
      </c>
      <c r="B6598" t="s">
        <v>10</v>
      </c>
      <c r="C6598" t="s">
        <v>42</v>
      </c>
      <c r="D6598" t="str">
        <f>HYPERLINK("https://us2.cloudbeds.com/connect/10074733072513#/reservations/30683016913039?display=Brittani%20Brick&amp;reservation_id=30683016913039&amp;guest_id=30683016913034", "Brittani Brick")</f>
        <v>Brittani Brick</v>
      </c>
      <c r="E6598" t="s">
        <v>4126</v>
      </c>
      <c r="F6598" t="s">
        <v>3526</v>
      </c>
      <c r="G6598">
        <v>258</v>
      </c>
      <c r="H6598">
        <v>280.45999999999998</v>
      </c>
      <c r="I6598">
        <v>280.45</v>
      </c>
      <c r="J6598">
        <v>0.01</v>
      </c>
    </row>
    <row r="6599" spans="1:10" x14ac:dyDescent="0.3">
      <c r="A6599" t="str">
        <f>HYPERLINK("https://us2.cloudbeds.com/connect/10074733072513#/reservations/30683483644117?display=YQVK454V6&amp;reservation_id=30683483644117", "YQVK454V6")</f>
        <v>YQVK454V6</v>
      </c>
      <c r="B6599" t="s">
        <v>10</v>
      </c>
      <c r="C6599" t="s">
        <v>11</v>
      </c>
      <c r="D6599" t="str">
        <f>HYPERLINK("https://us2.cloudbeds.com/connect/10074733072513#/reservations/30683483644117?display=Scott%20Nix&amp;reservation_id=30683483644117&amp;guest_id=30683483644115", "Scott Nix")</f>
        <v>Scott Nix</v>
      </c>
      <c r="E6599" t="s">
        <v>4127</v>
      </c>
      <c r="F6599" t="s">
        <v>4029</v>
      </c>
      <c r="G6599">
        <v>80.38</v>
      </c>
      <c r="H6599">
        <v>87.38</v>
      </c>
      <c r="I6599">
        <v>87.37</v>
      </c>
      <c r="J6599">
        <v>0.01</v>
      </c>
    </row>
    <row r="6600" spans="1:10" x14ac:dyDescent="0.3">
      <c r="A6600" t="str">
        <f>HYPERLINK("https://us2.cloudbeds.com/connect/10074733072513#/reservations/30683259469974?display=YQVED45ZB&amp;reservation_id=30683259469974", "YQVED45ZB")</f>
        <v>YQVED45ZB</v>
      </c>
      <c r="B6600" t="s">
        <v>10</v>
      </c>
      <c r="C6600" t="s">
        <v>14</v>
      </c>
      <c r="D6600" t="str">
        <f>HYPERLINK("https://us2.cloudbeds.com/connect/10074733072513#/reservations/30683259469974?display=Josh%20Anderson&amp;reservation_id=30683259469974&amp;guest_id=30682364620942", "Josh Anderson")</f>
        <v>Josh Anderson</v>
      </c>
      <c r="E6600" t="s">
        <v>4128</v>
      </c>
      <c r="F6600" t="s">
        <v>3715</v>
      </c>
      <c r="G6600">
        <v>160.76</v>
      </c>
      <c r="H6600">
        <v>174.76</v>
      </c>
      <c r="I6600">
        <v>174.75</v>
      </c>
      <c r="J6600">
        <v>0.01</v>
      </c>
    </row>
    <row r="6601" spans="1:10" x14ac:dyDescent="0.3">
      <c r="A6601" t="str">
        <f>HYPERLINK("https://us2.cloudbeds.com/connect/10074733072513#/reservations/30683363901651?display=YQVH264JK&amp;reservation_id=30683363901651", "YQVH264JK")</f>
        <v>YQVH264JK</v>
      </c>
      <c r="B6601" t="s">
        <v>10</v>
      </c>
      <c r="C6601" t="s">
        <v>42</v>
      </c>
      <c r="D6601" t="str">
        <f>HYPERLINK("https://us2.cloudbeds.com/connect/10074733072513#/reservations/30683363901651?display=Julie%20Moore&amp;reservation_id=30683363901651&amp;guest_id=30683363897560", "Julie Moore")</f>
        <v>Julie Moore</v>
      </c>
      <c r="E6601" t="s">
        <v>4045</v>
      </c>
      <c r="F6601" t="s">
        <v>3744</v>
      </c>
      <c r="G6601">
        <v>139</v>
      </c>
      <c r="H6601">
        <v>151.1</v>
      </c>
      <c r="I6601">
        <v>151.09</v>
      </c>
      <c r="J6601">
        <v>0.01</v>
      </c>
    </row>
    <row r="6602" spans="1:10" x14ac:dyDescent="0.3">
      <c r="A6602" t="str">
        <f>HYPERLINK("https://us2.cloudbeds.com/connect/10074733072513#/reservations/30683819200670?display=YQVSN3GMJ&amp;reservation_id=30683819200670", "YQVSN3GMJ")</f>
        <v>YQVSN3GMJ</v>
      </c>
      <c r="B6602" t="s">
        <v>10</v>
      </c>
      <c r="C6602" t="s">
        <v>42</v>
      </c>
      <c r="D6602" t="str">
        <f>HYPERLINK("https://us2.cloudbeds.com/connect/10074733072513#/reservations/30683819200670?display=Treese%20Deboer&amp;reservation_id=30683819200670&amp;guest_id=30683819200666", "Treese Deboer")</f>
        <v>Treese Deboer</v>
      </c>
      <c r="E6602" t="s">
        <v>4129</v>
      </c>
      <c r="F6602" t="s">
        <v>3984</v>
      </c>
      <c r="G6602">
        <v>119</v>
      </c>
      <c r="H6602">
        <v>129.36000000000001</v>
      </c>
      <c r="I6602">
        <v>129.35</v>
      </c>
      <c r="J6602">
        <v>0.01</v>
      </c>
    </row>
    <row r="6603" spans="1:10" x14ac:dyDescent="0.3">
      <c r="A6603" t="str">
        <f>HYPERLINK("https://us2.cloudbeds.com/connect/10074733072513#/reservations/30681961472184?display=YQUE7KFXW&amp;reservation_id=30681961472184", "YQUE7KFXW")</f>
        <v>YQUE7KFXW</v>
      </c>
      <c r="B6603" t="s">
        <v>10</v>
      </c>
      <c r="C6603" t="s">
        <v>20</v>
      </c>
      <c r="D6603" t="str">
        <f>HYPERLINK("https://us2.cloudbeds.com/connect/10074733072513#/reservations/30681961472184?display=Rebekah%20Olsen&amp;reservation_id=30681961472184&amp;guest_id=30681961472179", "Rebekah Olsen")</f>
        <v>Rebekah Olsen</v>
      </c>
      <c r="E6603" t="s">
        <v>4130</v>
      </c>
      <c r="F6603" t="s">
        <v>2633</v>
      </c>
      <c r="G6603">
        <v>298</v>
      </c>
      <c r="H6603">
        <v>323.94</v>
      </c>
      <c r="I6603">
        <v>323.93</v>
      </c>
      <c r="J6603">
        <v>0.01</v>
      </c>
    </row>
    <row r="6604" spans="1:10" x14ac:dyDescent="0.3">
      <c r="A6604" t="str">
        <f>HYPERLINK("https://us2.cloudbeds.com/connect/10074733072513#/reservations/30683408502923?display=YQVX6Q7PA&amp;reservation_id=30683408502923", "YQVX6Q7PA")</f>
        <v>YQVX6Q7PA</v>
      </c>
      <c r="B6604" t="s">
        <v>10</v>
      </c>
      <c r="C6604" t="s">
        <v>42</v>
      </c>
      <c r="D6604" t="str">
        <f>HYPERLINK("https://us2.cloudbeds.com/connect/10074733072513#/reservations/30683408502923?display=Amber%20Inman&amp;reservation_id=30683408502923&amp;guest_id=30683408502919", "Amber Inman")</f>
        <v>Amber Inman</v>
      </c>
      <c r="E6604" t="s">
        <v>4131</v>
      </c>
      <c r="F6604" t="s">
        <v>4029</v>
      </c>
      <c r="G6604">
        <v>73</v>
      </c>
      <c r="H6604">
        <v>79.36</v>
      </c>
      <c r="I6604">
        <v>79.349999999999994</v>
      </c>
      <c r="J6604">
        <v>0.01</v>
      </c>
    </row>
    <row r="6605" spans="1:10" x14ac:dyDescent="0.3">
      <c r="A6605" t="str">
        <f>HYPERLINK("https://us2.cloudbeds.com/connect/10074733072513#/reservations/30684080029900?display=YQW2C1F9Y&amp;reservation_id=30684080029900", "YQW2C1F9Y")</f>
        <v>YQW2C1F9Y</v>
      </c>
      <c r="B6605" t="s">
        <v>10</v>
      </c>
      <c r="C6605" t="s">
        <v>42</v>
      </c>
      <c r="D6605" t="str">
        <f>HYPERLINK("https://us2.cloudbeds.com/connect/10074733072513#/reservations/30684080029900?display=Dena%20Vick&amp;reservation_id=30684080029900&amp;guest_id=30684080029898", "Dena Vick")</f>
        <v>Dena Vick</v>
      </c>
      <c r="E6605" t="s">
        <v>4132</v>
      </c>
      <c r="F6605" t="s">
        <v>4029</v>
      </c>
      <c r="G6605">
        <v>119</v>
      </c>
      <c r="H6605">
        <v>129.36000000000001</v>
      </c>
      <c r="I6605">
        <v>129.35</v>
      </c>
      <c r="J6605">
        <v>0.01</v>
      </c>
    </row>
    <row r="6606" spans="1:10" x14ac:dyDescent="0.3">
      <c r="A6606" t="str">
        <f>HYPERLINK("https://us2.cloudbeds.com/connect/10074733072513#/reservations/30683250856184?display=YQVE5SFUD&amp;reservation_id=30683250856184", "YQVE5SFUD")</f>
        <v>YQVE5SFUD</v>
      </c>
      <c r="B6606" t="s">
        <v>10</v>
      </c>
      <c r="C6606" t="s">
        <v>14</v>
      </c>
      <c r="D6606" t="str">
        <f>HYPERLINK("https://us2.cloudbeds.com/connect/10074733072513#/reservations/30683250856184?display=Brian%20Suter&amp;reservation_id=30683250856184&amp;guest_id=30682356584687", "Brian Suter")</f>
        <v>Brian Suter</v>
      </c>
      <c r="E6606" t="s">
        <v>4128</v>
      </c>
      <c r="F6606" t="s">
        <v>3715</v>
      </c>
      <c r="G6606">
        <v>160.76</v>
      </c>
      <c r="H6606">
        <v>174.76</v>
      </c>
      <c r="I6606">
        <v>174.75</v>
      </c>
      <c r="J6606">
        <v>0.01</v>
      </c>
    </row>
    <row r="6607" spans="1:10" x14ac:dyDescent="0.3">
      <c r="A6607" t="str">
        <f>HYPERLINK("https://us2.cloudbeds.com/connect/10074733072513#/reservations/30681345040581?display=YQTVFRBMD&amp;reservation_id=30681345040581", "YQTVFRBMD")</f>
        <v>YQTVFRBMD</v>
      </c>
      <c r="B6607" t="s">
        <v>10</v>
      </c>
      <c r="C6607" t="s">
        <v>11</v>
      </c>
      <c r="D6607" t="str">
        <f>HYPERLINK("https://us2.cloudbeds.com/connect/10074733072513#/reservations/30681345040581?display=Steven%20Darner&amp;reservation_id=30681345040581&amp;guest_id=30681336873143", "Steven Darner")</f>
        <v>Steven Darner</v>
      </c>
      <c r="E6607" t="s">
        <v>4133</v>
      </c>
      <c r="F6607" t="s">
        <v>4134</v>
      </c>
      <c r="G6607">
        <v>306.56</v>
      </c>
      <c r="H6607">
        <v>333.24</v>
      </c>
      <c r="I6607">
        <v>333.23</v>
      </c>
      <c r="J6607">
        <v>0.01</v>
      </c>
    </row>
    <row r="6608" spans="1:10" x14ac:dyDescent="0.3">
      <c r="A6608" t="str">
        <f>HYPERLINK("https://us2.cloudbeds.com/connect/10074733072513#/reservations/30683416412320?display=YQVXDFAP0&amp;reservation_id=30683416412320", "YQVXDFAP0")</f>
        <v>YQVXDFAP0</v>
      </c>
      <c r="B6608" t="s">
        <v>10</v>
      </c>
      <c r="C6608" t="s">
        <v>42</v>
      </c>
      <c r="D6608" t="str">
        <f>HYPERLINK("https://us2.cloudbeds.com/connect/10074733072513#/reservations/30683416412320?display=Shane%20Roper&amp;reservation_id=30683416412320&amp;guest_id=30683416412310", "Shane Roper")</f>
        <v>Shane Roper</v>
      </c>
      <c r="E6608" t="s">
        <v>4135</v>
      </c>
      <c r="F6608" t="s">
        <v>4029</v>
      </c>
      <c r="G6608">
        <v>119</v>
      </c>
      <c r="H6608">
        <v>129.36000000000001</v>
      </c>
      <c r="I6608">
        <v>129.35</v>
      </c>
      <c r="J6608">
        <v>0.01</v>
      </c>
    </row>
    <row r="6609" spans="1:10" x14ac:dyDescent="0.3">
      <c r="A6609" t="str">
        <f>HYPERLINK("https://us2.cloudbeds.com/connect/10074733072513#/reservations/30684500005000?display=YQWD35TBR&amp;reservation_id=30684500005000", "YQWD35TBR")</f>
        <v>YQWD35TBR</v>
      </c>
      <c r="B6609" t="s">
        <v>10</v>
      </c>
      <c r="C6609" t="s">
        <v>11</v>
      </c>
      <c r="D6609" t="str">
        <f>HYPERLINK("https://us2.cloudbeds.com/connect/10074733072513#/reservations/30684500005000?display=Amy%20Meyer&amp;reservation_id=30684500005000&amp;guest_id=30684500004998", "Amy Meyer")</f>
        <v>Amy Meyer</v>
      </c>
      <c r="E6609" t="s">
        <v>4136</v>
      </c>
      <c r="F6609" t="s">
        <v>4029</v>
      </c>
      <c r="G6609">
        <v>80.38</v>
      </c>
      <c r="H6609">
        <v>87.38</v>
      </c>
      <c r="I6609">
        <v>87.37</v>
      </c>
      <c r="J6609">
        <v>0.01</v>
      </c>
    </row>
    <row r="6610" spans="1:10" x14ac:dyDescent="0.3">
      <c r="A6610" t="str">
        <f>HYPERLINK("https://us2.cloudbeds.com/connect/10074733072513#/reservations/30682331623679?display=YQUNMZFUV&amp;reservation_id=30682331623679", "YQUNMZFUV")</f>
        <v>YQUNMZFUV</v>
      </c>
      <c r="B6610" t="s">
        <v>10</v>
      </c>
      <c r="C6610" t="s">
        <v>42</v>
      </c>
      <c r="D6610" t="str">
        <f>HYPERLINK("https://us2.cloudbeds.com/connect/10074733072513#/reservations/30682331623679?display=John%20Teupel&amp;reservation_id=30682331623679&amp;guest_id=30676634038498", "John Teupel")</f>
        <v>John Teupel</v>
      </c>
      <c r="E6610" t="s">
        <v>2970</v>
      </c>
      <c r="F6610" t="s">
        <v>2633</v>
      </c>
      <c r="G6610">
        <v>79</v>
      </c>
      <c r="H6610">
        <v>85.88</v>
      </c>
      <c r="I6610">
        <v>85.87</v>
      </c>
      <c r="J6610">
        <v>0.01</v>
      </c>
    </row>
    <row r="6611" spans="1:10" x14ac:dyDescent="0.3">
      <c r="A6611" t="str">
        <f>HYPERLINK("https://us2.cloudbeds.com/connect/10074733072513#/reservations/30683423412469?display=YQVXJC3QZ&amp;reservation_id=30683423412469", "YQVXJC3QZ")</f>
        <v>YQVXJC3QZ</v>
      </c>
      <c r="B6611" t="s">
        <v>10</v>
      </c>
      <c r="C6611" t="s">
        <v>42</v>
      </c>
      <c r="D6611" t="str">
        <f>HYPERLINK("https://us2.cloudbeds.com/connect/10074733072513#/reservations/30683423412469?display=Destiny%20Henry&amp;reservation_id=30683423412469&amp;guest_id=30683423412458", "Destiny Henry")</f>
        <v>Destiny Henry</v>
      </c>
      <c r="E6611" t="s">
        <v>4138</v>
      </c>
      <c r="F6611" t="s">
        <v>4029</v>
      </c>
      <c r="G6611">
        <v>119</v>
      </c>
      <c r="H6611">
        <v>129.36000000000001</v>
      </c>
      <c r="I6611">
        <v>129.35</v>
      </c>
      <c r="J6611">
        <v>0.01</v>
      </c>
    </row>
    <row r="6612" spans="1:10" x14ac:dyDescent="0.3">
      <c r="A6612" t="str">
        <f>HYPERLINK("https://us2.cloudbeds.com/connect/10074733072513#/reservations/30683691028668?display=YQVPE0UNH&amp;reservation_id=30683691028668", "YQVPE0UNH")</f>
        <v>YQVPE0UNH</v>
      </c>
      <c r="B6612" t="s">
        <v>10</v>
      </c>
      <c r="C6612" t="s">
        <v>11</v>
      </c>
      <c r="D6612" t="str">
        <f>HYPERLINK("https://us2.cloudbeds.com/connect/10074733072513#/reservations/30683691028668?display=Shannen%20Slykhuis&amp;reservation_id=30683691028668&amp;guest_id=30683691028616", "Shannen Slykhuis")</f>
        <v>Shannen Slykhuis</v>
      </c>
      <c r="E6612" t="s">
        <v>4139</v>
      </c>
      <c r="F6612" t="s">
        <v>4029</v>
      </c>
      <c r="G6612">
        <v>80.38</v>
      </c>
      <c r="H6612">
        <v>87.38</v>
      </c>
      <c r="I6612">
        <v>87.37</v>
      </c>
      <c r="J6612">
        <v>0.01</v>
      </c>
    </row>
    <row r="6613" spans="1:10" x14ac:dyDescent="0.3">
      <c r="A6613" t="str">
        <f>HYPERLINK("https://us2.cloudbeds.com/connect/10074733072513#/reservations/31673917321353?display=MH6H027DK&amp;reservation_id=31673917321353", "MH6H027DK")</f>
        <v>MH6H027DK</v>
      </c>
      <c r="B6613" t="s">
        <v>10</v>
      </c>
      <c r="C6613" t="s">
        <v>42</v>
      </c>
      <c r="D6613" t="str">
        <f>HYPERLINK("https://us2.cloudbeds.com/connect/10074733072513#/reservations/31673917321353?display=Debra%20Veurink&amp;reservation_id=31673917321353&amp;guest_id=31673917317311", "Debra Veurink")</f>
        <v>Debra Veurink</v>
      </c>
      <c r="E6613" t="s">
        <v>4140</v>
      </c>
      <c r="F6613" t="s">
        <v>4141</v>
      </c>
      <c r="G6613">
        <v>298</v>
      </c>
      <c r="H6613">
        <v>323.94</v>
      </c>
      <c r="I6613">
        <v>323.93</v>
      </c>
      <c r="J6613">
        <v>0.01</v>
      </c>
    </row>
    <row r="6614" spans="1:10" x14ac:dyDescent="0.3">
      <c r="A6614" t="str">
        <f>HYPERLINK("https://us2.cloudbeds.com/connect/10074733072513#/reservations/30683819204764?display=YQVSN3KEY&amp;reservation_id=30683819204764", "YQVSN3KEY")</f>
        <v>YQVSN3KEY</v>
      </c>
      <c r="B6614" t="s">
        <v>10</v>
      </c>
      <c r="C6614" t="s">
        <v>42</v>
      </c>
      <c r="D6614" t="str">
        <f>HYPERLINK("https://us2.cloudbeds.com/connect/10074733072513#/reservations/30683819204764?display=Matt%20Davis&amp;reservation_id=30683819204764&amp;guest_id=30670025822343", "Matt Davis")</f>
        <v>Matt Davis</v>
      </c>
      <c r="E6614" t="s">
        <v>4142</v>
      </c>
      <c r="F6614" t="s">
        <v>3984</v>
      </c>
      <c r="G6614">
        <v>149</v>
      </c>
      <c r="H6614">
        <v>161.97</v>
      </c>
      <c r="I6614">
        <v>161.96</v>
      </c>
      <c r="J6614">
        <v>0.01</v>
      </c>
    </row>
    <row r="6615" spans="1:10" x14ac:dyDescent="0.3">
      <c r="A6615" t="str">
        <f>HYPERLINK("https://us2.cloudbeds.com/connect/10074733072513#/reservations/30683852169371?display=YQVTHTTW4&amp;reservation_id=30683852169371", "YQVTHTTW4")</f>
        <v>YQVTHTTW4</v>
      </c>
      <c r="B6615" t="s">
        <v>10</v>
      </c>
      <c r="C6615" t="s">
        <v>20</v>
      </c>
      <c r="D6615" t="str">
        <f>HYPERLINK("https://us2.cloudbeds.com/connect/10074733072513#/reservations/30683852169371?display=Marina%20Atamanyuk&amp;reservation_id=30683852169371&amp;guest_id=30683852165282", "Marina Atamanyuk")</f>
        <v>Marina Atamanyuk</v>
      </c>
      <c r="E6615" t="s">
        <v>4143</v>
      </c>
      <c r="F6615" t="s">
        <v>3984</v>
      </c>
      <c r="G6615">
        <v>241.24</v>
      </c>
      <c r="H6615">
        <v>262.24</v>
      </c>
      <c r="I6615">
        <v>262.23</v>
      </c>
      <c r="J6615">
        <v>0.01</v>
      </c>
    </row>
    <row r="6616" spans="1:10" x14ac:dyDescent="0.3">
      <c r="A6616" t="str">
        <f>HYPERLINK("https://us2.cloudbeds.com/connect/10074733072513#/reservations/30682343530675?display=YQUNWPQR0&amp;reservation_id=30682343530675", "YQUNWPQR0")</f>
        <v>YQUNWPQR0</v>
      </c>
      <c r="B6616" t="s">
        <v>10</v>
      </c>
      <c r="C6616" t="s">
        <v>42</v>
      </c>
      <c r="D6616" t="str">
        <f>HYPERLINK("https://us2.cloudbeds.com/connect/10074733072513#/reservations/30682343530675?display=Teri%20Henerger&amp;reservation_id=30682343530675&amp;guest_id=30682343530671", "Teri Henerger")</f>
        <v>Teri Henerger</v>
      </c>
      <c r="E6616" t="s">
        <v>4144</v>
      </c>
      <c r="F6616" t="s">
        <v>2633</v>
      </c>
      <c r="G6616">
        <v>189</v>
      </c>
      <c r="H6616">
        <v>205.45</v>
      </c>
      <c r="I6616">
        <v>205.44</v>
      </c>
      <c r="J6616">
        <v>0.01</v>
      </c>
    </row>
    <row r="6617" spans="1:10" x14ac:dyDescent="0.3">
      <c r="A6617" t="str">
        <f>HYPERLINK("https://us2.cloudbeds.com/connect/10074733072513#/reservations/31673943474408?display=MH6HM3W2E&amp;reservation_id=31673943474408", "MH6HM3W2E")</f>
        <v>MH6HM3W2E</v>
      </c>
      <c r="B6617" t="s">
        <v>10</v>
      </c>
      <c r="C6617" t="s">
        <v>42</v>
      </c>
      <c r="D6617" t="str">
        <f>HYPERLINK("https://us2.cloudbeds.com/connect/10074733072513#/reservations/31673943474408?display=Julie%20Bultsma&amp;reservation_id=31673943474408&amp;guest_id=31673943474386", "Julie Bultsma")</f>
        <v>Julie Bultsma</v>
      </c>
      <c r="E6617" t="s">
        <v>4140</v>
      </c>
      <c r="F6617" t="s">
        <v>4141</v>
      </c>
      <c r="G6617">
        <v>318</v>
      </c>
      <c r="H6617">
        <v>345.68</v>
      </c>
      <c r="I6617">
        <v>345.67</v>
      </c>
      <c r="J6617">
        <v>0.01</v>
      </c>
    </row>
    <row r="6618" spans="1:10" x14ac:dyDescent="0.3">
      <c r="A6618" t="str">
        <f>HYPERLINK("https://us2.cloudbeds.com/connect/10074733072513#/reservations/31673933688966?display=MH6HDSMBT&amp;reservation_id=31673933688966", "MH6HDSMBT")</f>
        <v>MH6HDSMBT</v>
      </c>
      <c r="B6618" t="s">
        <v>10</v>
      </c>
      <c r="C6618" t="s">
        <v>42</v>
      </c>
      <c r="D6618" t="str">
        <f>HYPERLINK("https://us2.cloudbeds.com/connect/10074733072513#/reservations/31673933688966?display=Marcy%20Muilenburg&amp;reservation_id=31673933688966&amp;guest_id=31673933688964", "Marcy Muilenburg")</f>
        <v>Marcy Muilenburg</v>
      </c>
      <c r="E6618" t="s">
        <v>4145</v>
      </c>
      <c r="F6618" t="s">
        <v>4141</v>
      </c>
      <c r="G6618">
        <v>318</v>
      </c>
      <c r="H6618">
        <v>345.68</v>
      </c>
      <c r="I6618">
        <v>345.67</v>
      </c>
      <c r="J6618">
        <v>0.01</v>
      </c>
    </row>
    <row r="6619" spans="1:10" x14ac:dyDescent="0.3">
      <c r="A6619" t="str">
        <f>HYPERLINK("https://us2.cloudbeds.com/connect/10074733072513#/reservations/30683049242828?display=YQV90S9MP&amp;reservation_id=30683049242828", "YQV90S9MP")</f>
        <v>YQV90S9MP</v>
      </c>
      <c r="B6619" t="s">
        <v>10</v>
      </c>
      <c r="C6619" t="s">
        <v>42</v>
      </c>
      <c r="D6619" t="str">
        <f>HYPERLINK("https://us2.cloudbeds.com/connect/10074733072513#/reservations/30683049242828?display=Carol%20Mccurdy&amp;reservation_id=30683049242828&amp;guest_id=30683049238736", "Carol Mccurdy")</f>
        <v>Carol Mccurdy</v>
      </c>
      <c r="E6619" t="s">
        <v>4146</v>
      </c>
      <c r="F6619" t="s">
        <v>3332</v>
      </c>
      <c r="G6619">
        <v>109</v>
      </c>
      <c r="H6619">
        <v>118.49</v>
      </c>
      <c r="I6619">
        <v>118.48</v>
      </c>
      <c r="J6619">
        <v>0.01</v>
      </c>
    </row>
    <row r="6620" spans="1:10" x14ac:dyDescent="0.3">
      <c r="A6620" t="str">
        <f>HYPERLINK("https://us2.cloudbeds.com/connect/10074733072513#/reservations/30683934937224?display=YQVVYN1GT&amp;reservation_id=30683934937224", "YQVVYN1GT")</f>
        <v>YQVVYN1GT</v>
      </c>
      <c r="B6620" t="s">
        <v>10</v>
      </c>
      <c r="C6620" t="s">
        <v>23</v>
      </c>
      <c r="D6620" t="str">
        <f>HYPERLINK("https://us2.cloudbeds.com/connect/10074733072513#/reservations/30683934937224?display=Jason%20Vaughan&amp;reservation_id=30683934937224&amp;guest_id=30683931394187", "Jason Vaughan")</f>
        <v>Jason Vaughan</v>
      </c>
      <c r="E6620" t="s">
        <v>4147</v>
      </c>
      <c r="F6620" t="s">
        <v>2633</v>
      </c>
      <c r="G6620">
        <v>189</v>
      </c>
      <c r="H6620">
        <v>205.45</v>
      </c>
      <c r="I6620">
        <v>205.44</v>
      </c>
      <c r="J6620">
        <v>0.01</v>
      </c>
    </row>
    <row r="6621" spans="1:10" x14ac:dyDescent="0.3">
      <c r="A6621" t="str">
        <f>HYPERLINK("https://us2.cloudbeds.com/connect/10074733072513#/reservations/30683834290333?display=YQVT2RD43&amp;reservation_id=30683834290333", "YQVT2RD43")</f>
        <v>YQVT2RD43</v>
      </c>
      <c r="B6621" t="s">
        <v>10</v>
      </c>
      <c r="C6621" t="s">
        <v>42</v>
      </c>
      <c r="D6621" t="str">
        <f>HYPERLINK("https://us2.cloudbeds.com/connect/10074733072513#/reservations/30683834290333?display=Shannon%20Rossman&amp;reservation_id=30683834290333&amp;guest_id=30683834290328", "Shannon Rossman")</f>
        <v>Shannon Rossman</v>
      </c>
      <c r="E6621" t="s">
        <v>4148</v>
      </c>
      <c r="F6621" t="s">
        <v>3984</v>
      </c>
      <c r="G6621">
        <v>219</v>
      </c>
      <c r="H6621">
        <v>238.06</v>
      </c>
      <c r="I6621">
        <v>238.05</v>
      </c>
      <c r="J6621">
        <v>0.01</v>
      </c>
    </row>
    <row r="6622" spans="1:10" x14ac:dyDescent="0.3">
      <c r="A6622" t="str">
        <f>HYPERLINK("https://us2.cloudbeds.com/connect/10074733072513#/reservations/30682335727834?display=YQUNQ6MM9&amp;reservation_id=30682335727834", "YQUNQ6MM9")</f>
        <v>YQUNQ6MM9</v>
      </c>
      <c r="B6622" t="s">
        <v>10</v>
      </c>
      <c r="C6622" t="s">
        <v>42</v>
      </c>
      <c r="D6622" t="str">
        <f>HYPERLINK("https://us2.cloudbeds.com/connect/10074733072513#/reservations/30682335727834?display=Sarah%20Schultz&amp;reservation_id=30682335727834&amp;guest_id=30682335727831", "Sarah Schultz")</f>
        <v>Sarah Schultz</v>
      </c>
      <c r="E6622" t="s">
        <v>4149</v>
      </c>
      <c r="F6622" t="s">
        <v>2633</v>
      </c>
      <c r="G6622">
        <v>169</v>
      </c>
      <c r="H6622">
        <v>183.71</v>
      </c>
      <c r="I6622">
        <v>183.7</v>
      </c>
      <c r="J6622">
        <v>0.01</v>
      </c>
    </row>
    <row r="6623" spans="1:10" x14ac:dyDescent="0.3">
      <c r="A6623" t="str">
        <f>HYPERLINK("https://us2.cloudbeds.com/connect/10074733072513#/reservations/30682178379957?display=YQUJPH88Q&amp;reservation_id=30682178379957", "YQUJPH88Q")</f>
        <v>YQUJPH88Q</v>
      </c>
      <c r="B6623" t="s">
        <v>10</v>
      </c>
      <c r="C6623" t="s">
        <v>42</v>
      </c>
      <c r="D6623" t="str">
        <f>HYPERLINK("https://us2.cloudbeds.com/connect/10074733072513#/reservations/30682178379957?display=Kimberly%20Schmalzriedt&amp;reservation_id=30682178379957&amp;guest_id=30682178379955", "Kimberly Schmalzriedt")</f>
        <v>Kimberly Schmalzriedt</v>
      </c>
      <c r="E6623" t="s">
        <v>4150</v>
      </c>
      <c r="F6623" t="s">
        <v>3688</v>
      </c>
      <c r="G6623">
        <v>129</v>
      </c>
      <c r="H6623">
        <v>140.22999999999999</v>
      </c>
      <c r="I6623">
        <v>140.22</v>
      </c>
      <c r="J6623">
        <v>0.01</v>
      </c>
    </row>
    <row r="6624" spans="1:10" x14ac:dyDescent="0.3">
      <c r="A6624" t="str">
        <f>HYPERLINK("https://us2.cloudbeds.com/connect/10074733072513#/reservations/30683631001816?display=YQVNTDJY0&amp;reservation_id=30683631001816", "YQVNTDJY0")</f>
        <v>YQVNTDJY0</v>
      </c>
      <c r="B6624" t="s">
        <v>10</v>
      </c>
      <c r="C6624" t="s">
        <v>14</v>
      </c>
      <c r="D6624" t="str">
        <f>HYPERLINK("https://us2.cloudbeds.com/connect/10074733072513#/reservations/30683631001816?display=Christa%20Haberkorn&amp;reservation_id=30683631001816&amp;guest_id=30683630997748", "Christa Haberkorn")</f>
        <v>Christa Haberkorn</v>
      </c>
      <c r="E6624" t="s">
        <v>4151</v>
      </c>
      <c r="F6624" t="s">
        <v>3814</v>
      </c>
      <c r="G6624">
        <v>80.38</v>
      </c>
      <c r="H6624">
        <v>87.38</v>
      </c>
      <c r="I6624">
        <v>87.37</v>
      </c>
      <c r="J6624">
        <v>0.01</v>
      </c>
    </row>
    <row r="6625" spans="1:10" x14ac:dyDescent="0.3">
      <c r="A6625" t="str">
        <f>HYPERLINK("https://us2.cloudbeds.com/connect/10074733072513#/reservations/30683618910428?display=YQVNJ74EA&amp;reservation_id=30683618910428", "YQVNJ74EA")</f>
        <v>YQVNJ74EA</v>
      </c>
      <c r="B6625" t="s">
        <v>10</v>
      </c>
      <c r="C6625" t="s">
        <v>14</v>
      </c>
      <c r="D6625" t="str">
        <f>HYPERLINK("https://us2.cloudbeds.com/connect/10074733072513#/reservations/30683618910428?display=Julie%20Strain&amp;reservation_id=30683618910428&amp;guest_id=30683618910414", "Julie Strain")</f>
        <v>Julie Strain</v>
      </c>
      <c r="E6625" t="s">
        <v>4152</v>
      </c>
      <c r="F6625" t="s">
        <v>3814</v>
      </c>
      <c r="G6625">
        <v>80.38</v>
      </c>
      <c r="H6625">
        <v>87.38</v>
      </c>
      <c r="I6625">
        <v>87.37</v>
      </c>
      <c r="J6625">
        <v>0.01</v>
      </c>
    </row>
    <row r="6626" spans="1:10" x14ac:dyDescent="0.3">
      <c r="A6626" t="str">
        <f>HYPERLINK("https://us2.cloudbeds.com/connect/10074733072513#/reservations/30682422497413?display=YQUQ0C5TF&amp;reservation_id=30682422497413", "YQUQ0C5TF")</f>
        <v>YQUQ0C5TF</v>
      </c>
      <c r="B6626" t="s">
        <v>10</v>
      </c>
      <c r="C6626" t="s">
        <v>23</v>
      </c>
      <c r="D6626" t="str">
        <f>HYPERLINK("https://us2.cloudbeds.com/connect/10074733072513#/reservations/30682422497413?display=Josh%20Few&amp;reservation_id=30682422497413&amp;guest_id=30682422493325", "Josh Few")</f>
        <v>Josh Few</v>
      </c>
      <c r="E6626" t="s">
        <v>4154</v>
      </c>
      <c r="F6626" t="s">
        <v>4155</v>
      </c>
      <c r="G6626">
        <v>169</v>
      </c>
      <c r="H6626">
        <v>183.71</v>
      </c>
      <c r="I6626">
        <v>183.7</v>
      </c>
      <c r="J6626">
        <v>0.01</v>
      </c>
    </row>
    <row r="6627" spans="1:10" x14ac:dyDescent="0.3">
      <c r="A6627" t="str">
        <f>HYPERLINK("https://us2.cloudbeds.com/connect/10074733072513#/reservations/30683304190200?display=YQVFHRJ4N&amp;reservation_id=30683304190200", "YQVFHRJ4N")</f>
        <v>YQVFHRJ4N</v>
      </c>
      <c r="B6627" t="s">
        <v>10</v>
      </c>
      <c r="C6627" t="s">
        <v>11</v>
      </c>
      <c r="D6627" t="str">
        <f>HYPERLINK("https://us2.cloudbeds.com/connect/10074733072513#/reservations/30683304190200?display=Sean%20Spencer&amp;reservation_id=30683304190200&amp;guest_id=30683304190196", "Sean Spencer")</f>
        <v>Sean Spencer</v>
      </c>
      <c r="E6627" t="s">
        <v>4156</v>
      </c>
      <c r="F6627" t="s">
        <v>3969</v>
      </c>
      <c r="G6627">
        <v>80.38</v>
      </c>
      <c r="H6627">
        <v>87.38</v>
      </c>
      <c r="I6627">
        <v>87.37</v>
      </c>
      <c r="J6627">
        <v>0.01</v>
      </c>
    </row>
    <row r="6628" spans="1:10" x14ac:dyDescent="0.3">
      <c r="A6628" t="str">
        <f>HYPERLINK("https://us2.cloudbeds.com/connect/10074733072513#/reservations/30683278516367?display=YQVET65HP&amp;reservation_id=30683278516367", "YQVET65HP")</f>
        <v>YQVET65HP</v>
      </c>
      <c r="B6628" t="s">
        <v>10</v>
      </c>
      <c r="C6628" t="s">
        <v>42</v>
      </c>
      <c r="D6628" t="str">
        <f>HYPERLINK("https://us2.cloudbeds.com/connect/10074733072513#/reservations/30683278516367?display=Scott%20Howerter&amp;reservation_id=30683278516367&amp;guest_id=30683278516362", "Scott Howerter")</f>
        <v>Scott Howerter</v>
      </c>
      <c r="E6628" t="s">
        <v>3419</v>
      </c>
      <c r="F6628" t="s">
        <v>3969</v>
      </c>
      <c r="G6628">
        <v>119</v>
      </c>
      <c r="H6628">
        <v>129.36000000000001</v>
      </c>
      <c r="I6628">
        <v>129.35</v>
      </c>
      <c r="J6628">
        <v>0.01</v>
      </c>
    </row>
    <row r="6629" spans="1:10" x14ac:dyDescent="0.3">
      <c r="A6629" t="str">
        <f>HYPERLINK("https://us2.cloudbeds.com/connect/10074733072513#/reservations/30684543508692?display=YQWE6SEYH&amp;reservation_id=30684543508692", "YQWE6SEYH")</f>
        <v>YQWE6SEYH</v>
      </c>
      <c r="B6629" t="s">
        <v>10</v>
      </c>
      <c r="C6629" t="s">
        <v>42</v>
      </c>
      <c r="D6629" t="str">
        <f>HYPERLINK("https://us2.cloudbeds.com/connect/10074733072513#/reservations/30684543508692?display=Jeff%20Surprison&amp;reservation_id=30684543508692&amp;guest_id=30682250481830", "Jeff Surprison")</f>
        <v>Jeff Surprison</v>
      </c>
      <c r="E6629" t="s">
        <v>4157</v>
      </c>
      <c r="F6629" t="s">
        <v>3715</v>
      </c>
      <c r="G6629">
        <v>238</v>
      </c>
      <c r="H6629">
        <v>258.72000000000003</v>
      </c>
      <c r="I6629">
        <v>258.70999999999998</v>
      </c>
      <c r="J6629">
        <v>0.01</v>
      </c>
    </row>
    <row r="6630" spans="1:10" x14ac:dyDescent="0.3">
      <c r="A6630" t="str">
        <f>HYPERLINK("https://us2.cloudbeds.com/connect/10074733072513#/reservations/30683246612661?display=YQVE29D6Q&amp;reservation_id=30683246612661", "YQVE29D6Q")</f>
        <v>YQVE29D6Q</v>
      </c>
      <c r="B6630" t="s">
        <v>10</v>
      </c>
      <c r="C6630" t="s">
        <v>20</v>
      </c>
      <c r="D6630" t="str">
        <f>HYPERLINK("https://us2.cloudbeds.com/connect/10074733072513#/reservations/30683246612661?display=Marina%20Atamanyuk&amp;reservation_id=30683246612661&amp;guest_id=30683246612609", "Marina Atamanyuk")</f>
        <v>Marina Atamanyuk</v>
      </c>
      <c r="E6630" t="s">
        <v>4158</v>
      </c>
      <c r="F6630" t="s">
        <v>2788</v>
      </c>
      <c r="G6630">
        <v>829.51</v>
      </c>
      <c r="H6630">
        <v>901.69</v>
      </c>
      <c r="I6630">
        <v>901.68</v>
      </c>
      <c r="J6630">
        <v>0.01</v>
      </c>
    </row>
    <row r="6631" spans="1:10" x14ac:dyDescent="0.3">
      <c r="A6631" t="str">
        <f>HYPERLINK("https://us2.cloudbeds.com/connect/10074733072513#/reservations/31671888081136?display=MH4V4VKJR&amp;reservation_id=31671888081136", "MH4V4VKJR")</f>
        <v>MH4V4VKJR</v>
      </c>
      <c r="B6631" t="s">
        <v>10</v>
      </c>
      <c r="C6631" t="s">
        <v>14</v>
      </c>
      <c r="D6631" t="str">
        <f>HYPERLINK("https://us2.cloudbeds.com/connect/10074733072513#/reservations/31671888081136?display=Teri%20Shaw&amp;reservation_id=31671888081136&amp;guest_id=31671888081133", "Teri Shaw")</f>
        <v>Teri Shaw</v>
      </c>
      <c r="E6631" t="s">
        <v>4159</v>
      </c>
      <c r="F6631" t="s">
        <v>4160</v>
      </c>
      <c r="G6631">
        <v>269.83999999999997</v>
      </c>
      <c r="H6631">
        <v>293.33</v>
      </c>
      <c r="I6631">
        <v>293.32</v>
      </c>
      <c r="J6631">
        <v>0.01</v>
      </c>
    </row>
    <row r="6632" spans="1:10" x14ac:dyDescent="0.3">
      <c r="A6632" t="str">
        <f>HYPERLINK("https://us2.cloudbeds.com/connect/10074733072513#/reservations/30681521373437?display=YQU2WH2GA&amp;reservation_id=30681521373437", "YQU2WH2GA")</f>
        <v>YQU2WH2GA</v>
      </c>
      <c r="B6632" t="s">
        <v>10</v>
      </c>
      <c r="C6632" t="s">
        <v>17</v>
      </c>
      <c r="D6632" t="str">
        <f>HYPERLINK("https://us2.cloudbeds.com/connect/10074733072513#/reservations/30681521373437?display=Michael%20Hauger&amp;reservation_id=30681521373437&amp;guest_id=30681521373431", "Michael Hauger")</f>
        <v>Michael Hauger</v>
      </c>
      <c r="E6632" t="s">
        <v>4161</v>
      </c>
      <c r="F6632" t="s">
        <v>4013</v>
      </c>
      <c r="G6632">
        <v>119</v>
      </c>
      <c r="H6632">
        <v>129.36000000000001</v>
      </c>
      <c r="I6632">
        <v>129.35</v>
      </c>
      <c r="J6632">
        <v>0.01</v>
      </c>
    </row>
    <row r="6633" spans="1:10" x14ac:dyDescent="0.3">
      <c r="A6633" t="str">
        <f>HYPERLINK("https://us2.cloudbeds.com/connect/10074733072513#/reservations/30682754683091?display=YQV1GFZ84&amp;reservation_id=30682754683091", "YQV1GFZ84")</f>
        <v>YQV1GFZ84</v>
      </c>
      <c r="B6633" t="s">
        <v>10</v>
      </c>
      <c r="C6633" t="s">
        <v>11</v>
      </c>
      <c r="D6633" t="str">
        <f>HYPERLINK("https://us2.cloudbeds.com/connect/10074733072513#/reservations/30682754683091?display=Roxi%20Loyd&amp;reservation_id=30682754683091&amp;guest_id=30682754683086", "Roxi Loyd")</f>
        <v>Roxi Loyd</v>
      </c>
      <c r="E6633" t="s">
        <v>4162</v>
      </c>
      <c r="F6633" t="s">
        <v>3744</v>
      </c>
      <c r="G6633">
        <v>80.38</v>
      </c>
      <c r="H6633">
        <v>87.38</v>
      </c>
      <c r="I6633">
        <v>87.37</v>
      </c>
      <c r="J6633">
        <v>0.01</v>
      </c>
    </row>
    <row r="6634" spans="1:10" x14ac:dyDescent="0.3">
      <c r="A6634" t="str">
        <f>HYPERLINK("https://us2.cloudbeds.com/connect/10074733072513#/reservations/31677438435530?display=MH97W5DP7&amp;reservation_id=31677438435530", "MH97W5DP7")</f>
        <v>MH97W5DP7</v>
      </c>
      <c r="B6634" t="s">
        <v>10</v>
      </c>
      <c r="C6634" t="s">
        <v>42</v>
      </c>
      <c r="D6634" t="str">
        <f>HYPERLINK("https://us2.cloudbeds.com/connect/10074733072513#/reservations/31677438435530?display=Lorang-Vockrocp%20.&amp;reservation_id=31677438435530&amp;guest_id=31677438431439", "Lorang-Vockrocp .")</f>
        <v>Lorang-Vockrocp .</v>
      </c>
      <c r="E6634" t="s">
        <v>4163</v>
      </c>
      <c r="F6634" t="s">
        <v>4164</v>
      </c>
      <c r="G6634">
        <v>179</v>
      </c>
      <c r="H6634">
        <v>194.58</v>
      </c>
      <c r="I6634">
        <v>194.57</v>
      </c>
      <c r="J6634">
        <v>0.01</v>
      </c>
    </row>
    <row r="6635" spans="1:10" x14ac:dyDescent="0.3">
      <c r="A6635" t="str">
        <f>HYPERLINK("https://us2.cloudbeds.com/connect/10074733072513#/reservations/30682299240690?display=YQUMSECG8&amp;reservation_id=30682299240690", "YQUMSECG8")</f>
        <v>YQUMSECG8</v>
      </c>
      <c r="B6635" t="s">
        <v>10</v>
      </c>
      <c r="C6635" t="s">
        <v>20</v>
      </c>
      <c r="D6635" t="str">
        <f>HYPERLINK("https://us2.cloudbeds.com/connect/10074733072513#/reservations/30682299240690?display=Joseph%20Donnell&amp;reservation_id=30682299240690&amp;guest_id=30682285293783", "Joseph Donnell")</f>
        <v>Joseph Donnell</v>
      </c>
      <c r="E6635" t="s">
        <v>4165</v>
      </c>
      <c r="F6635" t="s">
        <v>3814</v>
      </c>
      <c r="G6635">
        <v>101.75</v>
      </c>
      <c r="H6635">
        <v>110.61</v>
      </c>
      <c r="I6635">
        <v>110.6</v>
      </c>
      <c r="J6635">
        <v>0.01</v>
      </c>
    </row>
    <row r="6636" spans="1:10" x14ac:dyDescent="0.3">
      <c r="A6636" t="str">
        <f>HYPERLINK("https://us2.cloudbeds.com/connect/10074733072513#/reservations/30682233893074?display=YQUY6AWGF&amp;reservation_id=30682233893074", "YQUY6AWGF")</f>
        <v>YQUY6AWGF</v>
      </c>
      <c r="B6636" t="s">
        <v>10</v>
      </c>
      <c r="C6636" t="s">
        <v>42</v>
      </c>
      <c r="D6636" t="str">
        <f>HYPERLINK("https://us2.cloudbeds.com/connect/10074733072513#/reservations/30682233893074?display=Danny%20Ayers&amp;reservation_id=30682233893074&amp;guest_id=30682233893062", "Danny Ayers")</f>
        <v>Danny Ayers</v>
      </c>
      <c r="E6636" t="s">
        <v>4167</v>
      </c>
      <c r="F6636" t="s">
        <v>4137</v>
      </c>
      <c r="G6636">
        <v>119</v>
      </c>
      <c r="H6636">
        <v>129.36000000000001</v>
      </c>
      <c r="I6636">
        <v>129.35</v>
      </c>
      <c r="J6636">
        <v>0.01</v>
      </c>
    </row>
    <row r="6637" spans="1:10" x14ac:dyDescent="0.3">
      <c r="A6637" t="str">
        <f>HYPERLINK("https://us2.cloudbeds.com/connect/10074733072513#/reservations/30684175679727?display=YQW4QN208&amp;reservation_id=30684175679727", "YQW4QN208")</f>
        <v>YQW4QN208</v>
      </c>
      <c r="B6637" t="s">
        <v>10</v>
      </c>
      <c r="C6637" t="s">
        <v>11</v>
      </c>
      <c r="D6637" t="str">
        <f>HYPERLINK("https://us2.cloudbeds.com/connect/10074733072513#/reservations/30684175679727?display=Roxi%20Loyd&amp;reservation_id=30684175679727&amp;guest_id=30682754683086", "Roxi Loyd")</f>
        <v>Roxi Loyd</v>
      </c>
      <c r="E6637" t="s">
        <v>4162</v>
      </c>
      <c r="F6637" t="s">
        <v>4137</v>
      </c>
      <c r="G6637">
        <v>80.38</v>
      </c>
      <c r="H6637">
        <v>87.38</v>
      </c>
      <c r="I6637">
        <v>87.37</v>
      </c>
      <c r="J6637">
        <v>0.01</v>
      </c>
    </row>
    <row r="6638" spans="1:10" x14ac:dyDescent="0.3">
      <c r="A6638" t="str">
        <f>HYPERLINK("https://us2.cloudbeds.com/connect/10074733072513#/reservations/30683386216604?display=YQVHY02RA&amp;reservation_id=30683386216604", "YQVHY02RA")</f>
        <v>YQVHY02RA</v>
      </c>
      <c r="B6638" t="s">
        <v>10</v>
      </c>
      <c r="C6638" t="s">
        <v>20</v>
      </c>
      <c r="D6638" t="str">
        <f>HYPERLINK("https://us2.cloudbeds.com/connect/10074733072513#/reservations/30683386216604?display=Brian%20Henn&amp;reservation_id=30683386216604&amp;guest_id=30683386216586", "Brian Henn")</f>
        <v>Brian Henn</v>
      </c>
      <c r="E6638" t="s">
        <v>4169</v>
      </c>
      <c r="F6638" t="s">
        <v>4170</v>
      </c>
      <c r="G6638">
        <v>226.1</v>
      </c>
      <c r="H6638">
        <v>245.78</v>
      </c>
      <c r="I6638">
        <v>245.77</v>
      </c>
      <c r="J6638">
        <v>0.01</v>
      </c>
    </row>
    <row r="6639" spans="1:10" x14ac:dyDescent="0.3">
      <c r="A6639" t="str">
        <f>HYPERLINK("https://us2.cloudbeds.com/connect/10074733072513#/reservations/30683515224271?display=YQVKUPU5X&amp;reservation_id=30683515224271", "YQVKUPU5X")</f>
        <v>YQVKUPU5X</v>
      </c>
      <c r="B6639" t="s">
        <v>10</v>
      </c>
      <c r="C6639" t="s">
        <v>42</v>
      </c>
      <c r="D6639" t="str">
        <f>HYPERLINK("https://us2.cloudbeds.com/connect/10074733072513#/reservations/30683515224271?display=Rob%20Mcdonald&amp;reservation_id=30683515224271&amp;guest_id=30683515224269", "Rob Mcdonald")</f>
        <v>Rob Mcdonald</v>
      </c>
      <c r="E6639" t="s">
        <v>4171</v>
      </c>
      <c r="F6639" t="s">
        <v>3557</v>
      </c>
      <c r="G6639">
        <v>222</v>
      </c>
      <c r="H6639">
        <v>241.32</v>
      </c>
      <c r="I6639">
        <v>241.31</v>
      </c>
      <c r="J6639">
        <v>0.01</v>
      </c>
    </row>
    <row r="6640" spans="1:10" x14ac:dyDescent="0.3">
      <c r="A6640" t="str">
        <f>HYPERLINK("https://us2.cloudbeds.com/connect/10074733072513#/reservations/30682642149507?display=YQUVKJAKH&amp;reservation_id=30682642149507", "YQUVKJAKH")</f>
        <v>YQUVKJAKH</v>
      </c>
      <c r="B6640" t="s">
        <v>10</v>
      </c>
      <c r="C6640" t="s">
        <v>42</v>
      </c>
      <c r="D6640" t="str">
        <f>HYPERLINK("https://us2.cloudbeds.com/connect/10074733072513#/reservations/30682642149507?display=Jaque%20Rieffer&amp;reservation_id=30682642149507&amp;guest_id=30682642145471", "Jaque Rieffer")</f>
        <v>Jaque Rieffer</v>
      </c>
      <c r="E6640" t="s">
        <v>4172</v>
      </c>
      <c r="F6640" t="s">
        <v>3171</v>
      </c>
      <c r="G6640">
        <v>278</v>
      </c>
      <c r="H6640">
        <v>302.2</v>
      </c>
      <c r="I6640">
        <v>302.19</v>
      </c>
      <c r="J6640">
        <v>0.01</v>
      </c>
    </row>
    <row r="6641" spans="1:10" x14ac:dyDescent="0.3">
      <c r="A6641" t="str">
        <f>HYPERLINK("https://us2.cloudbeds.com/connect/10074733072513#/reservations/30683515228375?display=YQVKUQ0UU&amp;reservation_id=30683515228375", "YQVKUQ0UU")</f>
        <v>YQVKUQ0UU</v>
      </c>
      <c r="B6641" t="s">
        <v>10</v>
      </c>
      <c r="C6641" t="s">
        <v>42</v>
      </c>
      <c r="D6641" t="str">
        <f>HYPERLINK("https://us2.cloudbeds.com/connect/10074733072513#/reservations/30683515228375?display=Jeremy%20Landon&amp;reservation_id=30683515228375&amp;guest_id=30673434218633", "Jeremy Landon")</f>
        <v>Jeremy Landon</v>
      </c>
      <c r="E6641" t="s">
        <v>4171</v>
      </c>
      <c r="F6641" t="s">
        <v>3557</v>
      </c>
      <c r="G6641">
        <v>222</v>
      </c>
      <c r="H6641">
        <v>241.32</v>
      </c>
      <c r="I6641">
        <v>241.31</v>
      </c>
      <c r="J6641">
        <v>0.01</v>
      </c>
    </row>
    <row r="6642" spans="1:10" x14ac:dyDescent="0.3">
      <c r="A6642" t="str">
        <f>HYPERLINK("https://us2.cloudbeds.com/connect/10074733072513#/reservations/30683556159706?display=YQVYWA039&amp;reservation_id=30683556159706", "YQVYWA039")</f>
        <v>YQVYWA039</v>
      </c>
      <c r="B6642" t="s">
        <v>10</v>
      </c>
      <c r="C6642" t="s">
        <v>11</v>
      </c>
      <c r="D6642" t="str">
        <f>HYPERLINK("https://us2.cloudbeds.com/connect/10074733072513#/reservations/30683556159706?display=Elijah%20Redfield&amp;reservation_id=30683556159706&amp;guest_id=30683556155646", "Elijah Redfield")</f>
        <v>Elijah Redfield</v>
      </c>
      <c r="E6642" t="s">
        <v>1319</v>
      </c>
      <c r="F6642" t="s">
        <v>3969</v>
      </c>
      <c r="G6642">
        <v>87.84</v>
      </c>
      <c r="H6642">
        <v>95.49</v>
      </c>
      <c r="I6642">
        <v>95.48</v>
      </c>
      <c r="J6642">
        <v>0.01</v>
      </c>
    </row>
    <row r="6643" spans="1:10" x14ac:dyDescent="0.3">
      <c r="A6643" t="str">
        <f>HYPERLINK("https://us2.cloudbeds.com/connect/10074733072513#/reservations/30683556155600?display=YQVYW9TAS&amp;reservation_id=30683556155600", "YQVYW9TAS")</f>
        <v>YQVYW9TAS</v>
      </c>
      <c r="B6643" t="s">
        <v>10</v>
      </c>
      <c r="C6643" t="s">
        <v>14</v>
      </c>
      <c r="D6643" t="str">
        <f>HYPERLINK("https://us2.cloudbeds.com/connect/10074733072513#/reservations/30683556155600?display=Paulette%20Mcdowell&amp;reservation_id=30683556155600&amp;guest_id=30683556155598", "Paulette Mcdowell")</f>
        <v>Paulette Mcdowell</v>
      </c>
      <c r="E6643" t="s">
        <v>4173</v>
      </c>
      <c r="F6643" t="s">
        <v>4174</v>
      </c>
      <c r="G6643">
        <v>620.63</v>
      </c>
      <c r="H6643">
        <v>674.63</v>
      </c>
      <c r="I6643">
        <v>674.62</v>
      </c>
      <c r="J6643">
        <v>0.01</v>
      </c>
    </row>
    <row r="6644" spans="1:10" x14ac:dyDescent="0.3">
      <c r="A6644" t="str">
        <f>HYPERLINK("https://us2.cloudbeds.com/connect/10074733072513#/reservations/30683338342641?display=YQVGDKUE5&amp;reservation_id=30683338342641", "YQVGDKUE5")</f>
        <v>YQVGDKUE5</v>
      </c>
      <c r="B6644" t="s">
        <v>10</v>
      </c>
      <c r="C6644" t="s">
        <v>42</v>
      </c>
      <c r="D6644" t="str">
        <f>HYPERLINK("https://us2.cloudbeds.com/connect/10074733072513#/reservations/30683338342641?display=Jeff%20Surprison&amp;reservation_id=30683338342641&amp;guest_id=30683338342638", "Jeff Surprison")</f>
        <v>Jeff Surprison</v>
      </c>
      <c r="E6644" t="s">
        <v>4175</v>
      </c>
      <c r="F6644" t="s">
        <v>4170</v>
      </c>
      <c r="G6644">
        <v>218</v>
      </c>
      <c r="H6644">
        <v>236.98</v>
      </c>
      <c r="I6644">
        <v>236.97</v>
      </c>
      <c r="J6644">
        <v>0.01</v>
      </c>
    </row>
    <row r="6645" spans="1:10" x14ac:dyDescent="0.3">
      <c r="A6645" t="str">
        <f>HYPERLINK("https://us2.cloudbeds.com/connect/10074733072513#/reservations/30683461730505?display=YQVJXMC8B&amp;reservation_id=30683461730505", "YQVJXMC8B")</f>
        <v>YQVJXMC8B</v>
      </c>
      <c r="B6645" t="s">
        <v>10</v>
      </c>
      <c r="C6645" t="s">
        <v>42</v>
      </c>
      <c r="D6645" t="str">
        <f>HYPERLINK("https://us2.cloudbeds.com/connect/10074733072513#/reservations/30683461730505?display=Jeffrey%20Potts&amp;reservation_id=30683461730505&amp;guest_id=30663715266764", "Jeffrey Potts")</f>
        <v>Jeffrey Potts</v>
      </c>
      <c r="E6645" t="s">
        <v>3400</v>
      </c>
      <c r="F6645" t="s">
        <v>3981</v>
      </c>
      <c r="G6645">
        <v>444</v>
      </c>
      <c r="H6645">
        <v>482.64</v>
      </c>
      <c r="I6645">
        <v>482.63</v>
      </c>
      <c r="J6645">
        <v>0.01</v>
      </c>
    </row>
    <row r="6646" spans="1:10" x14ac:dyDescent="0.3">
      <c r="A6646" t="str">
        <f>HYPERLINK("https://us2.cloudbeds.com/connect/10074733072513#/reservations/30682219126946?display=YQUKQT351&amp;reservation_id=30682219126946", "YQUKQT351")</f>
        <v>YQUKQT351</v>
      </c>
      <c r="B6646" t="s">
        <v>10</v>
      </c>
      <c r="C6646" t="s">
        <v>42</v>
      </c>
      <c r="D6646" t="str">
        <f>HYPERLINK("https://us2.cloudbeds.com/connect/10074733072513#/reservations/30682219126946?display=Heba%20Fawzi%20Saleh&amp;reservation_id=30682219126946&amp;guest_id=30682219126941", "Heba Fawzi Saleh")</f>
        <v>Heba Fawzi Saleh</v>
      </c>
      <c r="E6646" t="s">
        <v>4177</v>
      </c>
      <c r="F6646" t="s">
        <v>4137</v>
      </c>
      <c r="G6646">
        <v>129</v>
      </c>
      <c r="H6646">
        <v>140.22999999999999</v>
      </c>
      <c r="I6646">
        <v>140.22</v>
      </c>
      <c r="J6646">
        <v>0.01</v>
      </c>
    </row>
    <row r="6647" spans="1:10" x14ac:dyDescent="0.3">
      <c r="A6647" t="str">
        <f>HYPERLINK("https://us2.cloudbeds.com/connect/10074733072513#/reservations/30683557245058?display=YQVM076ZZ&amp;reservation_id=30683557245058", "YQVM076ZZ")</f>
        <v>YQVM076ZZ</v>
      </c>
      <c r="B6647" t="s">
        <v>10</v>
      </c>
      <c r="C6647" t="s">
        <v>42</v>
      </c>
      <c r="D6647" t="str">
        <f>HYPERLINK("https://us2.cloudbeds.com/connect/10074733072513#/reservations/30683557245058?display=Charlie%20Stachura&amp;reservation_id=30683557245058&amp;guest_id=30683557240995", "Charlie Stachura")</f>
        <v>Charlie Stachura</v>
      </c>
      <c r="E6647" t="s">
        <v>4178</v>
      </c>
      <c r="F6647" t="s">
        <v>3557</v>
      </c>
      <c r="G6647">
        <v>158</v>
      </c>
      <c r="H6647">
        <v>171.76</v>
      </c>
      <c r="I6647">
        <v>171.75</v>
      </c>
      <c r="J6647">
        <v>0.01</v>
      </c>
    </row>
    <row r="6648" spans="1:10" x14ac:dyDescent="0.3">
      <c r="A6648" t="str">
        <f>HYPERLINK("https://us2.cloudbeds.com/connect/10074733072513#/reservations/30684115062931?display=YQW38JA6Y&amp;reservation_id=30684115062931", "YQW38JA6Y")</f>
        <v>YQW38JA6Y</v>
      </c>
      <c r="B6648" t="s">
        <v>10</v>
      </c>
      <c r="C6648" t="s">
        <v>42</v>
      </c>
      <c r="D6648" t="str">
        <f>HYPERLINK("https://us2.cloudbeds.com/connect/10074733072513#/reservations/30684115062931?display=Crystal%20Harrison&amp;reservation_id=30684115062931&amp;guest_id=30684108001507", "Crystal Harrison")</f>
        <v>Crystal Harrison</v>
      </c>
      <c r="E6648" t="s">
        <v>2791</v>
      </c>
      <c r="F6648" t="s">
        <v>4179</v>
      </c>
      <c r="G6648">
        <v>336</v>
      </c>
      <c r="H6648">
        <v>365.24</v>
      </c>
      <c r="I6648">
        <v>365.23</v>
      </c>
      <c r="J6648">
        <v>0.01</v>
      </c>
    </row>
    <row r="6649" spans="1:10" x14ac:dyDescent="0.3">
      <c r="A6649" t="str">
        <f>HYPERLINK("https://us2.cloudbeds.com/connect/10074733072513#/reservations/31685727002758?display=MHFYPA0K3&amp;reservation_id=31685727002758", "MHFYPA0K3")</f>
        <v>MHFYPA0K3</v>
      </c>
      <c r="B6649" t="s">
        <v>10</v>
      </c>
      <c r="C6649" t="s">
        <v>23</v>
      </c>
      <c r="D6649" t="str">
        <f>HYPERLINK("https://us2.cloudbeds.com/connect/10074733072513#/reservations/31685727002758?display=Kaitlyn%20Rolschau&amp;reservation_id=31685727002758&amp;guest_id=31685727002753", "Kaitlyn Rolschau")</f>
        <v>Kaitlyn Rolschau</v>
      </c>
      <c r="E6649" t="s">
        <v>4180</v>
      </c>
      <c r="F6649" t="s">
        <v>4181</v>
      </c>
      <c r="G6649">
        <v>169</v>
      </c>
      <c r="H6649">
        <v>183.71</v>
      </c>
      <c r="I6649">
        <v>183.7</v>
      </c>
      <c r="J6649">
        <v>0.01</v>
      </c>
    </row>
    <row r="6650" spans="1:10" x14ac:dyDescent="0.3">
      <c r="A6650" t="str">
        <f>HYPERLINK("https://us2.cloudbeds.com/connect/10074733072513#/reservations/30681976271049?display=YQUEK38WE&amp;reservation_id=30681976271049", "YQUEK38WE")</f>
        <v>YQUEK38WE</v>
      </c>
      <c r="B6650" t="s">
        <v>10</v>
      </c>
      <c r="C6650" t="s">
        <v>42</v>
      </c>
      <c r="D6650" t="str">
        <f>HYPERLINK("https://us2.cloudbeds.com/connect/10074733072513#/reservations/30681976271049?display=Stacie%20Kisor&amp;reservation_id=30681976271049&amp;guest_id=30681976271044", "Stacie Kisor")</f>
        <v>Stacie Kisor</v>
      </c>
      <c r="E6650" t="s">
        <v>4182</v>
      </c>
      <c r="F6650" t="s">
        <v>3757</v>
      </c>
      <c r="G6650">
        <v>139</v>
      </c>
      <c r="H6650">
        <v>151.1</v>
      </c>
      <c r="I6650">
        <v>151.09</v>
      </c>
      <c r="J6650">
        <v>0.01</v>
      </c>
    </row>
    <row r="6651" spans="1:10" x14ac:dyDescent="0.3">
      <c r="A6651" t="str">
        <f>HYPERLINK("https://us2.cloudbeds.com/connect/10074733072513#/reservations/30682348884114?display=YQUZ49PZE&amp;reservation_id=30682348884114", "YQUZ49PZE")</f>
        <v>YQUZ49PZE</v>
      </c>
      <c r="B6651" t="s">
        <v>10</v>
      </c>
      <c r="C6651" t="s">
        <v>42</v>
      </c>
      <c r="D6651" t="str">
        <f>HYPERLINK("https://us2.cloudbeds.com/connect/10074733072513#/reservations/30682348884114?display=Melanie%20Ceroll&amp;reservation_id=30682348884114&amp;guest_id=30682348884110", "Melanie Ceroll")</f>
        <v>Melanie Ceroll</v>
      </c>
      <c r="E6651" t="s">
        <v>4183</v>
      </c>
      <c r="F6651" t="s">
        <v>4013</v>
      </c>
      <c r="G6651">
        <v>129</v>
      </c>
      <c r="H6651">
        <v>140.22999999999999</v>
      </c>
      <c r="I6651">
        <v>140.22</v>
      </c>
      <c r="J6651">
        <v>0.01</v>
      </c>
    </row>
    <row r="6652" spans="1:10" x14ac:dyDescent="0.3">
      <c r="A6652" t="str">
        <f>HYPERLINK("https://us2.cloudbeds.com/connect/10074733072513#/reservations/30683646398596?display=YQVZ9D133&amp;reservation_id=30683646398596", "YQVZ9D133")</f>
        <v>YQVZ9D133</v>
      </c>
      <c r="B6652" t="s">
        <v>10</v>
      </c>
      <c r="C6652" t="s">
        <v>14</v>
      </c>
      <c r="D6652" t="str">
        <f>HYPERLINK("https://us2.cloudbeds.com/connect/10074733072513#/reservations/30683646398596?display=Jennifer%20Dean&amp;reservation_id=30683646398596&amp;guest_id=30683646394500", "Jennifer Dean")</f>
        <v>Jennifer Dean</v>
      </c>
      <c r="E6652" t="s">
        <v>4184</v>
      </c>
      <c r="F6652" t="s">
        <v>3557</v>
      </c>
      <c r="G6652">
        <v>127.27</v>
      </c>
      <c r="H6652">
        <v>138.35</v>
      </c>
      <c r="I6652">
        <v>138.34</v>
      </c>
      <c r="J6652">
        <v>0.01</v>
      </c>
    </row>
    <row r="6653" spans="1:10" x14ac:dyDescent="0.3">
      <c r="A6653" t="str">
        <f>HYPERLINK("https://us2.cloudbeds.com/connect/10074733072513#/reservations/30683451277457?display=YQVJ9SGGA&amp;reservation_id=30683451277457", "YQVJ9SGGA")</f>
        <v>YQVJ9SGGA</v>
      </c>
      <c r="B6653" t="s">
        <v>10</v>
      </c>
      <c r="C6653" t="s">
        <v>42</v>
      </c>
      <c r="D6653" t="str">
        <f>HYPERLINK("https://us2.cloudbeds.com/connect/10074733072513#/reservations/30683451277457?display=Steve%20Dove&amp;reservation_id=30683451277457&amp;guest_id=30683444539604", "Steve Dove")</f>
        <v>Steve Dove</v>
      </c>
      <c r="E6653" t="s">
        <v>4185</v>
      </c>
      <c r="F6653" t="s">
        <v>3981</v>
      </c>
      <c r="G6653">
        <v>230</v>
      </c>
      <c r="H6653">
        <v>250.02</v>
      </c>
      <c r="I6653">
        <v>250.01</v>
      </c>
      <c r="J6653">
        <v>0.01</v>
      </c>
    </row>
    <row r="6654" spans="1:10" x14ac:dyDescent="0.3">
      <c r="A6654" t="str">
        <f>HYPERLINK("https://us2.cloudbeds.com/connect/10074733072513#/reservations/30684120715485?display=YQW3DBJQ5&amp;reservation_id=30684120715485", "YQW3DBJQ5")</f>
        <v>YQW3DBJQ5</v>
      </c>
      <c r="B6654" t="s">
        <v>10</v>
      </c>
      <c r="C6654" t="s">
        <v>20</v>
      </c>
      <c r="D6654" t="str">
        <f>HYPERLINK("https://us2.cloudbeds.com/connect/10074733072513#/reservations/30684120715485?display=Nathan%20Blom&amp;reservation_id=30684120715485&amp;guest_id=30684120715481", "Nathan Blom")</f>
        <v>Nathan Blom</v>
      </c>
      <c r="E6654" t="s">
        <v>4186</v>
      </c>
      <c r="F6654" t="s">
        <v>3878</v>
      </c>
      <c r="G6654">
        <v>141.55000000000001</v>
      </c>
      <c r="H6654">
        <v>153.87</v>
      </c>
      <c r="I6654">
        <v>153.86000000000001</v>
      </c>
      <c r="J6654">
        <v>0.01</v>
      </c>
    </row>
    <row r="6655" spans="1:10" x14ac:dyDescent="0.3">
      <c r="A6655" t="str">
        <f>HYPERLINK("https://us2.cloudbeds.com/connect/10074733072513#/reservations/30682949144820?display=YQV6FEUAQ&amp;reservation_id=30682949144820", "YQV6FEUAQ")</f>
        <v>YQV6FEUAQ</v>
      </c>
      <c r="B6655" t="s">
        <v>10</v>
      </c>
      <c r="C6655" t="s">
        <v>17</v>
      </c>
      <c r="D6655" t="str">
        <f>HYPERLINK("https://us2.cloudbeds.com/connect/10074733072513#/reservations/30682949144820?display=Carla%20Wiese&amp;reservation_id=30682949144820&amp;guest_id=30682949144771", "Carla Wiese")</f>
        <v>Carla Wiese</v>
      </c>
      <c r="E6655" t="s">
        <v>4188</v>
      </c>
      <c r="F6655" t="s">
        <v>3332</v>
      </c>
      <c r="G6655">
        <v>159</v>
      </c>
      <c r="H6655">
        <v>172.84</v>
      </c>
      <c r="I6655">
        <v>172.83</v>
      </c>
      <c r="J6655">
        <v>0.01</v>
      </c>
    </row>
    <row r="6656" spans="1:10" x14ac:dyDescent="0.3">
      <c r="A6656" t="str">
        <f>HYPERLINK("https://us2.cloudbeds.com/connect/10074733072513#/reservations/30682240680101?display=YQUYC1RRV&amp;reservation_id=30682240680101", "YQUYC1RRV")</f>
        <v>YQUYC1RRV</v>
      </c>
      <c r="B6656" t="s">
        <v>10</v>
      </c>
      <c r="C6656" t="s">
        <v>42</v>
      </c>
      <c r="D6656" t="str">
        <f>HYPERLINK("https://us2.cloudbeds.com/connect/10074733072513#/reservations/30682240680101?display=Daryl%20Leifson&amp;reservation_id=30682240680101&amp;guest_id=30682233897165", "Daryl Leifson")</f>
        <v>Daryl Leifson</v>
      </c>
      <c r="E6656" t="s">
        <v>4189</v>
      </c>
      <c r="F6656" t="s">
        <v>4137</v>
      </c>
      <c r="G6656">
        <v>139</v>
      </c>
      <c r="H6656">
        <v>151.1</v>
      </c>
      <c r="I6656">
        <v>151.09</v>
      </c>
      <c r="J6656">
        <v>0.01</v>
      </c>
    </row>
    <row r="6657" spans="1:10" x14ac:dyDescent="0.3">
      <c r="A6657" t="str">
        <f>HYPERLINK("https://us2.cloudbeds.com/connect/10074733072513#/reservations/30683543347421?display=YQVYYGFU7&amp;reservation_id=30683543347421", "YQVYYGFU7")</f>
        <v>YQVYYGFU7</v>
      </c>
      <c r="B6657" t="s">
        <v>10</v>
      </c>
      <c r="C6657" t="s">
        <v>17</v>
      </c>
      <c r="D6657" t="str">
        <f>HYPERLINK("https://us2.cloudbeds.com/connect/10074733072513#/reservations/30683543347421?display=Brandon%20Gregor&amp;reservation_id=30683543347421&amp;guest_id=30682276155571", "Brandon Gregor")</f>
        <v>Brandon Gregor</v>
      </c>
      <c r="E6657" t="s">
        <v>4080</v>
      </c>
      <c r="F6657" t="s">
        <v>3557</v>
      </c>
      <c r="G6657">
        <v>139</v>
      </c>
      <c r="H6657">
        <v>151.1</v>
      </c>
      <c r="I6657">
        <v>151.09</v>
      </c>
      <c r="J6657">
        <v>0.01</v>
      </c>
    </row>
    <row r="6658" spans="1:10" x14ac:dyDescent="0.3">
      <c r="A6658" t="str">
        <f>HYPERLINK("https://us2.cloudbeds.com/connect/10074733072513#/reservations/30682343821567?display=YQUZ00TUU&amp;reservation_id=30682343821567", "YQUZ00TUU")</f>
        <v>YQUZ00TUU</v>
      </c>
      <c r="B6658" t="s">
        <v>10</v>
      </c>
      <c r="C6658" t="s">
        <v>42</v>
      </c>
      <c r="D6658" t="str">
        <f>HYPERLINK("https://us2.cloudbeds.com/connect/10074733072513#/reservations/30682343821567?display=Sarah%20Pistorius&amp;reservation_id=30682343821567&amp;guest_id=30682343821563", "Sarah Pistorius")</f>
        <v>Sarah Pistorius</v>
      </c>
      <c r="E6658" t="s">
        <v>4190</v>
      </c>
      <c r="F6658" t="s">
        <v>4013</v>
      </c>
      <c r="G6658">
        <v>129</v>
      </c>
      <c r="H6658">
        <v>140.22999999999999</v>
      </c>
      <c r="I6658">
        <v>140.22</v>
      </c>
      <c r="J6658">
        <v>0.01</v>
      </c>
    </row>
    <row r="6659" spans="1:10" x14ac:dyDescent="0.3">
      <c r="A6659" t="str">
        <f>HYPERLINK("https://us2.cloudbeds.com/connect/10074733072513#/reservations/30683615416502?display=YQVNG8U1P&amp;reservation_id=30683615416502", "YQVNG8U1P")</f>
        <v>YQVNG8U1P</v>
      </c>
      <c r="B6659" t="s">
        <v>10</v>
      </c>
      <c r="C6659" t="s">
        <v>42</v>
      </c>
      <c r="D6659" t="str">
        <f>HYPERLINK("https://us2.cloudbeds.com/connect/10074733072513#/reservations/30683615416502?display=Linda%20Jackson&amp;reservation_id=30683615416502&amp;guest_id=30683615416448", "Linda Jackson")</f>
        <v>Linda Jackson</v>
      </c>
      <c r="E6659" t="s">
        <v>4192</v>
      </c>
      <c r="F6659" t="s">
        <v>2788</v>
      </c>
      <c r="G6659">
        <v>129</v>
      </c>
      <c r="H6659">
        <v>140.22999999999999</v>
      </c>
      <c r="I6659">
        <v>140.22</v>
      </c>
      <c r="J6659">
        <v>0.01</v>
      </c>
    </row>
    <row r="6660" spans="1:10" x14ac:dyDescent="0.3">
      <c r="A6660" t="str">
        <f>HYPERLINK("https://us2.cloudbeds.com/connect/10074733072513#/reservations/30683492307115?display=YQVKBF6V9&amp;reservation_id=30683492307115", "YQVKBF6V9")</f>
        <v>YQVKBF6V9</v>
      </c>
      <c r="B6660" t="s">
        <v>10</v>
      </c>
      <c r="C6660" t="s">
        <v>121</v>
      </c>
      <c r="D6660" t="str">
        <f>HYPERLINK("https://us2.cloudbeds.com/connect/10074733072513#/reservations/30683492307115?display=Michael%20Riley&amp;reservation_id=30683492307115&amp;guest_id=30683492307113", "Michael Riley")</f>
        <v>Michael Riley</v>
      </c>
      <c r="E6660" t="s">
        <v>4193</v>
      </c>
      <c r="F6660" t="s">
        <v>3557</v>
      </c>
      <c r="G6660">
        <v>139</v>
      </c>
      <c r="H6660">
        <v>151.1</v>
      </c>
      <c r="I6660">
        <v>151.09</v>
      </c>
      <c r="J6660">
        <v>0.01</v>
      </c>
    </row>
    <row r="6661" spans="1:10" x14ac:dyDescent="0.3">
      <c r="A6661" t="str">
        <f>HYPERLINK("https://us2.cloudbeds.com/connect/10074733072513#/reservations/30683483648207?display=YQVK458N4&amp;reservation_id=30683483648207", "YQVK458N4")</f>
        <v>YQVK458N4</v>
      </c>
      <c r="B6661" t="s">
        <v>10</v>
      </c>
      <c r="C6661" t="s">
        <v>121</v>
      </c>
      <c r="D6661" t="str">
        <f>HYPERLINK("https://us2.cloudbeds.com/connect/10074733072513#/reservations/30683483648207?display=Julius%20White&amp;reservation_id=30683483648207&amp;guest_id=30683483644114", "Julius White")</f>
        <v>Julius White</v>
      </c>
      <c r="E6661" t="s">
        <v>4194</v>
      </c>
      <c r="F6661" t="s">
        <v>3557</v>
      </c>
      <c r="G6661">
        <v>139</v>
      </c>
      <c r="H6661">
        <v>151.1</v>
      </c>
      <c r="I6661">
        <v>151.09</v>
      </c>
      <c r="J6661">
        <v>0.01</v>
      </c>
    </row>
    <row r="6662" spans="1:10" x14ac:dyDescent="0.3">
      <c r="A6662" t="str">
        <f>HYPERLINK("https://us2.cloudbeds.com/connect/10074733072513#/reservations/30683229778055?display=YQVDY2VE7&amp;reservation_id=30683229778055", "YQVDY2VE7")</f>
        <v>YQVDY2VE7</v>
      </c>
      <c r="B6662" t="s">
        <v>10</v>
      </c>
      <c r="C6662" t="s">
        <v>42</v>
      </c>
      <c r="D6662" t="str">
        <f>HYPERLINK("https://us2.cloudbeds.com/connect/10074733072513#/reservations/30683229778055?display=Tracy%20Eisenbraun&amp;reservation_id=30683229778055&amp;guest_id=30683224248476", "Tracy Eisenbraun")</f>
        <v>Tracy Eisenbraun</v>
      </c>
      <c r="E6662" t="s">
        <v>4195</v>
      </c>
      <c r="F6662" t="s">
        <v>2788</v>
      </c>
      <c r="G6662">
        <v>378</v>
      </c>
      <c r="H6662">
        <v>410.9</v>
      </c>
      <c r="I6662">
        <v>410.89</v>
      </c>
      <c r="J6662">
        <v>0.01</v>
      </c>
    </row>
    <row r="6663" spans="1:10" x14ac:dyDescent="0.3">
      <c r="A6663" t="str">
        <f>HYPERLINK("https://us2.cloudbeds.com/connect/10074733072513#/reservations/30683619082441?display=YQVNJBUCR&amp;reservation_id=30683619082441", "YQVNJBUCR")</f>
        <v>YQVNJBUCR</v>
      </c>
      <c r="B6663" t="s">
        <v>10</v>
      </c>
      <c r="C6663" t="s">
        <v>42</v>
      </c>
      <c r="D6663" t="str">
        <f>HYPERLINK("https://us2.cloudbeds.com/connect/10074733072513#/reservations/30683619082441?display=Loren%20Vilhauer&amp;reservation_id=30683619082441&amp;guest_id=30683619078357", "Loren Vilhauer")</f>
        <v>Loren Vilhauer</v>
      </c>
      <c r="E6663" t="s">
        <v>4196</v>
      </c>
      <c r="F6663" t="s">
        <v>2788</v>
      </c>
      <c r="G6663">
        <v>129</v>
      </c>
      <c r="H6663">
        <v>140.22999999999999</v>
      </c>
      <c r="I6663">
        <v>140.22</v>
      </c>
      <c r="J6663">
        <v>0.01</v>
      </c>
    </row>
    <row r="6664" spans="1:10" x14ac:dyDescent="0.3">
      <c r="A6664" t="str">
        <f>HYPERLINK("https://us2.cloudbeds.com/connect/10074733072513#/reservations/30683376369859?display=YQVHCN2R3&amp;reservation_id=30683376369859", "YQVHCN2R3")</f>
        <v>YQVHCN2R3</v>
      </c>
      <c r="B6664" t="s">
        <v>10</v>
      </c>
      <c r="C6664" t="s">
        <v>42</v>
      </c>
      <c r="D6664" t="str">
        <f>HYPERLINK("https://us2.cloudbeds.com/connect/10074733072513#/reservations/30683376369859?display=Jason%20Romero&amp;reservation_id=30683376369859&amp;guest_id=30683370832044", "Jason Romero")</f>
        <v>Jason Romero</v>
      </c>
      <c r="E6664" t="s">
        <v>4197</v>
      </c>
      <c r="F6664" t="s">
        <v>3744</v>
      </c>
      <c r="G6664">
        <v>119</v>
      </c>
      <c r="H6664">
        <v>129.36000000000001</v>
      </c>
      <c r="I6664">
        <v>129.35</v>
      </c>
      <c r="J6664">
        <v>0.01</v>
      </c>
    </row>
    <row r="6665" spans="1:10" x14ac:dyDescent="0.3">
      <c r="A6665" t="str">
        <f>HYPERLINK("https://us2.cloudbeds.com/connect/10074733072513#/reservations/30683303698595?display=YQVFHDTNJ&amp;reservation_id=30683303698595", "YQVFHDTNJ")</f>
        <v>YQVFHDTNJ</v>
      </c>
      <c r="B6665" t="s">
        <v>10</v>
      </c>
      <c r="C6665" t="s">
        <v>42</v>
      </c>
      <c r="D6665" t="str">
        <f>HYPERLINK("https://us2.cloudbeds.com/connect/10074733072513#/reservations/30683303698595?display=Sebastian%20Soto&amp;reservation_id=30683303698595&amp;guest_id=30681816453299", "Sebastian Soto")</f>
        <v>Sebastian Soto</v>
      </c>
      <c r="E6665" t="s">
        <v>4025</v>
      </c>
      <c r="F6665" t="s">
        <v>3981</v>
      </c>
      <c r="G6665">
        <v>89</v>
      </c>
      <c r="H6665">
        <v>96.75</v>
      </c>
      <c r="I6665">
        <v>96.74</v>
      </c>
      <c r="J6665">
        <v>0.01</v>
      </c>
    </row>
    <row r="6666" spans="1:10" x14ac:dyDescent="0.3">
      <c r="A6666" t="str">
        <f>HYPERLINK("https://us2.cloudbeds.com/connect/10074733072513#/reservations/30683049238738?display=YQV90S5UR&amp;reservation_id=30683049238738", "YQV90S5UR")</f>
        <v>YQV90S5UR</v>
      </c>
      <c r="B6666" t="s">
        <v>10</v>
      </c>
      <c r="C6666" t="s">
        <v>17</v>
      </c>
      <c r="D6666" t="str">
        <f>HYPERLINK("https://us2.cloudbeds.com/connect/10074733072513#/reservations/30683049238738?display=Macenzie%20Mugge&amp;reservation_id=30683049238738&amp;guest_id=30683049238733", "Macenzie Mugge")</f>
        <v>Macenzie Mugge</v>
      </c>
      <c r="E6666" t="s">
        <v>4198</v>
      </c>
      <c r="F6666" t="s">
        <v>3526</v>
      </c>
      <c r="G6666">
        <v>159</v>
      </c>
      <c r="H6666">
        <v>172.84</v>
      </c>
      <c r="I6666">
        <v>172.83</v>
      </c>
      <c r="J6666">
        <v>0.01</v>
      </c>
    </row>
    <row r="6667" spans="1:10" x14ac:dyDescent="0.3">
      <c r="A6667" t="str">
        <f>HYPERLINK("https://us2.cloudbeds.com/connect/10074733072513#/reservations/30683162693860?display=YQVBUH7PR&amp;reservation_id=30683162693860", "YQVBUH7PR")</f>
        <v>YQVBUH7PR</v>
      </c>
      <c r="B6667" t="s">
        <v>10</v>
      </c>
      <c r="C6667" t="s">
        <v>42</v>
      </c>
      <c r="D6667" t="str">
        <f>HYPERLINK("https://us2.cloudbeds.com/connect/10074733072513#/reservations/30683162693860?display=Jennifer%20Jones&amp;reservation_id=30683162693860&amp;guest_id=30683151343763", "Jennifer Jones")</f>
        <v>Jennifer Jones</v>
      </c>
      <c r="E6667" t="s">
        <v>4200</v>
      </c>
      <c r="F6667" t="s">
        <v>3526</v>
      </c>
      <c r="G6667">
        <v>109</v>
      </c>
      <c r="H6667">
        <v>118.49</v>
      </c>
      <c r="I6667">
        <v>118.48</v>
      </c>
      <c r="J6667">
        <v>0.01</v>
      </c>
    </row>
    <row r="6668" spans="1:10" x14ac:dyDescent="0.3">
      <c r="A6668" t="str">
        <f>HYPERLINK("https://us2.cloudbeds.com/connect/10074733072513#/reservations/30682190786711?display=YQUK2WG21&amp;reservation_id=30682190786711", "YQUK2WG21")</f>
        <v>YQUK2WG21</v>
      </c>
      <c r="B6668" t="s">
        <v>10</v>
      </c>
      <c r="C6668" t="s">
        <v>42</v>
      </c>
      <c r="D6668" t="str">
        <f>HYPERLINK("https://us2.cloudbeds.com/connect/10074733072513#/reservations/30682190786711?display=Erin%20Gabney&amp;reservation_id=30682190786711&amp;guest_id=30682190786705", "Erin Gabney")</f>
        <v>Erin Gabney</v>
      </c>
      <c r="E6668" t="s">
        <v>4201</v>
      </c>
      <c r="F6668" t="s">
        <v>3526</v>
      </c>
      <c r="G6668">
        <v>109</v>
      </c>
      <c r="H6668">
        <v>118.49</v>
      </c>
      <c r="I6668">
        <v>118.48</v>
      </c>
      <c r="J6668">
        <v>0.01</v>
      </c>
    </row>
    <row r="6669" spans="1:10" x14ac:dyDescent="0.3">
      <c r="A6669" t="str">
        <f>HYPERLINK("https://us2.cloudbeds.com/connect/10074733072513#/reservations/30684145545373?display=YQW419HE0&amp;reservation_id=30684145545373", "YQW419HE0")</f>
        <v>YQW419HE0</v>
      </c>
      <c r="B6669" t="s">
        <v>10</v>
      </c>
      <c r="C6669" t="s">
        <v>42</v>
      </c>
      <c r="D6669" t="str">
        <f>HYPERLINK("https://us2.cloudbeds.com/connect/10074733072513#/reservations/30684145545373?display=Jeffrey%20Potts&amp;reservation_id=30684145545373&amp;guest_id=30661365506296", "Jeffrey Potts")</f>
        <v>Jeffrey Potts</v>
      </c>
      <c r="E6669" t="s">
        <v>3400</v>
      </c>
      <c r="F6669" t="s">
        <v>3878</v>
      </c>
      <c r="G6669">
        <v>296</v>
      </c>
      <c r="H6669">
        <v>321.76</v>
      </c>
      <c r="I6669">
        <v>321.75</v>
      </c>
      <c r="J6669">
        <v>0.01</v>
      </c>
    </row>
    <row r="6670" spans="1:10" x14ac:dyDescent="0.3">
      <c r="A6670" t="str">
        <f>HYPERLINK("https://us2.cloudbeds.com/connect/10074733072513#/reservations/30682358505614?display=YQUZCDGU1&amp;reservation_id=30682358505614", "YQUZCDGU1")</f>
        <v>YQUZCDGU1</v>
      </c>
      <c r="B6670" t="s">
        <v>10</v>
      </c>
      <c r="C6670" t="s">
        <v>42</v>
      </c>
      <c r="D6670" t="str">
        <f>HYPERLINK("https://us2.cloudbeds.com/connect/10074733072513#/reservations/30682358505614?display=Kelsey%20Hauger&amp;reservation_id=30682358505614&amp;guest_id=30682358505612", "Kelsey Hauger")</f>
        <v>Kelsey Hauger</v>
      </c>
      <c r="E6670" t="s">
        <v>4202</v>
      </c>
      <c r="F6670" t="s">
        <v>4013</v>
      </c>
      <c r="G6670">
        <v>318</v>
      </c>
      <c r="H6670">
        <v>345.68</v>
      </c>
      <c r="I6670">
        <v>345.67</v>
      </c>
      <c r="J6670">
        <v>0.01</v>
      </c>
    </row>
    <row r="6671" spans="1:10" x14ac:dyDescent="0.3">
      <c r="A6671" t="str">
        <f>HYPERLINK("https://us2.cloudbeds.com/connect/10074733072513#/reservations/30682189844685?display=YQUK2690Q&amp;reservation_id=30682189844685", "YQUK2690Q")</f>
        <v>YQUK2690Q</v>
      </c>
      <c r="B6671" t="s">
        <v>10</v>
      </c>
      <c r="C6671" t="s">
        <v>42</v>
      </c>
      <c r="D6671" t="str">
        <f>HYPERLINK("https://us2.cloudbeds.com/connect/10074733072513#/reservations/30682189844685?display=Angie%20Hoogestraat&amp;reservation_id=30682189844685&amp;guest_id=30682189844683", "Angie Hoogestraat")</f>
        <v>Angie Hoogestraat</v>
      </c>
      <c r="E6671" t="s">
        <v>4204</v>
      </c>
      <c r="F6671" t="s">
        <v>3688</v>
      </c>
      <c r="G6671">
        <v>129</v>
      </c>
      <c r="H6671">
        <v>140.22999999999999</v>
      </c>
      <c r="I6671">
        <v>140.22</v>
      </c>
      <c r="J6671">
        <v>0.01</v>
      </c>
    </row>
    <row r="6672" spans="1:10" x14ac:dyDescent="0.3">
      <c r="A6672" t="str">
        <f>HYPERLINK("https://us2.cloudbeds.com/connect/10074733072513#/reservations/30683165892799?display=YQVC0789C&amp;reservation_id=30683165892799", "YQVC0789C")</f>
        <v>YQVC0789C</v>
      </c>
      <c r="B6672" t="s">
        <v>10</v>
      </c>
      <c r="C6672" t="s">
        <v>42</v>
      </c>
      <c r="D6672" t="str">
        <f>HYPERLINK("https://us2.cloudbeds.com/connect/10074733072513#/reservations/30683165892799?display=Gene%20Westerbuhr&amp;reservation_id=30683165892799&amp;guest_id=20922712387838", "Gene Westerbuhr")</f>
        <v>Gene Westerbuhr</v>
      </c>
      <c r="E6672" t="s">
        <v>3803</v>
      </c>
      <c r="F6672" t="s">
        <v>3526</v>
      </c>
      <c r="G6672">
        <v>79</v>
      </c>
      <c r="H6672">
        <v>85.88</v>
      </c>
      <c r="I6672">
        <v>85.87</v>
      </c>
      <c r="J6672">
        <v>0.01</v>
      </c>
    </row>
    <row r="6673" spans="1:10" x14ac:dyDescent="0.3">
      <c r="A6673" t="str">
        <f>HYPERLINK("https://us2.cloudbeds.com/connect/10074733072513#/reservations/30683317424277?display=YQVFSWRYB&amp;reservation_id=30683317424277", "YQVFSWRYB")</f>
        <v>YQVFSWRYB</v>
      </c>
      <c r="B6673" t="s">
        <v>10</v>
      </c>
      <c r="C6673" t="s">
        <v>42</v>
      </c>
      <c r="D6673" t="str">
        <f>HYPERLINK("https://us2.cloudbeds.com/connect/10074733072513#/reservations/30683317424277?display=Joseph%20Petrzilka&amp;reservation_id=30683317424277&amp;guest_id=30683317424262", "Joseph Petrzilka")</f>
        <v>Joseph Petrzilka</v>
      </c>
      <c r="E6673" t="s">
        <v>4205</v>
      </c>
      <c r="F6673" t="s">
        <v>4170</v>
      </c>
      <c r="G6673">
        <v>158</v>
      </c>
      <c r="H6673">
        <v>171.76</v>
      </c>
      <c r="I6673">
        <v>171.75</v>
      </c>
      <c r="J6673">
        <v>0.01</v>
      </c>
    </row>
    <row r="6674" spans="1:10" x14ac:dyDescent="0.3">
      <c r="A6674" t="str">
        <f>HYPERLINK("https://us2.cloudbeds.com/connect/10074733072513#/reservations/30683119112401?display=YQVAQPH2X&amp;reservation_id=30683119112401", "YQVAQPH2X")</f>
        <v>YQVAQPH2X</v>
      </c>
      <c r="B6674" t="s">
        <v>10</v>
      </c>
      <c r="C6674" t="s">
        <v>42</v>
      </c>
      <c r="D6674" t="str">
        <f>HYPERLINK("https://us2.cloudbeds.com/connect/10074733072513#/reservations/30683119112401?display=Sebastian%20Soto&amp;reservation_id=30683119112401&amp;guest_id=30681816453299", "Sebastian Soto")</f>
        <v>Sebastian Soto</v>
      </c>
      <c r="E6674" t="s">
        <v>4025</v>
      </c>
      <c r="F6674" t="s">
        <v>4206</v>
      </c>
      <c r="G6674">
        <v>178</v>
      </c>
      <c r="H6674">
        <v>193.5</v>
      </c>
      <c r="I6674">
        <v>193.49</v>
      </c>
      <c r="J6674">
        <v>0.01</v>
      </c>
    </row>
    <row r="6675" spans="1:10" x14ac:dyDescent="0.3">
      <c r="A6675" t="str">
        <f>HYPERLINK("https://us2.cloudbeds.com/connect/10074733072513#/reservations/30683108708536?display=YQVAX00FU&amp;reservation_id=30683108708536", "YQVAX00FU")</f>
        <v>YQVAX00FU</v>
      </c>
      <c r="B6675" t="s">
        <v>10</v>
      </c>
      <c r="C6675" t="s">
        <v>42</v>
      </c>
      <c r="D6675" t="str">
        <f>HYPERLINK("https://us2.cloudbeds.com/connect/10074733072513#/reservations/30683108708536?display=Brian%20Trentice&amp;reservation_id=30683108708536&amp;guest_id=30683108708533", "Brian Trentice")</f>
        <v>Brian Trentice</v>
      </c>
      <c r="E6675" t="s">
        <v>4207</v>
      </c>
      <c r="F6675" t="s">
        <v>3922</v>
      </c>
      <c r="G6675">
        <v>504</v>
      </c>
      <c r="H6675">
        <v>547.86</v>
      </c>
      <c r="I6675">
        <v>547.85</v>
      </c>
      <c r="J6675">
        <v>0.01</v>
      </c>
    </row>
    <row r="6676" spans="1:10" x14ac:dyDescent="0.3">
      <c r="A6676" t="str">
        <f>HYPERLINK("https://us2.cloudbeds.com/connect/10074733072513#/reservations/30683102232770?display=YQVACHQVJ&amp;reservation_id=30683102232770", "YQVACHQVJ")</f>
        <v>YQVACHQVJ</v>
      </c>
      <c r="B6676" t="s">
        <v>10</v>
      </c>
      <c r="C6676" t="s">
        <v>42</v>
      </c>
      <c r="D6676" t="str">
        <f>HYPERLINK("https://us2.cloudbeds.com/connect/10074733072513#/reservations/30683102232770?display=Zach%20Kanter&amp;reservation_id=30683102232770&amp;guest_id=30683092201701", "Zach Kanter")</f>
        <v>Zach Kanter</v>
      </c>
      <c r="E6676" t="s">
        <v>4208</v>
      </c>
      <c r="F6676" t="s">
        <v>3922</v>
      </c>
      <c r="G6676">
        <v>504</v>
      </c>
      <c r="H6676">
        <v>547.86</v>
      </c>
      <c r="I6676">
        <v>547.85</v>
      </c>
      <c r="J6676">
        <v>0.01</v>
      </c>
    </row>
    <row r="6677" spans="1:10" x14ac:dyDescent="0.3">
      <c r="A6677" t="str">
        <f>HYPERLINK("https://us2.cloudbeds.com/connect/10074733072513#/reservations/30683382108310?display=YQVHHHP9X&amp;reservation_id=30683382108310", "YQVHHHP9X")</f>
        <v>YQVHHHP9X</v>
      </c>
      <c r="B6677" t="s">
        <v>10</v>
      </c>
      <c r="C6677" t="s">
        <v>42</v>
      </c>
      <c r="D6677" t="str">
        <f>HYPERLINK("https://us2.cloudbeds.com/connect/10074733072513#/reservations/30683382108310?display=Alea%20Doty&amp;reservation_id=30683382108310&amp;guest_id=30683376373952", "Alea Doty")</f>
        <v>Alea Doty</v>
      </c>
      <c r="E6677" t="s">
        <v>4209</v>
      </c>
      <c r="F6677" t="s">
        <v>3744</v>
      </c>
      <c r="G6677">
        <v>119</v>
      </c>
      <c r="H6677">
        <v>129.36000000000001</v>
      </c>
      <c r="I6677">
        <v>129.35</v>
      </c>
      <c r="J6677">
        <v>0.01</v>
      </c>
    </row>
    <row r="6678" spans="1:10" x14ac:dyDescent="0.3">
      <c r="A6678" t="str">
        <f>HYPERLINK("https://us2.cloudbeds.com/connect/10074733072513#/reservations/30683411976345?display=YQVX9NTAH&amp;reservation_id=30683411976345", "YQVX9NTAH")</f>
        <v>YQVX9NTAH</v>
      </c>
      <c r="B6678" t="s">
        <v>10</v>
      </c>
      <c r="C6678" t="s">
        <v>42</v>
      </c>
      <c r="D6678" t="str">
        <f>HYPERLINK("https://us2.cloudbeds.com/connect/10074733072513#/reservations/30683411976345?display=Tracey%20Eisenbraun&amp;reservation_id=30683411976345&amp;guest_id=30683405070480", "Tracey Eisenbraun")</f>
        <v>Tracey Eisenbraun</v>
      </c>
      <c r="E6678" t="s">
        <v>4210</v>
      </c>
      <c r="F6678" t="s">
        <v>3567</v>
      </c>
      <c r="G6678">
        <v>139</v>
      </c>
      <c r="H6678">
        <v>151.1</v>
      </c>
      <c r="I6678">
        <v>151.09</v>
      </c>
      <c r="J6678">
        <v>0.01</v>
      </c>
    </row>
    <row r="6679" spans="1:10" x14ac:dyDescent="0.3">
      <c r="A6679" t="str">
        <f>HYPERLINK("https://us2.cloudbeds.com/connect/10074733072513#/reservations/30684163453088?display=YQW4GCRK1&amp;reservation_id=30684163453088", "YQW4GCRK1")</f>
        <v>YQW4GCRK1</v>
      </c>
      <c r="B6679" t="s">
        <v>10</v>
      </c>
      <c r="C6679" t="s">
        <v>42</v>
      </c>
      <c r="D6679" t="str">
        <f>HYPERLINK("https://us2.cloudbeds.com/connect/10074733072513#/reservations/30684163453088?display=Gene%20Westerbuhr&amp;reservation_id=30684163453088&amp;guest_id=20922712387838", "Gene Westerbuhr")</f>
        <v>Gene Westerbuhr</v>
      </c>
      <c r="E6679" t="s">
        <v>3803</v>
      </c>
      <c r="F6679" t="s">
        <v>4170</v>
      </c>
      <c r="G6679">
        <v>79</v>
      </c>
      <c r="H6679">
        <v>85.88</v>
      </c>
      <c r="I6679">
        <v>85.87</v>
      </c>
      <c r="J6679">
        <v>0.01</v>
      </c>
    </row>
    <row r="6680" spans="1:10" x14ac:dyDescent="0.3">
      <c r="A6680" t="str">
        <f>HYPERLINK("https://us2.cloudbeds.com/connect/10074733072513#/reservations/30684163448997?display=YQW4GCNS2&amp;reservation_id=30684163448997", "YQW4GCNS2")</f>
        <v>YQW4GCNS2</v>
      </c>
      <c r="B6680" t="s">
        <v>10</v>
      </c>
      <c r="C6680" t="s">
        <v>42</v>
      </c>
      <c r="D6680" t="str">
        <f>HYPERLINK("https://us2.cloudbeds.com/connect/10074733072513#/reservations/30684163448997?display=Danny%20Ayers&amp;reservation_id=30684163448997&amp;guest_id=30682233893062", "Danny Ayers")</f>
        <v>Danny Ayers</v>
      </c>
      <c r="E6680" t="s">
        <v>4167</v>
      </c>
      <c r="F6680" t="s">
        <v>4170</v>
      </c>
      <c r="G6680">
        <v>109</v>
      </c>
      <c r="H6680">
        <v>118.49</v>
      </c>
      <c r="I6680">
        <v>118.48</v>
      </c>
      <c r="J6680">
        <v>0.01</v>
      </c>
    </row>
    <row r="6681" spans="1:10" x14ac:dyDescent="0.3">
      <c r="A6681" t="str">
        <f>HYPERLINK("https://us2.cloudbeds.com/connect/10074733072513#/reservations/30682843734270?display=YQV3PXNJN&amp;reservation_id=30682843734270", "YQV3PXNJN")</f>
        <v>YQV3PXNJN</v>
      </c>
      <c r="B6681" t="s">
        <v>10</v>
      </c>
      <c r="C6681" t="s">
        <v>17</v>
      </c>
      <c r="D6681" t="str">
        <f>HYPERLINK("https://us2.cloudbeds.com/connect/10074733072513#/reservations/30682843734270?display=Misty%20Hofer&amp;reservation_id=30682843734270&amp;guest_id=30682843734268", "Misty Hofer")</f>
        <v>Misty Hofer</v>
      </c>
      <c r="E6681" t="s">
        <v>4211</v>
      </c>
      <c r="F6681" t="s">
        <v>3881</v>
      </c>
      <c r="G6681">
        <v>189</v>
      </c>
      <c r="H6681">
        <v>205.45</v>
      </c>
      <c r="I6681">
        <v>205.44</v>
      </c>
      <c r="J6681">
        <v>0.01</v>
      </c>
    </row>
    <row r="6682" spans="1:10" x14ac:dyDescent="0.3">
      <c r="A6682" t="str">
        <f>HYPERLINK("https://us2.cloudbeds.com/connect/10074733072513#/reservations/30684070269077?display=YQW23QS64&amp;reservation_id=30684070269077", "YQW23QS64")</f>
        <v>YQW23QS64</v>
      </c>
      <c r="B6682" t="s">
        <v>10</v>
      </c>
      <c r="C6682" t="s">
        <v>23</v>
      </c>
      <c r="D6682" t="str">
        <f>HYPERLINK("https://us2.cloudbeds.com/connect/10074733072513#/reservations/30684070269077?display=Hillary%20Becker&amp;reservation_id=30684070269077&amp;guest_id=30684070269073", "Hillary Becker")</f>
        <v>Hillary Becker</v>
      </c>
      <c r="E6682" t="s">
        <v>4212</v>
      </c>
      <c r="F6682" t="s">
        <v>3878</v>
      </c>
      <c r="G6682">
        <v>278</v>
      </c>
      <c r="H6682">
        <v>302.2</v>
      </c>
      <c r="I6682">
        <v>302.19</v>
      </c>
      <c r="J6682">
        <v>0.01</v>
      </c>
    </row>
    <row r="6683" spans="1:10" x14ac:dyDescent="0.3">
      <c r="A6683" t="str">
        <f>HYPERLINK("https://us2.cloudbeds.com/connect/10074733072513#/reservations/30684144165028?display=YQW4043TC&amp;reservation_id=30684144165028", "YQW4043TC")</f>
        <v>YQW4043TC</v>
      </c>
      <c r="B6683" t="s">
        <v>10</v>
      </c>
      <c r="C6683" t="s">
        <v>42</v>
      </c>
      <c r="D6683" t="str">
        <f>HYPERLINK("https://us2.cloudbeds.com/connect/10074733072513#/reservations/30684144165028?display=Bart%20Wiley&amp;reservation_id=30684144165028&amp;guest_id=30650429186260", "Bart Wiley")</f>
        <v>Bart Wiley</v>
      </c>
      <c r="E6683" t="s">
        <v>1079</v>
      </c>
      <c r="F6683" t="s">
        <v>3878</v>
      </c>
      <c r="G6683">
        <v>129</v>
      </c>
      <c r="H6683">
        <v>140.22999999999999</v>
      </c>
      <c r="I6683">
        <v>140.22</v>
      </c>
      <c r="J6683">
        <v>0.01</v>
      </c>
    </row>
    <row r="6684" spans="1:10" x14ac:dyDescent="0.3">
      <c r="A6684" t="str">
        <f>HYPERLINK("https://us2.cloudbeds.com/connect/10074733072513#/reservations/30683038105814?display=YQV8ZFCSF&amp;reservation_id=30683038105814", "YQV8ZFCSF")</f>
        <v>YQV8ZFCSF</v>
      </c>
      <c r="B6684" t="s">
        <v>10</v>
      </c>
      <c r="C6684" t="s">
        <v>20</v>
      </c>
      <c r="D6684" t="str">
        <f>HYPERLINK("https://us2.cloudbeds.com/connect/10074733072513#/reservations/30683038105814?display=Marie%20Adams&amp;reservation_id=30683038105814&amp;guest_id=30683031171212", "Marie Adams")</f>
        <v>Marie Adams</v>
      </c>
      <c r="E6684" t="s">
        <v>4218</v>
      </c>
      <c r="F6684" t="s">
        <v>4219</v>
      </c>
      <c r="G6684">
        <v>122.55</v>
      </c>
      <c r="H6684">
        <v>133.22</v>
      </c>
      <c r="I6684">
        <v>133.21</v>
      </c>
      <c r="J6684">
        <v>0.01</v>
      </c>
    </row>
    <row r="6685" spans="1:10" x14ac:dyDescent="0.3">
      <c r="A6685" t="str">
        <f>HYPERLINK("https://us2.cloudbeds.com/connect/10074733072513#/reservations/30683399323879?display=YQVHW1QTF&amp;reservation_id=30683399323879", "YQVHW1QTF")</f>
        <v>YQVHW1QTF</v>
      </c>
      <c r="B6685" t="s">
        <v>10</v>
      </c>
      <c r="C6685" t="s">
        <v>42</v>
      </c>
      <c r="D6685" t="str">
        <f>HYPERLINK("https://us2.cloudbeds.com/connect/10074733072513#/reservations/30683399323879?display=Deanna%20Berendragan&amp;reservation_id=30683399323879&amp;guest_id=30683399323862", "Deanna Berendragan")</f>
        <v>Deanna Berendragan</v>
      </c>
      <c r="E6685" t="s">
        <v>4220</v>
      </c>
      <c r="F6685" t="s">
        <v>3820</v>
      </c>
      <c r="G6685">
        <v>222</v>
      </c>
      <c r="H6685">
        <v>241.32</v>
      </c>
      <c r="I6685">
        <v>241.31</v>
      </c>
      <c r="J6685">
        <v>0.01</v>
      </c>
    </row>
    <row r="6686" spans="1:10" x14ac:dyDescent="0.3">
      <c r="A6686" t="str">
        <f>HYPERLINK("https://us2.cloudbeds.com/connect/10074733072513#/reservations/30682943447209?display=YQV6AYCBU&amp;reservation_id=30682943447209", "YQV6AYCBU")</f>
        <v>YQV6AYCBU</v>
      </c>
      <c r="B6686" t="s">
        <v>10</v>
      </c>
      <c r="C6686" t="s">
        <v>23</v>
      </c>
      <c r="D6686" t="str">
        <f>HYPERLINK("https://us2.cloudbeds.com/connect/10074733072513#/reservations/30682943447209?display=Charles%20Spurlock&amp;reservation_id=30682943447209&amp;guest_id=30682934845638", "Charles Spurlock")</f>
        <v>Charles Spurlock</v>
      </c>
      <c r="E6686" t="s">
        <v>4222</v>
      </c>
      <c r="F6686" t="s">
        <v>3332</v>
      </c>
      <c r="G6686">
        <v>179</v>
      </c>
      <c r="H6686">
        <v>194.58</v>
      </c>
      <c r="I6686">
        <v>194.57</v>
      </c>
      <c r="J6686">
        <v>0.01</v>
      </c>
    </row>
    <row r="6687" spans="1:10" x14ac:dyDescent="0.3">
      <c r="A6687" t="str">
        <f>HYPERLINK("https://us2.cloudbeds.com/connect/10074733072513#/reservations/30681885335687?display=YQUC9DSED&amp;reservation_id=30681885335687", "YQUC9DSED")</f>
        <v>YQUC9DSED</v>
      </c>
      <c r="B6687" t="s">
        <v>10</v>
      </c>
      <c r="C6687" t="s">
        <v>42</v>
      </c>
      <c r="D6687" t="str">
        <f>HYPERLINK("https://us2.cloudbeds.com/connect/10074733072513#/reservations/30681885335687?display=Kaitlyn%20Siezschlag&amp;reservation_id=30681885335687&amp;guest_id=30681885335682", "Kaitlyn Siezschlag")</f>
        <v>Kaitlyn Siezschlag</v>
      </c>
      <c r="E6687" t="s">
        <v>4223</v>
      </c>
      <c r="F6687" t="s">
        <v>3343</v>
      </c>
      <c r="G6687">
        <v>278</v>
      </c>
      <c r="H6687">
        <v>302.2</v>
      </c>
      <c r="I6687">
        <v>302.19</v>
      </c>
      <c r="J6687">
        <v>0.01</v>
      </c>
    </row>
    <row r="6688" spans="1:10" x14ac:dyDescent="0.3">
      <c r="A6688" t="str">
        <f>HYPERLINK("https://us2.cloudbeds.com/connect/10074733072513#/reservations/30683253498069?display=YQVE82WTH&amp;reservation_id=30683253498069", "YQVE82WTH")</f>
        <v>YQVE82WTH</v>
      </c>
      <c r="B6688" t="s">
        <v>10</v>
      </c>
      <c r="C6688" t="s">
        <v>17</v>
      </c>
      <c r="D6688" t="str">
        <f>HYPERLINK("https://us2.cloudbeds.com/connect/10074733072513#/reservations/30683253498069?display=Renee%20Breen&amp;reservation_id=30683253498069&amp;guest_id=30683253498051", "Renee Breen")</f>
        <v>Renee Breen</v>
      </c>
      <c r="E6688" t="s">
        <v>4225</v>
      </c>
      <c r="F6688" t="s">
        <v>4226</v>
      </c>
      <c r="G6688">
        <v>159</v>
      </c>
      <c r="H6688">
        <v>172.84</v>
      </c>
      <c r="I6688">
        <v>172.83</v>
      </c>
      <c r="J6688">
        <v>0.01</v>
      </c>
    </row>
    <row r="6689" spans="1:10" x14ac:dyDescent="0.3">
      <c r="A6689" t="str">
        <f>HYPERLINK("https://us2.cloudbeds.com/connect/10074733072513#/reservations/30683204313235?display=YQVCWKBP0&amp;reservation_id=30683204313235", "YQVCWKBP0")</f>
        <v>YQVCWKBP0</v>
      </c>
      <c r="B6689" t="s">
        <v>10</v>
      </c>
      <c r="C6689" t="s">
        <v>42</v>
      </c>
      <c r="D6689" t="str">
        <f>HYPERLINK("https://us2.cloudbeds.com/connect/10074733072513#/reservations/30683204313235?display=Cory%20Glick&amp;reservation_id=30683204313235&amp;guest_id=30679426039950", "Cory Glick")</f>
        <v>Cory Glick</v>
      </c>
      <c r="E6689" t="s">
        <v>2769</v>
      </c>
      <c r="F6689" t="s">
        <v>3526</v>
      </c>
      <c r="G6689">
        <v>158</v>
      </c>
      <c r="H6689">
        <v>171.76</v>
      </c>
      <c r="I6689">
        <v>171.75</v>
      </c>
      <c r="J6689">
        <v>0.01</v>
      </c>
    </row>
    <row r="6690" spans="1:10" x14ac:dyDescent="0.3">
      <c r="A6690" t="str">
        <f>HYPERLINK("https://us2.cloudbeds.com/connect/10074733072513#/reservations/30683171250332?display=YQVC4ZAVS&amp;reservation_id=30683171250332", "YQVC4ZAVS")</f>
        <v>YQVC4ZAVS</v>
      </c>
      <c r="B6690" t="s">
        <v>10</v>
      </c>
      <c r="C6690" t="s">
        <v>42</v>
      </c>
      <c r="D6690" t="str">
        <f>HYPERLINK("https://us2.cloudbeds.com/connect/10074733072513#/reservations/30683171250332?display=Mykayla%20Thyne&amp;reservation_id=30683171250332&amp;guest_id=30683171250329", "Mykayla Thyne")</f>
        <v>Mykayla Thyne</v>
      </c>
      <c r="E6690" t="s">
        <v>4229</v>
      </c>
      <c r="F6690" t="s">
        <v>3526</v>
      </c>
      <c r="G6690">
        <v>199</v>
      </c>
      <c r="H6690">
        <v>216.32</v>
      </c>
      <c r="I6690">
        <v>216.31</v>
      </c>
      <c r="J6690">
        <v>0.01</v>
      </c>
    </row>
    <row r="6691" spans="1:10" x14ac:dyDescent="0.3">
      <c r="A6691" t="str">
        <f>HYPERLINK("https://us2.cloudbeds.com/connect/10074733072513#/reservations/30683185770700?display=YQVCGWCY0&amp;reservation_id=30683185770700", "YQVCGWCY0")</f>
        <v>YQVCGWCY0</v>
      </c>
      <c r="B6691" t="s">
        <v>10</v>
      </c>
      <c r="C6691" t="s">
        <v>42</v>
      </c>
      <c r="D6691" t="str">
        <f>HYPERLINK("https://us2.cloudbeds.com/connect/10074733072513#/reservations/30683185770700?display=Deb%20Pedersen&amp;reservation_id=30683185770700&amp;guest_id=30683185770698", "Deb Pedersen")</f>
        <v>Deb Pedersen</v>
      </c>
      <c r="E6691" t="s">
        <v>4230</v>
      </c>
      <c r="F6691" t="s">
        <v>3526</v>
      </c>
      <c r="G6691">
        <v>143</v>
      </c>
      <c r="H6691">
        <v>155.44999999999999</v>
      </c>
      <c r="I6691">
        <v>155.44</v>
      </c>
      <c r="J6691">
        <v>0.01</v>
      </c>
    </row>
    <row r="6692" spans="1:10" x14ac:dyDescent="0.3">
      <c r="A6692" t="str">
        <f>HYPERLINK("https://us2.cloudbeds.com/connect/10074733072513#/reservations/31673950535884?display=MH6HS2FEX&amp;reservation_id=31673950535884", "MH6HS2FEX")</f>
        <v>MH6HS2FEX</v>
      </c>
      <c r="B6692" t="s">
        <v>10</v>
      </c>
      <c r="C6692" t="s">
        <v>42</v>
      </c>
      <c r="D6692" t="str">
        <f>HYPERLINK("https://us2.cloudbeds.com/connect/10074733072513#/reservations/31673950535884?display=Michelle%20Muilenburg&amp;reservation_id=31673950535884&amp;guest_id=31673950531782", "Michelle Muilenburg")</f>
        <v>Michelle Muilenburg</v>
      </c>
      <c r="E6692" t="s">
        <v>4145</v>
      </c>
      <c r="F6692" t="s">
        <v>4141</v>
      </c>
      <c r="G6692">
        <v>278</v>
      </c>
      <c r="H6692">
        <v>302.2</v>
      </c>
      <c r="I6692">
        <v>302.19</v>
      </c>
      <c r="J6692">
        <v>0.01</v>
      </c>
    </row>
    <row r="6693" spans="1:10" x14ac:dyDescent="0.3">
      <c r="A6693" t="str">
        <f>HYPERLINK("https://us2.cloudbeds.com/connect/10074733072513#/reservations/31674168266927?display=MH6NDM53V&amp;reservation_id=31674168266927", "MH6NDM53V")</f>
        <v>MH6NDM53V</v>
      </c>
      <c r="B6693" t="s">
        <v>10</v>
      </c>
      <c r="C6693" t="s">
        <v>42</v>
      </c>
      <c r="D6693" t="str">
        <f>HYPERLINK("https://us2.cloudbeds.com/connect/10074733072513#/reservations/31674168266927?display=Linda%20Dehaai&amp;reservation_id=31674168266927&amp;guest_id=31674168266925", "Linda Dehaai")</f>
        <v>Linda Dehaai</v>
      </c>
      <c r="E6693" t="s">
        <v>4145</v>
      </c>
      <c r="F6693" t="s">
        <v>4141</v>
      </c>
      <c r="G6693">
        <v>139</v>
      </c>
      <c r="H6693">
        <v>151.1</v>
      </c>
      <c r="I6693">
        <v>151.09</v>
      </c>
      <c r="J6693">
        <v>0.01</v>
      </c>
    </row>
    <row r="6694" spans="1:10" x14ac:dyDescent="0.3">
      <c r="A6694" t="str">
        <f>HYPERLINK("https://us2.cloudbeds.com/connect/10074733072513#/reservations/30683191341221?display=YQVCYMCTM&amp;reservation_id=30683191341221", "YQVCYMCTM")</f>
        <v>YQVCYMCTM</v>
      </c>
      <c r="B6694" t="s">
        <v>10</v>
      </c>
      <c r="C6694" t="s">
        <v>42</v>
      </c>
      <c r="D6694" t="str">
        <f>HYPERLINK("https://us2.cloudbeds.com/connect/10074733072513#/reservations/30683191341221?display=Martha%20Garreau&amp;reservation_id=30683191341221&amp;guest_id=30683191341216", "Martha Garreau")</f>
        <v>Martha Garreau</v>
      </c>
      <c r="E6694" t="s">
        <v>4231</v>
      </c>
      <c r="F6694" t="s">
        <v>3526</v>
      </c>
      <c r="G6694">
        <v>129</v>
      </c>
      <c r="H6694">
        <v>140.22999999999999</v>
      </c>
      <c r="I6694">
        <v>140.22</v>
      </c>
      <c r="J6694">
        <v>0.01</v>
      </c>
    </row>
    <row r="6695" spans="1:10" x14ac:dyDescent="0.3">
      <c r="A6695" t="str">
        <f>HYPERLINK("https://us2.cloudbeds.com/connect/10074733072513#/reservations/30683181850854?display=YQVCDMA4Q&amp;reservation_id=30683181850854", "YQVCDMA4Q")</f>
        <v>YQVCDMA4Q</v>
      </c>
      <c r="B6695" t="s">
        <v>10</v>
      </c>
      <c r="C6695" t="s">
        <v>42</v>
      </c>
      <c r="D6695" t="str">
        <f>HYPERLINK("https://us2.cloudbeds.com/connect/10074733072513#/reservations/30683181850854?display=Bill%20Lepley&amp;reservation_id=30683181850854&amp;guest_id=30683002208407", "Bill Lepley")</f>
        <v>Bill Lepley</v>
      </c>
      <c r="E6695" t="s">
        <v>4124</v>
      </c>
      <c r="F6695" t="s">
        <v>3526</v>
      </c>
      <c r="G6695">
        <v>159</v>
      </c>
      <c r="H6695">
        <v>172.84</v>
      </c>
      <c r="I6695">
        <v>172.83</v>
      </c>
      <c r="J6695">
        <v>0.01</v>
      </c>
    </row>
    <row r="6696" spans="1:10" x14ac:dyDescent="0.3">
      <c r="A6696" t="str">
        <f>HYPERLINK("https://us2.cloudbeds.com/connect/10074733072513#/reservations/30682546741421?display=YQUT64ETC&amp;reservation_id=30682546741421", "YQUT64ETC")</f>
        <v>YQUT64ETC</v>
      </c>
      <c r="B6696" t="s">
        <v>10</v>
      </c>
      <c r="C6696" t="s">
        <v>11</v>
      </c>
      <c r="D6696" t="str">
        <f>HYPERLINK("https://us2.cloudbeds.com/connect/10074733072513#/reservations/30682546741421?display=Brett%20Anderson&amp;reservation_id=30682546741421&amp;guest_id=30682538365148", "Brett Anderson")</f>
        <v>Brett Anderson</v>
      </c>
      <c r="E6696" t="s">
        <v>1020</v>
      </c>
      <c r="F6696" t="s">
        <v>4232</v>
      </c>
      <c r="G6696">
        <v>141.55000000000001</v>
      </c>
      <c r="H6696">
        <v>153.87</v>
      </c>
      <c r="I6696">
        <v>153.86000000000001</v>
      </c>
      <c r="J6696">
        <v>0.01</v>
      </c>
    </row>
    <row r="6697" spans="1:10" x14ac:dyDescent="0.3">
      <c r="A6697" t="str">
        <f>HYPERLINK("https://us2.cloudbeds.com/connect/10074733072513#/reservations/31673968504972?display=MH6XA7FWC&amp;reservation_id=31673968504972", "MH6XA7FWC")</f>
        <v>MH6XA7FWC</v>
      </c>
      <c r="B6697" t="s">
        <v>10</v>
      </c>
      <c r="C6697" t="s">
        <v>42</v>
      </c>
      <c r="D6697" t="str">
        <f>HYPERLINK("https://us2.cloudbeds.com/connect/10074733072513#/reservations/31673968504972?display=Linda%20Dehaai&amp;reservation_id=31673968504972&amp;guest_id=31673958641834", "Linda Dehaai")</f>
        <v>Linda Dehaai</v>
      </c>
      <c r="E6697" t="s">
        <v>4233</v>
      </c>
      <c r="F6697" t="s">
        <v>4141</v>
      </c>
      <c r="G6697">
        <v>278</v>
      </c>
      <c r="H6697">
        <v>302.2</v>
      </c>
      <c r="I6697">
        <v>302.19</v>
      </c>
      <c r="J6697">
        <v>0.01</v>
      </c>
    </row>
    <row r="6698" spans="1:10" x14ac:dyDescent="0.3">
      <c r="A6698" t="str">
        <f>HYPERLINK("https://us2.cloudbeds.com/connect/10074733072513#/reservations/30683524747408?display=YQVY5QU0F&amp;reservation_id=30683524747408", "YQVY5QU0F")</f>
        <v>YQVY5QU0F</v>
      </c>
      <c r="B6698" t="s">
        <v>10</v>
      </c>
      <c r="C6698" t="s">
        <v>17</v>
      </c>
      <c r="D6698" t="str">
        <f>HYPERLINK("https://us2.cloudbeds.com/connect/10074733072513#/reservations/30683524747408?display=Douglas%20Everett&amp;reservation_id=30683524747408&amp;guest_id=30683524743316", "Douglas Everett")</f>
        <v>Douglas Everett</v>
      </c>
      <c r="E6698" t="s">
        <v>4234</v>
      </c>
      <c r="F6698" t="s">
        <v>4235</v>
      </c>
      <c r="G6698">
        <v>179</v>
      </c>
      <c r="H6698">
        <v>194.58</v>
      </c>
      <c r="I6698">
        <v>194.57</v>
      </c>
      <c r="J6698">
        <v>0.01</v>
      </c>
    </row>
    <row r="6699" spans="1:10" x14ac:dyDescent="0.3">
      <c r="A6699" t="str">
        <f>HYPERLINK("https://us2.cloudbeds.com/connect/10074733072513#/reservations/30683269837045?display=YQVEYSYX0&amp;reservation_id=30683269837045", "YQVEYSYX0")</f>
        <v>YQVEYSYX0</v>
      </c>
      <c r="B6699" t="s">
        <v>10</v>
      </c>
      <c r="C6699" t="s">
        <v>42</v>
      </c>
      <c r="D6699" t="str">
        <f>HYPERLINK("https://us2.cloudbeds.com/connect/10074733072513#/reservations/30683269837045?display=Trish%20Dinkins&amp;reservation_id=30683269837045&amp;guest_id=30683269837040", "Trish Dinkins")</f>
        <v>Trish Dinkins</v>
      </c>
      <c r="E6699" t="s">
        <v>4236</v>
      </c>
      <c r="F6699" t="s">
        <v>4237</v>
      </c>
      <c r="G6699">
        <v>258</v>
      </c>
      <c r="H6699">
        <v>280.45999999999998</v>
      </c>
      <c r="I6699">
        <v>280.45</v>
      </c>
      <c r="J6699">
        <v>0.01</v>
      </c>
    </row>
    <row r="6700" spans="1:10" x14ac:dyDescent="0.3">
      <c r="A6700" t="str">
        <f>HYPERLINK("https://us2.cloudbeds.com/connect/10074733072513#/reservations/30681777680562?display=YQU9HY6XT&amp;reservation_id=30681777680562", "YQU9HY6XT")</f>
        <v>YQU9HY6XT</v>
      </c>
      <c r="B6700" t="s">
        <v>10</v>
      </c>
      <c r="C6700" t="s">
        <v>42</v>
      </c>
      <c r="D6700" t="str">
        <f>HYPERLINK("https://us2.cloudbeds.com/connect/10074733072513#/reservations/30681777680562?display=Mike%20Cook&amp;reservation_id=30681777680562&amp;guest_id=30681777680556", "Mike Cook")</f>
        <v>Mike Cook</v>
      </c>
      <c r="E6700" t="s">
        <v>4241</v>
      </c>
      <c r="F6700" t="s">
        <v>4235</v>
      </c>
      <c r="G6700">
        <v>119</v>
      </c>
      <c r="H6700">
        <v>129.36000000000001</v>
      </c>
      <c r="I6700">
        <v>129.35</v>
      </c>
      <c r="J6700">
        <v>0.01</v>
      </c>
    </row>
    <row r="6701" spans="1:10" x14ac:dyDescent="0.3">
      <c r="A6701" t="str">
        <f>HYPERLINK("https://us2.cloudbeds.com/connect/10074733072513#/reservations/30681785213131?display=YQU9NWQHX&amp;reservation_id=30681785213131", "YQU9NWQHX")</f>
        <v>YQU9NWQHX</v>
      </c>
      <c r="B6701" t="s">
        <v>10</v>
      </c>
      <c r="C6701" t="s">
        <v>42</v>
      </c>
      <c r="D6701" t="str">
        <f>HYPERLINK("https://us2.cloudbeds.com/connect/10074733072513#/reservations/30681785213131?display=Brian%20Lee&amp;reservation_id=30681785213131&amp;guest_id=30681785213128", "Brian Lee")</f>
        <v>Brian Lee</v>
      </c>
      <c r="E6701" t="s">
        <v>3766</v>
      </c>
      <c r="F6701" t="s">
        <v>4235</v>
      </c>
      <c r="G6701">
        <v>79</v>
      </c>
      <c r="H6701">
        <v>85.88</v>
      </c>
      <c r="I6701">
        <v>85.87</v>
      </c>
      <c r="J6701">
        <v>0.01</v>
      </c>
    </row>
    <row r="6702" spans="1:10" x14ac:dyDescent="0.3">
      <c r="A6702" t="str">
        <f>HYPERLINK("https://us2.cloudbeds.com/connect/10074733072513#/reservations/30681803939986?display=YQUA6PTU0&amp;reservation_id=30681803939986", "YQUA6PTU0")</f>
        <v>YQUA6PTU0</v>
      </c>
      <c r="B6702" t="s">
        <v>10</v>
      </c>
      <c r="C6702" t="s">
        <v>121</v>
      </c>
      <c r="D6702" t="str">
        <f>HYPERLINK("https://us2.cloudbeds.com/connect/10074733072513#/reservations/30681803939986?display=Frank%20Nachtman&amp;reservation_id=30681803939986&amp;guest_id=30651451703549", "Frank Nachtman")</f>
        <v>Frank Nachtman</v>
      </c>
      <c r="E6702" t="s">
        <v>4242</v>
      </c>
      <c r="F6702" t="s">
        <v>4235</v>
      </c>
      <c r="G6702">
        <v>109</v>
      </c>
      <c r="H6702">
        <v>118.49</v>
      </c>
      <c r="I6702">
        <v>118.48</v>
      </c>
      <c r="J6702">
        <v>0.01</v>
      </c>
    </row>
    <row r="6703" spans="1:10" x14ac:dyDescent="0.3">
      <c r="A6703" t="str">
        <f>HYPERLINK("https://us2.cloudbeds.com/connect/10074733072513#/reservations/30681710366947?display=YQU7QT38C&amp;reservation_id=30681710366947", "YQU7QT38C")</f>
        <v>YQU7QT38C</v>
      </c>
      <c r="B6703" t="s">
        <v>10</v>
      </c>
      <c r="C6703" t="s">
        <v>23</v>
      </c>
      <c r="D6703" t="str">
        <f>HYPERLINK("https://us2.cloudbeds.com/connect/10074733072513#/reservations/30681710366947?display=Rebecca%20Hampel&amp;reservation_id=30681710366947&amp;guest_id=30681710366942", "Rebecca Hampel")</f>
        <v>Rebecca Hampel</v>
      </c>
      <c r="E6703" t="s">
        <v>4245</v>
      </c>
      <c r="F6703" t="s">
        <v>3343</v>
      </c>
      <c r="G6703">
        <v>149</v>
      </c>
      <c r="H6703">
        <v>161.97</v>
      </c>
      <c r="I6703">
        <v>161.96</v>
      </c>
      <c r="J6703">
        <v>0.01</v>
      </c>
    </row>
    <row r="6704" spans="1:10" x14ac:dyDescent="0.3">
      <c r="A6704" t="str">
        <f>HYPERLINK("https://us2.cloudbeds.com/connect/10074733072513#/reservations/31677017624713?display=MH8U7AZ99&amp;reservation_id=31677017624713", "MH8U7AZ99")</f>
        <v>MH8U7AZ99</v>
      </c>
      <c r="B6704" t="s">
        <v>10</v>
      </c>
      <c r="C6704" t="s">
        <v>42</v>
      </c>
      <c r="D6704" t="str">
        <f>HYPERLINK("https://us2.cloudbeds.com/connect/10074733072513#/reservations/31677017624713?display=Jess%20Westthal-%20Chircoine%20Wedding&amp;reservation_id=31677017624713&amp;guest_id=31677017620616", "Jess Westthal- Chircoine Wedding")</f>
        <v>Jess Westthal- Chircoine Wedding</v>
      </c>
      <c r="E6704" t="s">
        <v>4246</v>
      </c>
      <c r="F6704" t="s">
        <v>3650</v>
      </c>
      <c r="G6704">
        <v>149</v>
      </c>
      <c r="H6704">
        <v>161.97</v>
      </c>
      <c r="I6704">
        <v>161.96</v>
      </c>
      <c r="J6704">
        <v>0.01</v>
      </c>
    </row>
    <row r="6705" spans="1:10" x14ac:dyDescent="0.3">
      <c r="A6705" t="str">
        <f>HYPERLINK("https://us2.cloudbeds.com/connect/10074733072513#/reservations/30683461726413?display=YQVJXM8GB&amp;reservation_id=30683461726413", "YQVJXM8GB")</f>
        <v>YQVJXM8GB</v>
      </c>
      <c r="B6705" t="s">
        <v>10</v>
      </c>
      <c r="C6705" t="s">
        <v>42</v>
      </c>
      <c r="D6705" t="str">
        <f>HYPERLINK("https://us2.cloudbeds.com/connect/10074733072513#/reservations/30683461726413?display=Mike%20Oconnell&amp;reservation_id=30683461726413&amp;guest_id=30682508927211", "Mike Oconnell")</f>
        <v>Mike Oconnell</v>
      </c>
      <c r="E6705" t="s">
        <v>4247</v>
      </c>
      <c r="F6705" t="s">
        <v>4244</v>
      </c>
      <c r="G6705">
        <v>119</v>
      </c>
      <c r="H6705">
        <v>129.36000000000001</v>
      </c>
      <c r="I6705">
        <v>129.35</v>
      </c>
      <c r="J6705">
        <v>0.01</v>
      </c>
    </row>
    <row r="6706" spans="1:10" x14ac:dyDescent="0.3">
      <c r="A6706" t="str">
        <f>HYPERLINK("https://us2.cloudbeds.com/connect/10074733072513#/reservations/30683460432036?display=YQVJHJ7TQ&amp;reservation_id=30683460432036", "YQVJHJ7TQ")</f>
        <v>YQVJHJ7TQ</v>
      </c>
      <c r="B6706" t="s">
        <v>10</v>
      </c>
      <c r="C6706" t="s">
        <v>42</v>
      </c>
      <c r="D6706" t="str">
        <f>HYPERLINK("https://us2.cloudbeds.com/connect/10074733072513#/reservations/30683460432036?display=Joe%20Nate&amp;reservation_id=30683460432036&amp;guest_id=30683451281555", "Joe Nate")</f>
        <v>Joe Nate</v>
      </c>
      <c r="E6706" t="s">
        <v>4248</v>
      </c>
      <c r="F6706" t="s">
        <v>4244</v>
      </c>
      <c r="G6706">
        <v>79</v>
      </c>
      <c r="H6706">
        <v>85.88</v>
      </c>
      <c r="I6706">
        <v>85.87</v>
      </c>
      <c r="J6706">
        <v>0.01</v>
      </c>
    </row>
    <row r="6707" spans="1:10" x14ac:dyDescent="0.3">
      <c r="A6707" t="str">
        <f>HYPERLINK("https://us2.cloudbeds.com/connect/10074733072513#/reservations/30683416416409?display=YQVXDFEGU&amp;reservation_id=30683416416409", "YQVXDFEGU")</f>
        <v>YQVXDFEGU</v>
      </c>
      <c r="B6707" t="s">
        <v>10</v>
      </c>
      <c r="C6707" t="s">
        <v>23</v>
      </c>
      <c r="D6707" t="str">
        <f>HYPERLINK("https://us2.cloudbeds.com/connect/10074733072513#/reservations/30683416416409?display=Ann%20Boeke&amp;reservation_id=30683416416409&amp;guest_id=30683416412318", "Ann Boeke")</f>
        <v>Ann Boeke</v>
      </c>
      <c r="E6707" t="s">
        <v>4249</v>
      </c>
      <c r="F6707" t="s">
        <v>3820</v>
      </c>
      <c r="G6707">
        <v>119</v>
      </c>
      <c r="H6707">
        <v>129.36000000000001</v>
      </c>
      <c r="I6707">
        <v>129.35</v>
      </c>
      <c r="J6707">
        <v>0.01</v>
      </c>
    </row>
    <row r="6708" spans="1:10" x14ac:dyDescent="0.3">
      <c r="A6708" t="str">
        <f>HYPERLINK("https://us2.cloudbeds.com/connect/10074733072513#/reservations/30683392442502?display=YQVHQ8ATT&amp;reservation_id=30683392442502", "YQVHQ8ATT")</f>
        <v>YQVHQ8ATT</v>
      </c>
      <c r="B6708" t="s">
        <v>10</v>
      </c>
      <c r="C6708" t="s">
        <v>42</v>
      </c>
      <c r="D6708" t="str">
        <f>HYPERLINK("https://us2.cloudbeds.com/connect/10074733072513#/reservations/30683392442502?display=Kevin%20Tenkley&amp;reservation_id=30683392442502&amp;guest_id=30683388530908", "Kevin Tenkley")</f>
        <v>Kevin Tenkley</v>
      </c>
      <c r="E6708" t="s">
        <v>4250</v>
      </c>
      <c r="F6708" t="s">
        <v>3820</v>
      </c>
      <c r="G6708">
        <v>238</v>
      </c>
      <c r="H6708">
        <v>258.72000000000003</v>
      </c>
      <c r="I6708">
        <v>258.70999999999998</v>
      </c>
      <c r="J6708">
        <v>0.01</v>
      </c>
    </row>
    <row r="6709" spans="1:10" x14ac:dyDescent="0.3">
      <c r="A6709" t="str">
        <f>HYPERLINK("https://us2.cloudbeds.com/connect/10074733072513#/reservations/30681812840641?display=YQUAE9J4R&amp;reservation_id=30681812840641", "YQUAE9J4R")</f>
        <v>YQUAE9J4R</v>
      </c>
      <c r="B6709" t="s">
        <v>10</v>
      </c>
      <c r="C6709" t="s">
        <v>121</v>
      </c>
      <c r="D6709" t="str">
        <f>HYPERLINK("https://us2.cloudbeds.com/connect/10074733072513#/reservations/30681812840641?display=Heba%20Salem&amp;reservation_id=30681812840641&amp;guest_id=30681812836575", "Heba Salem")</f>
        <v>Heba Salem</v>
      </c>
      <c r="E6709" t="s">
        <v>4251</v>
      </c>
      <c r="F6709" t="s">
        <v>4235</v>
      </c>
      <c r="G6709">
        <v>119</v>
      </c>
      <c r="H6709">
        <v>129.36000000000001</v>
      </c>
      <c r="I6709">
        <v>129.35</v>
      </c>
      <c r="J6709">
        <v>0.01</v>
      </c>
    </row>
    <row r="6710" spans="1:10" x14ac:dyDescent="0.3">
      <c r="A6710" t="str">
        <f>HYPERLINK("https://us2.cloudbeds.com/connect/10074733072513#/reservations/30683188781208?display=YQVCJH53H&amp;reservation_id=30683188781208", "YQVCJH53H")</f>
        <v>YQVCJH53H</v>
      </c>
      <c r="B6710" t="s">
        <v>10</v>
      </c>
      <c r="C6710" t="s">
        <v>20</v>
      </c>
      <c r="D6710" t="str">
        <f>HYPERLINK("https://us2.cloudbeds.com/connect/10074733072513#/reservations/30683188781208?display=Nancy%20Taylor&amp;reservation_id=30683188781208&amp;guest_id=30683188777116", "Nancy Taylor")</f>
        <v>Nancy Taylor</v>
      </c>
      <c r="E6710" t="s">
        <v>4252</v>
      </c>
      <c r="F6710" t="s">
        <v>3922</v>
      </c>
      <c r="G6710">
        <v>129</v>
      </c>
      <c r="H6710">
        <v>140.22999999999999</v>
      </c>
      <c r="I6710">
        <v>140.22</v>
      </c>
      <c r="J6710">
        <v>0.01</v>
      </c>
    </row>
    <row r="6711" spans="1:10" x14ac:dyDescent="0.3">
      <c r="A6711" t="str">
        <f>HYPERLINK("https://us2.cloudbeds.com/connect/10074733072513#/reservations/31674176676041?display=MH6NKP4WJ&amp;reservation_id=31674176676041", "MH6NKP4WJ")</f>
        <v>MH6NKP4WJ</v>
      </c>
      <c r="B6711" t="s">
        <v>10</v>
      </c>
      <c r="C6711" t="s">
        <v>42</v>
      </c>
      <c r="D6711" t="str">
        <f>HYPERLINK("https://us2.cloudbeds.com/connect/10074733072513#/reservations/31674176676041?display=Melvin%20Vandenbos&amp;reservation_id=31674176676041&amp;guest_id=31674176676036", "Melvin Vandenbos")</f>
        <v>Melvin Vandenbos</v>
      </c>
      <c r="E6711" t="s">
        <v>4145</v>
      </c>
      <c r="F6711" t="s">
        <v>4141</v>
      </c>
      <c r="G6711">
        <v>139</v>
      </c>
      <c r="H6711">
        <v>151.1</v>
      </c>
      <c r="I6711">
        <v>151.09</v>
      </c>
      <c r="J6711">
        <v>0.01</v>
      </c>
    </row>
    <row r="6712" spans="1:10" x14ac:dyDescent="0.3">
      <c r="A6712" t="str">
        <f>HYPERLINK("https://us2.cloudbeds.com/connect/10074733072513#/reservations/30682546102517?display=YQUT5JM6M&amp;reservation_id=30682546102517", "YQUT5JM6M")</f>
        <v>YQUT5JM6M</v>
      </c>
      <c r="B6712" t="s">
        <v>10</v>
      </c>
      <c r="C6712" t="s">
        <v>42</v>
      </c>
      <c r="D6712" t="str">
        <f>HYPERLINK("https://us2.cloudbeds.com/connect/10074733072513#/reservations/30682546102517?display=Montez%20Manning&amp;reservation_id=30682546102517&amp;guest_id=30682546102515", "Montez Manning")</f>
        <v>Montez Manning</v>
      </c>
      <c r="E6712" t="s">
        <v>4253</v>
      </c>
      <c r="F6712" t="s">
        <v>3922</v>
      </c>
      <c r="G6712">
        <v>129</v>
      </c>
      <c r="H6712">
        <v>140.22999999999999</v>
      </c>
      <c r="I6712">
        <v>140.22</v>
      </c>
      <c r="J6712">
        <v>0.01</v>
      </c>
    </row>
    <row r="6713" spans="1:10" x14ac:dyDescent="0.3">
      <c r="A6713" t="str">
        <f>HYPERLINK("https://us2.cloudbeds.com/connect/10074733072513#/reservations/30683363897562?display=YQVH260RN&amp;reservation_id=30683363897562", "YQVH260RN")</f>
        <v>YQVH260RN</v>
      </c>
      <c r="B6713" t="s">
        <v>10</v>
      </c>
      <c r="C6713" t="s">
        <v>42</v>
      </c>
      <c r="D6713" t="str">
        <f>HYPERLINK("https://us2.cloudbeds.com/connect/10074733072513#/reservations/30683363897562?display=Anthony%20Hundley&amp;reservation_id=30683363897562&amp;guest_id=30683363897548", "Anthony Hundley")</f>
        <v>Anthony Hundley</v>
      </c>
      <c r="E6713" t="s">
        <v>4053</v>
      </c>
      <c r="F6713" t="s">
        <v>3820</v>
      </c>
      <c r="G6713">
        <v>73</v>
      </c>
      <c r="H6713">
        <v>79.36</v>
      </c>
      <c r="I6713">
        <v>79.349999999999994</v>
      </c>
      <c r="J6713">
        <v>0.01</v>
      </c>
    </row>
    <row r="6714" spans="1:10" x14ac:dyDescent="0.3">
      <c r="A6714" t="str">
        <f>HYPERLINK("https://us2.cloudbeds.com/connect/10074733072513#/reservations/30682871775399?display=YQV4G700T&amp;reservation_id=30682871775399", "YQV4G700T")</f>
        <v>YQV4G700T</v>
      </c>
      <c r="B6714" t="s">
        <v>10</v>
      </c>
      <c r="C6714" t="s">
        <v>11</v>
      </c>
      <c r="D6714" t="str">
        <f>HYPERLINK("https://us2.cloudbeds.com/connect/10074733072513#/reservations/30682871775399?display=Yoel%20Wazana&amp;reservation_id=30682871775399&amp;guest_id=30682871775394", "Yoel Wazana")</f>
        <v>Yoel Wazana</v>
      </c>
      <c r="E6714" t="s">
        <v>4254</v>
      </c>
      <c r="F6714" t="s">
        <v>3881</v>
      </c>
      <c r="G6714">
        <v>134.1</v>
      </c>
      <c r="H6714">
        <v>145.78</v>
      </c>
      <c r="I6714">
        <v>145.77000000000001</v>
      </c>
      <c r="J6714">
        <v>0.01</v>
      </c>
    </row>
    <row r="6715" spans="1:10" x14ac:dyDescent="0.3">
      <c r="A6715" t="str">
        <f>HYPERLINK("https://us2.cloudbeds.com/connect/10074733072513#/reservations/30682261954806?display=YQUYTWRRW&amp;reservation_id=30682261954806", "YQUYTWRRW")</f>
        <v>YQUYTWRRW</v>
      </c>
      <c r="B6715" t="s">
        <v>10</v>
      </c>
      <c r="C6715" t="s">
        <v>42</v>
      </c>
      <c r="D6715" t="str">
        <f>HYPERLINK("https://us2.cloudbeds.com/connect/10074733072513#/reservations/30682261954806?display=Teresa%20Grebner&amp;reservation_id=30682261954806&amp;guest_id=30682261954803", "Teresa Grebner")</f>
        <v>Teresa Grebner</v>
      </c>
      <c r="E6715" t="s">
        <v>4256</v>
      </c>
      <c r="F6715" t="s">
        <v>3343</v>
      </c>
      <c r="G6715">
        <v>258</v>
      </c>
      <c r="H6715">
        <v>280.45999999999998</v>
      </c>
      <c r="I6715">
        <v>280.45</v>
      </c>
      <c r="J6715">
        <v>0.01</v>
      </c>
    </row>
    <row r="6716" spans="1:10" x14ac:dyDescent="0.3">
      <c r="A6716" t="str">
        <f>HYPERLINK("https://us2.cloudbeds.com/connect/10074733072513#/reservations/30683376373954?display=YQVHCN6J6&amp;reservation_id=30683376373954", "YQVHCN6J6")</f>
        <v>YQVHCN6J6</v>
      </c>
      <c r="B6716" t="s">
        <v>10</v>
      </c>
      <c r="C6716" t="s">
        <v>42</v>
      </c>
      <c r="D6716" t="str">
        <f>HYPERLINK("https://us2.cloudbeds.com/connect/10074733072513#/reservations/30683376373954?display=Triston%20Mendenhall&amp;reservation_id=30683376373954&amp;guest_id=30683376369917", "Triston Mendenhall")</f>
        <v>Triston Mendenhall</v>
      </c>
      <c r="E6716" t="s">
        <v>4257</v>
      </c>
      <c r="F6716" t="s">
        <v>3820</v>
      </c>
      <c r="G6716">
        <v>73</v>
      </c>
      <c r="H6716">
        <v>79.36</v>
      </c>
      <c r="I6716">
        <v>79.349999999999994</v>
      </c>
      <c r="J6716">
        <v>0.01</v>
      </c>
    </row>
    <row r="6717" spans="1:10" x14ac:dyDescent="0.3">
      <c r="A6717" t="str">
        <f>HYPERLINK("https://us2.cloudbeds.com/connect/10074733072513#/reservations/30683472437435?display=YQVJRNA4P&amp;reservation_id=30683472437435", "YQVJRNA4P")</f>
        <v>YQVJRNA4P</v>
      </c>
      <c r="B6717" t="s">
        <v>10</v>
      </c>
      <c r="C6717" t="s">
        <v>121</v>
      </c>
      <c r="D6717" t="str">
        <f>HYPERLINK("https://us2.cloudbeds.com/connect/10074733072513#/reservations/30683472437435?display=Gerald%20Simonsen&amp;reservation_id=30683472437435&amp;guest_id=30683461730503", "Gerald Simonsen")</f>
        <v>Gerald Simonsen</v>
      </c>
      <c r="E6717" t="s">
        <v>4258</v>
      </c>
      <c r="F6717" t="s">
        <v>4244</v>
      </c>
      <c r="G6717">
        <v>119</v>
      </c>
      <c r="H6717">
        <v>129.36000000000001</v>
      </c>
      <c r="I6717">
        <v>129.35</v>
      </c>
      <c r="J6717">
        <v>0.01</v>
      </c>
    </row>
    <row r="6718" spans="1:10" x14ac:dyDescent="0.3">
      <c r="A6718" t="str">
        <f>HYPERLINK("https://us2.cloudbeds.com/connect/10074733072513#/reservations/30683370832046?display=YQVH80WJJ&amp;reservation_id=30683370832046", "YQVH80WJJ")</f>
        <v>YQVH80WJJ</v>
      </c>
      <c r="B6718" t="s">
        <v>10</v>
      </c>
      <c r="C6718" t="s">
        <v>42</v>
      </c>
      <c r="D6718" t="str">
        <f>HYPERLINK("https://us2.cloudbeds.com/connect/10074733072513#/reservations/30683370832046?display=Gregory%20Wacker&amp;reservation_id=30683370832046&amp;guest_id=30683370832034", "Gregory Wacker")</f>
        <v>Gregory Wacker</v>
      </c>
      <c r="E6718" t="s">
        <v>4260</v>
      </c>
      <c r="F6718" t="s">
        <v>3820</v>
      </c>
      <c r="G6718">
        <v>119</v>
      </c>
      <c r="H6718">
        <v>129.36000000000001</v>
      </c>
      <c r="I6718">
        <v>129.35</v>
      </c>
      <c r="J6718">
        <v>0.01</v>
      </c>
    </row>
    <row r="6719" spans="1:10" x14ac:dyDescent="0.3">
      <c r="A6719" t="str">
        <f>HYPERLINK("https://us2.cloudbeds.com/connect/10074733072513#/reservations/30681759854746?display=YQU92K5JY&amp;reservation_id=30681759854746", "YQU92K5JY")</f>
        <v>YQU92K5JY</v>
      </c>
      <c r="B6719" t="s">
        <v>10</v>
      </c>
      <c r="C6719" t="s">
        <v>14</v>
      </c>
      <c r="D6719" t="str">
        <f>HYPERLINK("https://us2.cloudbeds.com/connect/10074733072513#/reservations/30681759854746?display=Alan%20Probst&amp;reservation_id=30681759854746&amp;guest_id=30669745299677", "Alan Probst")</f>
        <v>Alan Probst</v>
      </c>
      <c r="E6719" t="s">
        <v>4261</v>
      </c>
      <c r="F6719" t="s">
        <v>4244</v>
      </c>
      <c r="G6719">
        <v>80.38</v>
      </c>
      <c r="H6719">
        <v>87.38</v>
      </c>
      <c r="I6719">
        <v>87.37</v>
      </c>
      <c r="J6719">
        <v>0.01</v>
      </c>
    </row>
    <row r="6720" spans="1:10" x14ac:dyDescent="0.3">
      <c r="A6720" t="str">
        <f>HYPERLINK("https://us2.cloudbeds.com/connect/10074733072513#/reservations/30683165892741?display=YQVC0787K&amp;reservation_id=30683165892741", "YQVC0787K")</f>
        <v>YQVC0787K</v>
      </c>
      <c r="B6720" t="s">
        <v>10</v>
      </c>
      <c r="C6720" t="s">
        <v>20</v>
      </c>
      <c r="D6720" t="str">
        <f>HYPERLINK("https://us2.cloudbeds.com/connect/10074733072513#/reservations/30683165892741?display=Marty%20Newman&amp;reservation_id=30683165892741&amp;guest_id=30683165892737", "Marty Newman")</f>
        <v>Marty Newman</v>
      </c>
      <c r="E6720" t="s">
        <v>4262</v>
      </c>
      <c r="F6720" t="s">
        <v>4206</v>
      </c>
      <c r="G6720">
        <v>141.55000000000001</v>
      </c>
      <c r="H6720">
        <v>153.87</v>
      </c>
      <c r="I6720">
        <v>153.86000000000001</v>
      </c>
      <c r="J6720">
        <v>0.01</v>
      </c>
    </row>
    <row r="6721" spans="1:10" x14ac:dyDescent="0.3">
      <c r="A6721" t="str">
        <f>HYPERLINK("https://us2.cloudbeds.com/connect/10074733072513#/reservations/30683130204314?display=YQVB345G4&amp;reservation_id=30683130204314", "YQVB345G4")</f>
        <v>YQVB345G4</v>
      </c>
      <c r="B6721" t="s">
        <v>10</v>
      </c>
      <c r="C6721" t="s">
        <v>42</v>
      </c>
      <c r="D6721" t="str">
        <f>HYPERLINK("https://us2.cloudbeds.com/connect/10074733072513#/reservations/30683130204314?display=Sheri%20Schneck&amp;reservation_id=30683130204314&amp;guest_id=30683130204302", "Sheri Schneck")</f>
        <v>Sheri Schneck</v>
      </c>
      <c r="E6721" t="s">
        <v>4263</v>
      </c>
      <c r="F6721" t="s">
        <v>4206</v>
      </c>
      <c r="G6721">
        <v>119</v>
      </c>
      <c r="H6721">
        <v>129.36000000000001</v>
      </c>
      <c r="I6721">
        <v>129.35</v>
      </c>
      <c r="J6721">
        <v>0.01</v>
      </c>
    </row>
    <row r="6722" spans="1:10" x14ac:dyDescent="0.3">
      <c r="A6722" t="str">
        <f>HYPERLINK("https://us2.cloudbeds.com/connect/10074733072513#/reservations/30683134853263?display=YQVB71HGC&amp;reservation_id=30683134853263", "YQVB71HGC")</f>
        <v>YQVB71HGC</v>
      </c>
      <c r="B6722" t="s">
        <v>10</v>
      </c>
      <c r="C6722" t="s">
        <v>23</v>
      </c>
      <c r="D6722" t="str">
        <f>HYPERLINK("https://us2.cloudbeds.com/connect/10074733072513#/reservations/30683134853263?display=James%20Betty&amp;reservation_id=30683134853263&amp;guest_id=30683134853258", "James Betty")</f>
        <v>James Betty</v>
      </c>
      <c r="E6722" t="s">
        <v>4264</v>
      </c>
      <c r="F6722" t="s">
        <v>4206</v>
      </c>
      <c r="G6722">
        <v>119</v>
      </c>
      <c r="H6722">
        <v>129.36000000000001</v>
      </c>
      <c r="I6722">
        <v>129.35</v>
      </c>
      <c r="J6722">
        <v>0.01</v>
      </c>
    </row>
    <row r="6723" spans="1:10" x14ac:dyDescent="0.3">
      <c r="A6723" t="str">
        <f>HYPERLINK("https://us2.cloudbeds.com/connect/10074733072513#/reservations/30682555666643?display=YQUTDYQMM&amp;reservation_id=30682555666643", "YQUTDYQMM")</f>
        <v>YQUTDYQMM</v>
      </c>
      <c r="B6723" t="s">
        <v>10</v>
      </c>
      <c r="C6723" t="s">
        <v>42</v>
      </c>
      <c r="D6723" t="str">
        <f>HYPERLINK("https://us2.cloudbeds.com/connect/10074733072513#/reservations/30682555666643?display=Marion%20Fortin&amp;reservation_id=30682555666643&amp;guest_id=30682555666626", "Marion Fortin")</f>
        <v>Marion Fortin</v>
      </c>
      <c r="E6723" t="s">
        <v>4265</v>
      </c>
      <c r="F6723" t="s">
        <v>3922</v>
      </c>
      <c r="G6723">
        <v>149</v>
      </c>
      <c r="H6723">
        <v>161.97</v>
      </c>
      <c r="I6723">
        <v>161.96</v>
      </c>
      <c r="J6723">
        <v>0.01</v>
      </c>
    </row>
    <row r="6724" spans="1:10" x14ac:dyDescent="0.3">
      <c r="A6724" t="str">
        <f>HYPERLINK("https://us2.cloudbeds.com/connect/10074733072513#/reservations/30682380886146?display=YQUZV99BW&amp;reservation_id=30682380886146", "YQUZV99BW")</f>
        <v>YQUZV99BW</v>
      </c>
      <c r="B6724" t="s">
        <v>10</v>
      </c>
      <c r="C6724" t="s">
        <v>11</v>
      </c>
      <c r="D6724" t="str">
        <f>HYPERLINK("https://us2.cloudbeds.com/connect/10074733072513#/reservations/30682380886146?display=Garry%20Sherman%20Jr.&amp;reservation_id=30682380886146&amp;guest_id=30682372727025", "Garry Sherman Jr.")</f>
        <v>Garry Sherman Jr.</v>
      </c>
      <c r="E6724" t="s">
        <v>4266</v>
      </c>
      <c r="F6724" t="s">
        <v>4267</v>
      </c>
      <c r="G6724">
        <v>96.81</v>
      </c>
      <c r="H6724">
        <v>105.24</v>
      </c>
      <c r="I6724">
        <v>105.23</v>
      </c>
      <c r="J6724">
        <v>0.01</v>
      </c>
    </row>
    <row r="6725" spans="1:10" x14ac:dyDescent="0.3">
      <c r="A6725" t="str">
        <f>HYPERLINK("https://us2.cloudbeds.com/connect/10074733072513#/reservations/30682561691809?display=YQUTXZFEF&amp;reservation_id=30682561691809", "YQUTXZFEF")</f>
        <v>YQUTXZFEF</v>
      </c>
      <c r="B6725" t="s">
        <v>10</v>
      </c>
      <c r="C6725" t="s">
        <v>42</v>
      </c>
      <c r="D6725" t="str">
        <f>HYPERLINK("https://us2.cloudbeds.com/connect/10074733072513#/reservations/30682561691809?display=Landon%20Reuer&amp;reservation_id=30682561691809&amp;guest_id=30682561687723", "Landon Reuer")</f>
        <v>Landon Reuer</v>
      </c>
      <c r="E6725" t="s">
        <v>4268</v>
      </c>
      <c r="F6725" t="s">
        <v>3922</v>
      </c>
      <c r="G6725">
        <v>149</v>
      </c>
      <c r="H6725">
        <v>161.97</v>
      </c>
      <c r="I6725">
        <v>161.96</v>
      </c>
      <c r="J6725">
        <v>0.01</v>
      </c>
    </row>
    <row r="6726" spans="1:10" x14ac:dyDescent="0.3">
      <c r="A6726" t="str">
        <f>HYPERLINK("https://us2.cloudbeds.com/connect/10074733072513#/reservations/30683099590857?display=YQVAAA9VK&amp;reservation_id=30683099590857", "YQVAAA9VK")</f>
        <v>YQVAAA9VK</v>
      </c>
      <c r="B6726" t="s">
        <v>10</v>
      </c>
      <c r="C6726" t="s">
        <v>42</v>
      </c>
      <c r="D6726" t="str">
        <f>HYPERLINK("https://us2.cloudbeds.com/connect/10074733072513#/reservations/30683099590857?display=Amy%20Thue&amp;reservation_id=30683099590857&amp;guest_id=30683099590852", "Amy Thue")</f>
        <v>Amy Thue</v>
      </c>
      <c r="E6726" t="s">
        <v>4269</v>
      </c>
      <c r="F6726" t="s">
        <v>4206</v>
      </c>
      <c r="G6726">
        <v>119</v>
      </c>
      <c r="H6726">
        <v>129.36000000000001</v>
      </c>
      <c r="I6726">
        <v>129.35</v>
      </c>
      <c r="J6726">
        <v>0.01</v>
      </c>
    </row>
    <row r="6727" spans="1:10" x14ac:dyDescent="0.3">
      <c r="A6727" t="str">
        <f>HYPERLINK("https://us2.cloudbeds.com/connect/10074733072513#/reservations/30682623553766?display=YQUV4TSY7&amp;reservation_id=30682623553766", "YQUV4TSY7")</f>
        <v>YQUV4TSY7</v>
      </c>
      <c r="B6727" t="s">
        <v>10</v>
      </c>
      <c r="C6727" t="s">
        <v>42</v>
      </c>
      <c r="D6727" t="str">
        <f>HYPERLINK("https://us2.cloudbeds.com/connect/10074733072513#/reservations/30682623553766?display=Cory%20Glick&amp;reservation_id=30682623553766&amp;guest_id=30679426039950", "Cory Glick")</f>
        <v>Cory Glick</v>
      </c>
      <c r="E6727" t="s">
        <v>2769</v>
      </c>
      <c r="F6727" t="s">
        <v>3922</v>
      </c>
      <c r="G6727">
        <v>158</v>
      </c>
      <c r="H6727">
        <v>171.76</v>
      </c>
      <c r="I6727">
        <v>171.75</v>
      </c>
      <c r="J6727">
        <v>0.01</v>
      </c>
    </row>
    <row r="6728" spans="1:10" x14ac:dyDescent="0.3">
      <c r="A6728" t="str">
        <f>HYPERLINK("https://us2.cloudbeds.com/connect/10074733072513#/reservations/30681727463659?display=YQU889RNX&amp;reservation_id=30681727463659", "YQU889RNX")</f>
        <v>YQU889RNX</v>
      </c>
      <c r="B6728" t="s">
        <v>10</v>
      </c>
      <c r="C6728" t="s">
        <v>23</v>
      </c>
      <c r="D6728" t="str">
        <f>HYPERLINK("https://us2.cloudbeds.com/connect/10074733072513#/reservations/30681727463659?display=Jessics%20Groothuis&amp;reservation_id=30681727463659&amp;guest_id=30681727463654", "Jessics Groothuis")</f>
        <v>Jessics Groothuis</v>
      </c>
      <c r="E6728" t="s">
        <v>4270</v>
      </c>
      <c r="F6728" t="s">
        <v>3343</v>
      </c>
      <c r="G6728">
        <v>238</v>
      </c>
      <c r="H6728">
        <v>258.72000000000003</v>
      </c>
      <c r="I6728">
        <v>258.70999999999998</v>
      </c>
      <c r="J6728">
        <v>0.01</v>
      </c>
    </row>
    <row r="6729" spans="1:10" x14ac:dyDescent="0.3">
      <c r="A6729" t="str">
        <f>HYPERLINK("https://us2.cloudbeds.com/connect/10074733072513#/reservations/30683382112404?display=YQVHHHT1K&amp;reservation_id=30683382112404", "YQVHHHT1K")</f>
        <v>YQVHHHT1K</v>
      </c>
      <c r="B6729" t="s">
        <v>10</v>
      </c>
      <c r="C6729" t="s">
        <v>121</v>
      </c>
      <c r="D6729" t="str">
        <f>HYPERLINK("https://us2.cloudbeds.com/connect/10074733072513#/reservations/30683382112404?display=Kevin%20Kuehn&amp;reservation_id=30683382112404&amp;guest_id=30683382112394", "Kevin Kuehn")</f>
        <v>Kevin Kuehn</v>
      </c>
      <c r="E6729" t="s">
        <v>4271</v>
      </c>
      <c r="F6729" t="s">
        <v>3820</v>
      </c>
      <c r="G6729">
        <v>119</v>
      </c>
      <c r="H6729">
        <v>129.36000000000001</v>
      </c>
      <c r="I6729">
        <v>129.35</v>
      </c>
      <c r="J6729">
        <v>0.01</v>
      </c>
    </row>
    <row r="6730" spans="1:10" x14ac:dyDescent="0.3">
      <c r="A6730" t="str">
        <f>HYPERLINK("https://us2.cloudbeds.com/connect/10074733072513#/reservations/30682574508252?display=YQUTTX3EH&amp;reservation_id=30682574508252", "YQUTTX3EH")</f>
        <v>YQUTTX3EH</v>
      </c>
      <c r="B6730" t="s">
        <v>10</v>
      </c>
      <c r="C6730" t="s">
        <v>42</v>
      </c>
      <c r="D6730" t="str">
        <f>HYPERLINK("https://us2.cloudbeds.com/connect/10074733072513#/reservations/30682574508252?display=Brian%20Lee&amp;reservation_id=30682574508252&amp;guest_id=30681785213128", "Brian Lee")</f>
        <v>Brian Lee</v>
      </c>
      <c r="E6730" t="s">
        <v>3766</v>
      </c>
      <c r="F6730" t="s">
        <v>3922</v>
      </c>
      <c r="G6730">
        <v>79</v>
      </c>
      <c r="H6730">
        <v>85.88</v>
      </c>
      <c r="I6730">
        <v>85.87</v>
      </c>
      <c r="J6730">
        <v>0.01</v>
      </c>
    </row>
    <row r="6731" spans="1:10" x14ac:dyDescent="0.3">
      <c r="A6731" t="str">
        <f>HYPERLINK("https://us2.cloudbeds.com/connect/10074733072513#/reservations/30682604450018?display=YQUUYQ95P&amp;reservation_id=30682604450018", "YQUUYQ95P")</f>
        <v>YQUUYQ95P</v>
      </c>
      <c r="B6731" t="s">
        <v>10</v>
      </c>
      <c r="C6731" t="s">
        <v>42</v>
      </c>
      <c r="D6731" t="str">
        <f>HYPERLINK("https://us2.cloudbeds.com/connect/10074733072513#/reservations/30682604450018?display=Gabreil%20Rufino&amp;reservation_id=30682604450018&amp;guest_id=30682604445926", "Gabreil Rufino")</f>
        <v>Gabreil Rufino</v>
      </c>
      <c r="E6731" t="s">
        <v>4272</v>
      </c>
      <c r="F6731" t="s">
        <v>3922</v>
      </c>
      <c r="G6731">
        <v>149</v>
      </c>
      <c r="H6731">
        <v>161.97</v>
      </c>
      <c r="I6731">
        <v>161.96</v>
      </c>
      <c r="J6731">
        <v>0.01</v>
      </c>
    </row>
    <row r="6732" spans="1:10" x14ac:dyDescent="0.3">
      <c r="A6732" t="str">
        <f>HYPERLINK("https://us2.cloudbeds.com/connect/10074733072513#/reservations/30683338764452?display=YQVGDWYPA&amp;reservation_id=30683338764452", "YQVGDWYPA")</f>
        <v>YQVGDWYPA</v>
      </c>
      <c r="B6732" t="s">
        <v>10</v>
      </c>
      <c r="C6732" t="s">
        <v>23</v>
      </c>
      <c r="D6732" t="str">
        <f>HYPERLINK("https://us2.cloudbeds.com/connect/10074733072513#/reservations/30683338764452?display=Mary%20Travnicek&amp;reservation_id=30683338764452&amp;guest_id=30683328790674", "Mary Travnicek")</f>
        <v>Mary Travnicek</v>
      </c>
      <c r="E6732" t="s">
        <v>4273</v>
      </c>
      <c r="F6732" t="s">
        <v>4274</v>
      </c>
      <c r="G6732">
        <v>129</v>
      </c>
      <c r="H6732">
        <v>140.22999999999999</v>
      </c>
      <c r="I6732">
        <v>140.22</v>
      </c>
      <c r="J6732">
        <v>0.01</v>
      </c>
    </row>
    <row r="6733" spans="1:10" x14ac:dyDescent="0.3">
      <c r="A6733" t="str">
        <f>HYPERLINK("https://us2.cloudbeds.com/connect/10074733072513#/reservations/30683117105335?display=YQVAP2M1C&amp;reservation_id=30683117105335", "YQVAP2M1C")</f>
        <v>YQVAP2M1C</v>
      </c>
      <c r="B6733" t="s">
        <v>10</v>
      </c>
      <c r="C6733" t="s">
        <v>42</v>
      </c>
      <c r="D6733" t="str">
        <f>HYPERLINK("https://us2.cloudbeds.com/connect/10074733072513#/reservations/30683117105335?display=Chance%20Mcneil&amp;reservation_id=30683117105335&amp;guest_id=30683107958944", "Chance Mcneil")</f>
        <v>Chance Mcneil</v>
      </c>
      <c r="E6733" t="s">
        <v>4275</v>
      </c>
      <c r="F6733" t="s">
        <v>4206</v>
      </c>
      <c r="G6733">
        <v>119</v>
      </c>
      <c r="H6733">
        <v>129.36000000000001</v>
      </c>
      <c r="I6733">
        <v>129.35</v>
      </c>
      <c r="J6733">
        <v>0.01</v>
      </c>
    </row>
    <row r="6734" spans="1:10" x14ac:dyDescent="0.3">
      <c r="A6734" t="str">
        <f>HYPERLINK("https://us2.cloudbeds.com/connect/10074733072513#/reservations/30683328786582?display=YQVG5J0BK&amp;reservation_id=30683328786582", "YQVG5J0BK")</f>
        <v>YQVG5J0BK</v>
      </c>
      <c r="B6734" t="s">
        <v>10</v>
      </c>
      <c r="C6734" t="s">
        <v>23</v>
      </c>
      <c r="D6734" t="str">
        <f>HYPERLINK("https://us2.cloudbeds.com/connect/10074733072513#/reservations/30683328786582?display=Kaitlin%20Travnicek&amp;reservation_id=30683328786582&amp;guest_id=30683328786568", "Kaitlin Travnicek")</f>
        <v>Kaitlin Travnicek</v>
      </c>
      <c r="E6734" t="s">
        <v>4273</v>
      </c>
      <c r="F6734" t="s">
        <v>4274</v>
      </c>
      <c r="G6734">
        <v>129</v>
      </c>
      <c r="H6734">
        <v>140.22999999999999</v>
      </c>
      <c r="I6734">
        <v>140.22</v>
      </c>
      <c r="J6734">
        <v>0.01</v>
      </c>
    </row>
    <row r="6735" spans="1:10" x14ac:dyDescent="0.3">
      <c r="A6735" t="str">
        <f>HYPERLINK("https://us2.cloudbeds.com/connect/10074733072513#/reservations/30682568118471?display=YQUTZ59SQ&amp;reservation_id=30682568118471", "YQUTZ59SQ")</f>
        <v>YQUTZ59SQ</v>
      </c>
      <c r="B6735" t="s">
        <v>10</v>
      </c>
      <c r="C6735" t="s">
        <v>42</v>
      </c>
      <c r="D6735" t="str">
        <f>HYPERLINK("https://us2.cloudbeds.com/connect/10074733072513#/reservations/30682568118471?display=Joe%20Hoffman&amp;reservation_id=30682568118471&amp;guest_id=30682568118466", "Joe Hoffman")</f>
        <v>Joe Hoffman</v>
      </c>
      <c r="E6735" t="s">
        <v>4276</v>
      </c>
      <c r="F6735" t="s">
        <v>3922</v>
      </c>
      <c r="G6735">
        <v>113</v>
      </c>
      <c r="H6735">
        <v>122.84</v>
      </c>
      <c r="I6735">
        <v>122.83</v>
      </c>
      <c r="J6735">
        <v>0.01</v>
      </c>
    </row>
    <row r="6736" spans="1:10" x14ac:dyDescent="0.3">
      <c r="A6736" t="str">
        <f>HYPERLINK("https://us2.cloudbeds.com/connect/10074733072513#/reservations/30683017257105?display=YQV86T81D&amp;reservation_id=30683017257105", "YQV86T81D")</f>
        <v>YQV86T81D</v>
      </c>
      <c r="B6736" t="s">
        <v>10</v>
      </c>
      <c r="C6736" t="s">
        <v>17</v>
      </c>
      <c r="D6736" t="str">
        <f>HYPERLINK("https://us2.cloudbeds.com/connect/10074733072513#/reservations/30683017257105?display=Matthew%20Schempp&amp;reservation_id=30683017257105&amp;guest_id=30683017253020", "Matthew Schempp")</f>
        <v>Matthew Schempp</v>
      </c>
      <c r="E6736" t="s">
        <v>4278</v>
      </c>
      <c r="F6736" t="s">
        <v>4279</v>
      </c>
      <c r="G6736">
        <v>109</v>
      </c>
      <c r="H6736">
        <v>118.49</v>
      </c>
      <c r="I6736">
        <v>118.48</v>
      </c>
      <c r="J6736">
        <v>0.01</v>
      </c>
    </row>
    <row r="6737" spans="1:10" x14ac:dyDescent="0.3">
      <c r="A6737" t="str">
        <f>HYPERLINK("https://us2.cloudbeds.com/connect/10074733072513#/reservations/30681451167886?display=YQU16AGJC&amp;reservation_id=30681451167886", "YQU16AGJC")</f>
        <v>YQU16AGJC</v>
      </c>
      <c r="B6737" t="s">
        <v>10</v>
      </c>
      <c r="C6737" t="s">
        <v>42</v>
      </c>
      <c r="D6737" t="str">
        <f>HYPERLINK("https://us2.cloudbeds.com/connect/10074733072513#/reservations/30681451167886?display=Charles%20Campbell&amp;reservation_id=30681451167886&amp;guest_id=30681451167872", "Charles Campbell")</f>
        <v>Charles Campbell</v>
      </c>
      <c r="E6737" t="s">
        <v>4280</v>
      </c>
      <c r="F6737" t="s">
        <v>3760</v>
      </c>
      <c r="G6737">
        <v>258</v>
      </c>
      <c r="H6737">
        <v>280.45999999999998</v>
      </c>
      <c r="I6737">
        <v>280.45</v>
      </c>
      <c r="J6737">
        <v>0.01</v>
      </c>
    </row>
    <row r="6738" spans="1:10" x14ac:dyDescent="0.3">
      <c r="A6738" t="str">
        <f>HYPERLINK("https://us2.cloudbeds.com/connect/10074733072513#/reservations/30682368557303?display=YQUZKT73M&amp;reservation_id=30682368557303", "YQUZKT73M")</f>
        <v>YQUZKT73M</v>
      </c>
      <c r="B6738" t="s">
        <v>10</v>
      </c>
      <c r="C6738" t="s">
        <v>42</v>
      </c>
      <c r="D6738" t="str">
        <f>HYPERLINK("https://us2.cloudbeds.com/connect/10074733072513#/reservations/30682368557303?display=Janet%20Clark&amp;reservation_id=30682368557303&amp;guest_id=30682368557301", "Janet Clark")</f>
        <v>Janet Clark</v>
      </c>
      <c r="E6738" t="s">
        <v>4281</v>
      </c>
      <c r="F6738" t="s">
        <v>4013</v>
      </c>
      <c r="G6738">
        <v>119</v>
      </c>
      <c r="H6738">
        <v>129.36000000000001</v>
      </c>
      <c r="I6738">
        <v>129.35</v>
      </c>
      <c r="J6738">
        <v>0.01</v>
      </c>
    </row>
    <row r="6739" spans="1:10" x14ac:dyDescent="0.3">
      <c r="A6739" t="str">
        <f>HYPERLINK("https://us2.cloudbeds.com/connect/10074733072513#/reservations/30681913532552?display=YQUD06FSS&amp;reservation_id=30681913532552", "YQUD06FSS")</f>
        <v>YQUD06FSS</v>
      </c>
      <c r="B6739" t="s">
        <v>10</v>
      </c>
      <c r="C6739" t="s">
        <v>42</v>
      </c>
      <c r="D6739" t="str">
        <f>HYPERLINK("https://us2.cloudbeds.com/connect/10074733072513#/reservations/30681913532552?display=Kenna%20Anderson&amp;reservation_id=30681913532552&amp;guest_id=30681913532547", "Kenna Anderson")</f>
        <v>Kenna Anderson</v>
      </c>
      <c r="E6739" t="s">
        <v>4282</v>
      </c>
      <c r="F6739" t="s">
        <v>4283</v>
      </c>
      <c r="G6739">
        <v>149</v>
      </c>
      <c r="H6739">
        <v>161.97</v>
      </c>
      <c r="I6739">
        <v>161.96</v>
      </c>
      <c r="J6739">
        <v>0.01</v>
      </c>
    </row>
    <row r="6740" spans="1:10" x14ac:dyDescent="0.3">
      <c r="A6740" t="str">
        <f>HYPERLINK("https://us2.cloudbeds.com/connect/10074733072513#/reservations/30683285852379?display=YQVF2CA04&amp;reservation_id=30683285852379", "YQVF2CA04")</f>
        <v>YQVF2CA04</v>
      </c>
      <c r="B6740" t="s">
        <v>10</v>
      </c>
      <c r="C6740" t="s">
        <v>17</v>
      </c>
      <c r="D6740" t="str">
        <f>HYPERLINK("https://us2.cloudbeds.com/connect/10074733072513#/reservations/30683285852379?display=Dean%20Faust&amp;reservation_id=30683285852379&amp;guest_id=30683278516365", "Dean Faust")</f>
        <v>Dean Faust</v>
      </c>
      <c r="E6740" t="s">
        <v>4284</v>
      </c>
      <c r="F6740" t="s">
        <v>4237</v>
      </c>
      <c r="G6740">
        <v>129</v>
      </c>
      <c r="H6740">
        <v>140.22999999999999</v>
      </c>
      <c r="I6740">
        <v>140.22</v>
      </c>
      <c r="J6740">
        <v>0.01</v>
      </c>
    </row>
    <row r="6741" spans="1:10" x14ac:dyDescent="0.3">
      <c r="A6741" t="str">
        <f>HYPERLINK("https://us2.cloudbeds.com/connect/10074733072513#/reservations/30682805923983?display=YQV2QMJDE&amp;reservation_id=30682805923983", "YQV2QMJDE")</f>
        <v>YQV2QMJDE</v>
      </c>
      <c r="B6741" t="s">
        <v>10</v>
      </c>
      <c r="C6741" t="s">
        <v>42</v>
      </c>
      <c r="D6741" t="str">
        <f>HYPERLINK("https://us2.cloudbeds.com/connect/10074733072513#/reservations/30682805923983?display=Stacie%20Kisor&amp;reservation_id=30682805923983&amp;guest_id=30681976271044", "Stacie Kisor")</f>
        <v>Stacie Kisor</v>
      </c>
      <c r="E6741" t="s">
        <v>4182</v>
      </c>
      <c r="F6741" t="s">
        <v>3881</v>
      </c>
      <c r="G6741">
        <v>139</v>
      </c>
      <c r="H6741">
        <v>151.1</v>
      </c>
      <c r="I6741">
        <v>151.09</v>
      </c>
      <c r="J6741">
        <v>0.01</v>
      </c>
    </row>
    <row r="6742" spans="1:10" x14ac:dyDescent="0.3">
      <c r="A6742" t="str">
        <f>HYPERLINK("https://us2.cloudbeds.com/connect/10074733072513#/reservations/30683295555742?display=YQVFAXABF&amp;reservation_id=30683295555742", "YQVFAXABF")</f>
        <v>YQVFAXABF</v>
      </c>
      <c r="B6742" t="s">
        <v>10</v>
      </c>
      <c r="C6742" t="s">
        <v>42</v>
      </c>
      <c r="D6742" t="str">
        <f>HYPERLINK("https://us2.cloudbeds.com/connect/10074733072513#/reservations/30683295555742?display=Dave%20Mccandless&amp;reservation_id=30683295555742&amp;guest_id=30683295551650", "Dave Mccandless")</f>
        <v>Dave Mccandless</v>
      </c>
      <c r="E6742" t="s">
        <v>3497</v>
      </c>
      <c r="F6742" t="s">
        <v>4274</v>
      </c>
      <c r="G6742">
        <v>89</v>
      </c>
      <c r="H6742">
        <v>96.75</v>
      </c>
      <c r="I6742">
        <v>96.74</v>
      </c>
      <c r="J6742">
        <v>0.01</v>
      </c>
    </row>
    <row r="6743" spans="1:10" x14ac:dyDescent="0.3">
      <c r="A6743" t="str">
        <f>HYPERLINK("https://us2.cloudbeds.com/connect/10074733072513#/reservations/30683309854920?display=YQVFMK6TT&amp;reservation_id=30683309854920", "YQVFMK6TT")</f>
        <v>YQVFMK6TT</v>
      </c>
      <c r="B6743" t="s">
        <v>10</v>
      </c>
      <c r="C6743" t="s">
        <v>42</v>
      </c>
      <c r="D6743" t="str">
        <f>HYPERLINK("https://us2.cloudbeds.com/connect/10074733072513#/reservations/30683309854920?display=Adam%20Greenfield&amp;reservation_id=30683309854920&amp;guest_id=30677126226140", "Adam Greenfield")</f>
        <v>Adam Greenfield</v>
      </c>
      <c r="E6743" t="s">
        <v>4288</v>
      </c>
      <c r="F6743" t="s">
        <v>4274</v>
      </c>
      <c r="G6743">
        <v>129</v>
      </c>
      <c r="H6743">
        <v>140.22999999999999</v>
      </c>
      <c r="I6743">
        <v>140.22</v>
      </c>
      <c r="J6743">
        <v>0.01</v>
      </c>
    </row>
    <row r="6744" spans="1:10" x14ac:dyDescent="0.3">
      <c r="A6744" t="str">
        <f>HYPERLINK("https://us2.cloudbeds.com/connect/10074733072513#/reservations/30683292356858?display=YQVF7S9TJ&amp;reservation_id=30683292356858", "YQVF7S9TJ")</f>
        <v>YQVF7S9TJ</v>
      </c>
      <c r="B6744" t="s">
        <v>10</v>
      </c>
      <c r="C6744" t="s">
        <v>42</v>
      </c>
      <c r="D6744" t="str">
        <f>HYPERLINK("https://us2.cloudbeds.com/connect/10074733072513#/reservations/30683292356858?display=Leta%20Gribble&amp;reservation_id=30683292356858&amp;guest_id=30683283300512", "Leta Gribble")</f>
        <v>Leta Gribble</v>
      </c>
      <c r="E6744" t="s">
        <v>4289</v>
      </c>
      <c r="F6744" t="s">
        <v>4237</v>
      </c>
      <c r="G6744">
        <v>109</v>
      </c>
      <c r="H6744">
        <v>118.49</v>
      </c>
      <c r="I6744">
        <v>118.48</v>
      </c>
      <c r="J6744">
        <v>0.01</v>
      </c>
    </row>
    <row r="6745" spans="1:10" x14ac:dyDescent="0.3">
      <c r="A6745" t="str">
        <f>HYPERLINK("https://us2.cloudbeds.com/connect/10074733072513#/reservations/31686632734861?display=MHGBU1BHF&amp;reservation_id=31686632734861", "MHGBU1BHF")</f>
        <v>MHGBU1BHF</v>
      </c>
      <c r="B6745" t="s">
        <v>10</v>
      </c>
      <c r="C6745" t="s">
        <v>20</v>
      </c>
      <c r="D6745" t="str">
        <f>HYPERLINK("https://us2.cloudbeds.com/connect/10074733072513#/reservations/31686632734861?display=Kenneth%20Lieblein&amp;reservation_id=31686632734861&amp;guest_id=31686632730813", "Kenneth Lieblein")</f>
        <v>Kenneth Lieblein</v>
      </c>
      <c r="E6745" t="s">
        <v>4290</v>
      </c>
      <c r="F6745" t="s">
        <v>4291</v>
      </c>
      <c r="G6745">
        <v>79</v>
      </c>
      <c r="H6745">
        <v>85.88</v>
      </c>
      <c r="I6745">
        <v>85.87</v>
      </c>
      <c r="J6745">
        <v>0.01</v>
      </c>
    </row>
    <row r="6746" spans="1:10" x14ac:dyDescent="0.3">
      <c r="A6746" t="str">
        <f>HYPERLINK("https://us2.cloudbeds.com/connect/10074733072513#/reservations/30682669326576?display=YQUWAGXK2&amp;reservation_id=30682669326576", "YQUWAGXK2")</f>
        <v>YQUWAGXK2</v>
      </c>
      <c r="B6746" t="s">
        <v>10</v>
      </c>
      <c r="C6746" t="s">
        <v>11</v>
      </c>
      <c r="D6746" t="str">
        <f>HYPERLINK("https://us2.cloudbeds.com/connect/10074733072513#/reservations/30682669326576?display=Anthony%20Niccoli&amp;reservation_id=30682669326576&amp;guest_id=30682669326574", "Anthony Niccoli")</f>
        <v>Anthony Niccoli</v>
      </c>
      <c r="E6746" t="s">
        <v>4292</v>
      </c>
      <c r="F6746" t="s">
        <v>3171</v>
      </c>
      <c r="G6746">
        <v>179</v>
      </c>
      <c r="H6746">
        <v>194.58</v>
      </c>
      <c r="I6746">
        <v>194.57</v>
      </c>
      <c r="J6746">
        <v>0.01</v>
      </c>
    </row>
    <row r="6747" spans="1:10" x14ac:dyDescent="0.3">
      <c r="A6747" t="str">
        <f>HYPERLINK("https://us2.cloudbeds.com/connect/10074733072513#/reservations/30681866154148?display=YQUBQ83HJ&amp;reservation_id=30681866154148", "YQUBQ83HJ")</f>
        <v>YQUBQ83HJ</v>
      </c>
      <c r="B6747" t="s">
        <v>10</v>
      </c>
      <c r="C6747" t="s">
        <v>20</v>
      </c>
      <c r="D6747" t="str">
        <f>HYPERLINK("https://us2.cloudbeds.com/connect/10074733072513#/reservations/30681866154148?display=Tammy%20Meyer&amp;reservation_id=30681866154148&amp;guest_id=30681856450776", "Tammy Meyer")</f>
        <v>Tammy Meyer</v>
      </c>
      <c r="E6747" t="s">
        <v>4293</v>
      </c>
      <c r="F6747" t="s">
        <v>3881</v>
      </c>
      <c r="G6747">
        <v>129</v>
      </c>
      <c r="H6747">
        <v>140.22999999999999</v>
      </c>
      <c r="I6747">
        <v>140.22</v>
      </c>
      <c r="J6747">
        <v>0.01</v>
      </c>
    </row>
    <row r="6748" spans="1:10" x14ac:dyDescent="0.3">
      <c r="A6748" t="str">
        <f>HYPERLINK("https://us2.cloudbeds.com/connect/10074733072513#/reservations/30681467953373?display=YQU1KFJ8G&amp;reservation_id=30681467953373", "YQU1KFJ8G")</f>
        <v>YQU1KFJ8G</v>
      </c>
      <c r="B6748" t="s">
        <v>10</v>
      </c>
      <c r="C6748" t="s">
        <v>42</v>
      </c>
      <c r="D6748" t="str">
        <f>HYPERLINK("https://us2.cloudbeds.com/connect/10074733072513#/reservations/30681467953373?display=Timothy%20Campbell&amp;reservation_id=30681467953373&amp;guest_id=30681467953370", "Timothy Campbell")</f>
        <v>Timothy Campbell</v>
      </c>
      <c r="E6748" t="s">
        <v>4294</v>
      </c>
      <c r="F6748" t="s">
        <v>3760</v>
      </c>
      <c r="G6748">
        <v>149</v>
      </c>
      <c r="H6748">
        <v>161.97</v>
      </c>
      <c r="I6748">
        <v>161.96</v>
      </c>
      <c r="J6748">
        <v>0.01</v>
      </c>
    </row>
    <row r="6749" spans="1:10" x14ac:dyDescent="0.3">
      <c r="A6749" t="str">
        <f>HYPERLINK("https://us2.cloudbeds.com/connect/10074733072513#/reservations/30682657317060?display=YQUW0CCJB&amp;reservation_id=30682657317060", "YQUW0CCJB")</f>
        <v>YQUW0CCJB</v>
      </c>
      <c r="B6749" t="s">
        <v>10</v>
      </c>
      <c r="C6749" t="s">
        <v>42</v>
      </c>
      <c r="D6749" t="str">
        <f>HYPERLINK("https://us2.cloudbeds.com/connect/10074733072513#/reservations/30682657317060?display=Ashley%20Kirchner&amp;reservation_id=30682657317060&amp;guest_id=30682657312975", "Ashley Kirchner")</f>
        <v>Ashley Kirchner</v>
      </c>
      <c r="E6749" t="s">
        <v>4295</v>
      </c>
      <c r="F6749" t="s">
        <v>3171</v>
      </c>
      <c r="G6749">
        <v>222</v>
      </c>
      <c r="H6749">
        <v>241.32</v>
      </c>
      <c r="I6749">
        <v>241.31</v>
      </c>
      <c r="J6749">
        <v>0.01</v>
      </c>
    </row>
    <row r="6750" spans="1:10" x14ac:dyDescent="0.3">
      <c r="A6750" t="str">
        <f>HYPERLINK("https://us2.cloudbeds.com/connect/10074733072513#/reservations/30683297247438?display=YQVFBWCPW&amp;reservation_id=30683297247438", "YQVFBWCPW")</f>
        <v>YQVFBWCPW</v>
      </c>
      <c r="B6750" t="s">
        <v>10</v>
      </c>
      <c r="C6750" t="s">
        <v>42</v>
      </c>
      <c r="D6750" t="str">
        <f>HYPERLINK("https://us2.cloudbeds.com/connect/10074733072513#/reservations/30683297247438?display=Leta%20Debbie%20Fiisher&amp;reservation_id=30683297247438&amp;guest_id=30683297247434", "Leta Debbie Fiisher")</f>
        <v>Leta Debbie Fiisher</v>
      </c>
      <c r="E6750" t="s">
        <v>4289</v>
      </c>
      <c r="F6750" t="s">
        <v>4237</v>
      </c>
      <c r="G6750">
        <v>109</v>
      </c>
      <c r="H6750">
        <v>118.49</v>
      </c>
      <c r="I6750">
        <v>118.48</v>
      </c>
      <c r="J6750">
        <v>0.01</v>
      </c>
    </row>
    <row r="6751" spans="1:10" x14ac:dyDescent="0.3">
      <c r="A6751" t="str">
        <f>HYPERLINK("https://us2.cloudbeds.com/connect/10074733072513#/reservations/30683316523163?display=YQVFS7P5S&amp;reservation_id=30683316523163", "YQVFS7P5S")</f>
        <v>YQVFS7P5S</v>
      </c>
      <c r="B6751" t="s">
        <v>10</v>
      </c>
      <c r="C6751" t="s">
        <v>42</v>
      </c>
      <c r="D6751" t="str">
        <f>HYPERLINK("https://us2.cloudbeds.com/connect/10074733072513#/reservations/30683316523163?display=Tim%20Buettner&amp;reservation_id=30683316523163&amp;guest_id=30683309859018", "Tim Buettner")</f>
        <v>Tim Buettner</v>
      </c>
      <c r="E6751" t="s">
        <v>4296</v>
      </c>
      <c r="F6751" t="s">
        <v>4274</v>
      </c>
      <c r="G6751">
        <v>129</v>
      </c>
      <c r="H6751">
        <v>140.22999999999999</v>
      </c>
      <c r="I6751">
        <v>140.22</v>
      </c>
      <c r="J6751">
        <v>0.01</v>
      </c>
    </row>
    <row r="6752" spans="1:10" x14ac:dyDescent="0.3">
      <c r="A6752" t="str">
        <f>HYPERLINK("https://us2.cloudbeds.com/connect/10074733072513#/reservations/30682226192591?display=YQUKWRNBG&amp;reservation_id=30682226192591", "YQUKWRNBG")</f>
        <v>YQUKWRNBG</v>
      </c>
      <c r="B6752" t="s">
        <v>10</v>
      </c>
      <c r="C6752" t="s">
        <v>42</v>
      </c>
      <c r="D6752" t="str">
        <f>HYPERLINK("https://us2.cloudbeds.com/connect/10074733072513#/reservations/30682226192591?display=William%20Lansdowne&amp;reservation_id=30682226192591&amp;guest_id=30682226188495", "William Lansdowne")</f>
        <v>William Lansdowne</v>
      </c>
      <c r="E6752" t="s">
        <v>4297</v>
      </c>
      <c r="F6752" t="s">
        <v>3688</v>
      </c>
      <c r="G6752">
        <v>250</v>
      </c>
      <c r="H6752">
        <v>271.76</v>
      </c>
      <c r="I6752">
        <v>271.75</v>
      </c>
      <c r="J6752">
        <v>0.01</v>
      </c>
    </row>
    <row r="6753" spans="1:10" x14ac:dyDescent="0.3">
      <c r="A6753" t="str">
        <f>HYPERLINK("https://us2.cloudbeds.com/connect/10074733072513#/reservations/31671853179028?display=MH4U8HDU6&amp;reservation_id=31671853179028", "MH4U8HDU6")</f>
        <v>MH4U8HDU6</v>
      </c>
      <c r="B6753" t="s">
        <v>10</v>
      </c>
      <c r="C6753" t="s">
        <v>17</v>
      </c>
      <c r="D6753" t="str">
        <f>HYPERLINK("https://us2.cloudbeds.com/connect/10074733072513#/reservations/31671853179028?display=Carla%20Pica&amp;reservation_id=31671853179028&amp;guest_id=31671848591543", "Carla Pica")</f>
        <v>Carla Pica</v>
      </c>
      <c r="E6753" t="s">
        <v>4299</v>
      </c>
      <c r="F6753" t="s">
        <v>4300</v>
      </c>
      <c r="G6753">
        <v>278</v>
      </c>
      <c r="H6753">
        <v>302.2</v>
      </c>
      <c r="I6753">
        <v>302.19</v>
      </c>
      <c r="J6753">
        <v>0.01</v>
      </c>
    </row>
    <row r="6754" spans="1:10" x14ac:dyDescent="0.3">
      <c r="A6754" t="str">
        <f>HYPERLINK("https://us2.cloudbeds.com/connect/10074733072513#/reservations/30682373206227?display=YQUZZQJ35&amp;reservation_id=30682373206227", "YQUZZQJ35")</f>
        <v>YQUZZQJ35</v>
      </c>
      <c r="B6754" t="s">
        <v>10</v>
      </c>
      <c r="C6754" t="s">
        <v>42</v>
      </c>
      <c r="D6754" t="str">
        <f>HYPERLINK("https://us2.cloudbeds.com/connect/10074733072513#/reservations/30682373206227?display=Rhonda%20Martenson&amp;reservation_id=30682373206227&amp;guest_id=30682373206225", "Rhonda Martenson")</f>
        <v>Rhonda Martenson</v>
      </c>
      <c r="E6754" t="s">
        <v>4301</v>
      </c>
      <c r="F6754" t="s">
        <v>4013</v>
      </c>
      <c r="G6754">
        <v>149</v>
      </c>
      <c r="H6754">
        <v>161.97</v>
      </c>
      <c r="I6754">
        <v>161.96</v>
      </c>
      <c r="J6754">
        <v>0.01</v>
      </c>
    </row>
    <row r="6755" spans="1:10" x14ac:dyDescent="0.3">
      <c r="A6755" t="str">
        <f>HYPERLINK("https://us2.cloudbeds.com/connect/10074733072513#/reservations/30683303702691?display=YQVFHE0FN&amp;reservation_id=30683303702691", "YQVFHE0FN")</f>
        <v>YQVFHE0FN</v>
      </c>
      <c r="B6755" t="s">
        <v>10</v>
      </c>
      <c r="C6755" t="s">
        <v>42</v>
      </c>
      <c r="D6755" t="str">
        <f>HYPERLINK("https://us2.cloudbeds.com/connect/10074733072513#/reservations/30683303702691?display=Alex-%20Alvin%20Friest%20--%20Gunter&amp;reservation_id=30683303702691&amp;guest_id=30683303702685", "Alex- Alvin Friest -- Gunter")</f>
        <v>Alex- Alvin Friest -- Gunter</v>
      </c>
      <c r="E6755" t="s">
        <v>4304</v>
      </c>
      <c r="F6755" t="s">
        <v>4237</v>
      </c>
      <c r="G6755">
        <v>119</v>
      </c>
      <c r="H6755">
        <v>129.36000000000001</v>
      </c>
      <c r="I6755">
        <v>129.35</v>
      </c>
      <c r="J6755">
        <v>0.01</v>
      </c>
    </row>
    <row r="6756" spans="1:10" x14ac:dyDescent="0.3">
      <c r="A6756" t="str">
        <f>HYPERLINK("https://us2.cloudbeds.com/connect/10074733072513#/reservations/30682223136945?display=YQUKU8ME5&amp;reservation_id=30682223136945", "YQUKU8ME5")</f>
        <v>YQUKU8ME5</v>
      </c>
      <c r="B6756" t="s">
        <v>10</v>
      </c>
      <c r="C6756" t="s">
        <v>42</v>
      </c>
      <c r="D6756" t="str">
        <f>HYPERLINK("https://us2.cloudbeds.com/connect/10074733072513#/reservations/30682223136945?display=Cassandra%20Lansdowne&amp;reservation_id=30682223136945&amp;guest_id=30682214908053", "Cassandra Lansdowne")</f>
        <v>Cassandra Lansdowne</v>
      </c>
      <c r="E6756" t="s">
        <v>4297</v>
      </c>
      <c r="F6756" t="s">
        <v>3688</v>
      </c>
      <c r="G6756">
        <v>234.65</v>
      </c>
      <c r="H6756">
        <v>255.07</v>
      </c>
      <c r="I6756">
        <v>255.06</v>
      </c>
      <c r="J6756">
        <v>0.01</v>
      </c>
    </row>
    <row r="6757" spans="1:10" x14ac:dyDescent="0.3">
      <c r="A6757" t="str">
        <f>HYPERLINK("https://us2.cloudbeds.com/connect/10074733072513#/reservations/30683276579015?display=YQVERX8H4&amp;reservation_id=30683276579015", "YQVERX8H4")</f>
        <v>YQVERX8H4</v>
      </c>
      <c r="B6757" t="s">
        <v>10</v>
      </c>
      <c r="C6757" t="s">
        <v>11</v>
      </c>
      <c r="D6757" t="str">
        <f>HYPERLINK("https://us2.cloudbeds.com/connect/10074733072513#/reservations/30683276579015?display=Nfn%20Waziyatawin&amp;reservation_id=30683276579015&amp;guest_id=30683276579013", "Nfn Waziyatawin")</f>
        <v>Nfn Waziyatawin</v>
      </c>
      <c r="E6757" t="s">
        <v>4306</v>
      </c>
      <c r="F6757" t="s">
        <v>4226</v>
      </c>
      <c r="G6757">
        <v>109.81</v>
      </c>
      <c r="H6757">
        <v>119.37</v>
      </c>
      <c r="I6757">
        <v>119.36</v>
      </c>
      <c r="J6757">
        <v>0.01</v>
      </c>
    </row>
    <row r="6758" spans="1:10" x14ac:dyDescent="0.3">
      <c r="A6758" t="str">
        <f>HYPERLINK("https://us2.cloudbeds.com/connect/10074733072513#/reservations/30682697666740?display=YQV01D5KU&amp;reservation_id=30682697666740", "YQV01D5KU")</f>
        <v>YQV01D5KU</v>
      </c>
      <c r="B6758" t="s">
        <v>10</v>
      </c>
      <c r="C6758" t="s">
        <v>17</v>
      </c>
      <c r="D6758" t="str">
        <f>HYPERLINK("https://us2.cloudbeds.com/connect/10074733072513#/reservations/30682697666740?display=Tanya%20Krueger&amp;reservation_id=30682697666740&amp;guest_id=30682697666738", "Tanya Krueger")</f>
        <v>Tanya Krueger</v>
      </c>
      <c r="E6758" t="s">
        <v>4307</v>
      </c>
      <c r="F6758" t="s">
        <v>4283</v>
      </c>
      <c r="G6758">
        <v>139</v>
      </c>
      <c r="H6758">
        <v>151.1</v>
      </c>
      <c r="I6758">
        <v>151.09</v>
      </c>
      <c r="J6758">
        <v>0.01</v>
      </c>
    </row>
    <row r="6759" spans="1:10" x14ac:dyDescent="0.3">
      <c r="A6759" t="str">
        <f>HYPERLINK("https://us2.cloudbeds.com/connect/10074733072513#/reservations/30682383208670?display=YQUP07U2G&amp;reservation_id=30682383208670", "YQUP07U2G")</f>
        <v>YQUP07U2G</v>
      </c>
      <c r="B6759" t="s">
        <v>10</v>
      </c>
      <c r="C6759" t="s">
        <v>42</v>
      </c>
      <c r="D6759" t="str">
        <f>HYPERLINK("https://us2.cloudbeds.com/connect/10074733072513#/reservations/30682383208670?display=Ashley%20Clark&amp;reservation_id=30682383208670&amp;guest_id=30682373210317", "Ashley Clark")</f>
        <v>Ashley Clark</v>
      </c>
      <c r="E6759" t="s">
        <v>4308</v>
      </c>
      <c r="F6759" t="s">
        <v>4013</v>
      </c>
      <c r="G6759">
        <v>149</v>
      </c>
      <c r="H6759">
        <v>161.97</v>
      </c>
      <c r="I6759">
        <v>161.96</v>
      </c>
      <c r="J6759">
        <v>0.01</v>
      </c>
    </row>
    <row r="6760" spans="1:10" x14ac:dyDescent="0.3">
      <c r="A6760" t="str">
        <f>HYPERLINK("https://us2.cloudbeds.com/connect/10074733072513#/reservations/30682761670888?display=YQV1MC5VX&amp;reservation_id=30682761670888", "YQV1MC5VX")</f>
        <v>YQV1MC5VX</v>
      </c>
      <c r="B6760" t="s">
        <v>10</v>
      </c>
      <c r="C6760" t="s">
        <v>121</v>
      </c>
      <c r="D6760" t="str">
        <f>HYPERLINK("https://us2.cloudbeds.com/connect/10074733072513#/reservations/30682761670888?display=Scott%20Mcatee&amp;reservation_id=30682761670888&amp;guest_id=30682754683089", "Scott Mcatee")</f>
        <v>Scott Mcatee</v>
      </c>
      <c r="E6760" t="s">
        <v>4309</v>
      </c>
      <c r="F6760" t="s">
        <v>4239</v>
      </c>
      <c r="G6760">
        <v>109</v>
      </c>
      <c r="H6760">
        <v>118.49</v>
      </c>
      <c r="I6760">
        <v>118.48</v>
      </c>
      <c r="J6760">
        <v>0.01</v>
      </c>
    </row>
    <row r="6761" spans="1:10" x14ac:dyDescent="0.3">
      <c r="A6761" t="str">
        <f>HYPERLINK("https://us2.cloudbeds.com/connect/10074733072513#/reservations/30682781753474?display=YQV26A08P&amp;reservation_id=30682781753474", "YQV26A08P")</f>
        <v>YQV26A08P</v>
      </c>
      <c r="B6761" t="s">
        <v>10</v>
      </c>
      <c r="C6761" t="s">
        <v>20</v>
      </c>
      <c r="D6761" t="str">
        <f>HYPERLINK("https://us2.cloudbeds.com/connect/10074733072513#/reservations/30682781753474?display=Alex%20Fitzstrawn&amp;reservation_id=30682781753474&amp;guest_id=30682775969963", "Alex Fitzstrawn")</f>
        <v>Alex Fitzstrawn</v>
      </c>
      <c r="E6761" t="s">
        <v>4311</v>
      </c>
      <c r="F6761" t="s">
        <v>4239</v>
      </c>
      <c r="G6761">
        <v>101.75</v>
      </c>
      <c r="H6761">
        <v>110.61</v>
      </c>
      <c r="I6761">
        <v>110.6</v>
      </c>
      <c r="J6761">
        <v>0.01</v>
      </c>
    </row>
    <row r="6762" spans="1:10" x14ac:dyDescent="0.3">
      <c r="A6762" t="str">
        <f>HYPERLINK("https://us2.cloudbeds.com/connect/10074733072513#/reservations/30681769693397?display=YQU9ATV5J&amp;reservation_id=30681769693397", "YQU9ATV5J")</f>
        <v>YQU9ATV5J</v>
      </c>
      <c r="B6762" t="s">
        <v>10</v>
      </c>
      <c r="C6762" t="s">
        <v>42</v>
      </c>
      <c r="D6762" t="str">
        <f>HYPERLINK("https://us2.cloudbeds.com/connect/10074733072513#/reservations/30681769693397?display=Shauna%20Leteller%20Krista%20Bass&amp;reservation_id=30681769693397&amp;guest_id=30681769693391", "Shauna Leteller Krista Bass")</f>
        <v>Shauna Leteller Krista Bass</v>
      </c>
      <c r="E6762" t="s">
        <v>4312</v>
      </c>
      <c r="F6762" t="s">
        <v>3757</v>
      </c>
      <c r="G6762">
        <v>119</v>
      </c>
      <c r="H6762">
        <v>129.36000000000001</v>
      </c>
      <c r="I6762">
        <v>129.35</v>
      </c>
      <c r="J6762">
        <v>0.01</v>
      </c>
    </row>
    <row r="6763" spans="1:10" x14ac:dyDescent="0.3">
      <c r="A6763" t="str">
        <f>HYPERLINK("https://us2.cloudbeds.com/connect/10074733072513#/reservations/30682742108323?display=YQV15SR5X&amp;reservation_id=30682742108323", "YQV15SR5X")</f>
        <v>YQV15SR5X</v>
      </c>
      <c r="B6763" t="s">
        <v>10</v>
      </c>
      <c r="C6763" t="s">
        <v>42</v>
      </c>
      <c r="D6763" t="str">
        <f>HYPERLINK("https://us2.cloudbeds.com/connect/10074733072513#/reservations/30682742108323?display=Robert%20Michalski&amp;reservation_id=30682742108323&amp;guest_id=30682742108321", "Robert Michalski")</f>
        <v>Robert Michalski</v>
      </c>
      <c r="E6763" t="s">
        <v>4313</v>
      </c>
      <c r="F6763" t="s">
        <v>4239</v>
      </c>
      <c r="G6763">
        <v>73</v>
      </c>
      <c r="H6763">
        <v>79.36</v>
      </c>
      <c r="I6763">
        <v>79.349999999999994</v>
      </c>
      <c r="J6763">
        <v>0.01</v>
      </c>
    </row>
    <row r="6764" spans="1:10" x14ac:dyDescent="0.3">
      <c r="A6764" t="str">
        <f>HYPERLINK("https://us2.cloudbeds.com/connect/10074733072513#/reservations/30682811031783?display=YQV2UWNP8&amp;reservation_id=30682811031783", "YQV2UWNP8")</f>
        <v>YQV2UWNP8</v>
      </c>
      <c r="B6764" t="s">
        <v>10</v>
      </c>
      <c r="C6764" t="s">
        <v>42</v>
      </c>
      <c r="D6764" t="str">
        <f>HYPERLINK("https://us2.cloudbeds.com/connect/10074733072513#/reservations/30682811031783?display=Matt%20Rantapaa&amp;reservation_id=30682811031783&amp;guest_id=30682811031781", "Matt Rantapaa")</f>
        <v>Matt Rantapaa</v>
      </c>
      <c r="E6764" t="s">
        <v>4314</v>
      </c>
      <c r="F6764" t="s">
        <v>3881</v>
      </c>
      <c r="G6764">
        <v>129</v>
      </c>
      <c r="H6764">
        <v>140.22999999999999</v>
      </c>
      <c r="I6764">
        <v>140.22</v>
      </c>
      <c r="J6764">
        <v>0.01</v>
      </c>
    </row>
    <row r="6765" spans="1:10" x14ac:dyDescent="0.3">
      <c r="A6765" t="str">
        <f>HYPERLINK("https://us2.cloudbeds.com/connect/10074733072513#/reservations/30682754678996?display=YQV1GFKG1&amp;reservation_id=30682754678996", "YQV1GFKG1")</f>
        <v>YQV1GFKG1</v>
      </c>
      <c r="B6765" t="s">
        <v>10</v>
      </c>
      <c r="C6765" t="s">
        <v>42</v>
      </c>
      <c r="D6765" t="str">
        <f>HYPERLINK("https://us2.cloudbeds.com/connect/10074733072513#/reservations/30682754678996?display=James%20Brock&amp;reservation_id=30682754678996&amp;guest_id=30682750644476", "James Brock")</f>
        <v>James Brock</v>
      </c>
      <c r="E6765" t="s">
        <v>4315</v>
      </c>
      <c r="F6765" t="s">
        <v>4239</v>
      </c>
      <c r="G6765">
        <v>73</v>
      </c>
      <c r="H6765">
        <v>79.36</v>
      </c>
      <c r="I6765">
        <v>79.349999999999994</v>
      </c>
      <c r="J6765">
        <v>0.01</v>
      </c>
    </row>
    <row r="6766" spans="1:10" x14ac:dyDescent="0.3">
      <c r="A6766" t="str">
        <f>HYPERLINK("https://us2.cloudbeds.com/connect/10074733072513#/reservations/30683236323476?display=YQVDQK2UA&amp;reservation_id=30683236323476", "YQVDQK2UA")</f>
        <v>YQVDQK2UA</v>
      </c>
      <c r="B6766" t="s">
        <v>10</v>
      </c>
      <c r="C6766" t="s">
        <v>42</v>
      </c>
      <c r="D6766" t="str">
        <f>HYPERLINK("https://us2.cloudbeds.com/connect/10074733072513#/reservations/30683236323476?display=Brad%20Cordes&amp;reservation_id=30683236323476&amp;guest_id=30683236319388", "Brad Cordes")</f>
        <v>Brad Cordes</v>
      </c>
      <c r="E6766" t="s">
        <v>4316</v>
      </c>
      <c r="F6766" t="s">
        <v>4226</v>
      </c>
      <c r="G6766">
        <v>73</v>
      </c>
      <c r="H6766">
        <v>79.36</v>
      </c>
      <c r="I6766">
        <v>79.349999999999994</v>
      </c>
      <c r="J6766">
        <v>0.01</v>
      </c>
    </row>
    <row r="6767" spans="1:10" x14ac:dyDescent="0.3">
      <c r="A6767" t="str">
        <f>HYPERLINK("https://us2.cloudbeds.com/connect/10074733072513#/reservations/30682742104210?display=YQV15SNCU&amp;reservation_id=30682742104210", "YQV15SNCU")</f>
        <v>YQV15SNCU</v>
      </c>
      <c r="B6767" t="s">
        <v>10</v>
      </c>
      <c r="C6767" t="s">
        <v>42</v>
      </c>
      <c r="D6767" t="str">
        <f>HYPERLINK("https://us2.cloudbeds.com/connect/10074733072513#/reservations/30682742104210?display=Robert%20Michalski%20Rene&amp;reservation_id=30682742104210&amp;guest_id=30682733211840", "Robert Michalski Rene")</f>
        <v>Robert Michalski Rene</v>
      </c>
      <c r="E6767" t="s">
        <v>4317</v>
      </c>
      <c r="F6767" t="s">
        <v>4239</v>
      </c>
      <c r="G6767">
        <v>73</v>
      </c>
      <c r="H6767">
        <v>79.36</v>
      </c>
      <c r="I6767">
        <v>79.349999999999994</v>
      </c>
      <c r="J6767">
        <v>0.01</v>
      </c>
    </row>
    <row r="6768" spans="1:10" x14ac:dyDescent="0.3">
      <c r="A6768" t="str">
        <f>HYPERLINK("https://us2.cloudbeds.com/connect/10074733072513#/reservations/31674183422173?display=MH6NQESPR&amp;reservation_id=31674183422173", "MH6NQESPR")</f>
        <v>MH6NQESPR</v>
      </c>
      <c r="B6768" t="s">
        <v>10</v>
      </c>
      <c r="C6768" t="s">
        <v>42</v>
      </c>
      <c r="D6768" t="str">
        <f>HYPERLINK("https://us2.cloudbeds.com/connect/10074733072513#/reservations/31674183422173?display=Kayleen%20Dewaard&amp;reservation_id=31674183422173&amp;guest_id=31674183422168", "Kayleen Dewaard")</f>
        <v>Kayleen Dewaard</v>
      </c>
      <c r="E6768" t="s">
        <v>4319</v>
      </c>
      <c r="F6768" t="s">
        <v>4141</v>
      </c>
      <c r="G6768">
        <v>139</v>
      </c>
      <c r="H6768">
        <v>151.1</v>
      </c>
      <c r="I6768">
        <v>151.09</v>
      </c>
      <c r="J6768">
        <v>0.01</v>
      </c>
    </row>
    <row r="6769" spans="1:10" x14ac:dyDescent="0.3">
      <c r="A6769" t="str">
        <f>HYPERLINK("https://us2.cloudbeds.com/connect/10074733072513#/reservations/30681991119098?display=YQUEWKEXA&amp;reservation_id=30681991119098", "YQUEWKEXA")</f>
        <v>YQUEWKEXA</v>
      </c>
      <c r="B6769" t="s">
        <v>10</v>
      </c>
      <c r="C6769" t="s">
        <v>42</v>
      </c>
      <c r="D6769" t="str">
        <f>HYPERLINK("https://us2.cloudbeds.com/connect/10074733072513#/reservations/30681991119098?display=Shauna%20Leteller%20Karla%20Krooz&amp;reservation_id=30681991119098&amp;guest_id=30681982673053", "Shauna Leteller Karla Krooz")</f>
        <v>Shauna Leteller Karla Krooz</v>
      </c>
      <c r="E6769" t="s">
        <v>4320</v>
      </c>
      <c r="F6769" t="s">
        <v>3757</v>
      </c>
      <c r="G6769">
        <v>119</v>
      </c>
      <c r="H6769">
        <v>129.36000000000001</v>
      </c>
      <c r="I6769">
        <v>129.35</v>
      </c>
      <c r="J6769">
        <v>0.01</v>
      </c>
    </row>
    <row r="6770" spans="1:10" x14ac:dyDescent="0.3">
      <c r="A6770" t="str">
        <f>HYPERLINK("https://us2.cloudbeds.com/connect/10074733072513#/reservations/30681464250500?display=YQU1HBX07&amp;reservation_id=30681464250500", "YQU1HBX07")</f>
        <v>YQU1HBX07</v>
      </c>
      <c r="B6770" t="s">
        <v>10</v>
      </c>
      <c r="C6770" t="s">
        <v>42</v>
      </c>
      <c r="D6770" t="str">
        <f>HYPERLINK("https://us2.cloudbeds.com/connect/10074733072513#/reservations/30681464250500?display=Victoria%20Campbell&amp;reservation_id=30681464250500&amp;guest_id=30681458536675", "Victoria Campbell")</f>
        <v>Victoria Campbell</v>
      </c>
      <c r="E6770" t="s">
        <v>4321</v>
      </c>
      <c r="F6770" t="s">
        <v>3760</v>
      </c>
      <c r="G6770">
        <v>258</v>
      </c>
      <c r="H6770">
        <v>280.45999999999998</v>
      </c>
      <c r="I6770">
        <v>280.45</v>
      </c>
      <c r="J6770">
        <v>0.01</v>
      </c>
    </row>
    <row r="6771" spans="1:10" x14ac:dyDescent="0.3">
      <c r="A6771" t="str">
        <f>HYPERLINK("https://us2.cloudbeds.com/connect/10074733072513#/reservations/30682739831020?display=YQV13VEWC&amp;reservation_id=30682739831020", "YQV13VEWC")</f>
        <v>YQV13VEWC</v>
      </c>
      <c r="B6771" t="s">
        <v>10</v>
      </c>
      <c r="C6771" t="s">
        <v>42</v>
      </c>
      <c r="D6771" t="str">
        <f>HYPERLINK("https://us2.cloudbeds.com/connect/10074733072513#/reservations/30682739831020?display=Michael%20Kuemper&amp;reservation_id=30682739831020&amp;guest_id=30682733023383", "Michael Kuemper")</f>
        <v>Michael Kuemper</v>
      </c>
      <c r="E6771" t="s">
        <v>2474</v>
      </c>
      <c r="F6771" t="s">
        <v>4155</v>
      </c>
      <c r="G6771">
        <v>149</v>
      </c>
      <c r="H6771">
        <v>161.97</v>
      </c>
      <c r="I6771">
        <v>161.96</v>
      </c>
      <c r="J6771">
        <v>0.01</v>
      </c>
    </row>
    <row r="6772" spans="1:10" x14ac:dyDescent="0.3">
      <c r="A6772" t="str">
        <f>HYPERLINK("https://us2.cloudbeds.com/connect/10074733072513#/reservations/30682721173680?display=YQV0Y79EE&amp;reservation_id=30682721173680", "YQV0Y79EE")</f>
        <v>YQV0Y79EE</v>
      </c>
      <c r="B6772" t="s">
        <v>10</v>
      </c>
      <c r="C6772" t="s">
        <v>42</v>
      </c>
      <c r="D6772" t="str">
        <f>HYPERLINK("https://us2.cloudbeds.com/connect/10074733072513#/reservations/30682721173680?display=Bryan%20Chapman&amp;reservation_id=30682721173680&amp;guest_id=30682721173675", "Bryan Chapman")</f>
        <v>Bryan Chapman</v>
      </c>
      <c r="E6772" t="s">
        <v>4323</v>
      </c>
      <c r="F6772" t="s">
        <v>4155</v>
      </c>
      <c r="G6772">
        <v>119</v>
      </c>
      <c r="H6772">
        <v>129.36000000000001</v>
      </c>
      <c r="I6772">
        <v>129.35</v>
      </c>
      <c r="J6772">
        <v>0.01</v>
      </c>
    </row>
    <row r="6773" spans="1:10" x14ac:dyDescent="0.3">
      <c r="A6773" t="str">
        <f>HYPERLINK("https://us2.cloudbeds.com/connect/10074733072513#/reservations/30682708443271?display=YQV0AG1EF&amp;reservation_id=30682708443271", "YQV0AG1EF")</f>
        <v>YQV0AG1EF</v>
      </c>
      <c r="B6773" t="s">
        <v>10</v>
      </c>
      <c r="C6773" t="s">
        <v>42</v>
      </c>
      <c r="D6773" t="str">
        <f>HYPERLINK("https://us2.cloudbeds.com/connect/10074733072513#/reservations/30682708443271?display=Raymond%20Velyan&amp;reservation_id=30682708443271&amp;guest_id=30682309091555", "Raymond Velyan")</f>
        <v>Raymond Velyan</v>
      </c>
      <c r="E6773" t="s">
        <v>4324</v>
      </c>
      <c r="F6773" t="s">
        <v>4155</v>
      </c>
      <c r="G6773">
        <v>73</v>
      </c>
      <c r="H6773">
        <v>79.36</v>
      </c>
      <c r="I6773">
        <v>79.349999999999994</v>
      </c>
      <c r="J6773">
        <v>0.01</v>
      </c>
    </row>
    <row r="6774" spans="1:10" x14ac:dyDescent="0.3">
      <c r="A6774" t="str">
        <f>HYPERLINK("https://us2.cloudbeds.com/connect/10074733072513#/reservations/30682693685463?display=YQUWV1CZ5&amp;reservation_id=30682693685463", "YQUWV1CZ5")</f>
        <v>YQUWV1CZ5</v>
      </c>
      <c r="B6774" t="s">
        <v>10</v>
      </c>
      <c r="C6774" t="s">
        <v>42</v>
      </c>
      <c r="D6774" t="str">
        <f>HYPERLINK("https://us2.cloudbeds.com/connect/10074733072513#/reservations/30682693685463?display=Raymond%20Velyan%20Matt%20Black&amp;reservation_id=30682693685463&amp;guest_id=30682693685451", "Raymond Velyan Matt Black")</f>
        <v>Raymond Velyan Matt Black</v>
      </c>
      <c r="E6774" t="s">
        <v>4325</v>
      </c>
      <c r="F6774" t="s">
        <v>4155</v>
      </c>
      <c r="G6774">
        <v>73</v>
      </c>
      <c r="H6774">
        <v>79.36</v>
      </c>
      <c r="I6774">
        <v>79.349999999999994</v>
      </c>
      <c r="J6774">
        <v>0.01</v>
      </c>
    </row>
    <row r="6775" spans="1:10" x14ac:dyDescent="0.3">
      <c r="A6775" t="str">
        <f>HYPERLINK("https://us2.cloudbeds.com/connect/10074733072513#/reservations/30682692329674?display=YQUWTTYZY&amp;reservation_id=30682692329674", "YQUWTTYZY")</f>
        <v>YQUWTTYZY</v>
      </c>
      <c r="B6775" t="s">
        <v>10</v>
      </c>
      <c r="C6775" t="s">
        <v>42</v>
      </c>
      <c r="D6775" t="str">
        <f>HYPERLINK("https://us2.cloudbeds.com/connect/10074733072513#/reservations/30682692329674?display=Cory%20Glick&amp;reservation_id=30682692329674&amp;guest_id=30679426039950", "Cory Glick")</f>
        <v>Cory Glick</v>
      </c>
      <c r="E6775" t="s">
        <v>2769</v>
      </c>
      <c r="F6775" t="s">
        <v>4283</v>
      </c>
      <c r="G6775">
        <v>158</v>
      </c>
      <c r="H6775">
        <v>171.76</v>
      </c>
      <c r="I6775">
        <v>171.75</v>
      </c>
      <c r="J6775">
        <v>0.01</v>
      </c>
    </row>
    <row r="6776" spans="1:10" x14ac:dyDescent="0.3">
      <c r="A6776" t="str">
        <f>HYPERLINK("https://us2.cloudbeds.com/connect/10074733072513#/reservations/30682661245163?display=YQUW3MMYP&amp;reservation_id=30682661245163", "YQUW3MMYP")</f>
        <v>YQUW3MMYP</v>
      </c>
      <c r="B6776" t="s">
        <v>10</v>
      </c>
      <c r="C6776" t="s">
        <v>42</v>
      </c>
      <c r="D6776" t="str">
        <f>HYPERLINK("https://us2.cloudbeds.com/connect/10074733072513#/reservations/30682661245163?display=Lori%20Severson&amp;reservation_id=30682661245163&amp;guest_id=30649048834252", "Lori Severson")</f>
        <v>Lori Severson</v>
      </c>
      <c r="E6776" t="s">
        <v>605</v>
      </c>
      <c r="F6776" t="s">
        <v>4283</v>
      </c>
      <c r="G6776">
        <v>149</v>
      </c>
      <c r="H6776">
        <v>161.97</v>
      </c>
      <c r="I6776">
        <v>161.96</v>
      </c>
      <c r="J6776">
        <v>0.01</v>
      </c>
    </row>
    <row r="6777" spans="1:10" x14ac:dyDescent="0.3">
      <c r="A6777" t="str">
        <f>HYPERLINK("https://us2.cloudbeds.com/connect/10074733072513#/reservations/30681397592304?display=YQTWR4MHT&amp;reservation_id=30681397592304", "YQTWR4MHT")</f>
        <v>YQTWR4MHT</v>
      </c>
      <c r="B6777" t="s">
        <v>10</v>
      </c>
      <c r="C6777" t="s">
        <v>11</v>
      </c>
      <c r="D6777" t="str">
        <f>HYPERLINK("https://us2.cloudbeds.com/connect/10074733072513#/reservations/30681397592304?display=Kasha%20Roberts&amp;reservation_id=30681397592304&amp;guest_id=30681397592287", "Kasha Roberts")</f>
        <v>Kasha Roberts</v>
      </c>
      <c r="E6777" t="s">
        <v>4327</v>
      </c>
      <c r="F6777" t="s">
        <v>4328</v>
      </c>
      <c r="G6777">
        <v>125.12</v>
      </c>
      <c r="H6777">
        <v>136.02000000000001</v>
      </c>
      <c r="I6777">
        <v>136.01</v>
      </c>
      <c r="J6777">
        <v>0.01</v>
      </c>
    </row>
    <row r="6778" spans="1:10" x14ac:dyDescent="0.3">
      <c r="A6778" t="str">
        <f>HYPERLINK("https://us2.cloudbeds.com/connect/10074733072513#/reservations/30682662621317?display=YQUW4RWBD&amp;reservation_id=30682662621317", "YQUW4RWBD")</f>
        <v>YQUW4RWBD</v>
      </c>
      <c r="B6778" t="s">
        <v>10</v>
      </c>
      <c r="C6778" t="s">
        <v>42</v>
      </c>
      <c r="D6778" t="str">
        <f>HYPERLINK("https://us2.cloudbeds.com/connect/10074733072513#/reservations/30682662621317?display=Troy%20Redmond&amp;reservation_id=30682662621317&amp;guest_id=30682662617236", "Troy Redmond")</f>
        <v>Troy Redmond</v>
      </c>
      <c r="E6778" t="s">
        <v>4329</v>
      </c>
      <c r="F6778" t="s">
        <v>4283</v>
      </c>
      <c r="G6778">
        <v>73</v>
      </c>
      <c r="H6778">
        <v>79.36</v>
      </c>
      <c r="I6778">
        <v>79.349999999999994</v>
      </c>
      <c r="J6778">
        <v>0.01</v>
      </c>
    </row>
    <row r="6779" spans="1:10" x14ac:dyDescent="0.3">
      <c r="A6779" t="str">
        <f>HYPERLINK("https://us2.cloudbeds.com/connect/10074733072513#/reservations/31676873822447?display=MH8QX27ES&amp;reservation_id=31676873822447", "MH8QX27ES")</f>
        <v>MH8QX27ES</v>
      </c>
      <c r="B6779" t="s">
        <v>10</v>
      </c>
      <c r="C6779" t="s">
        <v>42</v>
      </c>
      <c r="D6779" t="str">
        <f>HYPERLINK("https://us2.cloudbeds.com/connect/10074733072513#/reservations/31676873822447?display=Tessa%20Anderberg%20&amp;%20James%20.&amp;reservation_id=31676873822447&amp;guest_id=31676865130647", "Tessa Anderberg &amp; James .")</f>
        <v>Tessa Anderberg &amp; James .</v>
      </c>
      <c r="E6779" t="s">
        <v>4331</v>
      </c>
      <c r="F6779" t="s">
        <v>3334</v>
      </c>
      <c r="G6779">
        <v>258</v>
      </c>
      <c r="H6779">
        <v>280.45999999999998</v>
      </c>
      <c r="I6779">
        <v>280.45</v>
      </c>
      <c r="J6779">
        <v>0.01</v>
      </c>
    </row>
    <row r="6780" spans="1:10" x14ac:dyDescent="0.3">
      <c r="A6780" t="str">
        <f>HYPERLINK("https://us2.cloudbeds.com/connect/10074733072513#/reservations/30682690826404?display=YQUWSKRB0&amp;reservation_id=30682690826404", "YQUWSKRB0")</f>
        <v>YQUWSKRB0</v>
      </c>
      <c r="B6780" t="s">
        <v>10</v>
      </c>
      <c r="C6780" t="s">
        <v>42</v>
      </c>
      <c r="D6780" t="str">
        <f>HYPERLINK("https://us2.cloudbeds.com/connect/10074733072513#/reservations/30682690826404?display=Benny%20Hernandez&amp;reservation_id=30682690826404&amp;guest_id=30682684092632", "Benny Hernandez")</f>
        <v>Benny Hernandez</v>
      </c>
      <c r="E6780" t="s">
        <v>4332</v>
      </c>
      <c r="F6780" t="s">
        <v>4283</v>
      </c>
      <c r="G6780">
        <v>73</v>
      </c>
      <c r="H6780">
        <v>79.36</v>
      </c>
      <c r="I6780">
        <v>79.349999999999994</v>
      </c>
      <c r="J6780">
        <v>0.01</v>
      </c>
    </row>
    <row r="6781" spans="1:10" x14ac:dyDescent="0.3">
      <c r="A6781" t="str">
        <f>HYPERLINK("https://us2.cloudbeds.com/connect/10074733072513#/reservations/30682206572763?display=YQUKG9ZW8&amp;reservation_id=30682206572763", "YQUKG9ZW8")</f>
        <v>YQUKG9ZW8</v>
      </c>
      <c r="B6781" t="s">
        <v>10</v>
      </c>
      <c r="C6781" t="s">
        <v>23</v>
      </c>
      <c r="D6781" t="str">
        <f>HYPERLINK("https://us2.cloudbeds.com/connect/10074733072513#/reservations/30682206572763?display=Brian%20Herbst&amp;reservation_id=30682206572763&amp;guest_id=30682206572758", "Brian Herbst")</f>
        <v>Brian Herbst</v>
      </c>
      <c r="E6781" t="s">
        <v>4333</v>
      </c>
      <c r="F6781" t="s">
        <v>3572</v>
      </c>
      <c r="G6781">
        <v>238</v>
      </c>
      <c r="H6781">
        <v>258.72000000000003</v>
      </c>
      <c r="I6781">
        <v>258.70999999999998</v>
      </c>
      <c r="J6781">
        <v>0.01</v>
      </c>
    </row>
    <row r="6782" spans="1:10" x14ac:dyDescent="0.3">
      <c r="A6782" t="str">
        <f>HYPERLINK("https://us2.cloudbeds.com/connect/10074733072513#/reservations/30682669330658?display=YQUWAGMBP&amp;reservation_id=30682669330658", "YQUWAGMBP")</f>
        <v>YQUWAGMBP</v>
      </c>
      <c r="B6782" t="s">
        <v>10</v>
      </c>
      <c r="C6782" t="s">
        <v>42</v>
      </c>
      <c r="D6782" t="str">
        <f>HYPERLINK("https://us2.cloudbeds.com/connect/10074733072513#/reservations/30682669330658?display=Ashlynn%20Jones&amp;reservation_id=30682669330658&amp;guest_id=30682669326571", "Ashlynn Jones")</f>
        <v>Ashlynn Jones</v>
      </c>
      <c r="E6782" t="s">
        <v>4334</v>
      </c>
      <c r="F6782" t="s">
        <v>4283</v>
      </c>
      <c r="G6782">
        <v>73</v>
      </c>
      <c r="H6782">
        <v>79.36</v>
      </c>
      <c r="I6782">
        <v>79.349999999999994</v>
      </c>
      <c r="J6782">
        <v>0.01</v>
      </c>
    </row>
    <row r="6783" spans="1:10" x14ac:dyDescent="0.3">
      <c r="A6783" t="str">
        <f>HYPERLINK("https://us2.cloudbeds.com/connect/10074733072513#/reservations/30682684088531?display=YQUWMVB41&amp;reservation_id=30682684088531", "YQUWMVB41")</f>
        <v>YQUWMVB41</v>
      </c>
      <c r="B6783" t="s">
        <v>10</v>
      </c>
      <c r="C6783" t="s">
        <v>42</v>
      </c>
      <c r="D6783" t="str">
        <f>HYPERLINK("https://us2.cloudbeds.com/connect/10074733072513#/reservations/30682684088531?display=Jared%20Catts&amp;reservation_id=30682684088531&amp;guest_id=30682678059139", "Jared Catts")</f>
        <v>Jared Catts</v>
      </c>
      <c r="E6783" t="s">
        <v>4335</v>
      </c>
      <c r="F6783" t="s">
        <v>4283</v>
      </c>
      <c r="G6783">
        <v>73</v>
      </c>
      <c r="H6783">
        <v>79.36</v>
      </c>
      <c r="I6783">
        <v>79.349999999999994</v>
      </c>
      <c r="J6783">
        <v>0.01</v>
      </c>
    </row>
    <row r="6784" spans="1:10" x14ac:dyDescent="0.3">
      <c r="A6784" t="str">
        <f>HYPERLINK("https://us2.cloudbeds.com/connect/10074733072513#/reservations/30681893372123?display=YQUCG6G2P&amp;reservation_id=30681893372123", "YQUCG6G2P")</f>
        <v>YQUCG6G2P</v>
      </c>
      <c r="B6784" t="s">
        <v>10</v>
      </c>
      <c r="C6784" t="s">
        <v>14</v>
      </c>
      <c r="D6784" t="str">
        <f>HYPERLINK("https://us2.cloudbeds.com/connect/10074733072513#/reservations/30681893372123?display=Justin%20Hothem&amp;reservation_id=30681893372123&amp;guest_id=30681885335685", "Justin Hothem")</f>
        <v>Justin Hothem</v>
      </c>
      <c r="E6784" t="s">
        <v>4337</v>
      </c>
      <c r="F6784" t="s">
        <v>3881</v>
      </c>
      <c r="G6784">
        <v>106.8</v>
      </c>
      <c r="H6784">
        <v>116.1</v>
      </c>
      <c r="I6784">
        <v>116.09</v>
      </c>
      <c r="J6784">
        <v>0.01</v>
      </c>
    </row>
    <row r="6785" spans="1:10" x14ac:dyDescent="0.3">
      <c r="A6785" t="str">
        <f>HYPERLINK("https://us2.cloudbeds.com/connect/10074733072513#/reservations/30682276155573?display=YQUM8W018&amp;reservation_id=30682276155573", "YQUM8W018")</f>
        <v>YQUM8W018</v>
      </c>
      <c r="B6785" t="s">
        <v>10</v>
      </c>
      <c r="C6785" t="s">
        <v>23</v>
      </c>
      <c r="D6785" t="str">
        <f>HYPERLINK("https://us2.cloudbeds.com/connect/10074733072513#/reservations/30682276155573?display=Brianna%20Heneger&amp;reservation_id=30682276155573&amp;guest_id=30682276155568", "Brianna Heneger")</f>
        <v>Brianna Heneger</v>
      </c>
      <c r="E6785" t="s">
        <v>4338</v>
      </c>
      <c r="F6785" t="s">
        <v>3572</v>
      </c>
      <c r="G6785">
        <v>119</v>
      </c>
      <c r="H6785">
        <v>129.36000000000001</v>
      </c>
      <c r="I6785">
        <v>129.35</v>
      </c>
      <c r="J6785">
        <v>0.01</v>
      </c>
    </row>
    <row r="6786" spans="1:10" x14ac:dyDescent="0.3">
      <c r="A6786" t="str">
        <f>HYPERLINK("https://us2.cloudbeds.com/connect/10074733072513#/reservations/30681451323565?display=YQU16ERHU&amp;reservation_id=30681451323565", "YQU16ERHU")</f>
        <v>YQU16ERHU</v>
      </c>
      <c r="B6786" t="s">
        <v>10</v>
      </c>
      <c r="C6786" t="s">
        <v>20</v>
      </c>
      <c r="D6786" t="str">
        <f>HYPERLINK("https://us2.cloudbeds.com/connect/10074733072513#/reservations/30681451323565?display=Tina%20Baum&amp;reservation_id=30681451323565&amp;guest_id=30681441775765", "Tina Baum")</f>
        <v>Tina Baum</v>
      </c>
      <c r="E6786" t="s">
        <v>4341</v>
      </c>
      <c r="F6786" t="s">
        <v>4328</v>
      </c>
      <c r="G6786">
        <v>79.94</v>
      </c>
      <c r="H6786">
        <v>86.9</v>
      </c>
      <c r="I6786">
        <v>86.89</v>
      </c>
      <c r="J6786">
        <v>0.01</v>
      </c>
    </row>
    <row r="6787" spans="1:10" x14ac:dyDescent="0.3">
      <c r="A6787" t="str">
        <f>HYPERLINK("https://us2.cloudbeds.com/connect/10074733072513#/reservations/30682763722970?display=YQV1Z39AS&amp;reservation_id=30682763722970", "YQV1Z39AS")</f>
        <v>YQV1Z39AS</v>
      </c>
      <c r="B6787" t="s">
        <v>10</v>
      </c>
      <c r="C6787" t="s">
        <v>42</v>
      </c>
      <c r="D6787" t="str">
        <f>HYPERLINK("https://us2.cloudbeds.com/connect/10074733072513#/reservations/30682763722970?display=Sebastian%20Soto&amp;reservation_id=30682763722970&amp;guest_id=30681816453299", "Sebastian Soto")</f>
        <v>Sebastian Soto</v>
      </c>
      <c r="E6787" t="s">
        <v>4025</v>
      </c>
      <c r="F6787" t="s">
        <v>4342</v>
      </c>
      <c r="G6787">
        <v>178</v>
      </c>
      <c r="H6787">
        <v>193.5</v>
      </c>
      <c r="I6787">
        <v>193.49</v>
      </c>
      <c r="J6787">
        <v>0.01</v>
      </c>
    </row>
    <row r="6788" spans="1:10" x14ac:dyDescent="0.3">
      <c r="A6788" t="str">
        <f>HYPERLINK("https://us2.cloudbeds.com/connect/10074733072513#/reservations/30682121629897?display=YQUXAM360&amp;reservation_id=30682121629897", "YQUXAM360")</f>
        <v>YQUXAM360</v>
      </c>
      <c r="B6788" t="s">
        <v>10</v>
      </c>
      <c r="C6788" t="s">
        <v>42</v>
      </c>
      <c r="D6788" t="str">
        <f>HYPERLINK("https://us2.cloudbeds.com/connect/10074733072513#/reservations/30682121629897?display=Cheryl%20Vanderbrink&amp;reservation_id=30682121629897&amp;guest_id=30682121625805", "Cheryl Vanderbrink")</f>
        <v>Cheryl Vanderbrink</v>
      </c>
      <c r="E6788" t="s">
        <v>4118</v>
      </c>
      <c r="F6788" t="s">
        <v>3774</v>
      </c>
      <c r="G6788">
        <v>139</v>
      </c>
      <c r="H6788">
        <v>151.1</v>
      </c>
      <c r="I6788">
        <v>151.09</v>
      </c>
      <c r="J6788">
        <v>0.01</v>
      </c>
    </row>
    <row r="6789" spans="1:10" x14ac:dyDescent="0.3">
      <c r="A6789" t="str">
        <f>HYPERLINK("https://us2.cloudbeds.com/connect/10074733072513#/reservations/30681934147728?display=YQUDHJ485&amp;reservation_id=30681934147728", "YQUDHJ485")</f>
        <v>YQUDHJ485</v>
      </c>
      <c r="B6789" t="s">
        <v>10</v>
      </c>
      <c r="C6789" t="s">
        <v>42</v>
      </c>
      <c r="D6789" t="str">
        <f>HYPERLINK("https://us2.cloudbeds.com/connect/10074733072513#/reservations/30681934147728?display=Debbie%20Hockinson&amp;reservation_id=30681934147728&amp;guest_id=30681891295445", "Debbie Hockinson")</f>
        <v>Debbie Hockinson</v>
      </c>
      <c r="E6789" t="s">
        <v>4343</v>
      </c>
      <c r="F6789" t="s">
        <v>3343</v>
      </c>
      <c r="G6789">
        <v>254.1</v>
      </c>
      <c r="H6789">
        <v>276.22000000000003</v>
      </c>
      <c r="I6789">
        <v>276.20999999999998</v>
      </c>
      <c r="J6789">
        <v>0.01</v>
      </c>
    </row>
    <row r="6790" spans="1:10" x14ac:dyDescent="0.3">
      <c r="A6790" t="str">
        <f>HYPERLINK("https://us2.cloudbeds.com/connect/10074733072513#/reservations/30681451163794?display=YQU16ACRC&amp;reservation_id=30681451163794", "YQU16ACRC")</f>
        <v>YQU16ACRC</v>
      </c>
      <c r="B6790" t="s">
        <v>10</v>
      </c>
      <c r="C6790" t="s">
        <v>42</v>
      </c>
      <c r="D6790" t="str">
        <f>HYPERLINK("https://us2.cloudbeds.com/connect/10074733072513#/reservations/30681451163794?display=Richard%20Foltz&amp;reservation_id=30681451163794&amp;guest_id=30681451163790", "Richard Foltz")</f>
        <v>Richard Foltz</v>
      </c>
      <c r="E6790" t="s">
        <v>4344</v>
      </c>
      <c r="F6790" t="s">
        <v>3760</v>
      </c>
      <c r="G6790">
        <v>139</v>
      </c>
      <c r="H6790">
        <v>151.1</v>
      </c>
      <c r="I6790">
        <v>151.09</v>
      </c>
      <c r="J6790">
        <v>0.01</v>
      </c>
    </row>
    <row r="6791" spans="1:10" x14ac:dyDescent="0.3">
      <c r="A6791" t="str">
        <f>HYPERLINK("https://us2.cloudbeds.com/connect/10074733072513#/reservations/31676734128276?display=MH8MW90W5&amp;reservation_id=31676734128276", "MH8MW90W5")</f>
        <v>MH8MW90W5</v>
      </c>
      <c r="B6791" t="s">
        <v>10</v>
      </c>
      <c r="C6791" t="s">
        <v>42</v>
      </c>
      <c r="D6791" t="str">
        <f>HYPERLINK("https://us2.cloudbeds.com/connect/10074733072513#/reservations/31676734128276?display=Greg%20Louwagie&amp;reservation_id=31676734128276&amp;guest_id=31676734128262", "Greg Louwagie")</f>
        <v>Greg Louwagie</v>
      </c>
      <c r="E6791" t="s">
        <v>4345</v>
      </c>
      <c r="F6791" t="s">
        <v>4346</v>
      </c>
      <c r="G6791">
        <v>258</v>
      </c>
      <c r="H6791">
        <v>280.45999999999998</v>
      </c>
      <c r="I6791">
        <v>280.45</v>
      </c>
      <c r="J6791">
        <v>0.01</v>
      </c>
    </row>
    <row r="6792" spans="1:10" x14ac:dyDescent="0.3">
      <c r="A6792" t="str">
        <f>HYPERLINK("https://us2.cloudbeds.com/connect/10074733072513#/reservations/31676717977753?display=MH8MXYKCC&amp;reservation_id=31676717977753", "MH8MXYKCC")</f>
        <v>MH8MXYKCC</v>
      </c>
      <c r="B6792" t="s">
        <v>10</v>
      </c>
      <c r="C6792" t="s">
        <v>11</v>
      </c>
      <c r="D6792" t="str">
        <f>HYPERLINK("https://us2.cloudbeds.com/connect/10074733072513#/reservations/31676717977753?display=Stacy%20Voves&amp;reservation_id=31676717977753&amp;guest_id=31676717977741", "Stacy Voves")</f>
        <v>Stacy Voves</v>
      </c>
      <c r="E6792" t="s">
        <v>709</v>
      </c>
      <c r="F6792" t="s">
        <v>4346</v>
      </c>
      <c r="G6792">
        <v>229.53</v>
      </c>
      <c r="H6792">
        <v>249.51</v>
      </c>
      <c r="I6792">
        <v>249.5</v>
      </c>
      <c r="J6792">
        <v>0.01</v>
      </c>
    </row>
    <row r="6793" spans="1:10" x14ac:dyDescent="0.3">
      <c r="A6793" t="str">
        <f>HYPERLINK("https://us2.cloudbeds.com/connect/10074733072513#/reservations/31677372502216?display=MH969XNV0&amp;reservation_id=31677372502216", "MH969XNV0")</f>
        <v>MH969XNV0</v>
      </c>
      <c r="B6793" t="s">
        <v>10</v>
      </c>
      <c r="C6793" t="s">
        <v>11</v>
      </c>
      <c r="D6793" t="str">
        <f>HYPERLINK("https://us2.cloudbeds.com/connect/10074733072513#/reservations/31677372502216?display=Sheila%20Preheim&amp;reservation_id=31677372502216&amp;guest_id=31677363773600", "Sheila Preheim")</f>
        <v>Sheila Preheim</v>
      </c>
      <c r="E6793" t="s">
        <v>709</v>
      </c>
      <c r="F6793" t="s">
        <v>4347</v>
      </c>
      <c r="G6793">
        <v>149</v>
      </c>
      <c r="H6793">
        <v>161.97</v>
      </c>
      <c r="I6793">
        <v>161.96</v>
      </c>
      <c r="J6793">
        <v>0.01</v>
      </c>
    </row>
    <row r="6794" spans="1:10" x14ac:dyDescent="0.3">
      <c r="A6794" t="str">
        <f>HYPERLINK("https://us2.cloudbeds.com/connect/10074733072513#/reservations/30682798874830?display=YQV2KZEBZ&amp;reservation_id=30682798874830", "YQV2KZEBZ")</f>
        <v>YQV2KZEBZ</v>
      </c>
      <c r="B6794" t="s">
        <v>10</v>
      </c>
      <c r="C6794" t="s">
        <v>42</v>
      </c>
      <c r="D6794" t="str">
        <f>HYPERLINK("https://us2.cloudbeds.com/connect/10074733072513#/reservations/30682798874830?display=Margie%20Mueller&amp;reservation_id=30682798874830&amp;guest_id=30682798870782", "Margie Mueller")</f>
        <v>Margie Mueller</v>
      </c>
      <c r="E6794" t="s">
        <v>4348</v>
      </c>
      <c r="F6794" t="s">
        <v>3881</v>
      </c>
      <c r="G6794">
        <v>278</v>
      </c>
      <c r="H6794">
        <v>302.2</v>
      </c>
      <c r="I6794">
        <v>302.19</v>
      </c>
      <c r="J6794">
        <v>0.01</v>
      </c>
    </row>
    <row r="6795" spans="1:10" x14ac:dyDescent="0.3">
      <c r="A6795" t="str">
        <f>HYPERLINK("https://us2.cloudbeds.com/connect/10074733072513#/reservations/30683079930108?display=YQV9QZ70B&amp;reservation_id=30683079930108", "YQV9QZ70B")</f>
        <v>YQV9QZ70B</v>
      </c>
      <c r="B6795" t="s">
        <v>10</v>
      </c>
      <c r="C6795" t="s">
        <v>42</v>
      </c>
      <c r="D6795" t="str">
        <f>HYPERLINK("https://us2.cloudbeds.com/connect/10074733072513#/reservations/30683079930108?display=Sebastian%20Soto&amp;reservation_id=30683079930108&amp;guest_id=30681816453299", "Sebastian Soto")</f>
        <v>Sebastian Soto</v>
      </c>
      <c r="E6795" t="s">
        <v>4025</v>
      </c>
      <c r="F6795" t="s">
        <v>4349</v>
      </c>
      <c r="G6795">
        <v>89</v>
      </c>
      <c r="H6795">
        <v>96.75</v>
      </c>
      <c r="I6795">
        <v>96.74</v>
      </c>
      <c r="J6795">
        <v>0.01</v>
      </c>
    </row>
    <row r="6796" spans="1:10" x14ac:dyDescent="0.3">
      <c r="A6796" t="str">
        <f>HYPERLINK("https://us2.cloudbeds.com/connect/10074733072513#/reservations/30682131017861?display=YQUXXJATP&amp;reservation_id=30682131017861", "YQUXXJATP")</f>
        <v>YQUXXJATP</v>
      </c>
      <c r="B6796" t="s">
        <v>10</v>
      </c>
      <c r="C6796" t="s">
        <v>42</v>
      </c>
      <c r="D6796" t="str">
        <f>HYPERLINK("https://us2.cloudbeds.com/connect/10074733072513#/reservations/30682131017861?display=Joan%20Johnson&amp;reservation_id=30682131017861&amp;guest_id=30682131017859", "Joan Johnson")</f>
        <v>Joan Johnson</v>
      </c>
      <c r="E6796" t="s">
        <v>4350</v>
      </c>
      <c r="F6796" t="s">
        <v>3774</v>
      </c>
      <c r="G6796">
        <v>159</v>
      </c>
      <c r="H6796">
        <v>172.84</v>
      </c>
      <c r="I6796">
        <v>172.83</v>
      </c>
      <c r="J6796">
        <v>0.01</v>
      </c>
    </row>
    <row r="6797" spans="1:10" x14ac:dyDescent="0.3">
      <c r="A6797" t="str">
        <f>HYPERLINK("https://us2.cloudbeds.com/connect/10074733072513#/reservations/30681543852174?display=YQU3XFJ45&amp;reservation_id=30681543852174", "YQU3XFJ45")</f>
        <v>YQU3XFJ45</v>
      </c>
      <c r="B6797" t="s">
        <v>10</v>
      </c>
      <c r="C6797" t="s">
        <v>23</v>
      </c>
      <c r="D6797" t="str">
        <f>HYPERLINK("https://us2.cloudbeds.com/connect/10074733072513#/reservations/30681543852174?display=Jennifer%20Ringler&amp;reservation_id=30681543852174&amp;guest_id=30681543852169", "Jennifer Ringler")</f>
        <v>Jennifer Ringler</v>
      </c>
      <c r="E6797" t="s">
        <v>4352</v>
      </c>
      <c r="F6797" t="s">
        <v>4013</v>
      </c>
      <c r="G6797">
        <v>169</v>
      </c>
      <c r="H6797">
        <v>183.71</v>
      </c>
      <c r="I6797">
        <v>183.7</v>
      </c>
      <c r="J6797">
        <v>0.01</v>
      </c>
    </row>
    <row r="6798" spans="1:10" x14ac:dyDescent="0.3">
      <c r="A6798" t="str">
        <f>HYPERLINK("https://us2.cloudbeds.com/connect/10074733072513#/reservations/30683148681403?display=YQVBXNAGU&amp;reservation_id=30683148681403", "YQVBXNAGU")</f>
        <v>YQVBXNAGU</v>
      </c>
      <c r="B6798" t="s">
        <v>10</v>
      </c>
      <c r="C6798" t="s">
        <v>121</v>
      </c>
      <c r="D6798" t="str">
        <f>HYPERLINK("https://us2.cloudbeds.com/connect/10074733072513#/reservations/30683148681403?display=Adam%20Greenfield&amp;reservation_id=30683148681403&amp;guest_id=30683141173475", "Adam Greenfield")</f>
        <v>Adam Greenfield</v>
      </c>
      <c r="E6798" t="s">
        <v>4288</v>
      </c>
      <c r="F6798" t="s">
        <v>4342</v>
      </c>
      <c r="G6798">
        <v>149</v>
      </c>
      <c r="H6798">
        <v>161.97</v>
      </c>
      <c r="I6798">
        <v>161.96</v>
      </c>
      <c r="J6798">
        <v>0.01</v>
      </c>
    </row>
    <row r="6799" spans="1:10" x14ac:dyDescent="0.3">
      <c r="A6799" t="str">
        <f>HYPERLINK("https://us2.cloudbeds.com/connect/10074733072513#/reservations/31675812004031?display=MH7WDNXJ7&amp;reservation_id=31675812004031", "MH7WDNXJ7")</f>
        <v>MH7WDNXJ7</v>
      </c>
      <c r="B6799" t="s">
        <v>10</v>
      </c>
      <c r="C6799" t="s">
        <v>20</v>
      </c>
      <c r="D6799" t="str">
        <f>HYPERLINK("https://us2.cloudbeds.com/connect/10074733072513#/reservations/31675812004031?display=Mary%20Benton&amp;reservation_id=31675812004031&amp;guest_id=31675812003982", "Mary Benton")</f>
        <v>Mary Benton</v>
      </c>
      <c r="E6799" t="s">
        <v>4354</v>
      </c>
      <c r="F6799" t="s">
        <v>4355</v>
      </c>
      <c r="G6799">
        <v>101.75</v>
      </c>
      <c r="H6799">
        <v>110.61</v>
      </c>
      <c r="I6799">
        <v>110.6</v>
      </c>
      <c r="J6799">
        <v>0.01</v>
      </c>
    </row>
    <row r="6800" spans="1:10" x14ac:dyDescent="0.3">
      <c r="A6800" t="str">
        <f>HYPERLINK("https://us2.cloudbeds.com/connect/10074733072513#/reservations/30682743271561?display=YQV16S6B6&amp;reservation_id=30682743271561", "YQV16S6B6")</f>
        <v>YQV16S6B6</v>
      </c>
      <c r="B6800" t="s">
        <v>10</v>
      </c>
      <c r="C6800" t="s">
        <v>42</v>
      </c>
      <c r="D6800" t="str">
        <f>HYPERLINK("https://us2.cloudbeds.com/connect/10074733072513#/reservations/30682743271561?display=Lance%20Shaver&amp;reservation_id=30682743271561&amp;guest_id=30682743271556", "Lance Shaver")</f>
        <v>Lance Shaver</v>
      </c>
      <c r="E6800" t="s">
        <v>4357</v>
      </c>
      <c r="F6800" t="s">
        <v>4342</v>
      </c>
      <c r="G6800">
        <v>73</v>
      </c>
      <c r="H6800">
        <v>79.36</v>
      </c>
      <c r="I6800">
        <v>79.349999999999994</v>
      </c>
      <c r="J6800">
        <v>0.01</v>
      </c>
    </row>
    <row r="6801" spans="1:10" x14ac:dyDescent="0.3">
      <c r="A6801" t="str">
        <f>HYPERLINK("https://us2.cloudbeds.com/connect/10074733072513#/reservations/30682664648881?display=YQUW6XD6Z&amp;reservation_id=30682664648881", "YQUW6XD6Z")</f>
        <v>YQUW6XD6Z</v>
      </c>
      <c r="B6801" t="s">
        <v>10</v>
      </c>
      <c r="C6801" t="s">
        <v>42</v>
      </c>
      <c r="D6801" t="str">
        <f>HYPERLINK("https://us2.cloudbeds.com/connect/10074733072513#/reservations/30682664648881?display=Vickie%20Grant&amp;reservation_id=30682664648881&amp;guest_id=30682664648878", "Vickie Grant")</f>
        <v>Vickie Grant</v>
      </c>
      <c r="E6801" t="s">
        <v>4358</v>
      </c>
      <c r="F6801" t="s">
        <v>3171</v>
      </c>
      <c r="G6801">
        <v>321.3</v>
      </c>
      <c r="H6801">
        <v>349.26</v>
      </c>
      <c r="I6801">
        <v>349.25</v>
      </c>
      <c r="J6801">
        <v>0.01</v>
      </c>
    </row>
    <row r="6802" spans="1:10" x14ac:dyDescent="0.3">
      <c r="A6802" t="str">
        <f>HYPERLINK("https://us2.cloudbeds.com/connect/10074733072513#/reservations/30681434149109?display=YQU0ZVUMS&amp;reservation_id=30681434149109", "YQU0ZVUMS")</f>
        <v>YQU0ZVUMS</v>
      </c>
      <c r="B6802" t="s">
        <v>10</v>
      </c>
      <c r="C6802" t="s">
        <v>20</v>
      </c>
      <c r="D6802" t="str">
        <f>HYPERLINK("https://us2.cloudbeds.com/connect/10074733072513#/reservations/30681434149109?display=Kuxhaus%20Amanda&amp;reservation_id=30681434149109&amp;guest_id=30681434149099", "Kuxhaus Amanda")</f>
        <v>Kuxhaus Amanda</v>
      </c>
      <c r="E6802" t="s">
        <v>4359</v>
      </c>
      <c r="F6802" t="s">
        <v>4360</v>
      </c>
      <c r="G6802">
        <v>169.3</v>
      </c>
      <c r="H6802">
        <v>184.04</v>
      </c>
      <c r="I6802">
        <v>184.03</v>
      </c>
      <c r="J6802">
        <v>0.01</v>
      </c>
    </row>
    <row r="6803" spans="1:10" x14ac:dyDescent="0.3">
      <c r="A6803" t="str">
        <f>HYPERLINK("https://us2.cloudbeds.com/connect/10074733072513#/reservations/30682604445928?display=YQUUYQ5DR&amp;reservation_id=30682604445928", "YQUUYQ5DR")</f>
        <v>YQUUYQ5DR</v>
      </c>
      <c r="B6803" t="s">
        <v>10</v>
      </c>
      <c r="C6803" t="s">
        <v>20</v>
      </c>
      <c r="D6803" t="str">
        <f>HYPERLINK("https://us2.cloudbeds.com/connect/10074733072513#/reservations/30682604445928?display=Janet%20Maul-Smth&amp;reservation_id=30682604445928&amp;guest_id=30682604445924", "Janet Maul-Smth")</f>
        <v>Janet Maul-Smth</v>
      </c>
      <c r="E6803" t="s">
        <v>4361</v>
      </c>
      <c r="F6803" t="s">
        <v>4362</v>
      </c>
      <c r="G6803">
        <v>79.94</v>
      </c>
      <c r="H6803">
        <v>86.9</v>
      </c>
      <c r="I6803">
        <v>86.89</v>
      </c>
      <c r="J6803">
        <v>0.01</v>
      </c>
    </row>
    <row r="6804" spans="1:10" x14ac:dyDescent="0.3">
      <c r="A6804" t="str">
        <f>HYPERLINK("https://us2.cloudbeds.com/connect/10074733072513#/reservations/30683082768598?display=YQV9T46H6&amp;reservation_id=30683082768598", "YQV9T46H6")</f>
        <v>YQV9T46H6</v>
      </c>
      <c r="B6804" t="s">
        <v>10</v>
      </c>
      <c r="C6804" t="s">
        <v>42</v>
      </c>
      <c r="D6804" t="str">
        <f>HYPERLINK("https://us2.cloudbeds.com/connect/10074733072513#/reservations/30683082768598?display=Mike%20Tolbert&amp;reservation_id=30683082768598&amp;guest_id=30683082768594", "Mike Tolbert")</f>
        <v>Mike Tolbert</v>
      </c>
      <c r="E6804" t="s">
        <v>4363</v>
      </c>
      <c r="F6804" t="s">
        <v>4349</v>
      </c>
      <c r="G6804">
        <v>73</v>
      </c>
      <c r="H6804">
        <v>79.36</v>
      </c>
      <c r="I6804">
        <v>79.349999999999994</v>
      </c>
      <c r="J6804">
        <v>0.01</v>
      </c>
    </row>
    <row r="6805" spans="1:10" x14ac:dyDescent="0.3">
      <c r="A6805" t="str">
        <f>HYPERLINK("https://us2.cloudbeds.com/connect/10074733072513#/reservations/30683001876650?display=YQV7QU8J1&amp;reservation_id=30683001876650", "YQV7QU8J1")</f>
        <v>YQV7QU8J1</v>
      </c>
      <c r="B6805" t="s">
        <v>10</v>
      </c>
      <c r="C6805" t="s">
        <v>42</v>
      </c>
      <c r="D6805" t="str">
        <f>HYPERLINK("https://us2.cloudbeds.com/connect/10074733072513#/reservations/30683001876650?display=John%20Poole&amp;reservation_id=30683001876650&amp;guest_id=30683001876648", "John Poole")</f>
        <v>John Poole</v>
      </c>
      <c r="E6805" t="s">
        <v>4366</v>
      </c>
      <c r="F6805" t="s">
        <v>4219</v>
      </c>
      <c r="G6805">
        <v>73</v>
      </c>
      <c r="H6805">
        <v>79.36</v>
      </c>
      <c r="I6805">
        <v>79.349999999999994</v>
      </c>
      <c r="J6805">
        <v>0.01</v>
      </c>
    </row>
    <row r="6806" spans="1:10" x14ac:dyDescent="0.3">
      <c r="A6806" t="str">
        <f>HYPERLINK("https://us2.cloudbeds.com/connect/10074733072513#/reservations/30682618945729?display=YQUV10Y6Z&amp;reservation_id=30682618945729", "YQUV10Y6Z")</f>
        <v>YQUV10Y6Z</v>
      </c>
      <c r="B6806" t="s">
        <v>10</v>
      </c>
      <c r="C6806" t="s">
        <v>42</v>
      </c>
      <c r="D6806" t="str">
        <f>HYPERLINK("https://us2.cloudbeds.com/connect/10074733072513#/reservations/30682618945729?display=Dave%20Mccandles&amp;reservation_id=30682618945729&amp;guest_id=30682078572764", "Dave Mccandles")</f>
        <v>Dave Mccandles</v>
      </c>
      <c r="E6806" t="s">
        <v>4367</v>
      </c>
      <c r="F6806" t="s">
        <v>3171</v>
      </c>
      <c r="G6806">
        <v>89</v>
      </c>
      <c r="H6806">
        <v>96.75</v>
      </c>
      <c r="I6806">
        <v>96.74</v>
      </c>
      <c r="J6806">
        <v>0.01</v>
      </c>
    </row>
    <row r="6807" spans="1:10" x14ac:dyDescent="0.3">
      <c r="A6807" t="str">
        <f>HYPERLINK("https://us2.cloudbeds.com/connect/10074733072513#/reservations/30683119116484?display=YQVAQPKR9&amp;reservation_id=30683119116484", "YQVAQPKR9")</f>
        <v>YQVAQPKR9</v>
      </c>
      <c r="B6807" t="s">
        <v>10</v>
      </c>
      <c r="C6807" t="s">
        <v>42</v>
      </c>
      <c r="D6807" t="str">
        <f>HYPERLINK("https://us2.cloudbeds.com/connect/10074733072513#/reservations/30683119116484?display=Allison%20Bowles&amp;reservation_id=30683119116484&amp;guest_id=30683119112397", "Allison Bowles")</f>
        <v>Allison Bowles</v>
      </c>
      <c r="E6807" t="s">
        <v>4370</v>
      </c>
      <c r="F6807" t="s">
        <v>4349</v>
      </c>
      <c r="G6807">
        <v>218</v>
      </c>
      <c r="H6807">
        <v>236.98</v>
      </c>
      <c r="I6807">
        <v>236.97</v>
      </c>
      <c r="J6807">
        <v>0.01</v>
      </c>
    </row>
    <row r="6808" spans="1:10" x14ac:dyDescent="0.3">
      <c r="A6808" t="str">
        <f>HYPERLINK("https://us2.cloudbeds.com/connect/10074733072513#/reservations/30682988146903?display=YQV7FB6U3&amp;reservation_id=30682988146903", "YQV7FB6U3")</f>
        <v>YQV7FB6U3</v>
      </c>
      <c r="B6808" t="s">
        <v>10</v>
      </c>
      <c r="C6808" t="s">
        <v>42</v>
      </c>
      <c r="D6808" t="str">
        <f>HYPERLINK("https://us2.cloudbeds.com/connect/10074733072513#/reservations/30682988146903?display=Brock%20Smith&amp;reservation_id=30682988146903&amp;guest_id=30682988146901", "Brock Smith")</f>
        <v>Brock Smith</v>
      </c>
      <c r="E6808" t="s">
        <v>2818</v>
      </c>
      <c r="F6808" t="s">
        <v>4219</v>
      </c>
      <c r="G6808">
        <v>73</v>
      </c>
      <c r="H6808">
        <v>79.36</v>
      </c>
      <c r="I6808">
        <v>79.349999999999994</v>
      </c>
      <c r="J6808">
        <v>0.01</v>
      </c>
    </row>
    <row r="6809" spans="1:10" x14ac:dyDescent="0.3">
      <c r="A6809" t="str">
        <f>HYPERLINK("https://us2.cloudbeds.com/connect/10074733072513#/reservations/30682513821946?display=YQUSBCDQX&amp;reservation_id=30682513821946", "YQUSBCDQX")</f>
        <v>YQUSBCDQX</v>
      </c>
      <c r="B6809" t="s">
        <v>10</v>
      </c>
      <c r="C6809" t="s">
        <v>42</v>
      </c>
      <c r="D6809" t="str">
        <f>HYPERLINK("https://us2.cloudbeds.com/connect/10074733072513#/reservations/30682513821946?display=Kari%20Bartling&amp;reservation_id=30682513821946&amp;guest_id=30682501398677", "Kari Bartling")</f>
        <v>Kari Bartling</v>
      </c>
      <c r="E6809" t="s">
        <v>4371</v>
      </c>
      <c r="F6809" t="s">
        <v>4232</v>
      </c>
      <c r="G6809">
        <v>321.3</v>
      </c>
      <c r="H6809">
        <v>349.26</v>
      </c>
      <c r="I6809">
        <v>349.25</v>
      </c>
      <c r="J6809">
        <v>0.01</v>
      </c>
    </row>
    <row r="6810" spans="1:10" x14ac:dyDescent="0.3">
      <c r="A6810" t="str">
        <f>HYPERLINK("https://us2.cloudbeds.com/connect/10074733072513#/reservations/30683107958946?display=YQVAHC552&amp;reservation_id=30683107958946", "YQVAHC552")</f>
        <v>YQVAHC552</v>
      </c>
      <c r="B6810" t="s">
        <v>10</v>
      </c>
      <c r="C6810" t="s">
        <v>42</v>
      </c>
      <c r="D6810" t="str">
        <f>HYPERLINK("https://us2.cloudbeds.com/connect/10074733072513#/reservations/30683107958946?display=Keith%20Harvey&amp;reservation_id=30683107958946&amp;guest_id=30682533175493", "Keith Harvey")</f>
        <v>Keith Harvey</v>
      </c>
      <c r="E6810" t="s">
        <v>4372</v>
      </c>
      <c r="F6810" t="s">
        <v>4349</v>
      </c>
      <c r="G6810">
        <v>73</v>
      </c>
      <c r="H6810">
        <v>79.36</v>
      </c>
      <c r="I6810">
        <v>79.349999999999994</v>
      </c>
      <c r="J6810">
        <v>0.01</v>
      </c>
    </row>
    <row r="6811" spans="1:10" x14ac:dyDescent="0.3">
      <c r="A6811" t="str">
        <f>HYPERLINK("https://us2.cloudbeds.com/connect/10074733072513#/reservations/30682538361039?display=YQUSW28DE&amp;reservation_id=30682538361039", "YQUSW28DE")</f>
        <v>YQUSW28DE</v>
      </c>
      <c r="B6811" t="s">
        <v>10</v>
      </c>
      <c r="C6811" t="s">
        <v>11</v>
      </c>
      <c r="D6811" t="str">
        <f>HYPERLINK("https://us2.cloudbeds.com/connect/10074733072513#/reservations/30682538361039?display=Betsy%20Rohde&amp;reservation_id=30682538361039&amp;guest_id=30682531672254", "Betsy Rohde")</f>
        <v>Betsy Rohde</v>
      </c>
      <c r="E6811" t="s">
        <v>4373</v>
      </c>
      <c r="F6811" t="s">
        <v>4232</v>
      </c>
      <c r="G6811">
        <v>205.2</v>
      </c>
      <c r="H6811">
        <v>223.06</v>
      </c>
      <c r="I6811">
        <v>223.05</v>
      </c>
      <c r="J6811">
        <v>0.01</v>
      </c>
    </row>
    <row r="6812" spans="1:10" x14ac:dyDescent="0.3">
      <c r="A6812" t="str">
        <f>HYPERLINK("https://us2.cloudbeds.com/connect/10074733072513#/reservations/30682501394587?display=YQUS0TK2U&amp;reservation_id=30682501394587", "YQUS0TK2U")</f>
        <v>YQUS0TK2U</v>
      </c>
      <c r="B6812" t="s">
        <v>10</v>
      </c>
      <c r="C6812" t="s">
        <v>42</v>
      </c>
      <c r="D6812" t="str">
        <f>HYPERLINK("https://us2.cloudbeds.com/connect/10074733072513#/reservations/30682501394587?display=Xavier%20Smith&amp;reservation_id=30682501394587&amp;guest_id=30682501394582", "Xavier Smith")</f>
        <v>Xavier Smith</v>
      </c>
      <c r="E6812" t="s">
        <v>4374</v>
      </c>
      <c r="F6812" t="s">
        <v>4232</v>
      </c>
      <c r="G6812">
        <v>129</v>
      </c>
      <c r="H6812">
        <v>140.22999999999999</v>
      </c>
      <c r="I6812">
        <v>140.22</v>
      </c>
      <c r="J6812">
        <v>0.01</v>
      </c>
    </row>
    <row r="6813" spans="1:10" x14ac:dyDescent="0.3">
      <c r="A6813" t="str">
        <f>HYPERLINK("https://us2.cloudbeds.com/connect/10074733072513#/reservations/30683044700288?display=YQV8ZFGY1&amp;reservation_id=30683044700288", "YQV8ZFGY1")</f>
        <v>YQV8ZFGY1</v>
      </c>
      <c r="B6813" t="s">
        <v>10</v>
      </c>
      <c r="C6813" t="s">
        <v>11</v>
      </c>
      <c r="D6813" t="str">
        <f>HYPERLINK("https://us2.cloudbeds.com/connect/10074733072513#/reservations/30683044700288?display=Tyler%20Jones&amp;reservation_id=30683044700288&amp;guest_id=30683038109921", "Tyler Jones")</f>
        <v>Tyler Jones</v>
      </c>
      <c r="E6813" t="s">
        <v>4379</v>
      </c>
      <c r="F6813" t="s">
        <v>4279</v>
      </c>
      <c r="G6813">
        <v>269.83999999999997</v>
      </c>
      <c r="H6813">
        <v>293.33</v>
      </c>
      <c r="I6813">
        <v>293.32</v>
      </c>
      <c r="J6813">
        <v>0.01</v>
      </c>
    </row>
    <row r="6814" spans="1:10" x14ac:dyDescent="0.3">
      <c r="A6814" t="str">
        <f>HYPERLINK("https://us2.cloudbeds.com/connect/10074733072513#/reservations/30681922326743?display=YQUD7K6BG&amp;reservation_id=30681922326743", "YQUD7K6BG")</f>
        <v>YQUD7K6BG</v>
      </c>
      <c r="B6814" t="s">
        <v>10</v>
      </c>
      <c r="C6814" t="s">
        <v>42</v>
      </c>
      <c r="D6814" t="str">
        <f>HYPERLINK("https://us2.cloudbeds.com/connect/10074733072513#/reservations/30681922326743?display=Angelica%20Toribio%20Villalobas&amp;reservation_id=30681922326743&amp;guest_id=30681913532550", "Angelica Toribio Villalobas")</f>
        <v>Angelica Toribio Villalobas</v>
      </c>
      <c r="E6814" t="s">
        <v>4380</v>
      </c>
      <c r="F6814" t="s">
        <v>3343</v>
      </c>
      <c r="G6814">
        <v>159</v>
      </c>
      <c r="H6814">
        <v>172.84</v>
      </c>
      <c r="I6814">
        <v>172.83</v>
      </c>
      <c r="J6814">
        <v>0.01</v>
      </c>
    </row>
    <row r="6815" spans="1:10" x14ac:dyDescent="0.3">
      <c r="A6815" t="str">
        <f>HYPERLINK("https://us2.cloudbeds.com/connect/10074733072513#/reservations/30682206568667?display=YQUKG9Y74&amp;reservation_id=30682206568667", "YQUKG9Y74")</f>
        <v>YQUKG9Y74</v>
      </c>
      <c r="B6815" t="s">
        <v>10</v>
      </c>
      <c r="C6815" t="s">
        <v>121</v>
      </c>
      <c r="D6815" t="str">
        <f>HYPERLINK("https://us2.cloudbeds.com/connect/10074733072513#/reservations/30682206568667?display=Rebecca%20Dixon&amp;reservation_id=30682206568667&amp;guest_id=30682197852386", "Rebecca Dixon")</f>
        <v>Rebecca Dixon</v>
      </c>
      <c r="E6815" t="s">
        <v>4381</v>
      </c>
      <c r="F6815" t="s">
        <v>3572</v>
      </c>
      <c r="G6815">
        <v>129</v>
      </c>
      <c r="H6815">
        <v>140.22999999999999</v>
      </c>
      <c r="I6815">
        <v>140.22</v>
      </c>
      <c r="J6815">
        <v>0.01</v>
      </c>
    </row>
    <row r="6816" spans="1:10" x14ac:dyDescent="0.3">
      <c r="A6816" t="str">
        <f>HYPERLINK("https://us2.cloudbeds.com/connect/10074733072513#/reservations/30682647695580?display=YQUVP8YEB&amp;reservation_id=30682647695580", "YQUVP8YEB")</f>
        <v>YQUVP8YEB</v>
      </c>
      <c r="B6816" t="s">
        <v>10</v>
      </c>
      <c r="C6816" t="s">
        <v>42</v>
      </c>
      <c r="D6816" t="str">
        <f>HYPERLINK("https://us2.cloudbeds.com/connect/10074733072513#/reservations/30682647695580?display=Abdulahi%20Ali&amp;reservation_id=30682647695580&amp;guest_id=30682647695577", "Abdulahi Ali")</f>
        <v>Abdulahi Ali</v>
      </c>
      <c r="E6816" t="s">
        <v>4382</v>
      </c>
      <c r="F6816" t="s">
        <v>3171</v>
      </c>
      <c r="G6816">
        <v>258</v>
      </c>
      <c r="H6816">
        <v>280.45999999999998</v>
      </c>
      <c r="I6816">
        <v>280.45</v>
      </c>
      <c r="J6816">
        <v>0.01</v>
      </c>
    </row>
    <row r="6817" spans="1:10" x14ac:dyDescent="0.3">
      <c r="A6817" t="str">
        <f>HYPERLINK("https://us2.cloudbeds.com/connect/10074733072513#/reservations/30682481955040?display=YQURHGM8Z&amp;reservation_id=30682481955040", "YQURHGM8Z")</f>
        <v>YQURHGM8Z</v>
      </c>
      <c r="B6817" t="s">
        <v>10</v>
      </c>
      <c r="C6817" t="s">
        <v>42</v>
      </c>
      <c r="D6817" t="str">
        <f>HYPERLINK("https://us2.cloudbeds.com/connect/10074733072513#/reservations/30682481955040?display=Jeff%20Potts%20Miguile&amp;reservation_id=30682481955040&amp;guest_id=30682481955029", "Jeff Potts Miguile")</f>
        <v>Jeff Potts Miguile</v>
      </c>
      <c r="E6817" t="s">
        <v>3400</v>
      </c>
      <c r="F6817" t="s">
        <v>4267</v>
      </c>
      <c r="G6817">
        <v>222</v>
      </c>
      <c r="H6817">
        <v>241.32</v>
      </c>
      <c r="I6817">
        <v>241.31</v>
      </c>
      <c r="J6817">
        <v>0.01</v>
      </c>
    </row>
    <row r="6818" spans="1:10" x14ac:dyDescent="0.3">
      <c r="A6818" t="str">
        <f>HYPERLINK("https://us2.cloudbeds.com/connect/10074733072513#/reservations/30682501398679?display=YQUS0TNRU&amp;reservation_id=30682501398679", "YQUS0TNRU")</f>
        <v>YQUS0TNRU</v>
      </c>
      <c r="B6818" t="s">
        <v>10</v>
      </c>
      <c r="C6818" t="s">
        <v>42</v>
      </c>
      <c r="D6818" t="str">
        <f>HYPERLINK("https://us2.cloudbeds.com/connect/10074733072513#/reservations/30682501398679?display=Jeff%20Potts%20Bill%20Koch&amp;reservation_id=30682501398679&amp;guest_id=30682501394585", "Jeff Potts Bill Koch")</f>
        <v>Jeff Potts Bill Koch</v>
      </c>
      <c r="E6818" t="s">
        <v>3400</v>
      </c>
      <c r="F6818" t="s">
        <v>4267</v>
      </c>
      <c r="G6818">
        <v>222</v>
      </c>
      <c r="H6818">
        <v>241.32</v>
      </c>
      <c r="I6818">
        <v>241.31</v>
      </c>
      <c r="J6818">
        <v>0.01</v>
      </c>
    </row>
    <row r="6819" spans="1:10" x14ac:dyDescent="0.3">
      <c r="A6819" t="str">
        <f>HYPERLINK("https://us2.cloudbeds.com/connect/10074733072513#/reservations/30682439725301?display=YQUQETXQM&amp;reservation_id=30682439725301", "YQUQETXQM")</f>
        <v>YQUQETXQM</v>
      </c>
      <c r="B6819" t="s">
        <v>10</v>
      </c>
      <c r="C6819" t="s">
        <v>42</v>
      </c>
      <c r="D6819" t="str">
        <f>HYPERLINK("https://us2.cloudbeds.com/connect/10074733072513#/reservations/30682439725301?display=Jeff%20Potts%20Bates%20And%20?&amp;reservation_id=30682439725301&amp;guest_id=30682426179739", "Jeff Potts Bates And ?")</f>
        <v>Jeff Potts Bates And ?</v>
      </c>
      <c r="E6819" t="s">
        <v>3400</v>
      </c>
      <c r="F6819" t="s">
        <v>4267</v>
      </c>
      <c r="G6819">
        <v>222</v>
      </c>
      <c r="H6819">
        <v>241.32</v>
      </c>
      <c r="I6819">
        <v>241.31</v>
      </c>
      <c r="J6819">
        <v>0.01</v>
      </c>
    </row>
    <row r="6820" spans="1:10" x14ac:dyDescent="0.3">
      <c r="A6820" t="str">
        <f>HYPERLINK("https://us2.cloudbeds.com/connect/10074733072513#/reservations/30681581219988?display=YQU4GWD03&amp;reservation_id=30681581219988", "YQU4GWD03")</f>
        <v>YQU4GWD03</v>
      </c>
      <c r="B6820" t="s">
        <v>10</v>
      </c>
      <c r="C6820" t="s">
        <v>42</v>
      </c>
      <c r="D6820" t="str">
        <f>HYPERLINK("https://us2.cloudbeds.com/connect/10074733072513#/reservations/30681581219988?display=Jan%20Afdahl&amp;reservation_id=30681581219988&amp;guest_id=30681574330500", "Jan Afdahl")</f>
        <v>Jan Afdahl</v>
      </c>
      <c r="E6820" t="s">
        <v>4383</v>
      </c>
      <c r="F6820" t="s">
        <v>4267</v>
      </c>
      <c r="G6820">
        <v>109</v>
      </c>
      <c r="H6820">
        <v>118.49</v>
      </c>
      <c r="I6820">
        <v>118.48</v>
      </c>
      <c r="J6820">
        <v>0.01</v>
      </c>
    </row>
    <row r="6821" spans="1:10" x14ac:dyDescent="0.3">
      <c r="A6821" t="str">
        <f>HYPERLINK("https://us2.cloudbeds.com/connect/10074733072513#/reservations/30681558425780?display=YQU3UP3MJ&amp;reservation_id=30681558425780", "YQU3UP3MJ")</f>
        <v>YQU3UP3MJ</v>
      </c>
      <c r="B6821" t="s">
        <v>10</v>
      </c>
      <c r="C6821" t="s">
        <v>42</v>
      </c>
      <c r="D6821" t="str">
        <f>HYPERLINK("https://us2.cloudbeds.com/connect/10074733072513#/reservations/30681558425780?display=Mindi%20Chase&amp;reservation_id=30681558425780&amp;guest_id=30681551114466", "Mindi Chase")</f>
        <v>Mindi Chase</v>
      </c>
      <c r="E6821" t="s">
        <v>4386</v>
      </c>
      <c r="F6821" t="s">
        <v>4134</v>
      </c>
      <c r="G6821">
        <v>179</v>
      </c>
      <c r="H6821">
        <v>194.58</v>
      </c>
      <c r="I6821">
        <v>194.57</v>
      </c>
      <c r="J6821">
        <v>0.01</v>
      </c>
    </row>
    <row r="6822" spans="1:10" x14ac:dyDescent="0.3">
      <c r="A6822" t="str">
        <f>HYPERLINK("https://us2.cloudbeds.com/connect/10074733072513#/reservations/30683011809475?display=YQV829YKZ&amp;reservation_id=30683011809475", "YQV829YKZ")</f>
        <v>YQV829YKZ</v>
      </c>
      <c r="B6822" t="s">
        <v>10</v>
      </c>
      <c r="C6822" t="s">
        <v>17</v>
      </c>
      <c r="D6822" t="str">
        <f>HYPERLINK("https://us2.cloudbeds.com/connect/10074733072513#/reservations/30683011809475?display=Rebecca%20Klehr&amp;reservation_id=30683011809475&amp;guest_id=30683011805379", "Rebecca Klehr")</f>
        <v>Rebecca Klehr</v>
      </c>
      <c r="E6822" t="s">
        <v>4387</v>
      </c>
      <c r="F6822" t="s">
        <v>4279</v>
      </c>
      <c r="G6822">
        <v>109</v>
      </c>
      <c r="H6822">
        <v>118.49</v>
      </c>
      <c r="I6822">
        <v>118.48</v>
      </c>
      <c r="J6822">
        <v>0.01</v>
      </c>
    </row>
    <row r="6823" spans="1:10" x14ac:dyDescent="0.3">
      <c r="A6823" t="str">
        <f>HYPERLINK("https://us2.cloudbeds.com/connect/10074733072513#/reservations/31674768457934?display=MH75ZPBN7&amp;reservation_id=31674768457934", "MH75ZPBN7")</f>
        <v>MH75ZPBN7</v>
      </c>
      <c r="B6823" t="s">
        <v>10</v>
      </c>
      <c r="C6823" t="s">
        <v>23</v>
      </c>
      <c r="D6823" t="str">
        <f>HYPERLINK("https://us2.cloudbeds.com/connect/10074733072513#/reservations/31674768457934?display=Melissa%20Nelson&amp;reservation_id=31674768457934&amp;guest_id=31674761588918", "Melissa Nelson")</f>
        <v>Melissa Nelson</v>
      </c>
      <c r="E6823" t="s">
        <v>4388</v>
      </c>
      <c r="F6823" t="s">
        <v>3836</v>
      </c>
      <c r="G6823">
        <v>159</v>
      </c>
      <c r="H6823">
        <v>172.84</v>
      </c>
      <c r="I6823">
        <v>172.83</v>
      </c>
      <c r="J6823">
        <v>0.01</v>
      </c>
    </row>
    <row r="6824" spans="1:10" x14ac:dyDescent="0.3">
      <c r="A6824" t="str">
        <f>HYPERLINK("https://us2.cloudbeds.com/connect/10074733072513#/reservations/30682335731916?display=YQUNQ6QDU&amp;reservation_id=30682335731916", "YQUNQ6QDU")</f>
        <v>YQUNQ6QDU</v>
      </c>
      <c r="B6824" t="s">
        <v>10</v>
      </c>
      <c r="C6824" t="s">
        <v>23</v>
      </c>
      <c r="D6824" t="str">
        <f>HYPERLINK("https://us2.cloudbeds.com/connect/10074733072513#/reservations/30682335731916?display=Kristin%20Kluin&amp;reservation_id=30682335731916&amp;guest_id=30682335727832", "Kristin Kluin")</f>
        <v>Kristin Kluin</v>
      </c>
      <c r="E6824" t="s">
        <v>4389</v>
      </c>
      <c r="F6824" t="s">
        <v>4267</v>
      </c>
      <c r="G6824">
        <v>278</v>
      </c>
      <c r="H6824">
        <v>302.2</v>
      </c>
      <c r="I6824">
        <v>302.19</v>
      </c>
      <c r="J6824">
        <v>0.01</v>
      </c>
    </row>
    <row r="6825" spans="1:10" x14ac:dyDescent="0.3">
      <c r="A6825" t="str">
        <f>HYPERLINK("https://us2.cloudbeds.com/connect/10074733072513#/reservations/31673295261928?display=MH613HGY0&amp;reservation_id=31673295261928", "MH613HGY0")</f>
        <v>MH613HGY0</v>
      </c>
      <c r="B6825" t="s">
        <v>10</v>
      </c>
      <c r="C6825" t="s">
        <v>42</v>
      </c>
      <c r="D6825" t="str">
        <f>HYPERLINK("https://us2.cloudbeds.com/connect/10074733072513#/reservations/31673295261928?display=Katie%20Boyle&amp;reservation_id=31673295261928&amp;guest_id=31673295261923", "Katie Boyle")</f>
        <v>Katie Boyle</v>
      </c>
      <c r="E6825" t="s">
        <v>4390</v>
      </c>
      <c r="F6825" t="s">
        <v>3834</v>
      </c>
      <c r="G6825">
        <v>129</v>
      </c>
      <c r="H6825">
        <v>140.22999999999999</v>
      </c>
      <c r="I6825">
        <v>140.22</v>
      </c>
      <c r="J6825">
        <v>0.01</v>
      </c>
    </row>
    <row r="6826" spans="1:10" x14ac:dyDescent="0.3">
      <c r="A6826" t="str">
        <f>HYPERLINK("https://us2.cloudbeds.com/connect/10074733072513#/reservations/30682555662538?display=YQUTDYMU9&amp;reservation_id=30682555662538", "YQUTDYMU9")</f>
        <v>YQUTDYMU9</v>
      </c>
      <c r="B6826" t="s">
        <v>10</v>
      </c>
      <c r="C6826" t="s">
        <v>23</v>
      </c>
      <c r="D6826" t="str">
        <f>HYPERLINK("https://us2.cloudbeds.com/connect/10074733072513#/reservations/30682555662538?display=Randy%20Shamp&amp;reservation_id=30682555662538&amp;guest_id=30682546102514", "Randy Shamp")</f>
        <v>Randy Shamp</v>
      </c>
      <c r="E6826" t="s">
        <v>4391</v>
      </c>
      <c r="F6826" t="s">
        <v>4385</v>
      </c>
      <c r="G6826">
        <v>218</v>
      </c>
      <c r="H6826">
        <v>236.98</v>
      </c>
      <c r="I6826">
        <v>236.97</v>
      </c>
      <c r="J6826">
        <v>0.01</v>
      </c>
    </row>
    <row r="6827" spans="1:10" x14ac:dyDescent="0.3">
      <c r="A6827" t="str">
        <f>HYPERLINK("https://us2.cloudbeds.com/connect/10074733072513#/reservations/31674647261414?display=MH72YXT4D&amp;reservation_id=31674647261414", "MH72YXT4D")</f>
        <v>MH72YXT4D</v>
      </c>
      <c r="B6827" t="s">
        <v>10</v>
      </c>
      <c r="C6827" t="s">
        <v>23</v>
      </c>
      <c r="D6827" t="str">
        <f>HYPERLINK("https://us2.cloudbeds.com/connect/10074733072513#/reservations/31674647261414?display=Sara%20Schenck&amp;reservation_id=31674647261414&amp;guest_id=31674647261412", "Sara Schenck")</f>
        <v>Sara Schenck</v>
      </c>
      <c r="E6827" t="s">
        <v>4392</v>
      </c>
      <c r="F6827" t="s">
        <v>3836</v>
      </c>
      <c r="G6827">
        <v>109</v>
      </c>
      <c r="H6827">
        <v>118.49</v>
      </c>
      <c r="I6827">
        <v>118.48</v>
      </c>
      <c r="J6827">
        <v>0.01</v>
      </c>
    </row>
    <row r="6828" spans="1:10" x14ac:dyDescent="0.3">
      <c r="A6828" t="str">
        <f>HYPERLINK("https://us2.cloudbeds.com/connect/10074733072513#/reservations/30682539524252?display=YQUT01KXA&amp;reservation_id=30682539524252", "YQUT01KXA")</f>
        <v>YQUT01KXA</v>
      </c>
      <c r="B6828" t="s">
        <v>10</v>
      </c>
      <c r="C6828" t="s">
        <v>42</v>
      </c>
      <c r="D6828" t="str">
        <f>HYPERLINK("https://us2.cloudbeds.com/connect/10074733072513#/reservations/30682539524252?display=Lowry%20Harvey&amp;reservation_id=30682539524252&amp;guest_id=30682539524246", "Lowry Harvey")</f>
        <v>Lowry Harvey</v>
      </c>
      <c r="E6828" t="s">
        <v>4394</v>
      </c>
      <c r="F6828" t="s">
        <v>4385</v>
      </c>
      <c r="G6828">
        <v>109</v>
      </c>
      <c r="H6828">
        <v>118.49</v>
      </c>
      <c r="I6828">
        <v>118.48</v>
      </c>
      <c r="J6828">
        <v>0.01</v>
      </c>
    </row>
    <row r="6829" spans="1:10" x14ac:dyDescent="0.3">
      <c r="A6829" t="str">
        <f>HYPERLINK("https://us2.cloudbeds.com/connect/10074733072513#/reservations/31675550367902?display=MH7PZ350M&amp;reservation_id=31675550367902", "MH7PZ350M")</f>
        <v>MH7PZ350M</v>
      </c>
      <c r="B6829" t="s">
        <v>10</v>
      </c>
      <c r="C6829" t="s">
        <v>23</v>
      </c>
      <c r="D6829" t="str">
        <f>HYPERLINK("https://us2.cloudbeds.com/connect/10074733072513#/reservations/31675550367902?display=Kim%20Johnson&amp;reservation_id=31675550367902&amp;guest_id=31675550367900", "Kim Johnson")</f>
        <v>Kim Johnson</v>
      </c>
      <c r="E6829" t="s">
        <v>4395</v>
      </c>
      <c r="F6829" t="s">
        <v>3836</v>
      </c>
      <c r="G6829">
        <v>318</v>
      </c>
      <c r="H6829">
        <v>345.68</v>
      </c>
      <c r="I6829">
        <v>345.67</v>
      </c>
      <c r="J6829">
        <v>0.01</v>
      </c>
    </row>
    <row r="6830" spans="1:10" x14ac:dyDescent="0.3">
      <c r="A6830" t="str">
        <f>HYPERLINK("https://us2.cloudbeds.com/connect/10074733072513#/reservations/31674647265507?display=MH72YXWTE&amp;reservation_id=31674647265507", "MH72YXWTE")</f>
        <v>MH72YXWTE</v>
      </c>
      <c r="B6830" t="s">
        <v>10</v>
      </c>
      <c r="C6830" t="s">
        <v>17</v>
      </c>
      <c r="D6830" t="str">
        <f>HYPERLINK("https://us2.cloudbeds.com/connect/10074733072513#/reservations/31674647265507?display=Hannah%20Dibble&amp;reservation_id=31674647265507&amp;guest_id=31674647265505", "Hannah Dibble")</f>
        <v>Hannah Dibble</v>
      </c>
      <c r="E6830" t="s">
        <v>4397</v>
      </c>
      <c r="F6830" t="s">
        <v>3836</v>
      </c>
      <c r="G6830">
        <v>358</v>
      </c>
      <c r="H6830">
        <v>389.16</v>
      </c>
      <c r="I6830">
        <v>389.15</v>
      </c>
      <c r="J6830">
        <v>0.01</v>
      </c>
    </row>
    <row r="6831" spans="1:10" x14ac:dyDescent="0.3">
      <c r="A6831" t="str">
        <f>HYPERLINK("https://us2.cloudbeds.com/connect/10074733072513#/reservations/30682533175495?display=YQUSRMVYZ&amp;reservation_id=30682533175495", "YQUSRMVYZ")</f>
        <v>YQUSRMVYZ</v>
      </c>
      <c r="B6831" t="s">
        <v>10</v>
      </c>
      <c r="C6831" t="s">
        <v>121</v>
      </c>
      <c r="D6831" t="str">
        <f>HYPERLINK("https://us2.cloudbeds.com/connect/10074733072513#/reservations/30682533175495?display=Veronica%20Avila&amp;reservation_id=30682533175495&amp;guest_id=30682533175490", "Veronica Avila")</f>
        <v>Veronica Avila</v>
      </c>
      <c r="E6831" t="s">
        <v>4398</v>
      </c>
      <c r="F6831" t="s">
        <v>4385</v>
      </c>
      <c r="G6831">
        <v>109</v>
      </c>
      <c r="H6831">
        <v>118.49</v>
      </c>
      <c r="I6831">
        <v>118.48</v>
      </c>
      <c r="J6831">
        <v>0.01</v>
      </c>
    </row>
    <row r="6832" spans="1:10" x14ac:dyDescent="0.3">
      <c r="A6832" t="str">
        <f>HYPERLINK("https://us2.cloudbeds.com/connect/10074733072513#/reservations/30682617008272?display=YQUUWCZ2U&amp;reservation_id=30682617008272", "YQUUWCZ2U")</f>
        <v>YQUUWCZ2U</v>
      </c>
      <c r="B6832" t="s">
        <v>10</v>
      </c>
      <c r="C6832" t="s">
        <v>14</v>
      </c>
      <c r="D6832" t="str">
        <f>HYPERLINK("https://us2.cloudbeds.com/connect/10074733072513#/reservations/30682617008272?display=Michael%20Noel&amp;reservation_id=30682617008272&amp;guest_id=30679226015905", "Michael Noel")</f>
        <v>Michael Noel</v>
      </c>
      <c r="E6832" t="s">
        <v>4399</v>
      </c>
      <c r="F6832" t="s">
        <v>4362</v>
      </c>
      <c r="G6832">
        <v>87.84</v>
      </c>
      <c r="H6832">
        <v>95.49</v>
      </c>
      <c r="I6832">
        <v>95.48</v>
      </c>
      <c r="J6832">
        <v>0.01</v>
      </c>
    </row>
    <row r="6833" spans="1:10" x14ac:dyDescent="0.3">
      <c r="A6833" t="str">
        <f>HYPERLINK("https://us2.cloudbeds.com/connect/10074733072513#/reservations/30681846485243?display=YQUB9YQ37&amp;reservation_id=30681846485243", "YQUB9YQ37")</f>
        <v>YQUB9YQ37</v>
      </c>
      <c r="B6833" t="s">
        <v>10</v>
      </c>
      <c r="C6833" t="s">
        <v>42</v>
      </c>
      <c r="D6833" t="str">
        <f>HYPERLINK("https://us2.cloudbeds.com/connect/10074733072513#/reservations/30681846485243?display=Jennifer%20Fischer&amp;reservation_id=30681846485243&amp;guest_id=30681846485239", "Jennifer Fischer")</f>
        <v>Jennifer Fischer</v>
      </c>
      <c r="E6833" t="s">
        <v>4400</v>
      </c>
      <c r="F6833" t="s">
        <v>3343</v>
      </c>
      <c r="G6833">
        <v>328</v>
      </c>
      <c r="H6833">
        <v>356.55</v>
      </c>
      <c r="I6833">
        <v>356.54</v>
      </c>
      <c r="J6833">
        <v>0.01</v>
      </c>
    </row>
    <row r="6834" spans="1:10" x14ac:dyDescent="0.3">
      <c r="A6834" t="str">
        <f>HYPERLINK("https://us2.cloudbeds.com/connect/10074733072513#/reservations/30682495733956?display=YQURT432Y&amp;reservation_id=30682495733956", "YQURT432Y")</f>
        <v>YQURT432Y</v>
      </c>
      <c r="B6834" t="s">
        <v>10</v>
      </c>
      <c r="C6834" t="s">
        <v>42</v>
      </c>
      <c r="D6834" t="str">
        <f>HYPERLINK("https://us2.cloudbeds.com/connect/10074733072513#/reservations/30682495733956?display=Timothy%20Page&amp;reservation_id=30682495733956&amp;guest_id=30682495733952", "Timothy Page")</f>
        <v>Timothy Page</v>
      </c>
      <c r="E6834" t="s">
        <v>4401</v>
      </c>
      <c r="F6834" t="s">
        <v>4402</v>
      </c>
      <c r="G6834">
        <v>109</v>
      </c>
      <c r="H6834">
        <v>118.49</v>
      </c>
      <c r="I6834">
        <v>118.48</v>
      </c>
      <c r="J6834">
        <v>0.01</v>
      </c>
    </row>
    <row r="6835" spans="1:10" x14ac:dyDescent="0.3">
      <c r="A6835" t="str">
        <f>HYPERLINK("https://us2.cloudbeds.com/connect/10074733072513#/reservations/30681757937893?display=YQU90WRD6&amp;reservation_id=30681757937893", "YQU90WRD6")</f>
        <v>YQU90WRD6</v>
      </c>
      <c r="B6835" t="s">
        <v>10</v>
      </c>
      <c r="C6835" t="s">
        <v>42</v>
      </c>
      <c r="D6835" t="str">
        <f>HYPERLINK("https://us2.cloudbeds.com/connect/10074733072513#/reservations/30681757937893?display=Ethan%20Bloomgren&amp;reservation_id=30681757937893&amp;guest_id=30681757937888", "Ethan Bloomgren")</f>
        <v>Ethan Bloomgren</v>
      </c>
      <c r="E6835" t="s">
        <v>4403</v>
      </c>
      <c r="F6835" t="s">
        <v>3343</v>
      </c>
      <c r="G6835">
        <v>169</v>
      </c>
      <c r="H6835">
        <v>183.71</v>
      </c>
      <c r="I6835">
        <v>183.7</v>
      </c>
      <c r="J6835">
        <v>0.01</v>
      </c>
    </row>
    <row r="6836" spans="1:10" x14ac:dyDescent="0.3">
      <c r="A6836" t="str">
        <f>HYPERLINK("https://us2.cloudbeds.com/connect/10074733072513#/reservations/30682648498311?display=YQUVPUWXH&amp;reservation_id=30682648498311", "YQUVPUWXH")</f>
        <v>YQUVPUWXH</v>
      </c>
      <c r="B6836" t="s">
        <v>10</v>
      </c>
      <c r="C6836" t="s">
        <v>42</v>
      </c>
      <c r="D6836" t="str">
        <f>HYPERLINK("https://us2.cloudbeds.com/connect/10074733072513#/reservations/30682648498311?display=Gregory%20Wilson&amp;reservation_id=30682648498311&amp;guest_id=30682643239097", "Gregory Wilson")</f>
        <v>Gregory Wilson</v>
      </c>
      <c r="E6836" t="s">
        <v>4404</v>
      </c>
      <c r="F6836" t="s">
        <v>4402</v>
      </c>
      <c r="G6836">
        <v>73</v>
      </c>
      <c r="H6836">
        <v>79.36</v>
      </c>
      <c r="I6836">
        <v>79.349999999999994</v>
      </c>
      <c r="J6836">
        <v>0.01</v>
      </c>
    </row>
    <row r="6837" spans="1:10" x14ac:dyDescent="0.3">
      <c r="A6837" t="str">
        <f>HYPERLINK("https://us2.cloudbeds.com/connect/10074733072513#/reservations/30682627244227?display=YQUV80XGC&amp;reservation_id=30682627244227", "YQUV80XGC")</f>
        <v>YQUV80XGC</v>
      </c>
      <c r="B6837" t="s">
        <v>10</v>
      </c>
      <c r="C6837" t="s">
        <v>23</v>
      </c>
      <c r="D6837" t="str">
        <f>HYPERLINK("https://us2.cloudbeds.com/connect/10074733072513#/reservations/30682627244227?display=Matthew%20K%20Ditzler&amp;reservation_id=30682627244227&amp;guest_id=30682623557852", "Matthew K Ditzler")</f>
        <v>Matthew K Ditzler</v>
      </c>
      <c r="E6837" t="s">
        <v>4407</v>
      </c>
      <c r="F6837" t="s">
        <v>4362</v>
      </c>
      <c r="G6837">
        <v>109</v>
      </c>
      <c r="H6837">
        <v>118.49</v>
      </c>
      <c r="I6837">
        <v>118.48</v>
      </c>
      <c r="J6837">
        <v>0.01</v>
      </c>
    </row>
    <row r="6838" spans="1:10" x14ac:dyDescent="0.3">
      <c r="A6838" t="str">
        <f>HYPERLINK("https://us2.cloudbeds.com/connect/10074733072513#/reservations/30682580644021?display=YQUU1NRZU&amp;reservation_id=30682580644021", "YQUU1NRZU")</f>
        <v>YQUU1NRZU</v>
      </c>
      <c r="B6838" t="s">
        <v>10</v>
      </c>
      <c r="C6838" t="s">
        <v>121</v>
      </c>
      <c r="D6838" t="str">
        <f>HYPERLINK("https://us2.cloudbeds.com/connect/10074733072513#/reservations/30682580644021?display=Jody%20Osmond&amp;reservation_id=30682580644021&amp;guest_id=30682580644018", "Jody Osmond")</f>
        <v>Jody Osmond</v>
      </c>
      <c r="E6838" t="s">
        <v>4408</v>
      </c>
      <c r="F6838" t="s">
        <v>4362</v>
      </c>
      <c r="G6838">
        <v>109</v>
      </c>
      <c r="H6838">
        <v>118.49</v>
      </c>
      <c r="I6838">
        <v>118.48</v>
      </c>
      <c r="J6838">
        <v>0.01</v>
      </c>
    </row>
    <row r="6839" spans="1:10" x14ac:dyDescent="0.3">
      <c r="A6839" t="str">
        <f>HYPERLINK("https://us2.cloudbeds.com/connect/10074733072513#/reservations/30682397212814?display=YQUPC1JNG&amp;reservation_id=30682397212814", "YQUPC1JNG")</f>
        <v>YQUPC1JNG</v>
      </c>
      <c r="B6839" t="s">
        <v>10</v>
      </c>
      <c r="C6839" t="s">
        <v>42</v>
      </c>
      <c r="D6839" t="str">
        <f>HYPERLINK("https://us2.cloudbeds.com/connect/10074733072513#/reservations/30682397212814?display=Robert%20Bernhardt&amp;reservation_id=30682397212814&amp;guest_id=30682397212803", "Robert Bernhardt")</f>
        <v>Robert Bernhardt</v>
      </c>
      <c r="E6839" t="s">
        <v>4410</v>
      </c>
      <c r="F6839" t="s">
        <v>4267</v>
      </c>
      <c r="G6839">
        <v>109</v>
      </c>
      <c r="H6839">
        <v>118.49</v>
      </c>
      <c r="I6839">
        <v>118.48</v>
      </c>
      <c r="J6839">
        <v>0.01</v>
      </c>
    </row>
    <row r="6840" spans="1:10" x14ac:dyDescent="0.3">
      <c r="A6840" t="str">
        <f>HYPERLINK("https://us2.cloudbeds.com/connect/10074733072513#/reservations/30682397216903?display=YQUPC1NFD&amp;reservation_id=30682397216903", "YQUPC1NFD")</f>
        <v>YQUPC1NFD</v>
      </c>
      <c r="B6840" t="s">
        <v>10</v>
      </c>
      <c r="C6840" t="s">
        <v>42</v>
      </c>
      <c r="D6840" t="str">
        <f>HYPERLINK("https://us2.cloudbeds.com/connect/10074733072513#/reservations/30682397216903?display=Heba%20Fawzi%20Saleh&amp;reservation_id=30682397216903&amp;guest_id=30682397212812", "Heba Fawzi Saleh")</f>
        <v>Heba Fawzi Saleh</v>
      </c>
      <c r="E6840" t="s">
        <v>4177</v>
      </c>
      <c r="F6840" t="s">
        <v>4362</v>
      </c>
      <c r="G6840">
        <v>129</v>
      </c>
      <c r="H6840">
        <v>140.22999999999999</v>
      </c>
      <c r="I6840">
        <v>140.22</v>
      </c>
      <c r="J6840">
        <v>0.01</v>
      </c>
    </row>
    <row r="6841" spans="1:10" x14ac:dyDescent="0.3">
      <c r="A6841" t="str">
        <f>HYPERLINK("https://us2.cloudbeds.com/connect/10074733072513#/reservations/30682164342947?display=YQUJDMYES&amp;reservation_id=30682164342947", "YQUJDMYES")</f>
        <v>YQUJDMYES</v>
      </c>
      <c r="B6841" t="s">
        <v>10</v>
      </c>
      <c r="C6841" t="s">
        <v>17</v>
      </c>
      <c r="D6841" t="str">
        <f>HYPERLINK("https://us2.cloudbeds.com/connect/10074733072513#/reservations/30682164342947?display=Becky%20Foster&amp;reservation_id=30682164342947&amp;guest_id=30682164338853", "Becky Foster")</f>
        <v>Becky Foster</v>
      </c>
      <c r="E6841" t="s">
        <v>4411</v>
      </c>
      <c r="F6841" t="s">
        <v>3774</v>
      </c>
      <c r="G6841">
        <v>278</v>
      </c>
      <c r="H6841">
        <v>302.2</v>
      </c>
      <c r="I6841">
        <v>302.19</v>
      </c>
      <c r="J6841">
        <v>0.01</v>
      </c>
    </row>
    <row r="6842" spans="1:10" x14ac:dyDescent="0.3">
      <c r="A6842" t="str">
        <f>HYPERLINK("https://us2.cloudbeds.com/connect/10074733072513#/reservations/30682633732258?display=YQUVDG39C&amp;reservation_id=30682633732258", "YQUVDG39C")</f>
        <v>YQUVDG39C</v>
      </c>
      <c r="B6842" t="s">
        <v>10</v>
      </c>
      <c r="C6842" t="s">
        <v>121</v>
      </c>
      <c r="D6842" t="str">
        <f>HYPERLINK("https://us2.cloudbeds.com/connect/10074733072513#/reservations/30682633732258?display=Alfredo%20Mandragon&amp;reservation_id=30682633732258&amp;guest_id=30682633732254", "Alfredo Mandragon")</f>
        <v>Alfredo Mandragon</v>
      </c>
      <c r="E6842" t="s">
        <v>4412</v>
      </c>
      <c r="F6842" t="s">
        <v>4362</v>
      </c>
      <c r="G6842">
        <v>109</v>
      </c>
      <c r="H6842">
        <v>118.49</v>
      </c>
      <c r="I6842">
        <v>118.48</v>
      </c>
      <c r="J6842">
        <v>0.01</v>
      </c>
    </row>
    <row r="6843" spans="1:10" x14ac:dyDescent="0.3">
      <c r="A6843" t="str">
        <f>HYPERLINK("https://us2.cloudbeds.com/connect/10074733072513#/reservations/30681613992160?display=YQU5BKAR9&amp;reservation_id=30681613992160", "YQU5BKAR9")</f>
        <v>YQU5BKAR9</v>
      </c>
      <c r="B6843" t="s">
        <v>10</v>
      </c>
      <c r="C6843" t="s">
        <v>17</v>
      </c>
      <c r="D6843" t="str">
        <f>HYPERLINK("https://us2.cloudbeds.com/connect/10074733072513#/reservations/30681613992160?display=Scott%20Thoms&amp;reservation_id=30681613992160&amp;guest_id=30665020055687", "Scott Thoms")</f>
        <v>Scott Thoms</v>
      </c>
      <c r="E6843" t="s">
        <v>4413</v>
      </c>
      <c r="F6843" t="s">
        <v>2609</v>
      </c>
      <c r="G6843">
        <v>149</v>
      </c>
      <c r="H6843">
        <v>161.97</v>
      </c>
      <c r="I6843">
        <v>161.96</v>
      </c>
      <c r="J6843">
        <v>0.01</v>
      </c>
    </row>
    <row r="6844" spans="1:10" x14ac:dyDescent="0.3">
      <c r="A6844" t="str">
        <f>HYPERLINK("https://us2.cloudbeds.com/connect/10074733072513#/reservations/30682394460329?display=YQUP9Z05S&amp;reservation_id=30682394460329", "YQUP9Z05S")</f>
        <v>YQUP9Z05S</v>
      </c>
      <c r="B6844" t="s">
        <v>10</v>
      </c>
      <c r="C6844" t="s">
        <v>42</v>
      </c>
      <c r="D6844" t="str">
        <f>HYPERLINK("https://us2.cloudbeds.com/connect/10074733072513#/reservations/30682394460329?display=Krison%20Pope&amp;reservation_id=30682394460329&amp;guest_id=30682394460306", "Krison Pope")</f>
        <v>Krison Pope</v>
      </c>
      <c r="E6844" t="s">
        <v>4414</v>
      </c>
      <c r="F6844" t="s">
        <v>4013</v>
      </c>
      <c r="G6844">
        <v>149</v>
      </c>
      <c r="H6844">
        <v>161.97</v>
      </c>
      <c r="I6844">
        <v>161.96</v>
      </c>
      <c r="J6844">
        <v>0.01</v>
      </c>
    </row>
    <row r="6845" spans="1:10" x14ac:dyDescent="0.3">
      <c r="A6845" t="str">
        <f>HYPERLINK("https://us2.cloudbeds.com/connect/10074733072513#/reservations/30681480810655?display=YQU1VABP2&amp;reservation_id=30681480810655", "YQU1VABP2")</f>
        <v>YQU1VABP2</v>
      </c>
      <c r="B6845" t="s">
        <v>10</v>
      </c>
      <c r="C6845" t="s">
        <v>23</v>
      </c>
      <c r="D6845" t="str">
        <f>HYPERLINK("https://us2.cloudbeds.com/connect/10074733072513#/reservations/30681480810655?display=Carol%20Toupal&amp;reservation_id=30681480810655&amp;guest_id=30681480810651", "Carol Toupal")</f>
        <v>Carol Toupal</v>
      </c>
      <c r="E6845" t="s">
        <v>4415</v>
      </c>
      <c r="F6845" t="s">
        <v>4378</v>
      </c>
      <c r="G6845">
        <v>109</v>
      </c>
      <c r="H6845">
        <v>118.49</v>
      </c>
      <c r="I6845">
        <v>118.48</v>
      </c>
      <c r="J6845">
        <v>0.01</v>
      </c>
    </row>
    <row r="6846" spans="1:10" x14ac:dyDescent="0.3">
      <c r="A6846" t="str">
        <f>HYPERLINK("https://us2.cloudbeds.com/connect/10074733072513#/reservations/30681664458894?display=YQU6Y5Y38&amp;reservation_id=30681664458894", "YQU6Y5Y38")</f>
        <v>YQU6Y5Y38</v>
      </c>
      <c r="B6846" t="s">
        <v>10</v>
      </c>
      <c r="C6846" t="s">
        <v>20</v>
      </c>
      <c r="D6846" t="str">
        <f>HYPERLINK("https://us2.cloudbeds.com/connect/10074733072513#/reservations/30681664458894?display=Ray%20Rodgers&amp;reservation_id=30681664458894&amp;guest_id=30681664458892", "Ray Rodgers")</f>
        <v>Ray Rodgers</v>
      </c>
      <c r="E6846" t="s">
        <v>4416</v>
      </c>
      <c r="F6846" t="s">
        <v>3774</v>
      </c>
      <c r="G6846">
        <v>169</v>
      </c>
      <c r="H6846">
        <v>183.71</v>
      </c>
      <c r="I6846">
        <v>183.7</v>
      </c>
      <c r="J6846">
        <v>0.01</v>
      </c>
    </row>
    <row r="6847" spans="1:10" x14ac:dyDescent="0.3">
      <c r="A6847" t="str">
        <f>HYPERLINK("https://us2.cloudbeds.com/connect/10074733072513#/reservations/30681746997417?display=YQU8ZPD1K&amp;reservation_id=30681746997417", "YQU8ZPD1K")</f>
        <v>YQU8ZPD1K</v>
      </c>
      <c r="B6847" t="s">
        <v>10</v>
      </c>
      <c r="C6847" t="s">
        <v>42</v>
      </c>
      <c r="D6847" t="str">
        <f>HYPERLINK("https://us2.cloudbeds.com/connect/10074733072513#/reservations/30681746997417?display=Patrick%20Gustin&amp;reservation_id=30681746997417&amp;guest_id=30681740333272", "Patrick Gustin")</f>
        <v>Patrick Gustin</v>
      </c>
      <c r="E6847" t="s">
        <v>4419</v>
      </c>
      <c r="F6847" t="s">
        <v>3343</v>
      </c>
      <c r="G6847">
        <v>149</v>
      </c>
      <c r="H6847">
        <v>161.97</v>
      </c>
      <c r="I6847">
        <v>161.96</v>
      </c>
      <c r="J6847">
        <v>0.01</v>
      </c>
    </row>
    <row r="6848" spans="1:10" x14ac:dyDescent="0.3">
      <c r="A6848" t="str">
        <f>HYPERLINK("https://us2.cloudbeds.com/connect/10074733072513#/reservations/30681871581327?display=YQUBUR45K&amp;reservation_id=30681871581327", "YQUBUR45K")</f>
        <v>YQUBUR45K</v>
      </c>
      <c r="B6848" t="s">
        <v>10</v>
      </c>
      <c r="C6848" t="s">
        <v>14</v>
      </c>
      <c r="D6848" t="str">
        <f>HYPERLINK("https://us2.cloudbeds.com/connect/10074733072513#/reservations/30681871581327?display=Susanne%20Keller&amp;reservation_id=30681871581327&amp;guest_id=30681871581323", "Susanne Keller")</f>
        <v>Susanne Keller</v>
      </c>
      <c r="E6848" t="s">
        <v>4420</v>
      </c>
      <c r="F6848" t="s">
        <v>4421</v>
      </c>
      <c r="G6848">
        <v>77.5</v>
      </c>
      <c r="H6848">
        <v>84.25</v>
      </c>
      <c r="I6848">
        <v>84.24</v>
      </c>
      <c r="J6848">
        <v>0.01</v>
      </c>
    </row>
    <row r="6849" spans="1:10" x14ac:dyDescent="0.3">
      <c r="A6849" t="str">
        <f>HYPERLINK("https://us2.cloudbeds.com/connect/10074733072513#/reservations/30681687531648?display=YQU6W13A2&amp;reservation_id=30681687531648", "YQU6W13A2")</f>
        <v>YQU6W13A2</v>
      </c>
      <c r="B6849" t="s">
        <v>10</v>
      </c>
      <c r="C6849" t="s">
        <v>20</v>
      </c>
      <c r="D6849" t="str">
        <f>HYPERLINK("https://us2.cloudbeds.com/connect/10074733072513#/reservations/30681687531648?display=Mark%20G%20Suing&amp;reservation_id=30681687531648&amp;guest_id=30681677340890", "Mark G Suing")</f>
        <v>Mark G Suing</v>
      </c>
      <c r="E6849" t="s">
        <v>4422</v>
      </c>
      <c r="F6849" t="s">
        <v>4421</v>
      </c>
      <c r="G6849">
        <v>122.55</v>
      </c>
      <c r="H6849">
        <v>133.22</v>
      </c>
      <c r="I6849">
        <v>133.21</v>
      </c>
      <c r="J6849">
        <v>0.01</v>
      </c>
    </row>
    <row r="6850" spans="1:10" x14ac:dyDescent="0.3">
      <c r="A6850" t="str">
        <f>HYPERLINK("https://us2.cloudbeds.com/connect/10074733072513#/reservations/30681845539045?display=YQUB8SF7X&amp;reservation_id=30681845539045", "YQUB8SF7X")</f>
        <v>YQUB8SF7X</v>
      </c>
      <c r="B6850" t="s">
        <v>10</v>
      </c>
      <c r="C6850" t="s">
        <v>23</v>
      </c>
      <c r="D6850" t="str">
        <f>HYPERLINK("https://us2.cloudbeds.com/connect/10074733072513#/reservations/30681845539045?display=Darren%20Newborg&amp;reservation_id=30681845539045&amp;guest_id=30681837121741", "Darren Newborg")</f>
        <v>Darren Newborg</v>
      </c>
      <c r="E6850" t="s">
        <v>4425</v>
      </c>
      <c r="F6850" t="s">
        <v>4421</v>
      </c>
      <c r="G6850">
        <v>109</v>
      </c>
      <c r="H6850">
        <v>118.49</v>
      </c>
      <c r="I6850">
        <v>118.48</v>
      </c>
      <c r="J6850">
        <v>0.01</v>
      </c>
    </row>
    <row r="6851" spans="1:10" x14ac:dyDescent="0.3">
      <c r="A6851" t="str">
        <f>HYPERLINK("https://us2.cloudbeds.com/connect/10074733072513#/reservations/30681700221153?display=YQU7XAPY2&amp;reservation_id=30681700221153", "YQU7XAPY2")</f>
        <v>YQU7XAPY2</v>
      </c>
      <c r="B6851" t="s">
        <v>10</v>
      </c>
      <c r="C6851" t="s">
        <v>23</v>
      </c>
      <c r="D6851" t="str">
        <f>HYPERLINK("https://us2.cloudbeds.com/connect/10074733072513#/reservations/30681700221153?display=Melissa%20Johnson&amp;reservation_id=30681700221153&amp;guest_id=30681700217066", "Melissa Johnson")</f>
        <v>Melissa Johnson</v>
      </c>
      <c r="E6851" t="s">
        <v>4426</v>
      </c>
      <c r="F6851" t="s">
        <v>4427</v>
      </c>
      <c r="G6851">
        <v>139</v>
      </c>
      <c r="H6851">
        <v>151.1</v>
      </c>
      <c r="I6851">
        <v>151.09</v>
      </c>
      <c r="J6851">
        <v>0.01</v>
      </c>
    </row>
    <row r="6852" spans="1:10" x14ac:dyDescent="0.3">
      <c r="A6852" t="str">
        <f>HYPERLINK("https://us2.cloudbeds.com/connect/10074733072513#/reservations/30682461884548?display=YQUR0J620&amp;reservation_id=30682461884548", "YQUR0J620")</f>
        <v>YQUR0J620</v>
      </c>
      <c r="B6852" t="s">
        <v>10</v>
      </c>
      <c r="C6852" t="s">
        <v>42</v>
      </c>
      <c r="D6852" t="str">
        <f>HYPERLINK("https://us2.cloudbeds.com/connect/10074733072513#/reservations/30682461884548?display=Matthew%20Bala&amp;reservation_id=30682461884548&amp;guest_id=30682458570915", "Matthew Bala")</f>
        <v>Matthew Bala</v>
      </c>
      <c r="E6852" t="s">
        <v>4428</v>
      </c>
      <c r="F6852" t="s">
        <v>4378</v>
      </c>
      <c r="G6852">
        <v>119</v>
      </c>
      <c r="H6852">
        <v>129.36000000000001</v>
      </c>
      <c r="I6852">
        <v>129.35</v>
      </c>
      <c r="J6852">
        <v>0.01</v>
      </c>
    </row>
    <row r="6853" spans="1:10" x14ac:dyDescent="0.3">
      <c r="A6853" t="str">
        <f>HYPERLINK("https://us2.cloudbeds.com/connect/10074733072513#/reservations/30681820238041?display=YQUAKHDWF&amp;reservation_id=30681820238041", "YQUAKHDWF")</f>
        <v>YQUAKHDWF</v>
      </c>
      <c r="B6853" t="s">
        <v>10</v>
      </c>
      <c r="C6853" t="s">
        <v>42</v>
      </c>
      <c r="D6853" t="str">
        <f>HYPERLINK("https://us2.cloudbeds.com/connect/10074733072513#/reservations/30681820238041?display=Michael%20Daniels&amp;reservation_id=30681820238041&amp;guest_id=30646312952043", "Michael Daniels")</f>
        <v>Michael Daniels</v>
      </c>
      <c r="E6853" t="s">
        <v>3262</v>
      </c>
      <c r="F6853" t="s">
        <v>4429</v>
      </c>
      <c r="G6853">
        <v>178</v>
      </c>
      <c r="H6853">
        <v>193.5</v>
      </c>
      <c r="I6853">
        <v>193.49</v>
      </c>
      <c r="J6853">
        <v>0.01</v>
      </c>
    </row>
    <row r="6854" spans="1:10" x14ac:dyDescent="0.3">
      <c r="A6854" t="str">
        <f>HYPERLINK("https://us2.cloudbeds.com/connect/10074733072513#/reservations/30682448842963?display=YQUQMJ9AF&amp;reservation_id=30682448842963", "YQUQMJ9AF")</f>
        <v>YQUQMJ9AF</v>
      </c>
      <c r="B6854" t="s">
        <v>10</v>
      </c>
      <c r="C6854" t="s">
        <v>42</v>
      </c>
      <c r="D6854" t="str">
        <f>HYPERLINK("https://us2.cloudbeds.com/connect/10074733072513#/reservations/30682448842963?display=Sandi%20Holstein&amp;reservation_id=30682448842963&amp;guest_id=30682448842959", "Sandi Holstein")</f>
        <v>Sandi Holstein</v>
      </c>
      <c r="E6854" t="s">
        <v>3994</v>
      </c>
      <c r="F6854" t="s">
        <v>4378</v>
      </c>
      <c r="G6854">
        <v>139</v>
      </c>
      <c r="H6854">
        <v>151.1</v>
      </c>
      <c r="I6854">
        <v>151.09</v>
      </c>
      <c r="J6854">
        <v>0.01</v>
      </c>
    </row>
    <row r="6855" spans="1:10" x14ac:dyDescent="0.3">
      <c r="A6855" t="str">
        <f>HYPERLINK("https://us2.cloudbeds.com/connect/10074733072513#/reservations/30681320739066?display=YQTUSB47T&amp;reservation_id=30681320739066", "YQTUSB47T")</f>
        <v>YQTUSB47T</v>
      </c>
      <c r="B6855" t="s">
        <v>10</v>
      </c>
      <c r="C6855" t="s">
        <v>23</v>
      </c>
      <c r="D6855" t="str">
        <f>HYPERLINK("https://us2.cloudbeds.com/connect/10074733072513#/reservations/30681320739066?display=Bill%20Pedersen&amp;reservation_id=30681320739066&amp;guest_id=30681311965342", "Bill Pedersen")</f>
        <v>Bill Pedersen</v>
      </c>
      <c r="E6855" t="s">
        <v>4430</v>
      </c>
      <c r="F6855" t="s">
        <v>4134</v>
      </c>
      <c r="G6855">
        <v>278</v>
      </c>
      <c r="H6855">
        <v>302.2</v>
      </c>
      <c r="I6855">
        <v>302.19</v>
      </c>
      <c r="J6855">
        <v>0.01</v>
      </c>
    </row>
    <row r="6856" spans="1:10" x14ac:dyDescent="0.3">
      <c r="A6856" t="str">
        <f>HYPERLINK("https://us2.cloudbeds.com/connect/10074733072513#/reservations/30682520576152?display=YQUSH2C0F&amp;reservation_id=30682520576152", "YQUSH2C0F")</f>
        <v>YQUSH2C0F</v>
      </c>
      <c r="B6856" t="s">
        <v>10</v>
      </c>
      <c r="C6856" t="s">
        <v>42</v>
      </c>
      <c r="D6856" t="str">
        <f>HYPERLINK("https://us2.cloudbeds.com/connect/10074733072513#/reservations/30682520576152?display=Charles%20Meyer&amp;reservation_id=30682520576152&amp;guest_id=30682520576139", "Charles Meyer")</f>
        <v>Charles Meyer</v>
      </c>
      <c r="E6856" t="s">
        <v>4431</v>
      </c>
      <c r="F6856" t="s">
        <v>4432</v>
      </c>
      <c r="G6856">
        <v>109</v>
      </c>
      <c r="H6856">
        <v>118.49</v>
      </c>
      <c r="I6856">
        <v>118.48</v>
      </c>
      <c r="J6856">
        <v>0.01</v>
      </c>
    </row>
    <row r="6857" spans="1:10" x14ac:dyDescent="0.3">
      <c r="A6857" t="str">
        <f>HYPERLINK("https://us2.cloudbeds.com/connect/10074733072513#/reservations/30682466066646?display=YQUR43XC8&amp;reservation_id=30682466066646", "YQUR43XC8")</f>
        <v>YQUR43XC8</v>
      </c>
      <c r="B6857" t="s">
        <v>10</v>
      </c>
      <c r="C6857" t="s">
        <v>42</v>
      </c>
      <c r="D6857" t="str">
        <f>HYPERLINK("https://us2.cloudbeds.com/connect/10074733072513#/reservations/30682466066646?display=Denton%20Mechels&amp;reservation_id=30682466066646&amp;guest_id=30653020381405", "Denton Mechels")</f>
        <v>Denton Mechels</v>
      </c>
      <c r="E6857" t="s">
        <v>4436</v>
      </c>
      <c r="F6857" t="s">
        <v>4378</v>
      </c>
      <c r="G6857">
        <v>109</v>
      </c>
      <c r="H6857">
        <v>118.49</v>
      </c>
      <c r="I6857">
        <v>118.48</v>
      </c>
      <c r="J6857">
        <v>0.01</v>
      </c>
    </row>
    <row r="6858" spans="1:10" x14ac:dyDescent="0.3">
      <c r="A6858" t="str">
        <f>HYPERLINK("https://us2.cloudbeds.com/connect/10074733072513#/reservations/30682466062554?display=YQUR43EK8&amp;reservation_id=30682466062554", "YQUR43EK8")</f>
        <v>YQUR43EK8</v>
      </c>
      <c r="B6858" t="s">
        <v>10</v>
      </c>
      <c r="C6858" t="s">
        <v>42</v>
      </c>
      <c r="D6858" t="str">
        <f>HYPERLINK("https://us2.cloudbeds.com/connect/10074733072513#/reservations/30682466062554?display=Brent%20Bolte&amp;reservation_id=30682466062554&amp;guest_id=30682466062548", "Brent Bolte")</f>
        <v>Brent Bolte</v>
      </c>
      <c r="E6858" t="s">
        <v>4437</v>
      </c>
      <c r="F6858" t="s">
        <v>4378</v>
      </c>
      <c r="G6858">
        <v>109</v>
      </c>
      <c r="H6858">
        <v>118.49</v>
      </c>
      <c r="I6858">
        <v>118.48</v>
      </c>
      <c r="J6858">
        <v>0.01</v>
      </c>
    </row>
    <row r="6859" spans="1:10" x14ac:dyDescent="0.3">
      <c r="A6859" t="str">
        <f>HYPERLINK("https://us2.cloudbeds.com/connect/10074733072513#/reservations/30681781502175?display=YQU9KSHSB&amp;reservation_id=30681781502175", "YQU9KSHSB")</f>
        <v>YQU9KSHSB</v>
      </c>
      <c r="B6859" t="s">
        <v>10</v>
      </c>
      <c r="C6859" t="s">
        <v>42</v>
      </c>
      <c r="D6859" t="str">
        <f>HYPERLINK("https://us2.cloudbeds.com/connect/10074733072513#/reservations/30681781502175?display=Stephanie%20Metzger&amp;reservation_id=30681781502175&amp;guest_id=30681769697488", "Stephanie Metzger")</f>
        <v>Stephanie Metzger</v>
      </c>
      <c r="E6859" t="s">
        <v>4438</v>
      </c>
      <c r="F6859" t="s">
        <v>3757</v>
      </c>
      <c r="G6859">
        <v>159</v>
      </c>
      <c r="H6859">
        <v>172.84</v>
      </c>
      <c r="I6859">
        <v>172.83</v>
      </c>
      <c r="J6859">
        <v>0.01</v>
      </c>
    </row>
    <row r="6860" spans="1:10" x14ac:dyDescent="0.3">
      <c r="A6860" t="str">
        <f>HYPERLINK("https://us2.cloudbeds.com/connect/10074733072513#/reservations/30681816457344?display=YQUAHB3XN&amp;reservation_id=30681816457344", "YQUAHB3XN")</f>
        <v>YQUAHB3XN</v>
      </c>
      <c r="B6860" t="s">
        <v>10</v>
      </c>
      <c r="C6860" t="s">
        <v>42</v>
      </c>
      <c r="D6860" t="str">
        <f>HYPERLINK("https://us2.cloudbeds.com/connect/10074733072513#/reservations/30681816457344?display=Sebastian%20Soto&amp;reservation_id=30681816457344&amp;guest_id=30681816453299", "Sebastian Soto")</f>
        <v>Sebastian Soto</v>
      </c>
      <c r="E6860" t="s">
        <v>4025</v>
      </c>
      <c r="F6860" t="s">
        <v>4429</v>
      </c>
      <c r="G6860">
        <v>178</v>
      </c>
      <c r="H6860">
        <v>193.5</v>
      </c>
      <c r="I6860">
        <v>193.49</v>
      </c>
      <c r="J6860">
        <v>0.01</v>
      </c>
    </row>
    <row r="6861" spans="1:10" x14ac:dyDescent="0.3">
      <c r="A6861" t="str">
        <f>HYPERLINK("https://us2.cloudbeds.com/connect/10074733072513#/reservations/30681499914401?display=YQU2EDV7G&amp;reservation_id=30681499914401", "YQU2EDV7G")</f>
        <v>YQU2EDV7G</v>
      </c>
      <c r="B6861" t="s">
        <v>10</v>
      </c>
      <c r="C6861" t="s">
        <v>42</v>
      </c>
      <c r="D6861" t="str">
        <f>HYPERLINK("https://us2.cloudbeds.com/connect/10074733072513#/reservations/30681499914401?display=Rita%20Mclain&amp;reservation_id=30681499914401&amp;guest_id=30681499914386", "Rita Mclain")</f>
        <v>Rita Mclain</v>
      </c>
      <c r="E6861" t="s">
        <v>4439</v>
      </c>
      <c r="F6861" t="s">
        <v>3760</v>
      </c>
      <c r="G6861">
        <v>278</v>
      </c>
      <c r="H6861">
        <v>302.2</v>
      </c>
      <c r="I6861">
        <v>302.19</v>
      </c>
      <c r="J6861">
        <v>0.01</v>
      </c>
    </row>
    <row r="6862" spans="1:10" x14ac:dyDescent="0.3">
      <c r="A6862" t="str">
        <f>HYPERLINK("https://us2.cloudbeds.com/connect/10074733072513#/reservations/30682533171400?display=YQUSRMRTY&amp;reservation_id=30682533171400", "YQUSRMRTY")</f>
        <v>YQUSRMRTY</v>
      </c>
      <c r="B6862" t="s">
        <v>10</v>
      </c>
      <c r="C6862" t="s">
        <v>42</v>
      </c>
      <c r="D6862" t="str">
        <f>HYPERLINK("https://us2.cloudbeds.com/connect/10074733072513#/reservations/30682533171400?display=Nathan%20Bremer&amp;reservation_id=30682533171400&amp;guest_id=30682527031536", "Nathan Bremer")</f>
        <v>Nathan Bremer</v>
      </c>
      <c r="E6862" t="s">
        <v>4441</v>
      </c>
      <c r="F6862" t="s">
        <v>4432</v>
      </c>
      <c r="G6862">
        <v>99</v>
      </c>
      <c r="H6862">
        <v>107.62</v>
      </c>
      <c r="I6862">
        <v>107.61</v>
      </c>
      <c r="J6862">
        <v>0.01</v>
      </c>
    </row>
    <row r="6863" spans="1:10" x14ac:dyDescent="0.3">
      <c r="A6863" t="str">
        <f>HYPERLINK("https://us2.cloudbeds.com/connect/10074733072513#/reservations/30682448838867?display=YQUQMJ5XB&amp;reservation_id=30682448838867", "YQUQMJ5XB")</f>
        <v>YQUQMJ5XB</v>
      </c>
      <c r="B6863" t="s">
        <v>10</v>
      </c>
      <c r="C6863" t="s">
        <v>121</v>
      </c>
      <c r="D6863" t="str">
        <f>HYPERLINK("https://us2.cloudbeds.com/connect/10074733072513#/reservations/30682448838867?display=Yoandes%20Diaz&amp;reservation_id=30682448838867&amp;guest_id=30682443022560", "Yoandes Diaz")</f>
        <v>Yoandes Diaz</v>
      </c>
      <c r="E6863" t="s">
        <v>4442</v>
      </c>
      <c r="F6863" t="s">
        <v>4424</v>
      </c>
      <c r="G6863">
        <v>109</v>
      </c>
      <c r="H6863">
        <v>118.49</v>
      </c>
      <c r="I6863">
        <v>118.48</v>
      </c>
      <c r="J6863">
        <v>0.01</v>
      </c>
    </row>
    <row r="6864" spans="1:10" x14ac:dyDescent="0.3">
      <c r="A6864" t="str">
        <f>HYPERLINK("https://us2.cloudbeds.com/connect/10074733072513#/reservations/30682303742108?display=YQUMW7Y0R&amp;reservation_id=30682303742108", "YQUMW7Y0R")</f>
        <v>YQUMW7Y0R</v>
      </c>
      <c r="B6864" t="s">
        <v>10</v>
      </c>
      <c r="C6864" t="s">
        <v>20</v>
      </c>
      <c r="D6864" t="str">
        <f>HYPERLINK("https://us2.cloudbeds.com/connect/10074733072513#/reservations/30682303742108?display=Joseph%20Meyer&amp;reservation_id=30682303742108&amp;guest_id=30682303738023", "Joseph Meyer")</f>
        <v>Joseph Meyer</v>
      </c>
      <c r="E6864" t="s">
        <v>4443</v>
      </c>
      <c r="F6864" t="s">
        <v>4432</v>
      </c>
      <c r="G6864">
        <v>79.94</v>
      </c>
      <c r="H6864">
        <v>86.9</v>
      </c>
      <c r="I6864">
        <v>86.89</v>
      </c>
      <c r="J6864">
        <v>0.01</v>
      </c>
    </row>
    <row r="6865" spans="1:10" x14ac:dyDescent="0.3">
      <c r="A6865" t="str">
        <f>HYPERLINK("https://us2.cloudbeds.com/connect/10074733072513#/reservations/30682348880020?display=YQUZ49YWC&amp;reservation_id=30682348880020", "YQUZ49YWC")</f>
        <v>YQUZ49YWC</v>
      </c>
      <c r="B6865" t="s">
        <v>10</v>
      </c>
      <c r="C6865" t="s">
        <v>42</v>
      </c>
      <c r="D6865" t="str">
        <f>HYPERLINK("https://us2.cloudbeds.com/connect/10074733072513#/reservations/30682348880020?display=Tony%20Hagen&amp;reservation_id=30682348880020&amp;guest_id=30681434149107", "Tony Hagen")</f>
        <v>Tony Hagen</v>
      </c>
      <c r="E6865" t="s">
        <v>4444</v>
      </c>
      <c r="F6865" t="s">
        <v>4424</v>
      </c>
      <c r="G6865">
        <v>109</v>
      </c>
      <c r="H6865">
        <v>118.49</v>
      </c>
      <c r="I6865">
        <v>118.48</v>
      </c>
      <c r="J6865">
        <v>0.01</v>
      </c>
    </row>
    <row r="6866" spans="1:10" x14ac:dyDescent="0.3">
      <c r="A6866" t="str">
        <f>HYPERLINK("https://us2.cloudbeds.com/connect/10074733072513#/reservations/30682325954710?display=YQUNHVZ90&amp;reservation_id=30682325954710", "YQUNHVZ90")</f>
        <v>YQUNHVZ90</v>
      </c>
      <c r="B6866" t="s">
        <v>10</v>
      </c>
      <c r="C6866" t="s">
        <v>121</v>
      </c>
      <c r="D6866" t="str">
        <f>HYPERLINK("https://us2.cloudbeds.com/connect/10074733072513#/reservations/30682325954710?display=Jeromy%20Ulmer&amp;reservation_id=30682325954710&amp;guest_id=30682325954707", "Jeromy Ulmer")</f>
        <v>Jeromy Ulmer</v>
      </c>
      <c r="E6866" t="s">
        <v>4445</v>
      </c>
      <c r="F6866" t="s">
        <v>4432</v>
      </c>
      <c r="G6866">
        <v>139</v>
      </c>
      <c r="H6866">
        <v>151.1</v>
      </c>
      <c r="I6866">
        <v>151.09</v>
      </c>
      <c r="J6866">
        <v>0.01</v>
      </c>
    </row>
    <row r="6867" spans="1:10" x14ac:dyDescent="0.3">
      <c r="A6867" t="str">
        <f>HYPERLINK("https://us2.cloudbeds.com/connect/10074733072513#/reservations/30682325950612?display=YQUNHVKGR&amp;reservation_id=30682325950612", "YQUNHVKGR")</f>
        <v>YQUNHVKGR</v>
      </c>
      <c r="B6867" t="s">
        <v>10</v>
      </c>
      <c r="C6867" t="s">
        <v>11</v>
      </c>
      <c r="D6867" t="str">
        <f>HYPERLINK("https://us2.cloudbeds.com/connect/10074733072513#/reservations/30682325950612?display=Chad%20Aldrich&amp;reservation_id=30682325950612&amp;guest_id=30681508045052", "Chad Aldrich")</f>
        <v>Chad Aldrich</v>
      </c>
      <c r="E6867" t="s">
        <v>4054</v>
      </c>
      <c r="F6867" t="s">
        <v>4432</v>
      </c>
      <c r="G6867">
        <v>62.56</v>
      </c>
      <c r="H6867">
        <v>68.010000000000005</v>
      </c>
      <c r="I6867">
        <v>68</v>
      </c>
      <c r="J6867">
        <v>0.01</v>
      </c>
    </row>
    <row r="6868" spans="1:10" x14ac:dyDescent="0.3">
      <c r="A6868" t="str">
        <f>HYPERLINK("https://us2.cloudbeds.com/connect/10074733072513#/reservations/31670077132994?display=MH3HSUAYD&amp;reservation_id=31670077132994", "MH3HSUAYD")</f>
        <v>MH3HSUAYD</v>
      </c>
      <c r="B6868" t="s">
        <v>10</v>
      </c>
      <c r="C6868" t="s">
        <v>42</v>
      </c>
      <c r="D6868" t="str">
        <f>HYPERLINK("https://us2.cloudbeds.com/connect/10074733072513#/reservations/31670077132994?display=Derrik%20Kerns&amp;reservation_id=31670077132994&amp;guest_id=31670077132992", "Derrik Kerns")</f>
        <v>Derrik Kerns</v>
      </c>
      <c r="E6868" t="s">
        <v>4446</v>
      </c>
      <c r="F6868" t="s">
        <v>4369</v>
      </c>
      <c r="G6868">
        <v>278</v>
      </c>
      <c r="H6868">
        <v>302.2</v>
      </c>
      <c r="I6868">
        <v>302.19</v>
      </c>
      <c r="J6868">
        <v>0.01</v>
      </c>
    </row>
    <row r="6869" spans="1:10" x14ac:dyDescent="0.3">
      <c r="A6869" t="str">
        <f>HYPERLINK("https://us2.cloudbeds.com/connect/10074733072513#/reservations/30682539520150?display=YQUT01GQ0&amp;reservation_id=30682539520150", "YQUT01GQ0")</f>
        <v>YQUT01GQ0</v>
      </c>
      <c r="B6869" t="s">
        <v>10</v>
      </c>
      <c r="C6869" t="s">
        <v>121</v>
      </c>
      <c r="D6869" t="str">
        <f>HYPERLINK("https://us2.cloudbeds.com/connect/10074733072513#/reservations/30682539520150?display=Keith%20Harvey&amp;reservation_id=30682539520150&amp;guest_id=30682533175493", "Keith Harvey")</f>
        <v>Keith Harvey</v>
      </c>
      <c r="E6869" t="s">
        <v>4372</v>
      </c>
      <c r="F6869" t="s">
        <v>4432</v>
      </c>
      <c r="G6869">
        <v>73</v>
      </c>
      <c r="H6869">
        <v>79.36</v>
      </c>
      <c r="I6869">
        <v>79.349999999999994</v>
      </c>
      <c r="J6869">
        <v>0.01</v>
      </c>
    </row>
    <row r="6870" spans="1:10" x14ac:dyDescent="0.3">
      <c r="A6870" t="str">
        <f>HYPERLINK("https://us2.cloudbeds.com/connect/10074733072513#/reservations/31672286290124?display=MH58AZCDS&amp;reservation_id=31672286290124", "MH58AZCDS")</f>
        <v>MH58AZCDS</v>
      </c>
      <c r="B6870" t="s">
        <v>10</v>
      </c>
      <c r="C6870" t="s">
        <v>42</v>
      </c>
      <c r="D6870" t="str">
        <f>HYPERLINK("https://us2.cloudbeds.com/connect/10074733072513#/reservations/31672286290124?display=Erin%20Geidel&amp;reservation_id=31672286290124&amp;guest_id=30661739741376", "Erin Geidel")</f>
        <v>Erin Geidel</v>
      </c>
      <c r="E6870" t="s">
        <v>4453</v>
      </c>
      <c r="F6870" t="s">
        <v>4454</v>
      </c>
      <c r="G6870">
        <v>139</v>
      </c>
      <c r="H6870">
        <v>151.1</v>
      </c>
      <c r="I6870">
        <v>151.09</v>
      </c>
      <c r="J6870">
        <v>0.01</v>
      </c>
    </row>
    <row r="6871" spans="1:10" x14ac:dyDescent="0.3">
      <c r="A6871" t="str">
        <f>HYPERLINK("https://us2.cloudbeds.com/connect/10074733072513#/reservations/31672071790745?display=MH52RSK9M&amp;reservation_id=31672071790745", "MH52RSK9M")</f>
        <v>MH52RSK9M</v>
      </c>
      <c r="B6871" t="s">
        <v>10</v>
      </c>
      <c r="C6871" t="s">
        <v>23</v>
      </c>
      <c r="D6871" t="str">
        <f>HYPERLINK("https://us2.cloudbeds.com/connect/10074733072513#/reservations/31672071790745?display=Jessica%20Sperl&amp;reservation_id=31672071790745&amp;guest_id=31672062582987", "Jessica Sperl")</f>
        <v>Jessica Sperl</v>
      </c>
      <c r="E6871" t="s">
        <v>4455</v>
      </c>
      <c r="F6871" t="s">
        <v>4340</v>
      </c>
      <c r="G6871">
        <v>159</v>
      </c>
      <c r="H6871">
        <v>172.84</v>
      </c>
      <c r="I6871">
        <v>172.83</v>
      </c>
      <c r="J6871">
        <v>0.01</v>
      </c>
    </row>
    <row r="6872" spans="1:10" x14ac:dyDescent="0.3">
      <c r="A6872" t="str">
        <f>HYPERLINK("https://us2.cloudbeds.com/connect/10074733072513#/reservations/31671989809376?display=MH50ZZBVP&amp;reservation_id=31671989809376", "MH50ZZBVP")</f>
        <v>MH50ZZBVP</v>
      </c>
      <c r="B6872" t="s">
        <v>10</v>
      </c>
      <c r="C6872" t="s">
        <v>42</v>
      </c>
      <c r="D6872" t="str">
        <f>HYPERLINK("https://us2.cloudbeds.com/connect/10074733072513#/reservations/31671989809376?display=Chris%20Wielenga&amp;reservation_id=31671989809376&amp;guest_id=31671989809361", "Chris Wielenga")</f>
        <v>Chris Wielenga</v>
      </c>
      <c r="E6872" t="s">
        <v>4457</v>
      </c>
      <c r="F6872" t="s">
        <v>4458</v>
      </c>
      <c r="G6872">
        <v>119</v>
      </c>
      <c r="H6872">
        <v>129.36000000000001</v>
      </c>
      <c r="I6872">
        <v>129.35</v>
      </c>
      <c r="J6872">
        <v>0.01</v>
      </c>
    </row>
    <row r="6873" spans="1:10" x14ac:dyDescent="0.3">
      <c r="A6873" t="str">
        <f>HYPERLINK("https://us2.cloudbeds.com/connect/10074733072513#/reservations/30681610317952?display=YQU4Z5QP2&amp;reservation_id=30681610317952", "YQU4Z5QP2")</f>
        <v>YQU4Z5QP2</v>
      </c>
      <c r="B6873" t="s">
        <v>10</v>
      </c>
      <c r="C6873" t="s">
        <v>42</v>
      </c>
      <c r="D6873" t="str">
        <f>HYPERLINK("https://us2.cloudbeds.com/connect/10074733072513#/reservations/30681610317952?display=Ralph%20Lunders&amp;reservation_id=30681610317952&amp;guest_id=30681589752034", "Ralph Lunders")</f>
        <v>Ralph Lunders</v>
      </c>
      <c r="E6873" t="s">
        <v>4461</v>
      </c>
      <c r="F6873" t="s">
        <v>3774</v>
      </c>
      <c r="G6873">
        <v>213.04</v>
      </c>
      <c r="H6873">
        <v>231.58</v>
      </c>
      <c r="I6873">
        <v>231.57</v>
      </c>
      <c r="J6873">
        <v>0.01</v>
      </c>
    </row>
    <row r="6874" spans="1:10" x14ac:dyDescent="0.3">
      <c r="A6874" t="str">
        <f>HYPERLINK("https://us2.cloudbeds.com/connect/10074733072513#/reservations/30682487013547?display=YQURYPEBR&amp;reservation_id=30682487013547", "YQURYPEBR")</f>
        <v>YQURYPEBR</v>
      </c>
      <c r="B6874" t="s">
        <v>10</v>
      </c>
      <c r="C6874" t="s">
        <v>42</v>
      </c>
      <c r="D6874" t="str">
        <f>HYPERLINK("https://us2.cloudbeds.com/connect/10074733072513#/reservations/30682487013547?display=Jeremy%20Ulmer&amp;reservation_id=30682487013547&amp;guest_id=30682487013543", "Jeremy Ulmer")</f>
        <v>Jeremy Ulmer</v>
      </c>
      <c r="E6874" t="s">
        <v>4047</v>
      </c>
      <c r="F6874" t="s">
        <v>4462</v>
      </c>
      <c r="G6874">
        <v>99</v>
      </c>
      <c r="H6874">
        <v>107.62</v>
      </c>
      <c r="I6874">
        <v>107.61</v>
      </c>
      <c r="J6874">
        <v>0.01</v>
      </c>
    </row>
    <row r="6875" spans="1:10" x14ac:dyDescent="0.3">
      <c r="A6875" t="str">
        <f>HYPERLINK("https://us2.cloudbeds.com/connect/10074733072513#/reservations/30681966682323?display=YQUEC0ETW&amp;reservation_id=30681966682323", "YQUEC0ETW")</f>
        <v>YQUEC0ETW</v>
      </c>
      <c r="B6875" t="s">
        <v>10</v>
      </c>
      <c r="C6875" t="s">
        <v>42</v>
      </c>
      <c r="D6875" t="str">
        <f>HYPERLINK("https://us2.cloudbeds.com/connect/10074733072513#/reservations/30681966682323?display=Rachel%20Flaskey&amp;reservation_id=30681966682323&amp;guest_id=30681966682320", "Rachel Flaskey")</f>
        <v>Rachel Flaskey</v>
      </c>
      <c r="E6875" t="s">
        <v>4463</v>
      </c>
      <c r="F6875" t="s">
        <v>3757</v>
      </c>
      <c r="G6875">
        <v>139</v>
      </c>
      <c r="H6875">
        <v>151.1</v>
      </c>
      <c r="I6875">
        <v>151.09</v>
      </c>
      <c r="J6875">
        <v>0.01</v>
      </c>
    </row>
    <row r="6876" spans="1:10" x14ac:dyDescent="0.3">
      <c r="A6876" t="str">
        <f>HYPERLINK("https://us2.cloudbeds.com/connect/10074733072513#/reservations/30681335324856?display=YQTV7KWWH&amp;reservation_id=30681335324856", "YQTV7KWWH")</f>
        <v>YQTV7KWWH</v>
      </c>
      <c r="B6876" t="s">
        <v>10</v>
      </c>
      <c r="C6876" t="s">
        <v>42</v>
      </c>
      <c r="D6876" t="str">
        <f>HYPERLINK("https://us2.cloudbeds.com/connect/10074733072513#/reservations/30681335324856?display=Cory%20Glick&amp;reservation_id=30681335324856&amp;guest_id=30679426039950", "Cory Glick")</f>
        <v>Cory Glick</v>
      </c>
      <c r="E6876" t="s">
        <v>2769</v>
      </c>
      <c r="F6876" t="s">
        <v>4435</v>
      </c>
      <c r="G6876">
        <v>79</v>
      </c>
      <c r="H6876">
        <v>85.88</v>
      </c>
      <c r="I6876">
        <v>85.87</v>
      </c>
      <c r="J6876">
        <v>0.01</v>
      </c>
    </row>
    <row r="6877" spans="1:10" x14ac:dyDescent="0.3">
      <c r="A6877" t="str">
        <f>HYPERLINK("https://us2.cloudbeds.com/connect/10074733072513#/reservations/30681992392873?display=YQUF0MT7X&amp;reservation_id=30681992392873", "YQUF0MT7X")</f>
        <v>YQUF0MT7X</v>
      </c>
      <c r="B6877" t="s">
        <v>10</v>
      </c>
      <c r="C6877" t="s">
        <v>11</v>
      </c>
      <c r="D6877" t="str">
        <f>HYPERLINK("https://us2.cloudbeds.com/connect/10074733072513#/reservations/30681992392873?display=Andrew%20Larson&amp;reservation_id=30681992392873&amp;guest_id=30681992392871", "Andrew Larson")</f>
        <v>Andrew Larson</v>
      </c>
      <c r="E6877" t="s">
        <v>4464</v>
      </c>
      <c r="F6877" t="s">
        <v>4465</v>
      </c>
      <c r="G6877">
        <v>77.5</v>
      </c>
      <c r="H6877">
        <v>84.25</v>
      </c>
      <c r="I6877">
        <v>84.24</v>
      </c>
      <c r="J6877">
        <v>0.01</v>
      </c>
    </row>
    <row r="6878" spans="1:10" x14ac:dyDescent="0.3">
      <c r="A6878" t="str">
        <f>HYPERLINK("https://us2.cloudbeds.com/connect/10074733072513#/reservations/30682495734003?display=YQURT4342&amp;reservation_id=30682495734003", "YQURT4342")</f>
        <v>YQURT4342</v>
      </c>
      <c r="B6878" t="s">
        <v>10</v>
      </c>
      <c r="C6878" t="s">
        <v>14</v>
      </c>
      <c r="D6878" t="str">
        <f>HYPERLINK("https://us2.cloudbeds.com/connect/10074733072513#/reservations/30682495734003?display=Lee%20Healy&amp;reservation_id=30682495734003&amp;guest_id=30651494379673", "Lee Healy")</f>
        <v>Lee Healy</v>
      </c>
      <c r="E6878" t="s">
        <v>2768</v>
      </c>
      <c r="F6878" t="s">
        <v>4462</v>
      </c>
      <c r="G6878">
        <v>62.56</v>
      </c>
      <c r="H6878">
        <v>68.010000000000005</v>
      </c>
      <c r="I6878">
        <v>68</v>
      </c>
      <c r="J6878">
        <v>0.01</v>
      </c>
    </row>
    <row r="6879" spans="1:10" x14ac:dyDescent="0.3">
      <c r="A6879" t="str">
        <f>HYPERLINK("https://us2.cloudbeds.com/connect/10074733072513#/reservations/30681508045054?display=YQU2Y96CU&amp;reservation_id=30681508045054", "YQU2Y96CU")</f>
        <v>YQU2Y96CU</v>
      </c>
      <c r="B6879" t="s">
        <v>10</v>
      </c>
      <c r="C6879" t="s">
        <v>42</v>
      </c>
      <c r="D6879" t="str">
        <f>HYPERLINK("https://us2.cloudbeds.com/connect/10074733072513#/reservations/30681508045054?display=Kim%20Rothe&amp;reservation_id=30681508045054&amp;guest_id=30681508045042", "Kim Rothe")</f>
        <v>Kim Rothe</v>
      </c>
      <c r="E6879" t="s">
        <v>4467</v>
      </c>
      <c r="F6879" t="s">
        <v>3760</v>
      </c>
      <c r="G6879">
        <v>258</v>
      </c>
      <c r="H6879">
        <v>280.45999999999998</v>
      </c>
      <c r="I6879">
        <v>280.45</v>
      </c>
      <c r="J6879">
        <v>0.01</v>
      </c>
    </row>
    <row r="6880" spans="1:10" x14ac:dyDescent="0.3">
      <c r="A6880" t="str">
        <f>HYPERLINK("https://us2.cloudbeds.com/connect/10074733072513#/reservations/30681618505954?display=YQU5FDUNU&amp;reservation_id=30681618505954", "YQU5FDUNU")</f>
        <v>YQU5FDUNU</v>
      </c>
      <c r="B6880" t="s">
        <v>10</v>
      </c>
      <c r="C6880" t="s">
        <v>42</v>
      </c>
      <c r="D6880" t="str">
        <f>HYPERLINK("https://us2.cloudbeds.com/connect/10074733072513#/reservations/30681618505954?display=Cory%20White&amp;reservation_id=30681618505954&amp;guest_id=30681618505952", "Cory White")</f>
        <v>Cory White</v>
      </c>
      <c r="E6880" t="s">
        <v>4470</v>
      </c>
      <c r="F6880" t="s">
        <v>3774</v>
      </c>
      <c r="G6880">
        <v>121</v>
      </c>
      <c r="H6880">
        <v>131.54</v>
      </c>
      <c r="I6880">
        <v>131.53</v>
      </c>
      <c r="J6880">
        <v>0.01</v>
      </c>
    </row>
    <row r="6881" spans="1:10" x14ac:dyDescent="0.3">
      <c r="A6881" t="str">
        <f>HYPERLINK("https://us2.cloudbeds.com/connect/10074733072513#/reservations/30681904590983?display=YQUCPYM27&amp;reservation_id=30681904590983", "YQUCPYM27")</f>
        <v>YQUCPYM27</v>
      </c>
      <c r="B6881" t="s">
        <v>10</v>
      </c>
      <c r="C6881" t="s">
        <v>23</v>
      </c>
      <c r="D6881" t="str">
        <f>HYPERLINK("https://us2.cloudbeds.com/connect/10074733072513#/reservations/30681904590983?display=Shelli%20Beck&amp;reservation_id=30681904590983&amp;guest_id=30681904590979", "Shelli Beck")</f>
        <v>Shelli Beck</v>
      </c>
      <c r="E6881" t="s">
        <v>4471</v>
      </c>
      <c r="F6881" t="s">
        <v>3760</v>
      </c>
      <c r="G6881">
        <v>139</v>
      </c>
      <c r="H6881">
        <v>151.1</v>
      </c>
      <c r="I6881">
        <v>151.09</v>
      </c>
      <c r="J6881">
        <v>0.01</v>
      </c>
    </row>
    <row r="6882" spans="1:10" x14ac:dyDescent="0.3">
      <c r="A6882" t="str">
        <f>HYPERLINK("https://us2.cloudbeds.com/connect/10074733072513#/reservations/30681934151827?display=YQUDHJ80C&amp;reservation_id=30681934151827", "YQUDHJ80C")</f>
        <v>YQUDHJ80C</v>
      </c>
      <c r="B6882" t="s">
        <v>10</v>
      </c>
      <c r="C6882" t="s">
        <v>11</v>
      </c>
      <c r="D6882" t="str">
        <f>HYPERLINK("https://us2.cloudbeds.com/connect/10074733072513#/reservations/30681934151827?display=Jaysan%20Anderson&amp;reservation_id=30681934151827&amp;guest_id=30681934151823", "Jaysan Anderson")</f>
        <v>Jaysan Anderson</v>
      </c>
      <c r="E6882" t="s">
        <v>4472</v>
      </c>
      <c r="F6882" t="s">
        <v>3760</v>
      </c>
      <c r="G6882">
        <v>106.8</v>
      </c>
      <c r="H6882">
        <v>116.1</v>
      </c>
      <c r="I6882">
        <v>116.09</v>
      </c>
      <c r="J6882">
        <v>0.01</v>
      </c>
    </row>
    <row r="6883" spans="1:10" x14ac:dyDescent="0.3">
      <c r="A6883" t="str">
        <f>HYPERLINK("https://us2.cloudbeds.com/connect/10074733072513#/reservations/30682100404418?display=YQUHPPFCM&amp;reservation_id=30682100404418", "YQUHPPFCM")</f>
        <v>YQUHPPFCM</v>
      </c>
      <c r="B6883" t="s">
        <v>10</v>
      </c>
      <c r="C6883" t="s">
        <v>23</v>
      </c>
      <c r="D6883" t="str">
        <f>HYPERLINK("https://us2.cloudbeds.com/connect/10074733072513#/reservations/30682100404418?display=Benjamin%20Bachorik&amp;reservation_id=30682100404418&amp;guest_id=30682095214744", "Benjamin Bachorik")</f>
        <v>Benjamin Bachorik</v>
      </c>
      <c r="E6883" t="s">
        <v>4473</v>
      </c>
      <c r="F6883" t="s">
        <v>4474</v>
      </c>
      <c r="G6883">
        <v>218</v>
      </c>
      <c r="H6883">
        <v>236.98</v>
      </c>
      <c r="I6883">
        <v>236.97</v>
      </c>
      <c r="J6883">
        <v>0.01</v>
      </c>
    </row>
    <row r="6884" spans="1:10" x14ac:dyDescent="0.3">
      <c r="A6884" t="str">
        <f>HYPERLINK("https://us2.cloudbeds.com/connect/10074733072513#/reservations/30682157949141?display=YQUJ89Z65&amp;reservation_id=30682157949141", "YQUJ89Z65")</f>
        <v>YQUJ89Z65</v>
      </c>
      <c r="B6884" t="s">
        <v>10</v>
      </c>
      <c r="C6884" t="s">
        <v>23</v>
      </c>
      <c r="D6884" t="str">
        <f>HYPERLINK("https://us2.cloudbeds.com/connect/10074733072513#/reservations/30682157949141?display=Mary%20Kohler&amp;reservation_id=30682157949141&amp;guest_id=30682157949136", "Mary Kohler")</f>
        <v>Mary Kohler</v>
      </c>
      <c r="E6884" t="s">
        <v>4475</v>
      </c>
      <c r="F6884" t="s">
        <v>3774</v>
      </c>
      <c r="G6884">
        <v>139</v>
      </c>
      <c r="H6884">
        <v>151.1</v>
      </c>
      <c r="I6884">
        <v>151.09</v>
      </c>
      <c r="J6884">
        <v>0.01</v>
      </c>
    </row>
    <row r="6885" spans="1:10" x14ac:dyDescent="0.3">
      <c r="A6885" t="str">
        <f>HYPERLINK("https://us2.cloudbeds.com/connect/10074733072513#/reservations/30682282270865?display=YQUME45X4&amp;reservation_id=30682282270865", "YQUME45X4")</f>
        <v>YQUME45X4</v>
      </c>
      <c r="B6885" t="s">
        <v>10</v>
      </c>
      <c r="C6885" t="s">
        <v>14</v>
      </c>
      <c r="D6885" t="str">
        <f>HYPERLINK("https://us2.cloudbeds.com/connect/10074733072513#/reservations/30682282270865?display=Sara%20Studer&amp;reservation_id=30682282270865&amp;guest_id=30682277163223", "Sara Studer")</f>
        <v>Sara Studer</v>
      </c>
      <c r="E6885" t="s">
        <v>4476</v>
      </c>
      <c r="F6885" t="s">
        <v>4435</v>
      </c>
      <c r="G6885">
        <v>77.5</v>
      </c>
      <c r="H6885">
        <v>84.25</v>
      </c>
      <c r="I6885">
        <v>84.24</v>
      </c>
      <c r="J6885">
        <v>0.01</v>
      </c>
    </row>
    <row r="6886" spans="1:10" x14ac:dyDescent="0.3">
      <c r="A6886" t="str">
        <f>HYPERLINK("https://us2.cloudbeds.com/connect/10074733072513#/reservations/30682290221228?display=YQUMKRD57&amp;reservation_id=30682290221228", "YQUMKRD57")</f>
        <v>YQUMKRD57</v>
      </c>
      <c r="B6886" t="s">
        <v>10</v>
      </c>
      <c r="C6886" t="s">
        <v>11</v>
      </c>
      <c r="D6886" t="str">
        <f>HYPERLINK("https://us2.cloudbeds.com/connect/10074733072513#/reservations/30682290221228?display=Colby%20Aspengren&amp;reservation_id=30682290221228&amp;guest_id=30682290221225", "Colby Aspengren")</f>
        <v>Colby Aspengren</v>
      </c>
      <c r="E6886" t="s">
        <v>4477</v>
      </c>
      <c r="F6886" t="s">
        <v>4435</v>
      </c>
      <c r="G6886">
        <v>77.5</v>
      </c>
      <c r="H6886">
        <v>84.25</v>
      </c>
      <c r="I6886">
        <v>84.24</v>
      </c>
      <c r="J6886">
        <v>0.01</v>
      </c>
    </row>
    <row r="6887" spans="1:10" x14ac:dyDescent="0.3">
      <c r="A6887" t="str">
        <f>HYPERLINK("https://us2.cloudbeds.com/connect/10074733072513#/reservations/30682298388685?display=YQUMRNM3U&amp;reservation_id=30682298388685", "YQUMRNM3U")</f>
        <v>YQUMRNM3U</v>
      </c>
      <c r="B6887" t="s">
        <v>10</v>
      </c>
      <c r="C6887" t="s">
        <v>11</v>
      </c>
      <c r="D6887" t="str">
        <f>HYPERLINK("https://us2.cloudbeds.com/connect/10074733072513#/reservations/30682298388685?display=Nate%20Bremer&amp;reservation_id=30682298388685&amp;guest_id=30682298384630", "Nate Bremer")</f>
        <v>Nate Bremer</v>
      </c>
      <c r="E6887" t="s">
        <v>709</v>
      </c>
      <c r="F6887" t="s">
        <v>4435</v>
      </c>
      <c r="G6887">
        <v>77.5</v>
      </c>
      <c r="H6887">
        <v>84.25</v>
      </c>
      <c r="I6887">
        <v>84.24</v>
      </c>
      <c r="J6887">
        <v>0.01</v>
      </c>
    </row>
    <row r="6888" spans="1:10" x14ac:dyDescent="0.3">
      <c r="A6888" t="str">
        <f>HYPERLINK("https://us2.cloudbeds.com/connect/10074733072513#/reservations/30682303738025?display=YQUMW7H94&amp;reservation_id=30682303738025", "YQUMW7H94")</f>
        <v>YQUMW7H94</v>
      </c>
      <c r="B6888" t="s">
        <v>10</v>
      </c>
      <c r="C6888" t="s">
        <v>42</v>
      </c>
      <c r="D6888" t="str">
        <f>HYPERLINK("https://us2.cloudbeds.com/connect/10074733072513#/reservations/30682303738025?display=Matt%20Leonard&amp;reservation_id=30682303738025&amp;guest_id=30682303738020", "Matt Leonard")</f>
        <v>Matt Leonard</v>
      </c>
      <c r="E6888" t="s">
        <v>4478</v>
      </c>
      <c r="F6888" t="s">
        <v>4462</v>
      </c>
      <c r="G6888">
        <v>99</v>
      </c>
      <c r="H6888">
        <v>107.62</v>
      </c>
      <c r="I6888">
        <v>107.61</v>
      </c>
      <c r="J6888">
        <v>0.01</v>
      </c>
    </row>
    <row r="6889" spans="1:10" x14ac:dyDescent="0.3">
      <c r="A6889" t="str">
        <f>HYPERLINK("https://us2.cloudbeds.com/connect/10074733072513#/reservations/30682501071000?display=YQUS0KJV8&amp;reservation_id=30682501071000", "YQUS0KJV8")</f>
        <v>YQUS0KJV8</v>
      </c>
      <c r="B6889" t="s">
        <v>10</v>
      </c>
      <c r="C6889" t="s">
        <v>11</v>
      </c>
      <c r="D6889" t="str">
        <f>HYPERLINK("https://us2.cloudbeds.com/connect/10074733072513#/reservations/30682501071000?display=Cheri%20Scharffenberg&amp;reservation_id=30682501071000&amp;guest_id=30682501070991", "Cheri Scharffenberg")</f>
        <v>Cheri Scharffenberg</v>
      </c>
      <c r="E6889" t="s">
        <v>4479</v>
      </c>
      <c r="F6889" t="s">
        <v>4462</v>
      </c>
      <c r="G6889">
        <v>62.56</v>
      </c>
      <c r="H6889">
        <v>68.010000000000005</v>
      </c>
      <c r="I6889">
        <v>68</v>
      </c>
      <c r="J6889">
        <v>0.01</v>
      </c>
    </row>
    <row r="6890" spans="1:10" x14ac:dyDescent="0.3">
      <c r="A6890" t="str">
        <f>HYPERLINK("https://us2.cloudbeds.com/connect/10074733072513#/reservations/30681373688012?display=YQTW6WGSD&amp;reservation_id=30681373688012", "YQTW6WGSD")</f>
        <v>YQTW6WGSD</v>
      </c>
      <c r="B6890" t="s">
        <v>10</v>
      </c>
      <c r="C6890" t="s">
        <v>121</v>
      </c>
      <c r="D6890" t="str">
        <f>HYPERLINK("https://us2.cloudbeds.com/connect/10074733072513#/reservations/30681373688012?display=Michelle%20Wentzel&amp;reservation_id=30681373688012&amp;guest_id=30651796353157", "Michelle Wentzel")</f>
        <v>Michelle Wentzel</v>
      </c>
      <c r="E6890" t="s">
        <v>760</v>
      </c>
      <c r="F6890" t="s">
        <v>4435</v>
      </c>
      <c r="G6890">
        <v>139</v>
      </c>
      <c r="H6890">
        <v>151.1</v>
      </c>
      <c r="I6890">
        <v>151.09</v>
      </c>
      <c r="J6890">
        <v>0.01</v>
      </c>
    </row>
    <row r="6891" spans="1:10" x14ac:dyDescent="0.3">
      <c r="A6891" t="str">
        <f>HYPERLINK("https://us2.cloudbeds.com/connect/10074733072513#/reservations/31671576641674?display=MH4N6BBVC&amp;reservation_id=31671576641674", "MH4N6BBVC")</f>
        <v>MH4N6BBVC</v>
      </c>
      <c r="B6891" t="s">
        <v>10</v>
      </c>
      <c r="C6891" t="s">
        <v>42</v>
      </c>
      <c r="D6891" t="str">
        <f>HYPERLINK("https://us2.cloudbeds.com/connect/10074733072513#/reservations/31671576641674?display=Jessica%20Ruud&amp;reservation_id=31671576641674&amp;guest_id=31671576637627", "Jessica Ruud")</f>
        <v>Jessica Ruud</v>
      </c>
      <c r="E6891" t="s">
        <v>4480</v>
      </c>
      <c r="F6891" t="s">
        <v>4369</v>
      </c>
      <c r="G6891">
        <v>139</v>
      </c>
      <c r="H6891">
        <v>151.1</v>
      </c>
      <c r="I6891">
        <v>151.09</v>
      </c>
      <c r="J6891">
        <v>0.01</v>
      </c>
    </row>
    <row r="6892" spans="1:10" x14ac:dyDescent="0.3">
      <c r="A6892" t="str">
        <f>HYPERLINK("https://us2.cloudbeds.com/connect/10074733072513#/reservations/31671696507053?display=MH4Q8DQ5J&amp;reservation_id=31671696507053", "MH4Q8DQ5J")</f>
        <v>MH4Q8DQ5J</v>
      </c>
      <c r="B6892" t="s">
        <v>10</v>
      </c>
      <c r="C6892" t="s">
        <v>20</v>
      </c>
      <c r="D6892" t="str">
        <f>HYPERLINK("https://us2.cloudbeds.com/connect/10074733072513#/reservations/31671696507053?display=Matthew%20Tetzlaff&amp;reservation_id=31671696507053&amp;guest_id=31671690084492", "Matthew Tetzlaff")</f>
        <v>Matthew Tetzlaff</v>
      </c>
      <c r="E6892" t="s">
        <v>4482</v>
      </c>
      <c r="F6892" t="s">
        <v>4340</v>
      </c>
      <c r="G6892">
        <v>258</v>
      </c>
      <c r="H6892">
        <v>280.45999999999998</v>
      </c>
      <c r="I6892">
        <v>280.45</v>
      </c>
      <c r="J6892">
        <v>0.01</v>
      </c>
    </row>
    <row r="6893" spans="1:10" x14ac:dyDescent="0.3">
      <c r="A6893" t="str">
        <f>HYPERLINK("https://us2.cloudbeds.com/connect/10074733072513#/reservations/31671690080388?display=MH4Q2WVZ5&amp;reservation_id=31671690080388", "MH4Q2WVZ5")</f>
        <v>MH4Q2WVZ5</v>
      </c>
      <c r="B6893" t="s">
        <v>10</v>
      </c>
      <c r="C6893" t="s">
        <v>20</v>
      </c>
      <c r="D6893" t="str">
        <f>HYPERLINK("https://us2.cloudbeds.com/connect/10074733072513#/reservations/31671690080388?display=Joshua%20Tetzlaff&amp;reservation_id=31671690080388&amp;guest_id=31671682625778", "Joshua Tetzlaff")</f>
        <v>Joshua Tetzlaff</v>
      </c>
      <c r="E6893" t="s">
        <v>4482</v>
      </c>
      <c r="F6893" t="s">
        <v>4340</v>
      </c>
      <c r="G6893">
        <v>258</v>
      </c>
      <c r="H6893">
        <v>280.45999999999998</v>
      </c>
      <c r="I6893">
        <v>280.45</v>
      </c>
      <c r="J6893">
        <v>0.01</v>
      </c>
    </row>
    <row r="6894" spans="1:10" x14ac:dyDescent="0.3">
      <c r="A6894" t="str">
        <f>HYPERLINK("https://us2.cloudbeds.com/connect/10074733072513#/reservations/31673306198149?display=MH61CZR2Y&amp;reservation_id=31673306198149", "MH61CZR2Y")</f>
        <v>MH61CZR2Y</v>
      </c>
      <c r="B6894" t="s">
        <v>10</v>
      </c>
      <c r="C6894" t="s">
        <v>42</v>
      </c>
      <c r="D6894" t="str">
        <f>HYPERLINK("https://us2.cloudbeds.com/connect/10074733072513#/reservations/31673306198149?display=Christie%20Hager&amp;reservation_id=31673306198149&amp;guest_id=31673306194104", "Christie Hager")</f>
        <v>Christie Hager</v>
      </c>
      <c r="E6894" t="s">
        <v>466</v>
      </c>
      <c r="F6894" t="s">
        <v>3834</v>
      </c>
      <c r="G6894">
        <v>129</v>
      </c>
      <c r="H6894">
        <v>140.22999999999999</v>
      </c>
      <c r="I6894">
        <v>140.22</v>
      </c>
      <c r="J6894">
        <v>0.01</v>
      </c>
    </row>
    <row r="6895" spans="1:10" x14ac:dyDescent="0.3">
      <c r="A6895" t="str">
        <f>HYPERLINK("https://us2.cloudbeds.com/connect/10074733072513#/reservations/30681798471868?display=YQUA25ZMF&amp;reservation_id=30681798471868", "YQUA25ZMF")</f>
        <v>YQUA25ZMF</v>
      </c>
      <c r="B6895" t="s">
        <v>10</v>
      </c>
      <c r="C6895" t="s">
        <v>42</v>
      </c>
      <c r="D6895" t="str">
        <f>HYPERLINK("https://us2.cloudbeds.com/connect/10074733072513#/reservations/30681798471868?display=Tom%20Moore&amp;reservation_id=30681798471868&amp;guest_id=30681789317334", "Tom Moore")</f>
        <v>Tom Moore</v>
      </c>
      <c r="E6895" t="s">
        <v>3973</v>
      </c>
      <c r="F6895" t="s">
        <v>4429</v>
      </c>
      <c r="G6895">
        <v>73</v>
      </c>
      <c r="H6895">
        <v>79.36</v>
      </c>
      <c r="I6895">
        <v>79.349999999999994</v>
      </c>
      <c r="J6895">
        <v>0.01</v>
      </c>
    </row>
    <row r="6896" spans="1:10" x14ac:dyDescent="0.3">
      <c r="A6896" t="str">
        <f>HYPERLINK("https://us2.cloudbeds.com/connect/10074733072513#/reservations/30681781506275?display=YQU9KSYKJ&amp;reservation_id=30681781506275", "YQU9KSYKJ")</f>
        <v>YQU9KSYKJ</v>
      </c>
      <c r="B6896" t="s">
        <v>10</v>
      </c>
      <c r="C6896" t="s">
        <v>42</v>
      </c>
      <c r="D6896" t="str">
        <f>HYPERLINK("https://us2.cloudbeds.com/connect/10074733072513#/reservations/30681781506275?display=Ray%20White&amp;reservation_id=30681781506275&amp;guest_id=30681781506271", "Ray White")</f>
        <v>Ray White</v>
      </c>
      <c r="E6896" t="s">
        <v>4484</v>
      </c>
      <c r="F6896" t="s">
        <v>4429</v>
      </c>
      <c r="G6896">
        <v>73</v>
      </c>
      <c r="H6896">
        <v>79.36</v>
      </c>
      <c r="I6896">
        <v>79.349999999999994</v>
      </c>
      <c r="J6896">
        <v>0.01</v>
      </c>
    </row>
    <row r="6897" spans="1:10" x14ac:dyDescent="0.3">
      <c r="A6897" t="str">
        <f>HYPERLINK("https://us2.cloudbeds.com/connect/10074733072513#/reservations/30682114253011?display=YQUX4ER60&amp;reservation_id=30682114253011", "YQUX4ER60")</f>
        <v>YQUX4ER60</v>
      </c>
      <c r="B6897" t="s">
        <v>10</v>
      </c>
      <c r="C6897" t="s">
        <v>42</v>
      </c>
      <c r="D6897" t="str">
        <f>HYPERLINK("https://us2.cloudbeds.com/connect/10074733072513#/reservations/30682114253011?display=Ralph%20Lunders&amp;reservation_id=30682114253011&amp;guest_id=30681589752034", "Ralph Lunders")</f>
        <v>Ralph Lunders</v>
      </c>
      <c r="E6897" t="s">
        <v>4461</v>
      </c>
      <c r="F6897" t="s">
        <v>4429</v>
      </c>
      <c r="G6897">
        <v>89</v>
      </c>
      <c r="H6897">
        <v>96.75</v>
      </c>
      <c r="I6897">
        <v>96.74</v>
      </c>
      <c r="J6897">
        <v>0.01</v>
      </c>
    </row>
    <row r="6898" spans="1:10" x14ac:dyDescent="0.3">
      <c r="A6898" t="str">
        <f>HYPERLINK("https://us2.cloudbeds.com/connect/10074733072513#/reservations/30682085159093?display=YQUHCU804&amp;reservation_id=30682085159093", "YQUHCU804")</f>
        <v>YQUHCU804</v>
      </c>
      <c r="B6898" t="s">
        <v>10</v>
      </c>
      <c r="C6898" t="s">
        <v>42</v>
      </c>
      <c r="D6898" t="str">
        <f>HYPERLINK("https://us2.cloudbeds.com/connect/10074733072513#/reservations/30682085159093?display=Dave%20Mccandles&amp;reservation_id=30682085159093&amp;guest_id=30682078572764", "Dave Mccandles")</f>
        <v>Dave Mccandles</v>
      </c>
      <c r="E6898" t="s">
        <v>4367</v>
      </c>
      <c r="F6898" t="s">
        <v>4474</v>
      </c>
      <c r="G6898">
        <v>89</v>
      </c>
      <c r="H6898">
        <v>96.75</v>
      </c>
      <c r="I6898">
        <v>96.74</v>
      </c>
      <c r="J6898">
        <v>0.01</v>
      </c>
    </row>
    <row r="6899" spans="1:10" x14ac:dyDescent="0.3">
      <c r="A6899" t="str">
        <f>HYPERLINK("https://us2.cloudbeds.com/connect/10074733072513#/reservations/30682078568672?display=YQUH7BS6D&amp;reservation_id=30682078568672", "YQUH7BS6D")</f>
        <v>YQUH7BS6D</v>
      </c>
      <c r="B6899" t="s">
        <v>10</v>
      </c>
      <c r="C6899" t="s">
        <v>42</v>
      </c>
      <c r="D6899" t="str">
        <f>HYPERLINK("https://us2.cloudbeds.com/connect/10074733072513#/reservations/30682078568672?display=Clarence%20Devney&amp;reservation_id=30682078568672&amp;guest_id=30664975925411", "Clarence Devney")</f>
        <v>Clarence Devney</v>
      </c>
      <c r="E6899" t="s">
        <v>4485</v>
      </c>
      <c r="F6899" t="s">
        <v>4474</v>
      </c>
      <c r="G6899">
        <v>89</v>
      </c>
      <c r="H6899">
        <v>96.75</v>
      </c>
      <c r="I6899">
        <v>96.74</v>
      </c>
      <c r="J6899">
        <v>0.01</v>
      </c>
    </row>
    <row r="6900" spans="1:10" x14ac:dyDescent="0.3">
      <c r="A6900" t="str">
        <f>HYPERLINK("https://us2.cloudbeds.com/connect/10074733072513#/reservations/30682088108201?display=YQUHFDA31&amp;reservation_id=30682088108201", "YQUHFDA31")</f>
        <v>YQUHFDA31</v>
      </c>
      <c r="B6900" t="s">
        <v>10</v>
      </c>
      <c r="C6900" t="s">
        <v>42</v>
      </c>
      <c r="D6900" t="str">
        <f>HYPERLINK("https://us2.cloudbeds.com/connect/10074733072513#/reservations/30682088108201?display=Sebastian%20Soto&amp;reservation_id=30682088108201&amp;guest_id=30681816453299", "Sebastian Soto")</f>
        <v>Sebastian Soto</v>
      </c>
      <c r="E6900" t="s">
        <v>4025</v>
      </c>
      <c r="F6900" t="s">
        <v>4465</v>
      </c>
      <c r="G6900">
        <v>267</v>
      </c>
      <c r="H6900">
        <v>290.24</v>
      </c>
      <c r="I6900">
        <v>290.23</v>
      </c>
      <c r="J6900">
        <v>0.01</v>
      </c>
    </row>
    <row r="6901" spans="1:10" x14ac:dyDescent="0.3">
      <c r="A6901" t="str">
        <f>HYPERLINK("https://us2.cloudbeds.com/connect/10074733072513#/reservations/30681769697490?display=YQU9AU1UK&amp;reservation_id=30681769697490", "YQU9AU1UK")</f>
        <v>YQU9AU1UK</v>
      </c>
      <c r="B6901" t="s">
        <v>10</v>
      </c>
      <c r="C6901" t="s">
        <v>42</v>
      </c>
      <c r="D6901" t="str">
        <f>HYPERLINK("https://us2.cloudbeds.com/connect/10074733072513#/reservations/30681769697490?display=Ahmed%20Ibrahimi&amp;reservation_id=30681769697490&amp;guest_id=30681769697485", "Ahmed Ibrahimi")</f>
        <v>Ahmed Ibrahimi</v>
      </c>
      <c r="E6901" t="s">
        <v>4488</v>
      </c>
      <c r="F6901" t="s">
        <v>4474</v>
      </c>
      <c r="G6901">
        <v>73</v>
      </c>
      <c r="H6901">
        <v>79.36</v>
      </c>
      <c r="I6901">
        <v>79.349999999999994</v>
      </c>
      <c r="J6901">
        <v>0.01</v>
      </c>
    </row>
    <row r="6902" spans="1:10" x14ac:dyDescent="0.3">
      <c r="A6902" t="str">
        <f>HYPERLINK("https://us2.cloudbeds.com/connect/10074733072513#/reservations/30682022478007?display=YQUFQ21K9&amp;reservation_id=30682022478007", "YQUFQ21K9")</f>
        <v>YQUFQ21K9</v>
      </c>
      <c r="B6902" t="s">
        <v>10</v>
      </c>
      <c r="C6902" t="s">
        <v>42</v>
      </c>
      <c r="D6902" t="str">
        <f>HYPERLINK("https://us2.cloudbeds.com/connect/10074733072513#/reservations/30682022478007?display=Travis%20Duffy&amp;reservation_id=30682022478007&amp;guest_id=30682022477953", "Travis Duffy")</f>
        <v>Travis Duffy</v>
      </c>
      <c r="E6902" t="s">
        <v>3803</v>
      </c>
      <c r="F6902" t="s">
        <v>4465</v>
      </c>
      <c r="G6902">
        <v>79</v>
      </c>
      <c r="H6902">
        <v>85.88</v>
      </c>
      <c r="I6902">
        <v>85.87</v>
      </c>
      <c r="J6902">
        <v>0.01</v>
      </c>
    </row>
    <row r="6903" spans="1:10" x14ac:dyDescent="0.3">
      <c r="A6903" t="str">
        <f>HYPERLINK("https://us2.cloudbeds.com/connect/10074733072513#/reservations/30681967067372?display=YQUECB5G4&amp;reservation_id=30681967067372", "YQUECB5G4")</f>
        <v>YQUECB5G4</v>
      </c>
      <c r="B6903" t="s">
        <v>10</v>
      </c>
      <c r="C6903" t="s">
        <v>17</v>
      </c>
      <c r="D6903" t="str">
        <f>HYPERLINK("https://us2.cloudbeds.com/connect/10074733072513#/reservations/30681967067372?display=April%20Waldner&amp;reservation_id=30681967067372&amp;guest_id=30681967067370", "April Waldner")</f>
        <v>April Waldner</v>
      </c>
      <c r="E6903" t="s">
        <v>4489</v>
      </c>
      <c r="F6903" t="s">
        <v>4465</v>
      </c>
      <c r="G6903">
        <v>139</v>
      </c>
      <c r="H6903">
        <v>151.1</v>
      </c>
      <c r="I6903">
        <v>151.09</v>
      </c>
      <c r="J6903">
        <v>0.01</v>
      </c>
    </row>
    <row r="6904" spans="1:10" x14ac:dyDescent="0.3">
      <c r="A6904" t="str">
        <f>HYPERLINK("https://us2.cloudbeds.com/connect/10074733072513#/reservations/30681323532513?display=YQTUUMSCQ&amp;reservation_id=30681323532513", "YQTUUMSCQ")</f>
        <v>YQTUUMSCQ</v>
      </c>
      <c r="B6904" t="s">
        <v>10</v>
      </c>
      <c r="C6904" t="s">
        <v>42</v>
      </c>
      <c r="D6904" t="str">
        <f>HYPERLINK("https://us2.cloudbeds.com/connect/10074733072513#/reservations/30681323532513?display=Dave%20Knudson&amp;reservation_id=30681323532513&amp;guest_id=30681323528411", "Dave Knudson")</f>
        <v>Dave Knudson</v>
      </c>
      <c r="E6904" t="s">
        <v>4490</v>
      </c>
      <c r="F6904" t="s">
        <v>4491</v>
      </c>
      <c r="G6904">
        <v>109</v>
      </c>
      <c r="H6904">
        <v>118.49</v>
      </c>
      <c r="I6904">
        <v>118.48</v>
      </c>
      <c r="J6904">
        <v>0.01</v>
      </c>
    </row>
    <row r="6905" spans="1:10" x14ac:dyDescent="0.3">
      <c r="A6905" t="str">
        <f>HYPERLINK("https://us2.cloudbeds.com/connect/10074733072513#/reservations/30681942003951?display=YQUDZ6ZDH&amp;reservation_id=30681942003951", "YQUDZ6ZDH")</f>
        <v>YQUDZ6ZDH</v>
      </c>
      <c r="B6905" t="s">
        <v>10</v>
      </c>
      <c r="C6905" t="s">
        <v>14</v>
      </c>
      <c r="D6905" t="str">
        <f>HYPERLINK("https://us2.cloudbeds.com/connect/10074733072513#/reservations/30681942003951?display=Kelli%20Scharf&amp;reservation_id=30681942003951&amp;guest_id=30681942003948", "Kelli Scharf")</f>
        <v>Kelli Scharf</v>
      </c>
      <c r="E6905" t="s">
        <v>4493</v>
      </c>
      <c r="F6905" t="s">
        <v>3760</v>
      </c>
      <c r="G6905">
        <v>106.8</v>
      </c>
      <c r="H6905">
        <v>116.1</v>
      </c>
      <c r="I6905">
        <v>116.09</v>
      </c>
      <c r="J6905">
        <v>0.01</v>
      </c>
    </row>
    <row r="6906" spans="1:10" x14ac:dyDescent="0.3">
      <c r="A6906" t="str">
        <f>HYPERLINK("https://us2.cloudbeds.com/connect/10074733072513#/reservations/30682066153708?display=YQUGTTCSC&amp;reservation_id=30682066153708", "YQUGTTCSC")</f>
        <v>YQUGTTCSC</v>
      </c>
      <c r="B6906" t="s">
        <v>10</v>
      </c>
      <c r="C6906" t="s">
        <v>42</v>
      </c>
      <c r="D6906" t="str">
        <f>HYPERLINK("https://us2.cloudbeds.com/connect/10074733072513#/reservations/30682066153708?display=Gene%20Westerbuhr&amp;reservation_id=30682066153708&amp;guest_id=20922712387838", "Gene Westerbuhr")</f>
        <v>Gene Westerbuhr</v>
      </c>
      <c r="E6906" t="s">
        <v>3803</v>
      </c>
      <c r="F6906" t="s">
        <v>4465</v>
      </c>
      <c r="G6906">
        <v>158</v>
      </c>
      <c r="H6906">
        <v>171.76</v>
      </c>
      <c r="I6906">
        <v>171.75</v>
      </c>
      <c r="J6906">
        <v>0.01</v>
      </c>
    </row>
    <row r="6907" spans="1:10" x14ac:dyDescent="0.3">
      <c r="A6907" t="str">
        <f>HYPERLINK("https://us2.cloudbeds.com/connect/10074733072513#/reservations/30682071707791?display=YQUH1XV0U&amp;reservation_id=30682071707791", "YQUH1XV0U")</f>
        <v>YQUH1XV0U</v>
      </c>
      <c r="B6907" t="s">
        <v>10</v>
      </c>
      <c r="C6907" t="s">
        <v>121</v>
      </c>
      <c r="D6907" t="str">
        <f>HYPERLINK("https://us2.cloudbeds.com/connect/10074733072513#/reservations/30682071707791?display=Jereme%20Arruda&amp;reservation_id=30682071707791&amp;guest_id=30682067591350", "Jereme Arruda")</f>
        <v>Jereme Arruda</v>
      </c>
      <c r="E6907" t="s">
        <v>4494</v>
      </c>
      <c r="F6907" t="s">
        <v>4474</v>
      </c>
      <c r="G6907">
        <v>73</v>
      </c>
      <c r="H6907">
        <v>79.36</v>
      </c>
      <c r="I6907">
        <v>79.349999999999994</v>
      </c>
      <c r="J6907">
        <v>0.01</v>
      </c>
    </row>
    <row r="6908" spans="1:10" x14ac:dyDescent="0.3">
      <c r="A6908" t="str">
        <f>HYPERLINK("https://us2.cloudbeds.com/connect/10074733072513#/reservations/31671700963471?display=MH4QC5QCX&amp;reservation_id=31671700963471", "MH4QC5QCX")</f>
        <v>MH4QC5QCX</v>
      </c>
      <c r="B6908" t="s">
        <v>10</v>
      </c>
      <c r="C6908" t="s">
        <v>20</v>
      </c>
      <c r="D6908" t="str">
        <f>HYPERLINK("https://us2.cloudbeds.com/connect/10074733072513#/reservations/31671700963471?display=Austin%20Olson&amp;reservation_id=31671700963471&amp;guest_id=31671700963469", "Austin Olson")</f>
        <v>Austin Olson</v>
      </c>
      <c r="E6908" t="s">
        <v>4495</v>
      </c>
      <c r="F6908" t="s">
        <v>4340</v>
      </c>
      <c r="G6908">
        <v>258</v>
      </c>
      <c r="H6908">
        <v>280.45999999999998</v>
      </c>
      <c r="I6908">
        <v>280.45</v>
      </c>
      <c r="J6908">
        <v>0.01</v>
      </c>
    </row>
    <row r="6909" spans="1:10" x14ac:dyDescent="0.3">
      <c r="A6909" t="str">
        <f>HYPERLINK("https://us2.cloudbeds.com/connect/10074733072513#/reservations/30682071711883?display=YQUH1J1PU&amp;reservation_id=30682071711883", "YQUH1J1PU")</f>
        <v>YQUH1J1PU</v>
      </c>
      <c r="B6909" t="s">
        <v>10</v>
      </c>
      <c r="C6909" t="s">
        <v>42</v>
      </c>
      <c r="D6909" t="str">
        <f>HYPERLINK("https://us2.cloudbeds.com/connect/10074733072513#/reservations/30682071711883?display=Craig%20Reikofski&amp;reservation_id=30682071711883&amp;guest_id=30682071707837", "Craig Reikofski")</f>
        <v>Craig Reikofski</v>
      </c>
      <c r="E6909" t="s">
        <v>4496</v>
      </c>
      <c r="F6909" t="s">
        <v>4487</v>
      </c>
      <c r="G6909">
        <v>109</v>
      </c>
      <c r="H6909">
        <v>118.49</v>
      </c>
      <c r="I6909">
        <v>118.48</v>
      </c>
      <c r="J6909">
        <v>0.01</v>
      </c>
    </row>
    <row r="6910" spans="1:10" x14ac:dyDescent="0.3">
      <c r="A6910" t="str">
        <f>HYPERLINK("https://us2.cloudbeds.com/connect/10074733072513#/reservations/31671712022758?display=MH4QYGHRF&amp;reservation_id=31671712022758", "MH4QYGHRF")</f>
        <v>MH4QYGHRF</v>
      </c>
      <c r="B6910" t="s">
        <v>10</v>
      </c>
      <c r="C6910" t="s">
        <v>20</v>
      </c>
      <c r="D6910" t="str">
        <f>HYPERLINK("https://us2.cloudbeds.com/connect/10074733072513#/reservations/31671712022758?display=Milacha%20Bevins&amp;reservation_id=31671712022758&amp;guest_id=31671712022746", "Milacha Bevins")</f>
        <v>Milacha Bevins</v>
      </c>
      <c r="E6910" t="s">
        <v>4497</v>
      </c>
      <c r="F6910" t="s">
        <v>4340</v>
      </c>
      <c r="G6910">
        <v>318</v>
      </c>
      <c r="H6910">
        <v>345.68</v>
      </c>
      <c r="I6910">
        <v>345.67</v>
      </c>
      <c r="J6910">
        <v>0.01</v>
      </c>
    </row>
    <row r="6911" spans="1:10" x14ac:dyDescent="0.3">
      <c r="A6911" t="str">
        <f>HYPERLINK("https://us2.cloudbeds.com/connect/10074733072513#/reservations/31673031536849?display=MH5RC4VRV&amp;reservation_id=31673031536849", "MH5RC4VRV")</f>
        <v>MH5RC4VRV</v>
      </c>
      <c r="B6911" t="s">
        <v>10</v>
      </c>
      <c r="C6911" t="s">
        <v>11</v>
      </c>
      <c r="D6911" t="str">
        <f>HYPERLINK("https://us2.cloudbeds.com/connect/10074733072513#/reservations/31673031536849?display=Daryn%20Pannell&amp;reservation_id=31673031536849&amp;guest_id=31673031536843", "Daryn Pannell")</f>
        <v>Daryn Pannell</v>
      </c>
      <c r="E6911" t="s">
        <v>4498</v>
      </c>
      <c r="F6911" t="s">
        <v>4499</v>
      </c>
      <c r="G6911">
        <v>313.44</v>
      </c>
      <c r="H6911">
        <v>340.72</v>
      </c>
      <c r="I6911">
        <v>340.71</v>
      </c>
      <c r="J6911">
        <v>0.01</v>
      </c>
    </row>
    <row r="6912" spans="1:10" x14ac:dyDescent="0.3">
      <c r="A6912" t="str">
        <f>HYPERLINK("https://us2.cloudbeds.com/connect/10074733072513#/reservations/31672005042321?display=MH514J7W4&amp;reservation_id=31672005042321", "MH514J7W4")</f>
        <v>MH514J7W4</v>
      </c>
      <c r="B6912" t="s">
        <v>10</v>
      </c>
      <c r="C6912" t="s">
        <v>23</v>
      </c>
      <c r="D6912" t="str">
        <f>HYPERLINK("https://us2.cloudbeds.com/connect/10074733072513#/reservations/31672005042321?display=Alton%20Mcfarlan&amp;reservation_id=31672005042321&amp;guest_id=31672005038232", "Alton Mcfarlan")</f>
        <v>Alton Mcfarlan</v>
      </c>
      <c r="E6912" t="s">
        <v>4500</v>
      </c>
      <c r="F6912" t="s">
        <v>4501</v>
      </c>
      <c r="G6912">
        <v>149</v>
      </c>
      <c r="H6912">
        <v>161.97</v>
      </c>
      <c r="I6912">
        <v>161.96</v>
      </c>
      <c r="J6912">
        <v>0.01</v>
      </c>
    </row>
    <row r="6913" spans="1:10" x14ac:dyDescent="0.3">
      <c r="A6913" t="str">
        <f>HYPERLINK("https://us2.cloudbeds.com/connect/10074733072513#/reservations/30682017312909?display=YQUFYNAY5&amp;reservation_id=30682017312909", "YQUFYNAY5")</f>
        <v>YQUFYNAY5</v>
      </c>
      <c r="B6913" t="s">
        <v>10</v>
      </c>
      <c r="C6913" t="s">
        <v>121</v>
      </c>
      <c r="D6913" t="str">
        <f>HYPERLINK("https://us2.cloudbeds.com/connect/10074733072513#/reservations/30682017312909?display=Darrel%20Vanderheiden&amp;reservation_id=30682017312909&amp;guest_id=30665257504901", "Darrel Vanderheiden")</f>
        <v>Darrel Vanderheiden</v>
      </c>
      <c r="E6913" t="s">
        <v>4502</v>
      </c>
      <c r="F6913" t="s">
        <v>4450</v>
      </c>
      <c r="G6913">
        <v>109</v>
      </c>
      <c r="H6913">
        <v>118.49</v>
      </c>
      <c r="I6913">
        <v>118.48</v>
      </c>
      <c r="J6913">
        <v>0.01</v>
      </c>
    </row>
    <row r="6914" spans="1:10" x14ac:dyDescent="0.3">
      <c r="A6914" t="str">
        <f>HYPERLINK("https://us2.cloudbeds.com/connect/10074733072513#/reservations/31685789470848?display=MHFN1U57B&amp;reservation_id=31685789470848", "MHFN1U57B")</f>
        <v>MHFN1U57B</v>
      </c>
      <c r="B6914" t="s">
        <v>10</v>
      </c>
      <c r="C6914" t="s">
        <v>42</v>
      </c>
      <c r="D6914" t="str">
        <f>HYPERLINK("https://us2.cloudbeds.com/connect/10074733072513#/reservations/31685789470848?display=Monica%20Leins&amp;reservation_id=31685789470848&amp;guest_id=31685777535200", "Monica Leins")</f>
        <v>Monica Leins</v>
      </c>
      <c r="E6914" t="s">
        <v>4503</v>
      </c>
      <c r="F6914" t="s">
        <v>4181</v>
      </c>
      <c r="G6914">
        <v>258</v>
      </c>
      <c r="H6914">
        <v>280.45999999999998</v>
      </c>
      <c r="I6914">
        <v>280.45</v>
      </c>
      <c r="J6914">
        <v>0.01</v>
      </c>
    </row>
    <row r="6915" spans="1:10" x14ac:dyDescent="0.3">
      <c r="A6915" t="str">
        <f>HYPERLINK("https://us2.cloudbeds.com/connect/10074733072513#/reservations/30681982431364?display=YQUEP9MRY&amp;reservation_id=30681982431364", "YQUEP9MRY")</f>
        <v>YQUEP9MRY</v>
      </c>
      <c r="B6915" t="s">
        <v>10</v>
      </c>
      <c r="C6915" t="s">
        <v>42</v>
      </c>
      <c r="D6915" t="str">
        <f>HYPERLINK("https://us2.cloudbeds.com/connect/10074733072513#/reservations/30681982431364?display=Ynne%20Marie%20Kuper&amp;reservation_id=30681982431364&amp;guest_id=30672910012652", "Ynne Marie Kuper")</f>
        <v>Ynne Marie Kuper</v>
      </c>
      <c r="E6915" t="s">
        <v>4459</v>
      </c>
      <c r="F6915" t="s">
        <v>4465</v>
      </c>
      <c r="G6915">
        <v>218</v>
      </c>
      <c r="H6915">
        <v>236.98</v>
      </c>
      <c r="I6915">
        <v>236.97</v>
      </c>
      <c r="J6915">
        <v>0.01</v>
      </c>
    </row>
    <row r="6916" spans="1:10" x14ac:dyDescent="0.3">
      <c r="A6916" t="str">
        <f>HYPERLINK("https://us2.cloudbeds.com/connect/10074733072513#/reservations/30682078572766?display=YQUH7BVVF&amp;reservation_id=30682078572766", "YQUH7BVVF")</f>
        <v>YQUH7BVVF</v>
      </c>
      <c r="B6916" t="s">
        <v>10</v>
      </c>
      <c r="C6916" t="s">
        <v>121</v>
      </c>
      <c r="D6916" t="str">
        <f>HYPERLINK("https://us2.cloudbeds.com/connect/10074733072513#/reservations/30682078572766?display=Tony%20Hagen&amp;reservation_id=30682078572766&amp;guest_id=30681434149107", "Tony Hagen")</f>
        <v>Tony Hagen</v>
      </c>
      <c r="E6916" t="s">
        <v>4444</v>
      </c>
      <c r="F6916" t="s">
        <v>4487</v>
      </c>
      <c r="G6916">
        <v>109</v>
      </c>
      <c r="H6916">
        <v>118.49</v>
      </c>
      <c r="I6916">
        <v>118.48</v>
      </c>
      <c r="J6916">
        <v>0.01</v>
      </c>
    </row>
    <row r="6917" spans="1:10" x14ac:dyDescent="0.3">
      <c r="A6917" t="str">
        <f>HYPERLINK("https://us2.cloudbeds.com/connect/10074733072513#/reservations/30681512005785?display=YQU2ZKDE2&amp;reservation_id=30681512005785", "YQU2ZKDE2")</f>
        <v>YQU2ZKDE2</v>
      </c>
      <c r="B6917" t="s">
        <v>10</v>
      </c>
      <c r="C6917" t="s">
        <v>17</v>
      </c>
      <c r="D6917" t="str">
        <f>HYPERLINK("https://us2.cloudbeds.com/connect/10074733072513#/reservations/30681512005785?display=Jason%20Evans&amp;reservation_id=30681512005785&amp;guest_id=30681512001700", "Jason Evans")</f>
        <v>Jason Evans</v>
      </c>
      <c r="E6917" t="s">
        <v>4505</v>
      </c>
      <c r="F6917" t="s">
        <v>4506</v>
      </c>
      <c r="G6917">
        <v>139</v>
      </c>
      <c r="H6917">
        <v>151.1</v>
      </c>
      <c r="I6917">
        <v>151.09</v>
      </c>
      <c r="J6917">
        <v>0.01</v>
      </c>
    </row>
    <row r="6918" spans="1:10" x14ac:dyDescent="0.3">
      <c r="A6918" t="str">
        <f>HYPERLINK("https://us2.cloudbeds.com/connect/10074733072513#/reservations/30682026664153?display=YQUFTJHY6&amp;reservation_id=30682026664153", "YQUFTJHY6")</f>
        <v>YQUFTJHY6</v>
      </c>
      <c r="B6918" t="s">
        <v>10</v>
      </c>
      <c r="C6918" t="s">
        <v>42</v>
      </c>
      <c r="D6918" t="str">
        <f>HYPERLINK("https://us2.cloudbeds.com/connect/10074733072513#/reservations/30682026664153?display=Ahmad%20Yara%20Ebrahimi&amp;reservation_id=30682026664153&amp;guest_id=30682026664151", "Ahmad Yara Ebrahimi")</f>
        <v>Ahmad Yara Ebrahimi</v>
      </c>
      <c r="E6918" t="s">
        <v>4507</v>
      </c>
      <c r="F6918" t="s">
        <v>4465</v>
      </c>
      <c r="G6918">
        <v>73</v>
      </c>
      <c r="H6918">
        <v>79.36</v>
      </c>
      <c r="I6918">
        <v>79.349999999999994</v>
      </c>
      <c r="J6918">
        <v>0.01</v>
      </c>
    </row>
    <row r="6919" spans="1:10" x14ac:dyDescent="0.3">
      <c r="A6919" t="str">
        <f>HYPERLINK("https://us2.cloudbeds.com/connect/10074733072513#/reservations/30681889591547?display=YQUCD09FS&amp;reservation_id=30681889591547", "YQUCD09FS")</f>
        <v>YQUCD09FS</v>
      </c>
      <c r="B6919" t="s">
        <v>10</v>
      </c>
      <c r="C6919" t="s">
        <v>42</v>
      </c>
      <c r="D6919" t="str">
        <f>HYPERLINK("https://us2.cloudbeds.com/connect/10074733072513#/reservations/30681889591547?display=Brent%20Bischof&amp;reservation_id=30681889591547&amp;guest_id=30681879134435", "Brent Bischof")</f>
        <v>Brent Bischof</v>
      </c>
      <c r="E6919" t="s">
        <v>4508</v>
      </c>
      <c r="F6919" t="s">
        <v>3760</v>
      </c>
      <c r="G6919">
        <v>322.2</v>
      </c>
      <c r="H6919">
        <v>350.24</v>
      </c>
      <c r="I6919">
        <v>350.23</v>
      </c>
      <c r="J6919">
        <v>0.01</v>
      </c>
    </row>
    <row r="6920" spans="1:10" x14ac:dyDescent="0.3">
      <c r="A6920" t="str">
        <f>HYPERLINK("https://us2.cloudbeds.com/connect/10074733072513#/reservations/30681998815429?display=YQUF63JTF&amp;reservation_id=30681998815429", "YQUF63JTF")</f>
        <v>YQUF63JTF</v>
      </c>
      <c r="B6920" t="s">
        <v>10</v>
      </c>
      <c r="C6920" t="s">
        <v>23</v>
      </c>
      <c r="D6920" t="str">
        <f>HYPERLINK("https://us2.cloudbeds.com/connect/10074733072513#/reservations/30681998815429?display=Angela%20Arends&amp;reservation_id=30681998815429&amp;guest_id=30681998815424", "Angela Arends")</f>
        <v>Angela Arends</v>
      </c>
      <c r="E6920" t="s">
        <v>4511</v>
      </c>
      <c r="F6920" t="s">
        <v>4360</v>
      </c>
      <c r="G6920">
        <v>139</v>
      </c>
      <c r="H6920">
        <v>151.1</v>
      </c>
      <c r="I6920">
        <v>151.09</v>
      </c>
      <c r="J6920">
        <v>0.01</v>
      </c>
    </row>
    <row r="6921" spans="1:10" x14ac:dyDescent="0.3">
      <c r="A6921" t="str">
        <f>HYPERLINK("https://us2.cloudbeds.com/connect/10074733072513#/reservations/31671583703264?display=MH4NC9SDV&amp;reservation_id=31671583703264", "MH4NC9SDV")</f>
        <v>MH4NC9SDV</v>
      </c>
      <c r="B6921" t="s">
        <v>10</v>
      </c>
      <c r="C6921" t="s">
        <v>42</v>
      </c>
      <c r="D6921" t="str">
        <f>HYPERLINK("https://us2.cloudbeds.com/connect/10074733072513#/reservations/31671583703264?display=Kellie%20Gee&amp;reservation_id=31671583703264&amp;guest_id=31671583703249", "Kellie Gee")</f>
        <v>Kellie Gee</v>
      </c>
      <c r="E6921" t="s">
        <v>4512</v>
      </c>
      <c r="F6921" t="s">
        <v>4369</v>
      </c>
      <c r="G6921">
        <v>139</v>
      </c>
      <c r="H6921">
        <v>151.1</v>
      </c>
      <c r="I6921">
        <v>151.09</v>
      </c>
      <c r="J6921">
        <v>0.01</v>
      </c>
    </row>
    <row r="6922" spans="1:10" x14ac:dyDescent="0.3">
      <c r="A6922" t="str">
        <f>HYPERLINK("https://us2.cloudbeds.com/connect/10074733072513#/reservations/30682017308815?display=YQUFYN6T3&amp;reservation_id=30682017308815", "YQUFYN6T3")</f>
        <v>YQUFYN6T3</v>
      </c>
      <c r="B6922" t="s">
        <v>10</v>
      </c>
      <c r="C6922" t="s">
        <v>121</v>
      </c>
      <c r="D6922" t="str">
        <f>HYPERLINK("https://us2.cloudbeds.com/connect/10074733072513#/reservations/30682017308815?display=Jordan%20Gass&amp;reservation_id=30682017308815&amp;guest_id=30682010353837", "Jordan Gass")</f>
        <v>Jordan Gass</v>
      </c>
      <c r="E6922" t="s">
        <v>4513</v>
      </c>
      <c r="F6922" t="s">
        <v>4450</v>
      </c>
      <c r="G6922">
        <v>109</v>
      </c>
      <c r="H6922">
        <v>118.49</v>
      </c>
      <c r="I6922">
        <v>118.48</v>
      </c>
      <c r="J6922">
        <v>0.01</v>
      </c>
    </row>
    <row r="6923" spans="1:10" x14ac:dyDescent="0.3">
      <c r="A6923" t="str">
        <f>HYPERLINK("https://us2.cloudbeds.com/connect/10074733072513#/reservations/31671538294958?display=MH4M70A5M&amp;reservation_id=31671538294958", "MH4M70A5M")</f>
        <v>MH4M70A5M</v>
      </c>
      <c r="B6923" t="s">
        <v>10</v>
      </c>
      <c r="C6923" t="s">
        <v>23</v>
      </c>
      <c r="D6923" t="str">
        <f>HYPERLINK("https://us2.cloudbeds.com/connect/10074733072513#/reservations/31671538294958?display=Matthew%20Johnson&amp;reservation_id=31671538294958&amp;guest_id=31671538294912", "Matthew Johnson")</f>
        <v>Matthew Johnson</v>
      </c>
      <c r="E6923" t="s">
        <v>4516</v>
      </c>
      <c r="F6923" t="s">
        <v>4369</v>
      </c>
      <c r="G6923">
        <v>139</v>
      </c>
      <c r="H6923">
        <v>151.1</v>
      </c>
      <c r="I6923">
        <v>151.09</v>
      </c>
      <c r="J6923">
        <v>0.01</v>
      </c>
    </row>
    <row r="6924" spans="1:10" x14ac:dyDescent="0.3">
      <c r="A6924" t="str">
        <f>HYPERLINK("https://us2.cloudbeds.com/connect/10074733072513#/reservations/30681532412125?display=YQU38R810&amp;reservation_id=30681532412125", "YQU38R810")</f>
        <v>YQU38R810</v>
      </c>
      <c r="B6924" t="s">
        <v>10</v>
      </c>
      <c r="C6924" t="s">
        <v>42</v>
      </c>
      <c r="D6924" t="str">
        <f>HYPERLINK("https://us2.cloudbeds.com/connect/10074733072513#/reservations/30681532412125?display=Konner%20Atkins&amp;reservation_id=30681532412125&amp;guest_id=30681532412113", "Konner Atkins")</f>
        <v>Konner Atkins</v>
      </c>
      <c r="E6924" t="s">
        <v>4518</v>
      </c>
      <c r="F6924" t="s">
        <v>4519</v>
      </c>
      <c r="G6924">
        <v>218</v>
      </c>
      <c r="H6924">
        <v>236.98</v>
      </c>
      <c r="I6924">
        <v>236.97</v>
      </c>
      <c r="J6924">
        <v>0.01</v>
      </c>
    </row>
    <row r="6925" spans="1:10" x14ac:dyDescent="0.3">
      <c r="A6925" t="str">
        <f>HYPERLINK("https://us2.cloudbeds.com/connect/10074733072513#/reservations/30681427554543?display=YQU0JDE2H&amp;reservation_id=30681427554543", "YQU0JDE2H")</f>
        <v>YQU0JDE2H</v>
      </c>
      <c r="B6925" t="s">
        <v>10</v>
      </c>
      <c r="C6925" t="s">
        <v>121</v>
      </c>
      <c r="D6925" t="str">
        <f>HYPERLINK("https://us2.cloudbeds.com/connect/10074733072513#/reservations/30681427554543?display=Daniel%20Nelson&amp;reservation_id=30681427554543&amp;guest_id=30681427554538", "Daniel Nelson")</f>
        <v>Daniel Nelson</v>
      </c>
      <c r="E6925" t="s">
        <v>4520</v>
      </c>
      <c r="F6925" t="s">
        <v>3760</v>
      </c>
      <c r="G6925">
        <v>149</v>
      </c>
      <c r="H6925">
        <v>161.97</v>
      </c>
      <c r="I6925">
        <v>161.96</v>
      </c>
      <c r="J6925">
        <v>0.01</v>
      </c>
    </row>
    <row r="6926" spans="1:10" x14ac:dyDescent="0.3">
      <c r="A6926" t="str">
        <f>HYPERLINK("https://us2.cloudbeds.com/connect/10074733072513#/reservations/30681311965344?display=YQTUKUWXH&amp;reservation_id=30681311965344", "YQTUKUWXH")</f>
        <v>YQTUKUWXH</v>
      </c>
      <c r="B6926" t="s">
        <v>10</v>
      </c>
      <c r="C6926" t="s">
        <v>42</v>
      </c>
      <c r="D6926" t="str">
        <f>HYPERLINK("https://us2.cloudbeds.com/connect/10074733072513#/reservations/30681311965344?display=Rick%20Hurd&amp;reservation_id=30681311965344&amp;guest_id=30681311965339", "Rick Hurd")</f>
        <v>Rick Hurd</v>
      </c>
      <c r="E6926" t="s">
        <v>4521</v>
      </c>
      <c r="F6926" t="s">
        <v>4134</v>
      </c>
      <c r="G6926">
        <v>278</v>
      </c>
      <c r="H6926">
        <v>302.2</v>
      </c>
      <c r="I6926">
        <v>302.19</v>
      </c>
      <c r="J6926">
        <v>0.01</v>
      </c>
    </row>
    <row r="6927" spans="1:10" x14ac:dyDescent="0.3">
      <c r="A6927" t="str">
        <f>HYPERLINK("https://us2.cloudbeds.com/connect/10074733072513#/reservations/30682008744144?display=YQUFEFT5K&amp;reservation_id=30682008744144", "YQUFEFT5K")</f>
        <v>YQUFEFT5K</v>
      </c>
      <c r="B6927" t="s">
        <v>10</v>
      </c>
      <c r="C6927" t="s">
        <v>14</v>
      </c>
      <c r="D6927" t="str">
        <f>HYPERLINK("https://us2.cloudbeds.com/connect/10074733072513#/reservations/30682008744144?display=Trish%20Bublitz&amp;reservation_id=30682008744144&amp;guest_id=30682008744139", "Trish Bublitz")</f>
        <v>Trish Bublitz</v>
      </c>
      <c r="E6927" t="s">
        <v>4523</v>
      </c>
      <c r="F6927" t="s">
        <v>3757</v>
      </c>
      <c r="G6927">
        <v>106.8</v>
      </c>
      <c r="H6927">
        <v>116.1</v>
      </c>
      <c r="I6927">
        <v>116.09</v>
      </c>
      <c r="J6927">
        <v>0.01</v>
      </c>
    </row>
    <row r="6928" spans="1:10" x14ac:dyDescent="0.3">
      <c r="A6928" t="str">
        <f>HYPERLINK("https://us2.cloudbeds.com/connect/10074733072513#/reservations/31671808565392?display=MH4T3TWCQ&amp;reservation_id=31671808565392", "MH4T3TWCQ")</f>
        <v>MH4T3TWCQ</v>
      </c>
      <c r="B6928" t="s">
        <v>10</v>
      </c>
      <c r="C6928" t="s">
        <v>14</v>
      </c>
      <c r="D6928" t="str">
        <f>HYPERLINK("https://us2.cloudbeds.com/connect/10074733072513#/reservations/31671808565392?display=Cindy%20Mader&amp;reservation_id=31671808565392&amp;guest_id=30681290285207", "Cindy Mader")</f>
        <v>Cindy Mader</v>
      </c>
      <c r="E6928" t="s">
        <v>4514</v>
      </c>
      <c r="F6928" t="s">
        <v>3545</v>
      </c>
      <c r="G6928">
        <v>106.8</v>
      </c>
      <c r="H6928">
        <v>116.1</v>
      </c>
      <c r="I6928">
        <v>116.09</v>
      </c>
      <c r="J6928">
        <v>0.01</v>
      </c>
    </row>
    <row r="6929" spans="1:10" x14ac:dyDescent="0.3">
      <c r="A6929" t="str">
        <f>HYPERLINK("https://us2.cloudbeds.com/connect/10074733072513#/reservations/31679289086114?display=MHAM8MGDV&amp;reservation_id=31679289086114", "MHAM8MGDV")</f>
        <v>MHAM8MGDV</v>
      </c>
      <c r="B6929" t="s">
        <v>10</v>
      </c>
      <c r="C6929" t="s">
        <v>42</v>
      </c>
      <c r="D6929" t="str">
        <f>HYPERLINK("https://us2.cloudbeds.com/connect/10074733072513#/reservations/31679289086114?display=Kamile%20Vandyke&amp;reservation_id=31679289086114&amp;guest_id=31679289086109", "Kamile Vandyke")</f>
        <v>Kamile Vandyke</v>
      </c>
      <c r="E6929" t="s">
        <v>4529</v>
      </c>
      <c r="F6929" t="s">
        <v>4530</v>
      </c>
      <c r="G6929">
        <v>179</v>
      </c>
      <c r="H6929">
        <v>194.58</v>
      </c>
      <c r="I6929">
        <v>194.57</v>
      </c>
      <c r="J6929">
        <v>0.01</v>
      </c>
    </row>
    <row r="6930" spans="1:10" x14ac:dyDescent="0.3">
      <c r="A6930" t="str">
        <f>HYPERLINK("https://us2.cloudbeds.com/connect/10074733072513#/reservations/30681608294583?display=YQU56QPTE&amp;reservation_id=30681608294583", "YQU56QPTE")</f>
        <v>YQU56QPTE</v>
      </c>
      <c r="B6930" t="s">
        <v>10</v>
      </c>
      <c r="C6930" t="s">
        <v>23</v>
      </c>
      <c r="D6930" t="str">
        <f>HYPERLINK("https://us2.cloudbeds.com/connect/10074733072513#/reservations/30681608294583?display=Sodakpenny@Gmailcom%20Green&amp;reservation_id=30681608294583&amp;guest_id=30681608294537", "Sodakpenny@Gmailcom Green")</f>
        <v>Sodakpenny@Gmailcom Green</v>
      </c>
      <c r="E6930" t="s">
        <v>4532</v>
      </c>
      <c r="F6930" t="s">
        <v>2609</v>
      </c>
      <c r="G6930">
        <v>139</v>
      </c>
      <c r="H6930">
        <v>151.1</v>
      </c>
      <c r="I6930">
        <v>151.09</v>
      </c>
      <c r="J6930">
        <v>0.01</v>
      </c>
    </row>
    <row r="6931" spans="1:10" x14ac:dyDescent="0.3">
      <c r="A6931" t="str">
        <f>HYPERLINK("https://us2.cloudbeds.com/connect/10074733072513#/reservations/30681645347036?display=YQU651R61&amp;reservation_id=30681645347036", "YQU651R61")</f>
        <v>YQU651R61</v>
      </c>
      <c r="B6931" t="s">
        <v>10</v>
      </c>
      <c r="C6931" t="s">
        <v>20</v>
      </c>
      <c r="D6931" t="str">
        <f>HYPERLINK("https://us2.cloudbeds.com/connect/10074733072513#/reservations/30681645347036?display=Sheree%20Clift&amp;reservation_id=30681645347036&amp;guest_id=30681645347022", "Sheree Clift")</f>
        <v>Sheree Clift</v>
      </c>
      <c r="E6931" t="s">
        <v>4534</v>
      </c>
      <c r="F6931" t="s">
        <v>2609</v>
      </c>
      <c r="G6931">
        <v>159</v>
      </c>
      <c r="H6931">
        <v>172.84</v>
      </c>
      <c r="I6931">
        <v>172.83</v>
      </c>
      <c r="J6931">
        <v>0.01</v>
      </c>
    </row>
    <row r="6932" spans="1:10" x14ac:dyDescent="0.3">
      <c r="A6932" t="str">
        <f>HYPERLINK("https://us2.cloudbeds.com/connect/10074733072513#/reservations/30681296388305?display=YQTU7QHJ0&amp;reservation_id=30681296388305", "YQTU7QHJ0")</f>
        <v>YQTU7QHJ0</v>
      </c>
      <c r="B6932" t="s">
        <v>10</v>
      </c>
      <c r="C6932" t="s">
        <v>17</v>
      </c>
      <c r="D6932" t="str">
        <f>HYPERLINK("https://us2.cloudbeds.com/connect/10074733072513#/reservations/30681296388305?display=Lynece%20Daiker&amp;reservation_id=30681296388305&amp;guest_id=30681296384217", "Lynece Daiker")</f>
        <v>Lynece Daiker</v>
      </c>
      <c r="E6932" t="s">
        <v>4536</v>
      </c>
      <c r="F6932" t="s">
        <v>4134</v>
      </c>
      <c r="G6932">
        <v>278</v>
      </c>
      <c r="H6932">
        <v>302.2</v>
      </c>
      <c r="I6932">
        <v>302.19</v>
      </c>
      <c r="J6932">
        <v>0.01</v>
      </c>
    </row>
    <row r="6933" spans="1:10" x14ac:dyDescent="0.3">
      <c r="A6933" t="str">
        <f>HYPERLINK("https://us2.cloudbeds.com/connect/10074733072513#/reservations/30681657008328?display=YQU6ETAEH&amp;reservation_id=30681657008328", "YQU6ETAEH")</f>
        <v>YQU6ETAEH</v>
      </c>
      <c r="B6933" t="s">
        <v>10</v>
      </c>
      <c r="C6933" t="s">
        <v>42</v>
      </c>
      <c r="D6933" t="str">
        <f>HYPERLINK("https://us2.cloudbeds.com/connect/10074733072513#/reservations/30681657008328?display=Hollee%20Hook&amp;reservation_id=30681657008328&amp;guest_id=30681657004284", "Hollee Hook")</f>
        <v>Hollee Hook</v>
      </c>
      <c r="E6933" t="s">
        <v>4538</v>
      </c>
      <c r="F6933" t="s">
        <v>4539</v>
      </c>
      <c r="G6933">
        <v>139</v>
      </c>
      <c r="H6933">
        <v>151.1</v>
      </c>
      <c r="I6933">
        <v>151.09</v>
      </c>
      <c r="J6933">
        <v>0.01</v>
      </c>
    </row>
    <row r="6934" spans="1:10" x14ac:dyDescent="0.3">
      <c r="A6934" t="str">
        <f>HYPERLINK("https://us2.cloudbeds.com/connect/10074733072513#/reservations/30681541570706?display=YQU3GX33P&amp;reservation_id=30681541570706", "YQU3GX33P")</f>
        <v>YQU3GX33P</v>
      </c>
      <c r="B6934" t="s">
        <v>10</v>
      </c>
      <c r="C6934" t="s">
        <v>42</v>
      </c>
      <c r="D6934" t="str">
        <f>HYPERLINK("https://us2.cloudbeds.com/connect/10074733072513#/reservations/30681541570706?display=Tori%20Dannen&amp;reservation_id=30681541570706&amp;guest_id=30681541570701", "Tori Dannen")</f>
        <v>Tori Dannen</v>
      </c>
      <c r="E6934" t="s">
        <v>4540</v>
      </c>
      <c r="F6934" t="s">
        <v>4519</v>
      </c>
      <c r="G6934">
        <v>218</v>
      </c>
      <c r="H6934">
        <v>236.98</v>
      </c>
      <c r="I6934">
        <v>236.97</v>
      </c>
      <c r="J6934">
        <v>0.01</v>
      </c>
    </row>
    <row r="6935" spans="1:10" x14ac:dyDescent="0.3">
      <c r="A6935" t="str">
        <f>HYPERLINK("https://us2.cloudbeds.com/connect/10074733072513#/reservations/30681420537986?display=YQU0DG5VJ&amp;reservation_id=30681420537986", "YQU0DG5VJ")</f>
        <v>YQU0DG5VJ</v>
      </c>
      <c r="B6935" t="s">
        <v>10</v>
      </c>
      <c r="C6935" t="s">
        <v>42</v>
      </c>
      <c r="D6935" t="str">
        <f>HYPERLINK("https://us2.cloudbeds.com/connect/10074733072513#/reservations/30681420537986?display=Brandon%20Primeaux&amp;reservation_id=30681420537986&amp;guest_id=30681420533949", "Brandon Primeaux")</f>
        <v>Brandon Primeaux</v>
      </c>
      <c r="E6935" t="s">
        <v>4542</v>
      </c>
      <c r="F6935" t="s">
        <v>4427</v>
      </c>
      <c r="G6935">
        <v>73</v>
      </c>
      <c r="H6935">
        <v>79.36</v>
      </c>
      <c r="I6935">
        <v>79.349999999999994</v>
      </c>
      <c r="J6935">
        <v>0.01</v>
      </c>
    </row>
    <row r="6936" spans="1:10" x14ac:dyDescent="0.3">
      <c r="A6936" t="str">
        <f>HYPERLINK("https://us2.cloudbeds.com/connect/10074733072513#/reservations/30681414066327?display=YQU08136N&amp;reservation_id=30681414066327", "YQU08136N")</f>
        <v>YQU08136N</v>
      </c>
      <c r="B6936" t="s">
        <v>10</v>
      </c>
      <c r="C6936" t="s">
        <v>42</v>
      </c>
      <c r="D6936" t="str">
        <f>HYPERLINK("https://us2.cloudbeds.com/connect/10074733072513#/reservations/30681414066327?display=Matthew%20Allen&amp;reservation_id=30681414066327&amp;guest_id=30681414062241", "Matthew Allen")</f>
        <v>Matthew Allen</v>
      </c>
      <c r="E6936" t="s">
        <v>4543</v>
      </c>
      <c r="F6936" t="s">
        <v>4427</v>
      </c>
      <c r="G6936">
        <v>73</v>
      </c>
      <c r="H6936">
        <v>79.36</v>
      </c>
      <c r="I6936">
        <v>79.349999999999994</v>
      </c>
      <c r="J6936">
        <v>0.01</v>
      </c>
    </row>
    <row r="6937" spans="1:10" x14ac:dyDescent="0.3">
      <c r="A6937" t="str">
        <f>HYPERLINK("https://us2.cloudbeds.com/connect/10074733072513#/reservations/30681405534410?display=YQU00RMXP&amp;reservation_id=30681405534410", "YQU00RMXP")</f>
        <v>YQU00RMXP</v>
      </c>
      <c r="B6937" t="s">
        <v>10</v>
      </c>
      <c r="C6937" t="s">
        <v>121</v>
      </c>
      <c r="D6937" t="str">
        <f>HYPERLINK("https://us2.cloudbeds.com/connect/10074733072513#/reservations/30681405534410?display=Ahmad%20Ebrahimi&amp;reservation_id=30681405534410&amp;guest_id=30681405534408", "Ahmad Ebrahimi")</f>
        <v>Ahmad Ebrahimi</v>
      </c>
      <c r="E6937" t="s">
        <v>4544</v>
      </c>
      <c r="F6937" t="s">
        <v>4427</v>
      </c>
      <c r="G6937">
        <v>73</v>
      </c>
      <c r="H6937">
        <v>79.36</v>
      </c>
      <c r="I6937">
        <v>79.349999999999994</v>
      </c>
      <c r="J6937">
        <v>0.01</v>
      </c>
    </row>
    <row r="6938" spans="1:10" x14ac:dyDescent="0.3">
      <c r="A6938" t="str">
        <f>HYPERLINK("https://us2.cloudbeds.com/connect/10074733072513#/reservations/30681652736178?display=YQU6B9EEE&amp;reservation_id=30681652736178", "YQU6B9EEE")</f>
        <v>YQU6B9EEE</v>
      </c>
      <c r="B6938" t="s">
        <v>10</v>
      </c>
      <c r="C6938" t="s">
        <v>11</v>
      </c>
      <c r="D6938" t="str">
        <f>HYPERLINK("https://us2.cloudbeds.com/connect/10074733072513#/reservations/30681652736178?display=Sarah%20Eade&amp;reservation_id=30681652736178&amp;guest_id=30681652736163", "Sarah Eade")</f>
        <v>Sarah Eade</v>
      </c>
      <c r="E6938" t="s">
        <v>1319</v>
      </c>
      <c r="F6938" t="s">
        <v>2609</v>
      </c>
      <c r="G6938">
        <v>106.8</v>
      </c>
      <c r="H6938">
        <v>116.1</v>
      </c>
      <c r="I6938">
        <v>116.09</v>
      </c>
      <c r="J6938">
        <v>0.01</v>
      </c>
    </row>
    <row r="6939" spans="1:10" x14ac:dyDescent="0.3">
      <c r="A6939" t="str">
        <f>HYPERLINK("https://us2.cloudbeds.com/connect/10074733072513#/reservations/30681434153184?display=YQU0ZVUMV&amp;reservation_id=30681434153184", "YQU0ZVUMV")</f>
        <v>YQU0ZVUMV</v>
      </c>
      <c r="B6939" t="s">
        <v>10</v>
      </c>
      <c r="C6939" t="s">
        <v>42</v>
      </c>
      <c r="D6939" t="str">
        <f>HYPERLINK("https://us2.cloudbeds.com/connect/10074733072513#/reservations/30681434153184?display=Tony%20Hagen&amp;reservation_id=30681434153184&amp;guest_id=30681434149107", "Tony Hagen")</f>
        <v>Tony Hagen</v>
      </c>
      <c r="E6939" t="s">
        <v>4444</v>
      </c>
      <c r="F6939" t="s">
        <v>4427</v>
      </c>
      <c r="G6939">
        <v>109</v>
      </c>
      <c r="H6939">
        <v>118.49</v>
      </c>
      <c r="I6939">
        <v>118.48</v>
      </c>
      <c r="J6939">
        <v>0.01</v>
      </c>
    </row>
    <row r="6940" spans="1:10" x14ac:dyDescent="0.3">
      <c r="A6940" t="str">
        <f>HYPERLINK("https://us2.cloudbeds.com/connect/10074733072513#/reservations/30681490182323?display=YQU2674H1&amp;reservation_id=30681490182323", "YQU2674H1")</f>
        <v>YQU2674H1</v>
      </c>
      <c r="B6940" t="s">
        <v>10</v>
      </c>
      <c r="C6940" t="s">
        <v>42</v>
      </c>
      <c r="D6940" t="str">
        <f>HYPERLINK("https://us2.cloudbeds.com/connect/10074733072513#/reservations/30681490182323?display=Matt%20Deboer&amp;reservation_id=30681490182323&amp;guest_id=30681481777379", "Matt Deboer")</f>
        <v>Matt Deboer</v>
      </c>
      <c r="E6940" t="s">
        <v>4547</v>
      </c>
      <c r="F6940" t="s">
        <v>4519</v>
      </c>
      <c r="G6940">
        <v>129</v>
      </c>
      <c r="H6940">
        <v>140.22999999999999</v>
      </c>
      <c r="I6940">
        <v>140.22</v>
      </c>
      <c r="J6940">
        <v>0.01</v>
      </c>
    </row>
    <row r="6941" spans="1:10" x14ac:dyDescent="0.3">
      <c r="A6941" t="str">
        <f>HYPERLINK("https://us2.cloudbeds.com/connect/10074733072513#/reservations/30681933688985?display=YQUDH6BWR&amp;reservation_id=30681933688985", "YQUDH6BWR")</f>
        <v>YQUDH6BWR</v>
      </c>
      <c r="B6941" t="s">
        <v>10</v>
      </c>
      <c r="C6941" t="s">
        <v>42</v>
      </c>
      <c r="D6941" t="str">
        <f>HYPERLINK("https://us2.cloudbeds.com/connect/10074733072513#/reservations/30681933688985?display=Bryan%20Moe&amp;reservation_id=30681933688985&amp;guest_id=30681933684904", "Bryan Moe")</f>
        <v>Bryan Moe</v>
      </c>
      <c r="E6941" t="s">
        <v>4548</v>
      </c>
      <c r="F6941" t="s">
        <v>4360</v>
      </c>
      <c r="G6941">
        <v>218</v>
      </c>
      <c r="H6941">
        <v>236.98</v>
      </c>
      <c r="I6941">
        <v>236.97</v>
      </c>
      <c r="J6941">
        <v>0.01</v>
      </c>
    </row>
    <row r="6942" spans="1:10" x14ac:dyDescent="0.3">
      <c r="A6942" t="str">
        <f>HYPERLINK("https://us2.cloudbeds.com/connect/10074733072513#/reservations/30681398059178?display=YQTWRHM8J&amp;reservation_id=30681398059178", "YQTWRHM8J")</f>
        <v>YQTWRHM8J</v>
      </c>
      <c r="B6942" t="s">
        <v>10</v>
      </c>
      <c r="C6942" t="s">
        <v>121</v>
      </c>
      <c r="D6942" t="str">
        <f>HYPERLINK("https://us2.cloudbeds.com/connect/10074733072513#/reservations/30681398059178?display=Arlyne%20Wernsmann&amp;reservation_id=30681398059178&amp;guest_id=30681389789327", "Arlyne Wernsmann")</f>
        <v>Arlyne Wernsmann</v>
      </c>
      <c r="E6942" t="s">
        <v>4549</v>
      </c>
      <c r="F6942" t="s">
        <v>4427</v>
      </c>
      <c r="G6942">
        <v>218</v>
      </c>
      <c r="H6942">
        <v>236.98</v>
      </c>
      <c r="I6942">
        <v>236.97</v>
      </c>
      <c r="J6942">
        <v>0.01</v>
      </c>
    </row>
    <row r="6943" spans="1:10" x14ac:dyDescent="0.3">
      <c r="A6943" t="str">
        <f>HYPERLINK("https://us2.cloudbeds.com/connect/10074733072513#/reservations/30681553756358?display=YQU3QR5SV&amp;reservation_id=30681553756358", "YQU3QR5SV")</f>
        <v>YQU3QR5SV</v>
      </c>
      <c r="B6943" t="s">
        <v>10</v>
      </c>
      <c r="C6943" t="s">
        <v>23</v>
      </c>
      <c r="D6943" t="str">
        <f>HYPERLINK("https://us2.cloudbeds.com/connect/10074733072513#/reservations/30681553756358?display=Connor%20Mcpeck&amp;reservation_id=30681553756358&amp;guest_id=30681550909663", "Connor Mcpeck")</f>
        <v>Connor Mcpeck</v>
      </c>
      <c r="E6943" t="s">
        <v>4550</v>
      </c>
      <c r="F6943" t="s">
        <v>4519</v>
      </c>
      <c r="G6943">
        <v>139</v>
      </c>
      <c r="H6943">
        <v>151.1</v>
      </c>
      <c r="I6943">
        <v>151.09</v>
      </c>
      <c r="J6943">
        <v>0.01</v>
      </c>
    </row>
    <row r="6944" spans="1:10" x14ac:dyDescent="0.3">
      <c r="A6944" t="str">
        <f>HYPERLINK("https://us2.cloudbeds.com/connect/10074733072513#/reservations/30681733927045?display=YQU8DZMSZ&amp;reservation_id=30681733927045", "YQU8DZMSZ")</f>
        <v>YQU8DZMSZ</v>
      </c>
      <c r="B6944" t="s">
        <v>10</v>
      </c>
      <c r="C6944" t="s">
        <v>42</v>
      </c>
      <c r="D6944" t="str">
        <f>HYPERLINK("https://us2.cloudbeds.com/connect/10074733072513#/reservations/30681733927045?display=Ahmadullah%20Yara&amp;reservation_id=30681733927045&amp;guest_id=30653080101006", "Ahmadullah Yara")</f>
        <v>Ahmadullah Yara</v>
      </c>
      <c r="E6944" t="s">
        <v>4551</v>
      </c>
      <c r="F6944" t="s">
        <v>4360</v>
      </c>
      <c r="G6944">
        <v>73</v>
      </c>
      <c r="H6944">
        <v>79.36</v>
      </c>
      <c r="I6944">
        <v>79.349999999999994</v>
      </c>
      <c r="J6944">
        <v>0.01</v>
      </c>
    </row>
    <row r="6945" spans="1:10" x14ac:dyDescent="0.3">
      <c r="A6945" t="str">
        <f>HYPERLINK("https://us2.cloudbeds.com/connect/10074733072513#/reservations/30681749184650?display=YQU8QK8HD&amp;reservation_id=30681749184650", "YQU8QK8HD")</f>
        <v>YQU8QK8HD</v>
      </c>
      <c r="B6945" t="s">
        <v>10</v>
      </c>
      <c r="C6945" t="s">
        <v>42</v>
      </c>
      <c r="D6945" t="str">
        <f>HYPERLINK("https://us2.cloudbeds.com/connect/10074733072513#/reservations/30681749184650?display=Pedro%20Ajanel&amp;reservation_id=30681749184650&amp;guest_id=30681749180550", "Pedro Ajanel")</f>
        <v>Pedro Ajanel</v>
      </c>
      <c r="E6945" t="s">
        <v>4553</v>
      </c>
      <c r="F6945" t="s">
        <v>4360</v>
      </c>
      <c r="G6945">
        <v>109</v>
      </c>
      <c r="H6945">
        <v>118.49</v>
      </c>
      <c r="I6945">
        <v>118.48</v>
      </c>
      <c r="J6945">
        <v>0.01</v>
      </c>
    </row>
    <row r="6946" spans="1:10" x14ac:dyDescent="0.3">
      <c r="A6946" t="str">
        <f>HYPERLINK("https://us2.cloudbeds.com/connect/10074733072513#/reservations/30681521340659?display=YQU2WG5D1&amp;reservation_id=30681521340659", "YQU2WG5D1")</f>
        <v>YQU2WG5D1</v>
      </c>
      <c r="B6946" t="s">
        <v>10</v>
      </c>
      <c r="C6946" t="s">
        <v>42</v>
      </c>
      <c r="D6946" t="str">
        <f>HYPERLINK("https://us2.cloudbeds.com/connect/10074733072513#/reservations/30681521340659?display=Troy%20Petersen&amp;reservation_id=30681521340659&amp;guest_id=30681521340643", "Troy Petersen")</f>
        <v>Troy Petersen</v>
      </c>
      <c r="E6946" t="s">
        <v>4554</v>
      </c>
      <c r="F6946" t="s">
        <v>4519</v>
      </c>
      <c r="G6946">
        <v>109</v>
      </c>
      <c r="H6946">
        <v>118.49</v>
      </c>
      <c r="I6946">
        <v>118.48</v>
      </c>
      <c r="J6946">
        <v>0.01</v>
      </c>
    </row>
    <row r="6947" spans="1:10" x14ac:dyDescent="0.3">
      <c r="A6947" t="str">
        <f>HYPERLINK("https://us2.cloudbeds.com/connect/10074733072513#/reservations/31686741848318?display=MHGEN1JHS&amp;reservation_id=31686741848318", "MHGEN1JHS")</f>
        <v>MHGEN1JHS</v>
      </c>
      <c r="B6947" t="s">
        <v>10</v>
      </c>
      <c r="C6947" t="s">
        <v>42</v>
      </c>
      <c r="D6947" t="str">
        <f>HYPERLINK("https://us2.cloudbeds.com/connect/10074733072513#/reservations/31686741848318?display=Bill/%20Jan%20Hansen&amp;reservation_id=31686741848318&amp;guest_id=31686741848300", "Bill/ Jan Hansen")</f>
        <v>Bill/ Jan Hansen</v>
      </c>
      <c r="E6947" t="s">
        <v>4555</v>
      </c>
      <c r="F6947" t="s">
        <v>4181</v>
      </c>
      <c r="G6947">
        <v>149</v>
      </c>
      <c r="H6947">
        <v>161.97</v>
      </c>
      <c r="I6947">
        <v>161.96</v>
      </c>
      <c r="J6947">
        <v>0.01</v>
      </c>
    </row>
    <row r="6948" spans="1:10" x14ac:dyDescent="0.3">
      <c r="A6948" t="str">
        <f>HYPERLINK("https://us2.cloudbeds.com/connect/10074733072513#/reservations/31671600357604?display=MH4NQB9YU&amp;reservation_id=31671600357604", "MH4NQB9YU")</f>
        <v>MH4NQB9YU</v>
      </c>
      <c r="B6948" t="s">
        <v>10</v>
      </c>
      <c r="C6948" t="s">
        <v>11</v>
      </c>
      <c r="D6948" t="str">
        <f>HYPERLINK("https://us2.cloudbeds.com/connect/10074733072513#/reservations/31671600357604?display=Christina%20Breth&amp;reservation_id=31671600357604&amp;guest_id=31671600357591", "Christina Breth")</f>
        <v>Christina Breth</v>
      </c>
      <c r="E6948" t="s">
        <v>4556</v>
      </c>
      <c r="F6948" t="s">
        <v>4369</v>
      </c>
      <c r="G6948">
        <v>106.8</v>
      </c>
      <c r="H6948">
        <v>116.1</v>
      </c>
      <c r="I6948">
        <v>116.09</v>
      </c>
      <c r="J6948">
        <v>0.01</v>
      </c>
    </row>
    <row r="6949" spans="1:10" x14ac:dyDescent="0.3">
      <c r="A6949" t="str">
        <f>HYPERLINK("https://us2.cloudbeds.com/connect/10074733072513#/reservations/31686748766430?display=MHGEST38K&amp;reservation_id=31686748766430", "MHGEST38K")</f>
        <v>MHGEST38K</v>
      </c>
      <c r="B6949" t="s">
        <v>10</v>
      </c>
      <c r="C6949" t="s">
        <v>42</v>
      </c>
      <c r="D6949" t="str">
        <f>HYPERLINK("https://us2.cloudbeds.com/connect/10074733072513#/reservations/31686748766430?display=Lindsey%20Hansen&amp;reservation_id=31686748766430&amp;guest_id=31686748762328", "Lindsey Hansen")</f>
        <v>Lindsey Hansen</v>
      </c>
      <c r="E6949" t="s">
        <v>4557</v>
      </c>
      <c r="F6949" t="s">
        <v>4181</v>
      </c>
      <c r="G6949">
        <v>129</v>
      </c>
      <c r="H6949">
        <v>140.22999999999999</v>
      </c>
      <c r="I6949">
        <v>140.22</v>
      </c>
      <c r="J6949">
        <v>0.01</v>
      </c>
    </row>
    <row r="6950" spans="1:10" x14ac:dyDescent="0.3">
      <c r="A6950" t="str">
        <f>HYPERLINK("https://us2.cloudbeds.com/connect/10074733072513#/reservations/30681526857864?display=YQU344MN2&amp;reservation_id=30681526857864", "YQU344MN2")</f>
        <v>YQU344MN2</v>
      </c>
      <c r="B6950" t="s">
        <v>10</v>
      </c>
      <c r="C6950" t="s">
        <v>121</v>
      </c>
      <c r="D6950" t="str">
        <f>HYPERLINK("https://us2.cloudbeds.com/connect/10074733072513#/reservations/30681526857864?display=Bradley%20Weatherford&amp;reservation_id=30681526857864&amp;guest_id=30681526857859", "Bradley Weatherford")</f>
        <v>Bradley Weatherford</v>
      </c>
      <c r="E6950" t="s">
        <v>4558</v>
      </c>
      <c r="F6950" t="s">
        <v>4519</v>
      </c>
      <c r="G6950">
        <v>109</v>
      </c>
      <c r="H6950">
        <v>118.49</v>
      </c>
      <c r="I6950">
        <v>118.48</v>
      </c>
      <c r="J6950">
        <v>0.01</v>
      </c>
    </row>
    <row r="6951" spans="1:10" x14ac:dyDescent="0.3">
      <c r="A6951" t="str">
        <f>HYPERLINK("https://us2.cloudbeds.com/connect/10074733072513#/reservations/31685791101065?display=MHFNDBYD1&amp;reservation_id=31685791101065", "MHFNDBYD1")</f>
        <v>MHFNDBYD1</v>
      </c>
      <c r="B6951" t="s">
        <v>10</v>
      </c>
      <c r="C6951" t="s">
        <v>42</v>
      </c>
      <c r="D6951" t="str">
        <f>HYPERLINK("https://us2.cloudbeds.com/connect/10074733072513#/reservations/31685791101065?display=Katie%20Dale&amp;reservation_id=31685791101065&amp;guest_id=31685791096984", "Katie Dale")</f>
        <v>Katie Dale</v>
      </c>
      <c r="E6951" t="s">
        <v>4559</v>
      </c>
      <c r="F6951" t="s">
        <v>4181</v>
      </c>
      <c r="G6951">
        <v>258</v>
      </c>
      <c r="H6951">
        <v>280.45999999999998</v>
      </c>
      <c r="I6951">
        <v>280.45</v>
      </c>
      <c r="J6951">
        <v>0.01</v>
      </c>
    </row>
    <row r="6952" spans="1:10" x14ac:dyDescent="0.3">
      <c r="A6952" t="str">
        <f>HYPERLINK("https://us2.cloudbeds.com/connect/10074733072513#/reservations/31671842373853?display=MH4TWDZQY&amp;reservation_id=31671842373853", "MH4TWDZQY")</f>
        <v>MH4TWDZQY</v>
      </c>
      <c r="B6952" t="s">
        <v>10</v>
      </c>
      <c r="C6952" t="s">
        <v>17</v>
      </c>
      <c r="D6952" t="str">
        <f>HYPERLINK("https://us2.cloudbeds.com/connect/10074733072513#/reservations/31671842373853?display=Favian%20Aguirre&amp;reservation_id=31671842373853&amp;guest_id=31671842369762", "Favian Aguirre")</f>
        <v>Favian Aguirre</v>
      </c>
      <c r="E6952" t="s">
        <v>4560</v>
      </c>
      <c r="F6952" t="s">
        <v>4300</v>
      </c>
      <c r="G6952">
        <v>129</v>
      </c>
      <c r="H6952">
        <v>140.22999999999999</v>
      </c>
      <c r="I6952">
        <v>140.22</v>
      </c>
      <c r="J6952">
        <v>0.01</v>
      </c>
    </row>
    <row r="6953" spans="1:10" x14ac:dyDescent="0.3">
      <c r="A6953" t="str">
        <f>HYPERLINK("https://us2.cloudbeds.com/connect/10074733072513#/reservations/31672140116131?display=MH54JFSMU&amp;reservation_id=31672140116131", "MH54JFSMU")</f>
        <v>MH54JFSMU</v>
      </c>
      <c r="B6953" t="s">
        <v>10</v>
      </c>
      <c r="C6953" t="s">
        <v>42</v>
      </c>
      <c r="D6953" t="str">
        <f>HYPERLINK("https://us2.cloudbeds.com/connect/10074733072513#/reservations/31672140116131?display=Marti%20Knoblock&amp;reservation_id=31672140116131&amp;guest_id=31672140112046", "Marti Knoblock")</f>
        <v>Marti Knoblock</v>
      </c>
      <c r="E6953" t="s">
        <v>4561</v>
      </c>
      <c r="F6953" t="s">
        <v>4562</v>
      </c>
      <c r="G6953">
        <v>139</v>
      </c>
      <c r="H6953">
        <v>151.1</v>
      </c>
      <c r="I6953">
        <v>151.09</v>
      </c>
      <c r="J6953">
        <v>0.01</v>
      </c>
    </row>
    <row r="6954" spans="1:10" x14ac:dyDescent="0.3">
      <c r="A6954" t="str">
        <f>HYPERLINK("https://us2.cloudbeds.com/connect/10074733072513#/reservations/31686732202147?display=MHGEEU5NY&amp;reservation_id=31686732202147", "MHGEEU5NY")</f>
        <v>MHGEEU5NY</v>
      </c>
      <c r="B6954" t="s">
        <v>10</v>
      </c>
      <c r="C6954" t="s">
        <v>42</v>
      </c>
      <c r="D6954" t="str">
        <f>HYPERLINK("https://us2.cloudbeds.com/connect/10074733072513#/reservations/31686732202147?display=Keri%20Ball&amp;reservation_id=31686732202147&amp;guest_id=31686732202138", "Keri Ball")</f>
        <v>Keri Ball</v>
      </c>
      <c r="E6954" t="s">
        <v>4563</v>
      </c>
      <c r="F6954" t="s">
        <v>4181</v>
      </c>
      <c r="G6954">
        <v>159</v>
      </c>
      <c r="H6954">
        <v>172.84</v>
      </c>
      <c r="I6954">
        <v>172.83</v>
      </c>
      <c r="J6954">
        <v>0.01</v>
      </c>
    </row>
    <row r="6955" spans="1:10" x14ac:dyDescent="0.3">
      <c r="A6955" t="str">
        <f>HYPERLINK("https://us2.cloudbeds.com/connect/10074733072513#/reservations/30682003538139?display=YQUFA30KT&amp;reservation_id=30682003538139", "YQUFA30KT")</f>
        <v>YQUFA30KT</v>
      </c>
      <c r="B6955" t="s">
        <v>10</v>
      </c>
      <c r="C6955" t="s">
        <v>23</v>
      </c>
      <c r="D6955" t="str">
        <f>HYPERLINK("https://us2.cloudbeds.com/connect/10074733072513#/reservations/30682003538139?display=Jenna%20Vogel&amp;reservation_id=30682003538139&amp;guest_id=30682003538134", "Jenna Vogel")</f>
        <v>Jenna Vogel</v>
      </c>
      <c r="E6955" t="s">
        <v>4564</v>
      </c>
      <c r="F6955" t="s">
        <v>4360</v>
      </c>
      <c r="G6955">
        <v>129</v>
      </c>
      <c r="H6955">
        <v>140.22999999999999</v>
      </c>
      <c r="I6955">
        <v>140.22</v>
      </c>
      <c r="J6955">
        <v>0.01</v>
      </c>
    </row>
    <row r="6956" spans="1:10" x14ac:dyDescent="0.3">
      <c r="A6956" t="str">
        <f>HYPERLINK("https://us2.cloudbeds.com/connect/10074733072513#/reservations/30681927319759?display=YQUDBR4A0&amp;reservation_id=30681927319759", "YQUDBR4A0")</f>
        <v>YQUDBR4A0</v>
      </c>
      <c r="B6956" t="s">
        <v>10</v>
      </c>
      <c r="C6956" t="s">
        <v>121</v>
      </c>
      <c r="D6956" t="str">
        <f>HYPERLINK("https://us2.cloudbeds.com/connect/10074733072513#/reservations/30681927319759?display=Anthony%20Thooft&amp;reservation_id=30681927319759&amp;guest_id=30681927315662", "Anthony Thooft")</f>
        <v>Anthony Thooft</v>
      </c>
      <c r="E6956" t="s">
        <v>4569</v>
      </c>
      <c r="F6956" t="s">
        <v>4360</v>
      </c>
      <c r="G6956">
        <v>109</v>
      </c>
      <c r="H6956">
        <v>118.49</v>
      </c>
      <c r="I6956">
        <v>118.48</v>
      </c>
      <c r="J6956">
        <v>0.01</v>
      </c>
    </row>
    <row r="6957" spans="1:10" x14ac:dyDescent="0.3">
      <c r="A6957" t="str">
        <f>HYPERLINK("https://us2.cloudbeds.com/connect/10074733072513#/reservations/30681277292690?display=YQTTZN5J1&amp;reservation_id=30681277292690", "YQTTZN5J1")</f>
        <v>YQTTZN5J1</v>
      </c>
      <c r="B6957" t="s">
        <v>10</v>
      </c>
      <c r="C6957" t="s">
        <v>42</v>
      </c>
      <c r="D6957" t="str">
        <f>HYPERLINK("https://us2.cloudbeds.com/connect/10074733072513#/reservations/30681277292690?display=Michelle%20Lehrman&amp;reservation_id=30681277292690&amp;guest_id=30681277288622", "Michelle Lehrman")</f>
        <v>Michelle Lehrman</v>
      </c>
      <c r="E6957" t="s">
        <v>4572</v>
      </c>
      <c r="F6957" t="s">
        <v>4134</v>
      </c>
      <c r="G6957">
        <v>139</v>
      </c>
      <c r="H6957">
        <v>151.1</v>
      </c>
      <c r="I6957">
        <v>151.09</v>
      </c>
      <c r="J6957">
        <v>0.01</v>
      </c>
    </row>
    <row r="6958" spans="1:10" x14ac:dyDescent="0.3">
      <c r="A6958" t="str">
        <f>HYPERLINK("https://us2.cloudbeds.com/connect/10074733072513#/reservations/30681719742642?display=YQU81PWNB&amp;reservation_id=30681719742642", "YQU81PWNB")</f>
        <v>YQU81PWNB</v>
      </c>
      <c r="B6958" t="s">
        <v>10</v>
      </c>
      <c r="C6958" t="s">
        <v>11</v>
      </c>
      <c r="D6958" t="str">
        <f>HYPERLINK("https://us2.cloudbeds.com/connect/10074733072513#/reservations/30681719742642?display=Harini%20Devulapalli&amp;reservation_id=30681719742642&amp;guest_id=30681710366945", "Harini Devulapalli")</f>
        <v>Harini Devulapalli</v>
      </c>
      <c r="E6958" t="s">
        <v>4573</v>
      </c>
      <c r="F6958" t="s">
        <v>4539</v>
      </c>
      <c r="G6958">
        <v>87.84</v>
      </c>
      <c r="H6958">
        <v>95.49</v>
      </c>
      <c r="I6958">
        <v>95.48</v>
      </c>
      <c r="J6958">
        <v>0.01</v>
      </c>
    </row>
    <row r="6959" spans="1:10" x14ac:dyDescent="0.3">
      <c r="A6959" t="str">
        <f>HYPERLINK("https://us2.cloudbeds.com/connect/10074733072513#/reservations/30681588146403?display=YQU4MR4BH&amp;reservation_id=30681588146403", "YQU4MR4BH")</f>
        <v>YQU4MR4BH</v>
      </c>
      <c r="B6959" t="s">
        <v>10</v>
      </c>
      <c r="C6959" t="s">
        <v>42</v>
      </c>
      <c r="D6959" t="str">
        <f>HYPERLINK("https://us2.cloudbeds.com/connect/10074733072513#/reservations/30681588146403?display=Misty%20Cauthren&amp;reservation_id=30681588146403&amp;guest_id=30681588142323", "Misty Cauthren")</f>
        <v>Misty Cauthren</v>
      </c>
      <c r="E6959" t="s">
        <v>4213</v>
      </c>
      <c r="F6959" t="s">
        <v>2609</v>
      </c>
      <c r="G6959">
        <v>99</v>
      </c>
      <c r="H6959">
        <v>107.62</v>
      </c>
      <c r="I6959">
        <v>107.61</v>
      </c>
      <c r="J6959">
        <v>0.01</v>
      </c>
    </row>
    <row r="6960" spans="1:10" x14ac:dyDescent="0.3">
      <c r="A6960" t="str">
        <f>HYPERLINK("https://us2.cloudbeds.com/connect/10074733072513#/reservations/30681594749077?display=YQU4SCSDX&amp;reservation_id=30681594749077", "YQU4SCSDX")</f>
        <v>YQU4SCSDX</v>
      </c>
      <c r="B6960" t="s">
        <v>10</v>
      </c>
      <c r="C6960" t="s">
        <v>121</v>
      </c>
      <c r="D6960" t="str">
        <f>HYPERLINK("https://us2.cloudbeds.com/connect/10074733072513#/reservations/30681594749077?display=Kaylee%20Bruce&amp;reservation_id=30681594749077&amp;guest_id=30681594749075", "Kaylee Bruce")</f>
        <v>Kaylee Bruce</v>
      </c>
      <c r="E6960" t="s">
        <v>4579</v>
      </c>
      <c r="F6960" t="s">
        <v>2609</v>
      </c>
      <c r="G6960">
        <v>139</v>
      </c>
      <c r="H6960">
        <v>151.1</v>
      </c>
      <c r="I6960">
        <v>151.09</v>
      </c>
      <c r="J6960">
        <v>0.01</v>
      </c>
    </row>
    <row r="6961" spans="1:10" x14ac:dyDescent="0.3">
      <c r="A6961" t="str">
        <f>HYPERLINK("https://us2.cloudbeds.com/connect/10074733072513#/reservations/30681490182273?display=YQU2674FH&amp;reservation_id=30681490182273", "YQU2674FH")</f>
        <v>YQU2674FH</v>
      </c>
      <c r="B6961" t="s">
        <v>10</v>
      </c>
      <c r="C6961" t="s">
        <v>42</v>
      </c>
      <c r="D6961" t="str">
        <f>HYPERLINK("https://us2.cloudbeds.com/connect/10074733072513#/reservations/30681490182273?display=Kris%20Westhoff&amp;reservation_id=30681490182273&amp;guest_id=30681481777377", "Kris Westhoff")</f>
        <v>Kris Westhoff</v>
      </c>
      <c r="E6961" t="s">
        <v>4580</v>
      </c>
      <c r="F6961" t="s">
        <v>4506</v>
      </c>
      <c r="G6961">
        <v>109</v>
      </c>
      <c r="H6961">
        <v>118.49</v>
      </c>
      <c r="I6961">
        <v>118.48</v>
      </c>
      <c r="J6961">
        <v>0.01</v>
      </c>
    </row>
    <row r="6962" spans="1:10" x14ac:dyDescent="0.3">
      <c r="A6962" t="str">
        <f>HYPERLINK("https://us2.cloudbeds.com/connect/10074733072513#/reservations/31671610499294?display=MH4Z1TGGS&amp;reservation_id=31671610499294", "MH4Z1TGGS")</f>
        <v>MH4Z1TGGS</v>
      </c>
      <c r="B6962" t="s">
        <v>10</v>
      </c>
      <c r="C6962" t="s">
        <v>17</v>
      </c>
      <c r="D6962" t="str">
        <f>HYPERLINK("https://us2.cloudbeds.com/connect/10074733072513#/reservations/31671610499294?display=Kathryn%20Nida&amp;reservation_id=31671610499294&amp;guest_id=31671610499281", "Kathryn Nida")</f>
        <v>Kathryn Nida</v>
      </c>
      <c r="E6962" t="s">
        <v>4581</v>
      </c>
      <c r="F6962" t="s">
        <v>4340</v>
      </c>
      <c r="G6962">
        <v>258</v>
      </c>
      <c r="H6962">
        <v>280.45999999999998</v>
      </c>
      <c r="I6962">
        <v>280.45</v>
      </c>
      <c r="J6962">
        <v>0.01</v>
      </c>
    </row>
    <row r="6963" spans="1:10" x14ac:dyDescent="0.3">
      <c r="A6963" t="str">
        <f>HYPERLINK("https://us2.cloudbeds.com/connect/10074733072513#/reservations/30681263841477?display=YQTTDBSMH&amp;reservation_id=30681263841477", "YQTTDBSMH")</f>
        <v>YQTTDBSMH</v>
      </c>
      <c r="B6963" t="s">
        <v>10</v>
      </c>
      <c r="C6963" t="s">
        <v>121</v>
      </c>
      <c r="D6963" t="str">
        <f>HYPERLINK("https://us2.cloudbeds.com/connect/10074733072513#/reservations/30681263841477?display=Terestia%20Ysaguirre&amp;reservation_id=30681263841477&amp;guest_id=30681263837427", "Terestia Ysaguirre")</f>
        <v>Terestia Ysaguirre</v>
      </c>
      <c r="E6963" t="s">
        <v>4582</v>
      </c>
      <c r="F6963" t="s">
        <v>4134</v>
      </c>
      <c r="G6963">
        <v>139</v>
      </c>
      <c r="H6963">
        <v>151.1</v>
      </c>
      <c r="I6963">
        <v>151.09</v>
      </c>
      <c r="J6963">
        <v>0.01</v>
      </c>
    </row>
    <row r="6964" spans="1:10" x14ac:dyDescent="0.3">
      <c r="A6964" t="str">
        <f>HYPERLINK("https://us2.cloudbeds.com/connect/10074733072513#/reservations/30681663402144?display=YQU6K97NH&amp;reservation_id=30681663402144", "YQU6K97NH")</f>
        <v>YQU6K97NH</v>
      </c>
      <c r="B6964" t="s">
        <v>10</v>
      </c>
      <c r="C6964" t="s">
        <v>42</v>
      </c>
      <c r="D6964" t="str">
        <f>HYPERLINK("https://us2.cloudbeds.com/connect/10074733072513#/reservations/30681663402144?display=Brittni%20Thomas&amp;reservation_id=30681663402144&amp;guest_id=30681657008329", "Brittni Thomas")</f>
        <v>Brittni Thomas</v>
      </c>
      <c r="E6964" t="s">
        <v>4583</v>
      </c>
      <c r="F6964" t="s">
        <v>4216</v>
      </c>
      <c r="G6964">
        <v>109</v>
      </c>
      <c r="H6964">
        <v>118.49</v>
      </c>
      <c r="I6964">
        <v>118.48</v>
      </c>
      <c r="J6964">
        <v>0.01</v>
      </c>
    </row>
    <row r="6965" spans="1:10" x14ac:dyDescent="0.3">
      <c r="A6965" t="str">
        <f>HYPERLINK("https://us2.cloudbeds.com/connect/10074733072513#/reservations/30680172179610?display=YQT1GRPBT&amp;reservation_id=30680172179610", "YQT1GRPBT")</f>
        <v>YQT1GRPBT</v>
      </c>
      <c r="B6965" t="s">
        <v>10</v>
      </c>
      <c r="C6965" t="s">
        <v>42</v>
      </c>
      <c r="D6965" t="str">
        <f>HYPERLINK("https://us2.cloudbeds.com/connect/10074733072513#/reservations/30680172179610?display=Matt%20Holmes&amp;reservation_id=30680172179610&amp;guest_id=30680172179608", "Matt Holmes")</f>
        <v>Matt Holmes</v>
      </c>
      <c r="E6965" t="s">
        <v>4584</v>
      </c>
      <c r="F6965" t="s">
        <v>4318</v>
      </c>
      <c r="G6965">
        <v>109</v>
      </c>
      <c r="H6965">
        <v>118.49</v>
      </c>
      <c r="I6965">
        <v>118.48</v>
      </c>
      <c r="J6965">
        <v>0.01</v>
      </c>
    </row>
    <row r="6966" spans="1:10" x14ac:dyDescent="0.3">
      <c r="A6966" t="str">
        <f>HYPERLINK("https://us2.cloudbeds.com/connect/10074733072513#/reservations/30681303806088?display=YQTUE1V4B&amp;reservation_id=30681303806088", "YQTUE1V4B")</f>
        <v>YQTUE1V4B</v>
      </c>
      <c r="B6966" t="s">
        <v>10</v>
      </c>
      <c r="C6966" t="s">
        <v>11</v>
      </c>
      <c r="D6966" t="str">
        <f>HYPERLINK("https://us2.cloudbeds.com/connect/10074733072513#/reservations/30681303806088?display=Kelsey%20Hampton&amp;reservation_id=30681303806088&amp;guest_id=30681303802045", "Kelsey Hampton")</f>
        <v>Kelsey Hampton</v>
      </c>
      <c r="E6966" t="s">
        <v>4585</v>
      </c>
      <c r="F6966" t="s">
        <v>4318</v>
      </c>
      <c r="G6966">
        <v>87.84</v>
      </c>
      <c r="H6966">
        <v>95.49</v>
      </c>
      <c r="I6966">
        <v>95.48</v>
      </c>
      <c r="J6966">
        <v>0.01</v>
      </c>
    </row>
    <row r="6967" spans="1:10" x14ac:dyDescent="0.3">
      <c r="A6967" t="str">
        <f>HYPERLINK("https://us2.cloudbeds.com/connect/10074733072513#/reservations/30681663406238?display=YQU6K9BFJ&amp;reservation_id=30681663406238", "YQU6K9BFJ")</f>
        <v>YQU6K9BFJ</v>
      </c>
      <c r="B6967" t="s">
        <v>10</v>
      </c>
      <c r="C6967" t="s">
        <v>42</v>
      </c>
      <c r="D6967" t="str">
        <f>HYPERLINK("https://us2.cloudbeds.com/connect/10074733072513#/reservations/30681663406238?display=Ahmadullah%20Yara&amp;reservation_id=30681663406238&amp;guest_id=30653080101006", "Ahmadullah Yara")</f>
        <v>Ahmadullah Yara</v>
      </c>
      <c r="E6967" t="s">
        <v>4551</v>
      </c>
      <c r="F6967" t="s">
        <v>4216</v>
      </c>
      <c r="G6967">
        <v>73</v>
      </c>
      <c r="H6967">
        <v>79.36</v>
      </c>
      <c r="I6967">
        <v>79.349999999999994</v>
      </c>
      <c r="J6967">
        <v>0.01</v>
      </c>
    </row>
    <row r="6968" spans="1:10" x14ac:dyDescent="0.3">
      <c r="A6968" t="str">
        <f>HYPERLINK("https://us2.cloudbeds.com/connect/10074733072513#/reservations/30681303801992?display=YQTUE1RC7&amp;reservation_id=30681303801992", "YQTUE1RC7")</f>
        <v>YQTUE1RC7</v>
      </c>
      <c r="B6968" t="s">
        <v>10</v>
      </c>
      <c r="C6968" t="s">
        <v>11</v>
      </c>
      <c r="D6968" t="str">
        <f>HYPERLINK("https://us2.cloudbeds.com/connect/10074733072513#/reservations/30681303801992?display=Daniel%20Velasco&amp;reservation_id=30681303801992&amp;guest_id=30681298682096", "Daniel Velasco")</f>
        <v>Daniel Velasco</v>
      </c>
      <c r="E6968" t="s">
        <v>4588</v>
      </c>
      <c r="F6968" t="s">
        <v>4216</v>
      </c>
      <c r="G6968">
        <v>77.5</v>
      </c>
      <c r="H6968">
        <v>84.25</v>
      </c>
      <c r="I6968">
        <v>84.24</v>
      </c>
      <c r="J6968">
        <v>0.01</v>
      </c>
    </row>
    <row r="6969" spans="1:10" x14ac:dyDescent="0.3">
      <c r="A6969" t="str">
        <f>HYPERLINK("https://us2.cloudbeds.com/connect/10074733072513#/reservations/31671619715289?display=MH4Z9YVAE&amp;reservation_id=31671619715289", "MH4Z9YVAE")</f>
        <v>MH4Z9YVAE</v>
      </c>
      <c r="B6969" t="s">
        <v>10</v>
      </c>
      <c r="C6969" t="s">
        <v>42</v>
      </c>
      <c r="D6969" t="str">
        <f>HYPERLINK("https://us2.cloudbeds.com/connect/10074733072513#/reservations/31671619715289?display=Allison%20Hendrickson&amp;reservation_id=31671619715289&amp;guest_id=31671619715287", "Allison Hendrickson")</f>
        <v>Allison Hendrickson</v>
      </c>
      <c r="E6969" t="s">
        <v>4589</v>
      </c>
      <c r="F6969" t="s">
        <v>4340</v>
      </c>
      <c r="G6969">
        <v>169</v>
      </c>
      <c r="H6969">
        <v>183.71</v>
      </c>
      <c r="I6969">
        <v>183.7</v>
      </c>
      <c r="J6969">
        <v>0.01</v>
      </c>
    </row>
    <row r="6970" spans="1:10" x14ac:dyDescent="0.3">
      <c r="A6970" t="str">
        <f>HYPERLINK("https://us2.cloudbeds.com/connect/10074733072513#/reservations/30681319350410?display=YQTUR5G2D&amp;reservation_id=30681319350410", "YQTUR5G2D")</f>
        <v>YQTUR5G2D</v>
      </c>
      <c r="B6970" t="s">
        <v>10</v>
      </c>
      <c r="C6970" t="s">
        <v>42</v>
      </c>
      <c r="D6970" t="str">
        <f>HYPERLINK("https://us2.cloudbeds.com/connect/10074733072513#/reservations/30681319350410?display=Mark%20Tepstra&amp;reservation_id=30681319350410&amp;guest_id=30681319346318", "Mark Tepstra")</f>
        <v>Mark Tepstra</v>
      </c>
      <c r="E6970" t="s">
        <v>4591</v>
      </c>
      <c r="F6970" t="s">
        <v>4216</v>
      </c>
      <c r="G6970">
        <v>89</v>
      </c>
      <c r="H6970">
        <v>96.75</v>
      </c>
      <c r="I6970">
        <v>96.74</v>
      </c>
      <c r="J6970">
        <v>0.01</v>
      </c>
    </row>
    <row r="6971" spans="1:10" x14ac:dyDescent="0.3">
      <c r="A6971" t="str">
        <f>HYPERLINK("https://us2.cloudbeds.com/connect/10074733072513#/reservations/31680318902482?display=MHBFJ1YYX&amp;reservation_id=31680318902482", "MHBFJ1YYX")</f>
        <v>MHBFJ1YYX</v>
      </c>
      <c r="B6971" t="s">
        <v>10</v>
      </c>
      <c r="C6971" t="s">
        <v>42</v>
      </c>
      <c r="D6971" t="str">
        <f>HYPERLINK("https://us2.cloudbeds.com/connect/10074733072513#/reservations/31680318902482?display=Jennifer%20Bird&amp;reservation_id=31680318902482&amp;guest_id=31680311484608", "Jennifer Bird")</f>
        <v>Jennifer Bird</v>
      </c>
      <c r="E6971" t="s">
        <v>4592</v>
      </c>
      <c r="F6971" t="s">
        <v>2815</v>
      </c>
      <c r="G6971">
        <v>139</v>
      </c>
      <c r="H6971">
        <v>151.1</v>
      </c>
      <c r="I6971">
        <v>151.09</v>
      </c>
      <c r="J6971">
        <v>0.01</v>
      </c>
    </row>
    <row r="6972" spans="1:10" x14ac:dyDescent="0.3">
      <c r="A6972" t="str">
        <f>HYPERLINK("https://us2.cloudbeds.com/connect/10074733072513#/reservations/30680479965368?display=YQT9CCBU1&amp;reservation_id=30680479965368", "YQT9CCBU1")</f>
        <v>YQT9CCBU1</v>
      </c>
      <c r="B6972" t="s">
        <v>10</v>
      </c>
      <c r="C6972" t="s">
        <v>14</v>
      </c>
      <c r="D6972" t="str">
        <f>HYPERLINK("https://us2.cloudbeds.com/connect/10074733072513#/reservations/30680479965368?display=Baron%20Van%20Heel&amp;reservation_id=30680479965368&amp;guest_id=30680479965320", "Baron Van Heel")</f>
        <v>Baron Van Heel</v>
      </c>
      <c r="E6972" t="s">
        <v>4593</v>
      </c>
      <c r="F6972" t="s">
        <v>4318</v>
      </c>
      <c r="G6972">
        <v>87.84</v>
      </c>
      <c r="H6972">
        <v>95.49</v>
      </c>
      <c r="I6972">
        <v>95.48</v>
      </c>
      <c r="J6972">
        <v>0.01</v>
      </c>
    </row>
    <row r="6973" spans="1:10" x14ac:dyDescent="0.3">
      <c r="A6973" t="str">
        <f>HYPERLINK("https://us2.cloudbeds.com/connect/10074733072513#/reservations/30681491468437?display=YQU279UH6&amp;reservation_id=30681491468437", "YQU279UH6")</f>
        <v>YQU279UH6</v>
      </c>
      <c r="B6973" t="s">
        <v>10</v>
      </c>
      <c r="C6973" t="s">
        <v>121</v>
      </c>
      <c r="D6973" t="str">
        <f>HYPERLINK("https://us2.cloudbeds.com/connect/10074733072513#/reservations/30681491468437?display=Donna%20Greenfield&amp;reservation_id=30681491468437&amp;guest_id=30681491468434", "Donna Greenfield")</f>
        <v>Donna Greenfield</v>
      </c>
      <c r="E6973" t="s">
        <v>4596</v>
      </c>
      <c r="F6973" t="s">
        <v>4506</v>
      </c>
      <c r="G6973">
        <v>109</v>
      </c>
      <c r="H6973">
        <v>118.49</v>
      </c>
      <c r="I6973">
        <v>118.48</v>
      </c>
      <c r="J6973">
        <v>0.01</v>
      </c>
    </row>
    <row r="6974" spans="1:10" x14ac:dyDescent="0.3">
      <c r="A6974" t="str">
        <f>HYPERLINK("https://us2.cloudbeds.com/connect/10074733072513#/reservations/30681505067254?display=YQU2XPAVX&amp;reservation_id=30681505067254", "YQU2XPAVX")</f>
        <v>YQU2XPAVX</v>
      </c>
      <c r="B6974" t="s">
        <v>10</v>
      </c>
      <c r="C6974" t="s">
        <v>42</v>
      </c>
      <c r="D6974" t="str">
        <f>HYPERLINK("https://us2.cloudbeds.com/connect/10074733072513#/reservations/30681505067254?display=Dale%20Opdahl&amp;reservation_id=30681505067254&amp;guest_id=30664206172395", "Dale Opdahl")</f>
        <v>Dale Opdahl</v>
      </c>
      <c r="E6974" t="s">
        <v>4598</v>
      </c>
      <c r="F6974" t="s">
        <v>4506</v>
      </c>
      <c r="G6974">
        <v>218</v>
      </c>
      <c r="H6974">
        <v>236.98</v>
      </c>
      <c r="I6974">
        <v>236.97</v>
      </c>
      <c r="J6974">
        <v>0.01</v>
      </c>
    </row>
    <row r="6975" spans="1:10" x14ac:dyDescent="0.3">
      <c r="A6975" t="str">
        <f>HYPERLINK("https://us2.cloudbeds.com/connect/10074733072513#/reservations/31682637058178?display=MHD8QPZUS&amp;reservation_id=31682637058178", "MHD8QPZUS")</f>
        <v>MHD8QPZUS</v>
      </c>
      <c r="B6975" t="s">
        <v>10</v>
      </c>
      <c r="C6975" t="s">
        <v>20</v>
      </c>
      <c r="D6975" t="str">
        <f>HYPERLINK("https://us2.cloudbeds.com/connect/10074733072513#/reservations/31682637058178?display=Donna%20Meyer&amp;reservation_id=31682637058178&amp;guest_id=31682628468897", "Donna Meyer")</f>
        <v>Donna Meyer</v>
      </c>
      <c r="E6975" t="s">
        <v>4599</v>
      </c>
      <c r="F6975" t="s">
        <v>4600</v>
      </c>
      <c r="G6975">
        <v>378</v>
      </c>
      <c r="H6975">
        <v>410.9</v>
      </c>
      <c r="I6975">
        <v>410.89</v>
      </c>
      <c r="J6975">
        <v>0.01</v>
      </c>
    </row>
    <row r="6976" spans="1:10" x14ac:dyDescent="0.3">
      <c r="A6976" t="str">
        <f>HYPERLINK("https://us2.cloudbeds.com/connect/10074733072513#/reservations/30681357328530?display=YQTVQ69CH&amp;reservation_id=30681357328530", "YQTVQ69CH")</f>
        <v>YQTVQ69CH</v>
      </c>
      <c r="B6976" t="s">
        <v>10</v>
      </c>
      <c r="C6976" t="s">
        <v>42</v>
      </c>
      <c r="D6976" t="str">
        <f>HYPERLINK("https://us2.cloudbeds.com/connect/10074733072513#/reservations/30681357328530?display=Greg%20Miller&amp;reservation_id=30681357328530&amp;guest_id=30681357328526", "Greg Miller")</f>
        <v>Greg Miller</v>
      </c>
      <c r="E6976" t="s">
        <v>4604</v>
      </c>
      <c r="F6976" t="s">
        <v>4491</v>
      </c>
      <c r="G6976">
        <v>218</v>
      </c>
      <c r="H6976">
        <v>236.98</v>
      </c>
      <c r="I6976">
        <v>236.97</v>
      </c>
      <c r="J6976">
        <v>0.01</v>
      </c>
    </row>
    <row r="6977" spans="1:10" x14ac:dyDescent="0.3">
      <c r="A6977" t="str">
        <f>HYPERLINK("https://us2.cloudbeds.com/connect/10074733072513#/reservations/31671559471308?display=MH4MZSXS8&amp;reservation_id=31671559471308", "MH4MZSXS8")</f>
        <v>MH4MZSXS8</v>
      </c>
      <c r="B6977" t="s">
        <v>10</v>
      </c>
      <c r="C6977" t="s">
        <v>42</v>
      </c>
      <c r="D6977" t="str">
        <f>HYPERLINK("https://us2.cloudbeds.com/connect/10074733072513#/reservations/31671559471308?display=Chad%20Holm&amp;reservation_id=31671559471308&amp;guest_id=31671559467258", "Chad Holm")</f>
        <v>Chad Holm</v>
      </c>
      <c r="E6977" t="s">
        <v>4605</v>
      </c>
      <c r="F6977" t="s">
        <v>4369</v>
      </c>
      <c r="G6977">
        <v>139</v>
      </c>
      <c r="H6977">
        <v>151.1</v>
      </c>
      <c r="I6977">
        <v>151.09</v>
      </c>
      <c r="J6977">
        <v>0.01</v>
      </c>
    </row>
    <row r="6978" spans="1:10" x14ac:dyDescent="0.3">
      <c r="A6978" t="str">
        <f>HYPERLINK("https://us2.cloudbeds.com/connect/10074733072513#/reservations/30681349673185?display=YQTVJZ8MC&amp;reservation_id=30681349673185", "YQTVJZ8MC")</f>
        <v>YQTVJZ8MC</v>
      </c>
      <c r="B6978" t="s">
        <v>10</v>
      </c>
      <c r="C6978" t="s">
        <v>42</v>
      </c>
      <c r="D6978" t="str">
        <f>HYPERLINK("https://us2.cloudbeds.com/connect/10074733072513#/reservations/30681349673185?display=Yara%20Ebrahimi&amp;reservation_id=30681349673185&amp;guest_id=30681349673180", "Yara Ebrahimi")</f>
        <v>Yara Ebrahimi</v>
      </c>
      <c r="E6978" t="s">
        <v>4607</v>
      </c>
      <c r="F6978" t="s">
        <v>4328</v>
      </c>
      <c r="G6978">
        <v>73</v>
      </c>
      <c r="H6978">
        <v>79.36</v>
      </c>
      <c r="I6978">
        <v>79.349999999999994</v>
      </c>
      <c r="J6978">
        <v>0.01</v>
      </c>
    </row>
    <row r="6979" spans="1:10" x14ac:dyDescent="0.3">
      <c r="A6979" t="str">
        <f>HYPERLINK("https://us2.cloudbeds.com/connect/10074733072513#/reservations/31675485245671?display=MH7Z260WZ&amp;reservation_id=31675485245671", "MH7Z260WZ")</f>
        <v>MH7Z260WZ</v>
      </c>
      <c r="B6979" t="s">
        <v>10</v>
      </c>
      <c r="C6979" t="s">
        <v>42</v>
      </c>
      <c r="D6979" t="str">
        <f>HYPERLINK("https://us2.cloudbeds.com/connect/10074733072513#/reservations/31675485245671?display=Shannon%20Zoglmann&amp;reservation_id=31675485245671&amp;guest_id=31675485245669", "Shannon Zoglmann")</f>
        <v>Shannon Zoglmann</v>
      </c>
      <c r="E6979" t="s">
        <v>4610</v>
      </c>
      <c r="F6979" t="s">
        <v>4611</v>
      </c>
      <c r="G6979">
        <v>258</v>
      </c>
      <c r="H6979">
        <v>280.45999999999998</v>
      </c>
      <c r="I6979">
        <v>280.45</v>
      </c>
      <c r="J6979">
        <v>0.01</v>
      </c>
    </row>
    <row r="6980" spans="1:10" x14ac:dyDescent="0.3">
      <c r="A6980" t="str">
        <f>HYPERLINK("https://us2.cloudbeds.com/connect/10074733072513#/reservations/31672579891393?display=MH5FRA8Z0&amp;reservation_id=31672579891393", "MH5FRA8Z0")</f>
        <v>MH5FRA8Z0</v>
      </c>
      <c r="B6980" t="s">
        <v>10</v>
      </c>
      <c r="C6980" t="s">
        <v>42</v>
      </c>
      <c r="D6980" t="str">
        <f>HYPERLINK("https://us2.cloudbeds.com/connect/10074733072513#/reservations/31672579891393?display=Billy%20Carr&amp;reservation_id=31672579891393&amp;guest_id=31672571224233", "Billy Carr")</f>
        <v>Billy Carr</v>
      </c>
      <c r="E6980" t="s">
        <v>4613</v>
      </c>
      <c r="F6980" t="s">
        <v>4566</v>
      </c>
      <c r="G6980">
        <v>238</v>
      </c>
      <c r="H6980">
        <v>258.72000000000003</v>
      </c>
      <c r="I6980">
        <v>258.70999999999998</v>
      </c>
      <c r="J6980">
        <v>0.01</v>
      </c>
    </row>
    <row r="6981" spans="1:10" x14ac:dyDescent="0.3">
      <c r="A6981" t="str">
        <f>HYPERLINK("https://us2.cloudbeds.com/connect/10074733072513#/reservations/30681345044701?display=YQTVFRFF9&amp;reservation_id=30681345044701", "YQTVFRFF9")</f>
        <v>YQTVFRFF9</v>
      </c>
      <c r="B6981" t="s">
        <v>10</v>
      </c>
      <c r="C6981" t="s">
        <v>121</v>
      </c>
      <c r="D6981" t="str">
        <f>HYPERLINK("https://us2.cloudbeds.com/connect/10074733072513#/reservations/30681345044701?display=Lucas%20Solberg&amp;reservation_id=30681345044701&amp;guest_id=30681345044699", "Lucas Solberg")</f>
        <v>Lucas Solberg</v>
      </c>
      <c r="E6981" t="s">
        <v>4614</v>
      </c>
      <c r="F6981" t="s">
        <v>4491</v>
      </c>
      <c r="G6981">
        <v>109</v>
      </c>
      <c r="H6981">
        <v>118.49</v>
      </c>
      <c r="I6981">
        <v>118.48</v>
      </c>
      <c r="J6981">
        <v>0.01</v>
      </c>
    </row>
    <row r="6982" spans="1:10" x14ac:dyDescent="0.3">
      <c r="A6982" t="str">
        <f>HYPERLINK("https://us2.cloudbeds.com/connect/10074733072513#/reservations/31671792664738?display=MH4SNGH7R&amp;reservation_id=31671792664738", "MH4SNGH7R")</f>
        <v>MH4SNGH7R</v>
      </c>
      <c r="B6982" t="s">
        <v>10</v>
      </c>
      <c r="C6982" t="s">
        <v>11</v>
      </c>
      <c r="D6982" t="str">
        <f>HYPERLINK("https://us2.cloudbeds.com/connect/10074733072513#/reservations/31671792664738?display=Angie%20Hartmann&amp;reservation_id=31671792664738&amp;guest_id=31671792664733", "Angie Hartmann")</f>
        <v>Angie Hartmann</v>
      </c>
      <c r="E6982" t="s">
        <v>4464</v>
      </c>
      <c r="F6982" t="s">
        <v>3545</v>
      </c>
      <c r="G6982">
        <v>169.36</v>
      </c>
      <c r="H6982">
        <v>184.1</v>
      </c>
      <c r="I6982">
        <v>184.09</v>
      </c>
      <c r="J6982">
        <v>0.01</v>
      </c>
    </row>
    <row r="6983" spans="1:10" x14ac:dyDescent="0.3">
      <c r="A6983" t="str">
        <f>HYPERLINK("https://us2.cloudbeds.com/connect/10074733072513#/reservations/31671619711194?display=MH4Z9YRXB&amp;reservation_id=31671619711194", "MH4Z9YRXB")</f>
        <v>MH4Z9YRXB</v>
      </c>
      <c r="B6983" t="s">
        <v>10</v>
      </c>
      <c r="C6983" t="s">
        <v>11</v>
      </c>
      <c r="D6983" t="str">
        <f>HYPERLINK("https://us2.cloudbeds.com/connect/10074733072513#/reservations/31671619711194?display=Marc%20Frishman&amp;reservation_id=31671619711194&amp;guest_id=31671619711192", "Marc Frishman")</f>
        <v>Marc Frishman</v>
      </c>
      <c r="E6983" t="s">
        <v>4615</v>
      </c>
      <c r="F6983" t="s">
        <v>4369</v>
      </c>
      <c r="G6983">
        <v>87.84</v>
      </c>
      <c r="H6983">
        <v>95.49</v>
      </c>
      <c r="I6983">
        <v>95.48</v>
      </c>
      <c r="J6983">
        <v>0.01</v>
      </c>
    </row>
    <row r="6984" spans="1:10" x14ac:dyDescent="0.3">
      <c r="A6984" t="str">
        <f>HYPERLINK("https://us2.cloudbeds.com/connect/10074733072513#/reservations/31675586904273?display=MH7QYTRDE&amp;reservation_id=31675586904273", "MH7QYTRDE")</f>
        <v>MH7QYTRDE</v>
      </c>
      <c r="B6984" t="s">
        <v>10</v>
      </c>
      <c r="C6984" t="s">
        <v>42</v>
      </c>
      <c r="D6984" t="str">
        <f>HYPERLINK("https://us2.cloudbeds.com/connect/10074733072513#/reservations/31675586904273?display=Bill%20Ericsson&amp;reservation_id=31675586904273&amp;guest_id=31675586904270", "Bill Ericsson")</f>
        <v>Bill Ericsson</v>
      </c>
      <c r="E6984" t="s">
        <v>4616</v>
      </c>
      <c r="F6984" t="s">
        <v>3836</v>
      </c>
      <c r="G6984">
        <v>298</v>
      </c>
      <c r="H6984">
        <v>323.94</v>
      </c>
      <c r="I6984">
        <v>323.93</v>
      </c>
      <c r="J6984">
        <v>0.01</v>
      </c>
    </row>
    <row r="6985" spans="1:10" x14ac:dyDescent="0.3">
      <c r="A6985" t="str">
        <f>HYPERLINK("https://us2.cloudbeds.com/connect/10074733072513#/reservations/31671604412549?display=MH4NTP471&amp;reservation_id=31671604412549", "MH4NTP471")</f>
        <v>MH4NTP471</v>
      </c>
      <c r="B6985" t="s">
        <v>10</v>
      </c>
      <c r="C6985" t="s">
        <v>42</v>
      </c>
      <c r="D6985" t="str">
        <f>HYPERLINK("https://us2.cloudbeds.com/connect/10074733072513#/reservations/31671604412549?display=Pam%20Platz&amp;reservation_id=31671604412549&amp;guest_id=31671604412547", "Pam Platz")</f>
        <v>Pam Platz</v>
      </c>
      <c r="E6985" t="s">
        <v>4617</v>
      </c>
      <c r="F6985" t="s">
        <v>4369</v>
      </c>
      <c r="G6985">
        <v>139</v>
      </c>
      <c r="H6985">
        <v>151.1</v>
      </c>
      <c r="I6985">
        <v>151.09</v>
      </c>
      <c r="J6985">
        <v>0.01</v>
      </c>
    </row>
    <row r="6986" spans="1:10" x14ac:dyDescent="0.3">
      <c r="A6986" t="str">
        <f>HYPERLINK("https://us2.cloudbeds.com/connect/10074733072513#/reservations/31671593562348?display=MH4NKK6P2&amp;reservation_id=31671593562348", "MH4NKK6P2")</f>
        <v>MH4NKK6P2</v>
      </c>
      <c r="B6986" t="s">
        <v>10</v>
      </c>
      <c r="C6986" t="s">
        <v>11</v>
      </c>
      <c r="D6986" t="str">
        <f>HYPERLINK("https://us2.cloudbeds.com/connect/10074733072513#/reservations/31671593562348?display=Anthony%20Weatherman&amp;reservation_id=31671593562348&amp;guest_id=31671593562346", "Anthony Weatherman")</f>
        <v>Anthony Weatherman</v>
      </c>
      <c r="E6986" t="s">
        <v>4612</v>
      </c>
      <c r="F6986" t="s">
        <v>4369</v>
      </c>
      <c r="G6986">
        <v>87.84</v>
      </c>
      <c r="H6986">
        <v>95.49</v>
      </c>
      <c r="I6986">
        <v>95.48</v>
      </c>
      <c r="J6986">
        <v>0.01</v>
      </c>
    </row>
    <row r="6987" spans="1:10" x14ac:dyDescent="0.3">
      <c r="A6987" t="str">
        <f>HYPERLINK("https://us2.cloudbeds.com/connect/10074733072513#/reservations/31673320616089?display=MH61ZU0MU&amp;reservation_id=31673320616089", "MH61ZU0MU")</f>
        <v>MH61ZU0MU</v>
      </c>
      <c r="B6987" t="s">
        <v>10</v>
      </c>
      <c r="C6987" t="s">
        <v>11</v>
      </c>
      <c r="D6987" t="str">
        <f>HYPERLINK("https://us2.cloudbeds.com/connect/10074733072513#/reservations/31673320616089?display=Greg%20Cagle&amp;reservation_id=31673320616089&amp;guest_id=31673320611998", "Greg Cagle")</f>
        <v>Greg Cagle</v>
      </c>
      <c r="E6987" t="s">
        <v>4619</v>
      </c>
      <c r="F6987" t="s">
        <v>4300</v>
      </c>
      <c r="G6987">
        <v>106.8</v>
      </c>
      <c r="H6987">
        <v>116.1</v>
      </c>
      <c r="I6987">
        <v>116.09</v>
      </c>
      <c r="J6987">
        <v>0.01</v>
      </c>
    </row>
    <row r="6988" spans="1:10" x14ac:dyDescent="0.3">
      <c r="A6988" t="str">
        <f>HYPERLINK("https://us2.cloudbeds.com/connect/10074733072513#/reservations/31671577198740?display=MH4N6QSG5&amp;reservation_id=31671577198740", "MH4N6QSG5")</f>
        <v>MH4N6QSG5</v>
      </c>
      <c r="B6988" t="s">
        <v>10</v>
      </c>
      <c r="C6988" t="s">
        <v>42</v>
      </c>
      <c r="D6988" t="str">
        <f>HYPERLINK("https://us2.cloudbeds.com/connect/10074733072513#/reservations/31671577198740?display=Shawn%20Mischel&amp;reservation_id=31671577198740&amp;guest_id=31671577198738", "Shawn Mischel")</f>
        <v>Shawn Mischel</v>
      </c>
      <c r="E6988" t="s">
        <v>4620</v>
      </c>
      <c r="F6988" t="s">
        <v>4369</v>
      </c>
      <c r="G6988">
        <v>139</v>
      </c>
      <c r="H6988">
        <v>151.1</v>
      </c>
      <c r="I6988">
        <v>151.09</v>
      </c>
      <c r="J6988">
        <v>0.01</v>
      </c>
    </row>
    <row r="6989" spans="1:10" x14ac:dyDescent="0.3">
      <c r="A6989" t="str">
        <f>HYPERLINK("https://us2.cloudbeds.com/connect/10074733072513#/reservations/30681336873148?display=YQTV8V2ZF&amp;reservation_id=30681336873148", "YQTV8V2ZF")</f>
        <v>YQTV8V2ZF</v>
      </c>
      <c r="B6989" t="s">
        <v>10</v>
      </c>
      <c r="C6989" t="s">
        <v>121</v>
      </c>
      <c r="D6989" t="str">
        <f>HYPERLINK("https://us2.cloudbeds.com/connect/10074733072513#/reservations/30681336873148?display=Abdulahi%20Jama&amp;reservation_id=30681336873148&amp;guest_id=30681336873146", "Abdulahi Jama")</f>
        <v>Abdulahi Jama</v>
      </c>
      <c r="E6989" t="s">
        <v>4621</v>
      </c>
      <c r="F6989" t="s">
        <v>4491</v>
      </c>
      <c r="G6989">
        <v>129</v>
      </c>
      <c r="H6989">
        <v>140.22999999999999</v>
      </c>
      <c r="I6989">
        <v>140.22</v>
      </c>
      <c r="J6989">
        <v>0.01</v>
      </c>
    </row>
    <row r="6990" spans="1:10" x14ac:dyDescent="0.3">
      <c r="A6990" t="str">
        <f>HYPERLINK("https://us2.cloudbeds.com/connect/10074733072513#/reservations/31671577194647?display=MH4N6QZZ4&amp;reservation_id=31671577194647", "MH4N6QZZ4")</f>
        <v>MH4N6QZZ4</v>
      </c>
      <c r="B6990" t="s">
        <v>10</v>
      </c>
      <c r="C6990" t="s">
        <v>11</v>
      </c>
      <c r="D6990" t="str">
        <f>HYPERLINK("https://us2.cloudbeds.com/connect/10074733072513#/reservations/31671577194647?display=Starr%20Fedders&amp;reservation_id=31671577194647&amp;guest_id=31671577194645", "Starr Fedders")</f>
        <v>Starr Fedders</v>
      </c>
      <c r="E6990" t="s">
        <v>4622</v>
      </c>
      <c r="F6990" t="s">
        <v>4369</v>
      </c>
      <c r="G6990">
        <v>87.84</v>
      </c>
      <c r="H6990">
        <v>95.49</v>
      </c>
      <c r="I6990">
        <v>95.48</v>
      </c>
      <c r="J6990">
        <v>0.01</v>
      </c>
    </row>
    <row r="6991" spans="1:10" x14ac:dyDescent="0.3">
      <c r="A6991" t="str">
        <f>HYPERLINK("https://us2.cloudbeds.com/connect/10074733072513#/reservations/30681357324424?display=YQTVQ65K2&amp;reservation_id=30681357324424", "YQTVQ65K2")</f>
        <v>YQTVQ65K2</v>
      </c>
      <c r="B6991" t="s">
        <v>10</v>
      </c>
      <c r="C6991" t="s">
        <v>121</v>
      </c>
      <c r="D6991" t="str">
        <f>HYPERLINK("https://us2.cloudbeds.com/connect/10074733072513#/reservations/30681357324424?display=Tanner%20Stewart&amp;reservation_id=30681357324424&amp;guest_id=30681351696565", "Tanner Stewart")</f>
        <v>Tanner Stewart</v>
      </c>
      <c r="E6991" t="s">
        <v>4623</v>
      </c>
      <c r="F6991" t="s">
        <v>4491</v>
      </c>
      <c r="G6991">
        <v>109</v>
      </c>
      <c r="H6991">
        <v>118.49</v>
      </c>
      <c r="I6991">
        <v>118.48</v>
      </c>
      <c r="J6991">
        <v>0.01</v>
      </c>
    </row>
    <row r="6992" spans="1:10" x14ac:dyDescent="0.3">
      <c r="A6992" t="str">
        <f>HYPERLINK("https://us2.cloudbeds.com/connect/10074733072513#/reservations/31671700967566?display=MH4QC5U4Y&amp;reservation_id=31671700967566", "MH4QC5U4Y")</f>
        <v>MH4QC5U4Y</v>
      </c>
      <c r="B6992" t="s">
        <v>10</v>
      </c>
      <c r="C6992" t="s">
        <v>42</v>
      </c>
      <c r="D6992" t="str">
        <f>HYPERLINK("https://us2.cloudbeds.com/connect/10074733072513#/reservations/31671700967566?display=Abdulahi%20Jama&amp;reservation_id=31671700967566&amp;guest_id=30681336873146", "Abdulahi Jama")</f>
        <v>Abdulahi Jama</v>
      </c>
      <c r="E6992" t="s">
        <v>4621</v>
      </c>
      <c r="F6992" t="s">
        <v>4369</v>
      </c>
      <c r="G6992">
        <v>109</v>
      </c>
      <c r="H6992">
        <v>118.49</v>
      </c>
      <c r="I6992">
        <v>118.48</v>
      </c>
      <c r="J6992">
        <v>0.01</v>
      </c>
    </row>
    <row r="6993" spans="1:10" x14ac:dyDescent="0.3">
      <c r="A6993" t="str">
        <f>HYPERLINK("https://us2.cloudbeds.com/connect/10074733072513#/reservations/31671738548367?display=MH4RASYJQ&amp;reservation_id=31671738548367", "MH4RASYJQ")</f>
        <v>MH4RASYJQ</v>
      </c>
      <c r="B6993" t="s">
        <v>10</v>
      </c>
      <c r="C6993" t="s">
        <v>121</v>
      </c>
      <c r="D6993" t="str">
        <f>HYPERLINK("https://us2.cloudbeds.com/connect/10074733072513#/reservations/31671738548367?display=Ryan%20Hoerster&amp;reservation_id=31671738548367&amp;guest_id=31671738548355", "Ryan Hoerster")</f>
        <v>Ryan Hoerster</v>
      </c>
      <c r="E6993" t="s">
        <v>4630</v>
      </c>
      <c r="F6993" t="s">
        <v>3545</v>
      </c>
      <c r="G6993">
        <v>129</v>
      </c>
      <c r="H6993">
        <v>140.22999999999999</v>
      </c>
      <c r="I6993">
        <v>140.22</v>
      </c>
      <c r="J6993">
        <v>0.01</v>
      </c>
    </row>
    <row r="6994" spans="1:10" x14ac:dyDescent="0.3">
      <c r="A6994" t="str">
        <f>HYPERLINK("https://us2.cloudbeds.com/connect/10074733072513#/reservations/31671659819141?display=MH4PAFTKM&amp;reservation_id=31671659819141", "MH4PAFTKM")</f>
        <v>MH4PAFTKM</v>
      </c>
      <c r="B6994" t="s">
        <v>10</v>
      </c>
      <c r="C6994" t="s">
        <v>11</v>
      </c>
      <c r="D6994" t="str">
        <f>HYPERLINK("https://us2.cloudbeds.com/connect/10074733072513#/reservations/31671659819141?display=William%20Macone&amp;reservation_id=31671659819141&amp;guest_id=31671659815056", "William Macone")</f>
        <v>William Macone</v>
      </c>
      <c r="E6994" t="s">
        <v>4631</v>
      </c>
      <c r="F6994" t="s">
        <v>3545</v>
      </c>
      <c r="G6994">
        <v>87.84</v>
      </c>
      <c r="H6994">
        <v>95.49</v>
      </c>
      <c r="I6994">
        <v>95.48</v>
      </c>
      <c r="J6994">
        <v>0.01</v>
      </c>
    </row>
    <row r="6995" spans="1:10" x14ac:dyDescent="0.3">
      <c r="A6995" t="str">
        <f>HYPERLINK("https://us2.cloudbeds.com/connect/10074733072513#/reservations/31682440614096?display=MHD3Q4DGT&amp;reservation_id=31682440614096", "MHD3Q4DGT")</f>
        <v>MHD3Q4DGT</v>
      </c>
      <c r="B6995" t="s">
        <v>10</v>
      </c>
      <c r="C6995" t="s">
        <v>42</v>
      </c>
      <c r="D6995" t="str">
        <f>HYPERLINK("https://us2.cloudbeds.com/connect/10074733072513#/reservations/31682440614096?display=Fred%20Marnette&amp;reservation_id=31682440614096&amp;guest_id=31682440614091", "Fred Marnette")</f>
        <v>Fred Marnette</v>
      </c>
      <c r="E6995" t="s">
        <v>4632</v>
      </c>
      <c r="F6995" t="s">
        <v>4633</v>
      </c>
      <c r="G6995">
        <v>336</v>
      </c>
      <c r="H6995">
        <v>365.24</v>
      </c>
      <c r="I6995">
        <v>365.23</v>
      </c>
      <c r="J6995">
        <v>0.01</v>
      </c>
    </row>
    <row r="6996" spans="1:10" x14ac:dyDescent="0.3">
      <c r="A6996" t="str">
        <f>HYPERLINK("https://us2.cloudbeds.com/connect/10074733072513#/reservations/31671659843723?display=MH4PAGJ6J&amp;reservation_id=31671659843723", "MH4PAGJ6J")</f>
        <v>MH4PAGJ6J</v>
      </c>
      <c r="B6996" t="s">
        <v>10</v>
      </c>
      <c r="C6996" t="s">
        <v>42</v>
      </c>
      <c r="D6996" t="str">
        <f>HYPERLINK("https://us2.cloudbeds.com/connect/10074733072513#/reservations/31671659843723?display=Teri%20Hood&amp;reservation_id=31671659843723&amp;guest_id=31671659843719", "Teri Hood")</f>
        <v>Teri Hood</v>
      </c>
      <c r="E6996" t="s">
        <v>4634</v>
      </c>
      <c r="F6996" t="s">
        <v>4340</v>
      </c>
      <c r="G6996">
        <v>139</v>
      </c>
      <c r="H6996">
        <v>151.1</v>
      </c>
      <c r="I6996">
        <v>151.09</v>
      </c>
      <c r="J6996">
        <v>0.01</v>
      </c>
    </row>
    <row r="6997" spans="1:10" x14ac:dyDescent="0.3">
      <c r="A6997" t="str">
        <f>HYPERLINK("https://us2.cloudbeds.com/connect/10074733072513#/reservations/31672069664914?display=MH52Q2F6X&amp;reservation_id=31672069664914", "MH52Q2F6X")</f>
        <v>MH52Q2F6X</v>
      </c>
      <c r="B6997" t="s">
        <v>10</v>
      </c>
      <c r="C6997" t="s">
        <v>23</v>
      </c>
      <c r="D6997" t="str">
        <f>HYPERLINK("https://us2.cloudbeds.com/connect/10074733072513#/reservations/31672069664914?display=Mikkaela%20Vanbeek&amp;reservation_id=31672069664914&amp;guest_id=31672069664912", "Mikkaela Vanbeek")</f>
        <v>Mikkaela Vanbeek</v>
      </c>
      <c r="E6997" t="s">
        <v>4635</v>
      </c>
      <c r="F6997" t="s">
        <v>4636</v>
      </c>
      <c r="G6997">
        <v>149</v>
      </c>
      <c r="H6997">
        <v>161.97</v>
      </c>
      <c r="I6997">
        <v>161.96</v>
      </c>
      <c r="J6997">
        <v>0.01</v>
      </c>
    </row>
    <row r="6998" spans="1:10" x14ac:dyDescent="0.3">
      <c r="A6998" t="str">
        <f>HYPERLINK("https://us2.cloudbeds.com/connect/10074733072513#/reservations/31671538294914?display=MH4M70A4B&amp;reservation_id=31671538294914", "MH4M70A4B")</f>
        <v>MH4M70A4B</v>
      </c>
      <c r="B6998" t="s">
        <v>10</v>
      </c>
      <c r="C6998" t="s">
        <v>121</v>
      </c>
      <c r="D6998" t="str">
        <f>HYPERLINK("https://us2.cloudbeds.com/connect/10074733072513#/reservations/31671538294914?display=Yara%20Ebrahimi&amp;reservation_id=31671538294914&amp;guest_id=30681349673180", "Yara Ebrahimi")</f>
        <v>Yara Ebrahimi</v>
      </c>
      <c r="E6998" t="s">
        <v>4607</v>
      </c>
      <c r="F6998" t="s">
        <v>4629</v>
      </c>
      <c r="G6998">
        <v>73</v>
      </c>
      <c r="H6998">
        <v>79.36</v>
      </c>
      <c r="I6998">
        <v>79.349999999999994</v>
      </c>
      <c r="J6998">
        <v>0.01</v>
      </c>
    </row>
    <row r="6999" spans="1:10" x14ac:dyDescent="0.3">
      <c r="A6999" t="str">
        <f>HYPERLINK("https://us2.cloudbeds.com/connect/10074733072513#/reservations/31671669960866?display=MH4PJ13GY&amp;reservation_id=31671669960866", "MH4PJ13GY")</f>
        <v>MH4PJ13GY</v>
      </c>
      <c r="B6999" t="s">
        <v>10</v>
      </c>
      <c r="C6999" t="s">
        <v>42</v>
      </c>
      <c r="D6999" t="str">
        <f>HYPERLINK("https://us2.cloudbeds.com/connect/10074733072513#/reservations/31671669960866?display=Lori%20Boyer&amp;reservation_id=31671669960866&amp;guest_id=31671669960851", "Lori Boyer")</f>
        <v>Lori Boyer</v>
      </c>
      <c r="E6999" t="s">
        <v>4638</v>
      </c>
      <c r="F6999" t="s">
        <v>4340</v>
      </c>
      <c r="G6999">
        <v>258</v>
      </c>
      <c r="H6999">
        <v>280.45999999999998</v>
      </c>
      <c r="I6999">
        <v>280.45</v>
      </c>
      <c r="J6999">
        <v>0.01</v>
      </c>
    </row>
    <row r="7000" spans="1:10" x14ac:dyDescent="0.3">
      <c r="A7000" t="str">
        <f>HYPERLINK("https://us2.cloudbeds.com/connect/10074733072513#/reservations/31671895400668?display=MH4VB49UR&amp;reservation_id=31671895400668", "MH4VB49UR")</f>
        <v>MH4VB49UR</v>
      </c>
      <c r="B7000" t="s">
        <v>10</v>
      </c>
      <c r="C7000" t="s">
        <v>42</v>
      </c>
      <c r="D7000" t="str">
        <f>HYPERLINK("https://us2.cloudbeds.com/connect/10074733072513#/reservations/31671895400668?display=Cody%20Hall&amp;reservation_id=31671895400668&amp;guest_id=31671895396584", "Cody Hall")</f>
        <v>Cody Hall</v>
      </c>
      <c r="E7000" t="s">
        <v>4639</v>
      </c>
      <c r="F7000" t="s">
        <v>4340</v>
      </c>
      <c r="G7000">
        <v>278</v>
      </c>
      <c r="H7000">
        <v>302.2</v>
      </c>
      <c r="I7000">
        <v>302.19</v>
      </c>
      <c r="J7000">
        <v>0.01</v>
      </c>
    </row>
    <row r="7001" spans="1:10" x14ac:dyDescent="0.3">
      <c r="A7001" t="str">
        <f>HYPERLINK("https://us2.cloudbeds.com/connect/10074733072513#/reservations/31671917768944?display=MH4VTWZ4C&amp;reservation_id=31671917768944", "MH4VTWZ4C")</f>
        <v>MH4VTWZ4C</v>
      </c>
      <c r="B7001" t="s">
        <v>10</v>
      </c>
      <c r="C7001" t="s">
        <v>11</v>
      </c>
      <c r="D7001" t="str">
        <f>HYPERLINK("https://us2.cloudbeds.com/connect/10074733072513#/reservations/31671917768944?display=Christopher%20Ray&amp;reservation_id=31671917768944&amp;guest_id=31671910715555", "Christopher Ray")</f>
        <v>Christopher Ray</v>
      </c>
      <c r="E7001" t="s">
        <v>4640</v>
      </c>
      <c r="F7001" t="s">
        <v>4160</v>
      </c>
      <c r="G7001">
        <v>80.38</v>
      </c>
      <c r="H7001">
        <v>87.38</v>
      </c>
      <c r="I7001">
        <v>87.37</v>
      </c>
      <c r="J7001">
        <v>0.01</v>
      </c>
    </row>
    <row r="7002" spans="1:10" x14ac:dyDescent="0.3">
      <c r="A7002" t="str">
        <f>HYPERLINK("https://us2.cloudbeds.com/connect/10074733072513#/reservations/31671631864024?display=MH4ZJU05U&amp;reservation_id=31671631864024", "MH4ZJU05U")</f>
        <v>MH4ZJU05U</v>
      </c>
      <c r="B7002" t="s">
        <v>10</v>
      </c>
      <c r="C7002" t="s">
        <v>23</v>
      </c>
      <c r="D7002" t="str">
        <f>HYPERLINK("https://us2.cloudbeds.com/connect/10074733072513#/reservations/31671631864024?display=Sarah%20Steineke&amp;reservation_id=31671631864024&amp;guest_id=31671631864019", "Sarah Steineke")</f>
        <v>Sarah Steineke</v>
      </c>
      <c r="E7002" t="s">
        <v>4648</v>
      </c>
      <c r="F7002" t="s">
        <v>4340</v>
      </c>
      <c r="G7002">
        <v>278</v>
      </c>
      <c r="H7002">
        <v>302.2</v>
      </c>
      <c r="I7002">
        <v>302.19</v>
      </c>
      <c r="J7002">
        <v>0.01</v>
      </c>
    </row>
    <row r="7003" spans="1:10" x14ac:dyDescent="0.3">
      <c r="A7003" t="str">
        <f>HYPERLINK("https://us2.cloudbeds.com/connect/10074733072513#/reservations/31671576637581?display=MH4N6B86B&amp;reservation_id=31671576637581", "MH4N6B86B")</f>
        <v>MH4N6B86B</v>
      </c>
      <c r="B7003" t="s">
        <v>10</v>
      </c>
      <c r="C7003" t="s">
        <v>42</v>
      </c>
      <c r="D7003" t="str">
        <f>HYPERLINK("https://us2.cloudbeds.com/connect/10074733072513#/reservations/31671576637581?display=Cody%20Free&amp;reservation_id=31671576637581&amp;guest_id=31671572660450", "Cody Free")</f>
        <v>Cody Free</v>
      </c>
      <c r="E7003" t="s">
        <v>4654</v>
      </c>
      <c r="F7003" t="s">
        <v>4652</v>
      </c>
      <c r="G7003">
        <v>109</v>
      </c>
      <c r="H7003">
        <v>118.49</v>
      </c>
      <c r="I7003">
        <v>118.48</v>
      </c>
      <c r="J7003">
        <v>0.01</v>
      </c>
    </row>
    <row r="7004" spans="1:10" x14ac:dyDescent="0.3">
      <c r="A7004" t="str">
        <f>HYPERLINK("https://us2.cloudbeds.com/connect/10074733072513#/reservations/31671996317850?display=MH50U7FH8&amp;reservation_id=31671996317850", "MH50U7FH8")</f>
        <v>MH50U7FH8</v>
      </c>
      <c r="B7004" t="s">
        <v>10</v>
      </c>
      <c r="C7004" t="s">
        <v>23</v>
      </c>
      <c r="D7004" t="str">
        <f>HYPERLINK("https://us2.cloudbeds.com/connect/10074733072513#/reservations/31671996317850?display=Kerin%20Smydra&amp;reservation_id=31671996317850&amp;guest_id=31671988195530", "Kerin Smydra")</f>
        <v>Kerin Smydra</v>
      </c>
      <c r="E7004" t="s">
        <v>4655</v>
      </c>
      <c r="F7004" t="s">
        <v>4458</v>
      </c>
      <c r="G7004">
        <v>129</v>
      </c>
      <c r="H7004">
        <v>140.22999999999999</v>
      </c>
      <c r="I7004">
        <v>140.22</v>
      </c>
      <c r="J7004">
        <v>0.01</v>
      </c>
    </row>
    <row r="7005" spans="1:10" x14ac:dyDescent="0.3">
      <c r="A7005" t="str">
        <f>HYPERLINK("https://us2.cloudbeds.com/connect/10074733072513#/reservations/31671701573826?display=MH4QCMPS5&amp;reservation_id=31671701573826", "MH4QCMPS5")</f>
        <v>MH4QCMPS5</v>
      </c>
      <c r="B7005" t="s">
        <v>10</v>
      </c>
      <c r="C7005" t="s">
        <v>42</v>
      </c>
      <c r="D7005" t="str">
        <f>HYPERLINK("https://us2.cloudbeds.com/connect/10074733072513#/reservations/31671701573826?display=Sheila%20Sinclair&amp;reservation_id=31671701573826&amp;guest_id=31671701569731", "Sheila Sinclair")</f>
        <v>Sheila Sinclair</v>
      </c>
      <c r="E7005" t="s">
        <v>4656</v>
      </c>
      <c r="F7005" t="s">
        <v>4340</v>
      </c>
      <c r="G7005">
        <v>258</v>
      </c>
      <c r="H7005">
        <v>280.45999999999998</v>
      </c>
      <c r="I7005">
        <v>280.45</v>
      </c>
      <c r="J7005">
        <v>0.01</v>
      </c>
    </row>
    <row r="7006" spans="1:10" x14ac:dyDescent="0.3">
      <c r="A7006" t="str">
        <f>HYPERLINK("https://us2.cloudbeds.com/connect/10074733072513#/reservations/31674193473730?display=MH6Z1UXSF&amp;reservation_id=31674193473730", "MH6Z1UXSF")</f>
        <v>MH6Z1UXSF</v>
      </c>
      <c r="B7006" t="s">
        <v>10</v>
      </c>
      <c r="C7006" t="s">
        <v>42</v>
      </c>
      <c r="D7006" t="str">
        <f>HYPERLINK("https://us2.cloudbeds.com/connect/10074733072513#/reservations/31674193473730?display=Vickie%20Schultz&amp;reservation_id=31674193473730&amp;guest_id=31674193469641", "Vickie Schultz")</f>
        <v>Vickie Schultz</v>
      </c>
      <c r="E7006" t="s">
        <v>4145</v>
      </c>
      <c r="F7006" t="s">
        <v>4141</v>
      </c>
      <c r="G7006">
        <v>278</v>
      </c>
      <c r="H7006">
        <v>302.2</v>
      </c>
      <c r="I7006">
        <v>302.19</v>
      </c>
      <c r="J7006">
        <v>0.01</v>
      </c>
    </row>
    <row r="7007" spans="1:10" x14ac:dyDescent="0.3">
      <c r="A7007" t="str">
        <f>HYPERLINK("https://us2.cloudbeds.com/connect/10074733072513#/reservations/31674209648770?display=MH6ZFXYW6&amp;reservation_id=31674209648770", "MH6ZFXYW6")</f>
        <v>MH6ZFXYW6</v>
      </c>
      <c r="B7007" t="s">
        <v>10</v>
      </c>
      <c r="C7007" t="s">
        <v>42</v>
      </c>
      <c r="D7007" t="str">
        <f>HYPERLINK("https://us2.cloudbeds.com/connect/10074733072513#/reservations/31674209648770?display=Vickie%20Schultz&amp;reservation_id=31674209648770&amp;guest_id=31674200977577", "Vickie Schultz")</f>
        <v>Vickie Schultz</v>
      </c>
      <c r="E7007" t="s">
        <v>4664</v>
      </c>
      <c r="F7007" t="s">
        <v>4141</v>
      </c>
      <c r="G7007">
        <v>139</v>
      </c>
      <c r="H7007">
        <v>151.1</v>
      </c>
      <c r="I7007">
        <v>151.09</v>
      </c>
      <c r="J7007">
        <v>0.01</v>
      </c>
    </row>
    <row r="7008" spans="1:10" x14ac:dyDescent="0.3">
      <c r="A7008" t="str">
        <f>HYPERLINK("https://us2.cloudbeds.com/connect/10074733072513#/reservations/31672022241420?display=MH51J2REW&amp;reservation_id=31672022241420", "MH51J2REW")</f>
        <v>MH51J2REW</v>
      </c>
      <c r="B7008" t="s">
        <v>10</v>
      </c>
      <c r="C7008" t="s">
        <v>42</v>
      </c>
      <c r="D7008" t="str">
        <f>HYPERLINK("https://us2.cloudbeds.com/connect/10074733072513#/reservations/31672022241420?display=Leanne%20Honrud&amp;reservation_id=31672022241420&amp;guest_id=31672022241417", "Leanne Honrud")</f>
        <v>Leanne Honrud</v>
      </c>
      <c r="E7008" t="s">
        <v>4668</v>
      </c>
      <c r="F7008" t="s">
        <v>4458</v>
      </c>
      <c r="G7008">
        <v>129</v>
      </c>
      <c r="H7008">
        <v>140.22999999999999</v>
      </c>
      <c r="I7008">
        <v>140.22</v>
      </c>
      <c r="J7008">
        <v>0.01</v>
      </c>
    </row>
    <row r="7009" spans="1:10" x14ac:dyDescent="0.3">
      <c r="A7009" t="str">
        <f>HYPERLINK("https://us2.cloudbeds.com/connect/10074733072513#/reservations/31671669960865?display=MH4PJ13GK&amp;reservation_id=31671669960865", "MH4PJ13GK")</f>
        <v>MH4PJ13GK</v>
      </c>
      <c r="B7009" t="s">
        <v>10</v>
      </c>
      <c r="C7009" t="s">
        <v>11</v>
      </c>
      <c r="D7009" t="str">
        <f>HYPERLINK("https://us2.cloudbeds.com/connect/10074733072513#/reservations/31671669960865?display=Joel%20Gomez&amp;reservation_id=31671669960865&amp;guest_id=31671669960862", "Joel Gomez")</f>
        <v>Joel Gomez</v>
      </c>
      <c r="E7009" t="s">
        <v>4669</v>
      </c>
      <c r="F7009" t="s">
        <v>4670</v>
      </c>
      <c r="G7009">
        <v>62.56</v>
      </c>
      <c r="H7009">
        <v>68.010000000000005</v>
      </c>
      <c r="I7009">
        <v>68</v>
      </c>
      <c r="J7009">
        <v>0.01</v>
      </c>
    </row>
    <row r="7010" spans="1:10" x14ac:dyDescent="0.3">
      <c r="A7010" t="str">
        <f>HYPERLINK("https://us2.cloudbeds.com/connect/10074733072513#/reservations/31671679217919?display=MH4PQRN0E&amp;reservation_id=31671679217919", "MH4PQRN0E")</f>
        <v>MH4PQRN0E</v>
      </c>
      <c r="B7010" t="s">
        <v>10</v>
      </c>
      <c r="C7010" t="s">
        <v>42</v>
      </c>
      <c r="D7010" t="str">
        <f>HYPERLINK("https://us2.cloudbeds.com/connect/10074733072513#/reservations/31671679217919?display=Don%20Martin&amp;reservation_id=31671679217919&amp;guest_id=31671679217914", "Don Martin")</f>
        <v>Don Martin</v>
      </c>
      <c r="E7010" t="s">
        <v>4673</v>
      </c>
      <c r="F7010" t="s">
        <v>4670</v>
      </c>
      <c r="G7010">
        <v>99</v>
      </c>
      <c r="H7010">
        <v>107.62</v>
      </c>
      <c r="I7010">
        <v>107.61</v>
      </c>
      <c r="J7010">
        <v>0.01</v>
      </c>
    </row>
    <row r="7011" spans="1:10" x14ac:dyDescent="0.3">
      <c r="A7011" t="str">
        <f>HYPERLINK("https://us2.cloudbeds.com/connect/10074733072513#/reservations/31671988191430?display=MH50NCB83&amp;reservation_id=31671988191430", "MH50NCB83")</f>
        <v>MH50NCB83</v>
      </c>
      <c r="B7011" t="s">
        <v>10</v>
      </c>
      <c r="C7011" t="s">
        <v>42</v>
      </c>
      <c r="D7011" t="str">
        <f>HYPERLINK("https://us2.cloudbeds.com/connect/10074733072513#/reservations/31671988191430?display=Cory%20Glick&amp;reservation_id=31671988191430&amp;guest_id=30679426039950", "Cory Glick")</f>
        <v>Cory Glick</v>
      </c>
      <c r="E7011" t="s">
        <v>2769</v>
      </c>
      <c r="F7011" t="s">
        <v>4458</v>
      </c>
      <c r="G7011">
        <v>79</v>
      </c>
      <c r="H7011">
        <v>85.88</v>
      </c>
      <c r="I7011">
        <v>85.87</v>
      </c>
      <c r="J7011">
        <v>0.01</v>
      </c>
    </row>
    <row r="7012" spans="1:10" x14ac:dyDescent="0.3">
      <c r="A7012" t="str">
        <f>HYPERLINK("https://us2.cloudbeds.com/connect/10074733072513#/reservations/31671969235166?display=MH507CS6S&amp;reservation_id=31671969235166", "MH507CS6S")</f>
        <v>MH507CS6S</v>
      </c>
      <c r="B7012" t="s">
        <v>10</v>
      </c>
      <c r="C7012" t="s">
        <v>121</v>
      </c>
      <c r="D7012" t="str">
        <f>HYPERLINK("https://us2.cloudbeds.com/connect/10074733072513#/reservations/31671969235166?display=Frank%20Davis&amp;reservation_id=31671969235166&amp;guest_id=31671969235162", "Frank Davis")</f>
        <v>Frank Davis</v>
      </c>
      <c r="E7012" t="s">
        <v>4679</v>
      </c>
      <c r="F7012" t="s">
        <v>4670</v>
      </c>
      <c r="G7012">
        <v>73</v>
      </c>
      <c r="H7012">
        <v>79.36</v>
      </c>
      <c r="I7012">
        <v>79.349999999999994</v>
      </c>
      <c r="J7012">
        <v>0.01</v>
      </c>
    </row>
    <row r="7013" spans="1:10" x14ac:dyDescent="0.3">
      <c r="A7013" t="str">
        <f>HYPERLINK("https://us2.cloudbeds.com/connect/10074733072513#/reservations/31675418894533?display=MH7MC7NG6&amp;reservation_id=31675418894533", "MH7MC7NG6")</f>
        <v>MH7MC7NG6</v>
      </c>
      <c r="B7013" t="s">
        <v>10</v>
      </c>
      <c r="C7013" t="s">
        <v>11</v>
      </c>
      <c r="D7013" t="str">
        <f>HYPERLINK("https://us2.cloudbeds.com/connect/10074733072513#/reservations/31675418894533?display=Keather%20Risken&amp;reservation_id=31675418894533&amp;guest_id=31675418890438", "Keather Risken")</f>
        <v>Keather Risken</v>
      </c>
      <c r="E7013" t="s">
        <v>4681</v>
      </c>
      <c r="F7013" t="s">
        <v>4611</v>
      </c>
      <c r="G7013">
        <v>226.1</v>
      </c>
      <c r="H7013">
        <v>245.78</v>
      </c>
      <c r="I7013">
        <v>245.77</v>
      </c>
      <c r="J7013">
        <v>0.01</v>
      </c>
    </row>
    <row r="7014" spans="1:10" x14ac:dyDescent="0.3">
      <c r="A7014" t="str">
        <f>HYPERLINK("https://us2.cloudbeds.com/connect/10074733072513#/reservations/31671860814062?display=MH4UEVSVR&amp;reservation_id=31671860814062", "MH4UEVSVR")</f>
        <v>MH4UEVSVR</v>
      </c>
      <c r="B7014" t="s">
        <v>10</v>
      </c>
      <c r="C7014" t="s">
        <v>42</v>
      </c>
      <c r="D7014" t="str">
        <f>HYPERLINK("https://us2.cloudbeds.com/connect/10074733072513#/reservations/31671860814062?display=Jennifer%20Heinricy&amp;reservation_id=31671860814062&amp;guest_id=31671853183126", "Jennifer Heinricy")</f>
        <v>Jennifer Heinricy</v>
      </c>
      <c r="E7014" t="s">
        <v>4211</v>
      </c>
      <c r="F7014" t="s">
        <v>4300</v>
      </c>
      <c r="G7014">
        <v>129</v>
      </c>
      <c r="H7014">
        <v>140.22999999999999</v>
      </c>
      <c r="I7014">
        <v>140.22</v>
      </c>
      <c r="J7014">
        <v>0.01</v>
      </c>
    </row>
    <row r="7015" spans="1:10" x14ac:dyDescent="0.3">
      <c r="A7015" t="str">
        <f>HYPERLINK("https://us2.cloudbeds.com/connect/10074733072513#/reservations/31672005038237?display=MH514J47D&amp;reservation_id=31672005038237", "MH514J47D")</f>
        <v>MH514J47D</v>
      </c>
      <c r="B7015" t="s">
        <v>10</v>
      </c>
      <c r="C7015" t="s">
        <v>121</v>
      </c>
      <c r="D7015" t="str">
        <f>HYPERLINK("https://us2.cloudbeds.com/connect/10074733072513#/reservations/31672005038237?display=Ann%20Lesch&amp;reservation_id=31672005038237&amp;guest_id=31672005038235", "Ann Lesch")</f>
        <v>Ann Lesch</v>
      </c>
      <c r="E7015" t="s">
        <v>4682</v>
      </c>
      <c r="F7015" t="s">
        <v>4458</v>
      </c>
      <c r="G7015">
        <v>139</v>
      </c>
      <c r="H7015">
        <v>151.1</v>
      </c>
      <c r="I7015">
        <v>151.09</v>
      </c>
      <c r="J7015">
        <v>0.01</v>
      </c>
    </row>
    <row r="7016" spans="1:10" x14ac:dyDescent="0.3">
      <c r="A7016" t="str">
        <f>HYPERLINK("https://us2.cloudbeds.com/connect/10074733072513#/reservations/31673345622242?display=MH62CWS64&amp;reservation_id=31673345622242", "MH62CWS64")</f>
        <v>MH62CWS64</v>
      </c>
      <c r="B7016" t="s">
        <v>10</v>
      </c>
      <c r="C7016" t="s">
        <v>42</v>
      </c>
      <c r="D7016" t="str">
        <f>HYPERLINK("https://us2.cloudbeds.com/connect/10074733072513#/reservations/31673345622242?display=Vernon%20Hofer&amp;reservation_id=31673345622242&amp;guest_id=31673345622230", "Vernon Hofer")</f>
        <v>Vernon Hofer</v>
      </c>
      <c r="E7016" t="s">
        <v>4211</v>
      </c>
      <c r="F7016" t="s">
        <v>4300</v>
      </c>
      <c r="G7016">
        <v>129</v>
      </c>
      <c r="H7016">
        <v>140.22999999999999</v>
      </c>
      <c r="I7016">
        <v>140.22</v>
      </c>
      <c r="J7016">
        <v>0.01</v>
      </c>
    </row>
    <row r="7017" spans="1:10" x14ac:dyDescent="0.3">
      <c r="A7017" t="str">
        <f>HYPERLINK("https://us2.cloudbeds.com/connect/10074733072513#/reservations/31673337950413?display=MH626HCBF&amp;reservation_id=31673337950413", "MH626HCBF")</f>
        <v>MH626HCBF</v>
      </c>
      <c r="B7017" t="s">
        <v>10</v>
      </c>
      <c r="C7017" t="s">
        <v>42</v>
      </c>
      <c r="D7017" t="str">
        <f>HYPERLINK("https://us2.cloudbeds.com/connect/10074733072513#/reservations/31673337950413?display=Misty%20Hofer&amp;reservation_id=31673337950413&amp;guest_id=31673337950401", "Misty Hofer")</f>
        <v>Misty Hofer</v>
      </c>
      <c r="E7017" t="s">
        <v>4211</v>
      </c>
      <c r="F7017" t="s">
        <v>4300</v>
      </c>
      <c r="G7017">
        <v>169</v>
      </c>
      <c r="H7017">
        <v>183.71</v>
      </c>
      <c r="I7017">
        <v>183.7</v>
      </c>
      <c r="J7017">
        <v>0.01</v>
      </c>
    </row>
    <row r="7018" spans="1:10" x14ac:dyDescent="0.3">
      <c r="A7018" t="str">
        <f>HYPERLINK("https://us2.cloudbeds.com/connect/10074733072513#/reservations/31675451908250?display=MH7N72C3S&amp;reservation_id=31675451908250", "MH7N72C3S")</f>
        <v>MH7N72C3S</v>
      </c>
      <c r="B7018" t="s">
        <v>10</v>
      </c>
      <c r="C7018" t="s">
        <v>11</v>
      </c>
      <c r="D7018" t="str">
        <f>HYPERLINK("https://us2.cloudbeds.com/connect/10074733072513#/reservations/31675451908250?display=Keather%20Risken&amp;reservation_id=31675451908250&amp;guest_id=31675418890438", "Keather Risken")</f>
        <v>Keather Risken</v>
      </c>
      <c r="E7018" t="s">
        <v>4681</v>
      </c>
      <c r="F7018" t="s">
        <v>4611</v>
      </c>
      <c r="G7018">
        <v>226.1</v>
      </c>
      <c r="H7018">
        <v>245.78</v>
      </c>
      <c r="I7018">
        <v>245.77</v>
      </c>
      <c r="J7018">
        <v>0.01</v>
      </c>
    </row>
    <row r="7019" spans="1:10" x14ac:dyDescent="0.3">
      <c r="A7019" t="str">
        <f>HYPERLINK("https://us2.cloudbeds.com/connect/10074733072513#/reservations/31671836029066?display=MH4TR26XC&amp;reservation_id=31671836029066", "MH4TR26XC")</f>
        <v>MH4TR26XC</v>
      </c>
      <c r="B7019" t="s">
        <v>10</v>
      </c>
      <c r="C7019" t="s">
        <v>42</v>
      </c>
      <c r="D7019" t="str">
        <f>HYPERLINK("https://us2.cloudbeds.com/connect/10074733072513#/reservations/31671836029066?display=Jackie%20Bray&amp;reservation_id=31671836029066&amp;guest_id=31671836024975", "Jackie Bray")</f>
        <v>Jackie Bray</v>
      </c>
      <c r="E7019" t="s">
        <v>4211</v>
      </c>
      <c r="F7019" t="s">
        <v>4300</v>
      </c>
      <c r="G7019">
        <v>129</v>
      </c>
      <c r="H7019">
        <v>140.22999999999999</v>
      </c>
      <c r="I7019">
        <v>140.22</v>
      </c>
      <c r="J7019">
        <v>0.01</v>
      </c>
    </row>
    <row r="7020" spans="1:10" x14ac:dyDescent="0.3">
      <c r="A7020" t="str">
        <f>HYPERLINK("https://us2.cloudbeds.com/connect/10074733072513#/reservations/31672209735902?display=MH56C64MV&amp;reservation_id=31672209735902", "MH56C64MV")</f>
        <v>MH56C64MV</v>
      </c>
      <c r="B7020" t="s">
        <v>10</v>
      </c>
      <c r="C7020" t="s">
        <v>42</v>
      </c>
      <c r="D7020" t="str">
        <f>HYPERLINK("https://us2.cloudbeds.com/connect/10074733072513#/reservations/31672209735902?display=Carol%20Zapapas&amp;reservation_id=31672209735902&amp;guest_id=31672209731811", "Carol Zapapas")</f>
        <v>Carol Zapapas</v>
      </c>
      <c r="E7020" t="s">
        <v>4687</v>
      </c>
      <c r="F7020" t="s">
        <v>4643</v>
      </c>
      <c r="G7020">
        <v>99</v>
      </c>
      <c r="H7020">
        <v>107.62</v>
      </c>
      <c r="I7020">
        <v>107.61</v>
      </c>
      <c r="J7020">
        <v>0.01</v>
      </c>
    </row>
    <row r="7021" spans="1:10" x14ac:dyDescent="0.3">
      <c r="A7021" t="str">
        <f>HYPERLINK("https://us2.cloudbeds.com/connect/10074733072513#/reservations/31671842369764?display=MH4TWDY1Z&amp;reservation_id=31671842369764", "MH4TWDY1Z")</f>
        <v>MH4TWDY1Z</v>
      </c>
      <c r="B7021" t="s">
        <v>10</v>
      </c>
      <c r="C7021" t="s">
        <v>42</v>
      </c>
      <c r="D7021" t="str">
        <f>HYPERLINK("https://us2.cloudbeds.com/connect/10074733072513#/reservations/31671842369764?display=Dave%20Mccandless&amp;reservation_id=31671842369764&amp;guest_id=30683295551650", "Dave Mccandless")</f>
        <v>Dave Mccandless</v>
      </c>
      <c r="E7021" t="s">
        <v>3497</v>
      </c>
      <c r="F7021" t="s">
        <v>4646</v>
      </c>
      <c r="G7021">
        <v>89</v>
      </c>
      <c r="H7021">
        <v>96.75</v>
      </c>
      <c r="I7021">
        <v>96.74</v>
      </c>
      <c r="J7021">
        <v>0.01</v>
      </c>
    </row>
    <row r="7022" spans="1:10" x14ac:dyDescent="0.3">
      <c r="A7022" t="str">
        <f>HYPERLINK("https://us2.cloudbeds.com/connect/10074733072513#/reservations/31679921074324?display=MHB5DJGHR&amp;reservation_id=31679921074324", "MHB5DJGHR")</f>
        <v>MHB5DJGHR</v>
      </c>
      <c r="B7022" t="s">
        <v>10</v>
      </c>
      <c r="C7022" t="s">
        <v>17</v>
      </c>
      <c r="D7022" t="str">
        <f>HYPERLINK("https://us2.cloudbeds.com/connect/10074733072513#/reservations/31679921074324?display=Heather%20Janssen&amp;reservation_id=31679921074324&amp;guest_id=30676886274222", "Heather Janssen")</f>
        <v>Heather Janssen</v>
      </c>
      <c r="E7022" t="s">
        <v>4690</v>
      </c>
      <c r="F7022" t="s">
        <v>3061</v>
      </c>
      <c r="G7022">
        <v>169</v>
      </c>
      <c r="H7022">
        <v>183.71</v>
      </c>
      <c r="I7022">
        <v>183.7</v>
      </c>
      <c r="J7022">
        <v>0.01</v>
      </c>
    </row>
    <row r="7023" spans="1:10" x14ac:dyDescent="0.3">
      <c r="A7023" t="str">
        <f>HYPERLINK("https://us2.cloudbeds.com/connect/10074733072513#/reservations/31674304913616?display=MH6QTTX5N&amp;reservation_id=31674304913616", "MH6QTTX5N")</f>
        <v>MH6QTTX5N</v>
      </c>
      <c r="B7023" t="s">
        <v>10</v>
      </c>
      <c r="C7023" t="s">
        <v>23</v>
      </c>
      <c r="D7023" t="str">
        <f>HYPERLINK("https://us2.cloudbeds.com/connect/10074733072513#/reservations/31674304913616?display=Casey%20Meredith&amp;reservation_id=31674304913616&amp;guest_id=31674304913614", "Casey Meredith")</f>
        <v>Casey Meredith</v>
      </c>
      <c r="E7023" t="s">
        <v>4691</v>
      </c>
      <c r="F7023" t="s">
        <v>4692</v>
      </c>
      <c r="G7023">
        <v>169</v>
      </c>
      <c r="H7023">
        <v>183.71</v>
      </c>
      <c r="I7023">
        <v>183.7</v>
      </c>
      <c r="J7023">
        <v>0.01</v>
      </c>
    </row>
    <row r="7024" spans="1:10" x14ac:dyDescent="0.3">
      <c r="A7024" t="str">
        <f>HYPERLINK("https://us2.cloudbeds.com/connect/10074733072513#/reservations/31671969849508?display=MH507TVB9&amp;reservation_id=31671969849508", "MH507TVB9")</f>
        <v>MH507TVB9</v>
      </c>
      <c r="B7024" t="s">
        <v>10</v>
      </c>
      <c r="C7024" t="s">
        <v>23</v>
      </c>
      <c r="D7024" t="str">
        <f>HYPERLINK("https://us2.cloudbeds.com/connect/10074733072513#/reservations/31671969849508?display=Michael%20Davies&amp;reservation_id=31671969849508&amp;guest_id=31671969849506", "Michael Davies")</f>
        <v>Michael Davies</v>
      </c>
      <c r="E7024" t="s">
        <v>1675</v>
      </c>
      <c r="F7024" t="s">
        <v>4693</v>
      </c>
      <c r="G7024">
        <v>238</v>
      </c>
      <c r="H7024">
        <v>258.72000000000003</v>
      </c>
      <c r="I7024">
        <v>258.70999999999998</v>
      </c>
      <c r="J7024">
        <v>0.01</v>
      </c>
    </row>
    <row r="7025" spans="1:10" x14ac:dyDescent="0.3">
      <c r="A7025" t="str">
        <f>HYPERLINK("https://us2.cloudbeds.com/connect/10074733072513#/reservations/31671836024977?display=MH4TR22QF&amp;reservation_id=31671836024977", "MH4TR22QF")</f>
        <v>MH4TR22QF</v>
      </c>
      <c r="B7025" t="s">
        <v>10</v>
      </c>
      <c r="C7025" t="s">
        <v>42</v>
      </c>
      <c r="D7025" t="str">
        <f>HYPERLINK("https://us2.cloudbeds.com/connect/10074733072513#/reservations/31671836024977?display=Phil%20Rafferty&amp;reservation_id=31671836024977&amp;guest_id=31671836024972", "Phil Rafferty")</f>
        <v>Phil Rafferty</v>
      </c>
      <c r="E7025" t="s">
        <v>4694</v>
      </c>
      <c r="F7025" t="s">
        <v>4646</v>
      </c>
      <c r="G7025">
        <v>73</v>
      </c>
      <c r="H7025">
        <v>79.36</v>
      </c>
      <c r="I7025">
        <v>79.349999999999994</v>
      </c>
      <c r="J7025">
        <v>0.01</v>
      </c>
    </row>
    <row r="7026" spans="1:10" x14ac:dyDescent="0.3">
      <c r="A7026" t="str">
        <f>HYPERLINK("https://us2.cloudbeds.com/connect/10074733072513#/reservations/31671853183128?display=MH4U8HHME&amp;reservation_id=31671853183128", "MH4U8HHME")</f>
        <v>MH4U8HHME</v>
      </c>
      <c r="B7026" t="s">
        <v>10</v>
      </c>
      <c r="C7026" t="s">
        <v>42</v>
      </c>
      <c r="D7026" t="str">
        <f>HYPERLINK("https://us2.cloudbeds.com/connect/10074733072513#/reservations/31671853183128?display=Mike%20Tolbert&amp;reservation_id=31671853183128&amp;guest_id=30683082768594", "Mike Tolbert")</f>
        <v>Mike Tolbert</v>
      </c>
      <c r="E7026" t="s">
        <v>4363</v>
      </c>
      <c r="F7026" t="s">
        <v>4646</v>
      </c>
      <c r="G7026">
        <v>73</v>
      </c>
      <c r="H7026">
        <v>79.36</v>
      </c>
      <c r="I7026">
        <v>79.349999999999994</v>
      </c>
      <c r="J7026">
        <v>0.01</v>
      </c>
    </row>
    <row r="7027" spans="1:10" x14ac:dyDescent="0.3">
      <c r="A7027" t="str">
        <f>HYPERLINK("https://us2.cloudbeds.com/connect/10074733072513#/reservations/31671984234625?display=MH50K17QU&amp;reservation_id=31671984234625", "MH50K17QU")</f>
        <v>MH50K17QU</v>
      </c>
      <c r="B7027" t="s">
        <v>10</v>
      </c>
      <c r="C7027" t="s">
        <v>42</v>
      </c>
      <c r="D7027" t="str">
        <f>HYPERLINK("https://us2.cloudbeds.com/connect/10074733072513#/reservations/31671984234625?display=Nathiel%20Johnson&amp;reservation_id=31671984234625&amp;guest_id=31671984230576", "Nathiel Johnson")</f>
        <v>Nathiel Johnson</v>
      </c>
      <c r="E7027" t="s">
        <v>4696</v>
      </c>
      <c r="F7027" t="s">
        <v>4693</v>
      </c>
      <c r="G7027">
        <v>218</v>
      </c>
      <c r="H7027">
        <v>236.98</v>
      </c>
      <c r="I7027">
        <v>236.97</v>
      </c>
      <c r="J7027">
        <v>0.01</v>
      </c>
    </row>
    <row r="7028" spans="1:10" x14ac:dyDescent="0.3">
      <c r="A7028" t="str">
        <f>HYPERLINK("https://us2.cloudbeds.com/connect/10074733072513#/reservations/31671945318533?display=MH4WK7B6D&amp;reservation_id=31671945318533", "MH4WK7B6D")</f>
        <v>MH4WK7B6D</v>
      </c>
      <c r="B7028" t="s">
        <v>10</v>
      </c>
      <c r="C7028" t="s">
        <v>23</v>
      </c>
      <c r="D7028" t="str">
        <f>HYPERLINK("https://us2.cloudbeds.com/connect/10074733072513#/reservations/31671945318533?display=Hadley%20Magilke&amp;reservation_id=31671945318533&amp;guest_id=31671941505246", "Hadley Magilke")</f>
        <v>Hadley Magilke</v>
      </c>
      <c r="E7028" t="s">
        <v>4697</v>
      </c>
      <c r="F7028" t="s">
        <v>4698</v>
      </c>
      <c r="G7028">
        <v>119</v>
      </c>
      <c r="H7028">
        <v>129.36000000000001</v>
      </c>
      <c r="I7028">
        <v>129.35</v>
      </c>
      <c r="J7028">
        <v>0.01</v>
      </c>
    </row>
    <row r="7029" spans="1:10" x14ac:dyDescent="0.3">
      <c r="A7029" t="str">
        <f>HYPERLINK("https://us2.cloudbeds.com/connect/10074733072513#/reservations/31675599982796?display=MH7QWUP2A&amp;reservation_id=31675599982796", "MH7QWUP2A")</f>
        <v>MH7QWUP2A</v>
      </c>
      <c r="B7029" t="s">
        <v>10</v>
      </c>
      <c r="C7029" t="s">
        <v>42</v>
      </c>
      <c r="D7029" t="str">
        <f>HYPERLINK("https://us2.cloudbeds.com/connect/10074733072513#/reservations/31675599982796?display=Katlin%20Thebault&amp;reservation_id=31675599982796&amp;guest_id=31675599982791", "Katlin Thebault")</f>
        <v>Katlin Thebault</v>
      </c>
      <c r="E7029" t="s">
        <v>4699</v>
      </c>
      <c r="F7029" t="s">
        <v>3836</v>
      </c>
      <c r="G7029">
        <v>258</v>
      </c>
      <c r="H7029">
        <v>280.45999999999998</v>
      </c>
      <c r="I7029">
        <v>280.45</v>
      </c>
      <c r="J7029">
        <v>0.01</v>
      </c>
    </row>
    <row r="7030" spans="1:10" x14ac:dyDescent="0.3">
      <c r="A7030" t="str">
        <f>HYPERLINK("https://us2.cloudbeds.com/connect/10074733072513#/reservations/31671917768897?display=MH4VTWZ2V&amp;reservation_id=31671917768897", "MH4VTWZ2V")</f>
        <v>MH4VTWZ2V</v>
      </c>
      <c r="B7030" t="s">
        <v>10</v>
      </c>
      <c r="C7030" t="s">
        <v>121</v>
      </c>
      <c r="D7030" t="str">
        <f>HYPERLINK("https://us2.cloudbeds.com/connect/10074733072513#/reservations/31671917768897?display=Michael%20Van%20Woerkom&amp;reservation_id=31671917768897&amp;guest_id=31671910715554", "Michael Van Woerkom")</f>
        <v>Michael Van Woerkom</v>
      </c>
      <c r="E7030" t="s">
        <v>4701</v>
      </c>
      <c r="F7030" t="s">
        <v>4646</v>
      </c>
      <c r="G7030">
        <v>109</v>
      </c>
      <c r="H7030">
        <v>118.49</v>
      </c>
      <c r="I7030">
        <v>118.48</v>
      </c>
      <c r="J7030">
        <v>0.01</v>
      </c>
    </row>
    <row r="7031" spans="1:10" x14ac:dyDescent="0.3">
      <c r="A7031" t="str">
        <f>HYPERLINK("https://us2.cloudbeds.com/connect/10074733072513#/reservations/31671931805907?display=MH4W8RATT&amp;reservation_id=31671931805907", "MH4W8RATT")</f>
        <v>MH4W8RATT</v>
      </c>
      <c r="B7031" t="s">
        <v>10</v>
      </c>
      <c r="C7031" t="s">
        <v>11</v>
      </c>
      <c r="D7031" t="str">
        <f>HYPERLINK("https://us2.cloudbeds.com/connect/10074733072513#/reservations/31671931805907?display=Alexander%20James%20Regner&amp;reservation_id=31671931805907&amp;guest_id=31671931805902", "Alexander James Regner")</f>
        <v>Alexander James Regner</v>
      </c>
      <c r="E7031" t="s">
        <v>4702</v>
      </c>
      <c r="F7031" t="s">
        <v>4646</v>
      </c>
      <c r="G7031">
        <v>87.84</v>
      </c>
      <c r="H7031">
        <v>95.49</v>
      </c>
      <c r="I7031">
        <v>95.48</v>
      </c>
      <c r="J7031">
        <v>0.01</v>
      </c>
    </row>
    <row r="7032" spans="1:10" x14ac:dyDescent="0.3">
      <c r="A7032" t="str">
        <f>HYPERLINK("https://us2.cloudbeds.com/connect/10074733072513#/reservations/31671961022629?display=MH500FAS3&amp;reservation_id=31671961022629", "MH500FAS3")</f>
        <v>MH500FAS3</v>
      </c>
      <c r="B7032" t="s">
        <v>10</v>
      </c>
      <c r="C7032" t="s">
        <v>42</v>
      </c>
      <c r="D7032" t="str">
        <f>HYPERLINK("https://us2.cloudbeds.com/connect/10074733072513#/reservations/31671961022629?display=Jerry%20Hovorka&amp;reservation_id=31671961022629&amp;guest_id=30688415924472", "Jerry Hovorka")</f>
        <v>Jerry Hovorka</v>
      </c>
      <c r="E7032" t="s">
        <v>4703</v>
      </c>
      <c r="F7032" t="s">
        <v>4698</v>
      </c>
      <c r="G7032">
        <v>99</v>
      </c>
      <c r="H7032">
        <v>107.62</v>
      </c>
      <c r="I7032">
        <v>107.61</v>
      </c>
      <c r="J7032">
        <v>0.01</v>
      </c>
    </row>
    <row r="7033" spans="1:10" x14ac:dyDescent="0.3">
      <c r="A7033" t="str">
        <f>HYPERLINK("https://us2.cloudbeds.com/connect/10074733072513#/reservations/31674678022273?display=MH73EGS0Y&amp;reservation_id=31674678022273", "MH73EGS0Y")</f>
        <v>MH73EGS0Y</v>
      </c>
      <c r="B7033" t="s">
        <v>10</v>
      </c>
      <c r="C7033" t="s">
        <v>42</v>
      </c>
      <c r="D7033" t="str">
        <f>HYPERLINK("https://us2.cloudbeds.com/connect/10074733072513#/reservations/31674678022273?display=Wade%20Ericsson&amp;reservation_id=31674678022273&amp;guest_id=31674670661834", "Wade Ericsson")</f>
        <v>Wade Ericsson</v>
      </c>
      <c r="E7033" t="s">
        <v>4616</v>
      </c>
      <c r="F7033" t="s">
        <v>3836</v>
      </c>
      <c r="G7033">
        <v>258</v>
      </c>
      <c r="H7033">
        <v>280.45999999999998</v>
      </c>
      <c r="I7033">
        <v>280.45</v>
      </c>
      <c r="J7033">
        <v>0.01</v>
      </c>
    </row>
    <row r="7034" spans="1:10" x14ac:dyDescent="0.3">
      <c r="A7034" t="str">
        <f>HYPERLINK("https://us2.cloudbeds.com/connect/10074733072513#/reservations/31672238776476?display=MH573M7TB&amp;reservation_id=31672238776476", "MH573M7TB")</f>
        <v>MH573M7TB</v>
      </c>
      <c r="B7034" t="s">
        <v>10</v>
      </c>
      <c r="C7034" t="s">
        <v>121</v>
      </c>
      <c r="D7034" t="str">
        <f>HYPERLINK("https://us2.cloudbeds.com/connect/10074733072513#/reservations/31672238776476?display=Josey%20Durham&amp;reservation_id=31672238776476&amp;guest_id=31672226607308", "Josey Durham")</f>
        <v>Josey Durham</v>
      </c>
      <c r="E7034" t="s">
        <v>4704</v>
      </c>
      <c r="F7034" t="s">
        <v>4646</v>
      </c>
      <c r="G7034">
        <v>119</v>
      </c>
      <c r="H7034">
        <v>129.36000000000001</v>
      </c>
      <c r="I7034">
        <v>129.35</v>
      </c>
      <c r="J7034">
        <v>0.01</v>
      </c>
    </row>
    <row r="7035" spans="1:10" x14ac:dyDescent="0.3">
      <c r="A7035" t="str">
        <f>HYPERLINK("https://us2.cloudbeds.com/connect/10074733072513#/reservations/31676902707447?display=MH8R9DWPT&amp;reservation_id=31676902707447", "MH8R9DWPT")</f>
        <v>MH8R9DWPT</v>
      </c>
      <c r="B7035" t="s">
        <v>10</v>
      </c>
      <c r="C7035" t="s">
        <v>42</v>
      </c>
      <c r="D7035" t="str">
        <f>HYPERLINK("https://us2.cloudbeds.com/connect/10074733072513#/reservations/31676902707447?display=Lisa%20Anderberg&amp;reservation_id=31676902707447&amp;guest_id=31676902707443", "Lisa Anderberg")</f>
        <v>Lisa Anderberg</v>
      </c>
      <c r="E7035" t="s">
        <v>4705</v>
      </c>
      <c r="F7035" t="s">
        <v>3334</v>
      </c>
      <c r="G7035">
        <v>149</v>
      </c>
      <c r="H7035">
        <v>161.97</v>
      </c>
      <c r="I7035">
        <v>161.96</v>
      </c>
      <c r="J7035">
        <v>0.01</v>
      </c>
    </row>
    <row r="7036" spans="1:10" x14ac:dyDescent="0.3">
      <c r="A7036" t="str">
        <f>HYPERLINK("https://us2.cloudbeds.com/connect/10074733072513#/reservations/31671988195532?display=MH50NCF0D&amp;reservation_id=31671988195532", "MH50NCF0D")</f>
        <v>MH50NCF0D</v>
      </c>
      <c r="B7036" t="s">
        <v>10</v>
      </c>
      <c r="C7036" t="s">
        <v>20</v>
      </c>
      <c r="D7036" t="str">
        <f>HYPERLINK("https://us2.cloudbeds.com/connect/10074733072513#/reservations/31671988195532?display=Rebecca%20Schwendeman&amp;reservation_id=31671988195532&amp;guest_id=31671988195527", "Rebecca Schwendeman")</f>
        <v>Rebecca Schwendeman</v>
      </c>
      <c r="E7036" t="s">
        <v>4706</v>
      </c>
      <c r="F7036" t="s">
        <v>4501</v>
      </c>
      <c r="G7036">
        <v>159.88</v>
      </c>
      <c r="H7036">
        <v>173.8</v>
      </c>
      <c r="I7036">
        <v>173.79</v>
      </c>
      <c r="J7036">
        <v>0.01</v>
      </c>
    </row>
    <row r="7037" spans="1:10" x14ac:dyDescent="0.3">
      <c r="A7037" t="str">
        <f>HYPERLINK("https://us2.cloudbeds.com/connect/10074733072513#/reservations/31672003944654?display=MH513YN0H&amp;reservation_id=31672003944654", "MH513YN0H")</f>
        <v>MH513YN0H</v>
      </c>
      <c r="B7037" t="s">
        <v>10</v>
      </c>
      <c r="C7037" t="s">
        <v>42</v>
      </c>
      <c r="D7037" t="str">
        <f>HYPERLINK("https://us2.cloudbeds.com/connect/10074733072513#/reservations/31672003944654?display=Alex%20Kyle%20Friest%20Reifer&amp;reservation_id=31672003944654&amp;guest_id=31671999451299", "Alex Kyle Friest Reifer")</f>
        <v>Alex Kyle Friest Reifer</v>
      </c>
      <c r="E7037" t="s">
        <v>4708</v>
      </c>
      <c r="F7037" t="s">
        <v>4693</v>
      </c>
      <c r="G7037">
        <v>99</v>
      </c>
      <c r="H7037">
        <v>107.62</v>
      </c>
      <c r="I7037">
        <v>107.61</v>
      </c>
      <c r="J7037">
        <v>0.01</v>
      </c>
    </row>
    <row r="7038" spans="1:10" x14ac:dyDescent="0.3">
      <c r="A7038" t="str">
        <f>HYPERLINK("https://us2.cloudbeds.com/connect/10074733072513#/reservations/31672607256774?display=MH5GHCZKW&amp;reservation_id=31672607256774", "MH5GHCZKW")</f>
        <v>MH5GHCZKW</v>
      </c>
      <c r="B7038" t="s">
        <v>10</v>
      </c>
      <c r="C7038" t="s">
        <v>42</v>
      </c>
      <c r="D7038" t="str">
        <f>HYPERLINK("https://us2.cloudbeds.com/connect/10074733072513#/reservations/31672607256774?display=Spencer%20Allen&amp;reservation_id=31672607256774&amp;guest_id=31672607256771", "Spencer Allen")</f>
        <v>Spencer Allen</v>
      </c>
      <c r="E7038" t="s">
        <v>4709</v>
      </c>
      <c r="F7038" t="s">
        <v>4566</v>
      </c>
      <c r="G7038">
        <v>238</v>
      </c>
      <c r="H7038">
        <v>258.72000000000003</v>
      </c>
      <c r="I7038">
        <v>258.70999999999998</v>
      </c>
      <c r="J7038">
        <v>0.01</v>
      </c>
    </row>
    <row r="7039" spans="1:10" x14ac:dyDescent="0.3">
      <c r="A7039" t="str">
        <f>HYPERLINK("https://us2.cloudbeds.com/connect/10074733072513#/reservations/31671947231443?display=MH4WYRXPC&amp;reservation_id=31671947231443", "MH4WYRXPC")</f>
        <v>MH4WYRXPC</v>
      </c>
      <c r="B7039" t="s">
        <v>10</v>
      </c>
      <c r="C7039" t="s">
        <v>20</v>
      </c>
      <c r="D7039" t="str">
        <f>HYPERLINK("https://us2.cloudbeds.com/connect/10074733072513#/reservations/31671947231443?display=Alexis%20Konda&amp;reservation_id=31671947231443&amp;guest_id=31671937024187", "Alexis Konda")</f>
        <v>Alexis Konda</v>
      </c>
      <c r="E7039" t="s">
        <v>4710</v>
      </c>
      <c r="F7039" t="s">
        <v>4693</v>
      </c>
      <c r="G7039">
        <v>84.65</v>
      </c>
      <c r="H7039">
        <v>92.02</v>
      </c>
      <c r="I7039">
        <v>92.01</v>
      </c>
      <c r="J7039">
        <v>0.01</v>
      </c>
    </row>
    <row r="7040" spans="1:10" x14ac:dyDescent="0.3">
      <c r="A7040" t="str">
        <f>HYPERLINK("https://us2.cloudbeds.com/connect/10074733072513#/reservations/31672106426570?display=MH53Z2DF4&amp;reservation_id=31672106426570", "MH53Z2DF4")</f>
        <v>MH53Z2DF4</v>
      </c>
      <c r="B7040" t="s">
        <v>10</v>
      </c>
      <c r="C7040" t="s">
        <v>42</v>
      </c>
      <c r="D7040" t="str">
        <f>HYPERLINK("https://us2.cloudbeds.com/connect/10074733072513#/reservations/31672106426570?display=Matthew%20Stone&amp;reservation_id=31672106426570&amp;guest_id=31672106426567", "Matthew Stone")</f>
        <v>Matthew Stone</v>
      </c>
      <c r="E7040" t="s">
        <v>4711</v>
      </c>
      <c r="F7040" t="s">
        <v>4501</v>
      </c>
      <c r="G7040">
        <v>99</v>
      </c>
      <c r="H7040">
        <v>107.62</v>
      </c>
      <c r="I7040">
        <v>107.61</v>
      </c>
      <c r="J7040">
        <v>0.01</v>
      </c>
    </row>
    <row r="7041" spans="1:10" x14ac:dyDescent="0.3">
      <c r="A7041" t="str">
        <f>HYPERLINK("https://us2.cloudbeds.com/connect/10074733072513#/reservations/31672022237324?display=MH51J2NMS&amp;reservation_id=31672022237324", "MH51J2NMS")</f>
        <v>MH51J2NMS</v>
      </c>
      <c r="B7041" t="s">
        <v>10</v>
      </c>
      <c r="C7041" t="s">
        <v>11</v>
      </c>
      <c r="D7041" t="str">
        <f>HYPERLINK("https://us2.cloudbeds.com/connect/10074733072513#/reservations/31672022237324?display=Marlon%20Warner&amp;reservation_id=31672022237324&amp;guest_id=31672015712470", "Marlon Warner")</f>
        <v>Marlon Warner</v>
      </c>
      <c r="E7041" t="s">
        <v>4712</v>
      </c>
      <c r="F7041" t="s">
        <v>4693</v>
      </c>
      <c r="G7041">
        <v>62.56</v>
      </c>
      <c r="H7041">
        <v>68.010000000000005</v>
      </c>
      <c r="I7041">
        <v>68</v>
      </c>
      <c r="J7041">
        <v>0.01</v>
      </c>
    </row>
    <row r="7042" spans="1:10" x14ac:dyDescent="0.3">
      <c r="A7042" t="str">
        <f>HYPERLINK("https://us2.cloudbeds.com/connect/10074733072513#/reservations/31672031858903?display=MH51R6EUS&amp;reservation_id=31672031858903", "MH51R6EUS")</f>
        <v>MH51R6EUS</v>
      </c>
      <c r="B7042" t="s">
        <v>10</v>
      </c>
      <c r="C7042" t="s">
        <v>14</v>
      </c>
      <c r="D7042" t="str">
        <f>HYPERLINK("https://us2.cloudbeds.com/connect/10074733072513#/reservations/31672031858903?display=Mitchel%20Roemer&amp;reservation_id=31672031858903&amp;guest_id=31672022241418", "Mitchel Roemer")</f>
        <v>Mitchel Roemer</v>
      </c>
      <c r="E7042" t="s">
        <v>4714</v>
      </c>
      <c r="F7042" t="s">
        <v>4693</v>
      </c>
      <c r="G7042">
        <v>62.56</v>
      </c>
      <c r="H7042">
        <v>68.010000000000005</v>
      </c>
      <c r="I7042">
        <v>68</v>
      </c>
      <c r="J7042">
        <v>0.01</v>
      </c>
    </row>
    <row r="7043" spans="1:10" x14ac:dyDescent="0.3">
      <c r="A7043" t="str">
        <f>HYPERLINK("https://us2.cloudbeds.com/connect/10074733072513#/reservations/31672950849780?display=MH5PA3Z18&amp;reservation_id=31672950849780", "MH5PA3Z18")</f>
        <v>MH5PA3Z18</v>
      </c>
      <c r="B7043" t="s">
        <v>10</v>
      </c>
      <c r="C7043" t="s">
        <v>23</v>
      </c>
      <c r="D7043" t="str">
        <f>HYPERLINK("https://us2.cloudbeds.com/connect/10074733072513#/reservations/31672950849780?display=Kevin%20Vermeer&amp;reservation_id=31672950849780&amp;guest_id=31672944263331", "Kevin Vermeer")</f>
        <v>Kevin Vermeer</v>
      </c>
      <c r="E7043" t="s">
        <v>4716</v>
      </c>
      <c r="F7043" t="s">
        <v>4566</v>
      </c>
      <c r="G7043">
        <v>119</v>
      </c>
      <c r="H7043">
        <v>129.36000000000001</v>
      </c>
      <c r="I7043">
        <v>129.35</v>
      </c>
      <c r="J7043">
        <v>0.01</v>
      </c>
    </row>
    <row r="7044" spans="1:10" x14ac:dyDescent="0.3">
      <c r="A7044" t="str">
        <f>HYPERLINK("https://us2.cloudbeds.com/connect/10074733072513#/reservations/31671982088375?display=MH50X7GW1&amp;reservation_id=31671982088375", "MH50X7GW1")</f>
        <v>MH50X7GW1</v>
      </c>
      <c r="B7044" t="s">
        <v>10</v>
      </c>
      <c r="C7044" t="s">
        <v>14</v>
      </c>
      <c r="D7044" t="str">
        <f>HYPERLINK("https://us2.cloudbeds.com/connect/10074733072513#/reservations/31671982088375?display=Reginald%20Marshall&amp;reservation_id=31671982088375&amp;guest_id=31671982088364", "Reginald Marshall")</f>
        <v>Reginald Marshall</v>
      </c>
      <c r="E7044" t="s">
        <v>4718</v>
      </c>
      <c r="F7044" t="s">
        <v>4693</v>
      </c>
      <c r="G7044">
        <v>62.56</v>
      </c>
      <c r="H7044">
        <v>68.010000000000005</v>
      </c>
      <c r="I7044">
        <v>68</v>
      </c>
      <c r="J7044">
        <v>0.01</v>
      </c>
    </row>
    <row r="7045" spans="1:10" x14ac:dyDescent="0.3">
      <c r="A7045" t="str">
        <f>HYPERLINK("https://us2.cloudbeds.com/connect/10074733072513#/reservations/31672266330323?display=MH57QTVSD&amp;reservation_id=31672266330323", "MH57QTVSD")</f>
        <v>MH57QTVSD</v>
      </c>
      <c r="B7045" t="s">
        <v>10</v>
      </c>
      <c r="C7045" t="s">
        <v>42</v>
      </c>
      <c r="D7045" t="str">
        <f>HYPERLINK("https://us2.cloudbeds.com/connect/10074733072513#/reservations/31672266330323?display=Ryan%20Vanderslice&amp;reservation_id=31672266330323&amp;guest_id=31672266330321", "Ryan Vanderslice")</f>
        <v>Ryan Vanderslice</v>
      </c>
      <c r="E7045" t="s">
        <v>4719</v>
      </c>
      <c r="F7045" t="s">
        <v>4454</v>
      </c>
      <c r="G7045">
        <v>238</v>
      </c>
      <c r="H7045">
        <v>258.72000000000003</v>
      </c>
      <c r="I7045">
        <v>258.70999999999998</v>
      </c>
      <c r="J7045">
        <v>0.01</v>
      </c>
    </row>
    <row r="7046" spans="1:10" x14ac:dyDescent="0.3">
      <c r="A7046" t="str">
        <f>HYPERLINK("https://us2.cloudbeds.com/connect/10074733072513#/reservations/31672020717698?display=MH51HQE8J&amp;reservation_id=31672020717698", "MH51HQE8J")</f>
        <v>MH51HQE8J</v>
      </c>
      <c r="B7046" t="s">
        <v>10</v>
      </c>
      <c r="C7046" t="s">
        <v>121</v>
      </c>
      <c r="D7046" t="str">
        <f>HYPERLINK("https://us2.cloudbeds.com/connect/10074733072513#/reservations/31672020717698?display=Bart%20Lammers&amp;reservation_id=31672020717698&amp;guest_id=31672013951216", "Bart Lammers")</f>
        <v>Bart Lammers</v>
      </c>
      <c r="E7046" t="s">
        <v>4720</v>
      </c>
      <c r="F7046" t="s">
        <v>4501</v>
      </c>
      <c r="G7046">
        <v>99</v>
      </c>
      <c r="H7046">
        <v>107.62</v>
      </c>
      <c r="I7046">
        <v>107.61</v>
      </c>
      <c r="J7046">
        <v>0.01</v>
      </c>
    </row>
    <row r="7047" spans="1:10" x14ac:dyDescent="0.3">
      <c r="A7047" t="str">
        <f>HYPERLINK("https://us2.cloudbeds.com/connect/10074733072513#/reservations/31672296005768?display=MH58XUZ1A&amp;reservation_id=31672296005768", "MH58XUZ1A")</f>
        <v>MH58XUZ1A</v>
      </c>
      <c r="B7047" t="s">
        <v>10</v>
      </c>
      <c r="C7047" t="s">
        <v>42</v>
      </c>
      <c r="D7047" t="str">
        <f>HYPERLINK("https://us2.cloudbeds.com/connect/10074733072513#/reservations/31672296005768?display=Randall%20Mcclure&amp;reservation_id=31672296005768&amp;guest_id=30668500304081", "Randall Mcclure")</f>
        <v>Randall Mcclure</v>
      </c>
      <c r="E7047" t="s">
        <v>4721</v>
      </c>
      <c r="F7047" t="s">
        <v>4501</v>
      </c>
      <c r="G7047">
        <v>99</v>
      </c>
      <c r="H7047">
        <v>107.62</v>
      </c>
      <c r="I7047">
        <v>107.61</v>
      </c>
      <c r="J7047">
        <v>0.01</v>
      </c>
    </row>
    <row r="7048" spans="1:10" x14ac:dyDescent="0.3">
      <c r="A7048" t="str">
        <f>HYPERLINK("https://us2.cloudbeds.com/connect/10074733072513#/reservations/31672000692469?display=MH510U6KF&amp;reservation_id=31672000692469", "MH510U6KF")</f>
        <v>MH510U6KF</v>
      </c>
      <c r="B7048" t="s">
        <v>10</v>
      </c>
      <c r="C7048" t="s">
        <v>121</v>
      </c>
      <c r="D7048" t="str">
        <f>HYPERLINK("https://us2.cloudbeds.com/connect/10074733072513#/reservations/31672000692469?display=Joseph%20Henry&amp;reservation_id=31672000692469&amp;guest_id=31672000692417", "Joseph Henry")</f>
        <v>Joseph Henry</v>
      </c>
      <c r="E7048" t="s">
        <v>4724</v>
      </c>
      <c r="F7048" t="s">
        <v>4501</v>
      </c>
      <c r="G7048">
        <v>99</v>
      </c>
      <c r="H7048">
        <v>107.62</v>
      </c>
      <c r="I7048">
        <v>107.61</v>
      </c>
      <c r="J7048">
        <v>0.01</v>
      </c>
    </row>
    <row r="7049" spans="1:10" x14ac:dyDescent="0.3">
      <c r="A7049" t="str">
        <f>HYPERLINK("https://us2.cloudbeds.com/connect/10074733072513#/reservations/31672615637152?display=MH5GZEV3R&amp;reservation_id=31672615637152", "MH5GZEV3R")</f>
        <v>MH5GZEV3R</v>
      </c>
      <c r="B7049" t="s">
        <v>10</v>
      </c>
      <c r="C7049" t="s">
        <v>42</v>
      </c>
      <c r="D7049" t="str">
        <f>HYPERLINK("https://us2.cloudbeds.com/connect/10074733072513#/reservations/31672615637152?display=Joe%20Villarral&amp;reservation_id=31672615637152&amp;guest_id=31672615633061", "Joe Villarral")</f>
        <v>Joe Villarral</v>
      </c>
      <c r="E7049" t="s">
        <v>4727</v>
      </c>
      <c r="F7049" t="s">
        <v>4546</v>
      </c>
      <c r="G7049">
        <v>129</v>
      </c>
      <c r="H7049">
        <v>140.22999999999999</v>
      </c>
      <c r="I7049">
        <v>140.22</v>
      </c>
      <c r="J7049">
        <v>0.01</v>
      </c>
    </row>
    <row r="7050" spans="1:10" x14ac:dyDescent="0.3">
      <c r="A7050" t="str">
        <f>HYPERLINK("https://us2.cloudbeds.com/connect/10074733072513#/reservations/31672648085753?display=MH5HXQSQP&amp;reservation_id=31672648085753", "MH5HXQSQP")</f>
        <v>MH5HXQSQP</v>
      </c>
      <c r="B7050" t="s">
        <v>10</v>
      </c>
      <c r="C7050" t="s">
        <v>42</v>
      </c>
      <c r="D7050" t="str">
        <f>HYPERLINK("https://us2.cloudbeds.com/connect/10074733072513#/reservations/31672648085753?display=Sonya%20Simons&amp;reservation_id=31672648085753&amp;guest_id=31672641437858", "Sonya Simons")</f>
        <v>Sonya Simons</v>
      </c>
      <c r="E7050" t="s">
        <v>4728</v>
      </c>
      <c r="F7050" t="s">
        <v>4546</v>
      </c>
      <c r="G7050">
        <v>119</v>
      </c>
      <c r="H7050">
        <v>129.36000000000001</v>
      </c>
      <c r="I7050">
        <v>129.35</v>
      </c>
      <c r="J7050">
        <v>0.01</v>
      </c>
    </row>
    <row r="7051" spans="1:10" x14ac:dyDescent="0.3">
      <c r="A7051" t="str">
        <f>HYPERLINK("https://us2.cloudbeds.com/connect/10074733072513#/reservations/31672319611074?display=MH595RJ5K&amp;reservation_id=31672319611074", "MH595RJ5K")</f>
        <v>MH595RJ5K</v>
      </c>
      <c r="B7051" t="s">
        <v>10</v>
      </c>
      <c r="C7051" t="s">
        <v>14</v>
      </c>
      <c r="D7051" t="str">
        <f>HYPERLINK("https://us2.cloudbeds.com/connect/10074733072513#/reservations/31672319611074?display=Tenny%20Warwick&amp;reservation_id=31672319611074&amp;guest_id=31672311644321", "Tenny Warwick")</f>
        <v>Tenny Warwick</v>
      </c>
      <c r="E7051" t="s">
        <v>4729</v>
      </c>
      <c r="F7051" t="s">
        <v>4501</v>
      </c>
      <c r="G7051">
        <v>62.56</v>
      </c>
      <c r="H7051">
        <v>68.010000000000005</v>
      </c>
      <c r="I7051">
        <v>68</v>
      </c>
      <c r="J7051">
        <v>0.01</v>
      </c>
    </row>
    <row r="7052" spans="1:10" x14ac:dyDescent="0.3">
      <c r="A7052" t="str">
        <f>HYPERLINK("https://us2.cloudbeds.com/connect/10074733072513#/reservations/31672165503151?display=MH557T9UX&amp;reservation_id=31672165503151", "MH557T9UX")</f>
        <v>MH557T9UX</v>
      </c>
      <c r="B7052" t="s">
        <v>10</v>
      </c>
      <c r="C7052" t="s">
        <v>42</v>
      </c>
      <c r="D7052" t="str">
        <f>HYPERLINK("https://us2.cloudbeds.com/connect/10074733072513#/reservations/31672165503151?display=Jessica%20Sargent&amp;reservation_id=31672165503151&amp;guest_id=31672156786903", "Jessica Sargent")</f>
        <v>Jessica Sargent</v>
      </c>
      <c r="E7052" t="s">
        <v>4731</v>
      </c>
      <c r="F7052" t="s">
        <v>4562</v>
      </c>
      <c r="G7052">
        <v>109</v>
      </c>
      <c r="H7052">
        <v>118.49</v>
      </c>
      <c r="I7052">
        <v>118.48</v>
      </c>
      <c r="J7052">
        <v>0.01</v>
      </c>
    </row>
    <row r="7053" spans="1:10" x14ac:dyDescent="0.3">
      <c r="A7053" t="str">
        <f>HYPERLINK("https://us2.cloudbeds.com/connect/10074733072513#/reservations/31672384364757?display=MH5AREEPE&amp;reservation_id=31672384364757", "MH5AREEPE")</f>
        <v>MH5AREEPE</v>
      </c>
      <c r="B7053" t="s">
        <v>10</v>
      </c>
      <c r="C7053" t="s">
        <v>42</v>
      </c>
      <c r="D7053" t="str">
        <f>HYPERLINK("https://us2.cloudbeds.com/connect/10074733072513#/reservations/31672384364757?display=Jennifer%20Volkmer&amp;reservation_id=31672384364757&amp;guest_id=31672378548414", "Jennifer Volkmer")</f>
        <v>Jennifer Volkmer</v>
      </c>
      <c r="E7053" t="s">
        <v>4734</v>
      </c>
      <c r="F7053" t="s">
        <v>4454</v>
      </c>
      <c r="G7053">
        <v>119</v>
      </c>
      <c r="H7053">
        <v>129.36000000000001</v>
      </c>
      <c r="I7053">
        <v>129.35</v>
      </c>
      <c r="J7053">
        <v>0.01</v>
      </c>
    </row>
    <row r="7054" spans="1:10" x14ac:dyDescent="0.3">
      <c r="A7054" t="str">
        <f>HYPERLINK("https://us2.cloudbeds.com/connect/10074733072513#/reservations/31672378548353?display=MH5AMHJNP&amp;reservation_id=31672378548353", "MH5AMHJNP")</f>
        <v>MH5AMHJNP</v>
      </c>
      <c r="B7054" t="s">
        <v>10</v>
      </c>
      <c r="C7054" t="s">
        <v>42</v>
      </c>
      <c r="D7054" t="str">
        <f>HYPERLINK("https://us2.cloudbeds.com/connect/10074733072513#/reservations/31672378548353?display=Debra%20Wiesen&amp;reservation_id=31672378548353&amp;guest_id=31672369135849", "Debra Wiesen")</f>
        <v>Debra Wiesen</v>
      </c>
      <c r="E7054" t="s">
        <v>4735</v>
      </c>
      <c r="F7054" t="s">
        <v>4454</v>
      </c>
      <c r="G7054">
        <v>119</v>
      </c>
      <c r="H7054">
        <v>129.36000000000001</v>
      </c>
      <c r="I7054">
        <v>129.35</v>
      </c>
      <c r="J7054">
        <v>0.01</v>
      </c>
    </row>
    <row r="7055" spans="1:10" x14ac:dyDescent="0.3">
      <c r="A7055" t="str">
        <f>HYPERLINK("https://us2.cloudbeds.com/connect/10074733072513#/reservations/31672673992896?display=MH5X7YYVH&amp;reservation_id=31672673992896", "MH5X7YYVH")</f>
        <v>MH5X7YYVH</v>
      </c>
      <c r="B7055" t="s">
        <v>10</v>
      </c>
      <c r="C7055" t="s">
        <v>121</v>
      </c>
      <c r="D7055" t="str">
        <f>HYPERLINK("https://us2.cloudbeds.com/connect/10074733072513#/reservations/31672673992896?display=Amanda%20Kumlein&amp;reservation_id=31672673992896&amp;guest_id=31672673988862", "Amanda Kumlein")</f>
        <v>Amanda Kumlein</v>
      </c>
      <c r="E7055" t="s">
        <v>4736</v>
      </c>
      <c r="F7055" t="s">
        <v>4454</v>
      </c>
      <c r="G7055">
        <v>119</v>
      </c>
      <c r="H7055">
        <v>129.36000000000001</v>
      </c>
      <c r="I7055">
        <v>129.35</v>
      </c>
      <c r="J7055">
        <v>0.01</v>
      </c>
    </row>
    <row r="7056" spans="1:10" x14ac:dyDescent="0.3">
      <c r="A7056" t="str">
        <f>HYPERLINK("https://us2.cloudbeds.com/connect/10074733072513#/reservations/31672328896656?display=MH59DYVST&amp;reservation_id=31672328896656", "MH59DYVST")</f>
        <v>MH59DYVST</v>
      </c>
      <c r="B7056" t="s">
        <v>10</v>
      </c>
      <c r="C7056" t="s">
        <v>121</v>
      </c>
      <c r="D7056" t="str">
        <f>HYPERLINK("https://us2.cloudbeds.com/connect/10074733072513#/reservations/31672328896656?display=Aaron%20Roberts&amp;reservation_id=31672328896656&amp;guest_id=31672319615168", "Aaron Roberts")</f>
        <v>Aaron Roberts</v>
      </c>
      <c r="E7056" t="s">
        <v>4738</v>
      </c>
      <c r="F7056" t="s">
        <v>4546</v>
      </c>
      <c r="G7056">
        <v>99</v>
      </c>
      <c r="H7056">
        <v>107.62</v>
      </c>
      <c r="I7056">
        <v>107.61</v>
      </c>
      <c r="J7056">
        <v>0.01</v>
      </c>
    </row>
    <row r="7057" spans="1:10" x14ac:dyDescent="0.3">
      <c r="A7057" t="str">
        <f>HYPERLINK("https://us2.cloudbeds.com/connect/10074733072513#/reservations/31672559988952?display=MH5FAHERZ&amp;reservation_id=31672559988952", "MH5FAHERZ")</f>
        <v>MH5FAHERZ</v>
      </c>
      <c r="B7057" t="s">
        <v>10</v>
      </c>
      <c r="C7057" t="s">
        <v>42</v>
      </c>
      <c r="D7057" t="str">
        <f>HYPERLINK("https://us2.cloudbeds.com/connect/10074733072513#/reservations/31672559988952?display=Tracy%20Anton&amp;reservation_id=31672559988952&amp;guest_id=31672559988950", "Tracy Anton")</f>
        <v>Tracy Anton</v>
      </c>
      <c r="E7057" t="s">
        <v>4739</v>
      </c>
      <c r="F7057" t="s">
        <v>4566</v>
      </c>
      <c r="G7057">
        <v>129</v>
      </c>
      <c r="H7057">
        <v>140.22999999999999</v>
      </c>
      <c r="I7057">
        <v>140.22</v>
      </c>
      <c r="J7057">
        <v>0.01</v>
      </c>
    </row>
    <row r="7058" spans="1:10" x14ac:dyDescent="0.3">
      <c r="A7058" t="str">
        <f>HYPERLINK("https://us2.cloudbeds.com/connect/10074733072513#/reservations/31672418083005?display=MH5BMSNBH&amp;reservation_id=31672418083005", "MH5BMSNBH")</f>
        <v>MH5BMSNBH</v>
      </c>
      <c r="B7058" t="s">
        <v>10</v>
      </c>
      <c r="C7058" t="s">
        <v>121</v>
      </c>
      <c r="D7058" t="str">
        <f>HYPERLINK("https://us2.cloudbeds.com/connect/10074733072513#/reservations/31672418083005?display=Milan%20Stojsavljevig&amp;reservation_id=31672418083005&amp;guest_id=31672418082990", "Milan Stojsavljevig")</f>
        <v>Milan Stojsavljevig</v>
      </c>
      <c r="E7058" t="s">
        <v>4741</v>
      </c>
      <c r="F7058" t="s">
        <v>4742</v>
      </c>
      <c r="G7058">
        <v>109</v>
      </c>
      <c r="H7058">
        <v>118.49</v>
      </c>
      <c r="I7058">
        <v>118.48</v>
      </c>
      <c r="J7058">
        <v>0.01</v>
      </c>
    </row>
    <row r="7059" spans="1:10" x14ac:dyDescent="0.3">
      <c r="A7059" t="str">
        <f>HYPERLINK("https://us2.cloudbeds.com/connect/10074733072513#/reservations/31672116342933?display=MH53WEBCW&amp;reservation_id=31672116342933", "MH53WEBCW")</f>
        <v>MH53WEBCW</v>
      </c>
      <c r="B7059" t="s">
        <v>10</v>
      </c>
      <c r="C7059" t="s">
        <v>11</v>
      </c>
      <c r="D7059" t="str">
        <f>HYPERLINK("https://us2.cloudbeds.com/connect/10074733072513#/reservations/31672116342933?display=Martin%20Hood&amp;reservation_id=31672116342933&amp;guest_id=31672106426568", "Martin Hood")</f>
        <v>Martin Hood</v>
      </c>
      <c r="E7059" t="s">
        <v>4744</v>
      </c>
      <c r="F7059" t="s">
        <v>4636</v>
      </c>
      <c r="G7059">
        <v>231.92</v>
      </c>
      <c r="H7059">
        <v>252.11</v>
      </c>
      <c r="I7059">
        <v>252.1</v>
      </c>
      <c r="J7059">
        <v>0.01</v>
      </c>
    </row>
    <row r="7060" spans="1:10" x14ac:dyDescent="0.3">
      <c r="A7060" t="str">
        <f>HYPERLINK("https://us2.cloudbeds.com/connect/10074733072513#/reservations/31672408031465?display=MH5BED09D&amp;reservation_id=31672408031465", "MH5BED09D")</f>
        <v>MH5BED09D</v>
      </c>
      <c r="B7060" t="s">
        <v>10</v>
      </c>
      <c r="C7060" t="s">
        <v>121</v>
      </c>
      <c r="D7060" t="str">
        <f>HYPERLINK("https://us2.cloudbeds.com/connect/10074733072513#/reservations/31672408031465?display=Barbara%20Shiell&amp;reservation_id=31672408031465&amp;guest_id=31672408031454", "Barbara Shiell")</f>
        <v>Barbara Shiell</v>
      </c>
      <c r="E7060" t="s">
        <v>862</v>
      </c>
      <c r="F7060" t="s">
        <v>4742</v>
      </c>
      <c r="G7060">
        <v>109</v>
      </c>
      <c r="H7060">
        <v>118.49</v>
      </c>
      <c r="I7060">
        <v>118.48</v>
      </c>
      <c r="J7060">
        <v>0.01</v>
      </c>
    </row>
    <row r="7061" spans="1:10" x14ac:dyDescent="0.3">
      <c r="A7061" t="str">
        <f>HYPERLINK("https://us2.cloudbeds.com/connect/10074733072513#/reservations/31672800882918?display=MH5YFYMDT&amp;reservation_id=31672800882918", "MH5YFYMDT")</f>
        <v>MH5YFYMDT</v>
      </c>
      <c r="B7061" t="s">
        <v>10</v>
      </c>
      <c r="C7061" t="s">
        <v>42</v>
      </c>
      <c r="D7061" t="str">
        <f>HYPERLINK("https://us2.cloudbeds.com/connect/10074733072513#/reservations/31672800882918?display=Nicholas%20Hill&amp;reservation_id=31672800882918&amp;guest_id=31672496107762", "Nicholas Hill")</f>
        <v>Nicholas Hill</v>
      </c>
      <c r="E7061" t="s">
        <v>4748</v>
      </c>
      <c r="F7061" t="s">
        <v>4747</v>
      </c>
      <c r="G7061">
        <v>73</v>
      </c>
      <c r="H7061">
        <v>79.36</v>
      </c>
      <c r="I7061">
        <v>79.349999999999994</v>
      </c>
      <c r="J7061">
        <v>0.01</v>
      </c>
    </row>
    <row r="7062" spans="1:10" x14ac:dyDescent="0.3">
      <c r="A7062" t="str">
        <f>HYPERLINK("https://us2.cloudbeds.com/connect/10074733072513#/reservations/31672794808460?display=MH5YAHYDD&amp;reservation_id=31672794808460", "MH5YAHYDD")</f>
        <v>MH5YAHYDD</v>
      </c>
      <c r="B7062" t="s">
        <v>10</v>
      </c>
      <c r="C7062" t="s">
        <v>42</v>
      </c>
      <c r="D7062" t="str">
        <f>HYPERLINK("https://us2.cloudbeds.com/connect/10074733072513#/reservations/31672794808460?display=Robert%20Manzo&amp;reservation_id=31672794808460&amp;guest_id=31672794804364", "Robert Manzo")</f>
        <v>Robert Manzo</v>
      </c>
      <c r="E7062" t="s">
        <v>4753</v>
      </c>
      <c r="F7062" t="s">
        <v>4742</v>
      </c>
      <c r="G7062">
        <v>109</v>
      </c>
      <c r="H7062">
        <v>118.49</v>
      </c>
      <c r="I7062">
        <v>118.48</v>
      </c>
      <c r="J7062">
        <v>0.01</v>
      </c>
    </row>
    <row r="7063" spans="1:10" x14ac:dyDescent="0.3">
      <c r="A7063" t="str">
        <f>HYPERLINK("https://us2.cloudbeds.com/connect/10074733072513#/reservations/31671723810961?display=MH4QVEXKZ&amp;reservation_id=31671723810961", "MH4QVEXKZ")</f>
        <v>MH4QVEXKZ</v>
      </c>
      <c r="B7063" t="s">
        <v>10</v>
      </c>
      <c r="C7063" t="s">
        <v>42</v>
      </c>
      <c r="D7063" t="str">
        <f>HYPERLINK("https://us2.cloudbeds.com/connect/10074733072513#/reservations/31671723810961?display=Eric%20Kooima&amp;reservation_id=31671723810961&amp;guest_id=31671723810956", "Eric Kooima")</f>
        <v>Eric Kooima</v>
      </c>
      <c r="E7063" t="s">
        <v>4754</v>
      </c>
      <c r="F7063" t="s">
        <v>4526</v>
      </c>
      <c r="G7063">
        <v>119</v>
      </c>
      <c r="H7063">
        <v>129.36000000000001</v>
      </c>
      <c r="I7063">
        <v>129.35</v>
      </c>
      <c r="J7063">
        <v>0.01</v>
      </c>
    </row>
    <row r="7064" spans="1:10" x14ac:dyDescent="0.3">
      <c r="A7064" t="str">
        <f>HYPERLINK("https://us2.cloudbeds.com/connect/10074733072513#/reservations/31672438689920?display=MH5C780EA&amp;reservation_id=31672438689920", "MH5C780EA")</f>
        <v>MH5C780EA</v>
      </c>
      <c r="B7064" t="s">
        <v>10</v>
      </c>
      <c r="C7064" t="s">
        <v>17</v>
      </c>
      <c r="D7064" t="str">
        <f>HYPERLINK("https://us2.cloudbeds.com/connect/10074733072513#/reservations/31672438689920?display=Rose%20Feltz&amp;reservation_id=31672438689920&amp;guest_id=31672438685873", "Rose Feltz")</f>
        <v>Rose Feltz</v>
      </c>
      <c r="E7064" t="s">
        <v>4755</v>
      </c>
      <c r="F7064" t="s">
        <v>4689</v>
      </c>
      <c r="G7064">
        <v>321.3</v>
      </c>
      <c r="H7064">
        <v>349.26</v>
      </c>
      <c r="I7064">
        <v>349.25</v>
      </c>
      <c r="J7064">
        <v>0.01</v>
      </c>
    </row>
    <row r="7065" spans="1:10" x14ac:dyDescent="0.3">
      <c r="A7065" t="str">
        <f>HYPERLINK("https://us2.cloudbeds.com/connect/10074733072513#/reservations/31673369772258?display=MH630BSGQ&amp;reservation_id=31673369772258", "MH630BSGQ")</f>
        <v>MH630BSGQ</v>
      </c>
      <c r="B7065" t="s">
        <v>10</v>
      </c>
      <c r="C7065" t="s">
        <v>42</v>
      </c>
      <c r="D7065" t="str">
        <f>HYPERLINK("https://us2.cloudbeds.com/connect/10074733072513#/reservations/31673369772258?display=Danny%20And%20Linda%20Ayers&amp;reservation_id=31673369772258&amp;guest_id=31673361617032", "Danny And Linda Ayers")</f>
        <v>Danny And Linda Ayers</v>
      </c>
      <c r="E7065" t="s">
        <v>4757</v>
      </c>
      <c r="F7065" t="s">
        <v>4300</v>
      </c>
      <c r="G7065">
        <v>258</v>
      </c>
      <c r="H7065">
        <v>280.45999999999998</v>
      </c>
      <c r="I7065">
        <v>280.45</v>
      </c>
      <c r="J7065">
        <v>0.01</v>
      </c>
    </row>
    <row r="7066" spans="1:10" x14ac:dyDescent="0.3">
      <c r="A7066" t="str">
        <f>HYPERLINK("https://us2.cloudbeds.com/connect/10074733072513#/reservations/31673014644942?display=MH5QUTUEW&amp;reservation_id=31673014644942", "MH5QUTUEW")</f>
        <v>MH5QUTUEW</v>
      </c>
      <c r="B7066" t="s">
        <v>10</v>
      </c>
      <c r="C7066" t="s">
        <v>42</v>
      </c>
      <c r="D7066" t="str">
        <f>HYPERLINK("https://us2.cloudbeds.com/connect/10074733072513#/reservations/31673014644942?display=Justin%20Weatherford&amp;reservation_id=31673014644942&amp;guest_id=31673010344099", "Justin Weatherford")</f>
        <v>Justin Weatherford</v>
      </c>
      <c r="E7066" t="s">
        <v>4759</v>
      </c>
      <c r="F7066" t="s">
        <v>4660</v>
      </c>
      <c r="G7066">
        <v>99</v>
      </c>
      <c r="H7066">
        <v>107.62</v>
      </c>
      <c r="I7066">
        <v>107.61</v>
      </c>
      <c r="J7066">
        <v>0.01</v>
      </c>
    </row>
    <row r="7067" spans="1:10" x14ac:dyDescent="0.3">
      <c r="A7067" t="str">
        <f>HYPERLINK("https://us2.cloudbeds.com/connect/10074733072513#/reservations/31672944259227?display=MH5P4XB3G&amp;reservation_id=31672944259227", "MH5P4XB3G")</f>
        <v>MH5P4XB3G</v>
      </c>
      <c r="B7067" t="s">
        <v>10</v>
      </c>
      <c r="C7067" t="s">
        <v>23</v>
      </c>
      <c r="D7067" t="str">
        <f>HYPERLINK("https://us2.cloudbeds.com/connect/10074733072513#/reservations/31672944259227?display=Trevor%20Lease&amp;reservation_id=31672944259227&amp;guest_id=31672937533582", "Trevor Lease")</f>
        <v>Trevor Lease</v>
      </c>
      <c r="E7067" t="s">
        <v>4764</v>
      </c>
      <c r="F7067" t="s">
        <v>4566</v>
      </c>
      <c r="G7067">
        <v>159</v>
      </c>
      <c r="H7067">
        <v>172.84</v>
      </c>
      <c r="I7067">
        <v>172.83</v>
      </c>
      <c r="J7067">
        <v>0.01</v>
      </c>
    </row>
    <row r="7068" spans="1:10" x14ac:dyDescent="0.3">
      <c r="A7068" t="str">
        <f>HYPERLINK("https://us2.cloudbeds.com/connect/10074733072513#/reservations/31672311644323?display=MH58W3TGU&amp;reservation_id=31672311644323", "MH58W3TGU")</f>
        <v>MH58W3TGU</v>
      </c>
      <c r="B7068" t="s">
        <v>10</v>
      </c>
      <c r="C7068" t="s">
        <v>42</v>
      </c>
      <c r="D7068" t="str">
        <f>HYPERLINK("https://us2.cloudbeds.com/connect/10074733072513#/reservations/31672311644323?display=Liz%20Rhodes&amp;reservation_id=31672311644323&amp;guest_id=31672311644311", "Liz Rhodes")</f>
        <v>Liz Rhodes</v>
      </c>
      <c r="E7068" t="s">
        <v>4765</v>
      </c>
      <c r="F7068" t="s">
        <v>4766</v>
      </c>
      <c r="G7068">
        <v>321.3</v>
      </c>
      <c r="H7068">
        <v>349.26</v>
      </c>
      <c r="I7068">
        <v>349.25</v>
      </c>
      <c r="J7068">
        <v>0.01</v>
      </c>
    </row>
    <row r="7069" spans="1:10" x14ac:dyDescent="0.3">
      <c r="A7069" t="str">
        <f>HYPERLINK("https://us2.cloudbeds.com/connect/10074733072513#/reservations/31672976543914?display=MH5PVPN9C&amp;reservation_id=31672976543914", "MH5PVPN9C")</f>
        <v>MH5PVPN9C</v>
      </c>
      <c r="B7069" t="s">
        <v>10</v>
      </c>
      <c r="C7069" t="s">
        <v>20</v>
      </c>
      <c r="D7069" t="str">
        <f>HYPERLINK("https://us2.cloudbeds.com/connect/10074733072513#/reservations/31672976543914?display=Jordon%20Collier&amp;reservation_id=31672976543914&amp;guest_id=31672969691344", "Jordon Collier")</f>
        <v>Jordon Collier</v>
      </c>
      <c r="E7069" t="s">
        <v>4768</v>
      </c>
      <c r="F7069" t="s">
        <v>4660</v>
      </c>
      <c r="G7069">
        <v>79.94</v>
      </c>
      <c r="H7069">
        <v>86.9</v>
      </c>
      <c r="I7069">
        <v>86.89</v>
      </c>
      <c r="J7069">
        <v>0.01</v>
      </c>
    </row>
    <row r="7070" spans="1:10" x14ac:dyDescent="0.3">
      <c r="A7070" t="str">
        <f>HYPERLINK("https://us2.cloudbeds.com/connect/10074733072513#/reservations/31671778922731?display=MH4SBU4AC&amp;reservation_id=31671778922731", "MH4SBU4AC")</f>
        <v>MH4SBU4AC</v>
      </c>
      <c r="B7070" t="s">
        <v>10</v>
      </c>
      <c r="C7070" t="s">
        <v>11</v>
      </c>
      <c r="D7070" t="str">
        <f>HYPERLINK("https://us2.cloudbeds.com/connect/10074733072513#/reservations/31671778922731?display=Arthur%20E%20Smith&amp;reservation_id=31671778922731&amp;guest_id=31671778922717", "Arthur E Smith")</f>
        <v>Arthur E Smith</v>
      </c>
      <c r="E7070" t="s">
        <v>4770</v>
      </c>
      <c r="F7070" t="s">
        <v>4526</v>
      </c>
      <c r="G7070">
        <v>87.84</v>
      </c>
      <c r="H7070">
        <v>95.49</v>
      </c>
      <c r="I7070">
        <v>95.48</v>
      </c>
      <c r="J7070">
        <v>0.01</v>
      </c>
    </row>
    <row r="7071" spans="1:10" x14ac:dyDescent="0.3">
      <c r="A7071" t="str">
        <f>HYPERLINK("https://us2.cloudbeds.com/connect/10074733072513#/reservations/31672080220412?display=MH531W614&amp;reservation_id=31672080220412", "MH531W614")</f>
        <v>MH531W614</v>
      </c>
      <c r="B7071" t="s">
        <v>10</v>
      </c>
      <c r="C7071" t="s">
        <v>121</v>
      </c>
      <c r="D7071" t="str">
        <f>HYPERLINK("https://us2.cloudbeds.com/connect/10074733072513#/reservations/31672080220412?display=April%20Kolb&amp;reservation_id=31672080220412&amp;guest_id=31672080220407", "April Kolb")</f>
        <v>April Kolb</v>
      </c>
      <c r="E7071" t="s">
        <v>4773</v>
      </c>
      <c r="F7071" t="s">
        <v>4562</v>
      </c>
      <c r="G7071">
        <v>109</v>
      </c>
      <c r="H7071">
        <v>118.49</v>
      </c>
      <c r="I7071">
        <v>118.48</v>
      </c>
      <c r="J7071">
        <v>0.01</v>
      </c>
    </row>
    <row r="7072" spans="1:10" x14ac:dyDescent="0.3">
      <c r="A7072" t="str">
        <f>HYPERLINK("https://us2.cloudbeds.com/connect/10074733072513#/reservations/31673686876290?display=MH6B3ZZPT&amp;reservation_id=31673686876290", "MH6B3ZZPT")</f>
        <v>MH6B3ZZPT</v>
      </c>
      <c r="B7072" t="s">
        <v>10</v>
      </c>
      <c r="C7072" t="s">
        <v>42</v>
      </c>
      <c r="D7072" t="str">
        <f>HYPERLINK("https://us2.cloudbeds.com/connect/10074733072513#/reservations/31673686876290?display=James%20Waldrop&amp;reservation_id=31673686876290&amp;guest_id=31673675112672", "James Waldrop")</f>
        <v>James Waldrop</v>
      </c>
      <c r="E7072" t="s">
        <v>4776</v>
      </c>
      <c r="F7072" t="s">
        <v>4777</v>
      </c>
      <c r="G7072">
        <v>376</v>
      </c>
      <c r="H7072">
        <v>408.72</v>
      </c>
      <c r="I7072">
        <v>408.71</v>
      </c>
      <c r="J7072">
        <v>0.01</v>
      </c>
    </row>
    <row r="7073" spans="1:10" x14ac:dyDescent="0.3">
      <c r="A7073" t="str">
        <f>HYPERLINK("https://us2.cloudbeds.com/connect/10074733072513#/reservations/31672519258260?display=MH5E961UB&amp;reservation_id=31672519258260", "MH5E961UB")</f>
        <v>MH5E961UB</v>
      </c>
      <c r="B7073" t="s">
        <v>10</v>
      </c>
      <c r="C7073" t="s">
        <v>42</v>
      </c>
      <c r="D7073" t="str">
        <f>HYPERLINK("https://us2.cloudbeds.com/connect/10074733072513#/reservations/31672519258260?display=Adin%20Yoon&amp;reservation_id=31672519258260&amp;guest_id=31672519258245", "Adin Yoon")</f>
        <v>Adin Yoon</v>
      </c>
      <c r="E7073" t="s">
        <v>4778</v>
      </c>
      <c r="F7073" t="s">
        <v>4566</v>
      </c>
      <c r="G7073">
        <v>258</v>
      </c>
      <c r="H7073">
        <v>280.45999999999998</v>
      </c>
      <c r="I7073">
        <v>280.45</v>
      </c>
      <c r="J7073">
        <v>0.01</v>
      </c>
    </row>
    <row r="7074" spans="1:10" x14ac:dyDescent="0.3">
      <c r="A7074" t="str">
        <f>HYPERLINK("https://us2.cloudbeds.com/connect/10074733072513#/reservations/31672397414560?display=MH5B5EJ1W&amp;reservation_id=31672397414560", "MH5B5EJ1W")</f>
        <v>MH5B5EJ1W</v>
      </c>
      <c r="B7074" t="s">
        <v>10</v>
      </c>
      <c r="C7074" t="s">
        <v>11</v>
      </c>
      <c r="D7074" t="str">
        <f>HYPERLINK("https://us2.cloudbeds.com/connect/10074733072513#/reservations/31672397414560?display=Gabrielle%20Glazer&amp;reservation_id=31672397414560&amp;guest_id=31672397410467", "Gabrielle Glazer")</f>
        <v>Gabrielle Glazer</v>
      </c>
      <c r="E7074" t="s">
        <v>4779</v>
      </c>
      <c r="F7074" t="s">
        <v>4562</v>
      </c>
      <c r="G7074">
        <v>77.5</v>
      </c>
      <c r="H7074">
        <v>84.25</v>
      </c>
      <c r="I7074">
        <v>84.24</v>
      </c>
      <c r="J7074">
        <v>0.01</v>
      </c>
    </row>
    <row r="7075" spans="1:10" x14ac:dyDescent="0.3">
      <c r="A7075" t="str">
        <f>HYPERLINK("https://us2.cloudbeds.com/connect/10074733072513#/reservations/31673023156383?display=MH5R52P9E&amp;reservation_id=31673023156383", "MH5R52P9E")</f>
        <v>MH5R52P9E</v>
      </c>
      <c r="B7075" t="s">
        <v>10</v>
      </c>
      <c r="C7075" t="s">
        <v>23</v>
      </c>
      <c r="D7075" t="str">
        <f>HYPERLINK("https://us2.cloudbeds.com/connect/10074733072513#/reservations/31673023156383?display=John%20Kerr&amp;reservation_id=31673023156383&amp;guest_id=31673023156378", "John Kerr")</f>
        <v>John Kerr</v>
      </c>
      <c r="E7075" t="s">
        <v>4781</v>
      </c>
      <c r="F7075" t="s">
        <v>4499</v>
      </c>
      <c r="G7075">
        <v>119</v>
      </c>
      <c r="H7075">
        <v>129.36000000000001</v>
      </c>
      <c r="I7075">
        <v>129.35</v>
      </c>
      <c r="J7075">
        <v>0.01</v>
      </c>
    </row>
    <row r="7076" spans="1:10" x14ac:dyDescent="0.3">
      <c r="A7076" t="str">
        <f>HYPERLINK("https://us2.cloudbeds.com/connect/10074733072513#/reservations/31672481915011?display=MH5DAMUJZ&amp;reservation_id=31672481915011", "MH5DAMUJZ")</f>
        <v>MH5DAMUJZ</v>
      </c>
      <c r="B7076" t="s">
        <v>10</v>
      </c>
      <c r="C7076" t="s">
        <v>23</v>
      </c>
      <c r="D7076" t="str">
        <f>HYPERLINK("https://us2.cloudbeds.com/connect/10074733072513#/reservations/31672481915011?display=Dustin%20Boll&amp;reservation_id=31672481915011&amp;guest_id=31672475300011", "Dustin Boll")</f>
        <v>Dustin Boll</v>
      </c>
      <c r="E7076" t="s">
        <v>4782</v>
      </c>
      <c r="F7076" t="s">
        <v>4751</v>
      </c>
      <c r="G7076">
        <v>139</v>
      </c>
      <c r="H7076">
        <v>151.1</v>
      </c>
      <c r="I7076">
        <v>151.09</v>
      </c>
      <c r="J7076">
        <v>0.01</v>
      </c>
    </row>
    <row r="7077" spans="1:10" x14ac:dyDescent="0.3">
      <c r="A7077" t="str">
        <f>HYPERLINK("https://us2.cloudbeds.com/connect/10074733072513#/reservations/31672385458380?display=MH5ASBT0H&amp;reservation_id=31672385458380", "MH5ASBT0H")</f>
        <v>MH5ASBT0H</v>
      </c>
      <c r="B7077" t="s">
        <v>10</v>
      </c>
      <c r="C7077" t="s">
        <v>42</v>
      </c>
      <c r="D7077" t="str">
        <f>HYPERLINK("https://us2.cloudbeds.com/connect/10074733072513#/reservations/31672385458380?display=Stephan%20Liljenquist&amp;reservation_id=31672385458380&amp;guest_id=31672385458378", "Stephan Liljenquist")</f>
        <v>Stephan Liljenquist</v>
      </c>
      <c r="E7077" t="s">
        <v>4783</v>
      </c>
      <c r="F7077" t="s">
        <v>4636</v>
      </c>
      <c r="G7077">
        <v>149</v>
      </c>
      <c r="H7077">
        <v>161.97</v>
      </c>
      <c r="I7077">
        <v>161.96</v>
      </c>
      <c r="J7077">
        <v>0.01</v>
      </c>
    </row>
    <row r="7078" spans="1:10" x14ac:dyDescent="0.3">
      <c r="A7078" t="str">
        <f>HYPERLINK("https://us2.cloudbeds.com/connect/10074733072513#/reservations/31674213863638?display=MH6ZJ3VCF&amp;reservation_id=31674213863638", "MH6ZJ3VCF")</f>
        <v>MH6ZJ3VCF</v>
      </c>
      <c r="B7078" t="s">
        <v>10</v>
      </c>
      <c r="C7078" t="s">
        <v>42</v>
      </c>
      <c r="D7078" t="str">
        <f>HYPERLINK("https://us2.cloudbeds.com/connect/10074733072513#/reservations/31674213863638?display=Twila%20Dykstra&amp;reservation_id=31674213863638&amp;guest_id=31674209648828", "Twila Dykstra")</f>
        <v>Twila Dykstra</v>
      </c>
      <c r="E7078" t="s">
        <v>4145</v>
      </c>
      <c r="F7078" t="s">
        <v>4141</v>
      </c>
      <c r="G7078">
        <v>278</v>
      </c>
      <c r="H7078">
        <v>302.2</v>
      </c>
      <c r="I7078">
        <v>302.19</v>
      </c>
      <c r="J7078">
        <v>0.01</v>
      </c>
    </row>
    <row r="7079" spans="1:10" x14ac:dyDescent="0.3">
      <c r="A7079" t="str">
        <f>HYPERLINK("https://us2.cloudbeds.com/connect/10074733072513#/reservations/31672477425916?display=MH5D6U0CX&amp;reservation_id=31672477425916", "MH5D6U0CX")</f>
        <v>MH5D6U0CX</v>
      </c>
      <c r="B7079" t="s">
        <v>10</v>
      </c>
      <c r="C7079" t="s">
        <v>11</v>
      </c>
      <c r="D7079" t="str">
        <f>HYPERLINK("https://us2.cloudbeds.com/connect/10074733072513#/reservations/31672477425916?display=Natalee%20Chapin&amp;reservation_id=31672477425916&amp;guest_id=31672477425862", "Natalee Chapin")</f>
        <v>Natalee Chapin</v>
      </c>
      <c r="E7079" t="s">
        <v>4785</v>
      </c>
      <c r="F7079" t="s">
        <v>4689</v>
      </c>
      <c r="G7079">
        <v>182</v>
      </c>
      <c r="H7079">
        <v>197.84</v>
      </c>
      <c r="I7079">
        <v>197.83</v>
      </c>
      <c r="J7079">
        <v>0.01</v>
      </c>
    </row>
    <row r="7080" spans="1:10" x14ac:dyDescent="0.3">
      <c r="A7080" t="str">
        <f>HYPERLINK("https://us2.cloudbeds.com/connect/10074733072513#/reservations/31672364380382?display=MH5AAJBYA&amp;reservation_id=31672364380382", "MH5AAJBYA")</f>
        <v>MH5AAJBYA</v>
      </c>
      <c r="B7080" t="s">
        <v>10</v>
      </c>
      <c r="C7080" t="s">
        <v>11</v>
      </c>
      <c r="D7080" t="str">
        <f>HYPERLINK("https://us2.cloudbeds.com/connect/10074733072513#/reservations/31672364380382?display=Angela%20M%20Villegas&amp;reservation_id=31672364380382&amp;guest_id=31672364380380", "Angela M Villegas")</f>
        <v>Angela M Villegas</v>
      </c>
      <c r="E7080" t="s">
        <v>4786</v>
      </c>
      <c r="F7080" t="s">
        <v>4636</v>
      </c>
      <c r="G7080">
        <v>87.84</v>
      </c>
      <c r="H7080">
        <v>95.49</v>
      </c>
      <c r="I7080">
        <v>95.48</v>
      </c>
      <c r="J7080">
        <v>0.01</v>
      </c>
    </row>
    <row r="7081" spans="1:10" x14ac:dyDescent="0.3">
      <c r="A7081" t="str">
        <f>HYPERLINK("https://us2.cloudbeds.com/connect/10074733072513#/reservations/31672442519798?display=MH5CAFN0D&amp;reservation_id=31672442519798", "MH5CAFN0D")</f>
        <v>MH5CAFN0D</v>
      </c>
      <c r="B7081" t="s">
        <v>10</v>
      </c>
      <c r="C7081" t="s">
        <v>42</v>
      </c>
      <c r="D7081" t="str">
        <f>HYPERLINK("https://us2.cloudbeds.com/connect/10074733072513#/reservations/31672442519798?display=Scott%20Kuzel&amp;reservation_id=31672442519798&amp;guest_id=31672442519776", "Scott Kuzel")</f>
        <v>Scott Kuzel</v>
      </c>
      <c r="E7081" t="s">
        <v>4787</v>
      </c>
      <c r="F7081" t="s">
        <v>4751</v>
      </c>
      <c r="G7081">
        <v>109</v>
      </c>
      <c r="H7081">
        <v>118.49</v>
      </c>
      <c r="I7081">
        <v>118.48</v>
      </c>
      <c r="J7081">
        <v>0.01</v>
      </c>
    </row>
    <row r="7082" spans="1:10" x14ac:dyDescent="0.3">
      <c r="A7082" t="str">
        <f>HYPERLINK("https://us2.cloudbeds.com/connect/10074733072513#/reservations/31671763968169?display=MH4RW9WUR&amp;reservation_id=31671763968169", "MH4RW9WUR")</f>
        <v>MH4RW9WUR</v>
      </c>
      <c r="B7082" t="s">
        <v>10</v>
      </c>
      <c r="C7082" t="s">
        <v>23</v>
      </c>
      <c r="D7082" t="str">
        <f>HYPERLINK("https://us2.cloudbeds.com/connect/10074733072513#/reservations/31671763968169?display=Russell%20Konechne&amp;reservation_id=31671763968169&amp;guest_id=31671763968167", "Russell Konechne")</f>
        <v>Russell Konechne</v>
      </c>
      <c r="E7082" t="s">
        <v>4788</v>
      </c>
      <c r="F7082" t="s">
        <v>4526</v>
      </c>
      <c r="G7082">
        <v>169</v>
      </c>
      <c r="H7082">
        <v>183.71</v>
      </c>
      <c r="I7082">
        <v>183.7</v>
      </c>
      <c r="J7082">
        <v>0.01</v>
      </c>
    </row>
    <row r="7083" spans="1:10" x14ac:dyDescent="0.3">
      <c r="A7083" t="str">
        <f>HYPERLINK("https://us2.cloudbeds.com/connect/10074733072513#/reservations/31671738552462?display=MH4RASPBT&amp;reservation_id=31671738552462", "MH4RASPBT")</f>
        <v>MH4RASPBT</v>
      </c>
      <c r="B7083" t="s">
        <v>10</v>
      </c>
      <c r="C7083" t="s">
        <v>42</v>
      </c>
      <c r="D7083" t="str">
        <f>HYPERLINK("https://us2.cloudbeds.com/connect/10074733072513#/reservations/31671738552462?display=Staci%20Orsburn&amp;reservation_id=31671738552462&amp;guest_id=31671738552457", "Staci Orsburn")</f>
        <v>Staci Orsburn</v>
      </c>
      <c r="E7083" t="s">
        <v>4789</v>
      </c>
      <c r="F7083" t="s">
        <v>4751</v>
      </c>
      <c r="G7083">
        <v>109</v>
      </c>
      <c r="H7083">
        <v>118.49</v>
      </c>
      <c r="I7083">
        <v>118.48</v>
      </c>
      <c r="J7083">
        <v>0.01</v>
      </c>
    </row>
    <row r="7084" spans="1:10" x14ac:dyDescent="0.3">
      <c r="A7084" t="str">
        <f>HYPERLINK("https://us2.cloudbeds.com/connect/10074733072513#/reservations/31671733440697?display=MH4R6XHBU&amp;reservation_id=31671733440697", "MH4R6XHBU")</f>
        <v>MH4R6XHBU</v>
      </c>
      <c r="B7084" t="s">
        <v>10</v>
      </c>
      <c r="C7084" t="s">
        <v>121</v>
      </c>
      <c r="D7084" t="str">
        <f>HYPERLINK("https://us2.cloudbeds.com/connect/10074733072513#/reservations/31671733440697?display=Cody%20Brinkman&amp;reservation_id=31671733440697&amp;guest_id=31671733440693", "Cody Brinkman")</f>
        <v>Cody Brinkman</v>
      </c>
      <c r="E7084" t="s">
        <v>4790</v>
      </c>
      <c r="F7084" t="s">
        <v>4751</v>
      </c>
      <c r="G7084">
        <v>109</v>
      </c>
      <c r="H7084">
        <v>118.49</v>
      </c>
      <c r="I7084">
        <v>118.48</v>
      </c>
      <c r="J7084">
        <v>0.01</v>
      </c>
    </row>
    <row r="7085" spans="1:10" x14ac:dyDescent="0.3">
      <c r="A7085" t="str">
        <f>HYPERLINK("https://us2.cloudbeds.com/connect/10074733072513#/reservations/31672557441243?display=MH5F8CXBE&amp;reservation_id=31672557441243", "MH5F8CXBE")</f>
        <v>MH5F8CXBE</v>
      </c>
      <c r="B7085" t="s">
        <v>10</v>
      </c>
      <c r="C7085" t="s">
        <v>23</v>
      </c>
      <c r="D7085" t="str">
        <f>HYPERLINK("https://us2.cloudbeds.com/connect/10074733072513#/reservations/31672557441243?display=Sabrina%20Doolittle&amp;reservation_id=31672557441243&amp;guest_id=31672557441241", "Sabrina Doolittle")</f>
        <v>Sabrina Doolittle</v>
      </c>
      <c r="E7085" t="s">
        <v>4791</v>
      </c>
      <c r="F7085" t="s">
        <v>4792</v>
      </c>
      <c r="G7085">
        <v>129</v>
      </c>
      <c r="H7085">
        <v>140.22999999999999</v>
      </c>
      <c r="I7085">
        <v>140.22</v>
      </c>
      <c r="J7085">
        <v>0.01</v>
      </c>
    </row>
    <row r="7086" spans="1:10" x14ac:dyDescent="0.3">
      <c r="A7086" t="str">
        <f>HYPERLINK("https://us2.cloudbeds.com/connect/10074733072513#/reservations/31672377913524?display=MH5AYWUPH&amp;reservation_id=31672377913524", "MH5AYWUPH")</f>
        <v>MH5AYWUPH</v>
      </c>
      <c r="B7086" t="s">
        <v>10</v>
      </c>
      <c r="C7086" t="s">
        <v>42</v>
      </c>
      <c r="D7086" t="str">
        <f>HYPERLINK("https://us2.cloudbeds.com/connect/10074733072513#/reservations/31672377913524?display=Jill%20Comes&amp;reservation_id=31672377913524&amp;guest_id=31672377913522", "Jill Comes")</f>
        <v>Jill Comes</v>
      </c>
      <c r="E7086" t="s">
        <v>4793</v>
      </c>
      <c r="F7086" t="s">
        <v>4636</v>
      </c>
      <c r="G7086">
        <v>149</v>
      </c>
      <c r="H7086">
        <v>161.97</v>
      </c>
      <c r="I7086">
        <v>161.96</v>
      </c>
      <c r="J7086">
        <v>0.01</v>
      </c>
    </row>
    <row r="7087" spans="1:10" x14ac:dyDescent="0.3">
      <c r="A7087" t="str">
        <f>HYPERLINK("https://us2.cloudbeds.com/connect/10074733072513#/reservations/31672418082944?display=MH5BED41C&amp;reservation_id=31672418082944", "MH5BED41C")</f>
        <v>MH5BED41C</v>
      </c>
      <c r="B7087" t="s">
        <v>10</v>
      </c>
      <c r="C7087" t="s">
        <v>42</v>
      </c>
      <c r="D7087" t="str">
        <f>HYPERLINK("https://us2.cloudbeds.com/connect/10074733072513#/reservations/31672418082944?display=Niall%20Anderson&amp;reservation_id=31672418082944&amp;guest_id=31672408031463", "Niall Anderson")</f>
        <v>Niall Anderson</v>
      </c>
      <c r="E7087" t="s">
        <v>4794</v>
      </c>
      <c r="F7087" t="s">
        <v>4636</v>
      </c>
      <c r="G7087">
        <v>159</v>
      </c>
      <c r="H7087">
        <v>172.84</v>
      </c>
      <c r="I7087">
        <v>172.83</v>
      </c>
      <c r="J7087">
        <v>0.01</v>
      </c>
    </row>
    <row r="7088" spans="1:10" x14ac:dyDescent="0.3">
      <c r="A7088" t="str">
        <f>HYPERLINK("https://us2.cloudbeds.com/connect/10074733072513#/reservations/31671801000187?display=MH4SUHFF6&amp;reservation_id=31671801000187", "MH4SUHFF6")</f>
        <v>MH4SUHFF6</v>
      </c>
      <c r="B7088" t="s">
        <v>10</v>
      </c>
      <c r="C7088" t="s">
        <v>14</v>
      </c>
      <c r="D7088" t="str">
        <f>HYPERLINK("https://us2.cloudbeds.com/connect/10074733072513#/reservations/31671801000187?display=Nate%20Simonson&amp;reservation_id=31671801000187&amp;guest_id=30686569365657", "Nate Simonson")</f>
        <v>Nate Simonson</v>
      </c>
      <c r="E7088" t="s">
        <v>3502</v>
      </c>
      <c r="F7088" t="s">
        <v>4526</v>
      </c>
      <c r="G7088">
        <v>87.84</v>
      </c>
      <c r="H7088">
        <v>95.49</v>
      </c>
      <c r="I7088">
        <v>95.48</v>
      </c>
      <c r="J7088">
        <v>0.01</v>
      </c>
    </row>
    <row r="7089" spans="1:10" x14ac:dyDescent="0.3">
      <c r="A7089" t="str">
        <f>HYPERLINK("https://us2.cloudbeds.com/connect/10074733072513#/reservations/31672651636942?display=MH5HYQMPX&amp;reservation_id=31672651636942", "MH5HYQMPX")</f>
        <v>MH5HYQMPX</v>
      </c>
      <c r="B7089" t="s">
        <v>10</v>
      </c>
      <c r="C7089" t="s">
        <v>14</v>
      </c>
      <c r="D7089" t="str">
        <f>HYPERLINK("https://us2.cloudbeds.com/connect/10074733072513#/reservations/31672651636942?display=Kim%20Piercy&amp;reservation_id=31672651636942&amp;guest_id=31672651636929", "Kim Piercy")</f>
        <v>Kim Piercy</v>
      </c>
      <c r="E7089" t="s">
        <v>4795</v>
      </c>
      <c r="F7089" t="s">
        <v>4627</v>
      </c>
      <c r="G7089">
        <v>190</v>
      </c>
      <c r="H7089">
        <v>206.54</v>
      </c>
      <c r="I7089">
        <v>206.53</v>
      </c>
      <c r="J7089">
        <v>0.01</v>
      </c>
    </row>
    <row r="7090" spans="1:10" x14ac:dyDescent="0.3">
      <c r="A7090" t="str">
        <f>HYPERLINK("https://us2.cloudbeds.com/connect/10074733072513#/reservations/31672868622545?display=MH5N6PKUS&amp;reservation_id=31672868622545", "MH5N6PKUS")</f>
        <v>MH5N6PKUS</v>
      </c>
      <c r="B7090" t="s">
        <v>10</v>
      </c>
      <c r="C7090" t="s">
        <v>42</v>
      </c>
      <c r="D7090" t="str">
        <f>HYPERLINK("https://us2.cloudbeds.com/connect/10074733072513#/reservations/31672868622545?display=Ibro%20Dzafic&amp;reservation_id=31672868622545&amp;guest_id=31672868618453", "Ibro Dzafic")</f>
        <v>Ibro Dzafic</v>
      </c>
      <c r="E7090" t="s">
        <v>4797</v>
      </c>
      <c r="F7090" t="s">
        <v>4686</v>
      </c>
      <c r="G7090">
        <v>518</v>
      </c>
      <c r="H7090">
        <v>563.08000000000004</v>
      </c>
      <c r="I7090">
        <v>563.07000000000005</v>
      </c>
      <c r="J7090">
        <v>0.01</v>
      </c>
    </row>
    <row r="7091" spans="1:10" x14ac:dyDescent="0.3">
      <c r="A7091" t="str">
        <f>HYPERLINK("https://us2.cloudbeds.com/connect/10074733072513#/reservations/31672081215659?display=MH532QSV4&amp;reservation_id=31672081215659", "MH532QSV4")</f>
        <v>MH532QSV4</v>
      </c>
      <c r="B7091" t="s">
        <v>10</v>
      </c>
      <c r="C7091" t="s">
        <v>42</v>
      </c>
      <c r="D7091" t="str">
        <f>HYPERLINK("https://us2.cloudbeds.com/connect/10074733072513#/reservations/31672081215659?display=Tad%20Halferty&amp;reservation_id=31672081215659&amp;guest_id=31672081215657", "Tad Halferty")</f>
        <v>Tad Halferty</v>
      </c>
      <c r="E7091" t="s">
        <v>4798</v>
      </c>
      <c r="F7091" t="s">
        <v>4636</v>
      </c>
      <c r="G7091">
        <v>159</v>
      </c>
      <c r="H7091">
        <v>172.84</v>
      </c>
      <c r="I7091">
        <v>172.83</v>
      </c>
      <c r="J7091">
        <v>0.01</v>
      </c>
    </row>
    <row r="7092" spans="1:10" x14ac:dyDescent="0.3">
      <c r="A7092" t="str">
        <f>HYPERLINK("https://us2.cloudbeds.com/connect/10074733072513#/reservations/31677354795240?display=MH95RY02W&amp;reservation_id=31677354795240", "MH95RY02W")</f>
        <v>MH95RY02W</v>
      </c>
      <c r="B7092" t="s">
        <v>10</v>
      </c>
      <c r="C7092" t="s">
        <v>42</v>
      </c>
      <c r="D7092" t="str">
        <f>HYPERLINK("https://us2.cloudbeds.com/connect/10074733072513#/reservations/31677354795240?display=Linda%20Mcfall&amp;reservation_id=31677354795240&amp;guest_id=31677342834839", "Linda Mcfall")</f>
        <v>Linda Mcfall</v>
      </c>
      <c r="E7092" t="s">
        <v>4800</v>
      </c>
      <c r="F7092" t="s">
        <v>4347</v>
      </c>
      <c r="G7092">
        <v>149</v>
      </c>
      <c r="H7092">
        <v>161.97</v>
      </c>
      <c r="I7092">
        <v>161.96</v>
      </c>
      <c r="J7092">
        <v>0.01</v>
      </c>
    </row>
    <row r="7093" spans="1:10" x14ac:dyDescent="0.3">
      <c r="A7093" t="str">
        <f>HYPERLINK("https://us2.cloudbeds.com/connect/10074733072513#/reservations/31672841728233?display=MH5MH38JN&amp;reservation_id=31672841728233", "MH5MH38JN")</f>
        <v>MH5MH38JN</v>
      </c>
      <c r="B7093" t="s">
        <v>10</v>
      </c>
      <c r="C7093" t="s">
        <v>17</v>
      </c>
      <c r="D7093" t="str">
        <f>HYPERLINK("https://us2.cloudbeds.com/connect/10074733072513#/reservations/31672841728233?display=Brittany%20Curlee&amp;reservation_id=31672841728233&amp;guest_id=31672832053393", "Brittany Curlee")</f>
        <v>Brittany Curlee</v>
      </c>
      <c r="E7093" t="s">
        <v>4804</v>
      </c>
      <c r="F7093" t="s">
        <v>4686</v>
      </c>
      <c r="G7093">
        <v>109</v>
      </c>
      <c r="H7093">
        <v>118.49</v>
      </c>
      <c r="I7093">
        <v>118.48</v>
      </c>
      <c r="J7093">
        <v>0.01</v>
      </c>
    </row>
    <row r="7094" spans="1:10" x14ac:dyDescent="0.3">
      <c r="A7094" t="str">
        <f>HYPERLINK("https://us2.cloudbeds.com/connect/10074733072513#/reservations/31672651632848?display=MH5HYQJ0G&amp;reservation_id=31672651632848", "MH5HYQJ0G")</f>
        <v>MH5HYQJ0G</v>
      </c>
      <c r="B7094" t="s">
        <v>10</v>
      </c>
      <c r="C7094" t="s">
        <v>14</v>
      </c>
      <c r="D7094" t="str">
        <f>HYPERLINK("https://us2.cloudbeds.com/connect/10074733072513#/reservations/31672651632848?display=Dennis%20Walworth&amp;reservation_id=31672651632848&amp;guest_id=31672651632846", "Dennis Walworth")</f>
        <v>Dennis Walworth</v>
      </c>
      <c r="E7094" t="s">
        <v>4805</v>
      </c>
      <c r="F7094" t="s">
        <v>4762</v>
      </c>
      <c r="G7094">
        <v>77.5</v>
      </c>
      <c r="H7094">
        <v>84.25</v>
      </c>
      <c r="I7094">
        <v>84.24</v>
      </c>
      <c r="J7094">
        <v>0.01</v>
      </c>
    </row>
    <row r="7095" spans="1:10" x14ac:dyDescent="0.3">
      <c r="A7095" t="str">
        <f>HYPERLINK("https://us2.cloudbeds.com/connect/10074733072513#/reservations/31689143673057?display=MHXA2ATTM&amp;reservation_id=31689143673057", "MHXA2ATTM")</f>
        <v>MHXA2ATTM</v>
      </c>
      <c r="B7095" t="s">
        <v>10</v>
      </c>
      <c r="C7095" t="s">
        <v>42</v>
      </c>
      <c r="D7095" t="str">
        <f>HYPERLINK("https://us2.cloudbeds.com/connect/10074733072513#/reservations/31689143673057?display=Beverly%20Thompson&amp;reservation_id=31689143673057&amp;guest_id=31689137238152", "Beverly Thompson")</f>
        <v>Beverly Thompson</v>
      </c>
      <c r="E7095" t="s">
        <v>4806</v>
      </c>
      <c r="F7095" t="s">
        <v>3785</v>
      </c>
      <c r="G7095">
        <v>238</v>
      </c>
      <c r="H7095">
        <v>258.72000000000003</v>
      </c>
      <c r="I7095">
        <v>258.70999999999998</v>
      </c>
      <c r="J7095">
        <v>0.01</v>
      </c>
    </row>
    <row r="7096" spans="1:10" x14ac:dyDescent="0.3">
      <c r="A7096" t="str">
        <f>HYPERLINK("https://us2.cloudbeds.com/connect/10074733072513#/reservations/31672501252311?display=MH5DR00HH&amp;reservation_id=31672501252311", "MH5DR00HH")</f>
        <v>MH5DR00HH</v>
      </c>
      <c r="B7096" t="s">
        <v>10</v>
      </c>
      <c r="C7096" t="s">
        <v>121</v>
      </c>
      <c r="D7096" t="str">
        <f>HYPERLINK("https://us2.cloudbeds.com/connect/10074733072513#/reservations/31672501252311?display=Ethan%20Enwiller&amp;reservation_id=31672501252311&amp;guest_id=31672501252308", "Ethan Enwiller")</f>
        <v>Ethan Enwiller</v>
      </c>
      <c r="E7096" t="s">
        <v>4807</v>
      </c>
      <c r="F7096" t="s">
        <v>4808</v>
      </c>
      <c r="G7096">
        <v>109</v>
      </c>
      <c r="H7096">
        <v>118.49</v>
      </c>
      <c r="I7096">
        <v>118.48</v>
      </c>
      <c r="J7096">
        <v>0.01</v>
      </c>
    </row>
    <row r="7097" spans="1:10" x14ac:dyDescent="0.3">
      <c r="A7097" t="str">
        <f>HYPERLINK("https://us2.cloudbeds.com/connect/10074733072513#/reservations/31689570504897?display=MHXKW84AT&amp;reservation_id=31689570504897", "MHXKW84AT")</f>
        <v>MHXKW84AT</v>
      </c>
      <c r="B7097" t="s">
        <v>10</v>
      </c>
      <c r="C7097" t="s">
        <v>42</v>
      </c>
      <c r="D7097" t="str">
        <f>HYPERLINK("https://us2.cloudbeds.com/connect/10074733072513#/reservations/31689570504897?display=Peggy%20Marczak&amp;reservation_id=31689570504897&amp;guest_id=31689559449769", "Peggy Marczak")</f>
        <v>Peggy Marczak</v>
      </c>
      <c r="E7097" t="s">
        <v>4809</v>
      </c>
      <c r="F7097" t="s">
        <v>3785</v>
      </c>
      <c r="G7097">
        <v>238</v>
      </c>
      <c r="H7097">
        <v>258.72000000000003</v>
      </c>
      <c r="I7097">
        <v>258.70999999999998</v>
      </c>
      <c r="J7097">
        <v>0.01</v>
      </c>
    </row>
    <row r="7098" spans="1:10" x14ac:dyDescent="0.3">
      <c r="A7098" t="str">
        <f>HYPERLINK("https://us2.cloudbeds.com/connect/10074733072513#/reservations/31672473657517?display=MH5D3Z4VY&amp;reservation_id=31672473657517", "MH5D3Z4VY")</f>
        <v>MH5D3Z4VY</v>
      </c>
      <c r="B7098" t="s">
        <v>10</v>
      </c>
      <c r="C7098" t="s">
        <v>121</v>
      </c>
      <c r="D7098" t="str">
        <f>HYPERLINK("https://us2.cloudbeds.com/connect/10074733072513#/reservations/31672473657517?display=Matthew%20Deboer&amp;reservation_id=31672473657517&amp;guest_id=31672463683797", "Matthew Deboer")</f>
        <v>Matthew Deboer</v>
      </c>
      <c r="E7098" t="s">
        <v>4811</v>
      </c>
      <c r="F7098" t="s">
        <v>4689</v>
      </c>
      <c r="G7098">
        <v>109</v>
      </c>
      <c r="H7098">
        <v>118.49</v>
      </c>
      <c r="I7098">
        <v>118.48</v>
      </c>
      <c r="J7098">
        <v>0.01</v>
      </c>
    </row>
    <row r="7099" spans="1:10" x14ac:dyDescent="0.3">
      <c r="A7099" t="str">
        <f>HYPERLINK("https://us2.cloudbeds.com/connect/10074733072513#/reservations/31672496107772?display=MH5DMYSED&amp;reservation_id=31672496107772", "MH5DMYSED")</f>
        <v>MH5DMYSED</v>
      </c>
      <c r="B7099" t="s">
        <v>10</v>
      </c>
      <c r="C7099" t="s">
        <v>42</v>
      </c>
      <c r="D7099" t="str">
        <f>HYPERLINK("https://us2.cloudbeds.com/connect/10074733072513#/reservations/31672496107772?display=Nicholas%20Hill&amp;reservation_id=31672496107772&amp;guest_id=31672496107762", "Nicholas Hill")</f>
        <v>Nicholas Hill</v>
      </c>
      <c r="E7099" t="s">
        <v>4748</v>
      </c>
      <c r="F7099" t="s">
        <v>4808</v>
      </c>
      <c r="G7099">
        <v>73</v>
      </c>
      <c r="H7099">
        <v>79.36</v>
      </c>
      <c r="I7099">
        <v>79.349999999999994</v>
      </c>
      <c r="J7099">
        <v>0.01</v>
      </c>
    </row>
    <row r="7100" spans="1:10" x14ac:dyDescent="0.3">
      <c r="A7100" t="str">
        <f>HYPERLINK("https://us2.cloudbeds.com/connect/10074733072513#/reservations/31672530424046?display=MH5EXJP5G&amp;reservation_id=31672530424046", "MH5EXJP5G")</f>
        <v>MH5EXJP5G</v>
      </c>
      <c r="B7100" t="s">
        <v>10</v>
      </c>
      <c r="C7100" t="s">
        <v>121</v>
      </c>
      <c r="D7100" t="str">
        <f>HYPERLINK("https://us2.cloudbeds.com/connect/10074733072513#/reservations/31672530424046?display=Brandon%20Naccarato&amp;reservation_id=31672530424046&amp;guest_id=31672519258258", "Brandon Naccarato")</f>
        <v>Brandon Naccarato</v>
      </c>
      <c r="E7100" t="s">
        <v>4813</v>
      </c>
      <c r="F7100" t="s">
        <v>4762</v>
      </c>
      <c r="G7100">
        <v>109</v>
      </c>
      <c r="H7100">
        <v>118.49</v>
      </c>
      <c r="I7100">
        <v>118.48</v>
      </c>
      <c r="J7100">
        <v>0.01</v>
      </c>
    </row>
    <row r="7101" spans="1:10" x14ac:dyDescent="0.3">
      <c r="A7101" t="str">
        <f>HYPERLINK("https://us2.cloudbeds.com/connect/10074733072513#/reservations/31672603672721?display=MH5GEC0G8&amp;reservation_id=31672603672721", "MH5GEC0G8")</f>
        <v>MH5GEC0G8</v>
      </c>
      <c r="B7101" t="s">
        <v>10</v>
      </c>
      <c r="C7101" t="s">
        <v>11</v>
      </c>
      <c r="D7101" t="str">
        <f>HYPERLINK("https://us2.cloudbeds.com/connect/10074733072513#/reservations/31672603672721?display=Jill%20Elaine%20Carlson&amp;reservation_id=31672603672721&amp;guest_id=31672595644545", "Jill Elaine Carlson")</f>
        <v>Jill Elaine Carlson</v>
      </c>
      <c r="E7101" t="s">
        <v>4814</v>
      </c>
      <c r="F7101" t="s">
        <v>4566</v>
      </c>
      <c r="G7101">
        <v>87.84</v>
      </c>
      <c r="H7101">
        <v>95.49</v>
      </c>
      <c r="I7101">
        <v>95.48</v>
      </c>
      <c r="J7101">
        <v>0.01</v>
      </c>
    </row>
    <row r="7102" spans="1:10" x14ac:dyDescent="0.3">
      <c r="A7102" t="str">
        <f>HYPERLINK("https://us2.cloudbeds.com/connect/10074733072513#/reservations/31677024690404?display=MH8UD9BH4&amp;reservation_id=31677024690404", "MH8UD9BH4")</f>
        <v>MH8UD9BH4</v>
      </c>
      <c r="B7102" t="s">
        <v>10</v>
      </c>
      <c r="C7102" t="s">
        <v>42</v>
      </c>
      <c r="D7102" t="str">
        <f>HYPERLINK("https://us2.cloudbeds.com/connect/10074733072513#/reservations/31677024690404?display=Christine%20Nelson&amp;reservation_id=31677024690404&amp;guest_id=31677024690401", "Christine Nelson")</f>
        <v>Christine Nelson</v>
      </c>
      <c r="E7102" t="s">
        <v>4816</v>
      </c>
      <c r="F7102" t="s">
        <v>3650</v>
      </c>
      <c r="G7102">
        <v>139</v>
      </c>
      <c r="H7102">
        <v>151.1</v>
      </c>
      <c r="I7102">
        <v>151.09</v>
      </c>
      <c r="J7102">
        <v>0.01</v>
      </c>
    </row>
    <row r="7103" spans="1:10" x14ac:dyDescent="0.3">
      <c r="A7103" t="str">
        <f>HYPERLINK("https://us2.cloudbeds.com/connect/10074733072513#/reservations/31671895396586?display=MH4VB4664&amp;reservation_id=31671895396586", "MH4VB4664")</f>
        <v>MH4VB4664</v>
      </c>
      <c r="B7103" t="s">
        <v>10</v>
      </c>
      <c r="C7103" t="s">
        <v>42</v>
      </c>
      <c r="D7103" t="str">
        <f>HYPERLINK("https://us2.cloudbeds.com/connect/10074733072513#/reservations/31671895396586?display=Charity%20Waldner&amp;reservation_id=31671895396586&amp;guest_id=30648396157069", "Charity Waldner")</f>
        <v>Charity Waldner</v>
      </c>
      <c r="E7103" t="s">
        <v>4819</v>
      </c>
      <c r="F7103" t="s">
        <v>4300</v>
      </c>
      <c r="G7103">
        <v>150</v>
      </c>
      <c r="H7103">
        <v>163.06</v>
      </c>
      <c r="I7103">
        <v>163.05000000000001</v>
      </c>
      <c r="J7103">
        <v>0.01</v>
      </c>
    </row>
    <row r="7104" spans="1:10" x14ac:dyDescent="0.3">
      <c r="A7104" t="str">
        <f>HYPERLINK("https://us2.cloudbeds.com/connect/10074733072513#/reservations/31689172861182?display=MHXAQV3JB&amp;reservation_id=31689172861182", "MHXAQV3JB")</f>
        <v>MHXAQV3JB</v>
      </c>
      <c r="B7104" t="s">
        <v>10</v>
      </c>
      <c r="C7104" t="s">
        <v>14</v>
      </c>
      <c r="D7104" t="str">
        <f>HYPERLINK("https://us2.cloudbeds.com/connect/10074733072513#/reservations/31689172861182?display=Ashley%20Morris&amp;reservation_id=31689172861182&amp;guest_id=31689172861122", "Ashley Morris")</f>
        <v>Ashley Morris</v>
      </c>
      <c r="E7104" t="s">
        <v>4812</v>
      </c>
      <c r="F7104" t="s">
        <v>3785</v>
      </c>
      <c r="G7104">
        <v>322.2</v>
      </c>
      <c r="H7104">
        <v>350.24</v>
      </c>
      <c r="I7104">
        <v>350.23</v>
      </c>
      <c r="J7104">
        <v>0.01</v>
      </c>
    </row>
    <row r="7105" spans="1:10" x14ac:dyDescent="0.3">
      <c r="A7105" t="str">
        <f>HYPERLINK("https://us2.cloudbeds.com/connect/10074733072513#/reservations/31689546694886?display=MHXKC5J7D&amp;reservation_id=31689546694886", "MHXKC5J7D")</f>
        <v>MHXKC5J7D</v>
      </c>
      <c r="B7105" t="s">
        <v>10</v>
      </c>
      <c r="C7105" t="s">
        <v>14</v>
      </c>
      <c r="D7105" t="str">
        <f>HYPERLINK("https://us2.cloudbeds.com/connect/10074733072513#/reservations/31689546694886?display=Tracey%20Schantz&amp;reservation_id=31689546694886&amp;guest_id=31689536471248", "Tracey Schantz")</f>
        <v>Tracey Schantz</v>
      </c>
      <c r="E7105" t="s">
        <v>4812</v>
      </c>
      <c r="F7105" t="s">
        <v>3785</v>
      </c>
      <c r="G7105">
        <v>322.2</v>
      </c>
      <c r="H7105">
        <v>350.24</v>
      </c>
      <c r="I7105">
        <v>350.23</v>
      </c>
      <c r="J7105">
        <v>0.01</v>
      </c>
    </row>
    <row r="7106" spans="1:10" x14ac:dyDescent="0.3">
      <c r="A7106" t="str">
        <f>HYPERLINK("https://us2.cloudbeds.com/connect/10074733072513#/reservations/31676513771665?display=MH8HBF9A3&amp;reservation_id=31676513771665", "MH8HBF9A3")</f>
        <v>MH8HBF9A3</v>
      </c>
      <c r="B7106" t="s">
        <v>10</v>
      </c>
      <c r="C7106" t="s">
        <v>42</v>
      </c>
      <c r="D7106" t="str">
        <f>HYPERLINK("https://us2.cloudbeds.com/connect/10074733072513#/reservations/31676513771665?display=Allen%20Stratmeyer&amp;reservation_id=31676513771665&amp;guest_id=31676508815609", "Allen Stratmeyer")</f>
        <v>Allen Stratmeyer</v>
      </c>
      <c r="E7106" t="s">
        <v>4828</v>
      </c>
      <c r="F7106" t="s">
        <v>4829</v>
      </c>
      <c r="G7106">
        <v>252</v>
      </c>
      <c r="H7106">
        <v>273.93</v>
      </c>
      <c r="I7106">
        <v>273.92</v>
      </c>
      <c r="J7106">
        <v>0.01</v>
      </c>
    </row>
    <row r="7107" spans="1:10" x14ac:dyDescent="0.3">
      <c r="A7107" t="str">
        <f>HYPERLINK("https://us2.cloudbeds.com/connect/10074733072513#/reservations/31673067000034?display=MH5S91PZU&amp;reservation_id=31673067000034", "MH5S91PZU")</f>
        <v>MH5S91PZU</v>
      </c>
      <c r="B7107" t="s">
        <v>10</v>
      </c>
      <c r="C7107" t="s">
        <v>42</v>
      </c>
      <c r="D7107" t="str">
        <f>HYPERLINK("https://us2.cloudbeds.com/connect/10074733072513#/reservations/31673067000034?display=Sebastian%20Soto--Scott%20Schmitt&amp;reservation_id=31673067000034&amp;guest_id=31673067000029", "Sebastian Soto--Scott Schmitt")</f>
        <v>Sebastian Soto--Scott Schmitt</v>
      </c>
      <c r="E7107" t="s">
        <v>4025</v>
      </c>
      <c r="F7107" t="s">
        <v>4830</v>
      </c>
      <c r="G7107">
        <v>79</v>
      </c>
      <c r="H7107">
        <v>85.88</v>
      </c>
      <c r="I7107">
        <v>85.87</v>
      </c>
      <c r="J7107">
        <v>0.01</v>
      </c>
    </row>
    <row r="7108" spans="1:10" x14ac:dyDescent="0.3">
      <c r="A7108" t="str">
        <f>HYPERLINK("https://us2.cloudbeds.com/connect/10074733072513#/reservations/31673080226005?display=MH5SK6QQU&amp;reservation_id=31673080226005", "MH5SK6QQU")</f>
        <v>MH5SK6QQU</v>
      </c>
      <c r="B7108" t="s">
        <v>10</v>
      </c>
      <c r="C7108" t="s">
        <v>42</v>
      </c>
      <c r="D7108" t="str">
        <f>HYPERLINK("https://us2.cloudbeds.com/connect/10074733072513#/reservations/31673080226005?display=Sebastian%20Soto-%20Seth%20Apland&amp;reservation_id=31673080226005&amp;guest_id=31673080221904", "Sebastian Soto- Seth Apland")</f>
        <v>Sebastian Soto- Seth Apland</v>
      </c>
      <c r="E7108" t="s">
        <v>4025</v>
      </c>
      <c r="F7108" t="s">
        <v>4830</v>
      </c>
      <c r="G7108">
        <v>79</v>
      </c>
      <c r="H7108">
        <v>85.88</v>
      </c>
      <c r="I7108">
        <v>85.87</v>
      </c>
      <c r="J7108">
        <v>0.01</v>
      </c>
    </row>
    <row r="7109" spans="1:10" x14ac:dyDescent="0.3">
      <c r="A7109" t="str">
        <f>HYPERLINK("https://us2.cloudbeds.com/connect/10074733072513#/reservations/31673077530808?display=MH5SHUQT9&amp;reservation_id=31673077530808", "MH5SHUQT9")</f>
        <v>MH5SHUQT9</v>
      </c>
      <c r="B7109" t="s">
        <v>10</v>
      </c>
      <c r="C7109" t="s">
        <v>42</v>
      </c>
      <c r="D7109" t="str">
        <f>HYPERLINK("https://us2.cloudbeds.com/connect/10074733072513#/reservations/31673077530808?display=Sebastian%20Soto-Calli%20Kirk&amp;reservation_id=31673077530808&amp;guest_id=31673067004124", "Sebastian Soto-Calli Kirk")</f>
        <v>Sebastian Soto-Calli Kirk</v>
      </c>
      <c r="E7109" t="s">
        <v>4025</v>
      </c>
      <c r="F7109" t="s">
        <v>4830</v>
      </c>
      <c r="G7109">
        <v>79</v>
      </c>
      <c r="H7109">
        <v>85.88</v>
      </c>
      <c r="I7109">
        <v>85.87</v>
      </c>
      <c r="J7109">
        <v>0.01</v>
      </c>
    </row>
    <row r="7110" spans="1:10" x14ac:dyDescent="0.3">
      <c r="A7110" t="str">
        <f>HYPERLINK("https://us2.cloudbeds.com/connect/10074733072513#/reservations/31672901734558?display=MH5Z1N0R6&amp;reservation_id=31672901734558", "MH5Z1N0R6")</f>
        <v>MH5Z1N0R6</v>
      </c>
      <c r="B7110" t="s">
        <v>10</v>
      </c>
      <c r="C7110" t="s">
        <v>42</v>
      </c>
      <c r="D7110" t="str">
        <f>HYPERLINK("https://us2.cloudbeds.com/connect/10074733072513#/reservations/31672901734558?display=Brandon%20Primeus&amp;reservation_id=31672901734558&amp;guest_id=31672901734556", "Brandon Primeus")</f>
        <v>Brandon Primeus</v>
      </c>
      <c r="E7110" t="s">
        <v>4832</v>
      </c>
      <c r="F7110" t="s">
        <v>4686</v>
      </c>
      <c r="G7110">
        <v>213</v>
      </c>
      <c r="H7110">
        <v>231.54</v>
      </c>
      <c r="I7110">
        <v>231.53</v>
      </c>
      <c r="J7110">
        <v>0.01</v>
      </c>
    </row>
    <row r="7111" spans="1:10" x14ac:dyDescent="0.3">
      <c r="A7111" t="str">
        <f>HYPERLINK("https://us2.cloudbeds.com/connect/10074733072513#/reservations/31672535462024?display=MH5EMRVDG&amp;reservation_id=31672535462024", "MH5EMRVDG")</f>
        <v>MH5EMRVDG</v>
      </c>
      <c r="B7111" t="s">
        <v>10</v>
      </c>
      <c r="C7111" t="s">
        <v>121</v>
      </c>
      <c r="D7111" t="str">
        <f>HYPERLINK("https://us2.cloudbeds.com/connect/10074733072513#/reservations/31672535462024?display=Larry%20Wendtland&amp;reservation_id=31672535462024&amp;guest_id=31672535457927", "Larry Wendtland")</f>
        <v>Larry Wendtland</v>
      </c>
      <c r="E7111" t="s">
        <v>4833</v>
      </c>
      <c r="F7111" t="s">
        <v>4762</v>
      </c>
      <c r="G7111">
        <v>109</v>
      </c>
      <c r="H7111">
        <v>118.49</v>
      </c>
      <c r="I7111">
        <v>118.48</v>
      </c>
      <c r="J7111">
        <v>0.01</v>
      </c>
    </row>
    <row r="7112" spans="1:10" x14ac:dyDescent="0.3">
      <c r="A7112" t="str">
        <f>HYPERLINK("https://us2.cloudbeds.com/connect/10074733072513#/reservations/31672995696789?display=MH5QEUYSH&amp;reservation_id=31672995696789", "MH5QEUYSH")</f>
        <v>MH5QEUYSH</v>
      </c>
      <c r="B7112" t="s">
        <v>10</v>
      </c>
      <c r="C7112" t="s">
        <v>42</v>
      </c>
      <c r="D7112" t="str">
        <f>HYPERLINK("https://us2.cloudbeds.com/connect/10074733072513#/reservations/31672995696789?display=Sebastian%20Soto-Eric%20Overtell&amp;reservation_id=31672995696789&amp;guest_id=31672995696784", "Sebastian Soto-Eric Overtell")</f>
        <v>Sebastian Soto-Eric Overtell</v>
      </c>
      <c r="E7112" t="s">
        <v>4025</v>
      </c>
      <c r="F7112" t="s">
        <v>4830</v>
      </c>
      <c r="G7112">
        <v>79</v>
      </c>
      <c r="H7112">
        <v>85.88</v>
      </c>
      <c r="I7112">
        <v>85.87</v>
      </c>
      <c r="J7112">
        <v>0.01</v>
      </c>
    </row>
    <row r="7113" spans="1:10" x14ac:dyDescent="0.3">
      <c r="A7113" t="str">
        <f>HYPERLINK("https://us2.cloudbeds.com/connect/10074733072513#/reservations/31676282900682?display=MH8BEPVXN&amp;reservation_id=31676282900682", "MH8BEPVXN")</f>
        <v>MH8BEPVXN</v>
      </c>
      <c r="B7113" t="s">
        <v>10</v>
      </c>
      <c r="C7113" t="s">
        <v>23</v>
      </c>
      <c r="D7113" t="str">
        <f>HYPERLINK("https://us2.cloudbeds.com/connect/10074733072513#/reservations/31676282900682?display=Karla%20Bedow&amp;reservation_id=31676282900682&amp;guest_id=31676282900679", "Karla Bedow")</f>
        <v>Karla Bedow</v>
      </c>
      <c r="E7113" t="s">
        <v>4834</v>
      </c>
      <c r="F7113" t="s">
        <v>4777</v>
      </c>
      <c r="G7113">
        <v>139</v>
      </c>
      <c r="H7113">
        <v>151.1</v>
      </c>
      <c r="I7113">
        <v>151.09</v>
      </c>
      <c r="J7113">
        <v>0.01</v>
      </c>
    </row>
    <row r="7114" spans="1:10" x14ac:dyDescent="0.3">
      <c r="A7114" t="str">
        <f>HYPERLINK("https://us2.cloudbeds.com/connect/10074733072513#/reservations/31673015255238?display=MH5QVDTSQ&amp;reservation_id=31673015255238", "MH5QVDTSQ")</f>
        <v>MH5QVDTSQ</v>
      </c>
      <c r="B7114" t="s">
        <v>10</v>
      </c>
      <c r="C7114" t="s">
        <v>42</v>
      </c>
      <c r="D7114" t="str">
        <f>HYPERLINK("https://us2.cloudbeds.com/connect/10074733072513#/reservations/31673015255238?display=Sebastian%20Soto-&amp;reservation_id=31673015255238&amp;guest_id=31673015255235", "Sebastian Soto-")</f>
        <v>Sebastian Soto-</v>
      </c>
      <c r="E7114" t="s">
        <v>4025</v>
      </c>
      <c r="F7114" t="s">
        <v>4830</v>
      </c>
      <c r="G7114">
        <v>79</v>
      </c>
      <c r="H7114">
        <v>85.88</v>
      </c>
      <c r="I7114">
        <v>85.87</v>
      </c>
      <c r="J7114">
        <v>0.01</v>
      </c>
    </row>
    <row r="7115" spans="1:10" x14ac:dyDescent="0.3">
      <c r="A7115" t="str">
        <f>HYPERLINK("https://us2.cloudbeds.com/connect/10074733072513#/reservations/31672708857998?display=MH5J41VBV&amp;reservation_id=31672708857998", "MH5J41VBV")</f>
        <v>MH5J41VBV</v>
      </c>
      <c r="B7115" t="s">
        <v>10</v>
      </c>
      <c r="C7115" t="s">
        <v>42</v>
      </c>
      <c r="D7115" t="str">
        <f>HYPERLINK("https://us2.cloudbeds.com/connect/10074733072513#/reservations/31672708857998?display=Rose%20Miller&amp;reservation_id=31672708857998&amp;guest_id=30650875437198", "Rose Miller")</f>
        <v>Rose Miller</v>
      </c>
      <c r="E7115" t="s">
        <v>4835</v>
      </c>
      <c r="F7115" t="s">
        <v>4627</v>
      </c>
      <c r="G7115">
        <v>139</v>
      </c>
      <c r="H7115">
        <v>151.1</v>
      </c>
      <c r="I7115">
        <v>151.09</v>
      </c>
      <c r="J7115">
        <v>0.01</v>
      </c>
    </row>
    <row r="7116" spans="1:10" x14ac:dyDescent="0.3">
      <c r="A7116" t="str">
        <f>HYPERLINK("https://us2.cloudbeds.com/connect/10074733072513#/reservations/31673020936347?display=MH5R36WMK&amp;reservation_id=31673020936347", "MH5R36WMK")</f>
        <v>MH5R36WMK</v>
      </c>
      <c r="B7116" t="s">
        <v>10</v>
      </c>
      <c r="C7116" t="s">
        <v>42</v>
      </c>
      <c r="D7116" t="str">
        <f>HYPERLINK("https://us2.cloudbeds.com/connect/10074733072513#/reservations/31673020936347?display=Sebastian%20Soto-Alec%20Schroetlin&amp;reservation_id=31673020936347&amp;guest_id=31673020936343", "Sebastian Soto-Alec Schroetlin")</f>
        <v>Sebastian Soto-Alec Schroetlin</v>
      </c>
      <c r="E7116" t="s">
        <v>4025</v>
      </c>
      <c r="F7116" t="s">
        <v>4830</v>
      </c>
      <c r="G7116">
        <v>79</v>
      </c>
      <c r="H7116">
        <v>85.88</v>
      </c>
      <c r="I7116">
        <v>85.87</v>
      </c>
      <c r="J7116">
        <v>0.01</v>
      </c>
    </row>
    <row r="7117" spans="1:10" x14ac:dyDescent="0.3">
      <c r="A7117" t="str">
        <f>HYPERLINK("https://us2.cloudbeds.com/connect/10074733072513#/reservations/31671864701122?display=MH4UX81BX&amp;reservation_id=31671864701122", "MH4UX81BX")</f>
        <v>MH4UX81BX</v>
      </c>
      <c r="B7117" t="s">
        <v>10</v>
      </c>
      <c r="C7117" t="s">
        <v>23</v>
      </c>
      <c r="D7117" t="str">
        <f>HYPERLINK("https://us2.cloudbeds.com/connect/10074733072513#/reservations/31671864701122?display=Jacob%20Spencer&amp;reservation_id=31671864701122&amp;guest_id=31671864697030", "Jacob Spencer")</f>
        <v>Jacob Spencer</v>
      </c>
      <c r="E7117" t="s">
        <v>4836</v>
      </c>
      <c r="F7117" t="s">
        <v>4300</v>
      </c>
      <c r="G7117">
        <v>467</v>
      </c>
      <c r="H7117">
        <v>507.64</v>
      </c>
      <c r="I7117">
        <v>507.63</v>
      </c>
      <c r="J7117">
        <v>0.01</v>
      </c>
    </row>
    <row r="7118" spans="1:10" x14ac:dyDescent="0.3">
      <c r="A7118" t="str">
        <f>HYPERLINK("https://us2.cloudbeds.com/connect/10074733072513#/reservations/31673120419969?display=MH5TY38SR&amp;reservation_id=31673120419969", "MH5TY38SR")</f>
        <v>MH5TY38SR</v>
      </c>
      <c r="B7118" t="s">
        <v>10</v>
      </c>
      <c r="C7118" t="s">
        <v>42</v>
      </c>
      <c r="D7118" t="str">
        <f>HYPERLINK("https://us2.cloudbeds.com/connect/10074733072513#/reservations/31673120419969?display=Raquel%20Veeck&amp;reservation_id=31673120419969&amp;guest_id=31673110507744", "Raquel Veeck")</f>
        <v>Raquel Veeck</v>
      </c>
      <c r="E7118" t="s">
        <v>4025</v>
      </c>
      <c r="F7118" t="s">
        <v>4837</v>
      </c>
      <c r="G7118">
        <v>158</v>
      </c>
      <c r="H7118">
        <v>171.76</v>
      </c>
      <c r="I7118">
        <v>171.75</v>
      </c>
      <c r="J7118">
        <v>0.01</v>
      </c>
    </row>
    <row r="7119" spans="1:10" x14ac:dyDescent="0.3">
      <c r="A7119" t="str">
        <f>HYPERLINK("https://us2.cloudbeds.com/connect/10074733072513#/reservations/31672783163543?display=MH5Y0NK64&amp;reservation_id=31672783163543", "MH5Y0NK64")</f>
        <v>MH5Y0NK64</v>
      </c>
      <c r="B7119" t="s">
        <v>10</v>
      </c>
      <c r="C7119" t="s">
        <v>42</v>
      </c>
      <c r="D7119" t="str">
        <f>HYPERLINK("https://us2.cloudbeds.com/connect/10074733072513#/reservations/31672783163543?display=Jay%20Nerson&amp;reservation_id=31672783163543&amp;guest_id=31672783163528", "Jay Nerson")</f>
        <v>Jay Nerson</v>
      </c>
      <c r="E7119" t="s">
        <v>4838</v>
      </c>
      <c r="F7119" t="s">
        <v>4726</v>
      </c>
      <c r="G7119">
        <v>258</v>
      </c>
      <c r="H7119">
        <v>280.45999999999998</v>
      </c>
      <c r="I7119">
        <v>280.45</v>
      </c>
      <c r="J7119">
        <v>0.01</v>
      </c>
    </row>
    <row r="7120" spans="1:10" x14ac:dyDescent="0.3">
      <c r="A7120" t="str">
        <f>HYPERLINK("https://us2.cloudbeds.com/connect/10074733072513#/reservations/31672917381325?display=MH5ZETDRY&amp;reservation_id=31672917381325", "MH5ZETDRY")</f>
        <v>MH5ZETDRY</v>
      </c>
      <c r="B7120" t="s">
        <v>10</v>
      </c>
      <c r="C7120" t="s">
        <v>121</v>
      </c>
      <c r="D7120" t="str">
        <f>HYPERLINK("https://us2.cloudbeds.com/connect/10074733072513#/reservations/31672917381325?display=Randy%20Barnhardt&amp;reservation_id=31672917381325&amp;guest_id=31672917381321", "Randy Barnhardt")</f>
        <v>Randy Barnhardt</v>
      </c>
      <c r="E7120" t="s">
        <v>4841</v>
      </c>
      <c r="F7120" t="s">
        <v>4686</v>
      </c>
      <c r="G7120">
        <v>129</v>
      </c>
      <c r="H7120">
        <v>140.22999999999999</v>
      </c>
      <c r="I7120">
        <v>140.22</v>
      </c>
      <c r="J7120">
        <v>0.01</v>
      </c>
    </row>
    <row r="7121" spans="1:10" x14ac:dyDescent="0.3">
      <c r="A7121" t="str">
        <f>HYPERLINK("https://us2.cloudbeds.com/connect/10074733072513#/reservations/31674569011437?display=MH70YJF7W&amp;reservation_id=31674569011437", "MH70YJF7W")</f>
        <v>MH70YJF7W</v>
      </c>
      <c r="B7121" t="s">
        <v>10</v>
      </c>
      <c r="C7121" t="s">
        <v>42</v>
      </c>
      <c r="D7121" t="str">
        <f>HYPERLINK("https://us2.cloudbeds.com/connect/10074733072513#/reservations/31674569011437?display=Nathan%20Scherr&amp;reservation_id=31674569011437&amp;guest_id=31674560323732", "Nathan Scherr")</f>
        <v>Nathan Scherr</v>
      </c>
      <c r="E7121" t="s">
        <v>4842</v>
      </c>
      <c r="F7121" t="s">
        <v>4726</v>
      </c>
      <c r="G7121">
        <v>258</v>
      </c>
      <c r="H7121">
        <v>280.45999999999998</v>
      </c>
      <c r="I7121">
        <v>280.45</v>
      </c>
      <c r="J7121">
        <v>0.01</v>
      </c>
    </row>
    <row r="7122" spans="1:10" x14ac:dyDescent="0.3">
      <c r="A7122" t="str">
        <f>HYPERLINK("https://us2.cloudbeds.com/connect/10074733072513#/reservations/31674560319627?display=MH70E8JPQ&amp;reservation_id=31674560319627", "MH70E8JPQ")</f>
        <v>MH70E8JPQ</v>
      </c>
      <c r="B7122" t="s">
        <v>10</v>
      </c>
      <c r="C7122" t="s">
        <v>42</v>
      </c>
      <c r="D7122" t="str">
        <f>HYPERLINK("https://us2.cloudbeds.com/connect/10074733072513#/reservations/31674560319627?display=Karla%20Hoffmann&amp;reservation_id=31674560319627&amp;guest_id=31674550214906", "Karla Hoffmann")</f>
        <v>Karla Hoffmann</v>
      </c>
      <c r="E7122" t="s">
        <v>4838</v>
      </c>
      <c r="F7122" t="s">
        <v>4726</v>
      </c>
      <c r="G7122">
        <v>258</v>
      </c>
      <c r="H7122">
        <v>280.45999999999998</v>
      </c>
      <c r="I7122">
        <v>280.45</v>
      </c>
      <c r="J7122">
        <v>0.01</v>
      </c>
    </row>
    <row r="7123" spans="1:10" x14ac:dyDescent="0.3">
      <c r="A7123" t="str">
        <f>HYPERLINK("https://us2.cloudbeds.com/connect/10074733072513#/reservations/31672867147971?display=MH5N5HJSQ&amp;reservation_id=31672867147971", "MH5N5HJSQ")</f>
        <v>MH5N5HJSQ</v>
      </c>
      <c r="B7123" t="s">
        <v>10</v>
      </c>
      <c r="C7123" t="s">
        <v>42</v>
      </c>
      <c r="D7123" t="str">
        <f>HYPERLINK("https://us2.cloudbeds.com/connect/10074733072513#/reservations/31672867147971?display=Shawn%20Raymond&amp;reservation_id=31672867147971&amp;guest_id=31672867143878", "Shawn Raymond")</f>
        <v>Shawn Raymond</v>
      </c>
      <c r="E7123" t="s">
        <v>4843</v>
      </c>
      <c r="F7123" t="s">
        <v>4686</v>
      </c>
      <c r="G7123">
        <v>253</v>
      </c>
      <c r="H7123">
        <v>275.02</v>
      </c>
      <c r="I7123">
        <v>275.01</v>
      </c>
      <c r="J7123">
        <v>0.01</v>
      </c>
    </row>
    <row r="7124" spans="1:10" x14ac:dyDescent="0.3">
      <c r="A7124" t="str">
        <f>HYPERLINK("https://us2.cloudbeds.com/connect/10074733072513#/reservations/31671907434632?display=MH4VY95DD&amp;reservation_id=31671907434632", "MH4VY95DD")</f>
        <v>MH4VY95DD</v>
      </c>
      <c r="B7124" t="s">
        <v>10</v>
      </c>
      <c r="C7124" t="s">
        <v>42</v>
      </c>
      <c r="D7124" t="str">
        <f>HYPERLINK("https://us2.cloudbeds.com/connect/10074733072513#/reservations/31671907434632?display=Katie%20Larson&amp;reservation_id=31671907434632&amp;guest_id=31671907434627", "Katie Larson")</f>
        <v>Katie Larson</v>
      </c>
      <c r="E7124" t="s">
        <v>4844</v>
      </c>
      <c r="F7124" t="s">
        <v>4300</v>
      </c>
      <c r="G7124">
        <v>338</v>
      </c>
      <c r="H7124">
        <v>367.42</v>
      </c>
      <c r="I7124">
        <v>367.41</v>
      </c>
      <c r="J7124">
        <v>0.01</v>
      </c>
    </row>
    <row r="7125" spans="1:10" x14ac:dyDescent="0.3">
      <c r="A7125" t="str">
        <f>HYPERLINK("https://us2.cloudbeds.com/connect/10074733072513#/reservations/31673836216457?display=MH6EUMBUG&amp;reservation_id=31673836216457", "MH6EUMBUG")</f>
        <v>MH6EUMBUG</v>
      </c>
      <c r="B7125" t="s">
        <v>10</v>
      </c>
      <c r="C7125" t="s">
        <v>23</v>
      </c>
      <c r="D7125" t="str">
        <f>HYPERLINK("https://us2.cloudbeds.com/connect/10074733072513#/reservations/31673836216457?display=Marissa%20Van%20Veldhuizen&amp;reservation_id=31673836216457&amp;guest_id=31673836216452", "Marissa Van Veldhuizen")</f>
        <v>Marissa Van Veldhuizen</v>
      </c>
      <c r="E7125" t="s">
        <v>4848</v>
      </c>
      <c r="F7125" t="s">
        <v>4849</v>
      </c>
      <c r="G7125">
        <v>169</v>
      </c>
      <c r="H7125">
        <v>183.71</v>
      </c>
      <c r="I7125">
        <v>183.7</v>
      </c>
      <c r="J7125">
        <v>0.01</v>
      </c>
    </row>
    <row r="7126" spans="1:10" x14ac:dyDescent="0.3">
      <c r="A7126" t="str">
        <f>HYPERLINK("https://us2.cloudbeds.com/connect/10074733072513#/reservations/31675609100522?display=MH7R7KFY1&amp;reservation_id=31675609100522", "MH7R7KFY1")</f>
        <v>MH7R7KFY1</v>
      </c>
      <c r="B7126" t="s">
        <v>10</v>
      </c>
      <c r="C7126" t="s">
        <v>42</v>
      </c>
      <c r="D7126" t="str">
        <f>HYPERLINK("https://us2.cloudbeds.com/connect/10074733072513#/reservations/31675609100522?display=Sheri%20Schneck&amp;reservation_id=31675609100522&amp;guest_id=31674482241768", "Sheri Schneck")</f>
        <v>Sheri Schneck</v>
      </c>
      <c r="E7126" t="s">
        <v>4263</v>
      </c>
      <c r="F7126" t="s">
        <v>3836</v>
      </c>
      <c r="G7126">
        <v>258</v>
      </c>
      <c r="H7126">
        <v>280.45999999999998</v>
      </c>
      <c r="I7126">
        <v>280.45</v>
      </c>
      <c r="J7126">
        <v>0.01</v>
      </c>
    </row>
    <row r="7127" spans="1:10" x14ac:dyDescent="0.3">
      <c r="A7127" t="str">
        <f>HYPERLINK("https://us2.cloudbeds.com/connect/10074733072513#/reservations/31675619279047?display=MH7RG6NA6&amp;reservation_id=31675619279047", "MH7RG6NA6")</f>
        <v>MH7RG6NA6</v>
      </c>
      <c r="B7127" t="s">
        <v>10</v>
      </c>
      <c r="C7127" t="s">
        <v>42</v>
      </c>
      <c r="D7127" t="str">
        <f>HYPERLINK("https://us2.cloudbeds.com/connect/10074733072513#/reservations/31675619279047?display=Sherri%20Schneck&amp;reservation_id=31675619279047&amp;guest_id=30652527468760", "Sherri Schneck")</f>
        <v>Sherri Schneck</v>
      </c>
      <c r="E7127" t="s">
        <v>4851</v>
      </c>
      <c r="F7127" t="s">
        <v>3836</v>
      </c>
      <c r="G7127">
        <v>258</v>
      </c>
      <c r="H7127">
        <v>280.45999999999998</v>
      </c>
      <c r="I7127">
        <v>280.45</v>
      </c>
      <c r="J7127">
        <v>0.01</v>
      </c>
    </row>
    <row r="7128" spans="1:10" x14ac:dyDescent="0.3">
      <c r="A7128" t="str">
        <f>HYPERLINK("https://us2.cloudbeds.com/connect/10074733072513#/reservations/31674482241770?display=MH6VEDVV4&amp;reservation_id=31674482241770", "MH6VEDVV4")</f>
        <v>MH6VEDVV4</v>
      </c>
      <c r="B7128" t="s">
        <v>10</v>
      </c>
      <c r="C7128" t="s">
        <v>42</v>
      </c>
      <c r="D7128" t="str">
        <f>HYPERLINK("https://us2.cloudbeds.com/connect/10074733072513#/reservations/31674482241770?display=Sheri%20Schneck&amp;reservation_id=31674482241770&amp;guest_id=31674482241768", "Sheri Schneck")</f>
        <v>Sheri Schneck</v>
      </c>
      <c r="E7128" t="s">
        <v>4263</v>
      </c>
      <c r="F7128" t="s">
        <v>4854</v>
      </c>
      <c r="G7128">
        <v>258</v>
      </c>
      <c r="H7128">
        <v>280.45999999999998</v>
      </c>
      <c r="I7128">
        <v>280.45</v>
      </c>
      <c r="J7128">
        <v>0.01</v>
      </c>
    </row>
    <row r="7129" spans="1:10" x14ac:dyDescent="0.3">
      <c r="A7129" t="str">
        <f>HYPERLINK("https://us2.cloudbeds.com/connect/10074733072513#/reservations/31671831888117?display=MH4TNXW12&amp;reservation_id=31671831888117", "MH4TNXW12")</f>
        <v>MH4TNXW12</v>
      </c>
      <c r="B7129" t="s">
        <v>10</v>
      </c>
      <c r="C7129" t="s">
        <v>23</v>
      </c>
      <c r="D7129" t="str">
        <f>HYPERLINK("https://us2.cloudbeds.com/connect/10074733072513#/reservations/31671831888117?display=Maggie%20Fiscel&amp;reservation_id=31671831888117&amp;guest_id=31671831888100", "Maggie Fiscel")</f>
        <v>Maggie Fiscel</v>
      </c>
      <c r="E7129" t="s">
        <v>4855</v>
      </c>
      <c r="F7129" t="s">
        <v>4300</v>
      </c>
      <c r="G7129">
        <v>149</v>
      </c>
      <c r="H7129">
        <v>161.97</v>
      </c>
      <c r="I7129">
        <v>161.96</v>
      </c>
      <c r="J7129">
        <v>0.01</v>
      </c>
    </row>
    <row r="7130" spans="1:10" x14ac:dyDescent="0.3">
      <c r="A7130" t="str">
        <f>HYPERLINK("https://us2.cloudbeds.com/connect/10074733072513#/reservations/31672794804366?display=MH5YAHHYB&amp;reservation_id=31672794804366", "MH5YAHHYB")</f>
        <v>MH5YAHHYB</v>
      </c>
      <c r="B7130" t="s">
        <v>10</v>
      </c>
      <c r="C7130" t="s">
        <v>42</v>
      </c>
      <c r="D7130" t="str">
        <f>HYPERLINK("https://us2.cloudbeds.com/connect/10074733072513#/reservations/31672794804366?display=Kim%20Ziemer&amp;reservation_id=31672794804366&amp;guest_id=31672794804356", "Kim Ziemer")</f>
        <v>Kim Ziemer</v>
      </c>
      <c r="E7130" t="s">
        <v>4838</v>
      </c>
      <c r="F7130" t="s">
        <v>4726</v>
      </c>
      <c r="G7130">
        <v>258</v>
      </c>
      <c r="H7130">
        <v>280.45999999999998</v>
      </c>
      <c r="I7130">
        <v>280.45</v>
      </c>
      <c r="J7130">
        <v>0.01</v>
      </c>
    </row>
    <row r="7131" spans="1:10" x14ac:dyDescent="0.3">
      <c r="A7131" t="str">
        <f>HYPERLINK("https://us2.cloudbeds.com/connect/10074733072513#/reservations/31674680484058?display=MH73GJBK6&amp;reservation_id=31674680484058", "MH73GJBK6")</f>
        <v>MH73GJBK6</v>
      </c>
      <c r="B7131" t="s">
        <v>10</v>
      </c>
      <c r="C7131" t="s">
        <v>20</v>
      </c>
      <c r="D7131" t="str">
        <f>HYPERLINK("https://us2.cloudbeds.com/connect/10074733072513#/reservations/31674680484058?display=Teresa%20Terres&amp;reservation_id=31674680484058&amp;guest_id=31674680484043", "Teresa Terres")</f>
        <v>Teresa Terres</v>
      </c>
      <c r="E7131" t="s">
        <v>4857</v>
      </c>
      <c r="F7131" t="s">
        <v>4854</v>
      </c>
      <c r="G7131">
        <v>139</v>
      </c>
      <c r="H7131">
        <v>151.1</v>
      </c>
      <c r="I7131">
        <v>151.09</v>
      </c>
      <c r="J7131">
        <v>0.01</v>
      </c>
    </row>
    <row r="7132" spans="1:10" x14ac:dyDescent="0.3">
      <c r="A7132" t="str">
        <f>HYPERLINK("https://us2.cloudbeds.com/connect/10074733072513#/reservations/31674671505541?display=MH7390GSU&amp;reservation_id=31674671505541", "MH7390GSU")</f>
        <v>MH7390GSU</v>
      </c>
      <c r="B7132" t="s">
        <v>10</v>
      </c>
      <c r="C7132" t="s">
        <v>20</v>
      </c>
      <c r="D7132" t="str">
        <f>HYPERLINK("https://us2.cloudbeds.com/connect/10074733072513#/reservations/31674671505541?display=Elodie%20Worm&amp;reservation_id=31674671505541&amp;guest_id=31674671505538", "Elodie Worm")</f>
        <v>Elodie Worm</v>
      </c>
      <c r="E7132" t="s">
        <v>4857</v>
      </c>
      <c r="F7132" t="s">
        <v>4854</v>
      </c>
      <c r="G7132">
        <v>139</v>
      </c>
      <c r="H7132">
        <v>151.1</v>
      </c>
      <c r="I7132">
        <v>151.09</v>
      </c>
      <c r="J7132">
        <v>0.01</v>
      </c>
    </row>
    <row r="7133" spans="1:10" x14ac:dyDescent="0.3">
      <c r="A7133" t="str">
        <f>HYPERLINK("https://us2.cloudbeds.com/connect/10074733072513#/reservations/31673462980772?display=MH65CVHE7&amp;reservation_id=31673462980772", "MH65CVHE7")</f>
        <v>MH65CVHE7</v>
      </c>
      <c r="B7133" t="s">
        <v>10</v>
      </c>
      <c r="C7133" t="s">
        <v>42</v>
      </c>
      <c r="D7133" t="str">
        <f>HYPERLINK("https://us2.cloudbeds.com/connect/10074733072513#/reservations/31673462980772?display=Brandon%20Claussen&amp;reservation_id=31673462980772&amp;guest_id=31673454727383", "Brandon Claussen")</f>
        <v>Brandon Claussen</v>
      </c>
      <c r="E7133" t="s">
        <v>4860</v>
      </c>
      <c r="F7133" t="s">
        <v>4300</v>
      </c>
      <c r="G7133">
        <v>149</v>
      </c>
      <c r="H7133">
        <v>161.97</v>
      </c>
      <c r="I7133">
        <v>161.96</v>
      </c>
      <c r="J7133">
        <v>0.01</v>
      </c>
    </row>
    <row r="7134" spans="1:10" x14ac:dyDescent="0.3">
      <c r="A7134" t="str">
        <f>HYPERLINK("https://us2.cloudbeds.com/connect/10074733072513#/reservations/31673418522754?display=MH648FDQX&amp;reservation_id=31673418522754", "MH648FDQX")</f>
        <v>MH648FDQX</v>
      </c>
      <c r="B7134" t="s">
        <v>10</v>
      </c>
      <c r="C7134" t="s">
        <v>11</v>
      </c>
      <c r="D7134" t="str">
        <f>HYPERLINK("https://us2.cloudbeds.com/connect/10074733072513#/reservations/31673418522754?display=Londa%20Cardillo&amp;reservation_id=31673418522754&amp;guest_id=31673418518711", "Londa Cardillo")</f>
        <v>Londa Cardillo</v>
      </c>
      <c r="E7134" t="s">
        <v>4862</v>
      </c>
      <c r="F7134" t="s">
        <v>4300</v>
      </c>
      <c r="G7134">
        <v>211.88</v>
      </c>
      <c r="H7134">
        <v>230.32</v>
      </c>
      <c r="I7134">
        <v>230.31</v>
      </c>
      <c r="J7134">
        <v>0.01</v>
      </c>
    </row>
    <row r="7135" spans="1:10" x14ac:dyDescent="0.3">
      <c r="A7135" t="str">
        <f>HYPERLINK("https://us2.cloudbeds.com/connect/10074733072513#/reservations/31677363572865?display=MH95PNDA6&amp;reservation_id=31677363572865", "MH95PNDA6")</f>
        <v>MH95PNDA6</v>
      </c>
      <c r="B7135" t="s">
        <v>10</v>
      </c>
      <c r="C7135" t="s">
        <v>20</v>
      </c>
      <c r="D7135" t="str">
        <f>HYPERLINK("https://us2.cloudbeds.com/connect/10074733072513#/reservations/31677363572865?display=Caitlin%20Heffern&amp;reservation_id=31677363572865&amp;guest_id=31677352505589", "Caitlin Heffern")</f>
        <v>Caitlin Heffern</v>
      </c>
      <c r="E7135" t="s">
        <v>4866</v>
      </c>
      <c r="F7135" t="s">
        <v>4347</v>
      </c>
      <c r="G7135">
        <v>179</v>
      </c>
      <c r="H7135">
        <v>194.58</v>
      </c>
      <c r="I7135">
        <v>194.57</v>
      </c>
      <c r="J7135">
        <v>0.01</v>
      </c>
    </row>
    <row r="7136" spans="1:10" x14ac:dyDescent="0.3">
      <c r="A7136" t="str">
        <f>HYPERLINK("https://us2.cloudbeds.com/connect/10074733072513#/reservations/31674228822146?display=MH6ZVZ6CJ&amp;reservation_id=31674228822146", "MH6ZVZ6CJ")</f>
        <v>MH6ZVZ6CJ</v>
      </c>
      <c r="B7136" t="s">
        <v>10</v>
      </c>
      <c r="C7136" t="s">
        <v>42</v>
      </c>
      <c r="D7136" t="str">
        <f>HYPERLINK("https://us2.cloudbeds.com/connect/10074733072513#/reservations/31674228822146?display=Vickie%20Schultz&amp;reservation_id=31674228822146&amp;guest_id=31674220826866", "Vickie Schultz")</f>
        <v>Vickie Schultz</v>
      </c>
      <c r="E7136" t="s">
        <v>4872</v>
      </c>
      <c r="F7136" t="s">
        <v>4141</v>
      </c>
      <c r="G7136">
        <v>169</v>
      </c>
      <c r="H7136">
        <v>183.71</v>
      </c>
      <c r="I7136">
        <v>183.7</v>
      </c>
      <c r="J7136">
        <v>0.01</v>
      </c>
    </row>
    <row r="7137" spans="1:10" x14ac:dyDescent="0.3">
      <c r="A7137" t="str">
        <f>HYPERLINK("https://us2.cloudbeds.com/connect/10074733072513#/reservations/31673519255795?display=MH66RDF9V&amp;reservation_id=31673519255795", "MH66RDF9V")</f>
        <v>MH66RDF9V</v>
      </c>
      <c r="B7137" t="s">
        <v>10</v>
      </c>
      <c r="C7137" t="s">
        <v>42</v>
      </c>
      <c r="D7137" t="str">
        <f>HYPERLINK("https://us2.cloudbeds.com/connect/10074733072513#/reservations/31673519255795?display=Scott%20Taverna&amp;reservation_id=31673519255795&amp;guest_id=30672031518881", "Scott Taverna")</f>
        <v>Scott Taverna</v>
      </c>
      <c r="E7137" t="s">
        <v>2566</v>
      </c>
      <c r="F7137" t="s">
        <v>4587</v>
      </c>
      <c r="G7137">
        <v>129</v>
      </c>
      <c r="H7137">
        <v>140.22999999999999</v>
      </c>
      <c r="I7137">
        <v>140.22</v>
      </c>
      <c r="J7137">
        <v>0.01</v>
      </c>
    </row>
    <row r="7138" spans="1:10" x14ac:dyDescent="0.3">
      <c r="A7138" t="str">
        <f>HYPERLINK("https://us2.cloudbeds.com/connect/10074733072513#/reservations/31689052610690?display=MHX7ZHVZ1&amp;reservation_id=31689052610690", "MHX7ZHVZ1")</f>
        <v>MHX7ZHVZ1</v>
      </c>
      <c r="B7138" t="s">
        <v>10</v>
      </c>
      <c r="C7138" t="s">
        <v>42</v>
      </c>
      <c r="D7138" t="str">
        <f>HYPERLINK("https://us2.cloudbeds.com/connect/10074733072513#/reservations/31689052610690?display=Susan%20Vizecky&amp;reservation_id=31689052610690&amp;guest_id=31689052610688", "Susan Vizecky")</f>
        <v>Susan Vizecky</v>
      </c>
      <c r="E7138" t="s">
        <v>4873</v>
      </c>
      <c r="F7138" t="s">
        <v>3785</v>
      </c>
      <c r="G7138">
        <v>278</v>
      </c>
      <c r="H7138">
        <v>302.2</v>
      </c>
      <c r="I7138">
        <v>302.19</v>
      </c>
      <c r="J7138">
        <v>0.01</v>
      </c>
    </row>
    <row r="7139" spans="1:10" x14ac:dyDescent="0.3">
      <c r="A7139" t="str">
        <f>HYPERLINK("https://us2.cloudbeds.com/connect/10074733072513#/reservations/31676787011809?display=MH8ZASJHF&amp;reservation_id=31676787011809", "MH8ZASJHF")</f>
        <v>MH8ZASJHF</v>
      </c>
      <c r="B7139" t="s">
        <v>10</v>
      </c>
      <c r="C7139" t="s">
        <v>42</v>
      </c>
      <c r="D7139" t="str">
        <f>HYPERLINK("https://us2.cloudbeds.com/connect/10074733072513#/reservations/31676787011809?display=Janet%20Lukow&amp;reservation_id=31676787011809&amp;guest_id=31676787011789", "Janet Lukow")</f>
        <v>Janet Lukow</v>
      </c>
      <c r="E7139" t="s">
        <v>4879</v>
      </c>
      <c r="F7139" t="s">
        <v>4530</v>
      </c>
      <c r="G7139">
        <v>149</v>
      </c>
      <c r="H7139">
        <v>161.97</v>
      </c>
      <c r="I7139">
        <v>161.96</v>
      </c>
      <c r="J7139">
        <v>0.01</v>
      </c>
    </row>
    <row r="7140" spans="1:10" x14ac:dyDescent="0.3">
      <c r="A7140" t="str">
        <f>HYPERLINK("https://us2.cloudbeds.com/connect/10074733072513#/reservations/31672088301703?display=MH538Q1SZ&amp;reservation_id=31672088301703", "MH538Q1SZ")</f>
        <v>MH538Q1SZ</v>
      </c>
      <c r="B7140" t="s">
        <v>10</v>
      </c>
      <c r="C7140" t="s">
        <v>11</v>
      </c>
      <c r="D7140" t="str">
        <f>HYPERLINK("https://us2.cloudbeds.com/connect/10074733072513#/reservations/31672088301703?display=Daniel%20Hayba&amp;reservation_id=31672088301703&amp;guest_id=31672080220410", "Daniel Hayba")</f>
        <v>Daniel Hayba</v>
      </c>
      <c r="E7140" t="s">
        <v>4880</v>
      </c>
      <c r="F7140" t="s">
        <v>4865</v>
      </c>
      <c r="G7140">
        <v>62.56</v>
      </c>
      <c r="H7140">
        <v>68.010000000000005</v>
      </c>
      <c r="I7140">
        <v>68</v>
      </c>
      <c r="J7140">
        <v>0.01</v>
      </c>
    </row>
    <row r="7141" spans="1:10" x14ac:dyDescent="0.3">
      <c r="A7141" t="str">
        <f>HYPERLINK("https://us2.cloudbeds.com/connect/10074733072513#/reservations/31672071794851?display=MH52RSZ23&amp;reservation_id=31672071794851", "MH52RSZ23")</f>
        <v>MH52RSZ23</v>
      </c>
      <c r="B7141" t="s">
        <v>10</v>
      </c>
      <c r="C7141" t="s">
        <v>42</v>
      </c>
      <c r="D7141" t="str">
        <f>HYPERLINK("https://us2.cloudbeds.com/connect/10074733072513#/reservations/31672071794851?display=Brandon%20Hinrichs&amp;reservation_id=31672071794851&amp;guest_id=30666617962723", "Brandon Hinrichs")</f>
        <v>Brandon Hinrichs</v>
      </c>
      <c r="E7141" t="s">
        <v>4886</v>
      </c>
      <c r="F7141" t="s">
        <v>4865</v>
      </c>
      <c r="G7141">
        <v>73</v>
      </c>
      <c r="H7141">
        <v>79.36</v>
      </c>
      <c r="I7141">
        <v>79.349999999999994</v>
      </c>
      <c r="J7141">
        <v>0.01</v>
      </c>
    </row>
    <row r="7142" spans="1:10" x14ac:dyDescent="0.3">
      <c r="A7142" t="str">
        <f>HYPERLINK("https://us2.cloudbeds.com/connect/10074733072513#/reservations/31672157036761?display=MH550ZNF9&amp;reservation_id=31672157036761", "MH550ZNF9")</f>
        <v>MH550ZNF9</v>
      </c>
      <c r="B7142" t="s">
        <v>10</v>
      </c>
      <c r="C7142" t="s">
        <v>42</v>
      </c>
      <c r="D7142" t="str">
        <f>HYPERLINK("https://us2.cloudbeds.com/connect/10074733072513#/reservations/31672157036761?display=Brian%20Visser&amp;reservation_id=31672157036761&amp;guest_id=31672157036743", "Brian Visser")</f>
        <v>Brian Visser</v>
      </c>
      <c r="E7142" t="s">
        <v>4887</v>
      </c>
      <c r="F7142" t="s">
        <v>4870</v>
      </c>
      <c r="G7142">
        <v>158</v>
      </c>
      <c r="H7142">
        <v>171.76</v>
      </c>
      <c r="I7142">
        <v>171.75</v>
      </c>
      <c r="J7142">
        <v>0.01</v>
      </c>
    </row>
    <row r="7143" spans="1:10" x14ac:dyDescent="0.3">
      <c r="A7143" t="str">
        <f>HYPERLINK("https://us2.cloudbeds.com/connect/10074733072513#/reservations/31673048154252?display=MH5RQ5C5K&amp;reservation_id=31673048154252", "MH5RQ5C5K")</f>
        <v>MH5RQ5C5K</v>
      </c>
      <c r="B7143" t="s">
        <v>10</v>
      </c>
      <c r="C7143" t="s">
        <v>42</v>
      </c>
      <c r="D7143" t="str">
        <f>HYPERLINK("https://us2.cloudbeds.com/connect/10074733072513#/reservations/31673048154252?display=John%20Aderman&amp;reservation_id=31673048154252&amp;guest_id=31673042698485", "John Aderman")</f>
        <v>John Aderman</v>
      </c>
      <c r="E7143" t="s">
        <v>4888</v>
      </c>
      <c r="F7143" t="s">
        <v>4870</v>
      </c>
      <c r="G7143">
        <v>99</v>
      </c>
      <c r="H7143">
        <v>107.62</v>
      </c>
      <c r="I7143">
        <v>107.61</v>
      </c>
      <c r="J7143">
        <v>0.01</v>
      </c>
    </row>
    <row r="7144" spans="1:10" x14ac:dyDescent="0.3">
      <c r="A7144" t="str">
        <f>HYPERLINK("https://us2.cloudbeds.com/connect/10074733072513#/reservations/31672188616933?display=MH55RCFN6&amp;reservation_id=31672188616933", "MH55RCFN6")</f>
        <v>MH55RCFN6</v>
      </c>
      <c r="B7144" t="s">
        <v>10</v>
      </c>
      <c r="C7144" t="s">
        <v>14</v>
      </c>
      <c r="D7144" t="str">
        <f>HYPERLINK("https://us2.cloudbeds.com/connect/10074733072513#/reservations/31672188616933?display=Edgar%20F%20Garcia%20Martinez&amp;reservation_id=31672188616933&amp;guest_id=31672188616928", "Edgar F Garcia Martinez")</f>
        <v>Edgar F Garcia Martinez</v>
      </c>
      <c r="E7144" t="s">
        <v>4890</v>
      </c>
      <c r="F7144" t="s">
        <v>4870</v>
      </c>
      <c r="G7144">
        <v>62.56</v>
      </c>
      <c r="H7144">
        <v>68.010000000000005</v>
      </c>
      <c r="I7144">
        <v>68</v>
      </c>
      <c r="J7144">
        <v>0.01</v>
      </c>
    </row>
    <row r="7145" spans="1:10" x14ac:dyDescent="0.3">
      <c r="A7145" t="str">
        <f>HYPERLINK("https://us2.cloudbeds.com/connect/10074733072513#/reservations/31672181969098?display=MH55YPG5Y&amp;reservation_id=31672181969098", "MH55YPG5Y")</f>
        <v>MH55YPG5Y</v>
      </c>
      <c r="B7145" t="s">
        <v>10</v>
      </c>
      <c r="C7145" t="s">
        <v>11</v>
      </c>
      <c r="D7145" t="str">
        <f>HYPERLINK("https://us2.cloudbeds.com/connect/10074733072513#/reservations/31672181969098?display=Lisa%20Gerety&amp;reservation_id=31672181969098&amp;guest_id=31672181969093", "Lisa Gerety")</f>
        <v>Lisa Gerety</v>
      </c>
      <c r="E7145" t="s">
        <v>4891</v>
      </c>
      <c r="F7145" t="s">
        <v>4870</v>
      </c>
      <c r="G7145">
        <v>62.56</v>
      </c>
      <c r="H7145">
        <v>68.010000000000005</v>
      </c>
      <c r="I7145">
        <v>68</v>
      </c>
      <c r="J7145">
        <v>0.01</v>
      </c>
    </row>
    <row r="7146" spans="1:10" x14ac:dyDescent="0.3">
      <c r="A7146" t="str">
        <f>HYPERLINK("https://us2.cloudbeds.com/connect/10074733072513#/reservations/31672120459467?display=MH542TTGE&amp;reservation_id=31672120459467", "MH542TTGE")</f>
        <v>MH542TTGE</v>
      </c>
      <c r="B7146" t="s">
        <v>10</v>
      </c>
      <c r="C7146" t="s">
        <v>121</v>
      </c>
      <c r="D7146" t="str">
        <f>HYPERLINK("https://us2.cloudbeds.com/connect/10074733072513#/reservations/31672120459467?display=James%20Fritz&amp;reservation_id=31672120459467&amp;guest_id=31672120455365", "James Fritz")</f>
        <v>James Fritz</v>
      </c>
      <c r="E7146" t="s">
        <v>4892</v>
      </c>
      <c r="F7146" t="s">
        <v>4870</v>
      </c>
      <c r="G7146">
        <v>99</v>
      </c>
      <c r="H7146">
        <v>107.62</v>
      </c>
      <c r="I7146">
        <v>107.61</v>
      </c>
      <c r="J7146">
        <v>0.01</v>
      </c>
    </row>
    <row r="7147" spans="1:10" x14ac:dyDescent="0.3">
      <c r="A7147" t="str">
        <f>HYPERLINK("https://us2.cloudbeds.com/connect/10074733072513#/reservations/31672171450580?display=MH55CTQ9M&amp;reservation_id=31672171450580", "MH55CTQ9M")</f>
        <v>MH55CTQ9M</v>
      </c>
      <c r="B7147" t="s">
        <v>10</v>
      </c>
      <c r="C7147" t="s">
        <v>11</v>
      </c>
      <c r="D7147" t="str">
        <f>HYPERLINK("https://us2.cloudbeds.com/connect/10074733072513#/reservations/31672171450580?display=Seth%20Gardner&amp;reservation_id=31672171450580&amp;guest_id=31672165531831", "Seth Gardner")</f>
        <v>Seth Gardner</v>
      </c>
      <c r="E7147" t="s">
        <v>4893</v>
      </c>
      <c r="F7147" t="s">
        <v>4870</v>
      </c>
      <c r="G7147">
        <v>70.39</v>
      </c>
      <c r="H7147">
        <v>76.52</v>
      </c>
      <c r="I7147">
        <v>76.510000000000005</v>
      </c>
      <c r="J7147">
        <v>0.01</v>
      </c>
    </row>
    <row r="7148" spans="1:10" x14ac:dyDescent="0.3">
      <c r="A7148" t="str">
        <f>HYPERLINK("https://us2.cloudbeds.com/connect/10074733072513#/reservations/31672611541171?display=MH5GKWVT6&amp;reservation_id=31672611541171", "MH5GKWVT6")</f>
        <v>MH5GKWVT6</v>
      </c>
      <c r="B7148" t="s">
        <v>10</v>
      </c>
      <c r="C7148" t="s">
        <v>23</v>
      </c>
      <c r="D7148" t="str">
        <f>HYPERLINK("https://us2.cloudbeds.com/connect/10074733072513#/reservations/31672611541171?display=Kim%20Franzen&amp;reservation_id=31672611541171&amp;guest_id=31672611541169", "Kim Franzen")</f>
        <v>Kim Franzen</v>
      </c>
      <c r="E7148" t="s">
        <v>4894</v>
      </c>
      <c r="F7148" t="s">
        <v>4627</v>
      </c>
      <c r="G7148">
        <v>139</v>
      </c>
      <c r="H7148">
        <v>151.1</v>
      </c>
      <c r="I7148">
        <v>151.09</v>
      </c>
      <c r="J7148">
        <v>0.01</v>
      </c>
    </row>
    <row r="7149" spans="1:10" x14ac:dyDescent="0.3">
      <c r="A7149" t="str">
        <f>HYPERLINK("https://us2.cloudbeds.com/connect/10074733072513#/reservations/31673525764296?display=MH66WTXT8&amp;reservation_id=31673525764296", "MH66WTXT8")</f>
        <v>MH66WTXT8</v>
      </c>
      <c r="B7149" t="s">
        <v>10</v>
      </c>
      <c r="C7149" t="s">
        <v>121</v>
      </c>
      <c r="D7149" t="str">
        <f>HYPERLINK("https://us2.cloudbeds.com/connect/10074733072513#/reservations/31673525764296?display=Thomas%20Jurgens&amp;reservation_id=31673525764296&amp;guest_id=31673525764292", "Thomas Jurgens")</f>
        <v>Thomas Jurgens</v>
      </c>
      <c r="E7149" t="s">
        <v>4895</v>
      </c>
      <c r="F7149" t="s">
        <v>4865</v>
      </c>
      <c r="G7149">
        <v>139</v>
      </c>
      <c r="H7149">
        <v>151.1</v>
      </c>
      <c r="I7149">
        <v>151.09</v>
      </c>
      <c r="J7149">
        <v>0.01</v>
      </c>
    </row>
    <row r="7150" spans="1:10" x14ac:dyDescent="0.3">
      <c r="A7150" t="str">
        <f>HYPERLINK("https://us2.cloudbeds.com/connect/10074733072513#/reservations/31673276518601?display=MH60KNV4D&amp;reservation_id=31673276518601", "MH60KNV4D")</f>
        <v>MH60KNV4D</v>
      </c>
      <c r="B7150" t="s">
        <v>10</v>
      </c>
      <c r="C7150" t="s">
        <v>42</v>
      </c>
      <c r="D7150" t="str">
        <f>HYPERLINK("https://us2.cloudbeds.com/connect/10074733072513#/reservations/31673276518601?display=Shanda%20Madsen&amp;reservation_id=31673276518601&amp;guest_id=31673276514555", "Shanda Madsen")</f>
        <v>Shanda Madsen</v>
      </c>
      <c r="E7150" t="s">
        <v>4898</v>
      </c>
      <c r="F7150" t="s">
        <v>3834</v>
      </c>
      <c r="G7150">
        <v>238</v>
      </c>
      <c r="H7150">
        <v>258.72000000000003</v>
      </c>
      <c r="I7150">
        <v>258.70999999999998</v>
      </c>
      <c r="J7150">
        <v>0.01</v>
      </c>
    </row>
    <row r="7151" spans="1:10" x14ac:dyDescent="0.3">
      <c r="A7151" t="str">
        <f>HYPERLINK("https://us2.cloudbeds.com/connect/10074733072513#/reservations/31672130969830?display=MH54BPBT9&amp;reservation_id=31672130969830", "MH54BPBT9")</f>
        <v>MH54BPBT9</v>
      </c>
      <c r="B7151" t="s">
        <v>10</v>
      </c>
      <c r="C7151" t="s">
        <v>42</v>
      </c>
      <c r="D7151" t="str">
        <f>HYPERLINK("https://us2.cloudbeds.com/connect/10074733072513#/reservations/31672130969830?display=Dennis%20Adjahli&amp;reservation_id=31672130969830&amp;guest_id=31672130969828", "Dennis Adjahli")</f>
        <v>Dennis Adjahli</v>
      </c>
      <c r="E7151" t="s">
        <v>4902</v>
      </c>
      <c r="F7151" t="s">
        <v>4870</v>
      </c>
      <c r="G7151">
        <v>99</v>
      </c>
      <c r="H7151">
        <v>107.62</v>
      </c>
      <c r="I7151">
        <v>107.61</v>
      </c>
      <c r="J7151">
        <v>0.01</v>
      </c>
    </row>
    <row r="7152" spans="1:10" x14ac:dyDescent="0.3">
      <c r="A7152" t="str">
        <f>HYPERLINK("https://us2.cloudbeds.com/connect/10074733072513#/reservations/31673794273478?display=MH6DSA7Q4&amp;reservation_id=31673794273478", "MH6DSA7Q4")</f>
        <v>MH6DSA7Q4</v>
      </c>
      <c r="B7152" t="s">
        <v>10</v>
      </c>
      <c r="C7152" t="s">
        <v>23</v>
      </c>
      <c r="D7152" t="str">
        <f>HYPERLINK("https://us2.cloudbeds.com/connect/10074733072513#/reservations/31673794273478?display=Raena%20Mcdowell&amp;reservation_id=31673794273478&amp;guest_id=31673794273472", "Raena Mcdowell")</f>
        <v>Raena Mcdowell</v>
      </c>
      <c r="E7152" t="s">
        <v>4903</v>
      </c>
      <c r="F7152" t="s">
        <v>4904</v>
      </c>
      <c r="G7152">
        <v>338</v>
      </c>
      <c r="H7152">
        <v>367.42</v>
      </c>
      <c r="I7152">
        <v>367.41</v>
      </c>
      <c r="J7152">
        <v>0.01</v>
      </c>
    </row>
    <row r="7153" spans="1:10" x14ac:dyDescent="0.3">
      <c r="A7153" t="str">
        <f>HYPERLINK("https://us2.cloudbeds.com/connect/10074733072513#/reservations/31673996325082?display=MH6J0MKF0&amp;reservation_id=31673996325082", "MH6J0MKF0")</f>
        <v>MH6J0MKF0</v>
      </c>
      <c r="B7153" t="s">
        <v>10</v>
      </c>
      <c r="C7153" t="s">
        <v>20</v>
      </c>
      <c r="D7153" t="str">
        <f>HYPERLINK("https://us2.cloudbeds.com/connect/10074733072513#/reservations/31673996325082?display=Mary%20Van%20Oort&amp;reservation_id=31673996325082&amp;guest_id=31673996325078", "Mary Van Oort")</f>
        <v>Mary Van Oort</v>
      </c>
      <c r="E7153" t="s">
        <v>4905</v>
      </c>
      <c r="F7153" t="s">
        <v>4849</v>
      </c>
      <c r="G7153">
        <v>139</v>
      </c>
      <c r="H7153">
        <v>151.1</v>
      </c>
      <c r="I7153">
        <v>151.09</v>
      </c>
      <c r="J7153">
        <v>0.01</v>
      </c>
    </row>
    <row r="7154" spans="1:10" x14ac:dyDescent="0.3">
      <c r="A7154" t="str">
        <f>HYPERLINK("https://us2.cloudbeds.com/connect/10074733072513#/reservations/31673054720223?display=MH5RVN2HE&amp;reservation_id=31673054720223", "MH5RVN2HE")</f>
        <v>MH5RVN2HE</v>
      </c>
      <c r="B7154" t="s">
        <v>10</v>
      </c>
      <c r="C7154" t="s">
        <v>121</v>
      </c>
      <c r="D7154" t="str">
        <f>HYPERLINK("https://us2.cloudbeds.com/connect/10074733072513#/reservations/31673054720223?display=Brock%20Smith&amp;reservation_id=31673054720223&amp;guest_id=30685118128301", "Brock Smith")</f>
        <v>Brock Smith</v>
      </c>
      <c r="E7154" t="s">
        <v>3409</v>
      </c>
      <c r="F7154" t="s">
        <v>4885</v>
      </c>
      <c r="G7154">
        <v>73</v>
      </c>
      <c r="H7154">
        <v>79.36</v>
      </c>
      <c r="I7154">
        <v>79.349999999999994</v>
      </c>
      <c r="J7154">
        <v>0.01</v>
      </c>
    </row>
    <row r="7155" spans="1:10" x14ac:dyDescent="0.3">
      <c r="A7155" t="str">
        <f>HYPERLINK("https://us2.cloudbeds.com/connect/10074733072513#/reservations/31672415592655?display=MH5BKPDHC&amp;reservation_id=31672415592655", "MH5BKPDHC")</f>
        <v>MH5BKPDHC</v>
      </c>
      <c r="B7155" t="s">
        <v>10</v>
      </c>
      <c r="C7155" t="s">
        <v>42</v>
      </c>
      <c r="D7155" t="str">
        <f>HYPERLINK("https://us2.cloudbeds.com/connect/10074733072513#/reservations/31672415592655?display=Cris%20Graham&amp;reservation_id=31672415592655&amp;guest_id=31672415592650", "Cris Graham")</f>
        <v>Cris Graham</v>
      </c>
      <c r="E7155" t="s">
        <v>4906</v>
      </c>
      <c r="F7155" t="s">
        <v>4818</v>
      </c>
      <c r="G7155">
        <v>642.6</v>
      </c>
      <c r="H7155">
        <v>698.52</v>
      </c>
      <c r="I7155">
        <v>698.51</v>
      </c>
      <c r="J7155">
        <v>0.01</v>
      </c>
    </row>
    <row r="7156" spans="1:10" x14ac:dyDescent="0.3">
      <c r="A7156" t="str">
        <f>HYPERLINK("https://us2.cloudbeds.com/connect/10074733072513#/reservations/31672800886994?display=MH5YFYQ5C&amp;reservation_id=31672800886994", "MH5YFYQ5C")</f>
        <v>MH5YFYQ5C</v>
      </c>
      <c r="B7156" t="s">
        <v>10</v>
      </c>
      <c r="C7156" t="s">
        <v>42</v>
      </c>
      <c r="D7156" t="str">
        <f>HYPERLINK("https://us2.cloudbeds.com/connect/10074733072513#/reservations/31672800886994?display=Elise%20Smith&amp;reservation_id=31672800886994&amp;guest_id=31672800882916", "Elise Smith")</f>
        <v>Elise Smith</v>
      </c>
      <c r="E7156" t="s">
        <v>4838</v>
      </c>
      <c r="F7156" t="s">
        <v>4726</v>
      </c>
      <c r="G7156">
        <v>258</v>
      </c>
      <c r="H7156">
        <v>280.45999999999998</v>
      </c>
      <c r="I7156">
        <v>280.45</v>
      </c>
      <c r="J7156">
        <v>0.01</v>
      </c>
    </row>
    <row r="7157" spans="1:10" x14ac:dyDescent="0.3">
      <c r="A7157" t="str">
        <f>HYPERLINK("https://us2.cloudbeds.com/connect/10074733072513#/reservations/31673248768227?display=MH5WUAZMW&amp;reservation_id=31673248768227", "MH5WUAZMW")</f>
        <v>MH5WUAZMW</v>
      </c>
      <c r="B7157" t="s">
        <v>10</v>
      </c>
      <c r="C7157" t="s">
        <v>23</v>
      </c>
      <c r="D7157" t="str">
        <f>HYPERLINK("https://us2.cloudbeds.com/connect/10074733072513#/reservations/31673248768227?display=Vitaliy%20Kharkovets&amp;reservation_id=31673248768227&amp;guest_id=31673242153100", "Vitaliy Kharkovets")</f>
        <v>Vitaliy Kharkovets</v>
      </c>
      <c r="E7157" t="s">
        <v>4907</v>
      </c>
      <c r="F7157" t="s">
        <v>4908</v>
      </c>
      <c r="G7157">
        <v>99</v>
      </c>
      <c r="H7157">
        <v>107.62</v>
      </c>
      <c r="I7157">
        <v>107.61</v>
      </c>
      <c r="J7157">
        <v>0.01</v>
      </c>
    </row>
    <row r="7158" spans="1:10" x14ac:dyDescent="0.3">
      <c r="A7158" t="str">
        <f>HYPERLINK("https://us2.cloudbeds.com/connect/10074733072513#/reservations/31672837185684?display=MH5MD8S9N&amp;reservation_id=31672837185684", "MH5MD8S9N")</f>
        <v>MH5MD8S9N</v>
      </c>
      <c r="B7158" t="s">
        <v>10</v>
      </c>
      <c r="C7158" t="s">
        <v>42</v>
      </c>
      <c r="D7158" t="str">
        <f>HYPERLINK("https://us2.cloudbeds.com/connect/10074733072513#/reservations/31672837185684?display=Dave%20Mccandless&amp;reservation_id=31672837185684&amp;guest_id=30683295551650", "Dave Mccandless")</f>
        <v>Dave Mccandless</v>
      </c>
      <c r="E7158" t="s">
        <v>3497</v>
      </c>
      <c r="F7158" t="s">
        <v>4909</v>
      </c>
      <c r="G7158">
        <v>89</v>
      </c>
      <c r="H7158">
        <v>96.75</v>
      </c>
      <c r="I7158">
        <v>96.74</v>
      </c>
      <c r="J7158">
        <v>0.01</v>
      </c>
    </row>
    <row r="7159" spans="1:10" x14ac:dyDescent="0.3">
      <c r="A7159" t="str">
        <f>HYPERLINK("https://us2.cloudbeds.com/connect/10074733072513#/reservations/31673211605196?display=MH5VVWKSH&amp;reservation_id=31673211605196", "MH5VVWKSH")</f>
        <v>MH5VVWKSH</v>
      </c>
      <c r="B7159" t="s">
        <v>10</v>
      </c>
      <c r="C7159" t="s">
        <v>11</v>
      </c>
      <c r="D7159" t="str">
        <f>HYPERLINK("https://us2.cloudbeds.com/connect/10074733072513#/reservations/31673211605196?display=Denis%20Adjahli&amp;reservation_id=31673211605196&amp;guest_id=31673203593471", "Denis Adjahli")</f>
        <v>Denis Adjahli</v>
      </c>
      <c r="E7159" t="s">
        <v>709</v>
      </c>
      <c r="F7159" t="s">
        <v>4885</v>
      </c>
      <c r="G7159">
        <v>77.5</v>
      </c>
      <c r="H7159">
        <v>84.25</v>
      </c>
      <c r="I7159">
        <v>84.24</v>
      </c>
      <c r="J7159">
        <v>0.01</v>
      </c>
    </row>
    <row r="7160" spans="1:10" x14ac:dyDescent="0.3">
      <c r="A7160" t="str">
        <f>HYPERLINK("https://us2.cloudbeds.com/connect/10074733072513#/reservations/31673242149007?display=MH5WZZXEX&amp;reservation_id=31673242149007", "MH5WZZXEX")</f>
        <v>MH5WZZXEX</v>
      </c>
      <c r="B7160" t="s">
        <v>10</v>
      </c>
      <c r="C7160" t="s">
        <v>42</v>
      </c>
      <c r="D7160" t="str">
        <f>HYPERLINK("https://us2.cloudbeds.com/connect/10074733072513#/reservations/31673242149007?display=Hitomi%20Nakasone&amp;reservation_id=31673242149007&amp;guest_id=30670324920531", "Hitomi Nakasone")</f>
        <v>Hitomi Nakasone</v>
      </c>
      <c r="E7160" t="s">
        <v>4910</v>
      </c>
      <c r="F7160" t="s">
        <v>4908</v>
      </c>
      <c r="G7160">
        <v>99</v>
      </c>
      <c r="H7160">
        <v>107.62</v>
      </c>
      <c r="I7160">
        <v>107.61</v>
      </c>
      <c r="J7160">
        <v>0.01</v>
      </c>
    </row>
    <row r="7161" spans="1:10" x14ac:dyDescent="0.3">
      <c r="A7161" t="str">
        <f>HYPERLINK("https://us2.cloudbeds.com/connect/10074733072513#/reservations/31672536674433?display=MH5ENSMZ5&amp;reservation_id=31672536674433", "MH5ENSMZ5")</f>
        <v>MH5ENSMZ5</v>
      </c>
      <c r="B7161" t="s">
        <v>10</v>
      </c>
      <c r="C7161" t="s">
        <v>20</v>
      </c>
      <c r="D7161" t="str">
        <f>HYPERLINK("https://us2.cloudbeds.com/connect/10074733072513#/reservations/31672536674433?display=Spencer%20Stewart&amp;reservation_id=31672536674433&amp;guest_id=31672536670396", "Spencer Stewart")</f>
        <v>Spencer Stewart</v>
      </c>
      <c r="E7161" t="s">
        <v>4911</v>
      </c>
      <c r="F7161" t="s">
        <v>4908</v>
      </c>
      <c r="G7161">
        <v>79.94</v>
      </c>
      <c r="H7161">
        <v>86.9</v>
      </c>
      <c r="I7161">
        <v>86.89</v>
      </c>
      <c r="J7161">
        <v>0.01</v>
      </c>
    </row>
    <row r="7162" spans="1:10" x14ac:dyDescent="0.3">
      <c r="A7162" t="str">
        <f>HYPERLINK("https://us2.cloudbeds.com/connect/10074733072513#/reservations/31672735637716?display=MH5JQY4FX&amp;reservation_id=31672735637716", "MH5JQY4FX")</f>
        <v>MH5JQY4FX</v>
      </c>
      <c r="B7162" t="s">
        <v>10</v>
      </c>
      <c r="C7162" t="s">
        <v>20</v>
      </c>
      <c r="D7162" t="str">
        <f>HYPERLINK("https://us2.cloudbeds.com/connect/10074733072513#/reservations/31672735637716?display=Chantae%20Brown&amp;reservation_id=31672735637716&amp;guest_id=31672735633623", "Chantae Brown")</f>
        <v>Chantae Brown</v>
      </c>
      <c r="E7162" t="s">
        <v>4912</v>
      </c>
      <c r="F7162" t="s">
        <v>4627</v>
      </c>
      <c r="G7162">
        <v>278</v>
      </c>
      <c r="H7162">
        <v>302.2</v>
      </c>
      <c r="I7162">
        <v>302.19</v>
      </c>
      <c r="J7162">
        <v>0.01</v>
      </c>
    </row>
    <row r="7163" spans="1:10" x14ac:dyDescent="0.3">
      <c r="A7163" t="str">
        <f>HYPERLINK("https://us2.cloudbeds.com/connect/10074733072513#/reservations/31672549019779?display=MH5F1974X&amp;reservation_id=31672549019779", "MH5F1974X")</f>
        <v>MH5F1974X</v>
      </c>
      <c r="B7163" t="s">
        <v>10</v>
      </c>
      <c r="C7163" t="s">
        <v>42</v>
      </c>
      <c r="D7163" t="str">
        <f>HYPERLINK("https://us2.cloudbeds.com/connect/10074733072513#/reservations/31672549019779?display=David%20Goberish&amp;reservation_id=31672549019779&amp;guest_id=31672549015742", "David Goberish")</f>
        <v>David Goberish</v>
      </c>
      <c r="E7163" t="s">
        <v>4913</v>
      </c>
      <c r="F7163" t="s">
        <v>4908</v>
      </c>
      <c r="G7163">
        <v>73</v>
      </c>
      <c r="H7163">
        <v>79.36</v>
      </c>
      <c r="I7163">
        <v>79.349999999999994</v>
      </c>
      <c r="J7163">
        <v>0.01</v>
      </c>
    </row>
    <row r="7164" spans="1:10" x14ac:dyDescent="0.3">
      <c r="A7164" t="str">
        <f>HYPERLINK("https://us2.cloudbeds.com/connect/10074733072513#/reservations/31672549015683?display=MH5F193CE&amp;reservation_id=31672549015683", "MH5F193CE")</f>
        <v>MH5F193CE</v>
      </c>
      <c r="B7164" t="s">
        <v>10</v>
      </c>
      <c r="C7164" t="s">
        <v>11</v>
      </c>
      <c r="D7164" t="str">
        <f>HYPERLINK("https://us2.cloudbeds.com/connect/10074733072513#/reservations/31672549015683?display=Heather%20Berlin&amp;reservation_id=31672549015683&amp;guest_id=31672542953673", "Heather Berlin")</f>
        <v>Heather Berlin</v>
      </c>
      <c r="E7164" t="s">
        <v>4914</v>
      </c>
      <c r="F7164" t="s">
        <v>4908</v>
      </c>
      <c r="G7164">
        <v>62.56</v>
      </c>
      <c r="H7164">
        <v>68.010000000000005</v>
      </c>
      <c r="I7164">
        <v>68</v>
      </c>
      <c r="J7164">
        <v>0.01</v>
      </c>
    </row>
    <row r="7165" spans="1:10" x14ac:dyDescent="0.3">
      <c r="A7165" t="str">
        <f>HYPERLINK("https://us2.cloudbeds.com/connect/10074733072513#/reservations/31682132897927?display=MHCSUYZSF&amp;reservation_id=31682132897927", "MHCSUYZSF")</f>
        <v>MHCSUYZSF</v>
      </c>
      <c r="B7165" t="s">
        <v>10</v>
      </c>
      <c r="C7165" t="s">
        <v>17</v>
      </c>
      <c r="D7165" t="str">
        <f>HYPERLINK("https://us2.cloudbeds.com/connect/10074733072513#/reservations/31682132897927?display=Cindy%20Pearce&amp;reservation_id=31682132897927&amp;guest_id=31682122694904", "Cindy Pearce")</f>
        <v>Cindy Pearce</v>
      </c>
      <c r="E7165" t="s">
        <v>4915</v>
      </c>
      <c r="F7165" t="s">
        <v>4916</v>
      </c>
      <c r="G7165">
        <v>179</v>
      </c>
      <c r="H7165">
        <v>194.58</v>
      </c>
      <c r="I7165">
        <v>194.57</v>
      </c>
      <c r="J7165">
        <v>0.01</v>
      </c>
    </row>
    <row r="7166" spans="1:10" x14ac:dyDescent="0.3">
      <c r="A7166" t="str">
        <f>HYPERLINK("https://us2.cloudbeds.com/connect/10074733072513#/reservations/31674234601648?display=MH6P3K0X0&amp;reservation_id=31674234601648", "MH6P3K0X0")</f>
        <v>MH6P3K0X0</v>
      </c>
      <c r="B7166" t="s">
        <v>10</v>
      </c>
      <c r="C7166" t="s">
        <v>42</v>
      </c>
      <c r="D7166" t="str">
        <f>HYPERLINK("https://us2.cloudbeds.com/connect/10074733072513#/reservations/31674234601648?display=Alyssa%20Nix&amp;reservation_id=31674234601648&amp;guest_id=31674234601643", "Alyssa Nix")</f>
        <v>Alyssa Nix</v>
      </c>
      <c r="E7166" t="s">
        <v>4917</v>
      </c>
      <c r="F7166" t="s">
        <v>4883</v>
      </c>
      <c r="G7166">
        <v>238</v>
      </c>
      <c r="H7166">
        <v>258.72000000000003</v>
      </c>
      <c r="I7166">
        <v>258.70999999999998</v>
      </c>
      <c r="J7166">
        <v>0.01</v>
      </c>
    </row>
    <row r="7167" spans="1:10" x14ac:dyDescent="0.3">
      <c r="A7167" t="str">
        <f>HYPERLINK("https://us2.cloudbeds.com/connect/10074733072513#/reservations/31679105888400?display=MHAHJ6ZQ2&amp;reservation_id=31679105888400", "MHAHJ6ZQ2")</f>
        <v>MHAHJ6ZQ2</v>
      </c>
      <c r="B7167" t="s">
        <v>10</v>
      </c>
      <c r="C7167" t="s">
        <v>42</v>
      </c>
      <c r="D7167" t="str">
        <f>HYPERLINK("https://us2.cloudbeds.com/connect/10074733072513#/reservations/31679105888400?display=Debra%20Eisenbeisz&amp;reservation_id=31679105888400&amp;guest_id=31679105884289", "Debra Eisenbeisz")</f>
        <v>Debra Eisenbeisz</v>
      </c>
      <c r="E7167" t="s">
        <v>4918</v>
      </c>
      <c r="F7167" t="s">
        <v>4530</v>
      </c>
      <c r="G7167">
        <v>298</v>
      </c>
      <c r="H7167">
        <v>323.94</v>
      </c>
      <c r="I7167">
        <v>323.93</v>
      </c>
      <c r="J7167">
        <v>0.01</v>
      </c>
    </row>
    <row r="7168" spans="1:10" x14ac:dyDescent="0.3">
      <c r="A7168" t="str">
        <f>HYPERLINK("https://us2.cloudbeds.com/connect/10074733072513#/reservations/31673978036463?display=MH6XX8NGE&amp;reservation_id=31673978036463", "MH6XX8NGE")</f>
        <v>MH6XX8NGE</v>
      </c>
      <c r="B7168" t="s">
        <v>10</v>
      </c>
      <c r="C7168" t="s">
        <v>23</v>
      </c>
      <c r="D7168" t="str">
        <f>HYPERLINK("https://us2.cloudbeds.com/connect/10074733072513#/reservations/31673978036463?display=Mike%20Vanoort&amp;reservation_id=31673978036463&amp;guest_id=31673978036459", "Mike Vanoort")</f>
        <v>Mike Vanoort</v>
      </c>
      <c r="E7168" t="s">
        <v>4919</v>
      </c>
      <c r="F7168" t="s">
        <v>4849</v>
      </c>
      <c r="G7168">
        <v>139</v>
      </c>
      <c r="H7168">
        <v>151.1</v>
      </c>
      <c r="I7168">
        <v>151.09</v>
      </c>
      <c r="J7168">
        <v>0.01</v>
      </c>
    </row>
    <row r="7169" spans="1:10" x14ac:dyDescent="0.3">
      <c r="A7169" t="str">
        <f>HYPERLINK("https://us2.cloudbeds.com/connect/10074733072513#/reservations/31672579895492?display=MH5FRACG7&amp;reservation_id=31672579895492", "MH5FRACG7")</f>
        <v>MH5FRACG7</v>
      </c>
      <c r="B7169" t="s">
        <v>10</v>
      </c>
      <c r="C7169" t="s">
        <v>42</v>
      </c>
      <c r="D7169" t="str">
        <f>HYPERLINK("https://us2.cloudbeds.com/connect/10074733072513#/reservations/31672579895492?display=Mardel%20Ochsner&amp;reservation_id=31672579895492&amp;guest_id=31672579895488", "Mardel Ochsner")</f>
        <v>Mardel Ochsner</v>
      </c>
      <c r="E7169" t="s">
        <v>4920</v>
      </c>
      <c r="F7169" t="s">
        <v>4792</v>
      </c>
      <c r="G7169">
        <v>137.76</v>
      </c>
      <c r="H7169">
        <v>149.76</v>
      </c>
      <c r="I7169">
        <v>149.75</v>
      </c>
      <c r="J7169">
        <v>0.01</v>
      </c>
    </row>
    <row r="7170" spans="1:10" x14ac:dyDescent="0.3">
      <c r="A7170" t="str">
        <f>HYPERLINK("https://us2.cloudbeds.com/connect/10074733072513#/reservations/31673223110843?display=MH5W8MQ6G&amp;reservation_id=31673223110843", "MH5W8MQ6G")</f>
        <v>MH5W8MQ6G</v>
      </c>
      <c r="B7170" t="s">
        <v>10</v>
      </c>
      <c r="C7170" t="s">
        <v>121</v>
      </c>
      <c r="D7170" t="str">
        <f>HYPERLINK("https://us2.cloudbeds.com/connect/10074733072513#/reservations/31673223110843?display=Michael%20Schacherer&amp;reservation_id=31673223110843&amp;guest_id=31673223110789", "Michael Schacherer")</f>
        <v>Michael Schacherer</v>
      </c>
      <c r="E7170" t="s">
        <v>4923</v>
      </c>
      <c r="F7170" t="s">
        <v>4908</v>
      </c>
      <c r="G7170">
        <v>99</v>
      </c>
      <c r="H7170">
        <v>107.62</v>
      </c>
      <c r="I7170">
        <v>107.61</v>
      </c>
      <c r="J7170">
        <v>0.01</v>
      </c>
    </row>
    <row r="7171" spans="1:10" x14ac:dyDescent="0.3">
      <c r="A7171" t="str">
        <f>HYPERLINK("https://us2.cloudbeds.com/connect/10074733072513#/reservations/31672867143880?display=MH5N5HG3R&amp;reservation_id=31672867143880", "MH5N5HG3R")</f>
        <v>MH5N5HG3R</v>
      </c>
      <c r="B7171" t="s">
        <v>10</v>
      </c>
      <c r="C7171" t="s">
        <v>42</v>
      </c>
      <c r="D7171" t="str">
        <f>HYPERLINK("https://us2.cloudbeds.com/connect/10074733072513#/reservations/31672867143880?display=Clarence%20Devney&amp;reservation_id=31672867143880&amp;guest_id=30664975925411", "Clarence Devney")</f>
        <v>Clarence Devney</v>
      </c>
      <c r="E7171" t="s">
        <v>4485</v>
      </c>
      <c r="F7171" t="s">
        <v>4909</v>
      </c>
      <c r="G7171">
        <v>89</v>
      </c>
      <c r="H7171">
        <v>96.75</v>
      </c>
      <c r="I7171">
        <v>96.74</v>
      </c>
      <c r="J7171">
        <v>0.01</v>
      </c>
    </row>
    <row r="7172" spans="1:10" x14ac:dyDescent="0.3">
      <c r="A7172" t="str">
        <f>HYPERLINK("https://us2.cloudbeds.com/connect/10074733072513#/reservations/31674224951472?display=MH6ZSFG1E&amp;reservation_id=31674224951472", "MH6ZSFG1E")</f>
        <v>MH6ZSFG1E</v>
      </c>
      <c r="B7172" t="s">
        <v>10</v>
      </c>
      <c r="C7172" t="s">
        <v>42</v>
      </c>
      <c r="D7172" t="str">
        <f>HYPERLINK("https://us2.cloudbeds.com/connect/10074733072513#/reservations/31674224951472?display=Alyssa%20Nix&amp;reservation_id=31674224951472&amp;guest_id=31674213474527", "Alyssa Nix")</f>
        <v>Alyssa Nix</v>
      </c>
      <c r="E7172" t="s">
        <v>4928</v>
      </c>
      <c r="F7172" t="s">
        <v>4883</v>
      </c>
      <c r="G7172">
        <v>109</v>
      </c>
      <c r="H7172">
        <v>118.49</v>
      </c>
      <c r="I7172">
        <v>118.48</v>
      </c>
      <c r="J7172">
        <v>0.01</v>
      </c>
    </row>
    <row r="7173" spans="1:10" x14ac:dyDescent="0.3">
      <c r="A7173" t="str">
        <f>HYPERLINK("https://us2.cloudbeds.com/connect/10074733072513#/reservations/31674227011777?display=MH6ZU6QVU&amp;reservation_id=31674227011777", "MH6ZU6QVU")</f>
        <v>MH6ZU6QVU</v>
      </c>
      <c r="B7173" t="s">
        <v>10</v>
      </c>
      <c r="C7173" t="s">
        <v>42</v>
      </c>
      <c r="D7173" t="str">
        <f>HYPERLINK("https://us2.cloudbeds.com/connect/10074733072513#/reservations/31674227011777?display=Alissa%20Nix&amp;reservation_id=31674227011777&amp;guest_id=31674227007696", "Alissa Nix")</f>
        <v>Alissa Nix</v>
      </c>
      <c r="E7173" t="s">
        <v>4928</v>
      </c>
      <c r="F7173" t="s">
        <v>4883</v>
      </c>
      <c r="G7173">
        <v>109</v>
      </c>
      <c r="H7173">
        <v>118.49</v>
      </c>
      <c r="I7173">
        <v>118.48</v>
      </c>
      <c r="J7173">
        <v>0.01</v>
      </c>
    </row>
    <row r="7174" spans="1:10" x14ac:dyDescent="0.3">
      <c r="A7174" t="str">
        <f>HYPERLINK("https://us2.cloudbeds.com/connect/10074733072513#/reservations/31673242153102?display=MH5WZZM6Y&amp;reservation_id=31673242153102", "MH5WZZM6Y")</f>
        <v>MH5WZZM6Y</v>
      </c>
      <c r="B7174" t="s">
        <v>10</v>
      </c>
      <c r="C7174" t="s">
        <v>42</v>
      </c>
      <c r="D7174" t="str">
        <f>HYPERLINK("https://us2.cloudbeds.com/connect/10074733072513#/reservations/31673242153102?display=Jackie%20Jones&amp;reservation_id=31673242153102&amp;guest_id=31673242153092", "Jackie Jones")</f>
        <v>Jackie Jones</v>
      </c>
      <c r="E7174" t="s">
        <v>4929</v>
      </c>
      <c r="F7174" t="s">
        <v>4627</v>
      </c>
      <c r="G7174">
        <v>129</v>
      </c>
      <c r="H7174">
        <v>140.22999999999999</v>
      </c>
      <c r="I7174">
        <v>140.22</v>
      </c>
      <c r="J7174">
        <v>0.01</v>
      </c>
    </row>
    <row r="7175" spans="1:10" x14ac:dyDescent="0.3">
      <c r="A7175" t="str">
        <f>HYPERLINK("https://us2.cloudbeds.com/connect/10074733072513#/reservations/31673235566829?display=MH5WJ6D6K&amp;reservation_id=31673235566829", "MH5WJ6D6K")</f>
        <v>MH5WJ6D6K</v>
      </c>
      <c r="B7175" t="s">
        <v>10</v>
      </c>
      <c r="C7175" t="s">
        <v>14</v>
      </c>
      <c r="D7175" t="str">
        <f>HYPERLINK("https://us2.cloudbeds.com/connect/10074733072513#/reservations/31673235566829?display=Kelly%20Huot&amp;reservation_id=31673235566829&amp;guest_id=31673235566825", "Kelly Huot")</f>
        <v>Kelly Huot</v>
      </c>
      <c r="E7175" t="s">
        <v>4930</v>
      </c>
      <c r="F7175" t="s">
        <v>4627</v>
      </c>
      <c r="G7175">
        <v>77.5</v>
      </c>
      <c r="H7175">
        <v>84.25</v>
      </c>
      <c r="I7175">
        <v>84.24</v>
      </c>
      <c r="J7175">
        <v>0.01</v>
      </c>
    </row>
    <row r="7176" spans="1:10" x14ac:dyDescent="0.3">
      <c r="A7176" t="str">
        <f>HYPERLINK("https://us2.cloudbeds.com/connect/10074733072513#/reservations/31691233456326?display=MHJUFG6QE&amp;reservation_id=31691233456326", "MHJUFG6QE")</f>
        <v>MHJUFG6QE</v>
      </c>
      <c r="B7176" t="s">
        <v>10</v>
      </c>
      <c r="C7176" t="s">
        <v>42</v>
      </c>
      <c r="D7176" t="str">
        <f>HYPERLINK("https://us2.cloudbeds.com/connect/10074733072513#/reservations/31691233456326?display=Cathy%20Schaefer&amp;reservation_id=31691233456326&amp;guest_id=31691233456321", "Cathy Schaefer")</f>
        <v>Cathy Schaefer</v>
      </c>
      <c r="E7176" t="s">
        <v>4931</v>
      </c>
      <c r="F7176" t="s">
        <v>4181</v>
      </c>
      <c r="G7176">
        <v>258</v>
      </c>
      <c r="H7176">
        <v>280.45999999999998</v>
      </c>
      <c r="I7176">
        <v>280.45</v>
      </c>
      <c r="J7176">
        <v>0.01</v>
      </c>
    </row>
    <row r="7177" spans="1:10" x14ac:dyDescent="0.3">
      <c r="A7177" t="str">
        <f>HYPERLINK("https://us2.cloudbeds.com/connect/10074733072513#/reservations/31691242672289?display=MHJUN8YJ1&amp;reservation_id=31691242672289", "MHJUN8YJ1")</f>
        <v>MHJUN8YJ1</v>
      </c>
      <c r="B7177" t="s">
        <v>10</v>
      </c>
      <c r="C7177" t="s">
        <v>42</v>
      </c>
      <c r="D7177" t="str">
        <f>HYPERLINK("https://us2.cloudbeds.com/connect/10074733072513#/reservations/31691242672289?display=Cathy%20Schaefer&amp;reservation_id=31691242672289&amp;guest_id=31691242672278", "Cathy Schaefer")</f>
        <v>Cathy Schaefer</v>
      </c>
      <c r="E7177" t="s">
        <v>4932</v>
      </c>
      <c r="F7177" t="s">
        <v>4181</v>
      </c>
      <c r="G7177">
        <v>258</v>
      </c>
      <c r="H7177">
        <v>280.45999999999998</v>
      </c>
      <c r="I7177">
        <v>280.45</v>
      </c>
      <c r="J7177">
        <v>0.01</v>
      </c>
    </row>
    <row r="7178" spans="1:10" x14ac:dyDescent="0.3">
      <c r="A7178" t="str">
        <f>HYPERLINK("https://us2.cloudbeds.com/connect/10074733072513#/reservations/31680219554014?display=MHBD194XU&amp;reservation_id=31680219554014", "MHBD194XU")</f>
        <v>MHBD194XU</v>
      </c>
      <c r="B7178" t="s">
        <v>10</v>
      </c>
      <c r="C7178" t="s">
        <v>17</v>
      </c>
      <c r="D7178" t="str">
        <f>HYPERLINK("https://us2.cloudbeds.com/connect/10074733072513#/reservations/31680219554014?display=Michelle%20Faxon&amp;reservation_id=31680219554014&amp;guest_id=31680219554011", "Michelle Faxon")</f>
        <v>Michelle Faxon</v>
      </c>
      <c r="E7178" t="s">
        <v>4933</v>
      </c>
      <c r="F7178" t="s">
        <v>2815</v>
      </c>
      <c r="G7178">
        <v>587</v>
      </c>
      <c r="H7178">
        <v>638.08000000000004</v>
      </c>
      <c r="I7178">
        <v>638.07000000000005</v>
      </c>
      <c r="J7178">
        <v>0.01</v>
      </c>
    </row>
    <row r="7179" spans="1:10" x14ac:dyDescent="0.3">
      <c r="A7179" t="str">
        <f>HYPERLINK("https://us2.cloudbeds.com/connect/10074733072513#/reservations/31672596889742?display=MH5G8Y8SG&amp;reservation_id=31672596889742", "MH5G8Y8SG")</f>
        <v>MH5G8Y8SG</v>
      </c>
      <c r="B7179" t="s">
        <v>10</v>
      </c>
      <c r="C7179" t="s">
        <v>121</v>
      </c>
      <c r="D7179" t="str">
        <f>HYPERLINK("https://us2.cloudbeds.com/connect/10074733072513#/reservations/31672596889742?display=Dale%20Estey&amp;reservation_id=31672596889742&amp;guest_id=31672596889737", "Dale Estey")</f>
        <v>Dale Estey</v>
      </c>
      <c r="E7179" t="s">
        <v>4934</v>
      </c>
      <c r="F7179" t="s">
        <v>4792</v>
      </c>
      <c r="G7179">
        <v>119</v>
      </c>
      <c r="H7179">
        <v>129.36000000000001</v>
      </c>
      <c r="I7179">
        <v>129.35</v>
      </c>
      <c r="J7179">
        <v>0.01</v>
      </c>
    </row>
    <row r="7180" spans="1:10" x14ac:dyDescent="0.3">
      <c r="A7180" t="str">
        <f>HYPERLINK("https://us2.cloudbeds.com/connect/10074733072513#/reservations/31673203597505?display=MH5VP7QK7&amp;reservation_id=31673203597505", "MH5VP7QK7")</f>
        <v>MH5VP7QK7</v>
      </c>
      <c r="B7180" t="s">
        <v>10</v>
      </c>
      <c r="C7180" t="s">
        <v>14</v>
      </c>
      <c r="D7180" t="str">
        <f>HYPERLINK("https://us2.cloudbeds.com/connect/10074733072513#/reservations/31673203597505?display=Anthony%20Warrior&amp;reservation_id=31673203597505&amp;guest_id=31673203593468", "Anthony Warrior")</f>
        <v>Anthony Warrior</v>
      </c>
      <c r="E7180" t="s">
        <v>4935</v>
      </c>
      <c r="F7180" t="s">
        <v>4627</v>
      </c>
      <c r="G7180">
        <v>87.84</v>
      </c>
      <c r="H7180">
        <v>95.49</v>
      </c>
      <c r="I7180">
        <v>95.48</v>
      </c>
      <c r="J7180">
        <v>0.01</v>
      </c>
    </row>
    <row r="7181" spans="1:10" x14ac:dyDescent="0.3">
      <c r="A7181" t="str">
        <f>HYPERLINK("https://us2.cloudbeds.com/connect/10074733072513#/reservations/31673223110791?display=MH5W8MQ4U&amp;reservation_id=31673223110791", "MH5W8MQ4U")</f>
        <v>MH5W8MQ4U</v>
      </c>
      <c r="B7181" t="s">
        <v>10</v>
      </c>
      <c r="C7181" t="s">
        <v>11</v>
      </c>
      <c r="D7181" t="str">
        <f>HYPERLINK("https://us2.cloudbeds.com/connect/10074733072513#/reservations/31673223110791?display=Emily%20Neuberger&amp;reservation_id=31673223110791&amp;guest_id=31673223110786", "Emily Neuberger")</f>
        <v>Emily Neuberger</v>
      </c>
      <c r="E7181" t="s">
        <v>709</v>
      </c>
      <c r="F7181" t="s">
        <v>4627</v>
      </c>
      <c r="G7181">
        <v>77.5</v>
      </c>
      <c r="H7181">
        <v>84.25</v>
      </c>
      <c r="I7181">
        <v>84.24</v>
      </c>
      <c r="J7181">
        <v>0.01</v>
      </c>
    </row>
    <row r="7182" spans="1:10" x14ac:dyDescent="0.3">
      <c r="A7182" t="str">
        <f>HYPERLINK("https://us2.cloudbeds.com/connect/10074733072513#/reservations/31673228353738?display=MH5WD3MK3&amp;reservation_id=31673228353738", "MH5WD3MK3")</f>
        <v>MH5WD3MK3</v>
      </c>
      <c r="B7182" t="s">
        <v>10</v>
      </c>
      <c r="C7182" t="s">
        <v>42</v>
      </c>
      <c r="D7182" t="str">
        <f>HYPERLINK("https://us2.cloudbeds.com/connect/10074733072513#/reservations/31673228353738?display=Erik%20Smiley&amp;reservation_id=31673228353738&amp;guest_id=31672716525790", "Erik Smiley")</f>
        <v>Erik Smiley</v>
      </c>
      <c r="E7182" t="s">
        <v>4936</v>
      </c>
      <c r="F7182" t="s">
        <v>4627</v>
      </c>
      <c r="G7182">
        <v>129</v>
      </c>
      <c r="H7182">
        <v>140.22999999999999</v>
      </c>
      <c r="I7182">
        <v>140.22</v>
      </c>
      <c r="J7182">
        <v>0.01</v>
      </c>
    </row>
    <row r="7183" spans="1:10" x14ac:dyDescent="0.3">
      <c r="A7183" t="str">
        <f>HYPERLINK("https://us2.cloudbeds.com/connect/10074733072513#/reservations/31673248772323?display=MH5WUASF3&amp;reservation_id=31673248772323", "MH5WUASF3")</f>
        <v>MH5WUASF3</v>
      </c>
      <c r="B7183" t="s">
        <v>10</v>
      </c>
      <c r="C7183" t="s">
        <v>14</v>
      </c>
      <c r="D7183" t="str">
        <f>HYPERLINK("https://us2.cloudbeds.com/connect/10074733072513#/reservations/31673248772323?display=Janelle%20Branson&amp;reservation_id=31673248772323&amp;guest_id=31673248772311", "Janelle Branson")</f>
        <v>Janelle Branson</v>
      </c>
      <c r="E7183" t="s">
        <v>4937</v>
      </c>
      <c r="F7183" t="s">
        <v>4627</v>
      </c>
      <c r="G7183">
        <v>77.5</v>
      </c>
      <c r="H7183">
        <v>84.25</v>
      </c>
      <c r="I7183">
        <v>84.24</v>
      </c>
      <c r="J7183">
        <v>0.01</v>
      </c>
    </row>
    <row r="7184" spans="1:10" x14ac:dyDescent="0.3">
      <c r="A7184" t="str">
        <f>HYPERLINK("https://us2.cloudbeds.com/connect/10074733072513#/reservations/31673392930989?display=MH63JT9XH&amp;reservation_id=31673392930989", "MH63JT9XH")</f>
        <v>MH63JT9XH</v>
      </c>
      <c r="B7184" t="s">
        <v>10</v>
      </c>
      <c r="C7184" t="s">
        <v>42</v>
      </c>
      <c r="D7184" t="str">
        <f>HYPERLINK("https://us2.cloudbeds.com/connect/10074733072513#/reservations/31673392930989?display=Mindi%20Chase&amp;reservation_id=31673392930989&amp;guest_id=31673392930984", "Mindi Chase")</f>
        <v>Mindi Chase</v>
      </c>
      <c r="E7184" t="s">
        <v>4939</v>
      </c>
      <c r="F7184" t="s">
        <v>4818</v>
      </c>
      <c r="G7184">
        <v>159</v>
      </c>
      <c r="H7184">
        <v>172.84</v>
      </c>
      <c r="I7184">
        <v>172.83</v>
      </c>
      <c r="J7184">
        <v>0.01</v>
      </c>
    </row>
    <row r="7185" spans="1:10" x14ac:dyDescent="0.3">
      <c r="A7185" t="str">
        <f>HYPERLINK("https://us2.cloudbeds.com/connect/10074733072513#/reservations/31673284485289?display=MH60REKZ6&amp;reservation_id=31673284485289", "MH60REKZ6")</f>
        <v>MH60REKZ6</v>
      </c>
      <c r="B7185" t="s">
        <v>10</v>
      </c>
      <c r="C7185" t="s">
        <v>11</v>
      </c>
      <c r="D7185" t="str">
        <f>HYPERLINK("https://us2.cloudbeds.com/connect/10074733072513#/reservations/31673284485289?display=Colby%20Aspengren&amp;reservation_id=31673284485289&amp;guest_id=30682290221225", "Colby Aspengren")</f>
        <v>Colby Aspengren</v>
      </c>
      <c r="E7185" t="s">
        <v>4477</v>
      </c>
      <c r="F7185" t="s">
        <v>3834</v>
      </c>
      <c r="G7185">
        <v>211.88</v>
      </c>
      <c r="H7185">
        <v>230.32</v>
      </c>
      <c r="I7185">
        <v>230.31</v>
      </c>
      <c r="J7185">
        <v>0.01</v>
      </c>
    </row>
    <row r="7186" spans="1:10" x14ac:dyDescent="0.3">
      <c r="A7186" t="str">
        <f>HYPERLINK("https://us2.cloudbeds.com/connect/10074733072513#/reservations/31672693911696?display=MH5XZF1XN&amp;reservation_id=31672693911696", "MH5XZF1XN")</f>
        <v>MH5XZF1XN</v>
      </c>
      <c r="B7186" t="s">
        <v>10</v>
      </c>
      <c r="C7186" t="s">
        <v>42</v>
      </c>
      <c r="D7186" t="str">
        <f>HYPERLINK("https://us2.cloudbeds.com/connect/10074733072513#/reservations/31672693911696?display=Charles%20Mayse&amp;reservation_id=31672693911696&amp;guest_id=31672693911684", "Charles Mayse")</f>
        <v>Charles Mayse</v>
      </c>
      <c r="E7186" t="s">
        <v>4940</v>
      </c>
      <c r="F7186" t="s">
        <v>4941</v>
      </c>
      <c r="G7186">
        <v>218</v>
      </c>
      <c r="H7186">
        <v>236.98</v>
      </c>
      <c r="I7186">
        <v>236.97</v>
      </c>
      <c r="J7186">
        <v>0.01</v>
      </c>
    </row>
    <row r="7187" spans="1:10" x14ac:dyDescent="0.3">
      <c r="A7187" t="str">
        <f>HYPERLINK("https://us2.cloudbeds.com/connect/10074733072513#/reservations/31672724639927?display=MH5JHC3G6&amp;reservation_id=31672724639927", "MH5JHC3G6")</f>
        <v>MH5JHC3G6</v>
      </c>
      <c r="B7187" t="s">
        <v>10</v>
      </c>
      <c r="C7187" t="s">
        <v>42</v>
      </c>
      <c r="D7187" t="str">
        <f>HYPERLINK("https://us2.cloudbeds.com/connect/10074733072513#/reservations/31672724639927?display=Erik%20Smiley&amp;reservation_id=31672724639927&amp;guest_id=31672716525790", "Erik Smiley")</f>
        <v>Erik Smiley</v>
      </c>
      <c r="E7187" t="s">
        <v>4936</v>
      </c>
      <c r="F7187" t="s">
        <v>4941</v>
      </c>
      <c r="G7187">
        <v>129</v>
      </c>
      <c r="H7187">
        <v>140.22999999999999</v>
      </c>
      <c r="I7187">
        <v>140.22</v>
      </c>
      <c r="J7187">
        <v>0.01</v>
      </c>
    </row>
    <row r="7188" spans="1:10" x14ac:dyDescent="0.3">
      <c r="A7188" t="str">
        <f>HYPERLINK("https://us2.cloudbeds.com/connect/10074733072513#/reservations/31673616064736?display=MH69A1AD7&amp;reservation_id=31673616064736", "MH69A1AD7")</f>
        <v>MH69A1AD7</v>
      </c>
      <c r="B7188" t="s">
        <v>10</v>
      </c>
      <c r="C7188" t="s">
        <v>42</v>
      </c>
      <c r="D7188" t="str">
        <f>HYPERLINK("https://us2.cloudbeds.com/connect/10074733072513#/reservations/31673616064736?display=Neave%20Ruiz&amp;reservation_id=31673616064736&amp;guest_id=31673616064734", "Neave Ruiz")</f>
        <v>Neave Ruiz</v>
      </c>
      <c r="E7188" t="s">
        <v>4942</v>
      </c>
      <c r="F7188" t="s">
        <v>4943</v>
      </c>
      <c r="G7188">
        <v>139</v>
      </c>
      <c r="H7188">
        <v>151.1</v>
      </c>
      <c r="I7188">
        <v>151.09</v>
      </c>
      <c r="J7188">
        <v>0.01</v>
      </c>
    </row>
    <row r="7189" spans="1:10" x14ac:dyDescent="0.3">
      <c r="A7189" t="str">
        <f>HYPERLINK("https://us2.cloudbeds.com/connect/10074733072513#/reservations/31676293673126?display=MH8BNSNKD&amp;reservation_id=31676293673126", "MH8BNSNKD")</f>
        <v>MH8BNSNKD</v>
      </c>
      <c r="B7189" t="s">
        <v>10</v>
      </c>
      <c r="C7189" t="s">
        <v>20</v>
      </c>
      <c r="D7189" t="str">
        <f>HYPERLINK("https://us2.cloudbeds.com/connect/10074733072513#/reservations/31676293673126?display=Nancy%20Eggers&amp;reservation_id=31676293673126&amp;guest_id=31676293673105", "Nancy Eggers")</f>
        <v>Nancy Eggers</v>
      </c>
      <c r="E7189" t="s">
        <v>4944</v>
      </c>
      <c r="F7189" t="s">
        <v>4777</v>
      </c>
      <c r="G7189">
        <v>278</v>
      </c>
      <c r="H7189">
        <v>302.2</v>
      </c>
      <c r="I7189">
        <v>302.19</v>
      </c>
      <c r="J7189">
        <v>0.01</v>
      </c>
    </row>
    <row r="7190" spans="1:10" x14ac:dyDescent="0.3">
      <c r="A7190" t="str">
        <f>HYPERLINK("https://us2.cloudbeds.com/connect/10074733072513#/reservations/31676734132375?display=MH8MW94ZC&amp;reservation_id=31676734132375", "MH8MW94ZC")</f>
        <v>MH8MW94ZC</v>
      </c>
      <c r="B7190" t="s">
        <v>10</v>
      </c>
      <c r="C7190" t="s">
        <v>20</v>
      </c>
      <c r="D7190" t="str">
        <f>HYPERLINK("https://us2.cloudbeds.com/connect/10074733072513#/reservations/31676734132375?display=Eloise%20Eisenbeisz&amp;reservation_id=31676734132375&amp;guest_id=31676734132359", "Eloise Eisenbeisz")</f>
        <v>Eloise Eisenbeisz</v>
      </c>
      <c r="E7190" t="s">
        <v>4946</v>
      </c>
      <c r="F7190" t="s">
        <v>4530</v>
      </c>
      <c r="G7190">
        <v>169</v>
      </c>
      <c r="H7190">
        <v>183.71</v>
      </c>
      <c r="I7190">
        <v>183.7</v>
      </c>
      <c r="J7190">
        <v>0.01</v>
      </c>
    </row>
    <row r="7191" spans="1:10" x14ac:dyDescent="0.3">
      <c r="A7191" t="str">
        <f>HYPERLINK("https://us2.cloudbeds.com/connect/10074733072513#/reservations/31672853725388?display=MH5MR738S&amp;reservation_id=31672853725388", "MH5MR738S")</f>
        <v>MH5MR738S</v>
      </c>
      <c r="B7191" t="s">
        <v>10</v>
      </c>
      <c r="C7191" t="s">
        <v>42</v>
      </c>
      <c r="D7191" t="str">
        <f>HYPERLINK("https://us2.cloudbeds.com/connect/10074733072513#/reservations/31672853725388?display=Elora%20Eisenbraun&amp;reservation_id=31672853725388&amp;guest_id=31672853725386", "Elora Eisenbraun")</f>
        <v>Elora Eisenbraun</v>
      </c>
      <c r="E7191" t="s">
        <v>4947</v>
      </c>
      <c r="F7191" t="s">
        <v>4909</v>
      </c>
      <c r="G7191">
        <v>218</v>
      </c>
      <c r="H7191">
        <v>236.98</v>
      </c>
      <c r="I7191">
        <v>236.97</v>
      </c>
      <c r="J7191">
        <v>0.01</v>
      </c>
    </row>
    <row r="7192" spans="1:10" x14ac:dyDescent="0.3">
      <c r="A7192" t="str">
        <f>HYPERLINK("https://us2.cloudbeds.com/connect/10074733072513#/reservations/31672744714448?display=MH5K19ND1&amp;reservation_id=31672744714448", "MH5K19ND1")</f>
        <v>MH5K19ND1</v>
      </c>
      <c r="B7192" t="s">
        <v>10</v>
      </c>
      <c r="C7192" t="s">
        <v>42</v>
      </c>
      <c r="D7192" t="str">
        <f>HYPERLINK("https://us2.cloudbeds.com/connect/10074733072513#/reservations/31672744714448?display=Jeffery%20Counter&amp;reservation_id=31672744714448&amp;guest_id=31672741568675", "Jeffery Counter")</f>
        <v>Jeffery Counter</v>
      </c>
      <c r="E7192" t="s">
        <v>4949</v>
      </c>
      <c r="F7192" t="s">
        <v>4909</v>
      </c>
      <c r="G7192">
        <v>89</v>
      </c>
      <c r="H7192">
        <v>96.75</v>
      </c>
      <c r="I7192">
        <v>96.74</v>
      </c>
      <c r="J7192">
        <v>0.01</v>
      </c>
    </row>
    <row r="7193" spans="1:10" x14ac:dyDescent="0.3">
      <c r="A7193" t="str">
        <f>HYPERLINK("https://us2.cloudbeds.com/connect/10074733072513#/reservations/31674574282893?display=MH70Q14T2&amp;reservation_id=31674574282893", "MH70Q14T2")</f>
        <v>MH70Q14T2</v>
      </c>
      <c r="B7193" t="s">
        <v>10</v>
      </c>
      <c r="C7193" t="s">
        <v>42</v>
      </c>
      <c r="D7193" t="str">
        <f>HYPERLINK("https://us2.cloudbeds.com/connect/10074733072513#/reservations/31674574282893?display=Cory%20Holen&amp;reservation_id=31674574282893&amp;guest_id=31674574282890", "Cory Holen")</f>
        <v>Cory Holen</v>
      </c>
      <c r="E7193" t="s">
        <v>4950</v>
      </c>
      <c r="F7193" t="s">
        <v>4726</v>
      </c>
      <c r="G7193">
        <v>258</v>
      </c>
      <c r="H7193">
        <v>280.45999999999998</v>
      </c>
      <c r="I7193">
        <v>280.45</v>
      </c>
      <c r="J7193">
        <v>0.01</v>
      </c>
    </row>
    <row r="7194" spans="1:10" x14ac:dyDescent="0.3">
      <c r="A7194" t="str">
        <f>HYPERLINK("https://us2.cloudbeds.com/connect/10074733072513#/reservations/31672627241143?display=MH5H17RZU&amp;reservation_id=31672627241143", "MH5H17RZU")</f>
        <v>MH5H17RZU</v>
      </c>
      <c r="B7194" t="s">
        <v>10</v>
      </c>
      <c r="C7194" t="s">
        <v>42</v>
      </c>
      <c r="D7194" t="str">
        <f>HYPERLINK("https://us2.cloudbeds.com/connect/10074733072513#/reservations/31672627241143?display=Tom%20Moore&amp;reservation_id=31672627241143&amp;guest_id=30681789317334", "Tom Moore")</f>
        <v>Tom Moore</v>
      </c>
      <c r="E7194" t="s">
        <v>3973</v>
      </c>
      <c r="F7194" t="s">
        <v>4875</v>
      </c>
      <c r="G7194">
        <v>73</v>
      </c>
      <c r="H7194">
        <v>79.36</v>
      </c>
      <c r="I7194">
        <v>79.349999999999994</v>
      </c>
      <c r="J7194">
        <v>0.01</v>
      </c>
    </row>
    <row r="7195" spans="1:10" x14ac:dyDescent="0.3">
      <c r="A7195" t="str">
        <f>HYPERLINK("https://us2.cloudbeds.com/connect/10074733072513#/reservations/31672734367969?display=MH5JPXQGC&amp;reservation_id=31672734367969", "MH5JPXQGC")</f>
        <v>MH5JPXQGC</v>
      </c>
      <c r="B7195" t="s">
        <v>10</v>
      </c>
      <c r="C7195" t="s">
        <v>121</v>
      </c>
      <c r="D7195" t="str">
        <f>HYPERLINK("https://us2.cloudbeds.com/connect/10074733072513#/reservations/31672734367969?display=Bradley%20Steiner&amp;reservation_id=31672734367969&amp;guest_id=31672734367951", "Bradley Steiner")</f>
        <v>Bradley Steiner</v>
      </c>
      <c r="E7195" t="s">
        <v>4951</v>
      </c>
      <c r="F7195" t="s">
        <v>4909</v>
      </c>
      <c r="G7195">
        <v>109</v>
      </c>
      <c r="H7195">
        <v>118.49</v>
      </c>
      <c r="I7195">
        <v>118.48</v>
      </c>
      <c r="J7195">
        <v>0.01</v>
      </c>
    </row>
    <row r="7196" spans="1:10" x14ac:dyDescent="0.3">
      <c r="A7196" t="str">
        <f>HYPERLINK("https://us2.cloudbeds.com/connect/10074733072513#/reservations/31678010331355?display=MH9MJD8KZ&amp;reservation_id=31678010331355", "MH9MJD8KZ")</f>
        <v>MH9MJD8KZ</v>
      </c>
      <c r="B7196" t="s">
        <v>10</v>
      </c>
      <c r="C7196" t="s">
        <v>23</v>
      </c>
      <c r="D7196" t="str">
        <f>HYPERLINK("https://us2.cloudbeds.com/connect/10074733072513#/reservations/31678010331355?display=Courtney%20Foxhoven&amp;reservation_id=31678010331355&amp;guest_id=31678010331352", "Courtney Foxhoven")</f>
        <v>Courtney Foxhoven</v>
      </c>
      <c r="E7196" t="s">
        <v>4952</v>
      </c>
      <c r="F7196" t="s">
        <v>3061</v>
      </c>
      <c r="G7196">
        <v>258</v>
      </c>
      <c r="H7196">
        <v>280.45999999999998</v>
      </c>
      <c r="I7196">
        <v>280.45</v>
      </c>
      <c r="J7196">
        <v>0.01</v>
      </c>
    </row>
    <row r="7197" spans="1:10" x14ac:dyDescent="0.3">
      <c r="A7197" t="str">
        <f>HYPERLINK("https://us2.cloudbeds.com/connect/10074733072513#/reservations/31672751452323?display=MH5K6W6K2&amp;reservation_id=31672751452323", "MH5K6W6K2")</f>
        <v>MH5K6W6K2</v>
      </c>
      <c r="B7197" t="s">
        <v>10</v>
      </c>
      <c r="C7197" t="s">
        <v>121</v>
      </c>
      <c r="D7197" t="str">
        <f>HYPERLINK("https://us2.cloudbeds.com/connect/10074733072513#/reservations/31672751452323?display=Morgan%20Ryan&amp;reservation_id=31672751452323&amp;guest_id=31672744718539", "Morgan Ryan")</f>
        <v>Morgan Ryan</v>
      </c>
      <c r="E7197" t="s">
        <v>4953</v>
      </c>
      <c r="F7197" t="s">
        <v>4909</v>
      </c>
      <c r="G7197">
        <v>109</v>
      </c>
      <c r="H7197">
        <v>118.49</v>
      </c>
      <c r="I7197">
        <v>118.48</v>
      </c>
      <c r="J7197">
        <v>0.01</v>
      </c>
    </row>
    <row r="7198" spans="1:10" x14ac:dyDescent="0.3">
      <c r="A7198" t="str">
        <f>HYPERLINK("https://us2.cloudbeds.com/connect/10074733072513#/reservations/31672615633063?display=MH5GZERBU&amp;reservation_id=31672615633063", "MH5GZERBU")</f>
        <v>MH5GZERBU</v>
      </c>
      <c r="B7198" t="s">
        <v>10</v>
      </c>
      <c r="C7198" t="s">
        <v>121</v>
      </c>
      <c r="D7198" t="str">
        <f>HYPERLINK("https://us2.cloudbeds.com/connect/10074733072513#/reservations/31672615633063?display=Nyla%20Torney&amp;reservation_id=31672615633063&amp;guest_id=31672615633060", "Nyla Torney")</f>
        <v>Nyla Torney</v>
      </c>
      <c r="E7198" t="s">
        <v>4954</v>
      </c>
      <c r="F7198" t="s">
        <v>4875</v>
      </c>
      <c r="G7198">
        <v>109</v>
      </c>
      <c r="H7198">
        <v>118.49</v>
      </c>
      <c r="I7198">
        <v>118.48</v>
      </c>
      <c r="J7198">
        <v>0.01</v>
      </c>
    </row>
    <row r="7199" spans="1:10" x14ac:dyDescent="0.3">
      <c r="A7199" t="str">
        <f>HYPERLINK("https://us2.cloudbeds.com/connect/10074733072513#/reservations/31674977861762?display=MH7B3BANP&amp;reservation_id=31674977861762", "MH7B3BANP")</f>
        <v>MH7B3BANP</v>
      </c>
      <c r="B7199" t="s">
        <v>10</v>
      </c>
      <c r="C7199" t="s">
        <v>20</v>
      </c>
      <c r="D7199" t="str">
        <f>HYPERLINK("https://us2.cloudbeds.com/connect/10074733072513#/reservations/31674977861762?display=Scott%20Galliart&amp;reservation_id=31674977861762&amp;guest_id=31674977857670", "Scott Galliart")</f>
        <v>Scott Galliart</v>
      </c>
      <c r="E7199" t="s">
        <v>4955</v>
      </c>
      <c r="F7199" t="s">
        <v>4922</v>
      </c>
      <c r="G7199">
        <v>258</v>
      </c>
      <c r="H7199">
        <v>280.45999999999998</v>
      </c>
      <c r="I7199">
        <v>280.45</v>
      </c>
      <c r="J7199">
        <v>0.01</v>
      </c>
    </row>
    <row r="7200" spans="1:10" x14ac:dyDescent="0.3">
      <c r="A7200" t="str">
        <f>HYPERLINK("https://us2.cloudbeds.com/connect/10074733072513#/reservations/31673776263374?display=MH6DD42JD&amp;reservation_id=31673776263374", "MH6DD42JD")</f>
        <v>MH6DD42JD</v>
      </c>
      <c r="B7200" t="s">
        <v>10</v>
      </c>
      <c r="C7200" t="s">
        <v>42</v>
      </c>
      <c r="D7200" t="str">
        <f>HYPERLINK("https://us2.cloudbeds.com/connect/10074733072513#/reservations/31673776263374?display=Electric%20Construction%20Company&amp;reservation_id=31673776263374&amp;guest_id=31673767706870", "Electric Construction Company")</f>
        <v>Electric Construction Company</v>
      </c>
      <c r="E7200" t="s">
        <v>4958</v>
      </c>
      <c r="F7200" t="s">
        <v>4943</v>
      </c>
      <c r="G7200">
        <v>139</v>
      </c>
      <c r="H7200">
        <v>151.1</v>
      </c>
      <c r="I7200">
        <v>151.09</v>
      </c>
      <c r="J7200">
        <v>0.01</v>
      </c>
    </row>
    <row r="7201" spans="1:10" x14ac:dyDescent="0.3">
      <c r="A7201" t="str">
        <f>HYPERLINK("https://us2.cloudbeds.com/connect/10074733072513#/reservations/31673792536722?display=MH6DQRTW5&amp;reservation_id=31673792536722", "MH6DQRTW5")</f>
        <v>MH6DQRTW5</v>
      </c>
      <c r="B7201" t="s">
        <v>10</v>
      </c>
      <c r="C7201" t="s">
        <v>42</v>
      </c>
      <c r="D7201" t="str">
        <f>HYPERLINK("https://us2.cloudbeds.com/connect/10074733072513#/reservations/31673792536722?display=Kathy%20Tyler&amp;reservation_id=31673792536722&amp;guest_id=31673792536720", "Kathy Tyler")</f>
        <v>Kathy Tyler</v>
      </c>
      <c r="E7201" t="s">
        <v>4959</v>
      </c>
      <c r="F7201" t="s">
        <v>4943</v>
      </c>
      <c r="G7201">
        <v>296</v>
      </c>
      <c r="H7201">
        <v>321.76</v>
      </c>
      <c r="I7201">
        <v>321.75</v>
      </c>
      <c r="J7201">
        <v>0.01</v>
      </c>
    </row>
    <row r="7202" spans="1:10" x14ac:dyDescent="0.3">
      <c r="A7202" t="str">
        <f>HYPERLINK("https://us2.cloudbeds.com/connect/10074733072513#/reservations/31672709107842?display=MH5J48TPW&amp;reservation_id=31672709107842", "MH5J48TPW")</f>
        <v>MH5J48TPW</v>
      </c>
      <c r="B7202" t="s">
        <v>10</v>
      </c>
      <c r="C7202" t="s">
        <v>42</v>
      </c>
      <c r="D7202" t="str">
        <f>HYPERLINK("https://us2.cloudbeds.com/connect/10074733072513#/reservations/31672709107842?display=Jerry%20Tullier&amp;reservation_id=31672709107842&amp;guest_id=31672709103750", "Jerry Tullier")</f>
        <v>Jerry Tullier</v>
      </c>
      <c r="E7202" t="s">
        <v>4961</v>
      </c>
      <c r="F7202" t="s">
        <v>4948</v>
      </c>
      <c r="G7202">
        <v>238</v>
      </c>
      <c r="H7202">
        <v>258.72000000000003</v>
      </c>
      <c r="I7202">
        <v>258.70999999999998</v>
      </c>
      <c r="J7202">
        <v>0.01</v>
      </c>
    </row>
    <row r="7203" spans="1:10" x14ac:dyDescent="0.3">
      <c r="A7203" t="str">
        <f>HYPERLINK("https://us2.cloudbeds.com/connect/10074733072513#/reservations/31674584805607?display=MH711TVK6&amp;reservation_id=31674584805607", "MH711TVK6")</f>
        <v>MH711TVK6</v>
      </c>
      <c r="B7203" t="s">
        <v>10</v>
      </c>
      <c r="C7203" t="s">
        <v>42</v>
      </c>
      <c r="D7203" t="str">
        <f>HYPERLINK("https://us2.cloudbeds.com/connect/10074733072513#/reservations/31674584805607?display=Tim%20Stautz&amp;reservation_id=31674584805607&amp;guest_id=31674584805602", "Tim Stautz")</f>
        <v>Tim Stautz</v>
      </c>
      <c r="E7203" t="s">
        <v>4962</v>
      </c>
      <c r="F7203" t="s">
        <v>4726</v>
      </c>
      <c r="G7203">
        <v>258</v>
      </c>
      <c r="H7203">
        <v>280.45999999999998</v>
      </c>
      <c r="I7203">
        <v>280.45</v>
      </c>
      <c r="J7203">
        <v>0.01</v>
      </c>
    </row>
    <row r="7204" spans="1:10" x14ac:dyDescent="0.3">
      <c r="A7204" t="str">
        <f>HYPERLINK("https://us2.cloudbeds.com/connect/10074733072513#/reservations/31673337577617?display=MH626700K&amp;reservation_id=31673337577617", "MH626700K")</f>
        <v>MH626700K</v>
      </c>
      <c r="B7204" t="s">
        <v>10</v>
      </c>
      <c r="C7204" t="s">
        <v>11</v>
      </c>
      <c r="D7204" t="str">
        <f>HYPERLINK("https://us2.cloudbeds.com/connect/10074733072513#/reservations/31673337577617?display=Hunter%20Cherveny&amp;reservation_id=31673337577617&amp;guest_id=31673337577615", "Hunter Cherveny")</f>
        <v>Hunter Cherveny</v>
      </c>
      <c r="E7204" t="s">
        <v>4965</v>
      </c>
      <c r="F7204" t="s">
        <v>3834</v>
      </c>
      <c r="G7204">
        <v>87.84</v>
      </c>
      <c r="H7204">
        <v>95.49</v>
      </c>
      <c r="I7204">
        <v>95.48</v>
      </c>
      <c r="J7204">
        <v>0.01</v>
      </c>
    </row>
    <row r="7205" spans="1:10" x14ac:dyDescent="0.3">
      <c r="A7205" t="str">
        <f>HYPERLINK("https://us2.cloudbeds.com/connect/10074733072513#/reservations/31672741564600?display=MH5JVY1W3&amp;reservation_id=31672741564600", "MH5JVY1W3")</f>
        <v>MH5JVY1W3</v>
      </c>
      <c r="B7205" t="s">
        <v>10</v>
      </c>
      <c r="C7205" t="s">
        <v>42</v>
      </c>
      <c r="D7205" t="str">
        <f>HYPERLINK("https://us2.cloudbeds.com/connect/10074733072513#/reservations/31672741564600?display=Tom%20Moore&amp;reservation_id=31672741564600&amp;guest_id=30681789317334", "Tom Moore")</f>
        <v>Tom Moore</v>
      </c>
      <c r="E7205" t="s">
        <v>3973</v>
      </c>
      <c r="F7205" t="s">
        <v>4948</v>
      </c>
      <c r="G7205">
        <v>73</v>
      </c>
      <c r="H7205">
        <v>79.36</v>
      </c>
      <c r="I7205">
        <v>79.349999999999994</v>
      </c>
      <c r="J7205">
        <v>0.01</v>
      </c>
    </row>
    <row r="7206" spans="1:10" x14ac:dyDescent="0.3">
      <c r="A7206" t="str">
        <f>HYPERLINK("https://us2.cloudbeds.com/connect/10074733072513#/reservations/31672734363877?display=MH5JPXMZC&amp;reservation_id=31672734363877", "MH5JPXMZC")</f>
        <v>MH5JPXMZC</v>
      </c>
      <c r="B7206" t="s">
        <v>10</v>
      </c>
      <c r="C7206" t="s">
        <v>42</v>
      </c>
      <c r="D7206" t="str">
        <f>HYPERLINK("https://us2.cloudbeds.com/connect/10074733072513#/reservations/31672734363877?display=Levi%20Cole&amp;reservation_id=31672734363877&amp;guest_id=31672734363863", "Levi Cole")</f>
        <v>Levi Cole</v>
      </c>
      <c r="E7206" t="s">
        <v>4966</v>
      </c>
      <c r="F7206" t="s">
        <v>4948</v>
      </c>
      <c r="G7206">
        <v>109</v>
      </c>
      <c r="H7206">
        <v>118.49</v>
      </c>
      <c r="I7206">
        <v>118.48</v>
      </c>
      <c r="J7206">
        <v>0.01</v>
      </c>
    </row>
    <row r="7207" spans="1:10" x14ac:dyDescent="0.3">
      <c r="A7207" t="str">
        <f>HYPERLINK("https://us2.cloudbeds.com/connect/10074733072513#/reservations/31673611980932?display=MH696JMBJ&amp;reservation_id=31673611980932", "MH696JMBJ")</f>
        <v>MH696JMBJ</v>
      </c>
      <c r="B7207" t="s">
        <v>10</v>
      </c>
      <c r="C7207" t="s">
        <v>42</v>
      </c>
      <c r="D7207" t="str">
        <f>HYPERLINK("https://us2.cloudbeds.com/connect/10074733072513#/reservations/31673611980932?display=Palo%20Maccagnan&amp;reservation_id=31673611980932&amp;guest_id=31673611980930", "Palo Maccagnan")</f>
        <v>Palo Maccagnan</v>
      </c>
      <c r="E7207" t="s">
        <v>4963</v>
      </c>
      <c r="F7207" t="s">
        <v>4967</v>
      </c>
      <c r="G7207">
        <v>258</v>
      </c>
      <c r="H7207">
        <v>280.45999999999998</v>
      </c>
      <c r="I7207">
        <v>280.45</v>
      </c>
      <c r="J7207">
        <v>0.01</v>
      </c>
    </row>
    <row r="7208" spans="1:10" x14ac:dyDescent="0.3">
      <c r="A7208" t="str">
        <f>HYPERLINK("https://us2.cloudbeds.com/connect/10074733072513#/reservations/31672897425539?display=MH5NV23VS&amp;reservation_id=31672897425539", "MH5NV23VS")</f>
        <v>MH5NV23VS</v>
      </c>
      <c r="B7208" t="s">
        <v>10</v>
      </c>
      <c r="C7208" t="s">
        <v>121</v>
      </c>
      <c r="D7208" t="str">
        <f>HYPERLINK("https://us2.cloudbeds.com/connect/10074733072513#/reservations/31672897425539?display=Larry%20Halse&amp;reservation_id=31672897425539&amp;guest_id=31672886083804", "Larry Halse")</f>
        <v>Larry Halse</v>
      </c>
      <c r="E7208" t="s">
        <v>4968</v>
      </c>
      <c r="F7208" t="s">
        <v>4875</v>
      </c>
      <c r="G7208">
        <v>109</v>
      </c>
      <c r="H7208">
        <v>118.49</v>
      </c>
      <c r="I7208">
        <v>118.48</v>
      </c>
      <c r="J7208">
        <v>0.01</v>
      </c>
    </row>
    <row r="7209" spans="1:10" x14ac:dyDescent="0.3">
      <c r="A7209" t="str">
        <f>HYPERLINK("https://us2.cloudbeds.com/connect/10074733072513#/reservations/31672828514554?display=MH5M5VXR6&amp;reservation_id=31672828514554", "MH5M5VXR6")</f>
        <v>MH5M5VXR6</v>
      </c>
      <c r="B7209" t="s">
        <v>10</v>
      </c>
      <c r="C7209" t="s">
        <v>11</v>
      </c>
      <c r="D7209" t="str">
        <f>HYPERLINK("https://us2.cloudbeds.com/connect/10074733072513#/reservations/31672828514554?display=Laura%20Sandbulte&amp;reservation_id=31672828514554&amp;guest_id=31672817098914", "Laura Sandbulte")</f>
        <v>Laura Sandbulte</v>
      </c>
      <c r="E7209" t="s">
        <v>4969</v>
      </c>
      <c r="F7209" t="s">
        <v>3834</v>
      </c>
      <c r="G7209">
        <v>87.84</v>
      </c>
      <c r="H7209">
        <v>95.49</v>
      </c>
      <c r="I7209">
        <v>95.48</v>
      </c>
      <c r="J7209">
        <v>0.01</v>
      </c>
    </row>
    <row r="7210" spans="1:10" x14ac:dyDescent="0.3">
      <c r="A7210" t="str">
        <f>HYPERLINK("https://us2.cloudbeds.com/connect/10074733072513#/reservations/31673635246230?display=MH69Q728K&amp;reservation_id=31673635246230", "MH69Q728K")</f>
        <v>MH69Q728K</v>
      </c>
      <c r="B7210" t="s">
        <v>10</v>
      </c>
      <c r="C7210" t="s">
        <v>42</v>
      </c>
      <c r="D7210" t="str">
        <f>HYPERLINK("https://us2.cloudbeds.com/connect/10074733072513#/reservations/31673635246230?display=Angel%20Rafael%20Rosaio&amp;reservation_id=31673635246230&amp;guest_id=31672650449097", "Angel Rafael Rosaio")</f>
        <v>Angel Rafael Rosaio</v>
      </c>
      <c r="E7210" t="s">
        <v>4970</v>
      </c>
      <c r="F7210" t="s">
        <v>4821</v>
      </c>
      <c r="G7210">
        <v>196</v>
      </c>
      <c r="H7210">
        <v>213.06</v>
      </c>
      <c r="I7210">
        <v>213.05</v>
      </c>
      <c r="J7210">
        <v>0.01</v>
      </c>
    </row>
    <row r="7211" spans="1:10" x14ac:dyDescent="0.3">
      <c r="A7211" t="str">
        <f>HYPERLINK("https://us2.cloudbeds.com/connect/10074733072513#/reservations/31672751456418?display=MH5K6WAC5&amp;reservation_id=31672751456418", "MH5K6WAC5")</f>
        <v>MH5K6WAC5</v>
      </c>
      <c r="B7211" t="s">
        <v>10</v>
      </c>
      <c r="C7211" t="s">
        <v>42</v>
      </c>
      <c r="D7211" t="str">
        <f>HYPERLINK("https://us2.cloudbeds.com/connect/10074733072513#/reservations/31672751456418?display=Ron%20Holly&amp;reservation_id=31672751456418&amp;guest_id=31672751456407", "Ron Holly")</f>
        <v>Ron Holly</v>
      </c>
      <c r="E7211" t="s">
        <v>2818</v>
      </c>
      <c r="F7211" t="s">
        <v>4948</v>
      </c>
      <c r="G7211">
        <v>73</v>
      </c>
      <c r="H7211">
        <v>79.36</v>
      </c>
      <c r="I7211">
        <v>79.349999999999994</v>
      </c>
      <c r="J7211">
        <v>0.01</v>
      </c>
    </row>
    <row r="7212" spans="1:10" x14ac:dyDescent="0.3">
      <c r="A7212" t="str">
        <f>HYPERLINK("https://us2.cloudbeds.com/connect/10074733072513#/reservations/31682816372899?display=MHDDCWEU9&amp;reservation_id=31682816372899", "MHDDCWEU9")</f>
        <v>MHDDCWEU9</v>
      </c>
      <c r="B7212" t="s">
        <v>10</v>
      </c>
      <c r="C7212" t="s">
        <v>17</v>
      </c>
      <c r="D7212" t="str">
        <f>HYPERLINK("https://us2.cloudbeds.com/connect/10074733072513#/reservations/31682816372899?display=Christian%20Nielsen&amp;reservation_id=31682816372899&amp;guest_id=31682807095431", "Christian Nielsen")</f>
        <v>Christian Nielsen</v>
      </c>
      <c r="E7212" t="s">
        <v>4972</v>
      </c>
      <c r="F7212" t="s">
        <v>4645</v>
      </c>
      <c r="G7212">
        <v>587</v>
      </c>
      <c r="H7212">
        <v>638.08000000000004</v>
      </c>
      <c r="I7212">
        <v>638.07000000000005</v>
      </c>
      <c r="J7212">
        <v>0.01</v>
      </c>
    </row>
    <row r="7213" spans="1:10" x14ac:dyDescent="0.3">
      <c r="A7213" t="str">
        <f>HYPERLINK("https://us2.cloudbeds.com/connect/10074733072513#/reservations/31672744718541?display=MH5K19R52&amp;reservation_id=31672744718541", "MH5K19R52")</f>
        <v>MH5K19R52</v>
      </c>
      <c r="B7213" t="s">
        <v>10</v>
      </c>
      <c r="C7213" t="s">
        <v>42</v>
      </c>
      <c r="D7213" t="str">
        <f>HYPERLINK("https://us2.cloudbeds.com/connect/10074733072513#/reservations/31672744718541?display=Nate%20Haag&amp;reservation_id=31672744718541&amp;guest_id=31672744714494", "Nate Haag")</f>
        <v>Nate Haag</v>
      </c>
      <c r="E7213" t="s">
        <v>2818</v>
      </c>
      <c r="F7213" t="s">
        <v>4948</v>
      </c>
      <c r="G7213">
        <v>73</v>
      </c>
      <c r="H7213">
        <v>79.36</v>
      </c>
      <c r="I7213">
        <v>79.349999999999994</v>
      </c>
      <c r="J7213">
        <v>0.01</v>
      </c>
    </row>
    <row r="7214" spans="1:10" x14ac:dyDescent="0.3">
      <c r="A7214" t="str">
        <f>HYPERLINK("https://us2.cloudbeds.com/connect/10074733072513#/reservations/31682662772972?display=MHD9FFA50&amp;reservation_id=31682662772972", "MHD9FFA50")</f>
        <v>MHD9FFA50</v>
      </c>
      <c r="B7214" t="s">
        <v>10</v>
      </c>
      <c r="C7214" t="s">
        <v>42</v>
      </c>
      <c r="D7214" t="str">
        <f>HYPERLINK("https://us2.cloudbeds.com/connect/10074733072513#/reservations/31682662772972?display=Brenda%20Plooster&amp;reservation_id=31682662772972&amp;guest_id=31682655867027", "Brenda Plooster")</f>
        <v>Brenda Plooster</v>
      </c>
      <c r="E7214" t="s">
        <v>4973</v>
      </c>
      <c r="F7214" t="s">
        <v>4974</v>
      </c>
      <c r="G7214">
        <v>338</v>
      </c>
      <c r="H7214">
        <v>367.42</v>
      </c>
      <c r="I7214">
        <v>367.41</v>
      </c>
      <c r="J7214">
        <v>0.01</v>
      </c>
    </row>
    <row r="7215" spans="1:10" x14ac:dyDescent="0.3">
      <c r="A7215" t="str">
        <f>HYPERLINK("https://us2.cloudbeds.com/connect/10074733072513#/reservations/31672760848595?display=MH5KETYVJ&amp;reservation_id=31672760848595", "MH5KETYVJ")</f>
        <v>MH5KETYVJ</v>
      </c>
      <c r="B7215" t="s">
        <v>10</v>
      </c>
      <c r="C7215" t="s">
        <v>42</v>
      </c>
      <c r="D7215" t="str">
        <f>HYPERLINK("https://us2.cloudbeds.com/connect/10074733072513#/reservations/31672760848595?display=Kevin%20Determan&amp;reservation_id=31672760848595&amp;guest_id=31672760848585", "Kevin Determan")</f>
        <v>Kevin Determan</v>
      </c>
      <c r="E7215" t="s">
        <v>2818</v>
      </c>
      <c r="F7215" t="s">
        <v>4948</v>
      </c>
      <c r="G7215">
        <v>73</v>
      </c>
      <c r="H7215">
        <v>79.36</v>
      </c>
      <c r="I7215">
        <v>79.349999999999994</v>
      </c>
      <c r="J7215">
        <v>0.01</v>
      </c>
    </row>
    <row r="7216" spans="1:10" x14ac:dyDescent="0.3">
      <c r="A7216" t="str">
        <f>HYPERLINK("https://us2.cloudbeds.com/connect/10074733072513#/reservations/31672693915794?display=MH5XZF5AT&amp;reservation_id=31672693915794", "MH5XZF5AT")</f>
        <v>MH5XZF5AT</v>
      </c>
      <c r="B7216" t="s">
        <v>10</v>
      </c>
      <c r="C7216" t="s">
        <v>121</v>
      </c>
      <c r="D7216" t="str">
        <f>HYPERLINK("https://us2.cloudbeds.com/connect/10074733072513#/reservations/31672693915794?display=Justin%20Michaels&amp;reservation_id=31672693915794&amp;guest_id=31672693915789", "Justin Michaels")</f>
        <v>Justin Michaels</v>
      </c>
      <c r="E7216" t="s">
        <v>4975</v>
      </c>
      <c r="F7216" t="s">
        <v>4948</v>
      </c>
      <c r="G7216">
        <v>218</v>
      </c>
      <c r="H7216">
        <v>236.98</v>
      </c>
      <c r="I7216">
        <v>236.97</v>
      </c>
      <c r="J7216">
        <v>0.01</v>
      </c>
    </row>
    <row r="7217" spans="1:10" x14ac:dyDescent="0.3">
      <c r="A7217" t="str">
        <f>HYPERLINK("https://us2.cloudbeds.com/connect/10074733072513#/reservations/31681075294427?display=MHC1TSCEJ&amp;reservation_id=31681075294427", "MHC1TSCEJ")</f>
        <v>MHC1TSCEJ</v>
      </c>
      <c r="B7217" t="s">
        <v>10</v>
      </c>
      <c r="C7217" t="s">
        <v>42</v>
      </c>
      <c r="D7217" t="str">
        <f>HYPERLINK("https://us2.cloudbeds.com/connect/10074733072513#/reservations/31681075294427?display=Lily%20Desantis&amp;reservation_id=31681075294427&amp;guest_id=31681075294422", "Lily Desantis")</f>
        <v>Lily Desantis</v>
      </c>
      <c r="E7217" t="s">
        <v>4978</v>
      </c>
      <c r="F7217" t="s">
        <v>4979</v>
      </c>
      <c r="G7217">
        <v>179</v>
      </c>
      <c r="H7217">
        <v>194.58</v>
      </c>
      <c r="I7217">
        <v>194.57</v>
      </c>
      <c r="J7217">
        <v>0.01</v>
      </c>
    </row>
    <row r="7218" spans="1:10" x14ac:dyDescent="0.3">
      <c r="A7218" t="str">
        <f>HYPERLINK("https://us2.cloudbeds.com/connect/10074733072513#/reservations/31673191055575?display=MH5VEYQMZ&amp;reservation_id=31673191055575", "MH5VEYQMZ")</f>
        <v>MH5VEYQMZ</v>
      </c>
      <c r="B7218" t="s">
        <v>10</v>
      </c>
      <c r="C7218" t="s">
        <v>23</v>
      </c>
      <c r="D7218" t="str">
        <f>HYPERLINK("https://us2.cloudbeds.com/connect/10074733072513#/reservations/31673191055575?display=Jill%20Gran&amp;reservation_id=31673191055575&amp;guest_id=30650898858159", "Jill Gran")</f>
        <v>Jill Gran</v>
      </c>
      <c r="E7218" t="s">
        <v>4984</v>
      </c>
      <c r="F7218" t="s">
        <v>3834</v>
      </c>
      <c r="G7218">
        <v>149</v>
      </c>
      <c r="H7218">
        <v>161.97</v>
      </c>
      <c r="I7218">
        <v>161.96</v>
      </c>
      <c r="J7218">
        <v>0.01</v>
      </c>
    </row>
    <row r="7219" spans="1:10" x14ac:dyDescent="0.3">
      <c r="A7219" t="str">
        <f>HYPERLINK("https://us2.cloudbeds.com/connect/10074733072513#/reservations/31672847147141?display=MH5MYM1Y1&amp;reservation_id=31672847147141", "MH5MYM1Y1")</f>
        <v>MH5MYM1Y1</v>
      </c>
      <c r="B7219" t="s">
        <v>10</v>
      </c>
      <c r="C7219" t="s">
        <v>11</v>
      </c>
      <c r="D7219" t="str">
        <f>HYPERLINK("https://us2.cloudbeds.com/connect/10074733072513#/reservations/31672847147141?display=Daniel%20Pool&amp;reservation_id=31672847147141&amp;guest_id=31672841732316", "Daniel Pool")</f>
        <v>Daniel Pool</v>
      </c>
      <c r="E7219" t="s">
        <v>4986</v>
      </c>
      <c r="F7219" t="s">
        <v>3834</v>
      </c>
      <c r="G7219">
        <v>87.84</v>
      </c>
      <c r="H7219">
        <v>95.49</v>
      </c>
      <c r="I7219">
        <v>95.48</v>
      </c>
      <c r="J7219">
        <v>0.01</v>
      </c>
    </row>
    <row r="7220" spans="1:10" x14ac:dyDescent="0.3">
      <c r="A7220" t="str">
        <f>HYPERLINK("https://us2.cloudbeds.com/connect/10074733072513#/reservations/31673737048259?display=MH6CD1SCJ&amp;reservation_id=31673737048259", "MH6CD1SCJ")</f>
        <v>MH6CD1SCJ</v>
      </c>
      <c r="B7220" t="s">
        <v>10</v>
      </c>
      <c r="C7220" t="s">
        <v>11</v>
      </c>
      <c r="D7220" t="str">
        <f>HYPERLINK("https://us2.cloudbeds.com/connect/10074733072513#/reservations/31673737048259?display=Bruce%20Torkelson&amp;reservation_id=31673737048259&amp;guest_id=31673737044212", "Bruce Torkelson")</f>
        <v>Bruce Torkelson</v>
      </c>
      <c r="E7220" t="s">
        <v>4987</v>
      </c>
      <c r="F7220" t="s">
        <v>4777</v>
      </c>
      <c r="G7220">
        <v>358</v>
      </c>
      <c r="H7220">
        <v>389.16</v>
      </c>
      <c r="I7220">
        <v>389.15</v>
      </c>
      <c r="J7220">
        <v>0.01</v>
      </c>
    </row>
    <row r="7221" spans="1:10" x14ac:dyDescent="0.3">
      <c r="A7221" t="str">
        <f>HYPERLINK("https://us2.cloudbeds.com/connect/10074733072513#/reservations/31673814257863?display=MH6EC5AUX&amp;reservation_id=31673814257863", "MH6EC5AUX")</f>
        <v>MH6EC5AUX</v>
      </c>
      <c r="B7221" t="s">
        <v>10</v>
      </c>
      <c r="C7221" t="s">
        <v>11</v>
      </c>
      <c r="D7221" t="str">
        <f>HYPERLINK("https://us2.cloudbeds.com/connect/10074733072513#/reservations/31673814257863?display=Joe%20Nissen&amp;reservation_id=31673814257863&amp;guest_id=31673814257861", "Joe Nissen")</f>
        <v>Joe Nissen</v>
      </c>
      <c r="E7221" t="s">
        <v>1933</v>
      </c>
      <c r="F7221" t="s">
        <v>4943</v>
      </c>
      <c r="G7221">
        <v>106.8</v>
      </c>
      <c r="H7221">
        <v>116.1</v>
      </c>
      <c r="I7221">
        <v>116.09</v>
      </c>
      <c r="J7221">
        <v>0.01</v>
      </c>
    </row>
    <row r="7222" spans="1:10" x14ac:dyDescent="0.3">
      <c r="A7222" t="str">
        <f>HYPERLINK("https://us2.cloudbeds.com/connect/10074733072513#/reservations/31673546797263?display=MH67HKRTT&amp;reservation_id=31673546797263", "MH67HKRTT")</f>
        <v>MH67HKRTT</v>
      </c>
      <c r="B7222" t="s">
        <v>10</v>
      </c>
      <c r="C7222" t="s">
        <v>42</v>
      </c>
      <c r="D7222" t="str">
        <f>HYPERLINK("https://us2.cloudbeds.com/connect/10074733072513#/reservations/31673546797263?display=Shivan%20Shiby&amp;reservation_id=31673546797263&amp;guest_id=31673546793172", "Shivan Shiby")</f>
        <v>Shivan Shiby</v>
      </c>
      <c r="E7222" t="s">
        <v>4990</v>
      </c>
      <c r="F7222" t="s">
        <v>4821</v>
      </c>
      <c r="G7222">
        <v>109</v>
      </c>
      <c r="H7222">
        <v>118.49</v>
      </c>
      <c r="I7222">
        <v>118.48</v>
      </c>
      <c r="J7222">
        <v>0.01</v>
      </c>
    </row>
    <row r="7223" spans="1:10" x14ac:dyDescent="0.3">
      <c r="A7223" t="str">
        <f>HYPERLINK("https://us2.cloudbeds.com/connect/10074733072513#/reservations/31673569767645?display=MH6840102&amp;reservation_id=31673569767645", "MH6840102")</f>
        <v>MH6840102</v>
      </c>
      <c r="B7223" t="s">
        <v>10</v>
      </c>
      <c r="C7223" t="s">
        <v>42</v>
      </c>
      <c r="D7223" t="str">
        <f>HYPERLINK("https://us2.cloudbeds.com/connect/10074733072513#/reservations/31673569767645?display=Paul%20Peterson&amp;reservation_id=31673569767645&amp;guest_id=31673559675017", "Paul Peterson")</f>
        <v>Paul Peterson</v>
      </c>
      <c r="E7223" t="s">
        <v>4991</v>
      </c>
      <c r="F7223" t="s">
        <v>4821</v>
      </c>
      <c r="G7223">
        <v>238</v>
      </c>
      <c r="H7223">
        <v>258.72000000000003</v>
      </c>
      <c r="I7223">
        <v>258.70999999999998</v>
      </c>
      <c r="J7223">
        <v>0.01</v>
      </c>
    </row>
    <row r="7224" spans="1:10" x14ac:dyDescent="0.3">
      <c r="A7224" t="str">
        <f>HYPERLINK("https://us2.cloudbeds.com/connect/10074733072513#/reservations/31673853223159?display=MH6FC0JZ3&amp;reservation_id=31673853223159", "MH6FC0JZ3")</f>
        <v>MH6FC0JZ3</v>
      </c>
      <c r="B7224" t="s">
        <v>10</v>
      </c>
      <c r="C7224" t="s">
        <v>23</v>
      </c>
      <c r="D7224" t="str">
        <f>HYPERLINK("https://us2.cloudbeds.com/connect/10074733072513#/reservations/31673853223159?display=Cory%20Kempema&amp;reservation_id=31673853223159&amp;guest_id=31673853223154", "Cory Kempema")</f>
        <v>Cory Kempema</v>
      </c>
      <c r="E7224" t="s">
        <v>4992</v>
      </c>
      <c r="F7224" t="s">
        <v>3834</v>
      </c>
      <c r="G7224">
        <v>149</v>
      </c>
      <c r="H7224">
        <v>161.97</v>
      </c>
      <c r="I7224">
        <v>161.96</v>
      </c>
      <c r="J7224">
        <v>0.01</v>
      </c>
    </row>
    <row r="7225" spans="1:10" x14ac:dyDescent="0.3">
      <c r="A7225" t="str">
        <f>HYPERLINK("https://us2.cloudbeds.com/connect/10074733072513#/reservations/31673852281017?display=MH6FB7CJB&amp;reservation_id=31673852281017", "MH6FB7CJB")</f>
        <v>MH6FB7CJB</v>
      </c>
      <c r="B7225" t="s">
        <v>10</v>
      </c>
      <c r="C7225" t="s">
        <v>42</v>
      </c>
      <c r="D7225" t="str">
        <f>HYPERLINK("https://us2.cloudbeds.com/connect/10074733072513#/reservations/31673852281017?display=Jennifer%20Anderson&amp;reservation_id=31673852281017&amp;guest_id=31673531998362", "Jennifer Anderson")</f>
        <v>Jennifer Anderson</v>
      </c>
      <c r="E7225" t="s">
        <v>4612</v>
      </c>
      <c r="F7225" t="s">
        <v>4943</v>
      </c>
      <c r="G7225">
        <v>79</v>
      </c>
      <c r="H7225">
        <v>85.88</v>
      </c>
      <c r="I7225">
        <v>85.87</v>
      </c>
      <c r="J7225">
        <v>0.01</v>
      </c>
    </row>
    <row r="7226" spans="1:10" x14ac:dyDescent="0.3">
      <c r="A7226" t="str">
        <f>HYPERLINK("https://us2.cloudbeds.com/connect/10074733072513#/reservations/31673845465314?display=MH6F5FNTT&amp;reservation_id=31673845465314", "MH6F5FNTT")</f>
        <v>MH6F5FNTT</v>
      </c>
      <c r="B7226" t="s">
        <v>10</v>
      </c>
      <c r="C7226" t="s">
        <v>11</v>
      </c>
      <c r="D7226" t="str">
        <f>HYPERLINK("https://us2.cloudbeds.com/connect/10074733072513#/reservations/31673845465314?display=Robin%20Brown&amp;reservation_id=31673845465314&amp;guest_id=31673836216455", "Robin Brown")</f>
        <v>Robin Brown</v>
      </c>
      <c r="E7226" t="s">
        <v>4994</v>
      </c>
      <c r="F7226" t="s">
        <v>4943</v>
      </c>
      <c r="G7226">
        <v>87.84</v>
      </c>
      <c r="H7226">
        <v>95.49</v>
      </c>
      <c r="I7226">
        <v>95.48</v>
      </c>
      <c r="J7226">
        <v>0.01</v>
      </c>
    </row>
    <row r="7227" spans="1:10" x14ac:dyDescent="0.3">
      <c r="A7227" t="str">
        <f>HYPERLINK("https://us2.cloudbeds.com/connect/10074733072513#/reservations/31673818771602?display=MH6EFVUPH&amp;reservation_id=31673818771602", "MH6EFVUPH")</f>
        <v>MH6EFVUPH</v>
      </c>
      <c r="B7227" t="s">
        <v>10</v>
      </c>
      <c r="C7227" t="s">
        <v>42</v>
      </c>
      <c r="D7227" t="str">
        <f>HYPERLINK("https://us2.cloudbeds.com/connect/10074733072513#/reservations/31673818771602?display=Shawn%20Hill&amp;reservation_id=31673818771602&amp;guest_id=31673818771598", "Shawn Hill")</f>
        <v>Shawn Hill</v>
      </c>
      <c r="E7227" t="s">
        <v>3501</v>
      </c>
      <c r="F7227" t="s">
        <v>4943</v>
      </c>
      <c r="G7227">
        <v>169</v>
      </c>
      <c r="H7227">
        <v>183.71</v>
      </c>
      <c r="I7227">
        <v>183.7</v>
      </c>
      <c r="J7227">
        <v>0.01</v>
      </c>
    </row>
    <row r="7228" spans="1:10" x14ac:dyDescent="0.3">
      <c r="A7228" t="str">
        <f>HYPERLINK("https://us2.cloudbeds.com/connect/10074733072513#/reservations/31674922766497?display=MH79MT769&amp;reservation_id=31674922766497", "MH79MT769")</f>
        <v>MH79MT769</v>
      </c>
      <c r="B7228" t="s">
        <v>10</v>
      </c>
      <c r="C7228" t="s">
        <v>14</v>
      </c>
      <c r="D7228" t="str">
        <f>HYPERLINK("https://us2.cloudbeds.com/connect/10074733072513#/reservations/31674922766497?display=Dupree%20Tesmer&amp;reservation_id=31674922766497&amp;guest_id=31674922762405", "Dupree Tesmer")</f>
        <v>Dupree Tesmer</v>
      </c>
      <c r="E7228" t="s">
        <v>4995</v>
      </c>
      <c r="F7228" t="s">
        <v>4922</v>
      </c>
      <c r="G7228">
        <v>297.83</v>
      </c>
      <c r="H7228">
        <v>323.75</v>
      </c>
      <c r="I7228">
        <v>323.74</v>
      </c>
      <c r="J7228">
        <v>0.01</v>
      </c>
    </row>
    <row r="7229" spans="1:10" x14ac:dyDescent="0.3">
      <c r="A7229" t="str">
        <f>HYPERLINK("https://us2.cloudbeds.com/connect/10074733072513#/reservations/31673958641836?display=MH6X1U0UF&amp;reservation_id=31673958641836", "MH6X1U0UF")</f>
        <v>MH6X1U0UF</v>
      </c>
      <c r="B7229" t="s">
        <v>10</v>
      </c>
      <c r="C7229" t="s">
        <v>14</v>
      </c>
      <c r="D7229" t="str">
        <f>HYPERLINK("https://us2.cloudbeds.com/connect/10074733072513#/reservations/31673958641836?display=Rober%20Howland&amp;reservation_id=31673958641836&amp;guest_id=31673958641831", "Rober Howland")</f>
        <v>Rober Howland</v>
      </c>
      <c r="E7229" t="s">
        <v>4996</v>
      </c>
      <c r="F7229" t="s">
        <v>4997</v>
      </c>
      <c r="G7229">
        <v>321.3</v>
      </c>
      <c r="H7229">
        <v>349.26</v>
      </c>
      <c r="I7229">
        <v>349.25</v>
      </c>
      <c r="J7229">
        <v>0.01</v>
      </c>
    </row>
    <row r="7230" spans="1:10" x14ac:dyDescent="0.3">
      <c r="A7230" t="str">
        <f>HYPERLINK("https://us2.cloudbeds.com/connect/10074733072513#/reservations/31673531994274?display=MH6754UNF&amp;reservation_id=31673531994274", "MH6754UNF")</f>
        <v>MH6754UNF</v>
      </c>
      <c r="B7230" t="s">
        <v>10</v>
      </c>
      <c r="C7230" t="s">
        <v>121</v>
      </c>
      <c r="D7230" t="str">
        <f>HYPERLINK("https://us2.cloudbeds.com/connect/10074733072513#/reservations/31673531994274?display=Rouse%20Elizabeth&amp;reservation_id=31673531994274&amp;guest_id=31673531994268", "Rouse Elizabeth")</f>
        <v>Rouse Elizabeth</v>
      </c>
      <c r="E7230" t="s">
        <v>4998</v>
      </c>
      <c r="F7230" t="s">
        <v>4821</v>
      </c>
      <c r="G7230">
        <v>109</v>
      </c>
      <c r="H7230">
        <v>118.49</v>
      </c>
      <c r="I7230">
        <v>118.48</v>
      </c>
      <c r="J7230">
        <v>0.01</v>
      </c>
    </row>
    <row r="7231" spans="1:10" x14ac:dyDescent="0.3">
      <c r="A7231" t="str">
        <f>HYPERLINK("https://us2.cloudbeds.com/connect/10074733072513#/reservations/31672857297121?display=MH5MU7G36&amp;reservation_id=31672857297121", "MH5MU7G36")</f>
        <v>MH5MU7G36</v>
      </c>
      <c r="B7231" t="s">
        <v>10</v>
      </c>
      <c r="C7231" t="s">
        <v>20</v>
      </c>
      <c r="D7231" t="str">
        <f>HYPERLINK("https://us2.cloudbeds.com/connect/10074733072513#/reservations/31672857297121?display=Michael%20Folkers&amp;reservation_id=31672857297121&amp;guest_id=31672857297116", "Michael Folkers")</f>
        <v>Michael Folkers</v>
      </c>
      <c r="E7231" t="s">
        <v>4999</v>
      </c>
      <c r="F7231" t="s">
        <v>3834</v>
      </c>
      <c r="G7231">
        <v>139</v>
      </c>
      <c r="H7231">
        <v>151.1</v>
      </c>
      <c r="I7231">
        <v>151.09</v>
      </c>
      <c r="J7231">
        <v>0.01</v>
      </c>
    </row>
    <row r="7232" spans="1:10" x14ac:dyDescent="0.3">
      <c r="A7232" t="str">
        <f>HYPERLINK("https://us2.cloudbeds.com/connect/10074733072513#/reservations/31672857293012?display=MH5MU7CAM&amp;reservation_id=31672857293012", "MH5MU7CAM")</f>
        <v>MH5MU7CAM</v>
      </c>
      <c r="B7232" t="s">
        <v>10</v>
      </c>
      <c r="C7232" t="s">
        <v>11</v>
      </c>
      <c r="D7232" t="str">
        <f>HYPERLINK("https://us2.cloudbeds.com/connect/10074733072513#/reservations/31672857293012?display=Kaitlyn%20Robins&amp;reservation_id=31672857293012&amp;guest_id=31672847151232", "Kaitlyn Robins")</f>
        <v>Kaitlyn Robins</v>
      </c>
      <c r="E7232" t="s">
        <v>2955</v>
      </c>
      <c r="F7232" t="s">
        <v>3834</v>
      </c>
      <c r="G7232">
        <v>87.84</v>
      </c>
      <c r="H7232">
        <v>95.49</v>
      </c>
      <c r="I7232">
        <v>95.48</v>
      </c>
      <c r="J7232">
        <v>0.01</v>
      </c>
    </row>
    <row r="7233" spans="1:10" x14ac:dyDescent="0.3">
      <c r="A7233" t="str">
        <f>HYPERLINK("https://us2.cloudbeds.com/connect/10074733072513#/reservations/31673546793174?display=MH67HKZ4W&amp;reservation_id=31673546793174", "MH67HKZ4W")</f>
        <v>MH67HKZ4W</v>
      </c>
      <c r="B7233" t="s">
        <v>10</v>
      </c>
      <c r="C7233" t="s">
        <v>121</v>
      </c>
      <c r="D7233" t="str">
        <f>HYPERLINK("https://us2.cloudbeds.com/connect/10074733072513#/reservations/31673546793174?display=Nicholas%20Hoffman&amp;reservation_id=31673546793174&amp;guest_id=31673546793169", "Nicholas Hoffman")</f>
        <v>Nicholas Hoffman</v>
      </c>
      <c r="E7233" t="s">
        <v>5001</v>
      </c>
      <c r="F7233" t="s">
        <v>4821</v>
      </c>
      <c r="G7233">
        <v>109</v>
      </c>
      <c r="H7233">
        <v>118.49</v>
      </c>
      <c r="I7233">
        <v>118.48</v>
      </c>
      <c r="J7233">
        <v>0.01</v>
      </c>
    </row>
    <row r="7234" spans="1:10" x14ac:dyDescent="0.3">
      <c r="A7234" t="str">
        <f>HYPERLINK("https://us2.cloudbeds.com/connect/10074733072513#/reservations/31673014649034?display=MH5QUU16W&amp;reservation_id=31673014649034", "MH5QUU16W")</f>
        <v>MH5QUU16W</v>
      </c>
      <c r="B7234" t="s">
        <v>10</v>
      </c>
      <c r="C7234" t="s">
        <v>42</v>
      </c>
      <c r="D7234" t="str">
        <f>HYPERLINK("https://us2.cloudbeds.com/connect/10074733072513#/reservations/31673014649034?display=Dana%20Mcdowell&amp;reservation_id=31673014649034&amp;guest_id=31673014644940", "Dana Mcdowell")</f>
        <v>Dana Mcdowell</v>
      </c>
      <c r="E7234" t="s">
        <v>5002</v>
      </c>
      <c r="F7234" t="s">
        <v>3834</v>
      </c>
      <c r="G7234">
        <v>159</v>
      </c>
      <c r="H7234">
        <v>172.84</v>
      </c>
      <c r="I7234">
        <v>172.83</v>
      </c>
      <c r="J7234">
        <v>0.01</v>
      </c>
    </row>
    <row r="7235" spans="1:10" x14ac:dyDescent="0.3">
      <c r="A7235" t="str">
        <f>HYPERLINK("https://us2.cloudbeds.com/connect/10074733072513#/reservations/31673831391474?display=MH6EQK38T&amp;reservation_id=31673831391474", "MH6EQK38T")</f>
        <v>MH6EQK38T</v>
      </c>
      <c r="B7235" t="s">
        <v>10</v>
      </c>
      <c r="C7235" t="s">
        <v>42</v>
      </c>
      <c r="D7235" t="str">
        <f>HYPERLINK("https://us2.cloudbeds.com/connect/10074733072513#/reservations/31673831391474?display=Cameron%20Wylie&amp;reservation_id=31673831391474&amp;guest_id=31673042698476", "Cameron Wylie")</f>
        <v>Cameron Wylie</v>
      </c>
      <c r="E7235" t="s">
        <v>5003</v>
      </c>
      <c r="F7235" t="s">
        <v>4943</v>
      </c>
      <c r="G7235">
        <v>109</v>
      </c>
      <c r="H7235">
        <v>118.49</v>
      </c>
      <c r="I7235">
        <v>118.48</v>
      </c>
      <c r="J7235">
        <v>0.01</v>
      </c>
    </row>
    <row r="7236" spans="1:10" x14ac:dyDescent="0.3">
      <c r="A7236" t="str">
        <f>HYPERLINK("https://us2.cloudbeds.com/connect/10074733072513#/reservations/31672877940871?display=MH5NEKUNC&amp;reservation_id=31672877940871", "MH5NEKUNC")</f>
        <v>MH5NEKUNC</v>
      </c>
      <c r="B7236" t="s">
        <v>10</v>
      </c>
      <c r="C7236" t="s">
        <v>42</v>
      </c>
      <c r="D7236" t="str">
        <f>HYPERLINK("https://us2.cloudbeds.com/connect/10074733072513#/reservations/31672877940871?display=Cory%20Glick&amp;reservation_id=31672877940871&amp;guest_id=31672877940869", "Cory Glick")</f>
        <v>Cory Glick</v>
      </c>
      <c r="E7236" t="s">
        <v>5004</v>
      </c>
      <c r="F7236" t="s">
        <v>3834</v>
      </c>
      <c r="G7236">
        <v>79</v>
      </c>
      <c r="H7236">
        <v>85.88</v>
      </c>
      <c r="I7236">
        <v>85.87</v>
      </c>
      <c r="J7236">
        <v>0.01</v>
      </c>
    </row>
    <row r="7237" spans="1:10" x14ac:dyDescent="0.3">
      <c r="A7237" t="str">
        <f>HYPERLINK("https://us2.cloudbeds.com/connect/10074733072513#/reservations/31672886022305?display=MH5NYEQMA&amp;reservation_id=31672886022305", "MH5NYEQMA")</f>
        <v>MH5NYEQMA</v>
      </c>
      <c r="B7237" t="s">
        <v>10</v>
      </c>
      <c r="C7237" t="s">
        <v>42</v>
      </c>
      <c r="D7237" t="str">
        <f>HYPERLINK("https://us2.cloudbeds.com/connect/10074733072513#/reservations/31672886022305?display=Norn%20Gustafson&amp;reservation_id=31672886022305&amp;guest_id=31672886022303", "Norn Gustafson")</f>
        <v>Norn Gustafson</v>
      </c>
      <c r="E7237" t="s">
        <v>5006</v>
      </c>
      <c r="F7237" t="s">
        <v>3834</v>
      </c>
      <c r="G7237">
        <v>169</v>
      </c>
      <c r="H7237">
        <v>183.71</v>
      </c>
      <c r="I7237">
        <v>183.7</v>
      </c>
      <c r="J7237">
        <v>0.01</v>
      </c>
    </row>
    <row r="7238" spans="1:10" x14ac:dyDescent="0.3">
      <c r="A7238" t="str">
        <f>HYPERLINK("https://us2.cloudbeds.com/connect/10074733072513#/reservations/31673010340019?display=MH5QR94BP&amp;reservation_id=31673010340019", "MH5QR94BP")</f>
        <v>MH5QR94BP</v>
      </c>
      <c r="B7238" t="s">
        <v>10</v>
      </c>
      <c r="C7238" t="s">
        <v>42</v>
      </c>
      <c r="D7238" t="str">
        <f>HYPERLINK("https://us2.cloudbeds.com/connect/10074733072513#/reservations/31673010340019?display=Kim%20Anderson&amp;reservation_id=31673010340019&amp;guest_id=31672997318875", "Kim Anderson")</f>
        <v>Kim Anderson</v>
      </c>
      <c r="E7238" t="s">
        <v>5008</v>
      </c>
      <c r="F7238" t="s">
        <v>3834</v>
      </c>
      <c r="G7238">
        <v>149</v>
      </c>
      <c r="H7238">
        <v>161.97</v>
      </c>
      <c r="I7238">
        <v>161.96</v>
      </c>
      <c r="J7238">
        <v>0.01</v>
      </c>
    </row>
    <row r="7239" spans="1:10" x14ac:dyDescent="0.3">
      <c r="A7239" t="str">
        <f>HYPERLINK("https://us2.cloudbeds.com/connect/10074733072513#/reservations/31674046984374?display=MH6KAD9X2&amp;reservation_id=31674046984374", "MH6KAD9X2")</f>
        <v>MH6KAD9X2</v>
      </c>
      <c r="B7239" t="s">
        <v>10</v>
      </c>
      <c r="C7239" t="s">
        <v>11</v>
      </c>
      <c r="D7239" t="str">
        <f>HYPERLINK("https://us2.cloudbeds.com/connect/10074733072513#/reservations/31674046984374?display=Dustan%20Larson&amp;reservation_id=31674046984374&amp;guest_id=30652308099202", "Dustan Larson")</f>
        <v>Dustan Larson</v>
      </c>
      <c r="E7239" t="s">
        <v>5009</v>
      </c>
      <c r="F7239" t="s">
        <v>4849</v>
      </c>
      <c r="G7239">
        <v>87.84</v>
      </c>
      <c r="H7239">
        <v>95.49</v>
      </c>
      <c r="I7239">
        <v>95.48</v>
      </c>
      <c r="J7239">
        <v>0.01</v>
      </c>
    </row>
    <row r="7240" spans="1:10" x14ac:dyDescent="0.3">
      <c r="A7240" t="str">
        <f>HYPERLINK("https://us2.cloudbeds.com/connect/10074733072513#/reservations/31674689999088?display=MH73ZK40E&amp;reservation_id=31674689999088", "MH73ZK40E")</f>
        <v>MH73ZK40E</v>
      </c>
      <c r="B7240" t="s">
        <v>10</v>
      </c>
      <c r="C7240" t="s">
        <v>42</v>
      </c>
      <c r="D7240" t="str">
        <f>HYPERLINK("https://us2.cloudbeds.com/connect/10074733072513#/reservations/31674689999088?display=Missy%20Joel%20Baarstad&amp;reservation_id=31674689999088&amp;guest_id=31674689999073", "Missy Joel Baarstad")</f>
        <v>Missy Joel Baarstad</v>
      </c>
      <c r="E7240" t="s">
        <v>5011</v>
      </c>
      <c r="F7240" t="s">
        <v>4854</v>
      </c>
      <c r="G7240">
        <v>129</v>
      </c>
      <c r="H7240">
        <v>140.22999999999999</v>
      </c>
      <c r="I7240">
        <v>140.22</v>
      </c>
      <c r="J7240">
        <v>0.01</v>
      </c>
    </row>
    <row r="7241" spans="1:10" x14ac:dyDescent="0.3">
      <c r="A7241" t="str">
        <f>HYPERLINK("https://us2.cloudbeds.com/connect/10074733072513#/reservations/31672292946122?display=MH58GBJEP&amp;reservation_id=31672292946122", "MH58GBJEP")</f>
        <v>MH58GBJEP</v>
      </c>
      <c r="B7241" t="s">
        <v>10</v>
      </c>
      <c r="C7241" t="s">
        <v>42</v>
      </c>
      <c r="D7241" t="str">
        <f>HYPERLINK("https://us2.cloudbeds.com/connect/10074733072513#/reservations/31672292946122?display=Kayle%20Mckenzie&amp;reservation_id=31672292946122&amp;guest_id=31672286089465", "Kayle Mckenzie")</f>
        <v>Kayle Mckenzie</v>
      </c>
      <c r="E7241" t="s">
        <v>4641</v>
      </c>
      <c r="F7241" t="s">
        <v>4766</v>
      </c>
      <c r="G7241">
        <v>370</v>
      </c>
      <c r="H7241">
        <v>402.2</v>
      </c>
      <c r="I7241">
        <v>402.19</v>
      </c>
      <c r="J7241">
        <v>0.01</v>
      </c>
    </row>
    <row r="7242" spans="1:10" x14ac:dyDescent="0.3">
      <c r="A7242" t="str">
        <f>HYPERLINK("https://us2.cloudbeds.com/connect/10074733072513#/reservations/31682535428288?display=MHD60KCQF&amp;reservation_id=31682535428288", "MHD60KCQF")</f>
        <v>MHD60KCQF</v>
      </c>
      <c r="B7242" t="s">
        <v>10</v>
      </c>
      <c r="C7242" t="s">
        <v>42</v>
      </c>
      <c r="D7242" t="str">
        <f>HYPERLINK("https://us2.cloudbeds.com/connect/10074733072513#/reservations/31682535428288?display=Stacy%20Huber&amp;reservation_id=31682535428288&amp;guest_id=31682527756442", "Stacy Huber")</f>
        <v>Stacy Huber</v>
      </c>
      <c r="E7242" t="s">
        <v>5016</v>
      </c>
      <c r="F7242" t="s">
        <v>5017</v>
      </c>
      <c r="G7242">
        <v>129</v>
      </c>
      <c r="H7242">
        <v>140.22999999999999</v>
      </c>
      <c r="I7242">
        <v>140.22</v>
      </c>
      <c r="J7242">
        <v>0.01</v>
      </c>
    </row>
    <row r="7243" spans="1:10" x14ac:dyDescent="0.3">
      <c r="A7243" t="str">
        <f>HYPERLINK("https://us2.cloudbeds.com/connect/10074733072513#/reservations/31677518336131?display=MH9A0HPCX&amp;reservation_id=31677518336131", "MH9A0HPCX")</f>
        <v>MH9A0HPCX</v>
      </c>
      <c r="B7243" t="s">
        <v>10</v>
      </c>
      <c r="C7243" t="s">
        <v>42</v>
      </c>
      <c r="D7243" t="str">
        <f>HYPERLINK("https://us2.cloudbeds.com/connect/10074733072513#/reservations/31677518336131?display=Kayla%20Gertsema&amp;reservation_id=31677518336131&amp;guest_id=31677509165228", "Kayla Gertsema")</f>
        <v>Kayla Gertsema</v>
      </c>
      <c r="E7243" t="s">
        <v>4163</v>
      </c>
      <c r="F7243" t="s">
        <v>4164</v>
      </c>
      <c r="G7243">
        <v>298</v>
      </c>
      <c r="H7243">
        <v>323.94</v>
      </c>
      <c r="I7243">
        <v>323.93</v>
      </c>
      <c r="J7243">
        <v>0.01</v>
      </c>
    </row>
    <row r="7244" spans="1:10" x14ac:dyDescent="0.3">
      <c r="A7244" t="str">
        <f>HYPERLINK("https://us2.cloudbeds.com/connect/10074733072513#/reservations/31682522640513?display=MHD5T9U6T&amp;reservation_id=31682522640513", "MHD5T9U6T")</f>
        <v>MHD5T9U6T</v>
      </c>
      <c r="B7244" t="s">
        <v>10</v>
      </c>
      <c r="C7244" t="s">
        <v>42</v>
      </c>
      <c r="D7244" t="str">
        <f>HYPERLINK("https://us2.cloudbeds.com/connect/10074733072513#/reservations/31682522640513?display=Stacy%20Huber&amp;reservation_id=31682522640513&amp;guest_id=31682522636479", "Stacy Huber")</f>
        <v>Stacy Huber</v>
      </c>
      <c r="E7244" t="s">
        <v>5018</v>
      </c>
      <c r="F7244" t="s">
        <v>5017</v>
      </c>
      <c r="G7244">
        <v>129</v>
      </c>
      <c r="H7244">
        <v>140.22999999999999</v>
      </c>
      <c r="I7244">
        <v>140.22</v>
      </c>
      <c r="J7244">
        <v>0.01</v>
      </c>
    </row>
    <row r="7245" spans="1:10" x14ac:dyDescent="0.3">
      <c r="A7245" t="str">
        <f>HYPERLINK("https://us2.cloudbeds.com/connect/10074733072513#/reservations/31673064194193?display=MH5S6MN7E&amp;reservation_id=31673064194193", "MH5S6MN7E")</f>
        <v>MH5S6MN7E</v>
      </c>
      <c r="B7245" t="s">
        <v>10</v>
      </c>
      <c r="C7245" t="s">
        <v>23</v>
      </c>
      <c r="D7245" t="str">
        <f>HYPERLINK("https://us2.cloudbeds.com/connect/10074733072513#/reservations/31673064194193?display=Dale%20Anderson&amp;reservation_id=31673064194193&amp;guest_id=31673064194189", "Dale Anderson")</f>
        <v>Dale Anderson</v>
      </c>
      <c r="E7245" t="s">
        <v>5019</v>
      </c>
      <c r="F7245" t="s">
        <v>4837</v>
      </c>
      <c r="G7245">
        <v>109</v>
      </c>
      <c r="H7245">
        <v>118.49</v>
      </c>
      <c r="I7245">
        <v>118.48</v>
      </c>
      <c r="J7245">
        <v>0.01</v>
      </c>
    </row>
    <row r="7246" spans="1:10" x14ac:dyDescent="0.3">
      <c r="A7246" t="str">
        <f>HYPERLINK("https://us2.cloudbeds.com/connect/10074733072513#/reservations/31677499203783?display=MH99HDCYE&amp;reservation_id=31677499203783", "MH99HDCYE")</f>
        <v>MH99HDCYE</v>
      </c>
      <c r="B7246" t="s">
        <v>10</v>
      </c>
      <c r="C7246" t="s">
        <v>42</v>
      </c>
      <c r="D7246" t="str">
        <f>HYPERLINK("https://us2.cloudbeds.com/connect/10074733072513#/reservations/31677499203783?display=Daniel%20Son%20Gertsema&amp;reservation_id=31677499203783&amp;guest_id=31677499199695", "Daniel Son Gertsema")</f>
        <v>Daniel Son Gertsema</v>
      </c>
      <c r="E7246" t="s">
        <v>4163</v>
      </c>
      <c r="F7246" t="s">
        <v>4164</v>
      </c>
      <c r="G7246">
        <v>298</v>
      </c>
      <c r="H7246">
        <v>323.94</v>
      </c>
      <c r="I7246">
        <v>323.93</v>
      </c>
      <c r="J7246">
        <v>0.01</v>
      </c>
    </row>
    <row r="7247" spans="1:10" x14ac:dyDescent="0.3">
      <c r="A7247" t="str">
        <f>HYPERLINK("https://us2.cloudbeds.com/connect/10074733072513#/reservations/31677525127390?display=MH9A68ZK8&amp;reservation_id=31677525127390", "MH9A68ZK8")</f>
        <v>MH9A68ZK8</v>
      </c>
      <c r="B7247" t="s">
        <v>10</v>
      </c>
      <c r="C7247" t="s">
        <v>42</v>
      </c>
      <c r="D7247" t="str">
        <f>HYPERLINK("https://us2.cloudbeds.com/connect/10074733072513#/reservations/31677525127390?display=Dan%20Gertsema&amp;reservation_id=31677525127390&amp;guest_id=31677518340229", "Dan Gertsema")</f>
        <v>Dan Gertsema</v>
      </c>
      <c r="E7247" t="s">
        <v>5020</v>
      </c>
      <c r="F7247" t="s">
        <v>4164</v>
      </c>
      <c r="G7247">
        <v>298</v>
      </c>
      <c r="H7247">
        <v>323.94</v>
      </c>
      <c r="I7247">
        <v>323.93</v>
      </c>
      <c r="J7247">
        <v>0.01</v>
      </c>
    </row>
    <row r="7248" spans="1:10" x14ac:dyDescent="0.3">
      <c r="A7248" t="str">
        <f>HYPERLINK("https://us2.cloudbeds.com/connect/10074733072513#/reservations/31673167864008?display=MH5US3FFW&amp;reservation_id=31673167864008", "MH5US3FFW")</f>
        <v>MH5US3FFW</v>
      </c>
      <c r="B7248" t="s">
        <v>10</v>
      </c>
      <c r="C7248" t="s">
        <v>42</v>
      </c>
      <c r="D7248" t="str">
        <f>HYPERLINK("https://us2.cloudbeds.com/connect/10074733072513#/reservations/31673167864008?display=Matthew%20Wilbon&amp;reservation_id=31673167864008&amp;guest_id=31673167859912", "Matthew Wilbon")</f>
        <v>Matthew Wilbon</v>
      </c>
      <c r="E7248" t="s">
        <v>5025</v>
      </c>
      <c r="F7248" t="s">
        <v>4837</v>
      </c>
      <c r="G7248">
        <v>79</v>
      </c>
      <c r="H7248">
        <v>85.88</v>
      </c>
      <c r="I7248">
        <v>85.87</v>
      </c>
      <c r="J7248">
        <v>0.01</v>
      </c>
    </row>
    <row r="7249" spans="1:10" x14ac:dyDescent="0.3">
      <c r="A7249" t="str">
        <f>HYPERLINK("https://us2.cloudbeds.com/connect/10074733072513#/reservations/31674043003113?display=MH6K71GYQ&amp;reservation_id=31674043003113", "MH6K71GYQ")</f>
        <v>MH6K71GYQ</v>
      </c>
      <c r="B7249" t="s">
        <v>10</v>
      </c>
      <c r="C7249" t="s">
        <v>11</v>
      </c>
      <c r="D7249" t="str">
        <f>HYPERLINK("https://us2.cloudbeds.com/connect/10074733072513#/reservations/31674043003113?display=Harold%20Reynolds&amp;reservation_id=31674043003113&amp;guest_id=31674033807592", "Harold Reynolds")</f>
        <v>Harold Reynolds</v>
      </c>
      <c r="E7249" t="s">
        <v>1933</v>
      </c>
      <c r="F7249" t="s">
        <v>4925</v>
      </c>
      <c r="G7249">
        <v>313.44</v>
      </c>
      <c r="H7249">
        <v>340.72</v>
      </c>
      <c r="I7249">
        <v>340.71</v>
      </c>
      <c r="J7249">
        <v>0.01</v>
      </c>
    </row>
    <row r="7250" spans="1:10" x14ac:dyDescent="0.3">
      <c r="A7250" t="str">
        <f>HYPERLINK("https://us2.cloudbeds.com/connect/10074733072513#/reservations/31673917317257?display=MH6H023YG&amp;reservation_id=31673917317257", "MH6H023YG")</f>
        <v>MH6H023YG</v>
      </c>
      <c r="B7250" t="s">
        <v>10</v>
      </c>
      <c r="C7250" t="s">
        <v>14</v>
      </c>
      <c r="D7250" t="str">
        <f>HYPERLINK("https://us2.cloudbeds.com/connect/10074733072513#/reservations/31673917317257?display=Georgy%20Apridonidze&amp;reservation_id=31673917317257&amp;guest_id=31673917317255", "Georgy Apridonidze")</f>
        <v>Georgy Apridonidze</v>
      </c>
      <c r="E7250" t="s">
        <v>5031</v>
      </c>
      <c r="F7250" t="s">
        <v>4997</v>
      </c>
      <c r="G7250">
        <v>77.5</v>
      </c>
      <c r="H7250">
        <v>84.25</v>
      </c>
      <c r="I7250">
        <v>84.24</v>
      </c>
      <c r="J7250">
        <v>0.01</v>
      </c>
    </row>
    <row r="7251" spans="1:10" x14ac:dyDescent="0.3">
      <c r="A7251" t="str">
        <f>HYPERLINK("https://us2.cloudbeds.com/connect/10074733072513#/reservations/31673744507042?display=MH6CJBDJA&amp;reservation_id=31673744507042", "MH6CJBDJA")</f>
        <v>MH6CJBDJA</v>
      </c>
      <c r="B7251" t="s">
        <v>10</v>
      </c>
      <c r="C7251" t="s">
        <v>42</v>
      </c>
      <c r="D7251" t="str">
        <f>HYPERLINK("https://us2.cloudbeds.com/connect/10074733072513#/reservations/31673744507042?display=Trenton%20Wiese&amp;reservation_id=31673744507042&amp;guest_id=31673744507027", "Trenton Wiese")</f>
        <v>Trenton Wiese</v>
      </c>
      <c r="E7251" t="s">
        <v>5032</v>
      </c>
      <c r="F7251" t="s">
        <v>4777</v>
      </c>
      <c r="G7251">
        <v>150</v>
      </c>
      <c r="H7251">
        <v>163.06</v>
      </c>
      <c r="I7251">
        <v>163.05000000000001</v>
      </c>
      <c r="J7251">
        <v>0.01</v>
      </c>
    </row>
    <row r="7252" spans="1:10" x14ac:dyDescent="0.3">
      <c r="A7252" t="str">
        <f>HYPERLINK("https://us2.cloudbeds.com/connect/10074733072513#/reservations/31673416560852?display=MH646QR7W&amp;reservation_id=31673416560852", "MH646QR7W")</f>
        <v>MH646QR7W</v>
      </c>
      <c r="B7252" t="s">
        <v>10</v>
      </c>
      <c r="C7252" t="s">
        <v>11</v>
      </c>
      <c r="D7252" t="str">
        <f>HYPERLINK("https://us2.cloudbeds.com/connect/10074733072513#/reservations/31673416560852?display=Kenneth%20Dean%20Meyer&amp;reservation_id=31673416560852&amp;guest_id=31673412649143", "Kenneth Dean Meyer")</f>
        <v>Kenneth Dean Meyer</v>
      </c>
      <c r="E7252" t="s">
        <v>4770</v>
      </c>
      <c r="F7252" t="s">
        <v>4818</v>
      </c>
      <c r="G7252">
        <v>87.84</v>
      </c>
      <c r="H7252">
        <v>95.49</v>
      </c>
      <c r="I7252">
        <v>95.48</v>
      </c>
      <c r="J7252">
        <v>0.01</v>
      </c>
    </row>
    <row r="7253" spans="1:10" x14ac:dyDescent="0.3">
      <c r="A7253" t="str">
        <f>HYPERLINK("https://us2.cloudbeds.com/connect/10074733072513#/reservations/31672209731813?display=MH56C60V1&amp;reservation_id=31672209731813", "MH56C60V1")</f>
        <v>MH56C60V1</v>
      </c>
      <c r="B7253" t="s">
        <v>10</v>
      </c>
      <c r="C7253" t="s">
        <v>42</v>
      </c>
      <c r="D7253" t="str">
        <f>HYPERLINK("https://us2.cloudbeds.com/connect/10074733072513#/reservations/31672209731813?display=Shaun%20Davis&amp;reservation_id=31672209731813&amp;guest_id=31672209731808", "Shaun Davis")</f>
        <v>Shaun Davis</v>
      </c>
      <c r="E7253" t="s">
        <v>5033</v>
      </c>
      <c r="F7253" t="s">
        <v>4849</v>
      </c>
      <c r="G7253">
        <v>99</v>
      </c>
      <c r="H7253">
        <v>107.62</v>
      </c>
      <c r="I7253">
        <v>107.61</v>
      </c>
      <c r="J7253">
        <v>0.01</v>
      </c>
    </row>
    <row r="7254" spans="1:10" x14ac:dyDescent="0.3">
      <c r="A7254" t="str">
        <f>HYPERLINK("https://us2.cloudbeds.com/connect/10074733072513#/reservations/31673739055359?display=MH6CEZNEQ&amp;reservation_id=31673739055359", "MH6CEZNEQ")</f>
        <v>MH6CEZNEQ</v>
      </c>
      <c r="B7254" t="s">
        <v>10</v>
      </c>
      <c r="C7254" t="s">
        <v>14</v>
      </c>
      <c r="D7254" t="str">
        <f>HYPERLINK("https://us2.cloudbeds.com/connect/10074733072513#/reservations/31673739055359?display=Stacy%20Maternowski&amp;reservation_id=31673739055359&amp;guest_id=31673739055357", "Stacy Maternowski")</f>
        <v>Stacy Maternowski</v>
      </c>
      <c r="E7254" t="s">
        <v>5034</v>
      </c>
      <c r="F7254" t="s">
        <v>4883</v>
      </c>
      <c r="G7254">
        <v>87.84</v>
      </c>
      <c r="H7254">
        <v>95.49</v>
      </c>
      <c r="I7254">
        <v>95.48</v>
      </c>
      <c r="J7254">
        <v>0.01</v>
      </c>
    </row>
    <row r="7255" spans="1:10" x14ac:dyDescent="0.3">
      <c r="A7255" t="str">
        <f>HYPERLINK("https://us2.cloudbeds.com/connect/10074733072513#/reservations/31676269125844?display=MH8B35YGC&amp;reservation_id=31676269125844", "MH8B35YGC")</f>
        <v>MH8B35YGC</v>
      </c>
      <c r="B7255" t="s">
        <v>10</v>
      </c>
      <c r="C7255" t="s">
        <v>42</v>
      </c>
      <c r="D7255" t="str">
        <f>HYPERLINK("https://us2.cloudbeds.com/connect/10074733072513#/reservations/31676269125844?display=Riley%20Stevens&amp;reservation_id=31676269125844&amp;guest_id=31676269125839", "Riley Stevens")</f>
        <v>Riley Stevens</v>
      </c>
      <c r="E7255" t="s">
        <v>5037</v>
      </c>
      <c r="F7255" t="s">
        <v>4777</v>
      </c>
      <c r="G7255">
        <v>150</v>
      </c>
      <c r="H7255">
        <v>163.06</v>
      </c>
      <c r="I7255">
        <v>163.05000000000001</v>
      </c>
      <c r="J7255">
        <v>0.01</v>
      </c>
    </row>
    <row r="7256" spans="1:10" x14ac:dyDescent="0.3">
      <c r="A7256" t="str">
        <f>HYPERLINK("https://us2.cloudbeds.com/connect/10074733072513#/reservations/31673582301439?display=MH68EXQF0&amp;reservation_id=31673582301439", "MH68EXQF0")</f>
        <v>MH68EXQF0</v>
      </c>
      <c r="B7256" t="s">
        <v>10</v>
      </c>
      <c r="C7256" t="s">
        <v>17</v>
      </c>
      <c r="D7256" t="str">
        <f>HYPERLINK("https://us2.cloudbeds.com/connect/10074733072513#/reservations/31673582301439?display=Luis%20Alberto&amp;reservation_id=31673582301439&amp;guest_id=31673582301434", "Luis Alberto")</f>
        <v>Luis Alberto</v>
      </c>
      <c r="E7256" t="s">
        <v>5038</v>
      </c>
      <c r="F7256" t="s">
        <v>5039</v>
      </c>
      <c r="G7256">
        <v>535.5</v>
      </c>
      <c r="H7256">
        <v>582.1</v>
      </c>
      <c r="I7256">
        <v>582.09</v>
      </c>
      <c r="J7256">
        <v>0.01</v>
      </c>
    </row>
    <row r="7257" spans="1:10" x14ac:dyDescent="0.3">
      <c r="A7257" t="str">
        <f>HYPERLINK("https://us2.cloudbeds.com/connect/10074733072513#/reservations/31676223979654?display=MH89V3CUW&amp;reservation_id=31676223979654", "MH89V3CUW")</f>
        <v>MH89V3CUW</v>
      </c>
      <c r="B7257" t="s">
        <v>10</v>
      </c>
      <c r="C7257" t="s">
        <v>42</v>
      </c>
      <c r="D7257" t="str">
        <f>HYPERLINK("https://us2.cloudbeds.com/connect/10074733072513#/reservations/31676223979654?display=Reginold%20Chevis&amp;reservation_id=31676223979654&amp;guest_id=31676213657844", "Reginold Chevis")</f>
        <v>Reginold Chevis</v>
      </c>
      <c r="E7257" t="s">
        <v>5041</v>
      </c>
      <c r="F7257" t="s">
        <v>4777</v>
      </c>
      <c r="G7257">
        <v>298</v>
      </c>
      <c r="H7257">
        <v>323.94</v>
      </c>
      <c r="I7257">
        <v>323.93</v>
      </c>
      <c r="J7257">
        <v>0.01</v>
      </c>
    </row>
    <row r="7258" spans="1:10" x14ac:dyDescent="0.3">
      <c r="A7258" t="str">
        <f>HYPERLINK("https://us2.cloudbeds.com/connect/10074733072513#/reservations/31673747939482?display=MH6CM7UGY&amp;reservation_id=31673747939482", "MH6CM7UGY")</f>
        <v>MH6CM7UGY</v>
      </c>
      <c r="B7258" t="s">
        <v>10</v>
      </c>
      <c r="C7258" t="s">
        <v>14</v>
      </c>
      <c r="D7258" t="str">
        <f>HYPERLINK("https://us2.cloudbeds.com/connect/10074733072513#/reservations/31673747939482?display=Jeremy%20Frost&amp;reservation_id=31673747939482&amp;guest_id=31673747935382", "Jeremy Frost")</f>
        <v>Jeremy Frost</v>
      </c>
      <c r="E7258" t="s">
        <v>5042</v>
      </c>
      <c r="F7258" t="s">
        <v>4883</v>
      </c>
      <c r="G7258">
        <v>87.84</v>
      </c>
      <c r="H7258">
        <v>95.49</v>
      </c>
      <c r="I7258">
        <v>95.48</v>
      </c>
      <c r="J7258">
        <v>0.01</v>
      </c>
    </row>
    <row r="7259" spans="1:10" x14ac:dyDescent="0.3">
      <c r="A7259" t="str">
        <f>HYPERLINK("https://us2.cloudbeds.com/connect/10074733072513#/reservations/31673714835688?display=MH6BRAP5C&amp;reservation_id=31673714835688", "MH6BRAP5C")</f>
        <v>MH6BRAP5C</v>
      </c>
      <c r="B7259" t="s">
        <v>10</v>
      </c>
      <c r="C7259" t="s">
        <v>42</v>
      </c>
      <c r="D7259" t="str">
        <f>HYPERLINK("https://us2.cloudbeds.com/connect/10074733072513#/reservations/31673714835688?display=Nathan%20Dinger&amp;reservation_id=31673714835688&amp;guest_id=31673706823820", "Nathan Dinger")</f>
        <v>Nathan Dinger</v>
      </c>
      <c r="E7259" t="s">
        <v>5044</v>
      </c>
      <c r="F7259" t="s">
        <v>4777</v>
      </c>
      <c r="G7259">
        <v>218</v>
      </c>
      <c r="H7259">
        <v>236.98</v>
      </c>
      <c r="I7259">
        <v>236.97</v>
      </c>
      <c r="J7259">
        <v>0.01</v>
      </c>
    </row>
    <row r="7260" spans="1:10" x14ac:dyDescent="0.3">
      <c r="A7260" t="str">
        <f>HYPERLINK("https://us2.cloudbeds.com/connect/10074733072513#/reservations/31673706819722?display=MH6BKXNAA&amp;reservation_id=31673706819722", "MH6BKXNAA")</f>
        <v>MH6BKXNAA</v>
      </c>
      <c r="B7260" t="s">
        <v>10</v>
      </c>
      <c r="C7260" t="s">
        <v>42</v>
      </c>
      <c r="D7260" t="str">
        <f>HYPERLINK("https://us2.cloudbeds.com/connect/10074733072513#/reservations/31673706819722?display=Bob%20Ingilson&amp;reservation_id=31673706819722&amp;guest_id=31673697546478", "Bob Ingilson")</f>
        <v>Bob Ingilson</v>
      </c>
      <c r="E7260" t="s">
        <v>5044</v>
      </c>
      <c r="F7260" t="s">
        <v>4777</v>
      </c>
      <c r="G7260">
        <v>218</v>
      </c>
      <c r="H7260">
        <v>236.98</v>
      </c>
      <c r="I7260">
        <v>236.97</v>
      </c>
      <c r="J7260">
        <v>0.01</v>
      </c>
    </row>
    <row r="7261" spans="1:10" x14ac:dyDescent="0.3">
      <c r="A7261" t="str">
        <f>HYPERLINK("https://us2.cloudbeds.com/connect/10074733072513#/reservations/31673686880400?display=MH6B3ZSXE&amp;reservation_id=31673686880400", "MH6B3ZSXE")</f>
        <v>MH6B3ZSXE</v>
      </c>
      <c r="B7261" t="s">
        <v>10</v>
      </c>
      <c r="C7261" t="s">
        <v>42</v>
      </c>
      <c r="D7261" t="str">
        <f>HYPERLINK("https://us2.cloudbeds.com/connect/10074733072513#/reservations/31673686880400?display=Tyler%20Cape&amp;reservation_id=31673686880400&amp;guest_id=31673686880398", "Tyler Cape")</f>
        <v>Tyler Cape</v>
      </c>
      <c r="E7261" t="s">
        <v>5044</v>
      </c>
      <c r="F7261" t="s">
        <v>4777</v>
      </c>
      <c r="G7261">
        <v>218</v>
      </c>
      <c r="H7261">
        <v>236.98</v>
      </c>
      <c r="I7261">
        <v>236.97</v>
      </c>
      <c r="J7261">
        <v>0.01</v>
      </c>
    </row>
    <row r="7262" spans="1:10" x14ac:dyDescent="0.3">
      <c r="A7262" t="str">
        <f>HYPERLINK("https://us2.cloudbeds.com/connect/10074733072513#/reservations/31673432510601?display=MH64K8YFN&amp;reservation_id=31673432510601", "MH64K8YFN")</f>
        <v>MH64K8YFN</v>
      </c>
      <c r="B7262" t="s">
        <v>10</v>
      </c>
      <c r="C7262" t="s">
        <v>11</v>
      </c>
      <c r="D7262" t="str">
        <f>HYPERLINK("https://us2.cloudbeds.com/connect/10074733072513#/reservations/31673432510601?display=Gregory%20Kirby&amp;reservation_id=31673432510601&amp;guest_id=31673432510599", "Gregory Kirby")</f>
        <v>Gregory Kirby</v>
      </c>
      <c r="E7262" t="s">
        <v>5050</v>
      </c>
      <c r="F7262" t="s">
        <v>5051</v>
      </c>
      <c r="G7262">
        <v>321.3</v>
      </c>
      <c r="H7262">
        <v>349.26</v>
      </c>
      <c r="I7262">
        <v>349.25</v>
      </c>
      <c r="J7262">
        <v>0.01</v>
      </c>
    </row>
    <row r="7263" spans="1:10" x14ac:dyDescent="0.3">
      <c r="A7263" t="str">
        <f>HYPERLINK("https://us2.cloudbeds.com/connect/10074733072513#/reservations/31674179444943?display=MH6NN36JN&amp;reservation_id=31674179444943", "MH6NN36JN")</f>
        <v>MH6NN36JN</v>
      </c>
      <c r="B7263" t="s">
        <v>10</v>
      </c>
      <c r="C7263" t="s">
        <v>23</v>
      </c>
      <c r="D7263" t="str">
        <f>HYPERLINK("https://us2.cloudbeds.com/connect/10074733072513#/reservations/31674179444943?display=Keith%20Frink&amp;reservation_id=31674179444943&amp;guest_id=31674179440851", "Keith Frink")</f>
        <v>Keith Frink</v>
      </c>
      <c r="E7263" t="s">
        <v>5052</v>
      </c>
      <c r="F7263" t="s">
        <v>4964</v>
      </c>
      <c r="G7263">
        <v>298</v>
      </c>
      <c r="H7263">
        <v>323.94</v>
      </c>
      <c r="I7263">
        <v>323.93</v>
      </c>
      <c r="J7263">
        <v>0.01</v>
      </c>
    </row>
    <row r="7264" spans="1:10" x14ac:dyDescent="0.3">
      <c r="A7264" t="str">
        <f>HYPERLINK("https://us2.cloudbeds.com/connect/10074733072513#/reservations/31672226607310?display=MH56QDK8Z&amp;reservation_id=31672226607310", "MH56QDK8Z")</f>
        <v>MH56QDK8Z</v>
      </c>
      <c r="B7264" t="s">
        <v>10</v>
      </c>
      <c r="C7264" t="s">
        <v>42</v>
      </c>
      <c r="D7264" t="str">
        <f>HYPERLINK("https://us2.cloudbeds.com/connect/10074733072513#/reservations/31672226607310?display=Sara%20Bernard&amp;reservation_id=31672226607310&amp;guest_id=31672226607305", "Sara Bernard")</f>
        <v>Sara Bernard</v>
      </c>
      <c r="E7264" t="s">
        <v>5054</v>
      </c>
      <c r="F7264" t="s">
        <v>4849</v>
      </c>
      <c r="G7264">
        <v>298</v>
      </c>
      <c r="H7264">
        <v>323.94</v>
      </c>
      <c r="I7264">
        <v>323.93</v>
      </c>
      <c r="J7264">
        <v>0.01</v>
      </c>
    </row>
    <row r="7265" spans="1:10" x14ac:dyDescent="0.3">
      <c r="A7265" t="str">
        <f>HYPERLINK("https://us2.cloudbeds.com/connect/10074733072513#/reservations/31673754710218?display=MH6CRVATF&amp;reservation_id=31673754710218", "MH6CRVATF")</f>
        <v>MH6CRVATF</v>
      </c>
      <c r="B7265" t="s">
        <v>10</v>
      </c>
      <c r="C7265" t="s">
        <v>42</v>
      </c>
      <c r="D7265" t="str">
        <f>HYPERLINK("https://us2.cloudbeds.com/connect/10074733072513#/reservations/31673754710218?display=Matthew%20Haggulind&amp;reservation_id=31673754710218&amp;guest_id=31673754710214", "Matthew Haggulind")</f>
        <v>Matthew Haggulind</v>
      </c>
      <c r="E7265" t="s">
        <v>5055</v>
      </c>
      <c r="F7265" t="s">
        <v>4883</v>
      </c>
      <c r="G7265">
        <v>73</v>
      </c>
      <c r="H7265">
        <v>79.36</v>
      </c>
      <c r="I7265">
        <v>79.349999999999994</v>
      </c>
      <c r="J7265">
        <v>0.01</v>
      </c>
    </row>
    <row r="7266" spans="1:10" x14ac:dyDescent="0.3">
      <c r="A7266" t="str">
        <f>HYPERLINK("https://us2.cloudbeds.com/connect/10074733072513#/reservations/31672397410469?display=MH5B5EFA1&amp;reservation_id=31672397410469", "MH5B5EFA1")</f>
        <v>MH5B5EFA1</v>
      </c>
      <c r="B7266" t="s">
        <v>10</v>
      </c>
      <c r="C7266" t="s">
        <v>23</v>
      </c>
      <c r="D7266" t="str">
        <f>HYPERLINK("https://us2.cloudbeds.com/connect/10074733072513#/reservations/31672397410469?display=Marci%20Stults&amp;reservation_id=31672397410469&amp;guest_id=31672397410466", "Marci Stults")</f>
        <v>Marci Stults</v>
      </c>
      <c r="E7266" t="s">
        <v>5058</v>
      </c>
      <c r="F7266" t="s">
        <v>4818</v>
      </c>
      <c r="G7266">
        <v>169</v>
      </c>
      <c r="H7266">
        <v>183.71</v>
      </c>
      <c r="I7266">
        <v>183.7</v>
      </c>
      <c r="J7266">
        <v>0.01</v>
      </c>
    </row>
    <row r="7267" spans="1:10" x14ac:dyDescent="0.3">
      <c r="A7267" t="str">
        <f>HYPERLINK("https://us2.cloudbeds.com/connect/10074733072513#/reservations/31673441120451?display=MH64RH7M8&amp;reservation_id=31673441120451", "MH64RH7M8")</f>
        <v>MH64RH7M8</v>
      </c>
      <c r="B7267" t="s">
        <v>10</v>
      </c>
      <c r="C7267" t="s">
        <v>20</v>
      </c>
      <c r="D7267" t="str">
        <f>HYPERLINK("https://us2.cloudbeds.com/connect/10074733072513#/reservations/31673441120451?display=Josh%20Moet&amp;reservation_id=31673441120451&amp;guest_id=31673441120448", "Josh Moet")</f>
        <v>Josh Moet</v>
      </c>
      <c r="E7267" t="s">
        <v>5059</v>
      </c>
      <c r="F7267" t="s">
        <v>4818</v>
      </c>
      <c r="G7267">
        <v>139</v>
      </c>
      <c r="H7267">
        <v>151.1</v>
      </c>
      <c r="I7267">
        <v>151.09</v>
      </c>
      <c r="J7267">
        <v>0.01</v>
      </c>
    </row>
    <row r="7268" spans="1:10" x14ac:dyDescent="0.3">
      <c r="A7268" t="str">
        <f>HYPERLINK("https://us2.cloudbeds.com/connect/10074733072513#/reservations/31672814510223?display=MH5YR4T0H&amp;reservation_id=31672814510223", "MH5YR4T0H")</f>
        <v>MH5YR4T0H</v>
      </c>
      <c r="B7268" t="s">
        <v>10</v>
      </c>
      <c r="C7268" t="s">
        <v>23</v>
      </c>
      <c r="D7268" t="str">
        <f>HYPERLINK("https://us2.cloudbeds.com/connect/10074733072513#/reservations/31672814510223?display=Julie%20Zuidema&amp;reservation_id=31672814510223&amp;guest_id=31672807674109", "Julie Zuidema")</f>
        <v>Julie Zuidema</v>
      </c>
      <c r="E7268" t="s">
        <v>5060</v>
      </c>
      <c r="F7268" t="s">
        <v>4726</v>
      </c>
      <c r="G7268">
        <v>169</v>
      </c>
      <c r="H7268">
        <v>183.71</v>
      </c>
      <c r="I7268">
        <v>183.7</v>
      </c>
      <c r="J7268">
        <v>0.01</v>
      </c>
    </row>
    <row r="7269" spans="1:10" x14ac:dyDescent="0.3">
      <c r="A7269" t="str">
        <f>HYPERLINK("https://us2.cloudbeds.com/connect/10074733072513#/reservations/31672213967084?display=MH56FZT2J&amp;reservation_id=31672213967084", "MH56FZT2J")</f>
        <v>MH56FZT2J</v>
      </c>
      <c r="B7269" t="s">
        <v>10</v>
      </c>
      <c r="C7269" t="s">
        <v>23</v>
      </c>
      <c r="D7269" t="str">
        <f>HYPERLINK("https://us2.cloudbeds.com/connect/10074733072513#/reservations/31672213967084?display=Leah%20Murphy&amp;reservation_id=31672213967084&amp;guest_id=31672201429146", "Leah Murphy")</f>
        <v>Leah Murphy</v>
      </c>
      <c r="E7269" t="s">
        <v>5062</v>
      </c>
      <c r="F7269" t="s">
        <v>4818</v>
      </c>
      <c r="G7269">
        <v>139</v>
      </c>
      <c r="H7269">
        <v>151.1</v>
      </c>
      <c r="I7269">
        <v>151.09</v>
      </c>
      <c r="J7269">
        <v>0.01</v>
      </c>
    </row>
    <row r="7270" spans="1:10" x14ac:dyDescent="0.3">
      <c r="A7270" t="str">
        <f>HYPERLINK("https://us2.cloudbeds.com/connect/10074733072513#/reservations/31675799969986?display=MH7W3XN16&amp;reservation_id=31675799969986", "MH7W3XN16")</f>
        <v>MH7W3XN16</v>
      </c>
      <c r="B7270" t="s">
        <v>10</v>
      </c>
      <c r="C7270" t="s">
        <v>42</v>
      </c>
      <c r="D7270" t="str">
        <f>HYPERLINK("https://us2.cloudbeds.com/connect/10074733072513#/reservations/31675799969986?display=Randy%20Janik&amp;reservation_id=31675799969986&amp;guest_id=31675799965949", "Randy Janik")</f>
        <v>Randy Janik</v>
      </c>
      <c r="E7270" t="s">
        <v>5063</v>
      </c>
      <c r="F7270" t="s">
        <v>3650</v>
      </c>
      <c r="G7270">
        <v>139</v>
      </c>
      <c r="H7270">
        <v>151.1</v>
      </c>
      <c r="I7270">
        <v>151.09</v>
      </c>
      <c r="J7270">
        <v>0.01</v>
      </c>
    </row>
    <row r="7271" spans="1:10" x14ac:dyDescent="0.3">
      <c r="A7271" t="str">
        <f>HYPERLINK("https://us2.cloudbeds.com/connect/10074733072513#/reservations/31673433514148?display=MH64Y3J07&amp;reservation_id=31673433514148", "MH64Y3J07")</f>
        <v>MH64Y3J07</v>
      </c>
      <c r="B7271" t="s">
        <v>10</v>
      </c>
      <c r="C7271" t="s">
        <v>11</v>
      </c>
      <c r="D7271" t="str">
        <f>HYPERLINK("https://us2.cloudbeds.com/connect/10074733072513#/reservations/31673433514148?display=Tracy%20Givens&amp;reservation_id=31673433514148&amp;guest_id=31673433514143", "Tracy Givens")</f>
        <v>Tracy Givens</v>
      </c>
      <c r="E7271" t="s">
        <v>5064</v>
      </c>
      <c r="F7271" t="s">
        <v>4818</v>
      </c>
      <c r="G7271">
        <v>87.84</v>
      </c>
      <c r="H7271">
        <v>95.49</v>
      </c>
      <c r="I7271">
        <v>95.48</v>
      </c>
      <c r="J7271">
        <v>0.01</v>
      </c>
    </row>
    <row r="7272" spans="1:10" x14ac:dyDescent="0.3">
      <c r="A7272" t="str">
        <f>HYPERLINK("https://us2.cloudbeds.com/connect/10074733072513#/reservations/31673465114835?display=MH65EZU2Q&amp;reservation_id=31673465114835", "MH65EZU2Q")</f>
        <v>MH65EZU2Q</v>
      </c>
      <c r="B7272" t="s">
        <v>10</v>
      </c>
      <c r="C7272" t="s">
        <v>11</v>
      </c>
      <c r="D7272" t="str">
        <f>HYPERLINK("https://us2.cloudbeds.com/connect/10074733072513#/reservations/31673465114835?display=Paula%20Larson&amp;reservation_id=31673465114835&amp;guest_id=31673465114833", "Paula Larson")</f>
        <v>Paula Larson</v>
      </c>
      <c r="E7272" t="s">
        <v>5066</v>
      </c>
      <c r="F7272" t="s">
        <v>4922</v>
      </c>
      <c r="G7272">
        <v>258</v>
      </c>
      <c r="H7272">
        <v>280.45999999999998</v>
      </c>
      <c r="I7272">
        <v>280.45</v>
      </c>
      <c r="J7272">
        <v>0.01</v>
      </c>
    </row>
    <row r="7273" spans="1:10" x14ac:dyDescent="0.3">
      <c r="A7273" t="str">
        <f>HYPERLINK("https://us2.cloudbeds.com/connect/10074733072513#/reservations/31673464414409?display=MH65E5DTP&amp;reservation_id=31673464414409", "MH65E5DTP")</f>
        <v>MH65E5DTP</v>
      </c>
      <c r="B7273" t="s">
        <v>10</v>
      </c>
      <c r="C7273" t="s">
        <v>42</v>
      </c>
      <c r="D7273" t="str">
        <f>HYPERLINK("https://us2.cloudbeds.com/connect/10074733072513#/reservations/31673464414409?display=Karen%20Dalager&amp;reservation_id=31673464414409&amp;guest_id=31673464414405", "Karen Dalager")</f>
        <v>Karen Dalager</v>
      </c>
      <c r="E7273" t="s">
        <v>5067</v>
      </c>
      <c r="F7273" t="s">
        <v>4723</v>
      </c>
      <c r="G7273">
        <v>139</v>
      </c>
      <c r="H7273">
        <v>151.1</v>
      </c>
      <c r="I7273">
        <v>151.09</v>
      </c>
      <c r="J7273">
        <v>0.01</v>
      </c>
    </row>
    <row r="7274" spans="1:10" x14ac:dyDescent="0.3">
      <c r="A7274" t="str">
        <f>HYPERLINK("https://us2.cloudbeds.com/connect/10074733072513#/reservations/31678972539078?display=MHAE5P3KH&amp;reservation_id=31678972539078", "MHAE5P3KH")</f>
        <v>MHAE5P3KH</v>
      </c>
      <c r="B7274" t="s">
        <v>10</v>
      </c>
      <c r="C7274" t="s">
        <v>42</v>
      </c>
      <c r="D7274" t="str">
        <f>HYPERLINK("https://us2.cloudbeds.com/connect/10074733072513#/reservations/31678972539078?display=Derek%20Moderegger&amp;reservation_id=31678972539078&amp;guest_id=31678972535028", "Derek Moderegger")</f>
        <v>Derek Moderegger</v>
      </c>
      <c r="E7274" t="s">
        <v>5068</v>
      </c>
      <c r="F7274" t="s">
        <v>4530</v>
      </c>
      <c r="G7274">
        <v>298</v>
      </c>
      <c r="H7274">
        <v>323.94</v>
      </c>
      <c r="I7274">
        <v>323.93</v>
      </c>
      <c r="J7274">
        <v>0.01</v>
      </c>
    </row>
    <row r="7275" spans="1:10" x14ac:dyDescent="0.3">
      <c r="A7275" t="str">
        <f>HYPERLINK("https://us2.cloudbeds.com/connect/10074733072513#/reservations/31673454727385?display=MH655WSXJ&amp;reservation_id=31673454727385", "MH655WSXJ")</f>
        <v>MH655WSXJ</v>
      </c>
      <c r="B7275" t="s">
        <v>10</v>
      </c>
      <c r="C7275" t="s">
        <v>42</v>
      </c>
      <c r="D7275" t="str">
        <f>HYPERLINK("https://us2.cloudbeds.com/connect/10074733072513#/reservations/31673454727385?display=Melissa%20Davis&amp;reservation_id=31673454727385&amp;guest_id=31673454727382", "Melissa Davis")</f>
        <v>Melissa Davis</v>
      </c>
      <c r="E7275" t="s">
        <v>5069</v>
      </c>
      <c r="F7275" t="s">
        <v>4723</v>
      </c>
      <c r="G7275">
        <v>109</v>
      </c>
      <c r="H7275">
        <v>118.49</v>
      </c>
      <c r="I7275">
        <v>118.48</v>
      </c>
      <c r="J7275">
        <v>0.01</v>
      </c>
    </row>
    <row r="7276" spans="1:10" x14ac:dyDescent="0.3">
      <c r="A7276" t="str">
        <f>HYPERLINK("https://us2.cloudbeds.com/connect/10074733072513#/reservations/31673595203714?display=MH68PER91&amp;reservation_id=31673595203714", "MH68PER91")</f>
        <v>MH68PER91</v>
      </c>
      <c r="B7276" t="s">
        <v>10</v>
      </c>
      <c r="C7276" t="s">
        <v>42</v>
      </c>
      <c r="D7276" t="str">
        <f>HYPERLINK("https://us2.cloudbeds.com/connect/10074733072513#/reservations/31673595203714?display=Jordan%20Janulewicz&amp;reservation_id=31673595203714&amp;guest_id=31673595203712", "Jordan Janulewicz")</f>
        <v>Jordan Janulewicz</v>
      </c>
      <c r="E7276" t="s">
        <v>5072</v>
      </c>
      <c r="F7276" t="s">
        <v>4723</v>
      </c>
      <c r="G7276">
        <v>109</v>
      </c>
      <c r="H7276">
        <v>118.49</v>
      </c>
      <c r="I7276">
        <v>118.48</v>
      </c>
      <c r="J7276">
        <v>0.01</v>
      </c>
    </row>
    <row r="7277" spans="1:10" x14ac:dyDescent="0.3">
      <c r="A7277" t="str">
        <f>HYPERLINK("https://us2.cloudbeds.com/connect/10074733072513#/reservations/31673879822466?display=MH6G1EP5N&amp;reservation_id=31673879822466", "MH6G1EP5N")</f>
        <v>MH6G1EP5N</v>
      </c>
      <c r="B7277" t="s">
        <v>10</v>
      </c>
      <c r="C7277" t="s">
        <v>11</v>
      </c>
      <c r="D7277" t="str">
        <f>HYPERLINK("https://us2.cloudbeds.com/connect/10074733072513#/reservations/31673879822466?display=Ronald%20Dunbar&amp;reservation_id=31673879822466&amp;guest_id=31673879818431", "Ronald Dunbar")</f>
        <v>Ronald Dunbar</v>
      </c>
      <c r="E7277" t="s">
        <v>5074</v>
      </c>
      <c r="F7277" t="s">
        <v>4141</v>
      </c>
      <c r="G7277">
        <v>338</v>
      </c>
      <c r="H7277">
        <v>367.42</v>
      </c>
      <c r="I7277">
        <v>367.41</v>
      </c>
      <c r="J7277">
        <v>0.01</v>
      </c>
    </row>
    <row r="7278" spans="1:10" x14ac:dyDescent="0.3">
      <c r="A7278" t="str">
        <f>HYPERLINK("https://us2.cloudbeds.com/connect/10074733072513#/reservations/31676780183684?display=MH8Z53JEJ&amp;reservation_id=31676780183684", "MH8Z53JEJ")</f>
        <v>MH8Z53JEJ</v>
      </c>
      <c r="B7278" t="s">
        <v>10</v>
      </c>
      <c r="C7278" t="s">
        <v>42</v>
      </c>
      <c r="D7278" t="str">
        <f>HYPERLINK("https://us2.cloudbeds.com/connect/10074733072513#/reservations/31676780183684?display=Carissa%20Evers&amp;reservation_id=31676780183684&amp;guest_id=31676780179592", "Carissa Evers")</f>
        <v>Carissa Evers</v>
      </c>
      <c r="E7278" t="s">
        <v>5075</v>
      </c>
      <c r="F7278" t="s">
        <v>4530</v>
      </c>
      <c r="G7278">
        <v>298</v>
      </c>
      <c r="H7278">
        <v>323.94</v>
      </c>
      <c r="I7278">
        <v>323.93</v>
      </c>
      <c r="J7278">
        <v>0.01</v>
      </c>
    </row>
    <row r="7279" spans="1:10" x14ac:dyDescent="0.3">
      <c r="A7279" t="str">
        <f>HYPERLINK("https://us2.cloudbeds.com/connect/10074733072513#/reservations/31672296001674?display=MH58XUK98&amp;reservation_id=31672296001674", "MH58XUK98")</f>
        <v>MH58XUK98</v>
      </c>
      <c r="B7279" t="s">
        <v>10</v>
      </c>
      <c r="C7279" t="s">
        <v>42</v>
      </c>
      <c r="D7279" t="str">
        <f>HYPERLINK("https://us2.cloudbeds.com/connect/10074733072513#/reservations/31672296001674?display=Rachel%20Johnson&amp;reservation_id=31672296001674&amp;guest_id=31672296001672", "Rachel Johnson")</f>
        <v>Rachel Johnson</v>
      </c>
      <c r="E7279" t="s">
        <v>5077</v>
      </c>
      <c r="F7279" t="s">
        <v>4766</v>
      </c>
      <c r="G7279">
        <v>238</v>
      </c>
      <c r="H7279">
        <v>258.72000000000003</v>
      </c>
      <c r="I7279">
        <v>258.70999999999998</v>
      </c>
      <c r="J7279">
        <v>0.01</v>
      </c>
    </row>
    <row r="7280" spans="1:10" x14ac:dyDescent="0.3">
      <c r="A7280" t="str">
        <f>HYPERLINK("https://us2.cloudbeds.com/connect/10074733072513#/reservations/31676607639688?display=MH8JZK9RY&amp;reservation_id=31676607639688", "MH8JZK9RY")</f>
        <v>MH8JZK9RY</v>
      </c>
      <c r="B7280" t="s">
        <v>10</v>
      </c>
      <c r="C7280" t="s">
        <v>23</v>
      </c>
      <c r="D7280" t="str">
        <f>HYPERLINK("https://us2.cloudbeds.com/connect/10074733072513#/reservations/31676607639688?display=Skylar%20Zomer&amp;reservation_id=31676607639688&amp;guest_id=31676607639682", "Skylar Zomer")</f>
        <v>Skylar Zomer</v>
      </c>
      <c r="E7280" t="s">
        <v>5081</v>
      </c>
      <c r="F7280" t="s">
        <v>5082</v>
      </c>
      <c r="G7280">
        <v>169</v>
      </c>
      <c r="H7280">
        <v>183.71</v>
      </c>
      <c r="I7280">
        <v>183.7</v>
      </c>
      <c r="J7280">
        <v>0.01</v>
      </c>
    </row>
    <row r="7281" spans="1:10" x14ac:dyDescent="0.3">
      <c r="A7281" t="str">
        <f>HYPERLINK("https://us2.cloudbeds.com/connect/10074733072513#/reservations/31674133348567?display=MH6MH7GGR&amp;reservation_id=31674133348567", "MH6MH7GGR")</f>
        <v>MH6MH7GGR</v>
      </c>
      <c r="B7281" t="s">
        <v>10</v>
      </c>
      <c r="C7281" t="s">
        <v>42</v>
      </c>
      <c r="D7281" t="str">
        <f>HYPERLINK("https://us2.cloudbeds.com/connect/10074733072513#/reservations/31674133348567?display=Palo%20Maccagnan&amp;reservation_id=31674133348567&amp;guest_id=31674133348551", "Palo Maccagnan")</f>
        <v>Palo Maccagnan</v>
      </c>
      <c r="E7281" t="s">
        <v>4963</v>
      </c>
      <c r="F7281" t="s">
        <v>4964</v>
      </c>
      <c r="G7281">
        <v>258</v>
      </c>
      <c r="H7281">
        <v>280.45999999999998</v>
      </c>
      <c r="I7281">
        <v>280.45</v>
      </c>
      <c r="J7281">
        <v>0.01</v>
      </c>
    </row>
    <row r="7282" spans="1:10" x14ac:dyDescent="0.3">
      <c r="A7282" t="str">
        <f>HYPERLINK("https://us2.cloudbeds.com/connect/10074733072513#/reservations/31672278192283?display=MH583U1CN&amp;reservation_id=31672278192283", "MH583U1CN")</f>
        <v>MH583U1CN</v>
      </c>
      <c r="B7282" t="s">
        <v>10</v>
      </c>
      <c r="C7282" t="s">
        <v>42</v>
      </c>
      <c r="D7282" t="str">
        <f>HYPERLINK("https://us2.cloudbeds.com/connect/10074733072513#/reservations/31672278192283?display=Alex%20Ramkisson&amp;reservation_id=31672278192283&amp;guest_id=31672278188197", "Alex Ramkisson")</f>
        <v>Alex Ramkisson</v>
      </c>
      <c r="E7282" t="s">
        <v>5084</v>
      </c>
      <c r="F7282" t="s">
        <v>4967</v>
      </c>
      <c r="G7282">
        <v>129</v>
      </c>
      <c r="H7282">
        <v>140.22999999999999</v>
      </c>
      <c r="I7282">
        <v>140.22</v>
      </c>
      <c r="J7282">
        <v>0.01</v>
      </c>
    </row>
    <row r="7283" spans="1:10" x14ac:dyDescent="0.3">
      <c r="A7283" t="str">
        <f>HYPERLINK("https://us2.cloudbeds.com/connect/10074733072513#/reservations/31673744502943?display=MH6CJB9R3&amp;reservation_id=31673744502943", "MH6CJB9R3")</f>
        <v>MH6CJB9R3</v>
      </c>
      <c r="B7283" t="s">
        <v>10</v>
      </c>
      <c r="C7283" t="s">
        <v>42</v>
      </c>
      <c r="D7283" t="str">
        <f>HYPERLINK("https://us2.cloudbeds.com/connect/10074733072513#/reservations/31673744502943?display=Susan%20Plaine&amp;reservation_id=31673744502943&amp;guest_id=31673744502925", "Susan Plaine")</f>
        <v>Susan Plaine</v>
      </c>
      <c r="E7283" t="s">
        <v>5085</v>
      </c>
      <c r="F7283" t="s">
        <v>4777</v>
      </c>
      <c r="G7283">
        <v>358</v>
      </c>
      <c r="H7283">
        <v>389.16</v>
      </c>
      <c r="I7283">
        <v>389.15</v>
      </c>
      <c r="J7283">
        <v>0.01</v>
      </c>
    </row>
    <row r="7284" spans="1:10" x14ac:dyDescent="0.3">
      <c r="A7284" t="str">
        <f>HYPERLINK("https://us2.cloudbeds.com/connect/10074733072513#/reservations/31672466829489?display=MH5CUW4VN&amp;reservation_id=31672466829489", "MH5CUW4VN")</f>
        <v>MH5CUW4VN</v>
      </c>
      <c r="B7284" t="s">
        <v>10</v>
      </c>
      <c r="C7284" t="s">
        <v>121</v>
      </c>
      <c r="D7284" t="str">
        <f>HYPERLINK("https://us2.cloudbeds.com/connect/10074733072513#/reservations/31672466829489?display=Michael%20Schnell&amp;reservation_id=31672466829489&amp;guest_id=31672459694305", "Michael Schnell")</f>
        <v>Michael Schnell</v>
      </c>
      <c r="E7284" t="s">
        <v>5088</v>
      </c>
      <c r="F7284" t="s">
        <v>5087</v>
      </c>
      <c r="G7284">
        <v>73</v>
      </c>
      <c r="H7284">
        <v>79.36</v>
      </c>
      <c r="I7284">
        <v>79.349999999999994</v>
      </c>
      <c r="J7284">
        <v>0.01</v>
      </c>
    </row>
    <row r="7285" spans="1:10" x14ac:dyDescent="0.3">
      <c r="A7285" t="str">
        <f>HYPERLINK("https://us2.cloudbeds.com/connect/10074733072513#/reservations/31672512061695?display=MH5E33QGK&amp;reservation_id=31672512061695", "MH5E33QGK")</f>
        <v>MH5E33QGK</v>
      </c>
      <c r="B7285" t="s">
        <v>10</v>
      </c>
      <c r="C7285" t="s">
        <v>11</v>
      </c>
      <c r="D7285" t="str">
        <f>HYPERLINK("https://us2.cloudbeds.com/connect/10074733072513#/reservations/31672512061695?display=Daniel%20Reimer&amp;reservation_id=31672512061695&amp;guest_id=31672512061693", "Daniel Reimer")</f>
        <v>Daniel Reimer</v>
      </c>
      <c r="E7285" t="s">
        <v>5089</v>
      </c>
      <c r="F7285" t="s">
        <v>5087</v>
      </c>
      <c r="G7285">
        <v>156.72</v>
      </c>
      <c r="H7285">
        <v>170.36</v>
      </c>
      <c r="I7285">
        <v>170.35</v>
      </c>
      <c r="J7285">
        <v>0.01</v>
      </c>
    </row>
    <row r="7286" spans="1:10" x14ac:dyDescent="0.3">
      <c r="A7286" t="str">
        <f>HYPERLINK("https://us2.cloudbeds.com/connect/10074733072513#/reservations/31673754468541?display=MH6CRZJVU&amp;reservation_id=31673754468541", "MH6CRZJVU")</f>
        <v>MH6CRZJVU</v>
      </c>
      <c r="B7286" t="s">
        <v>10</v>
      </c>
      <c r="C7286" t="s">
        <v>42</v>
      </c>
      <c r="D7286" t="str">
        <f>HYPERLINK("https://us2.cloudbeds.com/connect/10074733072513#/reservations/31673754468541?display=Thomas%20Undlin&amp;reservation_id=31673754468541&amp;guest_id=31673754468524", "Thomas Undlin")</f>
        <v>Thomas Undlin</v>
      </c>
      <c r="E7286" t="s">
        <v>5090</v>
      </c>
      <c r="F7286" t="s">
        <v>4777</v>
      </c>
      <c r="G7286">
        <v>318</v>
      </c>
      <c r="H7286">
        <v>345.68</v>
      </c>
      <c r="I7286">
        <v>345.67</v>
      </c>
      <c r="J7286">
        <v>0.01</v>
      </c>
    </row>
    <row r="7287" spans="1:10" x14ac:dyDescent="0.3">
      <c r="A7287" t="str">
        <f>HYPERLINK("https://us2.cloudbeds.com/connect/10074733072513#/reservations/31672481919107?display=MH5DAN1BS&amp;reservation_id=31672481919107", "MH5DAN1BS")</f>
        <v>MH5DAN1BS</v>
      </c>
      <c r="B7287" t="s">
        <v>10</v>
      </c>
      <c r="C7287" t="s">
        <v>121</v>
      </c>
      <c r="D7287" t="str">
        <f>HYPERLINK("https://us2.cloudbeds.com/connect/10074733072513#/reservations/31672481919107?display=Alvin%20Geekor&amp;reservation_id=31672481919107&amp;guest_id=31672481915070", "Alvin Geekor")</f>
        <v>Alvin Geekor</v>
      </c>
      <c r="E7287" t="s">
        <v>5092</v>
      </c>
      <c r="F7287" t="s">
        <v>5087</v>
      </c>
      <c r="G7287">
        <v>119</v>
      </c>
      <c r="H7287">
        <v>129.36000000000001</v>
      </c>
      <c r="I7287">
        <v>129.35</v>
      </c>
      <c r="J7287">
        <v>0.01</v>
      </c>
    </row>
    <row r="7288" spans="1:10" x14ac:dyDescent="0.3">
      <c r="A7288" t="str">
        <f>HYPERLINK("https://us2.cloudbeds.com/connect/10074733072513#/reservations/31672468132057?display=MH5CW2D2F&amp;reservation_id=31672468132057", "MH5CW2D2F")</f>
        <v>MH5CW2D2F</v>
      </c>
      <c r="B7288" t="s">
        <v>10</v>
      </c>
      <c r="C7288" t="s">
        <v>121</v>
      </c>
      <c r="D7288" t="str">
        <f>HYPERLINK("https://us2.cloudbeds.com/connect/10074733072513#/reservations/31672468132057?display=Tracy%20Steven%20Moore&amp;reservation_id=31672468132057&amp;guest_id=31672468132052", "Tracy Steven Moore")</f>
        <v>Tracy Steven Moore</v>
      </c>
      <c r="E7288" t="s">
        <v>5095</v>
      </c>
      <c r="F7288" t="s">
        <v>5087</v>
      </c>
      <c r="G7288">
        <v>73</v>
      </c>
      <c r="H7288">
        <v>79.36</v>
      </c>
      <c r="I7288">
        <v>79.349999999999994</v>
      </c>
      <c r="J7288">
        <v>0.01</v>
      </c>
    </row>
    <row r="7289" spans="1:10" x14ac:dyDescent="0.3">
      <c r="A7289" t="str">
        <f>HYPERLINK("https://us2.cloudbeds.com/connect/10074733072513#/reservations/31674380878068?display=MH6SRVCAQ&amp;reservation_id=31674380878068", "MH6SRVCAQ")</f>
        <v>MH6SRVCAQ</v>
      </c>
      <c r="B7289" t="s">
        <v>10</v>
      </c>
      <c r="C7289" t="s">
        <v>11</v>
      </c>
      <c r="D7289" t="str">
        <f>HYPERLINK("https://us2.cloudbeds.com/connect/10074733072513#/reservations/31674380878068?display=James%20Exsted&amp;reservation_id=31674380878068&amp;guest_id=31674380878063", "James Exsted")</f>
        <v>James Exsted</v>
      </c>
      <c r="E7289" t="s">
        <v>5097</v>
      </c>
      <c r="F7289" t="s">
        <v>4964</v>
      </c>
      <c r="G7289">
        <v>77.5</v>
      </c>
      <c r="H7289">
        <v>84.25</v>
      </c>
      <c r="I7289">
        <v>84.24</v>
      </c>
      <c r="J7289">
        <v>0.01</v>
      </c>
    </row>
    <row r="7290" spans="1:10" x14ac:dyDescent="0.3">
      <c r="A7290" t="str">
        <f>HYPERLINK("https://us2.cloudbeds.com/connect/10074733072513#/reservations/31677352505592?display=MH95PN9XN&amp;reservation_id=31677352505592", "MH95PN9XN")</f>
        <v>MH95PN9XN</v>
      </c>
      <c r="B7290" t="s">
        <v>10</v>
      </c>
      <c r="C7290" t="s">
        <v>42</v>
      </c>
      <c r="D7290" t="str">
        <f>HYPERLINK("https://us2.cloudbeds.com/connect/10074733072513#/reservations/31677352505592?display=Doug%20Lindsley&amp;reservation_id=31677352505592&amp;guest_id=31677352505590", "Doug Lindsley")</f>
        <v>Doug Lindsley</v>
      </c>
      <c r="E7290" t="s">
        <v>5098</v>
      </c>
      <c r="F7290" t="s">
        <v>4141</v>
      </c>
      <c r="G7290">
        <v>139</v>
      </c>
      <c r="H7290">
        <v>151.1</v>
      </c>
      <c r="I7290">
        <v>151.09</v>
      </c>
      <c r="J7290">
        <v>0.01</v>
      </c>
    </row>
    <row r="7291" spans="1:10" x14ac:dyDescent="0.3">
      <c r="A7291" t="str">
        <f>HYPERLINK("https://us2.cloudbeds.com/connect/10074733072513#/reservations/31673311056032?display=MH61GRWV7&amp;reservation_id=31673311056032", "MH61GRWV7")</f>
        <v>MH61GRWV7</v>
      </c>
      <c r="B7291" t="s">
        <v>10</v>
      </c>
      <c r="C7291" t="s">
        <v>42</v>
      </c>
      <c r="D7291" t="str">
        <f>HYPERLINK("https://us2.cloudbeds.com/connect/10074733072513#/reservations/31673311056032?display=Cindy%20Hauk&amp;reservation_id=31673311056032&amp;guest_id=31673311056021", "Cindy Hauk")</f>
        <v>Cindy Hauk</v>
      </c>
      <c r="E7291" t="s">
        <v>5100</v>
      </c>
      <c r="F7291" t="s">
        <v>5101</v>
      </c>
      <c r="G7291">
        <v>129</v>
      </c>
      <c r="H7291">
        <v>140.22999999999999</v>
      </c>
      <c r="I7291">
        <v>140.22</v>
      </c>
      <c r="J7291">
        <v>0.01</v>
      </c>
    </row>
    <row r="7292" spans="1:10" x14ac:dyDescent="0.3">
      <c r="A7292" t="str">
        <f>HYPERLINK("https://us2.cloudbeds.com/connect/10074733072513#/reservations/31677416337647?display=MH97DHGSD&amp;reservation_id=31677416337647", "MH97DHGSD")</f>
        <v>MH97DHGSD</v>
      </c>
      <c r="B7292" t="s">
        <v>10</v>
      </c>
      <c r="C7292" t="s">
        <v>42</v>
      </c>
      <c r="D7292" t="str">
        <f>HYPERLINK("https://us2.cloudbeds.com/connect/10074733072513#/reservations/31677416337647?display=Twila%20Dykstra&amp;reservation_id=31677416337647&amp;guest_id=31677416337633", "Twila Dykstra")</f>
        <v>Twila Dykstra</v>
      </c>
      <c r="E7292" t="s">
        <v>5102</v>
      </c>
      <c r="F7292" t="s">
        <v>4141</v>
      </c>
      <c r="G7292">
        <v>139</v>
      </c>
      <c r="H7292">
        <v>151.1</v>
      </c>
      <c r="I7292">
        <v>151.09</v>
      </c>
      <c r="J7292">
        <v>0.01</v>
      </c>
    </row>
    <row r="7293" spans="1:10" x14ac:dyDescent="0.3">
      <c r="A7293" t="str">
        <f>HYPERLINK("https://us2.cloudbeds.com/connect/10074733072513#/reservations/31674715922571?display=MH74DFFSH&amp;reservation_id=31674715922571", "MH74DFFSH")</f>
        <v>MH74DFFSH</v>
      </c>
      <c r="B7293" t="s">
        <v>10</v>
      </c>
      <c r="C7293" t="s">
        <v>42</v>
      </c>
      <c r="D7293" t="str">
        <f>HYPERLINK("https://us2.cloudbeds.com/connect/10074733072513#/reservations/31674715922571?display=Montez%20Manning&amp;reservation_id=31674715922571&amp;guest_id=30682546102515", "Montez Manning")</f>
        <v>Montez Manning</v>
      </c>
      <c r="E7293" t="s">
        <v>4253</v>
      </c>
      <c r="F7293" t="s">
        <v>4854</v>
      </c>
      <c r="G7293">
        <v>169</v>
      </c>
      <c r="H7293">
        <v>183.71</v>
      </c>
      <c r="I7293">
        <v>183.7</v>
      </c>
      <c r="J7293">
        <v>0.01</v>
      </c>
    </row>
    <row r="7294" spans="1:10" x14ac:dyDescent="0.3">
      <c r="A7294" t="str">
        <f>HYPERLINK("https://us2.cloudbeds.com/connect/10074733072513#/reservations/31674445660327?display=MH6UGJ15X&amp;reservation_id=31674445660327", "MH6UGJ15X")</f>
        <v>MH6UGJ15X</v>
      </c>
      <c r="B7294" t="s">
        <v>10</v>
      </c>
      <c r="C7294" t="s">
        <v>42</v>
      </c>
      <c r="D7294" t="str">
        <f>HYPERLINK("https://us2.cloudbeds.com/connect/10074733072513#/reservations/31674445660327?display=Troy%20Rohrbach&amp;reservation_id=31674445660327&amp;guest_id=31674445660322", "Troy Rohrbach")</f>
        <v>Troy Rohrbach</v>
      </c>
      <c r="E7294" t="s">
        <v>5105</v>
      </c>
      <c r="F7294" t="s">
        <v>4854</v>
      </c>
      <c r="G7294">
        <v>149</v>
      </c>
      <c r="H7294">
        <v>161.97</v>
      </c>
      <c r="I7294">
        <v>161.96</v>
      </c>
      <c r="J7294">
        <v>0.01</v>
      </c>
    </row>
    <row r="7295" spans="1:10" x14ac:dyDescent="0.3">
      <c r="A7295" t="str">
        <f>HYPERLINK("https://us2.cloudbeds.com/connect/10074733072513#/reservations/31674664853719?display=MH733DDMH&amp;reservation_id=31674664853719", "MH733DDMH")</f>
        <v>MH733DDMH</v>
      </c>
      <c r="B7295" t="s">
        <v>10</v>
      </c>
      <c r="C7295" t="s">
        <v>42</v>
      </c>
      <c r="D7295" t="str">
        <f>HYPERLINK("https://us2.cloudbeds.com/connect/10074733072513#/reservations/31674664853719?display=Robert%20Barnhardt&amp;reservation_id=31674664853719&amp;guest_id=30683501387970", "Robert Barnhardt")</f>
        <v>Robert Barnhardt</v>
      </c>
      <c r="E7295" t="s">
        <v>1256</v>
      </c>
      <c r="F7295" t="s">
        <v>4854</v>
      </c>
      <c r="G7295">
        <v>298</v>
      </c>
      <c r="H7295">
        <v>323.94</v>
      </c>
      <c r="I7295">
        <v>323.93</v>
      </c>
      <c r="J7295">
        <v>0.01</v>
      </c>
    </row>
    <row r="7296" spans="1:10" x14ac:dyDescent="0.3">
      <c r="A7296" t="str">
        <f>HYPERLINK("https://us2.cloudbeds.com/connect/10074733072513#/reservations/31674418872453?display=MH6TQWKXQ&amp;reservation_id=31674418872453", "MH6TQWKXQ")</f>
        <v>MH6TQWKXQ</v>
      </c>
      <c r="B7296" t="s">
        <v>10</v>
      </c>
      <c r="C7296" t="s">
        <v>42</v>
      </c>
      <c r="D7296" t="str">
        <f>HYPERLINK("https://us2.cloudbeds.com/connect/10074733072513#/reservations/31674418872453?display=Shane%20Sehuette&amp;reservation_id=31674418872453&amp;guest_id=31674410971358", "Shane Sehuette")</f>
        <v>Shane Sehuette</v>
      </c>
      <c r="E7296" t="s">
        <v>5107</v>
      </c>
      <c r="F7296" t="s">
        <v>4964</v>
      </c>
      <c r="G7296">
        <v>73</v>
      </c>
      <c r="H7296">
        <v>79.36</v>
      </c>
      <c r="I7296">
        <v>79.349999999999994</v>
      </c>
      <c r="J7296">
        <v>0.01</v>
      </c>
    </row>
    <row r="7297" spans="1:10" x14ac:dyDescent="0.3">
      <c r="A7297" t="str">
        <f>HYPERLINK("https://us2.cloudbeds.com/connect/10074733072513#/reservations/31675380691139?display=MH7YD0YAJ&amp;reservation_id=31675380691139", "MH7YD0YAJ")</f>
        <v>MH7YD0YAJ</v>
      </c>
      <c r="B7297" t="s">
        <v>10</v>
      </c>
      <c r="C7297" t="s">
        <v>23</v>
      </c>
      <c r="D7297" t="str">
        <f>HYPERLINK("https://us2.cloudbeds.com/connect/10074733072513#/reservations/31675380691139?display=Lance%20Haug&amp;reservation_id=31675380691139&amp;guest_id=31675375173852", "Lance Haug")</f>
        <v>Lance Haug</v>
      </c>
      <c r="E7297" t="s">
        <v>5108</v>
      </c>
      <c r="F7297" t="s">
        <v>5109</v>
      </c>
      <c r="G7297">
        <v>338</v>
      </c>
      <c r="H7297">
        <v>367.42</v>
      </c>
      <c r="I7297">
        <v>367.41</v>
      </c>
      <c r="J7297">
        <v>0.01</v>
      </c>
    </row>
    <row r="7298" spans="1:10" x14ac:dyDescent="0.3">
      <c r="A7298" t="str">
        <f>HYPERLINK("https://us2.cloudbeds.com/connect/10074733072513#/reservations/31674725478582?display=MH74YHCTK&amp;reservation_id=31674725478582", "MH74YHCTK")</f>
        <v>MH74YHCTK</v>
      </c>
      <c r="B7298" t="s">
        <v>10</v>
      </c>
      <c r="C7298" t="s">
        <v>121</v>
      </c>
      <c r="D7298" t="str">
        <f>HYPERLINK("https://us2.cloudbeds.com/connect/10074733072513#/reservations/31674725478582?display=Irfan%20Ali&amp;reservation_id=31674725478582&amp;guest_id=31674715926661", "Irfan Ali")</f>
        <v>Irfan Ali</v>
      </c>
      <c r="E7298" t="s">
        <v>5113</v>
      </c>
      <c r="F7298" t="s">
        <v>4854</v>
      </c>
      <c r="G7298">
        <v>159</v>
      </c>
      <c r="H7298">
        <v>172.84</v>
      </c>
      <c r="I7298">
        <v>172.83</v>
      </c>
      <c r="J7298">
        <v>0.01</v>
      </c>
    </row>
    <row r="7299" spans="1:10" x14ac:dyDescent="0.3">
      <c r="A7299" t="str">
        <f>HYPERLINK("https://us2.cloudbeds.com/connect/10074733072513#/reservations/31675637498049?display=MH7RVXMB5&amp;reservation_id=31675637498049", "MH7RVXMB5")</f>
        <v>MH7RVXMB5</v>
      </c>
      <c r="B7299" t="s">
        <v>10</v>
      </c>
      <c r="C7299" t="s">
        <v>11</v>
      </c>
      <c r="D7299" t="str">
        <f>HYPERLINK("https://us2.cloudbeds.com/connect/10074733072513#/reservations/31675637498049?display=Phyllis%20Klinkhammer&amp;reservation_id=31675637498049&amp;guest_id=31675626967254", "Phyllis Klinkhammer")</f>
        <v>Phyllis Klinkhammer</v>
      </c>
      <c r="E7299" t="s">
        <v>5114</v>
      </c>
      <c r="F7299" t="s">
        <v>3836</v>
      </c>
      <c r="G7299">
        <v>358</v>
      </c>
      <c r="H7299">
        <v>389.16</v>
      </c>
      <c r="I7299">
        <v>389.15</v>
      </c>
      <c r="J7299">
        <v>0.01</v>
      </c>
    </row>
    <row r="7300" spans="1:10" x14ac:dyDescent="0.3">
      <c r="A7300" t="str">
        <f>HYPERLINK("https://us2.cloudbeds.com/connect/10074733072513#/reservations/31674439475410?display=MH6UBBUNR&amp;reservation_id=31674439475410", "MH6UBBUNR")</f>
        <v>MH6UBBUNR</v>
      </c>
      <c r="B7300" t="s">
        <v>10</v>
      </c>
      <c r="C7300" t="s">
        <v>42</v>
      </c>
      <c r="D7300" t="str">
        <f>HYPERLINK("https://us2.cloudbeds.com/connect/10074733072513#/reservations/31674439475410?display=Sabria%20Brown-Hall&amp;reservation_id=31674439475410&amp;guest_id=31674439475405", "Sabria Brown-Hall")</f>
        <v>Sabria Brown-Hall</v>
      </c>
      <c r="E7300" t="s">
        <v>5116</v>
      </c>
      <c r="F7300" t="s">
        <v>4964</v>
      </c>
      <c r="G7300">
        <v>129</v>
      </c>
      <c r="H7300">
        <v>140.22999999999999</v>
      </c>
      <c r="I7300">
        <v>140.22</v>
      </c>
      <c r="J7300">
        <v>0.01</v>
      </c>
    </row>
    <row r="7301" spans="1:10" x14ac:dyDescent="0.3">
      <c r="A7301" t="str">
        <f>HYPERLINK("https://us2.cloudbeds.com/connect/10074733072513#/reservations/31680326942848?display=MHBFPR96R&amp;reservation_id=31680326942848", "MHBFPR96R")</f>
        <v>MHBFPR96R</v>
      </c>
      <c r="B7301" t="s">
        <v>10</v>
      </c>
      <c r="C7301" t="s">
        <v>42</v>
      </c>
      <c r="D7301" t="str">
        <f>HYPERLINK("https://us2.cloudbeds.com/connect/10074733072513#/reservations/31680326942848?display=Michelle%20Selland&amp;reservation_id=31680326942848&amp;guest_id=31680318906581", "Michelle Selland")</f>
        <v>Michelle Selland</v>
      </c>
      <c r="E7301" t="s">
        <v>5117</v>
      </c>
      <c r="F7301" t="s">
        <v>2815</v>
      </c>
      <c r="G7301">
        <v>278</v>
      </c>
      <c r="H7301">
        <v>302.2</v>
      </c>
      <c r="I7301">
        <v>302.19</v>
      </c>
      <c r="J7301">
        <v>0.01</v>
      </c>
    </row>
    <row r="7302" spans="1:10" x14ac:dyDescent="0.3">
      <c r="A7302" t="str">
        <f>HYPERLINK("https://us2.cloudbeds.com/connect/10074733072513#/reservations/31674452345083?display=MH6UM71JU&amp;reservation_id=31674452345083", "MH6UM71JU")</f>
        <v>MH6UM71JU</v>
      </c>
      <c r="B7302" t="s">
        <v>10</v>
      </c>
      <c r="C7302" t="s">
        <v>23</v>
      </c>
      <c r="D7302" t="str">
        <f>HYPERLINK("https://us2.cloudbeds.com/connect/10074733072513#/reservations/31674452345083?display=Natalie%20Brinkman&amp;reservation_id=31674452345083&amp;guest_id=31674452345078", "Natalie Brinkman")</f>
        <v>Natalie Brinkman</v>
      </c>
      <c r="E7302" t="s">
        <v>5118</v>
      </c>
      <c r="F7302" t="s">
        <v>4854</v>
      </c>
      <c r="G7302">
        <v>169</v>
      </c>
      <c r="H7302">
        <v>183.71</v>
      </c>
      <c r="I7302">
        <v>183.7</v>
      </c>
      <c r="J7302">
        <v>0.01</v>
      </c>
    </row>
    <row r="7303" spans="1:10" x14ac:dyDescent="0.3">
      <c r="A7303" t="str">
        <f>HYPERLINK("https://us2.cloudbeds.com/connect/10074733072513#/reservations/31674897666246?display=MH791NP9K&amp;reservation_id=31674897666246", "MH791NP9K")</f>
        <v>MH791NP9K</v>
      </c>
      <c r="B7303" t="s">
        <v>10</v>
      </c>
      <c r="C7303" t="s">
        <v>23</v>
      </c>
      <c r="D7303" t="str">
        <f>HYPERLINK("https://us2.cloudbeds.com/connect/10074733072513#/reservations/31674897666246?display=Kailey%20Corkill&amp;reservation_id=31674897666246&amp;guest_id=31674892443813", "Kailey Corkill")</f>
        <v>Kailey Corkill</v>
      </c>
      <c r="E7303" t="s">
        <v>5119</v>
      </c>
      <c r="F7303" t="s">
        <v>4922</v>
      </c>
      <c r="G7303">
        <v>139</v>
      </c>
      <c r="H7303">
        <v>151.1</v>
      </c>
      <c r="I7303">
        <v>151.09</v>
      </c>
      <c r="J7303">
        <v>0.01</v>
      </c>
    </row>
    <row r="7304" spans="1:10" x14ac:dyDescent="0.3">
      <c r="A7304" t="str">
        <f>HYPERLINK("https://us2.cloudbeds.com/connect/10074733072513#/reservations/31673480720629?display=MH65RU5FY&amp;reservation_id=31673480720629", "MH65RU5FY")</f>
        <v>MH65RU5FY</v>
      </c>
      <c r="B7304" t="s">
        <v>10</v>
      </c>
      <c r="C7304" t="s">
        <v>20</v>
      </c>
      <c r="D7304" t="str">
        <f>HYPERLINK("https://us2.cloudbeds.com/connect/10074733072513#/reservations/31673480720629?display=Thomas%20Clapsaddle&amp;reservation_id=31673480720629&amp;guest_id=31673480720627", "Thomas Clapsaddle")</f>
        <v>Thomas Clapsaddle</v>
      </c>
      <c r="E7304" t="s">
        <v>5120</v>
      </c>
      <c r="F7304" t="s">
        <v>4922</v>
      </c>
      <c r="G7304">
        <v>258</v>
      </c>
      <c r="H7304">
        <v>280.45999999999998</v>
      </c>
      <c r="I7304">
        <v>280.45</v>
      </c>
      <c r="J7304">
        <v>0.01</v>
      </c>
    </row>
    <row r="7305" spans="1:10" x14ac:dyDescent="0.3">
      <c r="A7305" t="str">
        <f>HYPERLINK("https://us2.cloudbeds.com/connect/10074733072513#/reservations/31672772067505?display=MH5KZBRWX&amp;reservation_id=31672772067505", "MH5KZBRWX")</f>
        <v>MH5KZBRWX</v>
      </c>
      <c r="B7305" t="s">
        <v>10</v>
      </c>
      <c r="C7305" t="s">
        <v>42</v>
      </c>
      <c r="D7305" t="str">
        <f>HYPERLINK("https://us2.cloudbeds.com/connect/10074733072513#/reservations/31672772067505?display=Cory%20Glick&amp;reservation_id=31672772067505&amp;guest_id=30679426039950", "Cory Glick")</f>
        <v>Cory Glick</v>
      </c>
      <c r="E7305" t="s">
        <v>2769</v>
      </c>
      <c r="F7305" t="s">
        <v>4726</v>
      </c>
      <c r="G7305">
        <v>158</v>
      </c>
      <c r="H7305">
        <v>171.76</v>
      </c>
      <c r="I7305">
        <v>171.75</v>
      </c>
      <c r="J7305">
        <v>0.01</v>
      </c>
    </row>
    <row r="7306" spans="1:10" x14ac:dyDescent="0.3">
      <c r="A7306" t="str">
        <f>HYPERLINK("https://us2.cloudbeds.com/connect/10074733072513#/reservations/31672735633625?display=MH5JQY0NJ&amp;reservation_id=31672735633625", "MH5JQY0NJ")</f>
        <v>MH5JQY0NJ</v>
      </c>
      <c r="B7306" t="s">
        <v>10</v>
      </c>
      <c r="C7306" t="s">
        <v>121</v>
      </c>
      <c r="D7306" t="str">
        <f>HYPERLINK("https://us2.cloudbeds.com/connect/10074733072513#/reservations/31672735633625?display=Stetson%20Ihnen&amp;reservation_id=31672735633625&amp;guest_id=31672735633620", "Stetson Ihnen")</f>
        <v>Stetson Ihnen</v>
      </c>
      <c r="E7306" t="s">
        <v>5122</v>
      </c>
      <c r="F7306" t="s">
        <v>4854</v>
      </c>
      <c r="G7306">
        <v>199</v>
      </c>
      <c r="H7306">
        <v>216.32</v>
      </c>
      <c r="I7306">
        <v>216.31</v>
      </c>
      <c r="J7306">
        <v>0.01</v>
      </c>
    </row>
    <row r="7307" spans="1:10" x14ac:dyDescent="0.3">
      <c r="A7307" t="str">
        <f>HYPERLINK("https://us2.cloudbeds.com/connect/10074733072513#/reservations/31674383454346?display=MH6SU421R&amp;reservation_id=31674383454346", "MH6SU421R")</f>
        <v>MH6SU421R</v>
      </c>
      <c r="B7307" t="s">
        <v>10</v>
      </c>
      <c r="C7307" t="s">
        <v>23</v>
      </c>
      <c r="D7307" t="str">
        <f>HYPERLINK("https://us2.cloudbeds.com/connect/10074733072513#/reservations/31674383454346?display=Taylor%20Walz&amp;reservation_id=31674383454346&amp;guest_id=31674383454341", "Taylor Walz")</f>
        <v>Taylor Walz</v>
      </c>
      <c r="E7307" t="s">
        <v>5124</v>
      </c>
      <c r="F7307" t="s">
        <v>4611</v>
      </c>
      <c r="G7307">
        <v>169</v>
      </c>
      <c r="H7307">
        <v>183.71</v>
      </c>
      <c r="I7307">
        <v>183.7</v>
      </c>
      <c r="J7307">
        <v>0.01</v>
      </c>
    </row>
    <row r="7308" spans="1:10" x14ac:dyDescent="0.3">
      <c r="A7308" t="str">
        <f>HYPERLINK("https://us2.cloudbeds.com/connect/10074733072513#/reservations/31674741383336?display=MH751UVQS&amp;reservation_id=31674741383336", "MH751UVQS")</f>
        <v>MH751UVQS</v>
      </c>
      <c r="B7308" t="s">
        <v>10</v>
      </c>
      <c r="C7308" t="s">
        <v>42</v>
      </c>
      <c r="D7308" t="str">
        <f>HYPERLINK("https://us2.cloudbeds.com/connect/10074733072513#/reservations/31674741383336?display=Leon%20Griffen&amp;reservation_id=31674741383336&amp;guest_id=31674741383324", "Leon Griffen")</f>
        <v>Leon Griffen</v>
      </c>
      <c r="E7308" t="s">
        <v>5125</v>
      </c>
      <c r="F7308" t="s">
        <v>4854</v>
      </c>
      <c r="G7308">
        <v>159</v>
      </c>
      <c r="H7308">
        <v>172.84</v>
      </c>
      <c r="I7308">
        <v>172.83</v>
      </c>
      <c r="J7308">
        <v>0.01</v>
      </c>
    </row>
    <row r="7309" spans="1:10" x14ac:dyDescent="0.3">
      <c r="A7309" t="str">
        <f>HYPERLINK("https://us2.cloudbeds.com/connect/10074733072513#/reservations/31682666942601?display=MHD9XWB0C&amp;reservation_id=31682666942601", "MHD9XWB0C")</f>
        <v>MHD9XWB0C</v>
      </c>
      <c r="B7309" t="s">
        <v>10</v>
      </c>
      <c r="C7309" t="s">
        <v>42</v>
      </c>
      <c r="D7309" t="str">
        <f>HYPERLINK("https://us2.cloudbeds.com/connect/10074733072513#/reservations/31682666942601?display=Dan%20Brosz&amp;reservation_id=31682666942601&amp;guest_id=31682666938552", "Dan Brosz")</f>
        <v>Dan Brosz</v>
      </c>
      <c r="E7309" t="s">
        <v>5126</v>
      </c>
      <c r="F7309" t="s">
        <v>4974</v>
      </c>
      <c r="G7309">
        <v>338</v>
      </c>
      <c r="H7309">
        <v>367.42</v>
      </c>
      <c r="I7309">
        <v>367.41</v>
      </c>
      <c r="J7309">
        <v>0.01</v>
      </c>
    </row>
    <row r="7310" spans="1:10" x14ac:dyDescent="0.3">
      <c r="A7310" t="str">
        <f>HYPERLINK("https://us2.cloudbeds.com/connect/10074733072513#/reservations/31675743719651?display=MH7UM4ERJ&amp;reservation_id=31675743719651", "MH7UM4ERJ")</f>
        <v>MH7UM4ERJ</v>
      </c>
      <c r="B7310" t="s">
        <v>10</v>
      </c>
      <c r="C7310" t="s">
        <v>20</v>
      </c>
      <c r="D7310" t="str">
        <f>HYPERLINK("https://us2.cloudbeds.com/connect/10074733072513#/reservations/31675743719651?display=Shane%20Swanson&amp;reservation_id=31675743719651&amp;guest_id=31675729870978", "Shane Swanson")</f>
        <v>Shane Swanson</v>
      </c>
      <c r="E7310" t="s">
        <v>5127</v>
      </c>
      <c r="F7310" t="s">
        <v>3836</v>
      </c>
      <c r="G7310">
        <v>298</v>
      </c>
      <c r="H7310">
        <v>323.94</v>
      </c>
      <c r="I7310">
        <v>323.93</v>
      </c>
      <c r="J7310">
        <v>0.01</v>
      </c>
    </row>
    <row r="7311" spans="1:10" x14ac:dyDescent="0.3">
      <c r="A7311" t="str">
        <f>HYPERLINK("https://us2.cloudbeds.com/connect/10074733072513#/reservations/31682543161492?display=MHD6DJV2Z&amp;reservation_id=31682543161492", "MHD6DJV2Z")</f>
        <v>MHD6DJV2Z</v>
      </c>
      <c r="B7311" t="s">
        <v>10</v>
      </c>
      <c r="C7311" t="s">
        <v>42</v>
      </c>
      <c r="D7311" t="str">
        <f>HYPERLINK("https://us2.cloudbeds.com/connect/10074733072513#/reservations/31682543161492?display=Mike%20Plooster&amp;reservation_id=31682543161492&amp;guest_id=31682535428349", "Mike Plooster")</f>
        <v>Mike Plooster</v>
      </c>
      <c r="E7311" t="s">
        <v>5128</v>
      </c>
      <c r="F7311" t="s">
        <v>4974</v>
      </c>
      <c r="G7311">
        <v>238</v>
      </c>
      <c r="H7311">
        <v>258.72000000000003</v>
      </c>
      <c r="I7311">
        <v>258.70999999999998</v>
      </c>
      <c r="J7311">
        <v>0.01</v>
      </c>
    </row>
    <row r="7312" spans="1:10" x14ac:dyDescent="0.3">
      <c r="A7312" t="str">
        <f>HYPERLINK("https://us2.cloudbeds.com/connect/10074733072513#/reservations/31673192022157?display=MH5VFFN93&amp;reservation_id=31673192022157", "MH5VFFN93")</f>
        <v>MH5VFFN93</v>
      </c>
      <c r="B7312" t="s">
        <v>10</v>
      </c>
      <c r="C7312" t="s">
        <v>42</v>
      </c>
      <c r="D7312" t="str">
        <f>HYPERLINK("https://us2.cloudbeds.com/connect/10074733072513#/reservations/31673192022157?display=Cory%20Glick&amp;reservation_id=31673192022157&amp;guest_id=30679426039950", "Cory Glick")</f>
        <v>Cory Glick</v>
      </c>
      <c r="E7312" t="s">
        <v>2769</v>
      </c>
      <c r="F7312" t="s">
        <v>5101</v>
      </c>
      <c r="G7312">
        <v>158</v>
      </c>
      <c r="H7312">
        <v>171.76</v>
      </c>
      <c r="I7312">
        <v>171.75</v>
      </c>
      <c r="J7312">
        <v>0.01</v>
      </c>
    </row>
    <row r="7313" spans="1:10" x14ac:dyDescent="0.3">
      <c r="A7313" t="str">
        <f>HYPERLINK("https://us2.cloudbeds.com/connect/10074733072513#/reservations/31673650499788?display=MH6A62H6Y&amp;reservation_id=31673650499788", "MH6A62H6Y")</f>
        <v>MH6A62H6Y</v>
      </c>
      <c r="B7313" t="s">
        <v>10</v>
      </c>
      <c r="C7313" t="s">
        <v>42</v>
      </c>
      <c r="D7313" t="str">
        <f>HYPERLINK("https://us2.cloudbeds.com/connect/10074733072513#/reservations/31673650499788?display=Robert%20Richins&amp;reservation_id=31673650499788&amp;guest_id=31673650499783", "Robert Richins")</f>
        <v>Robert Richins</v>
      </c>
      <c r="E7313" t="s">
        <v>4888</v>
      </c>
      <c r="F7313" t="s">
        <v>5023</v>
      </c>
      <c r="G7313">
        <v>89</v>
      </c>
      <c r="H7313">
        <v>96.75</v>
      </c>
      <c r="I7313">
        <v>96.74</v>
      </c>
      <c r="J7313">
        <v>0.01</v>
      </c>
    </row>
    <row r="7314" spans="1:10" x14ac:dyDescent="0.3">
      <c r="A7314" t="str">
        <f>HYPERLINK("https://us2.cloudbeds.com/connect/10074733072513#/reservations/31673573953701?display=MH687HGV8&amp;reservation_id=31673573953701", "MH687HGV8")</f>
        <v>MH687HGV8</v>
      </c>
      <c r="B7314" t="s">
        <v>10</v>
      </c>
      <c r="C7314" t="s">
        <v>42</v>
      </c>
      <c r="D7314" t="str">
        <f>HYPERLINK("https://us2.cloudbeds.com/connect/10074733072513#/reservations/31673573953701?display=Changing%20Seasons%20Floral%20Richelle%20Tanner&amp;reservation_id=31673573953701&amp;guest_id=31673573953690", "Changing Seasons Floral Richelle Tanner")</f>
        <v>Changing Seasons Floral Richelle Tanner</v>
      </c>
      <c r="E7314" t="s">
        <v>5130</v>
      </c>
      <c r="F7314" t="s">
        <v>5039</v>
      </c>
      <c r="G7314">
        <v>238</v>
      </c>
      <c r="H7314">
        <v>258.72000000000003</v>
      </c>
      <c r="I7314">
        <v>258.70999999999998</v>
      </c>
      <c r="J7314">
        <v>0.01</v>
      </c>
    </row>
    <row r="7315" spans="1:10" x14ac:dyDescent="0.3">
      <c r="A7315" t="str">
        <f>HYPERLINK("https://us2.cloudbeds.com/connect/10074733072513#/reservations/31674834997488?display=MH77ESU7B&amp;reservation_id=31674834997488", "MH77ESU7B")</f>
        <v>MH77ESU7B</v>
      </c>
      <c r="B7315" t="s">
        <v>10</v>
      </c>
      <c r="C7315" t="s">
        <v>20</v>
      </c>
      <c r="D7315" t="str">
        <f>HYPERLINK("https://us2.cloudbeds.com/connect/10074733072513#/reservations/31674834997488?display=Mariah%20Thoemke&amp;reservation_id=31674834997488&amp;guest_id=31674825093267", "Mariah Thoemke")</f>
        <v>Mariah Thoemke</v>
      </c>
      <c r="E7315" t="s">
        <v>5127</v>
      </c>
      <c r="F7315" t="s">
        <v>3836</v>
      </c>
      <c r="G7315">
        <v>278</v>
      </c>
      <c r="H7315">
        <v>302.2</v>
      </c>
      <c r="I7315">
        <v>302.19</v>
      </c>
      <c r="J7315">
        <v>0.01</v>
      </c>
    </row>
    <row r="7316" spans="1:10" x14ac:dyDescent="0.3">
      <c r="A7316" t="str">
        <f>HYPERLINK("https://us2.cloudbeds.com/connect/10074733072513#/reservations/31674692989122?display=MH73R4AMH&amp;reservation_id=31674692989122", "MH73R4AMH")</f>
        <v>MH73R4AMH</v>
      </c>
      <c r="B7316" t="s">
        <v>10</v>
      </c>
      <c r="C7316" t="s">
        <v>20</v>
      </c>
      <c r="D7316" t="str">
        <f>HYPERLINK("https://us2.cloudbeds.com/connect/10074733072513#/reservations/31674692989122?display=Jeanna%20Thoemke&amp;reservation_id=31674692989122&amp;guest_id=31674692985026", "Jeanna Thoemke")</f>
        <v>Jeanna Thoemke</v>
      </c>
      <c r="E7316" t="s">
        <v>5127</v>
      </c>
      <c r="F7316" t="s">
        <v>3836</v>
      </c>
      <c r="G7316">
        <v>278</v>
      </c>
      <c r="H7316">
        <v>302.2</v>
      </c>
      <c r="I7316">
        <v>302.19</v>
      </c>
      <c r="J7316">
        <v>0.01</v>
      </c>
    </row>
    <row r="7317" spans="1:10" x14ac:dyDescent="0.3">
      <c r="A7317" t="str">
        <f>HYPERLINK("https://us2.cloudbeds.com/connect/10074733072513#/reservations/31673761370274?display=MH6D0XYYB&amp;reservation_id=31673761370274", "MH6D0XYYB")</f>
        <v>MH6D0XYYB</v>
      </c>
      <c r="B7317" t="s">
        <v>10</v>
      </c>
      <c r="C7317" t="s">
        <v>42</v>
      </c>
      <c r="D7317" t="str">
        <f>HYPERLINK("https://us2.cloudbeds.com/connect/10074733072513#/reservations/31673761370274?display=Ryan%20Johnson&amp;reservation_id=31673761370274&amp;guest_id=31673761370256", "Ryan Johnson")</f>
        <v>Ryan Johnson</v>
      </c>
      <c r="E7317" t="s">
        <v>5132</v>
      </c>
      <c r="F7317" t="s">
        <v>4877</v>
      </c>
      <c r="G7317">
        <v>79</v>
      </c>
      <c r="H7317">
        <v>85.88</v>
      </c>
      <c r="I7317">
        <v>85.87</v>
      </c>
      <c r="J7317">
        <v>0.01</v>
      </c>
    </row>
    <row r="7318" spans="1:10" x14ac:dyDescent="0.3">
      <c r="A7318" t="str">
        <f>HYPERLINK("https://us2.cloudbeds.com/connect/10074733072513#/reservations/31681171149027?display=MHC4BMM6E&amp;reservation_id=31681171149027", "MHC4BMM6E")</f>
        <v>MHC4BMM6E</v>
      </c>
      <c r="B7318" t="s">
        <v>10</v>
      </c>
      <c r="C7318" t="s">
        <v>42</v>
      </c>
      <c r="D7318" t="str">
        <f>HYPERLINK("https://us2.cloudbeds.com/connect/10074733072513#/reservations/31681171149027?display=Herb%20Uttecht&amp;reservation_id=31681171149027&amp;guest_id=31681171149022", "Herb Uttecht")</f>
        <v>Herb Uttecht</v>
      </c>
      <c r="E7318" t="s">
        <v>5133</v>
      </c>
      <c r="F7318" t="s">
        <v>4974</v>
      </c>
      <c r="G7318">
        <v>298</v>
      </c>
      <c r="H7318">
        <v>323.94</v>
      </c>
      <c r="I7318">
        <v>323.93</v>
      </c>
      <c r="J7318">
        <v>0.01</v>
      </c>
    </row>
    <row r="7319" spans="1:10" x14ac:dyDescent="0.3">
      <c r="A7319" t="str">
        <f>HYPERLINK("https://us2.cloudbeds.com/connect/10074733072513#/reservations/31672990150787?display=MH5QA8B3S&amp;reservation_id=31672990150787", "MH5QA8B3S")</f>
        <v>MH5QA8B3S</v>
      </c>
      <c r="B7319" t="s">
        <v>10</v>
      </c>
      <c r="C7319" t="s">
        <v>42</v>
      </c>
      <c r="D7319" t="str">
        <f>HYPERLINK("https://us2.cloudbeds.com/connect/10074733072513#/reservations/31672990150787?display=Roger%20Sieck&amp;reservation_id=31672990150787&amp;guest_id=31672990150784", "Roger Sieck")</f>
        <v>Roger Sieck</v>
      </c>
      <c r="E7319" t="s">
        <v>5134</v>
      </c>
      <c r="F7319" t="s">
        <v>5135</v>
      </c>
      <c r="G7319">
        <v>119</v>
      </c>
      <c r="H7319">
        <v>129.36000000000001</v>
      </c>
      <c r="I7319">
        <v>129.35</v>
      </c>
      <c r="J7319">
        <v>0.01</v>
      </c>
    </row>
    <row r="7320" spans="1:10" x14ac:dyDescent="0.3">
      <c r="A7320" t="str">
        <f>HYPERLINK("https://us2.cloudbeds.com/connect/10074733072513#/reservations/31674631651583?display=MH728DH17&amp;reservation_id=31674631651583", "MH728DH17")</f>
        <v>MH728DH17</v>
      </c>
      <c r="B7320" t="s">
        <v>10</v>
      </c>
      <c r="C7320" t="s">
        <v>121</v>
      </c>
      <c r="D7320" t="str">
        <f>HYPERLINK("https://us2.cloudbeds.com/connect/10074733072513#/reservations/31674631651583?display=David%20Allen%20Greely&amp;reservation_id=31674631651583&amp;guest_id=31674631651522", "David Allen Greely")</f>
        <v>David Allen Greely</v>
      </c>
      <c r="E7320" t="s">
        <v>5136</v>
      </c>
      <c r="F7320" t="s">
        <v>5023</v>
      </c>
      <c r="G7320">
        <v>119</v>
      </c>
      <c r="H7320">
        <v>129.36000000000001</v>
      </c>
      <c r="I7320">
        <v>129.35</v>
      </c>
      <c r="J7320">
        <v>0.01</v>
      </c>
    </row>
    <row r="7321" spans="1:10" x14ac:dyDescent="0.3">
      <c r="A7321" t="str">
        <f>HYPERLINK("https://us2.cloudbeds.com/connect/10074733072513#/reservations/31673961930886?display=MH6X4MX5Y&amp;reservation_id=31673961930886", "MH6X4MX5Y")</f>
        <v>MH6X4MX5Y</v>
      </c>
      <c r="B7321" t="s">
        <v>10</v>
      </c>
      <c r="C7321" t="s">
        <v>42</v>
      </c>
      <c r="D7321" t="str">
        <f>HYPERLINK("https://us2.cloudbeds.com/connect/10074733072513#/reservations/31673961930886?display=Bryan%20Thomas&amp;reservation_id=31673961930886&amp;guest_id=31673961930884", "Bryan Thomas")</f>
        <v>Bryan Thomas</v>
      </c>
      <c r="E7321" t="s">
        <v>5137</v>
      </c>
      <c r="F7321" t="s">
        <v>5094</v>
      </c>
      <c r="G7321">
        <v>238</v>
      </c>
      <c r="H7321">
        <v>258.72000000000003</v>
      </c>
      <c r="I7321">
        <v>258.70999999999998</v>
      </c>
      <c r="J7321">
        <v>0.01</v>
      </c>
    </row>
    <row r="7322" spans="1:10" x14ac:dyDescent="0.3">
      <c r="A7322" t="str">
        <f>HYPERLINK("https://us2.cloudbeds.com/connect/10074733072513#/reservations/31673952321765?display=MH6HTJ5C5&amp;reservation_id=31673952321765", "MH6HTJ5C5")</f>
        <v>MH6HTJ5C5</v>
      </c>
      <c r="B7322" t="s">
        <v>10</v>
      </c>
      <c r="C7322" t="s">
        <v>42</v>
      </c>
      <c r="D7322" t="str">
        <f>HYPERLINK("https://us2.cloudbeds.com/connect/10074733072513#/reservations/31673952321765?display=Denise%20Duffy&amp;reservation_id=31673952321765&amp;guest_id=30682386936024", "Denise Duffy")</f>
        <v>Denise Duffy</v>
      </c>
      <c r="E7322" t="s">
        <v>3233</v>
      </c>
      <c r="F7322" t="s">
        <v>5094</v>
      </c>
      <c r="G7322">
        <v>178</v>
      </c>
      <c r="H7322">
        <v>193.5</v>
      </c>
      <c r="I7322">
        <v>193.49</v>
      </c>
      <c r="J7322">
        <v>0.01</v>
      </c>
    </row>
    <row r="7323" spans="1:10" x14ac:dyDescent="0.3">
      <c r="A7323" t="str">
        <f>HYPERLINK("https://us2.cloudbeds.com/connect/10074733072513#/reservations/31683426021626?display=MHDSW1R94&amp;reservation_id=31683426021626", "MHDSW1R94")</f>
        <v>MHDSW1R94</v>
      </c>
      <c r="B7323" t="s">
        <v>10</v>
      </c>
      <c r="C7323" t="s">
        <v>20</v>
      </c>
      <c r="D7323" t="str">
        <f>HYPERLINK("https://us2.cloudbeds.com/connect/10074733072513#/reservations/31683426021626?display=Susan%20Rubin&amp;reservation_id=31683426021626&amp;guest_id=31683426021623", "Susan Rubin")</f>
        <v>Susan Rubin</v>
      </c>
      <c r="E7323" t="s">
        <v>5139</v>
      </c>
      <c r="F7323" t="s">
        <v>5140</v>
      </c>
      <c r="G7323">
        <v>322.2</v>
      </c>
      <c r="H7323">
        <v>350.24</v>
      </c>
      <c r="I7323">
        <v>350.23</v>
      </c>
      <c r="J7323">
        <v>0.01</v>
      </c>
    </row>
    <row r="7324" spans="1:10" x14ac:dyDescent="0.3">
      <c r="A7324" t="str">
        <f>HYPERLINK("https://us2.cloudbeds.com/connect/10074733072513#/reservations/31673384374433?display=MH63CM69V&amp;reservation_id=31673384374433", "MH63CM69V")</f>
        <v>MH63CM69V</v>
      </c>
      <c r="B7324" t="s">
        <v>10</v>
      </c>
      <c r="C7324" t="s">
        <v>42</v>
      </c>
      <c r="D7324" t="str">
        <f>HYPERLINK("https://us2.cloudbeds.com/connect/10074733072513#/reservations/31673384374433?display=Casey%20Markley&amp;reservation_id=31673384374433&amp;guest_id=30666252685489", "Casey Markley")</f>
        <v>Casey Markley</v>
      </c>
      <c r="E7324" t="s">
        <v>2436</v>
      </c>
      <c r="F7324" t="s">
        <v>5094</v>
      </c>
      <c r="G7324">
        <v>119</v>
      </c>
      <c r="H7324">
        <v>129.36000000000001</v>
      </c>
      <c r="I7324">
        <v>129.35</v>
      </c>
      <c r="J7324">
        <v>0.01</v>
      </c>
    </row>
    <row r="7325" spans="1:10" x14ac:dyDescent="0.3">
      <c r="A7325" t="str">
        <f>HYPERLINK("https://us2.cloudbeds.com/connect/10074733072513#/reservations/31674754855141?display=MH75D9RKC&amp;reservation_id=31674754855141", "MH75D9RKC")</f>
        <v>MH75D9RKC</v>
      </c>
      <c r="B7325" t="s">
        <v>10</v>
      </c>
      <c r="C7325" t="s">
        <v>42</v>
      </c>
      <c r="D7325" t="str">
        <f>HYPERLINK("https://us2.cloudbeds.com/connect/10074733072513#/reservations/31674754855141?display=Corey%20Day&amp;reservation_id=31674754855141&amp;guest_id=31674744156299", "Corey Day")</f>
        <v>Corey Day</v>
      </c>
      <c r="E7325" t="s">
        <v>5142</v>
      </c>
      <c r="F7325" t="s">
        <v>3836</v>
      </c>
      <c r="G7325">
        <v>169</v>
      </c>
      <c r="H7325">
        <v>183.71</v>
      </c>
      <c r="I7325">
        <v>183.7</v>
      </c>
      <c r="J7325">
        <v>0.01</v>
      </c>
    </row>
    <row r="7326" spans="1:10" x14ac:dyDescent="0.3">
      <c r="A7326" t="str">
        <f>HYPERLINK("https://us2.cloudbeds.com/connect/10074733072513#/reservations/31676597362923?display=MH8JFVAVH&amp;reservation_id=31676597362923", "MH8JFVAVH")</f>
        <v>MH8JFVAVH</v>
      </c>
      <c r="B7326" t="s">
        <v>10</v>
      </c>
      <c r="C7326" t="s">
        <v>17</v>
      </c>
      <c r="D7326" t="str">
        <f>HYPERLINK("https://us2.cloudbeds.com/connect/10074733072513#/reservations/31676597362923?display=Tanya%20Krueger&amp;reservation_id=31676597362923&amp;guest_id=31676597362921", "Tanya Krueger")</f>
        <v>Tanya Krueger</v>
      </c>
      <c r="E7326" t="s">
        <v>4307</v>
      </c>
      <c r="F7326" t="s">
        <v>5082</v>
      </c>
      <c r="G7326">
        <v>139</v>
      </c>
      <c r="H7326">
        <v>151.1</v>
      </c>
      <c r="I7326">
        <v>151.09</v>
      </c>
      <c r="J7326">
        <v>0.01</v>
      </c>
    </row>
    <row r="7327" spans="1:10" x14ac:dyDescent="0.3">
      <c r="A7327" t="str">
        <f>HYPERLINK("https://us2.cloudbeds.com/connect/10074733072513#/reservations/31682219507931?display=MHCV4MQX2&amp;reservation_id=31682219507931", "MHCV4MQX2")</f>
        <v>MHCV4MQX2</v>
      </c>
      <c r="B7327" t="s">
        <v>10</v>
      </c>
      <c r="C7327" t="s">
        <v>42</v>
      </c>
      <c r="D7327" t="str">
        <f>HYPERLINK("https://us2.cloudbeds.com/connect/10074733072513#/reservations/31682219507931?display=Diane%20Rowden&amp;reservation_id=31682219507931&amp;guest_id=31682219507925", "Diane Rowden")</f>
        <v>Diane Rowden</v>
      </c>
      <c r="E7327" t="s">
        <v>4771</v>
      </c>
      <c r="F7327" t="s">
        <v>4772</v>
      </c>
      <c r="G7327">
        <v>139</v>
      </c>
      <c r="H7327">
        <v>151.1</v>
      </c>
      <c r="I7327">
        <v>151.09</v>
      </c>
      <c r="J7327">
        <v>0.01</v>
      </c>
    </row>
    <row r="7328" spans="1:10" x14ac:dyDescent="0.3">
      <c r="A7328" t="str">
        <f>HYPERLINK("https://us2.cloudbeds.com/connect/10074733072513#/reservations/31673396961534?display=MH63N9EN8&amp;reservation_id=31673396961534", "MH63N9EN8")</f>
        <v>MH63N9EN8</v>
      </c>
      <c r="B7328" t="s">
        <v>10</v>
      </c>
      <c r="C7328" t="s">
        <v>121</v>
      </c>
      <c r="D7328" t="str">
        <f>HYPERLINK("https://us2.cloudbeds.com/connect/10074733072513#/reservations/31673396961534?display=Rodolfo%20Rodriguez&amp;reservation_id=31673396961534&amp;guest_id=31673396961530", "Rodolfo Rodriguez")</f>
        <v>Rodolfo Rodriguez</v>
      </c>
      <c r="E7328" t="s">
        <v>5145</v>
      </c>
      <c r="F7328" t="s">
        <v>5094</v>
      </c>
      <c r="G7328">
        <v>159</v>
      </c>
      <c r="H7328">
        <v>172.84</v>
      </c>
      <c r="I7328">
        <v>172.83</v>
      </c>
      <c r="J7328">
        <v>0.01</v>
      </c>
    </row>
    <row r="7329" spans="1:10" x14ac:dyDescent="0.3">
      <c r="A7329" t="str">
        <f>HYPERLINK("https://us2.cloudbeds.com/connect/10074733072513#/reservations/31681188061434?display=MHC4PV9DK&amp;reservation_id=31681188061434", "MHC4PV9DK")</f>
        <v>MHC4PV9DK</v>
      </c>
      <c r="B7329" t="s">
        <v>10</v>
      </c>
      <c r="C7329" t="s">
        <v>14</v>
      </c>
      <c r="D7329" t="str">
        <f>HYPERLINK("https://us2.cloudbeds.com/connect/10074733072513#/reservations/31681188061434?display=Betsy%20Shearer&amp;reservation_id=31681188061434&amp;guest_id=31681174884514", "Betsy Shearer")</f>
        <v>Betsy Shearer</v>
      </c>
      <c r="E7329" t="s">
        <v>5141</v>
      </c>
      <c r="F7329" t="s">
        <v>4974</v>
      </c>
      <c r="G7329">
        <v>338</v>
      </c>
      <c r="H7329">
        <v>367.42</v>
      </c>
      <c r="I7329">
        <v>367.41</v>
      </c>
      <c r="J7329">
        <v>0.01</v>
      </c>
    </row>
    <row r="7330" spans="1:10" x14ac:dyDescent="0.3">
      <c r="A7330" t="str">
        <f>HYPERLINK("https://us2.cloudbeds.com/connect/10074733072513#/reservations/31675818590370?display=MH7WJ8RY8&amp;reservation_id=31675818590370", "MH7WJ8RY8")</f>
        <v>MH7WJ8RY8</v>
      </c>
      <c r="B7330" t="s">
        <v>10</v>
      </c>
      <c r="C7330" t="s">
        <v>42</v>
      </c>
      <c r="D7330" t="str">
        <f>HYPERLINK("https://us2.cloudbeds.com/connect/10074733072513#/reservations/31675818590370?display=Georgette%20Weavill&amp;reservation_id=31675818590370&amp;guest_id=31675810586837", "Georgette Weavill")</f>
        <v>Georgette Weavill</v>
      </c>
      <c r="E7330" t="s">
        <v>5150</v>
      </c>
      <c r="F7330" t="s">
        <v>3650</v>
      </c>
      <c r="G7330">
        <v>139</v>
      </c>
      <c r="H7330">
        <v>151.1</v>
      </c>
      <c r="I7330">
        <v>151.09</v>
      </c>
      <c r="J7330">
        <v>0.01</v>
      </c>
    </row>
    <row r="7331" spans="1:10" x14ac:dyDescent="0.3">
      <c r="A7331" t="str">
        <f>HYPERLINK("https://us2.cloudbeds.com/connect/10074733072513#/reservations/31674018410713?display=MH6JJA63X&amp;reservation_id=31674018410713", "MH6JJA63X")</f>
        <v>MH6JJA63X</v>
      </c>
      <c r="B7331" t="s">
        <v>10</v>
      </c>
      <c r="C7331" t="s">
        <v>17</v>
      </c>
      <c r="D7331" t="str">
        <f>HYPERLINK("https://us2.cloudbeds.com/connect/10074733072513#/reservations/31674018410713?display=Barbara%20Duffey&amp;reservation_id=31674018410713&amp;guest_id=30671182012640", "Barbara Duffey")</f>
        <v>Barbara Duffey</v>
      </c>
      <c r="E7331" t="s">
        <v>4678</v>
      </c>
      <c r="F7331" t="s">
        <v>4925</v>
      </c>
      <c r="G7331">
        <v>129</v>
      </c>
      <c r="H7331">
        <v>140.22999999999999</v>
      </c>
      <c r="I7331">
        <v>140.22</v>
      </c>
      <c r="J7331">
        <v>0.01</v>
      </c>
    </row>
    <row r="7332" spans="1:10" x14ac:dyDescent="0.3">
      <c r="A7332" t="str">
        <f>HYPERLINK("https://us2.cloudbeds.com/connect/10074733072513#/reservations/31676182794392?display=MH88TCBJP&amp;reservation_id=31676182794392", "MH88TCBJP")</f>
        <v>MH88TCBJP</v>
      </c>
      <c r="B7332" t="s">
        <v>10</v>
      </c>
      <c r="C7332" t="s">
        <v>42</v>
      </c>
      <c r="D7332" t="str">
        <f>HYPERLINK("https://us2.cloudbeds.com/connect/10074733072513#/reservations/31676182794392?display=James%20Gertsema&amp;reservation_id=31676182794392&amp;guest_id=31676182790300", "James Gertsema")</f>
        <v>James Gertsema</v>
      </c>
      <c r="E7332" t="s">
        <v>5151</v>
      </c>
      <c r="F7332" t="s">
        <v>4164</v>
      </c>
      <c r="G7332">
        <v>298</v>
      </c>
      <c r="H7332">
        <v>323.94</v>
      </c>
      <c r="I7332">
        <v>323.93</v>
      </c>
      <c r="J7332">
        <v>0.01</v>
      </c>
    </row>
    <row r="7333" spans="1:10" x14ac:dyDescent="0.3">
      <c r="A7333" t="str">
        <f>HYPERLINK("https://us2.cloudbeds.com/connect/10074733072513#/reservations/31674009538771?display=MH6JBRA7R&amp;reservation_id=31674009538771", "MH6JBRA7R")</f>
        <v>MH6JBRA7R</v>
      </c>
      <c r="B7333" t="s">
        <v>10</v>
      </c>
      <c r="C7333" t="s">
        <v>23</v>
      </c>
      <c r="D7333" t="str">
        <f>HYPERLINK("https://us2.cloudbeds.com/connect/10074733072513#/reservations/31674009538771?display=Clinton%20Figland&amp;reservation_id=31674009538771&amp;guest_id=31674002890887", "Clinton Figland")</f>
        <v>Clinton Figland</v>
      </c>
      <c r="E7333" t="s">
        <v>5152</v>
      </c>
      <c r="F7333" t="s">
        <v>4922</v>
      </c>
      <c r="G7333">
        <v>139</v>
      </c>
      <c r="H7333">
        <v>151.1</v>
      </c>
      <c r="I7333">
        <v>151.09</v>
      </c>
      <c r="J7333">
        <v>0.01</v>
      </c>
    </row>
    <row r="7334" spans="1:10" x14ac:dyDescent="0.3">
      <c r="A7334" t="str">
        <f>HYPERLINK("https://us2.cloudbeds.com/connect/10074733072513#/reservations/31673519878337?display=MH66RUPVS&amp;reservation_id=31673519878337", "MH66RUPVS")</f>
        <v>MH66RUPVS</v>
      </c>
      <c r="B7334" t="s">
        <v>10</v>
      </c>
      <c r="C7334" t="s">
        <v>42</v>
      </c>
      <c r="D7334" t="str">
        <f>HYPERLINK("https://us2.cloudbeds.com/connect/10074733072513#/reservations/31673519878337?display=Paul%20Petersen%20Great%20Plains%20Structure&amp;reservation_id=31673519878337&amp;guest_id=31673511137440", "Paul Petersen Great Plains Structure")</f>
        <v>Paul Petersen Great Plains Structure</v>
      </c>
      <c r="E7334" t="s">
        <v>5153</v>
      </c>
      <c r="F7334" t="s">
        <v>5051</v>
      </c>
      <c r="G7334">
        <v>79</v>
      </c>
      <c r="H7334">
        <v>85.88</v>
      </c>
      <c r="I7334">
        <v>85.87</v>
      </c>
      <c r="J7334">
        <v>0.01</v>
      </c>
    </row>
    <row r="7335" spans="1:10" x14ac:dyDescent="0.3">
      <c r="A7335" t="str">
        <f>HYPERLINK("https://us2.cloudbeds.com/connect/10074733072513#/reservations/31673511133334?display=MH66KXEYP&amp;reservation_id=31673511133334", "MH66KXEYP")</f>
        <v>MH66KXEYP</v>
      </c>
      <c r="B7335" t="s">
        <v>10</v>
      </c>
      <c r="C7335" t="s">
        <v>42</v>
      </c>
      <c r="D7335" t="str">
        <f>HYPERLINK("https://us2.cloudbeds.com/connect/10074733072513#/reservations/31673511133334?display=Daryle%20Petrzzlika&amp;reservation_id=31673511133334&amp;guest_id=31673500315785", "Daryle Petrzzlika")</f>
        <v>Daryle Petrzzlika</v>
      </c>
      <c r="E7335" t="s">
        <v>3209</v>
      </c>
      <c r="F7335" t="s">
        <v>5051</v>
      </c>
      <c r="G7335">
        <v>79</v>
      </c>
      <c r="H7335">
        <v>85.88</v>
      </c>
      <c r="I7335">
        <v>85.87</v>
      </c>
      <c r="J7335">
        <v>0.01</v>
      </c>
    </row>
    <row r="7336" spans="1:10" x14ac:dyDescent="0.3">
      <c r="A7336" t="str">
        <f>HYPERLINK("https://us2.cloudbeds.com/connect/10074733072513#/reservations/31673500315787?display=MH66BEE6A&amp;reservation_id=31673500315787", "MH66BEE6A")</f>
        <v>MH66BEE6A</v>
      </c>
      <c r="B7336" t="s">
        <v>10</v>
      </c>
      <c r="C7336" t="s">
        <v>20</v>
      </c>
      <c r="D7336" t="str">
        <f>HYPERLINK("https://us2.cloudbeds.com/connect/10074733072513#/reservations/31673500315787?display=Melissa%20Hansen&amp;reservation_id=31673500315787&amp;guest_id=31673500315784", "Melissa Hansen")</f>
        <v>Melissa Hansen</v>
      </c>
      <c r="E7336" t="s">
        <v>5154</v>
      </c>
      <c r="F7336" t="s">
        <v>4922</v>
      </c>
      <c r="G7336">
        <v>258</v>
      </c>
      <c r="H7336">
        <v>280.45999999999998</v>
      </c>
      <c r="I7336">
        <v>280.45</v>
      </c>
      <c r="J7336">
        <v>0.01</v>
      </c>
    </row>
    <row r="7337" spans="1:10" x14ac:dyDescent="0.3">
      <c r="A7337" t="str">
        <f>HYPERLINK("https://us2.cloudbeds.com/connect/10074733072513#/reservations/31675260014722?display=MH7XA8YBF&amp;reservation_id=31675260014722", "MH7XA8YBF")</f>
        <v>MH7XA8YBF</v>
      </c>
      <c r="B7337" t="s">
        <v>10</v>
      </c>
      <c r="C7337" t="s">
        <v>17</v>
      </c>
      <c r="D7337" t="str">
        <f>HYPERLINK("https://us2.cloudbeds.com/connect/10074733072513#/reservations/31675260014722?display=Alyssa%20Thiesen&amp;reservation_id=31675260014722&amp;guest_id=31675260010625", "Alyssa Thiesen")</f>
        <v>Alyssa Thiesen</v>
      </c>
      <c r="E7337" t="s">
        <v>5155</v>
      </c>
      <c r="F7337" t="s">
        <v>4827</v>
      </c>
      <c r="G7337">
        <v>139</v>
      </c>
      <c r="H7337">
        <v>151.1</v>
      </c>
      <c r="I7337">
        <v>151.09</v>
      </c>
      <c r="J7337">
        <v>0.01</v>
      </c>
    </row>
    <row r="7338" spans="1:10" x14ac:dyDescent="0.3">
      <c r="A7338" t="str">
        <f>HYPERLINK("https://us2.cloudbeds.com/connect/10074733072513#/reservations/31676309184759?display=MH8C3VBHT&amp;reservation_id=31676309184759", "MH8C3VBHT")</f>
        <v>MH8C3VBHT</v>
      </c>
      <c r="B7338" t="s">
        <v>10</v>
      </c>
      <c r="C7338" t="s">
        <v>23</v>
      </c>
      <c r="D7338" t="str">
        <f>HYPERLINK("https://us2.cloudbeds.com/connect/10074733072513#/reservations/31676309184759?display=Brandee%20Schmidt&amp;reservation_id=31676309184759&amp;guest_id=31676299378843", "Brandee Schmidt")</f>
        <v>Brandee Schmidt</v>
      </c>
      <c r="E7338" t="s">
        <v>5156</v>
      </c>
      <c r="F7338" t="s">
        <v>5157</v>
      </c>
      <c r="G7338">
        <v>169</v>
      </c>
      <c r="H7338">
        <v>183.71</v>
      </c>
      <c r="I7338">
        <v>183.7</v>
      </c>
      <c r="J7338">
        <v>0.01</v>
      </c>
    </row>
    <row r="7339" spans="1:10" x14ac:dyDescent="0.3">
      <c r="A7339" t="str">
        <f>HYPERLINK("https://us2.cloudbeds.com/connect/10074733072513#/reservations/31674685071507?display=MH73KF04Q&amp;reservation_id=31674685071507", "MH73KF04Q")</f>
        <v>MH73KF04Q</v>
      </c>
      <c r="B7339" t="s">
        <v>10</v>
      </c>
      <c r="C7339" t="s">
        <v>14</v>
      </c>
      <c r="D7339" t="str">
        <f>HYPERLINK("https://us2.cloudbeds.com/connect/10074733072513#/reservations/31674685071507?display=Lisa%20Turner-Gable&amp;reservation_id=31674685071507&amp;guest_id=31674678026370", "Lisa Turner-Gable")</f>
        <v>Lisa Turner-Gable</v>
      </c>
      <c r="E7339" t="s">
        <v>5158</v>
      </c>
      <c r="F7339" t="s">
        <v>3836</v>
      </c>
      <c r="G7339">
        <v>211.88</v>
      </c>
      <c r="H7339">
        <v>230.32</v>
      </c>
      <c r="I7339">
        <v>230.31</v>
      </c>
      <c r="J7339">
        <v>0.01</v>
      </c>
    </row>
    <row r="7340" spans="1:10" x14ac:dyDescent="0.3">
      <c r="A7340" t="str">
        <f>HYPERLINK("https://us2.cloudbeds.com/connect/10074733072513#/reservations/31678173008000?display=MH9QZXSJS&amp;reservation_id=31678173008000", "MH9QZXSJS")</f>
        <v>MH9QZXSJS</v>
      </c>
      <c r="B7340" t="s">
        <v>10</v>
      </c>
      <c r="C7340" t="s">
        <v>42</v>
      </c>
      <c r="D7340" t="str">
        <f>HYPERLINK("https://us2.cloudbeds.com/connect/10074733072513#/reservations/31678173008000?display=Marylin%20Tramp&amp;reservation_id=31678173008000&amp;guest_id=31678173003962", "Marylin Tramp")</f>
        <v>Marylin Tramp</v>
      </c>
      <c r="E7340" t="s">
        <v>5159</v>
      </c>
      <c r="F7340" t="s">
        <v>3061</v>
      </c>
      <c r="G7340">
        <v>258</v>
      </c>
      <c r="H7340">
        <v>280.45999999999998</v>
      </c>
      <c r="I7340">
        <v>280.45</v>
      </c>
      <c r="J7340">
        <v>0.01</v>
      </c>
    </row>
    <row r="7341" spans="1:10" x14ac:dyDescent="0.3">
      <c r="A7341" t="str">
        <f>HYPERLINK("https://us2.cloudbeds.com/connect/10074733072513#/reservations/31673151344849?display=MH5UE5QCD&amp;reservation_id=31673151344849", "MH5UE5QCD")</f>
        <v>MH5UE5QCD</v>
      </c>
      <c r="B7341" t="s">
        <v>10</v>
      </c>
      <c r="C7341" t="s">
        <v>42</v>
      </c>
      <c r="D7341" t="str">
        <f>HYPERLINK("https://us2.cloudbeds.com/connect/10074733072513#/reservations/31673151344849?display=Michelle%20Conner&amp;reservation_id=31673151344849&amp;guest_id=31673151344845", "Michelle Conner")</f>
        <v>Michelle Conner</v>
      </c>
      <c r="E7341" t="s">
        <v>5160</v>
      </c>
      <c r="F7341" t="s">
        <v>5039</v>
      </c>
      <c r="G7341">
        <v>119</v>
      </c>
      <c r="H7341">
        <v>129.36000000000001</v>
      </c>
      <c r="I7341">
        <v>129.35</v>
      </c>
      <c r="J7341">
        <v>0.01</v>
      </c>
    </row>
    <row r="7342" spans="1:10" x14ac:dyDescent="0.3">
      <c r="A7342" t="str">
        <f>HYPERLINK("https://us2.cloudbeds.com/connect/10074733072513#/reservations/31673904754895?display=MH6GMFHVS&amp;reservation_id=31673904754895", "MH6GMFHVS")</f>
        <v>MH6GMFHVS</v>
      </c>
      <c r="B7342" t="s">
        <v>10</v>
      </c>
      <c r="C7342" t="s">
        <v>23</v>
      </c>
      <c r="D7342" t="str">
        <f>HYPERLINK("https://us2.cloudbeds.com/connect/10074733072513#/reservations/31673904754895?display=Teri%20Heninger&amp;reservation_id=31673904754895&amp;guest_id=31673904754892", "Teri Heninger")</f>
        <v>Teri Heninger</v>
      </c>
      <c r="E7342" t="s">
        <v>5162</v>
      </c>
      <c r="F7342" t="s">
        <v>5094</v>
      </c>
      <c r="G7342">
        <v>119</v>
      </c>
      <c r="H7342">
        <v>129.36000000000001</v>
      </c>
      <c r="I7342">
        <v>129.35</v>
      </c>
      <c r="J7342">
        <v>0.01</v>
      </c>
    </row>
    <row r="7343" spans="1:10" x14ac:dyDescent="0.3">
      <c r="A7343" t="str">
        <f>HYPERLINK("https://us2.cloudbeds.com/connect/10074733072513#/reservations/31679918674164?display=MHB5BXNHN&amp;reservation_id=31679918674164", "MHB5BXNHN")</f>
        <v>MHB5BXNHN</v>
      </c>
      <c r="B7343" t="s">
        <v>10</v>
      </c>
      <c r="C7343" t="s">
        <v>17</v>
      </c>
      <c r="D7343" t="str">
        <f>HYPERLINK("https://us2.cloudbeds.com/connect/10074733072513#/reservations/31679918674164?display=Andrew%20Hayden&amp;reservation_id=31679918674164&amp;guest_id=31679908606103", "Andrew Hayden")</f>
        <v>Andrew Hayden</v>
      </c>
      <c r="E7343" t="s">
        <v>5164</v>
      </c>
      <c r="F7343" t="s">
        <v>3061</v>
      </c>
      <c r="G7343">
        <v>258</v>
      </c>
      <c r="H7343">
        <v>280.45999999999998</v>
      </c>
      <c r="I7343">
        <v>280.45</v>
      </c>
      <c r="J7343">
        <v>0.01</v>
      </c>
    </row>
    <row r="7344" spans="1:10" x14ac:dyDescent="0.3">
      <c r="A7344" t="str">
        <f>HYPERLINK("https://us2.cloudbeds.com/connect/10074733072513#/reservations/31685798232199?display=MHFNJC2Z0&amp;reservation_id=31685798232199", "MHFNJC2Z0")</f>
        <v>MHFNJC2Z0</v>
      </c>
      <c r="B7344" t="s">
        <v>10</v>
      </c>
      <c r="C7344" t="s">
        <v>42</v>
      </c>
      <c r="D7344" t="str">
        <f>HYPERLINK("https://us2.cloudbeds.com/connect/10074733072513#/reservations/31685798232199?display=Rhonda%20Zomer&amp;reservation_id=31685798232199&amp;guest_id=31685798228104", "Rhonda Zomer")</f>
        <v>Rhonda Zomer</v>
      </c>
      <c r="E7344" t="s">
        <v>5165</v>
      </c>
      <c r="F7344" t="s">
        <v>4974</v>
      </c>
      <c r="G7344">
        <v>318</v>
      </c>
      <c r="H7344">
        <v>345.68</v>
      </c>
      <c r="I7344">
        <v>345.67</v>
      </c>
      <c r="J7344">
        <v>0.01</v>
      </c>
    </row>
    <row r="7345" spans="1:10" x14ac:dyDescent="0.3">
      <c r="A7345" t="str">
        <f>HYPERLINK("https://us2.cloudbeds.com/connect/10074733072513#/reservations/31673541632137?display=MH67D93TU&amp;reservation_id=31673541632137", "MH67D93TU")</f>
        <v>MH67D93TU</v>
      </c>
      <c r="B7345" t="s">
        <v>10</v>
      </c>
      <c r="C7345" t="s">
        <v>42</v>
      </c>
      <c r="D7345" t="str">
        <f>HYPERLINK("https://us2.cloudbeds.com/connect/10074733072513#/reservations/31673541632137?display=Bradley%20Steiner%20Great%20Plains%20Structure&amp;reservation_id=31673541632137&amp;guest_id=31673541632134", "Bradley Steiner Great Plains Structure")</f>
        <v>Bradley Steiner Great Plains Structure</v>
      </c>
      <c r="E7345" t="s">
        <v>5166</v>
      </c>
      <c r="F7345" t="s">
        <v>5051</v>
      </c>
      <c r="G7345">
        <v>79</v>
      </c>
      <c r="H7345">
        <v>85.88</v>
      </c>
      <c r="I7345">
        <v>85.87</v>
      </c>
      <c r="J7345">
        <v>0.01</v>
      </c>
    </row>
    <row r="7346" spans="1:10" x14ac:dyDescent="0.3">
      <c r="A7346" t="str">
        <f>HYPERLINK("https://us2.cloudbeds.com/connect/10074733072513#/reservations/31673554493662?display=MH67Z40A3&amp;reservation_id=31673554493662", "MH67Z40A3")</f>
        <v>MH67Z40A3</v>
      </c>
      <c r="B7346" t="s">
        <v>10</v>
      </c>
      <c r="C7346" t="s">
        <v>42</v>
      </c>
      <c r="D7346" t="str">
        <f>HYPERLINK("https://us2.cloudbeds.com/connect/10074733072513#/reservations/31673554493662?display=Jayson%20Mcelhaney%20Great%20Plaines%20Structure&amp;reservation_id=31673554493662&amp;guest_id=31673554493651", "Jayson Mcelhaney Great Plaines Structure")</f>
        <v>Jayson Mcelhaney Great Plaines Structure</v>
      </c>
      <c r="E7346" t="s">
        <v>5167</v>
      </c>
      <c r="F7346" t="s">
        <v>5051</v>
      </c>
      <c r="G7346">
        <v>79</v>
      </c>
      <c r="H7346">
        <v>85.88</v>
      </c>
      <c r="I7346">
        <v>85.87</v>
      </c>
      <c r="J7346">
        <v>0.01</v>
      </c>
    </row>
    <row r="7347" spans="1:10" x14ac:dyDescent="0.3">
      <c r="A7347" t="str">
        <f>HYPERLINK("https://us2.cloudbeds.com/connect/10074733072513#/reservations/31674813456512?display=MH76TND0A&amp;reservation_id=31674813456512", "MH76TND0A")</f>
        <v>MH76TND0A</v>
      </c>
      <c r="B7347" t="s">
        <v>10</v>
      </c>
      <c r="C7347" t="s">
        <v>42</v>
      </c>
      <c r="D7347" t="str">
        <f>HYPERLINK("https://us2.cloudbeds.com/connect/10074733072513#/reservations/31674813456512?display=Kathy%20Tyler%20Milbank%20School&amp;reservation_id=31674813456512&amp;guest_id=31673980752038", "Kathy Tyler Milbank School")</f>
        <v>Kathy Tyler Milbank School</v>
      </c>
      <c r="E7347" t="s">
        <v>4959</v>
      </c>
      <c r="F7347" t="s">
        <v>5101</v>
      </c>
      <c r="G7347">
        <v>296</v>
      </c>
      <c r="H7347">
        <v>321.76</v>
      </c>
      <c r="I7347">
        <v>321.75</v>
      </c>
      <c r="J7347">
        <v>0.01</v>
      </c>
    </row>
    <row r="7348" spans="1:10" x14ac:dyDescent="0.3">
      <c r="A7348" t="str">
        <f>HYPERLINK("https://us2.cloudbeds.com/connect/10074733072513#/reservations/31674775318694?display=MH75UX8P1&amp;reservation_id=31674775318694", "MH75UX8P1")</f>
        <v>MH75UX8P1</v>
      </c>
      <c r="B7348" t="s">
        <v>10</v>
      </c>
      <c r="C7348" t="s">
        <v>42</v>
      </c>
      <c r="D7348" t="str">
        <f>HYPERLINK("https://us2.cloudbeds.com/connect/10074733072513#/reservations/31674775318694?display=Kathy%20Hoss&amp;reservation_id=31674775318694&amp;guest_id=31674768462028", "Kathy Hoss")</f>
        <v>Kathy Hoss</v>
      </c>
      <c r="E7348" t="s">
        <v>5168</v>
      </c>
      <c r="F7348" t="s">
        <v>3836</v>
      </c>
      <c r="G7348">
        <v>278</v>
      </c>
      <c r="H7348">
        <v>302.2</v>
      </c>
      <c r="I7348">
        <v>302.19</v>
      </c>
      <c r="J7348">
        <v>0.01</v>
      </c>
    </row>
    <row r="7349" spans="1:10" x14ac:dyDescent="0.3">
      <c r="A7349" t="str">
        <f>HYPERLINK("https://us2.cloudbeds.com/connect/10074733072513#/reservations/31675810586839?display=MH7WCH470&amp;reservation_id=31675810586839", "MH7WCH470")</f>
        <v>MH7WCH470</v>
      </c>
      <c r="B7349" t="s">
        <v>10</v>
      </c>
      <c r="C7349" t="s">
        <v>42</v>
      </c>
      <c r="D7349" t="str">
        <f>HYPERLINK("https://us2.cloudbeds.com/connect/10074733072513#/reservations/31675810586839?display=Jared%20Hoff&amp;reservation_id=31675810586839&amp;guest_id=31675810586834", "Jared Hoff")</f>
        <v>Jared Hoff</v>
      </c>
      <c r="E7349" t="s">
        <v>5168</v>
      </c>
      <c r="F7349" t="s">
        <v>3836</v>
      </c>
      <c r="G7349">
        <v>179</v>
      </c>
      <c r="H7349">
        <v>194.58</v>
      </c>
      <c r="I7349">
        <v>194.57</v>
      </c>
      <c r="J7349">
        <v>0.01</v>
      </c>
    </row>
    <row r="7350" spans="1:10" x14ac:dyDescent="0.3">
      <c r="A7350" t="str">
        <f>HYPERLINK("https://us2.cloudbeds.com/connect/10074733072513#/reservations/31675821367426?display=MH7WYK3ZF&amp;reservation_id=31675821367426", "MH7WYK3ZF")</f>
        <v>MH7WYK3ZF</v>
      </c>
      <c r="B7350" t="s">
        <v>10</v>
      </c>
      <c r="C7350" t="s">
        <v>42</v>
      </c>
      <c r="D7350" t="str">
        <f>HYPERLINK("https://us2.cloudbeds.com/connect/10074733072513#/reservations/31675821367426?display=Kathy%20Hoss&amp;reservation_id=31675821367426&amp;guest_id=31674768462028", "Kathy Hoss")</f>
        <v>Kathy Hoss</v>
      </c>
      <c r="E7350" t="s">
        <v>5168</v>
      </c>
      <c r="F7350" t="s">
        <v>3836</v>
      </c>
      <c r="G7350">
        <v>278</v>
      </c>
      <c r="H7350">
        <v>302.2</v>
      </c>
      <c r="I7350">
        <v>302.19</v>
      </c>
      <c r="J7350">
        <v>0.01</v>
      </c>
    </row>
    <row r="7351" spans="1:10" x14ac:dyDescent="0.3">
      <c r="A7351" t="str">
        <f>HYPERLINK("https://us2.cloudbeds.com/connect/10074733072513#/reservations/31673541628044?display=MH67D904T&amp;reservation_id=31673541628044", "MH67D904T")</f>
        <v>MH67D904T</v>
      </c>
      <c r="B7351" t="s">
        <v>10</v>
      </c>
      <c r="C7351" t="s">
        <v>42</v>
      </c>
      <c r="D7351" t="str">
        <f>HYPERLINK("https://us2.cloudbeds.com/connect/10074733072513#/reservations/31673541628044?display=Daniel%20Paul%20Sear%20Great%20Plains%20Structure&amp;reservation_id=31673541628044&amp;guest_id=31673541628032", "Daniel Paul Sear Great Plains Structure")</f>
        <v>Daniel Paul Sear Great Plains Structure</v>
      </c>
      <c r="E7351" t="s">
        <v>5170</v>
      </c>
      <c r="F7351" t="s">
        <v>5051</v>
      </c>
      <c r="G7351">
        <v>79</v>
      </c>
      <c r="H7351">
        <v>85.88</v>
      </c>
      <c r="I7351">
        <v>85.87</v>
      </c>
      <c r="J7351">
        <v>0.01</v>
      </c>
    </row>
    <row r="7352" spans="1:10" x14ac:dyDescent="0.3">
      <c r="A7352" t="str">
        <f>HYPERLINK("https://us2.cloudbeds.com/connect/10074733072513#/reservations/31674014761122?display=MH6JG7KPT&amp;reservation_id=31674014761122", "MH6JG7KPT")</f>
        <v>MH6JG7KPT</v>
      </c>
      <c r="B7352" t="s">
        <v>10</v>
      </c>
      <c r="C7352" t="s">
        <v>20</v>
      </c>
      <c r="D7352" t="str">
        <f>HYPERLINK("https://us2.cloudbeds.com/connect/10074733072513#/reservations/31674014761122?display=Amber%20Jaenisch&amp;reservation_id=31674014761122&amp;guest_id=31674014761088", "Amber Jaenisch")</f>
        <v>Amber Jaenisch</v>
      </c>
      <c r="E7352" t="s">
        <v>5171</v>
      </c>
      <c r="F7352" t="s">
        <v>5172</v>
      </c>
      <c r="G7352">
        <v>139</v>
      </c>
      <c r="H7352">
        <v>151.1</v>
      </c>
      <c r="I7352">
        <v>151.09</v>
      </c>
      <c r="J7352">
        <v>0.01</v>
      </c>
    </row>
    <row r="7353" spans="1:10" x14ac:dyDescent="0.3">
      <c r="A7353" t="str">
        <f>HYPERLINK("https://us2.cloudbeds.com/connect/10074733072513#/reservations/31675564941544?display=MH7Q3CMK6&amp;reservation_id=31675564941544", "MH7Q3CMK6")</f>
        <v>MH7Q3CMK6</v>
      </c>
      <c r="B7353" t="s">
        <v>10</v>
      </c>
      <c r="C7353" t="s">
        <v>42</v>
      </c>
      <c r="D7353" t="str">
        <f>HYPERLINK("https://us2.cloudbeds.com/connect/10074733072513#/reservations/31675564941544?display=Luke%20Muckey&amp;reservation_id=31675564941544&amp;guest_id=30654122369259", "Luke Muckey")</f>
        <v>Luke Muckey</v>
      </c>
      <c r="E7353" t="s">
        <v>5173</v>
      </c>
      <c r="F7353" t="s">
        <v>5109</v>
      </c>
      <c r="G7353">
        <v>308</v>
      </c>
      <c r="H7353">
        <v>334.81</v>
      </c>
      <c r="I7353">
        <v>334.8</v>
      </c>
      <c r="J7353">
        <v>0.01</v>
      </c>
    </row>
    <row r="7354" spans="1:10" x14ac:dyDescent="0.3">
      <c r="A7354" t="str">
        <f>HYPERLINK("https://us2.cloudbeds.com/connect/10074733072513#/reservations/31674144030936?display=MH6MQ7ZRW&amp;reservation_id=31674144030936", "MH6MQ7ZRW")</f>
        <v>MH6MQ7ZRW</v>
      </c>
      <c r="B7354" t="s">
        <v>10</v>
      </c>
      <c r="C7354" t="s">
        <v>14</v>
      </c>
      <c r="D7354" t="str">
        <f>HYPERLINK("https://us2.cloudbeds.com/connect/10074733072513#/reservations/31674144030936?display=Pam%20Miller&amp;reservation_id=31674144030936&amp;guest_id=31674144030923", "Pam Miller")</f>
        <v>Pam Miller</v>
      </c>
      <c r="E7354" t="s">
        <v>5174</v>
      </c>
      <c r="F7354" t="s">
        <v>4141</v>
      </c>
      <c r="G7354">
        <v>211.88</v>
      </c>
      <c r="H7354">
        <v>230.32</v>
      </c>
      <c r="I7354">
        <v>230.31</v>
      </c>
      <c r="J7354">
        <v>0.01</v>
      </c>
    </row>
    <row r="7355" spans="1:10" x14ac:dyDescent="0.3">
      <c r="A7355" t="str">
        <f>HYPERLINK("https://us2.cloudbeds.com/connect/10074733072513#/reservations/31673519878394?display=MH66RUQ0F&amp;reservation_id=31673519878394", "MH66RUQ0F")</f>
        <v>MH66RUQ0F</v>
      </c>
      <c r="B7355" t="s">
        <v>10</v>
      </c>
      <c r="C7355" t="s">
        <v>42</v>
      </c>
      <c r="D7355" t="str">
        <f>HYPERLINK("https://us2.cloudbeds.com/connect/10074733072513#/reservations/31673519878394?display=Paul%20Boerboom&amp;reservation_id=31673519878394&amp;guest_id=31673511137443", "Paul Boerboom")</f>
        <v>Paul Boerboom</v>
      </c>
      <c r="E7355" t="s">
        <v>5175</v>
      </c>
      <c r="F7355" t="s">
        <v>4922</v>
      </c>
      <c r="G7355">
        <v>298</v>
      </c>
      <c r="H7355">
        <v>323.94</v>
      </c>
      <c r="I7355">
        <v>323.93</v>
      </c>
      <c r="J7355">
        <v>0.01</v>
      </c>
    </row>
    <row r="7356" spans="1:10" x14ac:dyDescent="0.3">
      <c r="A7356" t="str">
        <f>HYPERLINK("https://us2.cloudbeds.com/connect/10074733072513#/reservations/31673177149665?display=MH5V2US8H&amp;reservation_id=31673177149665", "MH5V2US8H")</f>
        <v>MH5V2US8H</v>
      </c>
      <c r="B7356" t="s">
        <v>10</v>
      </c>
      <c r="C7356" t="s">
        <v>42</v>
      </c>
      <c r="D7356" t="str">
        <f>HYPERLINK("https://us2.cloudbeds.com/connect/10074733072513#/reservations/31673177149665?display=Beverley%20Whitmeire&amp;reservation_id=31673177149665&amp;guest_id=31673177149647", "Beverley Whitmeire")</f>
        <v>Beverley Whitmeire</v>
      </c>
      <c r="E7356" t="s">
        <v>5176</v>
      </c>
      <c r="F7356" t="s">
        <v>5039</v>
      </c>
      <c r="G7356">
        <v>119</v>
      </c>
      <c r="H7356">
        <v>129.36000000000001</v>
      </c>
      <c r="I7356">
        <v>129.35</v>
      </c>
      <c r="J7356">
        <v>0.01</v>
      </c>
    </row>
    <row r="7357" spans="1:10" x14ac:dyDescent="0.3">
      <c r="A7357" t="str">
        <f>HYPERLINK("https://us2.cloudbeds.com/connect/10074733072513#/reservations/31673170583756?display=MH5UUD4VX&amp;reservation_id=31673170583756", "MH5UUD4VX")</f>
        <v>MH5UUD4VX</v>
      </c>
      <c r="B7357" t="s">
        <v>10</v>
      </c>
      <c r="C7357" t="s">
        <v>42</v>
      </c>
      <c r="D7357" t="str">
        <f>HYPERLINK("https://us2.cloudbeds.com/connect/10074733072513#/reservations/31673170583756?display=Aby%20Styron&amp;reservation_id=31673170583756&amp;guest_id=31673170579705", "Aby Styron")</f>
        <v>Aby Styron</v>
      </c>
      <c r="E7357" t="s">
        <v>5177</v>
      </c>
      <c r="F7357" t="s">
        <v>5039</v>
      </c>
      <c r="G7357">
        <v>119</v>
      </c>
      <c r="H7357">
        <v>129.36000000000001</v>
      </c>
      <c r="I7357">
        <v>129.35</v>
      </c>
      <c r="J7357">
        <v>0.01</v>
      </c>
    </row>
    <row r="7358" spans="1:10" x14ac:dyDescent="0.3">
      <c r="A7358" t="str">
        <f>HYPERLINK("https://us2.cloudbeds.com/connect/10074733072513#/reservations/31675881677006?display=MH816FAEG&amp;reservation_id=31675881677006", "MH816FAEG")</f>
        <v>MH816FAEG</v>
      </c>
      <c r="B7358" t="s">
        <v>10</v>
      </c>
      <c r="C7358" t="s">
        <v>11</v>
      </c>
      <c r="D7358" t="str">
        <f>HYPERLINK("https://us2.cloudbeds.com/connect/10074733072513#/reservations/31675881677006?display=Sarah%20Duquette&amp;reservation_id=31675881677006&amp;guest_id=31675881672925", "Sarah Duquette")</f>
        <v>Sarah Duquette</v>
      </c>
      <c r="E7358" t="s">
        <v>5178</v>
      </c>
      <c r="F7358" t="s">
        <v>5179</v>
      </c>
      <c r="G7358">
        <v>102.58</v>
      </c>
      <c r="H7358">
        <v>111.51</v>
      </c>
      <c r="I7358">
        <v>111.5</v>
      </c>
      <c r="J7358">
        <v>0.01</v>
      </c>
    </row>
    <row r="7359" spans="1:10" x14ac:dyDescent="0.3">
      <c r="A7359" t="str">
        <f>HYPERLINK("https://us2.cloudbeds.com/connect/10074733072513#/reservations/31682491129995?display=MHD52Z2UN&amp;reservation_id=31682491129995", "MHD52Z2UN")</f>
        <v>MHD52Z2UN</v>
      </c>
      <c r="B7359" t="s">
        <v>10</v>
      </c>
      <c r="C7359" t="s">
        <v>42</v>
      </c>
      <c r="D7359" t="str">
        <f>HYPERLINK("https://us2.cloudbeds.com/connect/10074733072513#/reservations/31682491129995?display=Sandra%20Sorell&amp;reservation_id=31682491129995&amp;guest_id=31682482401519", "Sandra Sorell")</f>
        <v>Sandra Sorell</v>
      </c>
      <c r="E7359" t="s">
        <v>5181</v>
      </c>
      <c r="F7359" t="s">
        <v>4974</v>
      </c>
      <c r="G7359">
        <v>338</v>
      </c>
      <c r="H7359">
        <v>367.42</v>
      </c>
      <c r="I7359">
        <v>367.41</v>
      </c>
      <c r="J7359">
        <v>0.01</v>
      </c>
    </row>
    <row r="7360" spans="1:10" x14ac:dyDescent="0.3">
      <c r="A7360" t="str">
        <f>HYPERLINK("https://us2.cloudbeds.com/connect/10074733072513#/reservations/31673989234892?display=MH6XRNANP&amp;reservation_id=31673989234892", "MH6XRNANP")</f>
        <v>MH6XRNANP</v>
      </c>
      <c r="B7360" t="s">
        <v>10</v>
      </c>
      <c r="C7360" t="s">
        <v>42</v>
      </c>
      <c r="D7360" t="str">
        <f>HYPERLINK("https://us2.cloudbeds.com/connect/10074733072513#/reservations/31673989234892?display=Kathy%20Tyler%20Milbank%20School&amp;reservation_id=31673989234892&amp;guest_id=31673980752038", "Kathy Tyler Milbank School")</f>
        <v>Kathy Tyler Milbank School</v>
      </c>
      <c r="E7360" t="s">
        <v>4959</v>
      </c>
      <c r="F7360" t="s">
        <v>4922</v>
      </c>
      <c r="G7360">
        <v>222</v>
      </c>
      <c r="H7360">
        <v>241.32</v>
      </c>
      <c r="I7360">
        <v>241.31</v>
      </c>
      <c r="J7360">
        <v>0.01</v>
      </c>
    </row>
    <row r="7361" spans="1:10" x14ac:dyDescent="0.3">
      <c r="A7361" t="str">
        <f>HYPERLINK("https://us2.cloudbeds.com/connect/10074733072513#/reservations/31676511842452?display=MH8H9RJP3&amp;reservation_id=31676511842452", "MH8H9RJP3")</f>
        <v>MH8H9RJP3</v>
      </c>
      <c r="B7361" t="s">
        <v>10</v>
      </c>
      <c r="C7361" t="s">
        <v>42</v>
      </c>
      <c r="D7361" t="str">
        <f>HYPERLINK("https://us2.cloudbeds.com/connect/10074733072513#/reservations/31676511842452?display=Sandra%20Liebe&amp;reservation_id=31676511842452&amp;guest_id=31676511842433", "Sandra Liebe")</f>
        <v>Sandra Liebe</v>
      </c>
      <c r="E7361" t="s">
        <v>5182</v>
      </c>
      <c r="F7361" t="s">
        <v>4346</v>
      </c>
      <c r="G7361">
        <v>278</v>
      </c>
      <c r="H7361">
        <v>302.2</v>
      </c>
      <c r="I7361">
        <v>302.19</v>
      </c>
      <c r="J7361">
        <v>0.01</v>
      </c>
    </row>
    <row r="7362" spans="1:10" x14ac:dyDescent="0.3">
      <c r="A7362" t="str">
        <f>HYPERLINK("https://us2.cloudbeds.com/connect/10074733072513#/reservations/31676500099223?display=MH8GWUR8M&amp;reservation_id=31676500099223", "MH8GWUR8M")</f>
        <v>MH8GWUR8M</v>
      </c>
      <c r="B7362" t="s">
        <v>10</v>
      </c>
      <c r="C7362" t="s">
        <v>42</v>
      </c>
      <c r="D7362" t="str">
        <f>HYPERLINK("https://us2.cloudbeds.com/connect/10074733072513#/reservations/31676500099223?display=Susan%20Zimmerman%20Zimmerman&amp;reservation_id=31676500099223&amp;guest_id=31676500095129", "Susan Zimmerman Zimmerman")</f>
        <v>Susan Zimmerman Zimmerman</v>
      </c>
      <c r="E7362" t="s">
        <v>5183</v>
      </c>
      <c r="F7362" t="s">
        <v>4346</v>
      </c>
      <c r="G7362">
        <v>278</v>
      </c>
      <c r="H7362">
        <v>302.2</v>
      </c>
      <c r="I7362">
        <v>302.19</v>
      </c>
      <c r="J7362">
        <v>0.01</v>
      </c>
    </row>
    <row r="7363" spans="1:10" x14ac:dyDescent="0.3">
      <c r="A7363" t="str">
        <f>HYPERLINK("https://us2.cloudbeds.com/connect/10074733072513#/reservations/31679897170075?display=MHB4QEATY&amp;reservation_id=31679897170075", "MHB4QEATY")</f>
        <v>MHB4QEATY</v>
      </c>
      <c r="B7363" t="s">
        <v>10</v>
      </c>
      <c r="C7363" t="s">
        <v>42</v>
      </c>
      <c r="D7363" t="str">
        <f>HYPERLINK("https://us2.cloudbeds.com/connect/10074733072513#/reservations/31679897170075?display=Renee%20Perlinger&amp;reservation_id=31679897170075&amp;guest_id=31679897170071", "Renee Perlinger")</f>
        <v>Renee Perlinger</v>
      </c>
      <c r="E7363" t="s">
        <v>5184</v>
      </c>
      <c r="F7363" t="s">
        <v>3061</v>
      </c>
      <c r="G7363">
        <v>258</v>
      </c>
      <c r="H7363">
        <v>280.45999999999998</v>
      </c>
      <c r="I7363">
        <v>280.45</v>
      </c>
      <c r="J7363">
        <v>0.01</v>
      </c>
    </row>
    <row r="7364" spans="1:10" x14ac:dyDescent="0.3">
      <c r="A7364" t="str">
        <f>HYPERLINK("https://us2.cloudbeds.com/connect/10074733072513#/reservations/31672925712529?display=MH5ZYU85C&amp;reservation_id=31672925712529", "MH5ZYU85C")</f>
        <v>MH5ZYU85C</v>
      </c>
      <c r="B7364" t="s">
        <v>10</v>
      </c>
      <c r="C7364" t="s">
        <v>14</v>
      </c>
      <c r="D7364" t="str">
        <f>HYPERLINK("https://us2.cloudbeds.com/connect/10074733072513#/reservations/31672925712529?display=Dalen%20Keltgen&amp;reservation_id=31672925712529&amp;guest_id=31672925712515", "Dalen Keltgen")</f>
        <v>Dalen Keltgen</v>
      </c>
      <c r="E7364" t="s">
        <v>5185</v>
      </c>
      <c r="F7364" t="s">
        <v>5186</v>
      </c>
      <c r="G7364">
        <v>321.3</v>
      </c>
      <c r="H7364">
        <v>349.26</v>
      </c>
      <c r="I7364">
        <v>349.25</v>
      </c>
      <c r="J7364">
        <v>0.01</v>
      </c>
    </row>
    <row r="7365" spans="1:10" x14ac:dyDescent="0.3">
      <c r="A7365" t="str">
        <f>HYPERLINK("https://us2.cloudbeds.com/connect/10074733072513#/reservations/31674002886784?display=MH6J08G0B&amp;reservation_id=31674002886784", "MH6J08G0B")</f>
        <v>MH6J08G0B</v>
      </c>
      <c r="B7365" t="s">
        <v>10</v>
      </c>
      <c r="C7365" t="s">
        <v>42</v>
      </c>
      <c r="D7365" t="str">
        <f>HYPERLINK("https://us2.cloudbeds.com/connect/10074733072513#/reservations/31674002886784?display=Cheyenne%20Grosz&amp;reservation_id=31674002886784&amp;guest_id=31673995813043", "Cheyenne Grosz")</f>
        <v>Cheyenne Grosz</v>
      </c>
      <c r="E7365" t="s">
        <v>5187</v>
      </c>
      <c r="F7365" t="s">
        <v>4922</v>
      </c>
      <c r="G7365">
        <v>139</v>
      </c>
      <c r="H7365">
        <v>151.1</v>
      </c>
      <c r="I7365">
        <v>151.09</v>
      </c>
      <c r="J7365">
        <v>0.01</v>
      </c>
    </row>
    <row r="7366" spans="1:10" x14ac:dyDescent="0.3">
      <c r="A7366" t="str">
        <f>HYPERLINK("https://us2.cloudbeds.com/connect/10074733072513#/reservations/31674078650575?display=MH6Y43EPU&amp;reservation_id=31674078650575", "MH6Y43EPU")</f>
        <v>MH6Y43EPU</v>
      </c>
      <c r="B7366" t="s">
        <v>10</v>
      </c>
      <c r="C7366" t="s">
        <v>42</v>
      </c>
      <c r="D7366" t="str">
        <f>HYPERLINK("https://us2.cloudbeds.com/connect/10074733072513#/reservations/31674078650575?display=Nick%20Pooch&amp;reservation_id=31674078650575&amp;guest_id=31674078650573", "Nick Pooch")</f>
        <v>Nick Pooch</v>
      </c>
      <c r="E7366" t="s">
        <v>5188</v>
      </c>
      <c r="F7366" t="s">
        <v>4925</v>
      </c>
      <c r="G7366">
        <v>119</v>
      </c>
      <c r="H7366">
        <v>129.36000000000001</v>
      </c>
      <c r="I7366">
        <v>129.35</v>
      </c>
      <c r="J7366">
        <v>0.01</v>
      </c>
    </row>
    <row r="7367" spans="1:10" x14ac:dyDescent="0.3">
      <c r="A7367" t="str">
        <f>HYPERLINK("https://us2.cloudbeds.com/connect/10074733072513#/reservations/31674087366819?display=MH6YBEWMH&amp;reservation_id=31674087366819", "MH6YBEWMH")</f>
        <v>MH6YBEWMH</v>
      </c>
      <c r="B7367" t="s">
        <v>10</v>
      </c>
      <c r="C7367" t="s">
        <v>20</v>
      </c>
      <c r="D7367" t="str">
        <f>HYPERLINK("https://us2.cloudbeds.com/connect/10074733072513#/reservations/31674087366819?display=Ryan%20Wilfahrt&amp;reservation_id=31674087366819&amp;guest_id=31674087366816", "Ryan Wilfahrt")</f>
        <v>Ryan Wilfahrt</v>
      </c>
      <c r="E7367" t="s">
        <v>5189</v>
      </c>
      <c r="F7367" t="s">
        <v>4925</v>
      </c>
      <c r="G7367">
        <v>141.55000000000001</v>
      </c>
      <c r="H7367">
        <v>153.87</v>
      </c>
      <c r="I7367">
        <v>153.86000000000001</v>
      </c>
      <c r="J7367">
        <v>0.01</v>
      </c>
    </row>
    <row r="7368" spans="1:10" x14ac:dyDescent="0.3">
      <c r="A7368" t="str">
        <f>HYPERLINK("https://us2.cloudbeds.com/connect/10074733072513#/reservations/31674106642611?display=MH6YRNC4D&amp;reservation_id=31674106642611", "MH6YRNC4D")</f>
        <v>MH6YRNC4D</v>
      </c>
      <c r="B7368" t="s">
        <v>10</v>
      </c>
      <c r="C7368" t="s">
        <v>14</v>
      </c>
      <c r="D7368" t="str">
        <f>HYPERLINK("https://us2.cloudbeds.com/connect/10074733072513#/reservations/31674106642611?display=Lanice%20Miner&amp;reservation_id=31674106642611&amp;guest_id=31672886079708", "Lanice Miner")</f>
        <v>Lanice Miner</v>
      </c>
      <c r="E7368" t="s">
        <v>5190</v>
      </c>
      <c r="F7368" t="s">
        <v>4925</v>
      </c>
      <c r="G7368">
        <v>87.84</v>
      </c>
      <c r="H7368">
        <v>95.49</v>
      </c>
      <c r="I7368">
        <v>95.48</v>
      </c>
      <c r="J7368">
        <v>0.01</v>
      </c>
    </row>
    <row r="7369" spans="1:10" x14ac:dyDescent="0.3">
      <c r="A7369" t="str">
        <f>HYPERLINK("https://us2.cloudbeds.com/connect/10074733072513#/reservations/31678178324685?display=MH9QT1UFN&amp;reservation_id=31678178324685", "MH9QT1UFN")</f>
        <v>MH9QT1UFN</v>
      </c>
      <c r="B7369" t="s">
        <v>10</v>
      </c>
      <c r="C7369" t="s">
        <v>42</v>
      </c>
      <c r="D7369" t="str">
        <f>HYPERLINK("https://us2.cloudbeds.com/connect/10074733072513#/reservations/31678178324685?display=Diane%20Varikek&amp;reservation_id=31678178324685&amp;guest_id=31678178320604", "Diane Varikek")</f>
        <v>Diane Varikek</v>
      </c>
      <c r="E7369" t="s">
        <v>5193</v>
      </c>
      <c r="F7369" t="s">
        <v>3061</v>
      </c>
      <c r="G7369">
        <v>258</v>
      </c>
      <c r="H7369">
        <v>280.45999999999998</v>
      </c>
      <c r="I7369">
        <v>280.45</v>
      </c>
      <c r="J7369">
        <v>0.01</v>
      </c>
    </row>
    <row r="7370" spans="1:10" x14ac:dyDescent="0.3">
      <c r="A7370" t="str">
        <f>HYPERLINK("https://us2.cloudbeds.com/connect/10074733072513#/reservations/31674122506386?display=MH6M82QDT&amp;reservation_id=31674122506386", "MH6M82QDT")</f>
        <v>MH6M82QDT</v>
      </c>
      <c r="B7370" t="s">
        <v>10</v>
      </c>
      <c r="C7370" t="s">
        <v>42</v>
      </c>
      <c r="D7370" t="str">
        <f>HYPERLINK("https://us2.cloudbeds.com/connect/10074733072513#/reservations/31674122506386?display=Corney%20Hofer&amp;reservation_id=31674122506386&amp;guest_id=31674122506381", "Corney Hofer")</f>
        <v>Corney Hofer</v>
      </c>
      <c r="E7370" t="s">
        <v>5196</v>
      </c>
      <c r="F7370" t="s">
        <v>4925</v>
      </c>
      <c r="G7370">
        <v>119</v>
      </c>
      <c r="H7370">
        <v>129.36000000000001</v>
      </c>
      <c r="I7370">
        <v>129.35</v>
      </c>
      <c r="J7370">
        <v>0.01</v>
      </c>
    </row>
    <row r="7371" spans="1:10" x14ac:dyDescent="0.3">
      <c r="A7371" t="str">
        <f>HYPERLINK("https://us2.cloudbeds.com/connect/10074733072513#/reservations/31674129875175?display=MH6ME9RWH&amp;reservation_id=31674129875175", "MH6ME9RWH")</f>
        <v>MH6ME9RWH</v>
      </c>
      <c r="B7371" t="s">
        <v>10</v>
      </c>
      <c r="C7371" t="s">
        <v>121</v>
      </c>
      <c r="D7371" t="str">
        <f>HYPERLINK("https://us2.cloudbeds.com/connect/10074733072513#/reservations/31674129875175?display=Beverly%20Wittmeier&amp;reservation_id=31674129875175&amp;guest_id=31674129875172", "Beverly Wittmeier")</f>
        <v>Beverly Wittmeier</v>
      </c>
      <c r="E7371" t="s">
        <v>5197</v>
      </c>
      <c r="F7371" t="s">
        <v>4925</v>
      </c>
      <c r="G7371">
        <v>119</v>
      </c>
      <c r="H7371">
        <v>129.36000000000001</v>
      </c>
      <c r="I7371">
        <v>129.35</v>
      </c>
      <c r="J7371">
        <v>0.01</v>
      </c>
    </row>
    <row r="7372" spans="1:10" x14ac:dyDescent="0.3">
      <c r="A7372" t="str">
        <f>HYPERLINK("https://us2.cloudbeds.com/connect/10074733072513#/reservations/31674190626994?display=MH6NWHBPZ&amp;reservation_id=31674190626994", "MH6NWHBPZ")</f>
        <v>MH6NWHBPZ</v>
      </c>
      <c r="B7372" t="s">
        <v>10</v>
      </c>
      <c r="C7372" t="s">
        <v>23</v>
      </c>
      <c r="D7372" t="str">
        <f>HYPERLINK("https://us2.cloudbeds.com/connect/10074733072513#/reservations/31674190626994?display=Charles%20W%20Hansen&amp;reservation_id=31674190626994&amp;guest_id=31674183422171", "Charles W Hansen")</f>
        <v>Charles W Hansen</v>
      </c>
      <c r="E7372" t="s">
        <v>5198</v>
      </c>
      <c r="F7372" t="s">
        <v>5192</v>
      </c>
      <c r="G7372">
        <v>129</v>
      </c>
      <c r="H7372">
        <v>140.22999999999999</v>
      </c>
      <c r="I7372">
        <v>140.22</v>
      </c>
      <c r="J7372">
        <v>0.01</v>
      </c>
    </row>
    <row r="7373" spans="1:10" x14ac:dyDescent="0.3">
      <c r="A7373" t="str">
        <f>HYPERLINK("https://us2.cloudbeds.com/connect/10074733072513#/reservations/31677225009349?display=MH92H6H46&amp;reservation_id=31677225009349", "MH92H6H46")</f>
        <v>MH92H6H46</v>
      </c>
      <c r="B7373" t="s">
        <v>10</v>
      </c>
      <c r="C7373" t="s">
        <v>42</v>
      </c>
      <c r="D7373" t="str">
        <f>HYPERLINK("https://us2.cloudbeds.com/connect/10074733072513#/reservations/31677225009349?display=Barb%20Guthmiller&amp;reservation_id=31677225009349&amp;guest_id=30670703190145", "Barb Guthmiller")</f>
        <v>Barb Guthmiller</v>
      </c>
      <c r="E7373" t="s">
        <v>1876</v>
      </c>
      <c r="F7373" t="s">
        <v>5200</v>
      </c>
      <c r="G7373">
        <v>270</v>
      </c>
      <c r="H7373">
        <v>293.5</v>
      </c>
      <c r="I7373">
        <v>293.49</v>
      </c>
      <c r="J7373">
        <v>0.01</v>
      </c>
    </row>
    <row r="7374" spans="1:10" x14ac:dyDescent="0.3">
      <c r="A7374" t="str">
        <f>HYPERLINK("https://us2.cloudbeds.com/connect/10074733072513#/reservations/31674220826868?display=MH6ZZWNHE&amp;reservation_id=31674220826868", "MH6ZZWNHE")</f>
        <v>MH6ZZWNHE</v>
      </c>
      <c r="B7374" t="s">
        <v>10</v>
      </c>
      <c r="C7374" t="s">
        <v>42</v>
      </c>
      <c r="D7374" t="str">
        <f>HYPERLINK("https://us2.cloudbeds.com/connect/10074733072513#/reservations/31674220826868?display=Brandon%20Hinrichs&amp;reservation_id=31674220826868&amp;guest_id=30666617962723", "Brandon Hinrichs")</f>
        <v>Brandon Hinrichs</v>
      </c>
      <c r="E7374" t="s">
        <v>4886</v>
      </c>
      <c r="F7374" t="s">
        <v>5186</v>
      </c>
      <c r="G7374">
        <v>73</v>
      </c>
      <c r="H7374">
        <v>79.36</v>
      </c>
      <c r="I7374">
        <v>79.349999999999994</v>
      </c>
      <c r="J7374">
        <v>0.01</v>
      </c>
    </row>
    <row r="7375" spans="1:10" x14ac:dyDescent="0.3">
      <c r="A7375" t="str">
        <f>HYPERLINK("https://us2.cloudbeds.com/connect/10074733072513#/reservations/31674213867724?display=MH6ZJ4249&amp;reservation_id=31674213867724", "MH6ZJ4249")</f>
        <v>MH6ZJ4249</v>
      </c>
      <c r="B7375" t="s">
        <v>10</v>
      </c>
      <c r="C7375" t="s">
        <v>20</v>
      </c>
      <c r="D7375" t="str">
        <f>HYPERLINK("https://us2.cloudbeds.com/connect/10074733072513#/reservations/31674213867724?display=Greg%20Kastner&amp;reservation_id=31674213867724&amp;guest_id=31674213863636", "Greg Kastner")</f>
        <v>Greg Kastner</v>
      </c>
      <c r="E7375" t="s">
        <v>5201</v>
      </c>
      <c r="F7375" t="s">
        <v>5186</v>
      </c>
      <c r="G7375">
        <v>101.75</v>
      </c>
      <c r="H7375">
        <v>110.61</v>
      </c>
      <c r="I7375">
        <v>110.6</v>
      </c>
      <c r="J7375">
        <v>0.01</v>
      </c>
    </row>
    <row r="7376" spans="1:10" x14ac:dyDescent="0.3">
      <c r="A7376" t="str">
        <f>HYPERLINK("https://us2.cloudbeds.com/connect/10074733072513#/reservations/31673062215901?display=MH5S50YK6&amp;reservation_id=31673062215901", "MH5S50YK6")</f>
        <v>MH5S50YK6</v>
      </c>
      <c r="B7376" t="s">
        <v>10</v>
      </c>
      <c r="C7376" t="s">
        <v>42</v>
      </c>
      <c r="D7376" t="str">
        <f>HYPERLINK("https://us2.cloudbeds.com/connect/10074733072513#/reservations/31673062215901?display=Brian%20Jarvis&amp;reservation_id=31673062215901&amp;guest_id=31673044766864", "Brian Jarvis")</f>
        <v>Brian Jarvis</v>
      </c>
      <c r="E7376" t="s">
        <v>3802</v>
      </c>
      <c r="F7376" t="s">
        <v>5202</v>
      </c>
      <c r="G7376">
        <v>336</v>
      </c>
      <c r="H7376">
        <v>365.24</v>
      </c>
      <c r="I7376">
        <v>365.23</v>
      </c>
      <c r="J7376">
        <v>0.01</v>
      </c>
    </row>
    <row r="7377" spans="1:10" x14ac:dyDescent="0.3">
      <c r="A7377" t="str">
        <f>HYPERLINK("https://us2.cloudbeds.com/connect/10074733072513#/reservations/31675090509976?display=MH7DWAUK0&amp;reservation_id=31675090509976", "MH7DWAUK0")</f>
        <v>MH7DWAUK0</v>
      </c>
      <c r="B7377" t="s">
        <v>10</v>
      </c>
      <c r="C7377" t="s">
        <v>17</v>
      </c>
      <c r="D7377" t="str">
        <f>HYPERLINK("https://us2.cloudbeds.com/connect/10074733072513#/reservations/31675090509976?display=Thomas%20Keating&amp;reservation_id=31675090509976&amp;guest_id=31675090509958", "Thomas Keating")</f>
        <v>Thomas Keating</v>
      </c>
      <c r="E7377" t="s">
        <v>5203</v>
      </c>
      <c r="F7377" t="s">
        <v>5204</v>
      </c>
      <c r="G7377">
        <v>139</v>
      </c>
      <c r="H7377">
        <v>151.1</v>
      </c>
      <c r="I7377">
        <v>151.09</v>
      </c>
      <c r="J7377">
        <v>0.01</v>
      </c>
    </row>
    <row r="7378" spans="1:10" x14ac:dyDescent="0.3">
      <c r="A7378" t="str">
        <f>HYPERLINK("https://us2.cloudbeds.com/connect/10074733072513#/reservations/31672983654632?display=MH5Q4PXSM&amp;reservation_id=31672983654632", "MH5Q4PXSM")</f>
        <v>MH5Q4PXSM</v>
      </c>
      <c r="B7378" t="s">
        <v>10</v>
      </c>
      <c r="C7378" t="s">
        <v>42</v>
      </c>
      <c r="D7378" t="str">
        <f>HYPERLINK("https://us2.cloudbeds.com/connect/10074733072513#/reservations/31672983654632?display=Rorie%20Beyer&amp;reservation_id=31672983654632&amp;guest_id=31672973512907", "Rorie Beyer")</f>
        <v>Rorie Beyer</v>
      </c>
      <c r="E7378" t="s">
        <v>5206</v>
      </c>
      <c r="F7378" t="s">
        <v>5186</v>
      </c>
      <c r="G7378">
        <v>79</v>
      </c>
      <c r="H7378">
        <v>85.88</v>
      </c>
      <c r="I7378">
        <v>85.87</v>
      </c>
      <c r="J7378">
        <v>0.01</v>
      </c>
    </row>
    <row r="7379" spans="1:10" x14ac:dyDescent="0.3">
      <c r="A7379" t="str">
        <f>HYPERLINK("https://us2.cloudbeds.com/connect/10074733072513#/reservations/31679459909849?display=MHAQKNUBP&amp;reservation_id=31679459909849", "MHAQKNUBP")</f>
        <v>MHAQKNUBP</v>
      </c>
      <c r="B7379" t="s">
        <v>10</v>
      </c>
      <c r="C7379" t="s">
        <v>42</v>
      </c>
      <c r="D7379" t="str">
        <f>HYPERLINK("https://us2.cloudbeds.com/connect/10074733072513#/reservations/31679459909849?display=Kris%20Theisen&amp;reservation_id=31679459909849&amp;guest_id=31679459909847", "Kris Theisen")</f>
        <v>Kris Theisen</v>
      </c>
      <c r="E7379" t="s">
        <v>5207</v>
      </c>
      <c r="F7379" t="s">
        <v>3061</v>
      </c>
      <c r="G7379">
        <v>129</v>
      </c>
      <c r="H7379">
        <v>140.22999999999999</v>
      </c>
      <c r="I7379">
        <v>140.22</v>
      </c>
      <c r="J7379">
        <v>0.01</v>
      </c>
    </row>
    <row r="7380" spans="1:10" x14ac:dyDescent="0.3">
      <c r="A7380" t="str">
        <f>HYPERLINK("https://us2.cloudbeds.com/connect/10074733072513#/reservations/31681303949490?display=MHC7ZM1BT&amp;reservation_id=31681303949490", "MHC7ZM1BT")</f>
        <v>MHC7ZM1BT</v>
      </c>
      <c r="B7380" t="s">
        <v>10</v>
      </c>
      <c r="C7380" t="s">
        <v>20</v>
      </c>
      <c r="D7380" t="str">
        <f>HYPERLINK("https://us2.cloudbeds.com/connect/10074733072513#/reservations/31681303949490?display=Marvin%20Welch&amp;reservation_id=31681303949490&amp;guest_id=31681303949476", "Marvin Welch")</f>
        <v>Marvin Welch</v>
      </c>
      <c r="E7380" t="s">
        <v>5208</v>
      </c>
      <c r="F7380" t="s">
        <v>4979</v>
      </c>
      <c r="G7380">
        <v>378</v>
      </c>
      <c r="H7380">
        <v>410.9</v>
      </c>
      <c r="I7380">
        <v>410.89</v>
      </c>
      <c r="J7380">
        <v>0.01</v>
      </c>
    </row>
    <row r="7381" spans="1:10" x14ac:dyDescent="0.3">
      <c r="A7381" t="str">
        <f>HYPERLINK("https://us2.cloudbeds.com/connect/10074733072513#/reservations/31673015255285?display=MH5QVDTU7&amp;reservation_id=31673015255285", "MH5QVDTU7")</f>
        <v>MH5QVDTU7</v>
      </c>
      <c r="B7381" t="s">
        <v>10</v>
      </c>
      <c r="C7381" t="s">
        <v>42</v>
      </c>
      <c r="D7381" t="str">
        <f>HYPERLINK("https://us2.cloudbeds.com/connect/10074733072513#/reservations/31673015255285?display=Cindy%20Chaplin&amp;reservation_id=31673015255285&amp;guest_id=31673015255236", "Cindy Chaplin")</f>
        <v>Cindy Chaplin</v>
      </c>
      <c r="E7381" t="s">
        <v>4510</v>
      </c>
      <c r="F7381" t="s">
        <v>5135</v>
      </c>
      <c r="G7381">
        <v>119</v>
      </c>
      <c r="H7381">
        <v>129.36000000000001</v>
      </c>
      <c r="I7381">
        <v>129.35</v>
      </c>
      <c r="J7381">
        <v>0.01</v>
      </c>
    </row>
    <row r="7382" spans="1:10" x14ac:dyDescent="0.3">
      <c r="A7382" t="str">
        <f>HYPERLINK("https://us2.cloudbeds.com/connect/10074733072513#/reservations/31672925716632?display=MH5ZYUBUN&amp;reservation_id=31672925716632", "MH5ZYUBUN")</f>
        <v>MH5ZYUBUN</v>
      </c>
      <c r="B7382" t="s">
        <v>10</v>
      </c>
      <c r="C7382" t="s">
        <v>20</v>
      </c>
      <c r="D7382" t="str">
        <f>HYPERLINK("https://us2.cloudbeds.com/connect/10074733072513#/reservations/31672925716632?display=Peter%20Pezza&amp;reservation_id=31672925716632&amp;guest_id=31672925716613", "Peter Pezza")</f>
        <v>Peter Pezza</v>
      </c>
      <c r="E7382" t="s">
        <v>5209</v>
      </c>
      <c r="F7382" t="s">
        <v>5135</v>
      </c>
      <c r="G7382">
        <v>101.75</v>
      </c>
      <c r="H7382">
        <v>110.61</v>
      </c>
      <c r="I7382">
        <v>110.6</v>
      </c>
      <c r="J7382">
        <v>0.01</v>
      </c>
    </row>
    <row r="7383" spans="1:10" x14ac:dyDescent="0.3">
      <c r="A7383" t="str">
        <f>HYPERLINK("https://us2.cloudbeds.com/connect/10074733072513#/reservations/31672990150834?display=MH5QA8B59&amp;reservation_id=31672990150834", "MH5QA8B59")</f>
        <v>MH5QA8B59</v>
      </c>
      <c r="B7383" t="s">
        <v>10</v>
      </c>
      <c r="C7383" t="s">
        <v>42</v>
      </c>
      <c r="D7383" t="str">
        <f>HYPERLINK("https://us2.cloudbeds.com/connect/10074733072513#/reservations/31672990150834?display=Garth%20Eddie%20Reassau%20Waletich&amp;reservation_id=31672990150834&amp;guest_id=31672990150785", "Garth Eddie Reassau Waletich")</f>
        <v>Garth Eddie Reassau Waletich</v>
      </c>
      <c r="E7383" t="s">
        <v>5210</v>
      </c>
      <c r="F7383" t="s">
        <v>5186</v>
      </c>
      <c r="G7383">
        <v>119</v>
      </c>
      <c r="H7383">
        <v>129.36000000000001</v>
      </c>
      <c r="I7383">
        <v>129.35</v>
      </c>
      <c r="J7383">
        <v>0.01</v>
      </c>
    </row>
    <row r="7384" spans="1:10" x14ac:dyDescent="0.3">
      <c r="A7384" t="str">
        <f>HYPERLINK("https://us2.cloudbeds.com/connect/10074733072513#/reservations/31677156286647?display=MH90P86T2&amp;reservation_id=31677156286647", "MH90P86T2")</f>
        <v>MH90P86T2</v>
      </c>
      <c r="B7384" t="s">
        <v>10</v>
      </c>
      <c r="C7384" t="s">
        <v>14</v>
      </c>
      <c r="D7384" t="str">
        <f>HYPERLINK("https://us2.cloudbeds.com/connect/10074733072513#/reservations/31677156286647?display=Nicole%20Howard&amp;reservation_id=31677156286647&amp;guest_id=31677149454557", "Nicole Howard")</f>
        <v>Nicole Howard</v>
      </c>
      <c r="E7384" t="s">
        <v>2454</v>
      </c>
      <c r="F7384" t="s">
        <v>4141</v>
      </c>
      <c r="G7384">
        <v>139</v>
      </c>
      <c r="H7384">
        <v>151.1</v>
      </c>
      <c r="I7384">
        <v>151.09</v>
      </c>
      <c r="J7384">
        <v>0.01</v>
      </c>
    </row>
    <row r="7385" spans="1:10" x14ac:dyDescent="0.3">
      <c r="A7385" t="str">
        <f>HYPERLINK("https://us2.cloudbeds.com/connect/10074733072513#/reservations/31675152801958?display=MH7FXS9MR&amp;reservation_id=31675152801958", "MH7FXS9MR")</f>
        <v>MH7FXS9MR</v>
      </c>
      <c r="B7385" t="s">
        <v>10</v>
      </c>
      <c r="C7385" t="s">
        <v>23</v>
      </c>
      <c r="D7385" t="str">
        <f>HYPERLINK("https://us2.cloudbeds.com/connect/10074733072513#/reservations/31675152801958?display=Angela%20Ziegler&amp;reservation_id=31675152801958&amp;guest_id=31675152801953", "Angela Ziegler")</f>
        <v>Angela Ziegler</v>
      </c>
      <c r="E7385" t="s">
        <v>5211</v>
      </c>
      <c r="F7385" t="s">
        <v>4303</v>
      </c>
      <c r="G7385">
        <v>139</v>
      </c>
      <c r="H7385">
        <v>151.1</v>
      </c>
      <c r="I7385">
        <v>151.09</v>
      </c>
      <c r="J7385">
        <v>0.01</v>
      </c>
    </row>
    <row r="7386" spans="1:10" x14ac:dyDescent="0.3">
      <c r="A7386" t="str">
        <f>HYPERLINK("https://us2.cloudbeds.com/connect/10074733072513#/reservations/31672918290618?display=MH5ZFYNQW&amp;reservation_id=31672918290618", "MH5ZFYNQW")</f>
        <v>MH5ZFYNQW</v>
      </c>
      <c r="B7386" t="s">
        <v>10</v>
      </c>
      <c r="C7386" t="s">
        <v>23</v>
      </c>
      <c r="D7386" t="str">
        <f>HYPERLINK("https://us2.cloudbeds.com/connect/10074733072513#/reservations/31672918290618?display=Susan%20Kangethe&amp;reservation_id=31672918290618&amp;guest_id=31672918290614", "Susan Kangethe")</f>
        <v>Susan Kangethe</v>
      </c>
      <c r="E7386" t="s">
        <v>5212</v>
      </c>
      <c r="F7386" t="s">
        <v>5135</v>
      </c>
      <c r="G7386">
        <v>129</v>
      </c>
      <c r="H7386">
        <v>140.22999999999999</v>
      </c>
      <c r="I7386">
        <v>140.22</v>
      </c>
      <c r="J7386">
        <v>0.01</v>
      </c>
    </row>
    <row r="7387" spans="1:10" x14ac:dyDescent="0.3">
      <c r="A7387" t="str">
        <f>HYPERLINK("https://us2.cloudbeds.com/connect/10074733072513#/reservations/31675361558711?display=MH7KTT8H1&amp;reservation_id=31675361558711", "MH7KTT8H1")</f>
        <v>MH7KTT8H1</v>
      </c>
      <c r="B7387" t="s">
        <v>10</v>
      </c>
      <c r="C7387" t="s">
        <v>42</v>
      </c>
      <c r="D7387" t="str">
        <f>HYPERLINK("https://us2.cloudbeds.com/connect/10074733072513#/reservations/31675361558711?display=Julie%20Snavely&amp;reservation_id=31675361558711&amp;guest_id=30682828746910", "Julie Snavely")</f>
        <v>Julie Snavely</v>
      </c>
      <c r="E7387" t="s">
        <v>3933</v>
      </c>
      <c r="F7387" t="s">
        <v>5109</v>
      </c>
      <c r="G7387">
        <v>129</v>
      </c>
      <c r="H7387">
        <v>140.22999999999999</v>
      </c>
      <c r="I7387">
        <v>140.22</v>
      </c>
      <c r="J7387">
        <v>0.01</v>
      </c>
    </row>
    <row r="7388" spans="1:10" x14ac:dyDescent="0.3">
      <c r="A7388" t="str">
        <f>HYPERLINK("https://us2.cloudbeds.com/connect/10074733072513#/reservations/31675109269706?display=MH7EF4V5M&amp;reservation_id=31675109269706", "MH7EF4V5M")</f>
        <v>MH7EF4V5M</v>
      </c>
      <c r="B7388" t="s">
        <v>10</v>
      </c>
      <c r="C7388" t="s">
        <v>20</v>
      </c>
      <c r="D7388" t="str">
        <f>HYPERLINK("https://us2.cloudbeds.com/connect/10074733072513#/reservations/31675109269706?display=Quick%20Laura&amp;reservation_id=31675109269706&amp;guest_id=31675109265622", "Quick Laura")</f>
        <v>Quick Laura</v>
      </c>
      <c r="E7388" t="s">
        <v>5213</v>
      </c>
      <c r="F7388" t="s">
        <v>5135</v>
      </c>
      <c r="G7388">
        <v>101.75</v>
      </c>
      <c r="H7388">
        <v>110.61</v>
      </c>
      <c r="I7388">
        <v>110.6</v>
      </c>
      <c r="J7388">
        <v>0.01</v>
      </c>
    </row>
    <row r="7389" spans="1:10" x14ac:dyDescent="0.3">
      <c r="A7389" t="str">
        <f>HYPERLINK("https://us2.cloudbeds.com/connect/10074733072513#/reservations/31674148778144?display=MH6MU7S2P&amp;reservation_id=31674148778144", "MH6MU7S2P")</f>
        <v>MH6MU7S2P</v>
      </c>
      <c r="B7389" t="s">
        <v>10</v>
      </c>
      <c r="C7389" t="s">
        <v>42</v>
      </c>
      <c r="D7389" t="str">
        <f>HYPERLINK("https://us2.cloudbeds.com/connect/10074733072513#/reservations/31674148778144?display=Clarence%20Devney&amp;reservation_id=31674148778144&amp;guest_id=30664975925411", "Clarence Devney")</f>
        <v>Clarence Devney</v>
      </c>
      <c r="E7389" t="s">
        <v>4485</v>
      </c>
      <c r="F7389" t="s">
        <v>5215</v>
      </c>
      <c r="G7389">
        <v>89</v>
      </c>
      <c r="H7389">
        <v>96.75</v>
      </c>
      <c r="I7389">
        <v>96.74</v>
      </c>
      <c r="J7389">
        <v>0.01</v>
      </c>
    </row>
    <row r="7390" spans="1:10" x14ac:dyDescent="0.3">
      <c r="A7390" t="str">
        <f>HYPERLINK("https://us2.cloudbeds.com/connect/10074733072513#/reservations/31682753970379?display=MHDBQC0AR&amp;reservation_id=31682753970379", "MHDBQC0AR")</f>
        <v>MHDBQC0AR</v>
      </c>
      <c r="B7390" t="s">
        <v>10</v>
      </c>
      <c r="C7390" t="s">
        <v>42</v>
      </c>
      <c r="D7390" t="str">
        <f>HYPERLINK("https://us2.cloudbeds.com/connect/10074733072513#/reservations/31682753970379?display=Cindy%20Obrien&amp;reservation_id=31682753970379&amp;guest_id=31682753970375", "Cindy Obrien")</f>
        <v>Cindy Obrien</v>
      </c>
      <c r="E7390" t="s">
        <v>5216</v>
      </c>
      <c r="F7390" t="s">
        <v>4645</v>
      </c>
      <c r="G7390">
        <v>278</v>
      </c>
      <c r="H7390">
        <v>302.2</v>
      </c>
      <c r="I7390">
        <v>302.19</v>
      </c>
      <c r="J7390">
        <v>0.01</v>
      </c>
    </row>
    <row r="7391" spans="1:10" x14ac:dyDescent="0.3">
      <c r="A7391" t="str">
        <f>HYPERLINK("https://us2.cloudbeds.com/connect/10074733072513#/reservations/31675103703285?display=MH7EAF1M8&amp;reservation_id=31675103703285", "MH7EAF1M8")</f>
        <v>MH7EAF1M8</v>
      </c>
      <c r="B7391" t="s">
        <v>10</v>
      </c>
      <c r="C7391" t="s">
        <v>42</v>
      </c>
      <c r="D7391" t="str">
        <f>HYPERLINK("https://us2.cloudbeds.com/connect/10074733072513#/reservations/31675103703285?display=Tanner%20Gubbels%20Ethan&amp;reservation_id=31675103703285&amp;guest_id=31675103703233", "Tanner Gubbels Ethan")</f>
        <v>Tanner Gubbels Ethan</v>
      </c>
      <c r="E7391" t="s">
        <v>5217</v>
      </c>
      <c r="F7391" t="s">
        <v>5135</v>
      </c>
      <c r="G7391">
        <v>119</v>
      </c>
      <c r="H7391">
        <v>129.36000000000001</v>
      </c>
      <c r="I7391">
        <v>129.35</v>
      </c>
      <c r="J7391">
        <v>0.01</v>
      </c>
    </row>
    <row r="7392" spans="1:10" x14ac:dyDescent="0.3">
      <c r="A7392" t="str">
        <f>HYPERLINK("https://us2.cloudbeds.com/connect/10074733072513#/reservations/31679471599863?display=MHAQUJ6WK&amp;reservation_id=31679471599863", "MHAQUJ6WK")</f>
        <v>MHAQUJ6WK</v>
      </c>
      <c r="B7392" t="s">
        <v>10</v>
      </c>
      <c r="C7392" t="s">
        <v>42</v>
      </c>
      <c r="D7392" t="str">
        <f>HYPERLINK("https://us2.cloudbeds.com/connect/10074733072513#/reservations/31679471599863?display=Sara%20Whelam&amp;reservation_id=31679471599863&amp;guest_id=31679471599842", "Sara Whelam")</f>
        <v>Sara Whelam</v>
      </c>
      <c r="E7392" t="s">
        <v>5218</v>
      </c>
      <c r="F7392" t="s">
        <v>3061</v>
      </c>
      <c r="G7392">
        <v>268</v>
      </c>
      <c r="H7392">
        <v>291.33</v>
      </c>
      <c r="I7392">
        <v>291.32</v>
      </c>
      <c r="J7392">
        <v>0.01</v>
      </c>
    </row>
    <row r="7393" spans="1:10" x14ac:dyDescent="0.3">
      <c r="A7393" t="str">
        <f>HYPERLINK("https://us2.cloudbeds.com/connect/10074733072513#/reservations/31675098001565?display=MH7E5YCUS&amp;reservation_id=31675098001565", "MH7E5YCUS")</f>
        <v>MH7E5YCUS</v>
      </c>
      <c r="B7393" t="s">
        <v>10</v>
      </c>
      <c r="C7393" t="s">
        <v>42</v>
      </c>
      <c r="D7393" t="str">
        <f>HYPERLINK("https://us2.cloudbeds.com/connect/10074733072513#/reservations/31675098001565?display=Tanner%20Gubbels&amp;reservation_id=31675098001565&amp;guest_id=31675082178768", "Tanner Gubbels")</f>
        <v>Tanner Gubbels</v>
      </c>
      <c r="E7393" t="s">
        <v>5219</v>
      </c>
      <c r="F7393" t="s">
        <v>5135</v>
      </c>
      <c r="G7393">
        <v>119</v>
      </c>
      <c r="H7393">
        <v>129.36000000000001</v>
      </c>
      <c r="I7393">
        <v>129.35</v>
      </c>
      <c r="J7393">
        <v>0.01</v>
      </c>
    </row>
    <row r="7394" spans="1:10" x14ac:dyDescent="0.3">
      <c r="A7394" t="str">
        <f>HYPERLINK("https://us2.cloudbeds.com/connect/10074733072513#/reservations/31675117674742?display=MH7EM7R9Z&amp;reservation_id=31675117674742", "MH7EM7R9Z")</f>
        <v>MH7EM7R9Z</v>
      </c>
      <c r="B7394" t="s">
        <v>10</v>
      </c>
      <c r="C7394" t="s">
        <v>42</v>
      </c>
      <c r="D7394" t="str">
        <f>HYPERLINK("https://us2.cloudbeds.com/connect/10074733072513#/reservations/31675117674742?display=Underground%20Solutions&amp;reservation_id=31675117674742&amp;guest_id=31673064194239", "Underground Solutions")</f>
        <v>Underground Solutions</v>
      </c>
      <c r="E7394" t="s">
        <v>5222</v>
      </c>
      <c r="F7394" t="s">
        <v>5204</v>
      </c>
      <c r="G7394">
        <v>158</v>
      </c>
      <c r="H7394">
        <v>171.76</v>
      </c>
      <c r="I7394">
        <v>171.75</v>
      </c>
      <c r="J7394">
        <v>0.01</v>
      </c>
    </row>
    <row r="7395" spans="1:10" x14ac:dyDescent="0.3">
      <c r="A7395" t="str">
        <f>HYPERLINK("https://us2.cloudbeds.com/connect/10074733072513#/reservations/31676910076062?display=MH8RFY168&amp;reservation_id=31676910076062", "MH8RFY168")</f>
        <v>MH8RFY168</v>
      </c>
      <c r="B7395" t="s">
        <v>10</v>
      </c>
      <c r="C7395" t="s">
        <v>42</v>
      </c>
      <c r="D7395" t="str">
        <f>HYPERLINK("https://us2.cloudbeds.com/connect/10074733072513#/reservations/31676910076062?display=Andrew%20Quintana&amp;reservation_id=31676910076062&amp;guest_id=31676910076057", "Andrew Quintana")</f>
        <v>Andrew Quintana</v>
      </c>
      <c r="E7395" t="s">
        <v>5223</v>
      </c>
      <c r="F7395" t="s">
        <v>3334</v>
      </c>
      <c r="G7395">
        <v>129</v>
      </c>
      <c r="H7395">
        <v>140.22999999999999</v>
      </c>
      <c r="I7395">
        <v>140.22</v>
      </c>
      <c r="J7395">
        <v>0.01</v>
      </c>
    </row>
    <row r="7396" spans="1:10" x14ac:dyDescent="0.3">
      <c r="A7396" t="str">
        <f>HYPERLINK("https://us2.cloudbeds.com/connect/10074733072513#/reservations/31677543678149?display=MH9AYTV9G&amp;reservation_id=31677543678149", "MH9AYTV9G")</f>
        <v>MH9AYTV9G</v>
      </c>
      <c r="B7396" t="s">
        <v>10</v>
      </c>
      <c r="C7396" t="s">
        <v>42</v>
      </c>
      <c r="D7396" t="str">
        <f>HYPERLINK("https://us2.cloudbeds.com/connect/10074733072513#/reservations/31677543678149?display=Gary%20Lacompte&amp;reservation_id=31677543678149&amp;guest_id=31677537759470", "Gary Lacompte")</f>
        <v>Gary Lacompte</v>
      </c>
      <c r="E7396" t="s">
        <v>5224</v>
      </c>
      <c r="F7396" t="s">
        <v>4141</v>
      </c>
      <c r="G7396">
        <v>119</v>
      </c>
      <c r="H7396">
        <v>129.36000000000001</v>
      </c>
      <c r="I7396">
        <v>129.35</v>
      </c>
      <c r="J7396">
        <v>0.01</v>
      </c>
    </row>
    <row r="7397" spans="1:10" x14ac:dyDescent="0.3">
      <c r="A7397" t="str">
        <f>HYPERLINK("https://us2.cloudbeds.com/connect/10074733072513#/reservations/31677549367454?display=MH9AQN8KM&amp;reservation_id=31677549367454", "MH9AQN8KM")</f>
        <v>MH9AQN8KM</v>
      </c>
      <c r="B7397" t="s">
        <v>10</v>
      </c>
      <c r="C7397" t="s">
        <v>42</v>
      </c>
      <c r="D7397" t="str">
        <f>HYPERLINK("https://us2.cloudbeds.com/connect/10074733072513#/reservations/31677549367454?display=Trace%20Meyer&amp;reservation_id=31677549367454&amp;guest_id=31677543682242", "Trace Meyer")</f>
        <v>Trace Meyer</v>
      </c>
      <c r="E7397" t="s">
        <v>5225</v>
      </c>
      <c r="F7397" t="s">
        <v>4141</v>
      </c>
      <c r="G7397">
        <v>278</v>
      </c>
      <c r="H7397">
        <v>302.2</v>
      </c>
      <c r="I7397">
        <v>302.19</v>
      </c>
      <c r="J7397">
        <v>0.01</v>
      </c>
    </row>
    <row r="7398" spans="1:10" x14ac:dyDescent="0.3">
      <c r="A7398" t="str">
        <f>HYPERLINK("https://us2.cloudbeds.com/connect/10074733072513#/reservations/31676944797856?display=MH8SBU79R&amp;reservation_id=31676944797856", "MH8SBU79R")</f>
        <v>MH8SBU79R</v>
      </c>
      <c r="B7398" t="s">
        <v>10</v>
      </c>
      <c r="C7398" t="s">
        <v>20</v>
      </c>
      <c r="D7398" t="str">
        <f>HYPERLINK("https://us2.cloudbeds.com/connect/10074733072513#/reservations/31676944797856?display=Michael%20Carmichael&amp;reservation_id=31676944797856&amp;guest_id=31676944797844", "Michael Carmichael")</f>
        <v>Michael Carmichael</v>
      </c>
      <c r="E7398" t="s">
        <v>5226</v>
      </c>
      <c r="F7398" t="s">
        <v>3650</v>
      </c>
      <c r="G7398">
        <v>149</v>
      </c>
      <c r="H7398">
        <v>161.97</v>
      </c>
      <c r="I7398">
        <v>161.96</v>
      </c>
      <c r="J7398">
        <v>0.01</v>
      </c>
    </row>
    <row r="7399" spans="1:10" x14ac:dyDescent="0.3">
      <c r="A7399" t="str">
        <f>HYPERLINK("https://us2.cloudbeds.com/connect/10074733072513#/reservations/31691221348582?display=MHJU599J3&amp;reservation_id=31691221348582", "MHJU599J3")</f>
        <v>MHJU599J3</v>
      </c>
      <c r="B7399" t="s">
        <v>10</v>
      </c>
      <c r="C7399" t="s">
        <v>42</v>
      </c>
      <c r="D7399" t="str">
        <f>HYPERLINK("https://us2.cloudbeds.com/connect/10074733072513#/reservations/31691221348582?display=Emily%20Leins&amp;reservation_id=31691221348582&amp;guest_id=31691221348579", "Emily Leins")</f>
        <v>Emily Leins</v>
      </c>
      <c r="E7399" t="s">
        <v>5227</v>
      </c>
      <c r="F7399" t="s">
        <v>4181</v>
      </c>
      <c r="G7399">
        <v>129</v>
      </c>
      <c r="H7399">
        <v>140.22999999999999</v>
      </c>
      <c r="I7399">
        <v>140.22</v>
      </c>
      <c r="J7399">
        <v>0.01</v>
      </c>
    </row>
    <row r="7400" spans="1:10" x14ac:dyDescent="0.3">
      <c r="A7400" t="str">
        <f>HYPERLINK("https://us2.cloudbeds.com/connect/10074733072513#/reservations/31685735510173?display=MHFYWFZZX&amp;reservation_id=31685735510173", "MHFYWFZZX")</f>
        <v>MHFYWFZZX</v>
      </c>
      <c r="B7400" t="s">
        <v>10</v>
      </c>
      <c r="C7400" t="s">
        <v>42</v>
      </c>
      <c r="D7400" t="str">
        <f>HYPERLINK("https://us2.cloudbeds.com/connect/10074733072513#/reservations/31685735510173?display=Jackie%20Trudeau&amp;reservation_id=31685735510173&amp;guest_id=31685735510168", "Jackie Trudeau")</f>
        <v>Jackie Trudeau</v>
      </c>
      <c r="E7400" t="s">
        <v>5228</v>
      </c>
      <c r="F7400" t="s">
        <v>4181</v>
      </c>
      <c r="G7400">
        <v>129</v>
      </c>
      <c r="H7400">
        <v>140.22999999999999</v>
      </c>
      <c r="I7400">
        <v>140.22</v>
      </c>
      <c r="J7400">
        <v>0.01</v>
      </c>
    </row>
    <row r="7401" spans="1:10" x14ac:dyDescent="0.3">
      <c r="A7401" t="str">
        <f>HYPERLINK("https://us2.cloudbeds.com/connect/10074733072513#/reservations/31689549992069?display=MHXKEVAV1&amp;reservation_id=31689549992069", "MHXKEVAV1")</f>
        <v>MHXKEVAV1</v>
      </c>
      <c r="B7401" t="s">
        <v>10</v>
      </c>
      <c r="C7401" t="s">
        <v>42</v>
      </c>
      <c r="D7401" t="str">
        <f>HYPERLINK("https://us2.cloudbeds.com/connect/10074733072513#/reservations/31689549992069?display=Marge%20Ruml&amp;reservation_id=31689549992069&amp;guest_id=31689549987984", "Marge Ruml")</f>
        <v>Marge Ruml</v>
      </c>
      <c r="E7401" t="s">
        <v>5230</v>
      </c>
      <c r="F7401" t="s">
        <v>3785</v>
      </c>
      <c r="G7401">
        <v>278</v>
      </c>
      <c r="H7401">
        <v>302.2</v>
      </c>
      <c r="I7401">
        <v>302.19</v>
      </c>
      <c r="J7401">
        <v>0.01</v>
      </c>
    </row>
    <row r="7402" spans="1:10" x14ac:dyDescent="0.3">
      <c r="A7402" t="str">
        <f>HYPERLINK("https://us2.cloudbeds.com/connect/10074733072513#/reservations/31674002890889?display=MH6J67AYS&amp;reservation_id=31674002890889", "MH6J67AYS")</f>
        <v>MH6J67AYS</v>
      </c>
      <c r="B7402" t="s">
        <v>10</v>
      </c>
      <c r="C7402" t="s">
        <v>42</v>
      </c>
      <c r="D7402" t="str">
        <f>HYPERLINK("https://us2.cloudbeds.com/connect/10074733072513#/reservations/31674002890889?display=Nick%20Hansen&amp;reservation_id=31674002890889&amp;guest_id=31674002890886", "Nick Hansen")</f>
        <v>Nick Hansen</v>
      </c>
      <c r="E7402" t="s">
        <v>5231</v>
      </c>
      <c r="F7402" t="s">
        <v>4777</v>
      </c>
      <c r="G7402">
        <v>159</v>
      </c>
      <c r="H7402">
        <v>172.84</v>
      </c>
      <c r="I7402">
        <v>172.83</v>
      </c>
      <c r="J7402">
        <v>0.01</v>
      </c>
    </row>
    <row r="7403" spans="1:10" x14ac:dyDescent="0.3">
      <c r="A7403" t="str">
        <f>HYPERLINK("https://us2.cloudbeds.com/connect/10074733072513#/reservations/31677720744105?display=MH9F6729H&amp;reservation_id=31677720744105", "MH9F6729H")</f>
        <v>MH9F6729H</v>
      </c>
      <c r="B7403" t="s">
        <v>10</v>
      </c>
      <c r="C7403" t="s">
        <v>20</v>
      </c>
      <c r="D7403" t="str">
        <f>HYPERLINK("https://us2.cloudbeds.com/connect/10074733072513#/reservations/31677720744105?display=Mark%20Schlimgen&amp;reservation_id=31677720744105&amp;guest_id=31677712945352", "Mark Schlimgen")</f>
        <v>Mark Schlimgen</v>
      </c>
      <c r="E7403" t="s">
        <v>5232</v>
      </c>
      <c r="F7403" t="s">
        <v>2815</v>
      </c>
      <c r="G7403">
        <v>179</v>
      </c>
      <c r="H7403">
        <v>194.58</v>
      </c>
      <c r="I7403">
        <v>194.57</v>
      </c>
      <c r="J7403">
        <v>0.01</v>
      </c>
    </row>
    <row r="7404" spans="1:10" x14ac:dyDescent="0.3">
      <c r="A7404" t="str">
        <f>HYPERLINK("https://us2.cloudbeds.com/connect/10074733072513#/reservations/31676806390002?display=MH8ZR6R0E&amp;reservation_id=31676806390002", "MH8ZR6R0E")</f>
        <v>MH8ZR6R0E</v>
      </c>
      <c r="B7404" t="s">
        <v>10</v>
      </c>
      <c r="C7404" t="s">
        <v>42</v>
      </c>
      <c r="D7404" t="str">
        <f>HYPERLINK("https://us2.cloudbeds.com/connect/10074733072513#/reservations/31676806390002?display=Cory%20Bennett&amp;reservation_id=31676806390002&amp;guest_id=31676806390000", "Cory Bennett")</f>
        <v>Cory Bennett</v>
      </c>
      <c r="E7404" t="s">
        <v>5236</v>
      </c>
      <c r="F7404" t="s">
        <v>5082</v>
      </c>
      <c r="G7404">
        <v>119</v>
      </c>
      <c r="H7404">
        <v>129.36000000000001</v>
      </c>
      <c r="I7404">
        <v>129.35</v>
      </c>
      <c r="J7404">
        <v>0.01</v>
      </c>
    </row>
    <row r="7405" spans="1:10" x14ac:dyDescent="0.3">
      <c r="A7405" t="str">
        <f>HYPERLINK("https://us2.cloudbeds.com/connect/10074733072513#/reservations/31674177441956?display=MH6NYDFA4&amp;reservation_id=31674177441956", "MH6NYDFA4")</f>
        <v>MH6NYDFA4</v>
      </c>
      <c r="B7405" t="s">
        <v>10</v>
      </c>
      <c r="C7405" t="s">
        <v>14</v>
      </c>
      <c r="D7405" t="str">
        <f>HYPERLINK("https://us2.cloudbeds.com/connect/10074733072513#/reservations/31674177441956?display=Alan%20Probst&amp;reservation_id=31674177441956&amp;guest_id=30669745299677", "Alan Probst")</f>
        <v>Alan Probst</v>
      </c>
      <c r="E7405" t="s">
        <v>4261</v>
      </c>
      <c r="F7405" t="s">
        <v>5215</v>
      </c>
      <c r="G7405">
        <v>87.84</v>
      </c>
      <c r="H7405">
        <v>95.49</v>
      </c>
      <c r="I7405">
        <v>95.48</v>
      </c>
      <c r="J7405">
        <v>0.01</v>
      </c>
    </row>
    <row r="7406" spans="1:10" x14ac:dyDescent="0.3">
      <c r="A7406" t="str">
        <f>HYPERLINK("https://us2.cloudbeds.com/connect/10074733072513#/reservations/31674165371032?display=MH6NB7XTX&amp;reservation_id=31674165371032", "MH6NB7XTX")</f>
        <v>MH6NB7XTX</v>
      </c>
      <c r="B7406" t="s">
        <v>10</v>
      </c>
      <c r="C7406" t="s">
        <v>42</v>
      </c>
      <c r="D7406" t="str">
        <f>HYPERLINK("https://us2.cloudbeds.com/connect/10074733072513#/reservations/31674165371032?display=David%20Mccandless&amp;reservation_id=31674165371032&amp;guest_id=30658155925698", "David Mccandless")</f>
        <v>David Mccandless</v>
      </c>
      <c r="E7406" t="s">
        <v>5237</v>
      </c>
      <c r="F7406" t="s">
        <v>5215</v>
      </c>
      <c r="G7406">
        <v>89</v>
      </c>
      <c r="H7406">
        <v>96.75</v>
      </c>
      <c r="I7406">
        <v>96.74</v>
      </c>
      <c r="J7406">
        <v>0.01</v>
      </c>
    </row>
    <row r="7407" spans="1:10" x14ac:dyDescent="0.3">
      <c r="A7407" t="str">
        <f>HYPERLINK("https://us2.cloudbeds.com/connect/10074733072513#/reservations/31674148782237?display=MH6MU7VRQ&amp;reservation_id=31674148782237", "MH6MU7VRQ")</f>
        <v>MH6MU7VRQ</v>
      </c>
      <c r="B7407" t="s">
        <v>10</v>
      </c>
      <c r="C7407" t="s">
        <v>42</v>
      </c>
      <c r="D7407" t="str">
        <f>HYPERLINK("https://us2.cloudbeds.com/connect/10074733072513#/reservations/31674148782237?display=Steve%20Walling&amp;reservation_id=31674148782237&amp;guest_id=30651733360858", "Steve Walling")</f>
        <v>Steve Walling</v>
      </c>
      <c r="E7407" t="s">
        <v>5238</v>
      </c>
      <c r="F7407" t="s">
        <v>5215</v>
      </c>
      <c r="G7407">
        <v>89</v>
      </c>
      <c r="H7407">
        <v>96.75</v>
      </c>
      <c r="I7407">
        <v>96.74</v>
      </c>
      <c r="J7407">
        <v>0.01</v>
      </c>
    </row>
    <row r="7408" spans="1:10" x14ac:dyDescent="0.3">
      <c r="A7408" t="str">
        <f>HYPERLINK("https://us2.cloudbeds.com/connect/10074733072513#/reservations/31674044453021?display=MH6K88S2D&amp;reservation_id=31674044453021", "MH6K88S2D")</f>
        <v>MH6K88S2D</v>
      </c>
      <c r="B7408" t="s">
        <v>10</v>
      </c>
      <c r="C7408" t="s">
        <v>14</v>
      </c>
      <c r="D7408" t="str">
        <f>HYPERLINK("https://us2.cloudbeds.com/connect/10074733072513#/reservations/31674044453021?display=Jessica%20Bratrud&amp;reservation_id=31674044453021&amp;guest_id=31674044453019", "Jessica Bratrud")</f>
        <v>Jessica Bratrud</v>
      </c>
      <c r="E7408" t="s">
        <v>5240</v>
      </c>
      <c r="F7408" t="s">
        <v>5215</v>
      </c>
      <c r="G7408">
        <v>87.84</v>
      </c>
      <c r="H7408">
        <v>95.49</v>
      </c>
      <c r="I7408">
        <v>95.48</v>
      </c>
      <c r="J7408">
        <v>0.01</v>
      </c>
    </row>
    <row r="7409" spans="1:10" x14ac:dyDescent="0.3">
      <c r="A7409" t="str">
        <f>HYPERLINK("https://us2.cloudbeds.com/connect/10074733072513#/reservations/31674952773776?display=MH7AF672P&amp;reservation_id=31674952773776", "MH7AF672P")</f>
        <v>MH7AF672P</v>
      </c>
      <c r="B7409" t="s">
        <v>10</v>
      </c>
      <c r="C7409" t="s">
        <v>42</v>
      </c>
      <c r="D7409" t="str">
        <f>HYPERLINK("https://us2.cloudbeds.com/connect/10074733072513#/reservations/31674952773776?display=Crystal%20Harrison&amp;reservation_id=31674952773776&amp;guest_id=31674952773771", "Crystal Harrison")</f>
        <v>Crystal Harrison</v>
      </c>
      <c r="E7409" t="s">
        <v>5241</v>
      </c>
      <c r="F7409" t="s">
        <v>5242</v>
      </c>
      <c r="G7409">
        <v>420</v>
      </c>
      <c r="H7409">
        <v>456.55</v>
      </c>
      <c r="I7409">
        <v>456.54</v>
      </c>
      <c r="J7409">
        <v>0.01</v>
      </c>
    </row>
    <row r="7410" spans="1:10" x14ac:dyDescent="0.3">
      <c r="A7410" t="str">
        <f>HYPERLINK("https://us2.cloudbeds.com/connect/10074733072513#/reservations/31690402472144?display=MHJ97PRUJ&amp;reservation_id=31690402472144", "MHJ97PRUJ")</f>
        <v>MHJ97PRUJ</v>
      </c>
      <c r="B7410" t="s">
        <v>10</v>
      </c>
      <c r="C7410" t="s">
        <v>42</v>
      </c>
      <c r="D7410" t="str">
        <f>HYPERLINK("https://us2.cloudbeds.com/connect/10074733072513#/reservations/31690402472144?display=Mark%20Kanitz&amp;reservation_id=31690402472144&amp;guest_id=31690393870527", "Mark Kanitz")</f>
        <v>Mark Kanitz</v>
      </c>
      <c r="E7410" t="s">
        <v>5246</v>
      </c>
      <c r="F7410" t="s">
        <v>5247</v>
      </c>
      <c r="G7410">
        <v>238</v>
      </c>
      <c r="H7410">
        <v>258.72000000000003</v>
      </c>
      <c r="I7410">
        <v>258.70999999999998</v>
      </c>
      <c r="J7410">
        <v>0.01</v>
      </c>
    </row>
    <row r="7411" spans="1:10" x14ac:dyDescent="0.3">
      <c r="A7411" t="str">
        <f>HYPERLINK("https://us2.cloudbeds.com/connect/10074733072513#/reservations/31676798664854?display=MH8ZKMS71&amp;reservation_id=31676798664854", "MH8ZKMS71")</f>
        <v>MH8ZKMS71</v>
      </c>
      <c r="B7411" t="s">
        <v>10</v>
      </c>
      <c r="C7411" t="s">
        <v>42</v>
      </c>
      <c r="D7411" t="str">
        <f>HYPERLINK("https://us2.cloudbeds.com/connect/10074733072513#/reservations/31676798664854?display=Cynthia%20Bennett&amp;reservation_id=31676798664854&amp;guest_id=31676798660799", "Cynthia Bennett")</f>
        <v>Cynthia Bennett</v>
      </c>
      <c r="E7411" t="s">
        <v>5236</v>
      </c>
      <c r="F7411" t="s">
        <v>5082</v>
      </c>
      <c r="G7411">
        <v>119</v>
      </c>
      <c r="H7411">
        <v>129.36000000000001</v>
      </c>
      <c r="I7411">
        <v>129.35</v>
      </c>
      <c r="J7411">
        <v>0.01</v>
      </c>
    </row>
    <row r="7412" spans="1:10" x14ac:dyDescent="0.3">
      <c r="A7412" t="str">
        <f>HYPERLINK("https://us2.cloudbeds.com/connect/10074733072513#/reservations/31678694404242?display=MHA727JZ5&amp;reservation_id=31678694404242", "MHA727JZ5")</f>
        <v>MHA727JZ5</v>
      </c>
      <c r="B7412" t="s">
        <v>10</v>
      </c>
      <c r="C7412" t="s">
        <v>11</v>
      </c>
      <c r="D7412" t="str">
        <f>HYPERLINK("https://us2.cloudbeds.com/connect/10074733072513#/reservations/31678694404242?display=Danielle%20Kunkel&amp;reservation_id=31678694404242&amp;guest_id=31678694400161", "Danielle Kunkel")</f>
        <v>Danielle Kunkel</v>
      </c>
      <c r="E7412" t="s">
        <v>1319</v>
      </c>
      <c r="F7412" t="s">
        <v>5252</v>
      </c>
      <c r="G7412">
        <v>106.8</v>
      </c>
      <c r="H7412">
        <v>116.1</v>
      </c>
      <c r="I7412">
        <v>116.09</v>
      </c>
      <c r="J7412">
        <v>0.01</v>
      </c>
    </row>
    <row r="7413" spans="1:10" x14ac:dyDescent="0.3">
      <c r="A7413" t="str">
        <f>HYPERLINK("https://us2.cloudbeds.com/connect/10074733072513#/reservations/31674125373682?display=MH6MAGJCY&amp;reservation_id=31674125373682", "MH6MAGJCY")</f>
        <v>MH6MAGJCY</v>
      </c>
      <c r="B7413" t="s">
        <v>10</v>
      </c>
      <c r="C7413" t="s">
        <v>23</v>
      </c>
      <c r="D7413" t="str">
        <f>HYPERLINK("https://us2.cloudbeds.com/connect/10074733072513#/reservations/31674125373682?display=Bridget%20Dedolph&amp;reservation_id=31674125373682&amp;guest_id=31674118000780", "Bridget Dedolph")</f>
        <v>Bridget Dedolph</v>
      </c>
      <c r="E7413" t="s">
        <v>5254</v>
      </c>
      <c r="F7413" t="s">
        <v>5215</v>
      </c>
      <c r="G7413">
        <v>338</v>
      </c>
      <c r="H7413">
        <v>367.42</v>
      </c>
      <c r="I7413">
        <v>367.41</v>
      </c>
      <c r="J7413">
        <v>0.01</v>
      </c>
    </row>
    <row r="7414" spans="1:10" x14ac:dyDescent="0.3">
      <c r="A7414" t="str">
        <f>HYPERLINK("https://us2.cloudbeds.com/connect/10074733072513#/reservations/31674179440853?display=MH6NN32RP&amp;reservation_id=31674179440853", "MH6NN32RP")</f>
        <v>MH6NN32RP</v>
      </c>
      <c r="B7414" t="s">
        <v>10</v>
      </c>
      <c r="C7414" t="s">
        <v>11</v>
      </c>
      <c r="D7414" t="str">
        <f>HYPERLINK("https://us2.cloudbeds.com/connect/10074733072513#/reservations/31674179440853?display=Brad%20Flayton&amp;reservation_id=31674179440853&amp;guest_id=31674179440848", "Brad Flayton")</f>
        <v>Brad Flayton</v>
      </c>
      <c r="E7414" t="s">
        <v>3869</v>
      </c>
      <c r="F7414" t="s">
        <v>5204</v>
      </c>
      <c r="G7414">
        <v>87.84</v>
      </c>
      <c r="H7414">
        <v>95.49</v>
      </c>
      <c r="I7414">
        <v>95.48</v>
      </c>
      <c r="J7414">
        <v>0.01</v>
      </c>
    </row>
    <row r="7415" spans="1:10" x14ac:dyDescent="0.3">
      <c r="A7415" t="str">
        <f>HYPERLINK("https://us2.cloudbeds.com/connect/10074733072513#/reservations/31675447382156?display=MH7N38DUG&amp;reservation_id=31675447382156", "MH7N38DUG")</f>
        <v>MH7N38DUG</v>
      </c>
      <c r="B7415" t="s">
        <v>10</v>
      </c>
      <c r="C7415" t="s">
        <v>42</v>
      </c>
      <c r="D7415" t="str">
        <f>HYPERLINK("https://us2.cloudbeds.com/connect/10074733072513#/reservations/31675447382156?display=Sharon%20Nielsen&amp;reservation_id=31675447382156&amp;guest_id=31675447382153", "Sharon Nielsen")</f>
        <v>Sharon Nielsen</v>
      </c>
      <c r="E7415" t="s">
        <v>5255</v>
      </c>
      <c r="F7415" t="s">
        <v>5256</v>
      </c>
      <c r="G7415">
        <v>129</v>
      </c>
      <c r="H7415">
        <v>140.22999999999999</v>
      </c>
      <c r="I7415">
        <v>140.22</v>
      </c>
      <c r="J7415">
        <v>0.01</v>
      </c>
    </row>
    <row r="7416" spans="1:10" x14ac:dyDescent="0.3">
      <c r="A7416" t="str">
        <f>HYPERLINK("https://us2.cloudbeds.com/connect/10074733072513#/reservations/31675337097387?display=MH7K98JAQ&amp;reservation_id=31675337097387", "MH7K98JAQ")</f>
        <v>MH7K98JAQ</v>
      </c>
      <c r="B7416" t="s">
        <v>10</v>
      </c>
      <c r="C7416" t="s">
        <v>42</v>
      </c>
      <c r="D7416" t="str">
        <f>HYPERLINK("https://us2.cloudbeds.com/connect/10074733072513#/reservations/31675337097387?display=Jeffery%20Mancl&amp;reservation_id=31675337097387&amp;guest_id=31673096601807", "Jeffery Mancl")</f>
        <v>Jeffery Mancl</v>
      </c>
      <c r="E7416" t="s">
        <v>5258</v>
      </c>
      <c r="F7416" t="s">
        <v>4827</v>
      </c>
      <c r="G7416">
        <v>178</v>
      </c>
      <c r="H7416">
        <v>193.5</v>
      </c>
      <c r="I7416">
        <v>193.49</v>
      </c>
      <c r="J7416">
        <v>0.01</v>
      </c>
    </row>
    <row r="7417" spans="1:10" x14ac:dyDescent="0.3">
      <c r="A7417" t="str">
        <f>HYPERLINK("https://us2.cloudbeds.com/connect/10074733072513#/reservations/31674281623749?display=MH6QA8FN5&amp;reservation_id=31674281623749", "MH6QA8FN5")</f>
        <v>MH6QA8FN5</v>
      </c>
      <c r="B7417" t="s">
        <v>10</v>
      </c>
      <c r="C7417" t="s">
        <v>17</v>
      </c>
      <c r="D7417" t="str">
        <f>HYPERLINK("https://us2.cloudbeds.com/connect/10074733072513#/reservations/31674281623749?display=Danielle%20Rick&amp;reservation_id=31674281623749&amp;guest_id=31674281619658", "Danielle Rick")</f>
        <v>Danielle Rick</v>
      </c>
      <c r="E7417" t="s">
        <v>5260</v>
      </c>
      <c r="F7417" t="s">
        <v>4692</v>
      </c>
      <c r="G7417">
        <v>169</v>
      </c>
      <c r="H7417">
        <v>183.71</v>
      </c>
      <c r="I7417">
        <v>183.7</v>
      </c>
      <c r="J7417">
        <v>0.01</v>
      </c>
    </row>
    <row r="7418" spans="1:10" x14ac:dyDescent="0.3">
      <c r="A7418" t="str">
        <f>HYPERLINK("https://us2.cloudbeds.com/connect/10074733072513#/reservations/31688319295723?display=MHHM06CUC&amp;reservation_id=31688319295723", "MHHM06CUC")</f>
        <v>MHHM06CUC</v>
      </c>
      <c r="B7418" t="s">
        <v>10</v>
      </c>
      <c r="C7418" t="s">
        <v>42</v>
      </c>
      <c r="D7418" t="str">
        <f>HYPERLINK("https://us2.cloudbeds.com/connect/10074733072513#/reservations/31688319295723?display=Cheryl%20Marsh&amp;reservation_id=31688319295723&amp;guest_id=31688319295719", "Cheryl Marsh")</f>
        <v>Cheryl Marsh</v>
      </c>
      <c r="E7418" t="s">
        <v>5261</v>
      </c>
      <c r="F7418" t="s">
        <v>5247</v>
      </c>
      <c r="G7418">
        <v>238</v>
      </c>
      <c r="H7418">
        <v>258.72000000000003</v>
      </c>
      <c r="I7418">
        <v>258.70999999999998</v>
      </c>
      <c r="J7418">
        <v>0.01</v>
      </c>
    </row>
    <row r="7419" spans="1:10" x14ac:dyDescent="0.3">
      <c r="A7419" t="str">
        <f>HYPERLINK("https://us2.cloudbeds.com/connect/10074733072513#/reservations/31677234430114?display=MH92P4YVU&amp;reservation_id=31677234430114", "MH92P4YVU")</f>
        <v>MH92P4YVU</v>
      </c>
      <c r="B7419" t="s">
        <v>10</v>
      </c>
      <c r="C7419" t="s">
        <v>14</v>
      </c>
      <c r="D7419" t="str">
        <f>HYPERLINK("https://us2.cloudbeds.com/connect/10074733072513#/reservations/31677234430114?display=Rene%20Waldman&amp;reservation_id=31677234430114&amp;guest_id=31677234430109", "Rene Waldman")</f>
        <v>Rene Waldman</v>
      </c>
      <c r="E7419" t="s">
        <v>5264</v>
      </c>
      <c r="F7419" t="s">
        <v>5265</v>
      </c>
      <c r="G7419">
        <v>211.88</v>
      </c>
      <c r="H7419">
        <v>230.32</v>
      </c>
      <c r="I7419">
        <v>230.31</v>
      </c>
      <c r="J7419">
        <v>0.01</v>
      </c>
    </row>
    <row r="7420" spans="1:10" x14ac:dyDescent="0.3">
      <c r="A7420" t="str">
        <f>HYPERLINK("https://us2.cloudbeds.com/connect/10074733072513#/reservations/31673120420031?display=MH5TY38UN&amp;reservation_id=31673120420031", "MH5TY38UN")</f>
        <v>MH5TY38UN</v>
      </c>
      <c r="B7420" t="s">
        <v>10</v>
      </c>
      <c r="C7420" t="s">
        <v>23</v>
      </c>
      <c r="D7420" t="str">
        <f>HYPERLINK("https://us2.cloudbeds.com/connect/10074733072513#/reservations/31673120420031?display=Michael%20Mansker&amp;reservation_id=31673120420031&amp;guest_id=31673110507747", "Michael Mansker")</f>
        <v>Michael Mansker</v>
      </c>
      <c r="E7420" t="s">
        <v>5271</v>
      </c>
      <c r="F7420" t="s">
        <v>5071</v>
      </c>
      <c r="G7420">
        <v>139</v>
      </c>
      <c r="H7420">
        <v>151.1</v>
      </c>
      <c r="I7420">
        <v>151.09</v>
      </c>
      <c r="J7420">
        <v>0.01</v>
      </c>
    </row>
    <row r="7421" spans="1:10" x14ac:dyDescent="0.3">
      <c r="A7421" t="str">
        <f>HYPERLINK("https://us2.cloudbeds.com/connect/10074733072513#/reservations/31678877708435?display=MHABZQA4M&amp;reservation_id=31678877708435", "MHABZQA4M")</f>
        <v>MHABZQA4M</v>
      </c>
      <c r="B7421" t="s">
        <v>10</v>
      </c>
      <c r="C7421" t="s">
        <v>42</v>
      </c>
      <c r="D7421" t="str">
        <f>HYPERLINK("https://us2.cloudbeds.com/connect/10074733072513#/reservations/31678877708435?display=Tim%20Pugh&amp;reservation_id=31678877708435&amp;guest_id=31678869135611", "Tim Pugh")</f>
        <v>Tim Pugh</v>
      </c>
      <c r="E7421" t="s">
        <v>5272</v>
      </c>
      <c r="F7421" t="s">
        <v>4645</v>
      </c>
      <c r="G7421">
        <v>278</v>
      </c>
      <c r="H7421">
        <v>302.2</v>
      </c>
      <c r="I7421">
        <v>302.19</v>
      </c>
      <c r="J7421">
        <v>0.01</v>
      </c>
    </row>
    <row r="7422" spans="1:10" x14ac:dyDescent="0.3">
      <c r="A7422" t="str">
        <f>HYPERLINK("https://us2.cloudbeds.com/connect/10074733072513#/reservations/31677463486592?display=MH98BTWQ9&amp;reservation_id=31677463486592", "MH98BTWQ9")</f>
        <v>MH98BTWQ9</v>
      </c>
      <c r="B7422" t="s">
        <v>10</v>
      </c>
      <c r="C7422" t="s">
        <v>42</v>
      </c>
      <c r="D7422" t="str">
        <f>HYPERLINK("https://us2.cloudbeds.com/connect/10074733072513#/reservations/31677463486592?display=Judy%20Toelle&amp;reservation_id=31677463486592&amp;guest_id=31677453549779", "Judy Toelle")</f>
        <v>Judy Toelle</v>
      </c>
      <c r="E7422" t="s">
        <v>5275</v>
      </c>
      <c r="F7422" t="s">
        <v>4164</v>
      </c>
      <c r="G7422">
        <v>169</v>
      </c>
      <c r="H7422">
        <v>183.71</v>
      </c>
      <c r="I7422">
        <v>183.7</v>
      </c>
      <c r="J7422">
        <v>0.01</v>
      </c>
    </row>
    <row r="7423" spans="1:10" x14ac:dyDescent="0.3">
      <c r="A7423" t="str">
        <f>HYPERLINK("https://us2.cloudbeds.com/connect/10074733072513#/reservations/31677380550834?display=MH96GBMPH&amp;reservation_id=31677380550834", "MH96GBMPH")</f>
        <v>MH96GBMPH</v>
      </c>
      <c r="B7423" t="s">
        <v>10</v>
      </c>
      <c r="C7423" t="s">
        <v>23</v>
      </c>
      <c r="D7423" t="str">
        <f>HYPERLINK("https://us2.cloudbeds.com/connect/10074733072513#/reservations/31677380550834?display=Larae%20Huffman&amp;reservation_id=31677380550834&amp;guest_id=31677371912416", "Larae Huffman")</f>
        <v>Larae Huffman</v>
      </c>
      <c r="E7423" t="s">
        <v>5277</v>
      </c>
      <c r="F7423" t="s">
        <v>4347</v>
      </c>
      <c r="G7423">
        <v>169</v>
      </c>
      <c r="H7423">
        <v>183.71</v>
      </c>
      <c r="I7423">
        <v>183.7</v>
      </c>
      <c r="J7423">
        <v>0.01</v>
      </c>
    </row>
    <row r="7424" spans="1:10" x14ac:dyDescent="0.3">
      <c r="A7424" t="str">
        <f>HYPERLINK("https://us2.cloudbeds.com/connect/10074733072513#/reservations/31674190864625?display=MH6NWNVWM&amp;reservation_id=31674190864625", "MH6NWNVWM")</f>
        <v>MH6NWNVWM</v>
      </c>
      <c r="B7424" t="s">
        <v>10</v>
      </c>
      <c r="C7424" t="s">
        <v>121</v>
      </c>
      <c r="D7424" t="str">
        <f>HYPERLINK("https://us2.cloudbeds.com/connect/10074733072513#/reservations/31674190864625?display=Meghann%20Hartman&amp;reservation_id=31674190864625&amp;guest_id=31674190864619", "Meghann Hartman")</f>
        <v>Meghann Hartman</v>
      </c>
      <c r="E7424" t="s">
        <v>5278</v>
      </c>
      <c r="F7424" t="s">
        <v>5204</v>
      </c>
      <c r="G7424">
        <v>109</v>
      </c>
      <c r="H7424">
        <v>118.49</v>
      </c>
      <c r="I7424">
        <v>118.48</v>
      </c>
      <c r="J7424">
        <v>0.01</v>
      </c>
    </row>
    <row r="7425" spans="1:10" x14ac:dyDescent="0.3">
      <c r="A7425" t="str">
        <f>HYPERLINK("https://us2.cloudbeds.com/connect/10074733072513#/reservations/31674370261137?display=MH6SXWV2K&amp;reservation_id=31674370261137", "MH6SXWV2K")</f>
        <v>MH6SXWV2K</v>
      </c>
      <c r="B7425" t="s">
        <v>10</v>
      </c>
      <c r="C7425" t="s">
        <v>42</v>
      </c>
      <c r="D7425" t="str">
        <f>HYPERLINK("https://us2.cloudbeds.com/connect/10074733072513#/reservations/31674370261137?display=Lori%20Bryant&amp;reservation_id=31674370261137&amp;guest_id=31674370257036", "Lori Bryant")</f>
        <v>Lori Bryant</v>
      </c>
      <c r="E7425" t="s">
        <v>5279</v>
      </c>
      <c r="F7425" t="s">
        <v>4611</v>
      </c>
      <c r="G7425">
        <v>89</v>
      </c>
      <c r="H7425">
        <v>96.75</v>
      </c>
      <c r="I7425">
        <v>96.74</v>
      </c>
      <c r="J7425">
        <v>0.01</v>
      </c>
    </row>
    <row r="7426" spans="1:10" x14ac:dyDescent="0.3">
      <c r="A7426" t="str">
        <f>HYPERLINK("https://us2.cloudbeds.com/connect/10074733072513#/reservations/31677391532210?display=MH96PK8MG&amp;reservation_id=31677391532210", "MH96PK8MG")</f>
        <v>MH96PK8MG</v>
      </c>
      <c r="B7426" t="s">
        <v>10</v>
      </c>
      <c r="C7426" t="s">
        <v>42</v>
      </c>
      <c r="D7426" t="str">
        <f>HYPERLINK("https://us2.cloudbeds.com/connect/10074733072513#/reservations/31677391532210?display=Bailey%20Anthony&amp;reservation_id=31677391532210&amp;guest_id=31677391532207", "Bailey Anthony")</f>
        <v>Bailey Anthony</v>
      </c>
      <c r="E7426" t="s">
        <v>5280</v>
      </c>
      <c r="F7426" t="s">
        <v>4141</v>
      </c>
      <c r="G7426">
        <v>278</v>
      </c>
      <c r="H7426">
        <v>302.2</v>
      </c>
      <c r="I7426">
        <v>302.19</v>
      </c>
      <c r="J7426">
        <v>0.01</v>
      </c>
    </row>
    <row r="7427" spans="1:10" x14ac:dyDescent="0.3">
      <c r="A7427" t="str">
        <f>HYPERLINK("https://us2.cloudbeds.com/connect/10074733072513#/reservations/31679492133110?display=MHARETJ46&amp;reservation_id=31679492133110", "MHARETJ46")</f>
        <v>MHARETJ46</v>
      </c>
      <c r="B7427" t="s">
        <v>10</v>
      </c>
      <c r="C7427" t="s">
        <v>42</v>
      </c>
      <c r="D7427" t="str">
        <f>HYPERLINK("https://us2.cloudbeds.com/connect/10074733072513#/reservations/31679492133110?display=Carrie%20Thelen&amp;reservation_id=31679492133110&amp;guest_id=31679492133059", "Carrie Thelen")</f>
        <v>Carrie Thelen</v>
      </c>
      <c r="E7427" t="s">
        <v>5284</v>
      </c>
      <c r="F7427" t="s">
        <v>3061</v>
      </c>
      <c r="G7427">
        <v>129</v>
      </c>
      <c r="H7427">
        <v>140.22999999999999</v>
      </c>
      <c r="I7427">
        <v>140.22</v>
      </c>
      <c r="J7427">
        <v>0.01</v>
      </c>
    </row>
    <row r="7428" spans="1:10" x14ac:dyDescent="0.3">
      <c r="A7428" t="str">
        <f>HYPERLINK("https://us2.cloudbeds.com/connect/10074733072513#/reservations/31678084362383?display=MH9ZFR9C7&amp;reservation_id=31678084362383", "MH9ZFR9C7")</f>
        <v>MH9ZFR9C7</v>
      </c>
      <c r="B7428" t="s">
        <v>10</v>
      </c>
      <c r="C7428" t="s">
        <v>17</v>
      </c>
      <c r="D7428" t="str">
        <f>HYPERLINK("https://us2.cloudbeds.com/connect/10074733072513#/reservations/31678084362383?display=Timothy%20Ramsey&amp;reservation_id=31678084362383&amp;guest_id=31678084362380", "Timothy Ramsey")</f>
        <v>Timothy Ramsey</v>
      </c>
      <c r="E7428" t="s">
        <v>5285</v>
      </c>
      <c r="F7428" t="s">
        <v>5286</v>
      </c>
      <c r="G7428">
        <v>169</v>
      </c>
      <c r="H7428">
        <v>183.71</v>
      </c>
      <c r="I7428">
        <v>183.7</v>
      </c>
      <c r="J7428">
        <v>0.01</v>
      </c>
    </row>
    <row r="7429" spans="1:10" x14ac:dyDescent="0.3">
      <c r="A7429" t="str">
        <f>HYPERLINK("https://us2.cloudbeds.com/connect/10074733072513#/reservations/31681636081856?display=MHCG7Z01S&amp;reservation_id=31681636081856", "MHCG7Z01S")</f>
        <v>MHCG7Z01S</v>
      </c>
      <c r="B7429" t="s">
        <v>10</v>
      </c>
      <c r="C7429" t="s">
        <v>42</v>
      </c>
      <c r="D7429" t="str">
        <f>HYPERLINK("https://us2.cloudbeds.com/connect/10074733072513#/reservations/31681636081856?display=Tammy%20Byers&amp;reservation_id=31681636081856&amp;guest_id=31681636077771", "Tammy Byers")</f>
        <v>Tammy Byers</v>
      </c>
      <c r="E7429" t="s">
        <v>5289</v>
      </c>
      <c r="F7429" t="s">
        <v>2815</v>
      </c>
      <c r="G7429">
        <v>99</v>
      </c>
      <c r="H7429">
        <v>107.62</v>
      </c>
      <c r="I7429">
        <v>107.61</v>
      </c>
      <c r="J7429">
        <v>0.01</v>
      </c>
    </row>
    <row r="7430" spans="1:10" x14ac:dyDescent="0.3">
      <c r="A7430" t="str">
        <f>HYPERLINK("https://us2.cloudbeds.com/connect/10074733072513#/reservations/31673110503639?display=MH5TCZAVW&amp;reservation_id=31673110503639", "MH5TCZAVW")</f>
        <v>MH5TCZAVW</v>
      </c>
      <c r="B7430" t="s">
        <v>10</v>
      </c>
      <c r="C7430" t="s">
        <v>42</v>
      </c>
      <c r="D7430" t="str">
        <f>HYPERLINK("https://us2.cloudbeds.com/connect/10074733072513#/reservations/31673110503639?display=Cory%20Glick&amp;reservation_id=31673110503639&amp;guest_id=30679426039950", "Cory Glick")</f>
        <v>Cory Glick</v>
      </c>
      <c r="E7430" t="s">
        <v>2769</v>
      </c>
      <c r="F7430" t="s">
        <v>5071</v>
      </c>
      <c r="G7430">
        <v>158</v>
      </c>
      <c r="H7430">
        <v>171.76</v>
      </c>
      <c r="I7430">
        <v>171.75</v>
      </c>
      <c r="J7430">
        <v>0.01</v>
      </c>
    </row>
    <row r="7431" spans="1:10" x14ac:dyDescent="0.3">
      <c r="A7431" t="str">
        <f>HYPERLINK("https://us2.cloudbeds.com/connect/10074733072513#/reservations/31674247110900?display=MH6PE53F8&amp;reservation_id=31674247110900", "MH6PE53F8")</f>
        <v>MH6PE53F8</v>
      </c>
      <c r="B7431" t="s">
        <v>10</v>
      </c>
      <c r="C7431" t="s">
        <v>20</v>
      </c>
      <c r="D7431" t="str">
        <f>HYPERLINK("https://us2.cloudbeds.com/connect/10074733072513#/reservations/31674247110900?display=Robert%20Mccreary&amp;reservation_id=31674247110900&amp;guest_id=31674247110848", "Robert Mccreary")</f>
        <v>Robert Mccreary</v>
      </c>
      <c r="E7431" t="s">
        <v>5290</v>
      </c>
      <c r="F7431" t="s">
        <v>5071</v>
      </c>
      <c r="G7431">
        <v>139</v>
      </c>
      <c r="H7431">
        <v>151.1</v>
      </c>
      <c r="I7431">
        <v>151.09</v>
      </c>
      <c r="J7431">
        <v>0.01</v>
      </c>
    </row>
    <row r="7432" spans="1:10" x14ac:dyDescent="0.3">
      <c r="A7432" t="str">
        <f>HYPERLINK("https://us2.cloudbeds.com/connect/10074733072513#/reservations/31676319297704?display=MH8CCFZWP&amp;reservation_id=31676319297704", "MH8CCFZWP")</f>
        <v>MH8CCFZWP</v>
      </c>
      <c r="B7432" t="s">
        <v>10</v>
      </c>
      <c r="C7432" t="s">
        <v>20</v>
      </c>
      <c r="D7432" t="str">
        <f>HYPERLINK("https://us2.cloudbeds.com/connect/10074733072513#/reservations/31676319297704?display=Robert%20Lesko&amp;reservation_id=31676319297704&amp;guest_id=31676319297702", "Robert Lesko")</f>
        <v>Robert Lesko</v>
      </c>
      <c r="E7432" t="s">
        <v>5293</v>
      </c>
      <c r="F7432" t="s">
        <v>5157</v>
      </c>
      <c r="G7432">
        <v>101.75</v>
      </c>
      <c r="H7432">
        <v>110.61</v>
      </c>
      <c r="I7432">
        <v>110.6</v>
      </c>
      <c r="J7432">
        <v>0.01</v>
      </c>
    </row>
    <row r="7433" spans="1:10" x14ac:dyDescent="0.3">
      <c r="A7433" t="str">
        <f>HYPERLINK("https://us2.cloudbeds.com/connect/10074733072513#/reservations/31675287515370?display=MH7J0ETFE&amp;reservation_id=31675287515370", "MH7J0ETFE")</f>
        <v>MH7J0ETFE</v>
      </c>
      <c r="B7433" t="s">
        <v>10</v>
      </c>
      <c r="C7433" t="s">
        <v>23</v>
      </c>
      <c r="D7433" t="str">
        <f>HYPERLINK("https://us2.cloudbeds.com/connect/10074733072513#/reservations/31675287515370?display=Jamie%20Severance&amp;reservation_id=31675287515370&amp;guest_id=31675287515348", "Jamie Severance")</f>
        <v>Jamie Severance</v>
      </c>
      <c r="E7433" t="s">
        <v>5294</v>
      </c>
      <c r="F7433" t="s">
        <v>4827</v>
      </c>
      <c r="G7433">
        <v>139</v>
      </c>
      <c r="H7433">
        <v>151.1</v>
      </c>
      <c r="I7433">
        <v>151.09</v>
      </c>
      <c r="J7433">
        <v>0.01</v>
      </c>
    </row>
    <row r="7434" spans="1:10" x14ac:dyDescent="0.3">
      <c r="A7434" t="str">
        <f>HYPERLINK("https://us2.cloudbeds.com/connect/10074733072513#/reservations/31675442933955?display=MH7MWGY8H&amp;reservation_id=31675442933955", "MH7MWGY8H")</f>
        <v>MH7MWGY8H</v>
      </c>
      <c r="B7434" t="s">
        <v>10</v>
      </c>
      <c r="C7434" t="s">
        <v>42</v>
      </c>
      <c r="D7434" t="str">
        <f>HYPERLINK("https://us2.cloudbeds.com/connect/10074733072513#/reservations/31675442933955?display=Karen%20Munoz&amp;reservation_id=31675442933955&amp;guest_id=31675442933953", "Karen Munoz")</f>
        <v>Karen Munoz</v>
      </c>
      <c r="E7434" t="s">
        <v>5295</v>
      </c>
      <c r="F7434" t="s">
        <v>4611</v>
      </c>
      <c r="G7434">
        <v>109</v>
      </c>
      <c r="H7434">
        <v>118.49</v>
      </c>
      <c r="I7434">
        <v>118.48</v>
      </c>
      <c r="J7434">
        <v>0.01</v>
      </c>
    </row>
    <row r="7435" spans="1:10" x14ac:dyDescent="0.3">
      <c r="A7435" t="str">
        <f>HYPERLINK("https://us2.cloudbeds.com/connect/10074733072513#/reservations/31677363576973?display=MH9621C43&amp;reservation_id=31677363576973", "MH9621C43")</f>
        <v>MH9621C43</v>
      </c>
      <c r="B7435" t="s">
        <v>10</v>
      </c>
      <c r="C7435" t="s">
        <v>42</v>
      </c>
      <c r="D7435" t="str">
        <f>HYPERLINK("https://us2.cloudbeds.com/connect/10074733072513#/reservations/31677363576973?display=Kim%20Lindsley&amp;reservation_id=31677363576973&amp;guest_id=31677363576970", "Kim Lindsley")</f>
        <v>Kim Lindsley</v>
      </c>
      <c r="E7435" t="s">
        <v>5298</v>
      </c>
      <c r="F7435" t="s">
        <v>4141</v>
      </c>
      <c r="G7435">
        <v>159</v>
      </c>
      <c r="H7435">
        <v>172.84</v>
      </c>
      <c r="I7435">
        <v>172.83</v>
      </c>
      <c r="J7435">
        <v>0.01</v>
      </c>
    </row>
    <row r="7436" spans="1:10" x14ac:dyDescent="0.3">
      <c r="A7436" t="str">
        <f>HYPERLINK("https://us2.cloudbeds.com/connect/10074733072513#/reservations/31680246710454?display=MHBDZ5QKB&amp;reservation_id=31680246710454", "MHBDZ5QKB")</f>
        <v>MHBDZ5QKB</v>
      </c>
      <c r="B7436" t="s">
        <v>10</v>
      </c>
      <c r="C7436" t="s">
        <v>42</v>
      </c>
      <c r="D7436" t="str">
        <f>HYPERLINK("https://us2.cloudbeds.com/connect/10074733072513#/reservations/31680246710454?display=Russ%20Grim&amp;reservation_id=31680246710454&amp;guest_id=31680246710402", "Russ Grim")</f>
        <v>Russ Grim</v>
      </c>
      <c r="E7436" t="s">
        <v>5299</v>
      </c>
      <c r="F7436" t="s">
        <v>2815</v>
      </c>
      <c r="G7436">
        <v>278</v>
      </c>
      <c r="H7436">
        <v>302.2</v>
      </c>
      <c r="I7436">
        <v>302.19</v>
      </c>
      <c r="J7436">
        <v>0.01</v>
      </c>
    </row>
    <row r="7437" spans="1:10" x14ac:dyDescent="0.3">
      <c r="A7437" t="str">
        <f>HYPERLINK("https://us2.cloudbeds.com/connect/10074733072513#/reservations/31674357616848?display=MH6S8B35B&amp;reservation_id=31674357616848", "MH6S8B35B")</f>
        <v>MH6S8B35B</v>
      </c>
      <c r="B7437" t="s">
        <v>10</v>
      </c>
      <c r="C7437" t="s">
        <v>20</v>
      </c>
      <c r="D7437" t="str">
        <f>HYPERLINK("https://us2.cloudbeds.com/connect/10074733072513#/reservations/31674357616848?display=Dawn%20Matlock&amp;reservation_id=31674357616848&amp;guest_id=31674357616843", "Dawn Matlock")</f>
        <v>Dawn Matlock</v>
      </c>
      <c r="E7437" t="s">
        <v>5300</v>
      </c>
      <c r="F7437" t="s">
        <v>4611</v>
      </c>
      <c r="G7437">
        <v>278</v>
      </c>
      <c r="H7437">
        <v>302.2</v>
      </c>
      <c r="I7437">
        <v>302.19</v>
      </c>
      <c r="J7437">
        <v>0.01</v>
      </c>
    </row>
    <row r="7438" spans="1:10" x14ac:dyDescent="0.3">
      <c r="A7438" t="str">
        <f>HYPERLINK("https://us2.cloudbeds.com/connect/10074733072513#/reservations/31673096601809?display=MH5T10G9D&amp;reservation_id=31673096601809", "MH5T10G9D")</f>
        <v>MH5T10G9D</v>
      </c>
      <c r="B7438" t="s">
        <v>10</v>
      </c>
      <c r="C7438" t="s">
        <v>42</v>
      </c>
      <c r="D7438" t="str">
        <f>HYPERLINK("https://us2.cloudbeds.com/connect/10074733072513#/reservations/31673096601809?display=Jeffery%20Mancl&amp;reservation_id=31673096601809&amp;guest_id=31673096601807", "Jeffery Mancl")</f>
        <v>Jeffery Mancl</v>
      </c>
      <c r="E7438" t="s">
        <v>5258</v>
      </c>
      <c r="F7438" t="s">
        <v>5202</v>
      </c>
      <c r="G7438">
        <v>89</v>
      </c>
      <c r="H7438">
        <v>96.75</v>
      </c>
      <c r="I7438">
        <v>96.74</v>
      </c>
      <c r="J7438">
        <v>0.01</v>
      </c>
    </row>
    <row r="7439" spans="1:10" x14ac:dyDescent="0.3">
      <c r="A7439" t="str">
        <f>HYPERLINK("https://us2.cloudbeds.com/connect/10074733072513#/reservations/31679488778403?display=MHARC27JE&amp;reservation_id=31679488778403", "MHARC27JE")</f>
        <v>MHARC27JE</v>
      </c>
      <c r="B7439" t="s">
        <v>10</v>
      </c>
      <c r="C7439" t="s">
        <v>42</v>
      </c>
      <c r="D7439" t="str">
        <f>HYPERLINK("https://us2.cloudbeds.com/connect/10074733072513#/reservations/31679488778403?display=Maggie%20Giese&amp;reservation_id=31679488778403&amp;guest_id=31679480000659", "Maggie Giese")</f>
        <v>Maggie Giese</v>
      </c>
      <c r="E7439" t="s">
        <v>5301</v>
      </c>
      <c r="F7439" t="s">
        <v>3061</v>
      </c>
      <c r="G7439">
        <v>129</v>
      </c>
      <c r="H7439">
        <v>140.22999999999999</v>
      </c>
      <c r="I7439">
        <v>140.22</v>
      </c>
      <c r="J7439">
        <v>0.01</v>
      </c>
    </row>
    <row r="7440" spans="1:10" x14ac:dyDescent="0.3">
      <c r="A7440" t="str">
        <f>HYPERLINK("https://us2.cloudbeds.com/connect/10074733072513#/reservations/31677403283599?display=MH972H8M6&amp;reservation_id=31677403283599", "MH972H8M6")</f>
        <v>MH972H8M6</v>
      </c>
      <c r="B7440" t="s">
        <v>10</v>
      </c>
      <c r="C7440" t="s">
        <v>42</v>
      </c>
      <c r="D7440" t="str">
        <f>HYPERLINK("https://us2.cloudbeds.com/connect/10074733072513#/reservations/31677403283599?display=Kristen%20Bruinsma&amp;reservation_id=31677403283599&amp;guest_id=31677403283597", "Kristen Bruinsma")</f>
        <v>Kristen Bruinsma</v>
      </c>
      <c r="E7440" t="s">
        <v>5302</v>
      </c>
      <c r="F7440" t="s">
        <v>4141</v>
      </c>
      <c r="G7440">
        <v>318</v>
      </c>
      <c r="H7440">
        <v>345.68</v>
      </c>
      <c r="I7440">
        <v>345.67</v>
      </c>
      <c r="J7440">
        <v>0.01</v>
      </c>
    </row>
    <row r="7441" spans="1:10" x14ac:dyDescent="0.3">
      <c r="A7441" t="str">
        <f>HYPERLINK("https://us2.cloudbeds.com/connect/10074733072513#/reservations/31680253456598?display=MHBDTSHDV&amp;reservation_id=31680253456598", "MHBDTSHDV")</f>
        <v>MHBDTSHDV</v>
      </c>
      <c r="B7441" t="s">
        <v>10</v>
      </c>
      <c r="C7441" t="s">
        <v>42</v>
      </c>
      <c r="D7441" t="str">
        <f>HYPERLINK("https://us2.cloudbeds.com/connect/10074733072513#/reservations/31680253456598?display=Andrea%20Diedrich&amp;reservation_id=31680253456598&amp;guest_id=31680253452511", "Andrea Diedrich")</f>
        <v>Andrea Diedrich</v>
      </c>
      <c r="E7441" t="s">
        <v>5303</v>
      </c>
      <c r="F7441" t="s">
        <v>2815</v>
      </c>
      <c r="G7441">
        <v>318</v>
      </c>
      <c r="H7441">
        <v>345.68</v>
      </c>
      <c r="I7441">
        <v>345.67</v>
      </c>
      <c r="J7441">
        <v>0.01</v>
      </c>
    </row>
    <row r="7442" spans="1:10" x14ac:dyDescent="0.3">
      <c r="A7442" t="str">
        <f>HYPERLINK("https://us2.cloudbeds.com/connect/10074733072513#/reservations/31675018768569?display=MH7C4RKBW&amp;reservation_id=31675018768569", "MH7C4RKBW")</f>
        <v>MH7C4RKBW</v>
      </c>
      <c r="B7442" t="s">
        <v>10</v>
      </c>
      <c r="C7442" t="s">
        <v>42</v>
      </c>
      <c r="D7442" t="str">
        <f>HYPERLINK("https://us2.cloudbeds.com/connect/10074733072513#/reservations/31675018768569?display=Shawn%20Hill&amp;reservation_id=31675018768569&amp;guest_id=31672935764202", "Shawn Hill")</f>
        <v>Shawn Hill</v>
      </c>
      <c r="E7442" t="s">
        <v>5304</v>
      </c>
      <c r="F7442" t="s">
        <v>5242</v>
      </c>
      <c r="G7442">
        <v>79</v>
      </c>
      <c r="H7442">
        <v>85.88</v>
      </c>
      <c r="I7442">
        <v>85.87</v>
      </c>
      <c r="J7442">
        <v>0.01</v>
      </c>
    </row>
    <row r="7443" spans="1:10" x14ac:dyDescent="0.3">
      <c r="A7443" t="str">
        <f>HYPERLINK("https://us2.cloudbeds.com/connect/10074733072513#/reservations/31674404225160?display=MH6TEY1BD&amp;reservation_id=31674404225160", "MH6TEY1BD")</f>
        <v>MH6TEY1BD</v>
      </c>
      <c r="B7443" t="s">
        <v>10</v>
      </c>
      <c r="C7443" t="s">
        <v>17</v>
      </c>
      <c r="D7443" t="str">
        <f>HYPERLINK("https://us2.cloudbeds.com/connect/10074733072513#/reservations/31674404225160?display=Alecia%20Stpierre&amp;reservation_id=31674404225160&amp;guest_id=31674404221075", "Alecia Stpierre")</f>
        <v>Alecia Stpierre</v>
      </c>
      <c r="E7443" t="s">
        <v>5305</v>
      </c>
      <c r="F7443" t="s">
        <v>4672</v>
      </c>
      <c r="G7443">
        <v>169</v>
      </c>
      <c r="H7443">
        <v>183.71</v>
      </c>
      <c r="I7443">
        <v>183.7</v>
      </c>
      <c r="J7443">
        <v>0.01</v>
      </c>
    </row>
    <row r="7444" spans="1:10" x14ac:dyDescent="0.3">
      <c r="A7444" t="str">
        <f>HYPERLINK("https://us2.cloudbeds.com/connect/10074733072513#/reservations/31674343661774?display=MH6RTXPJA&amp;reservation_id=31674343661774", "MH6RTXPJA")</f>
        <v>MH6RTXPJA</v>
      </c>
      <c r="B7444" t="s">
        <v>10</v>
      </c>
      <c r="C7444" t="s">
        <v>42</v>
      </c>
      <c r="D7444" t="str">
        <f>HYPERLINK("https://us2.cloudbeds.com/connect/10074733072513#/reservations/31674343661774?display=Mike%20Zwisfler&amp;reservation_id=31674343661774&amp;guest_id=31674331259040", "Mike Zwisfler")</f>
        <v>Mike Zwisfler</v>
      </c>
      <c r="E7444" t="s">
        <v>5306</v>
      </c>
      <c r="F7444" t="s">
        <v>5297</v>
      </c>
      <c r="G7444">
        <v>190</v>
      </c>
      <c r="H7444">
        <v>206.54</v>
      </c>
      <c r="I7444">
        <v>206.53</v>
      </c>
      <c r="J7444">
        <v>0.01</v>
      </c>
    </row>
    <row r="7445" spans="1:10" x14ac:dyDescent="0.3">
      <c r="A7445" t="str">
        <f>HYPERLINK("https://us2.cloudbeds.com/connect/10074733072513#/reservations/31674287497377?display=MH6QF6U9T&amp;reservation_id=31674287497377", "MH6QF6U9T")</f>
        <v>MH6QF6U9T</v>
      </c>
      <c r="B7445" t="s">
        <v>10</v>
      </c>
      <c r="C7445" t="s">
        <v>23</v>
      </c>
      <c r="D7445" t="str">
        <f>HYPERLINK("https://us2.cloudbeds.com/connect/10074733072513#/reservations/31674287497377?display=Sandi%20Hall&amp;reservation_id=31674287497377&amp;guest_id=31674287497366", "Sandi Hall")</f>
        <v>Sandi Hall</v>
      </c>
      <c r="E7445" t="s">
        <v>5309</v>
      </c>
      <c r="F7445" t="s">
        <v>4611</v>
      </c>
      <c r="G7445">
        <v>278</v>
      </c>
      <c r="H7445">
        <v>302.2</v>
      </c>
      <c r="I7445">
        <v>302.19</v>
      </c>
      <c r="J7445">
        <v>0.01</v>
      </c>
    </row>
    <row r="7446" spans="1:10" x14ac:dyDescent="0.3">
      <c r="A7446" t="str">
        <f>HYPERLINK("https://us2.cloudbeds.com/connect/10074733072513#/reservations/31674257948913?display=MH6PN9MNT&amp;reservation_id=31674257948913", "MH6PN9MNT")</f>
        <v>MH6PN9MNT</v>
      </c>
      <c r="B7446" t="s">
        <v>10</v>
      </c>
      <c r="C7446" t="s">
        <v>11</v>
      </c>
      <c r="D7446" t="str">
        <f>HYPERLINK("https://us2.cloudbeds.com/connect/10074733072513#/reservations/31674257948913?display=Jessica%20Fisher&amp;reservation_id=31674257948913&amp;guest_id=31674257948908", "Jessica Fisher")</f>
        <v>Jessica Fisher</v>
      </c>
      <c r="E7446" t="s">
        <v>5310</v>
      </c>
      <c r="F7446" t="s">
        <v>5071</v>
      </c>
      <c r="G7446">
        <v>87.84</v>
      </c>
      <c r="H7446">
        <v>95.49</v>
      </c>
      <c r="I7446">
        <v>95.48</v>
      </c>
      <c r="J7446">
        <v>0.01</v>
      </c>
    </row>
    <row r="7447" spans="1:10" x14ac:dyDescent="0.3">
      <c r="A7447" t="str">
        <f>HYPERLINK("https://us2.cloudbeds.com/connect/10074733072513#/reservations/31674251255945?display=MH6PHYEZM&amp;reservation_id=31674251255945", "MH6PHYEZM")</f>
        <v>MH6PHYEZM</v>
      </c>
      <c r="B7447" t="s">
        <v>10</v>
      </c>
      <c r="C7447" t="s">
        <v>121</v>
      </c>
      <c r="D7447" t="str">
        <f>HYPERLINK("https://us2.cloudbeds.com/connect/10074733072513#/reservations/31674251255945?display=Zawil%20Pierre&amp;reservation_id=31674251255945&amp;guest_id=31674251251861", "Zawil Pierre")</f>
        <v>Zawil Pierre</v>
      </c>
      <c r="E7447" t="s">
        <v>5311</v>
      </c>
      <c r="F7447" t="s">
        <v>5071</v>
      </c>
      <c r="G7447">
        <v>139</v>
      </c>
      <c r="H7447">
        <v>151.1</v>
      </c>
      <c r="I7447">
        <v>151.09</v>
      </c>
      <c r="J7447">
        <v>0.01</v>
      </c>
    </row>
    <row r="7448" spans="1:10" x14ac:dyDescent="0.3">
      <c r="A7448" t="str">
        <f>HYPERLINK("https://us2.cloudbeds.com/connect/10074733072513#/reservations/31677562036400?display=MH9B4CQ64&amp;reservation_id=31677562036400", "MH9B4CQ64")</f>
        <v>MH9B4CQ64</v>
      </c>
      <c r="B7448" t="s">
        <v>10</v>
      </c>
      <c r="C7448" t="s">
        <v>42</v>
      </c>
      <c r="D7448" t="str">
        <f>HYPERLINK("https://us2.cloudbeds.com/connect/10074733072513#/reservations/31677562036400?display=Mr%20&amp;Mrs%20Dehaai%20.&amp;reservation_id=31677562036400&amp;guest_id=31677549371555", "Mr &amp;Mrs Dehaai .")</f>
        <v>Mr &amp;Mrs Dehaai .</v>
      </c>
      <c r="E7448" t="s">
        <v>5314</v>
      </c>
      <c r="F7448" t="s">
        <v>4141</v>
      </c>
      <c r="G7448">
        <v>179</v>
      </c>
      <c r="H7448">
        <v>194.58</v>
      </c>
      <c r="I7448">
        <v>194.57</v>
      </c>
      <c r="J7448">
        <v>0.01</v>
      </c>
    </row>
    <row r="7449" spans="1:10" x14ac:dyDescent="0.3">
      <c r="A7449" t="str">
        <f>HYPERLINK("https://us2.cloudbeds.com/connect/10074733072513#/reservations/31673228546202?display=MH5WD91BB&amp;reservation_id=31673228546202", "MH5WD91BB")</f>
        <v>MH5WD91BB</v>
      </c>
      <c r="B7449" t="s">
        <v>10</v>
      </c>
      <c r="C7449" t="s">
        <v>17</v>
      </c>
      <c r="D7449" t="str">
        <f>HYPERLINK("https://us2.cloudbeds.com/connect/10074733072513#/reservations/31673228546202?display=Linda%20Crawford&amp;reservation_id=31673228546202&amp;guest_id=31673228546179", "Linda Crawford")</f>
        <v>Linda Crawford</v>
      </c>
      <c r="E7449" t="s">
        <v>5315</v>
      </c>
      <c r="F7449" t="s">
        <v>5297</v>
      </c>
      <c r="G7449">
        <v>218</v>
      </c>
      <c r="H7449">
        <v>236.98</v>
      </c>
      <c r="I7449">
        <v>236.97</v>
      </c>
      <c r="J7449">
        <v>0.01</v>
      </c>
    </row>
    <row r="7450" spans="1:10" x14ac:dyDescent="0.3">
      <c r="A7450" t="str">
        <f>HYPERLINK("https://us2.cloudbeds.com/connect/10074733072513#/reservations/31673251049643?display=MH5WW87YQ&amp;reservation_id=31673251049643", "MH5WW87YQ")</f>
        <v>MH5WW87YQ</v>
      </c>
      <c r="B7450" t="s">
        <v>10</v>
      </c>
      <c r="C7450" t="s">
        <v>17</v>
      </c>
      <c r="D7450" t="str">
        <f>HYPERLINK("https://us2.cloudbeds.com/connect/10074733072513#/reservations/31673251049643?display=Linda%20Crawford&amp;reservation_id=31673251049643&amp;guest_id=31673241759936", "Linda Crawford")</f>
        <v>Linda Crawford</v>
      </c>
      <c r="E7450" t="s">
        <v>5315</v>
      </c>
      <c r="F7450" t="s">
        <v>5297</v>
      </c>
      <c r="G7450">
        <v>218</v>
      </c>
      <c r="H7450">
        <v>236.98</v>
      </c>
      <c r="I7450">
        <v>236.97</v>
      </c>
      <c r="J7450">
        <v>0.01</v>
      </c>
    </row>
    <row r="7451" spans="1:10" x14ac:dyDescent="0.3">
      <c r="A7451" t="str">
        <f>HYPERLINK("https://us2.cloudbeds.com/connect/10074733072513#/reservations/31677382435028?display=MH96HV3WA&amp;reservation_id=31677382435028", "MH96HV3WA")</f>
        <v>MH96HV3WA</v>
      </c>
      <c r="B7451" t="s">
        <v>10</v>
      </c>
      <c r="C7451" t="s">
        <v>42</v>
      </c>
      <c r="D7451" t="str">
        <f>HYPERLINK("https://us2.cloudbeds.com/connect/10074733072513#/reservations/31677382435028?display=Pearce%20Vander%20Pol&amp;reservation_id=31677382435028&amp;guest_id=31677382435023", "Pearce Vander Pol")</f>
        <v>Pearce Vander Pol</v>
      </c>
      <c r="E7451" t="s">
        <v>5316</v>
      </c>
      <c r="F7451" t="s">
        <v>4141</v>
      </c>
      <c r="G7451">
        <v>318</v>
      </c>
      <c r="H7451">
        <v>345.68</v>
      </c>
      <c r="I7451">
        <v>345.67</v>
      </c>
      <c r="J7451">
        <v>0.01</v>
      </c>
    </row>
    <row r="7452" spans="1:10" x14ac:dyDescent="0.3">
      <c r="A7452" t="str">
        <f>HYPERLINK("https://us2.cloudbeds.com/connect/10074733072513#/reservations/31677299298524?display=MH94DRNUA&amp;reservation_id=31677299298524", "MH94DRNUA")</f>
        <v>MH94DRNUA</v>
      </c>
      <c r="B7452" t="s">
        <v>10</v>
      </c>
      <c r="C7452" t="s">
        <v>23</v>
      </c>
      <c r="D7452" t="str">
        <f>HYPERLINK("https://us2.cloudbeds.com/connect/10074733072513#/reservations/31677299298524?display=Misty%20Nider&amp;reservation_id=31677299298524&amp;guest_id=31677299298519", "Misty Nider")</f>
        <v>Misty Nider</v>
      </c>
      <c r="E7452" t="s">
        <v>5317</v>
      </c>
      <c r="F7452" t="s">
        <v>5265</v>
      </c>
      <c r="G7452">
        <v>298</v>
      </c>
      <c r="H7452">
        <v>323.94</v>
      </c>
      <c r="I7452">
        <v>323.93</v>
      </c>
      <c r="J7452">
        <v>0.01</v>
      </c>
    </row>
    <row r="7453" spans="1:10" x14ac:dyDescent="0.3">
      <c r="A7453" t="str">
        <f>HYPERLINK("https://us2.cloudbeds.com/connect/10074733072513#/reservations/31674281619660?display=MH6QA8BV8&amp;reservation_id=31674281619660", "MH6QA8BV8")</f>
        <v>MH6QA8BV8</v>
      </c>
      <c r="B7453" t="s">
        <v>10</v>
      </c>
      <c r="C7453" t="s">
        <v>42</v>
      </c>
      <c r="D7453" t="str">
        <f>HYPERLINK("https://us2.cloudbeds.com/connect/10074733072513#/reservations/31674281619660?display=Michael%20Flinner&amp;reservation_id=31674281619660&amp;guest_id=31674281619655", "Michael Flinner")</f>
        <v>Michael Flinner</v>
      </c>
      <c r="E7453" t="s">
        <v>5318</v>
      </c>
      <c r="F7453" t="s">
        <v>5071</v>
      </c>
      <c r="G7453">
        <v>89</v>
      </c>
      <c r="H7453">
        <v>96.75</v>
      </c>
      <c r="I7453">
        <v>96.74</v>
      </c>
      <c r="J7453">
        <v>0.01</v>
      </c>
    </row>
    <row r="7454" spans="1:10" x14ac:dyDescent="0.3">
      <c r="A7454" t="str">
        <f>HYPERLINK("https://us2.cloudbeds.com/connect/10074733072513#/reservations/31674376630490?display=MH6SZC5TA&amp;reservation_id=31674376630490", "MH6SZC5TA")</f>
        <v>MH6SZC5TA</v>
      </c>
      <c r="B7454" t="s">
        <v>10</v>
      </c>
      <c r="C7454" t="s">
        <v>20</v>
      </c>
      <c r="D7454" t="str">
        <f>HYPERLINK("https://us2.cloudbeds.com/connect/10074733072513#/reservations/31674376630490?display=Kenneth%20Holland&amp;reservation_id=31674376630490&amp;guest_id=31674376626409", "Kenneth Holland")</f>
        <v>Kenneth Holland</v>
      </c>
      <c r="E7454" t="s">
        <v>5319</v>
      </c>
      <c r="F7454" t="s">
        <v>4611</v>
      </c>
      <c r="G7454">
        <v>159</v>
      </c>
      <c r="H7454">
        <v>172.84</v>
      </c>
      <c r="I7454">
        <v>172.83</v>
      </c>
      <c r="J7454">
        <v>0.01</v>
      </c>
    </row>
    <row r="7455" spans="1:10" x14ac:dyDescent="0.3">
      <c r="A7455" t="str">
        <f>HYPERLINK("https://us2.cloudbeds.com/connect/10074733072513#/reservations/31674364330162?display=MH6SDWTR3&amp;reservation_id=31674364330162", "MH6SDWTR3")</f>
        <v>MH6SDWTR3</v>
      </c>
      <c r="B7455" t="s">
        <v>10</v>
      </c>
      <c r="C7455" t="s">
        <v>20</v>
      </c>
      <c r="D7455" t="str">
        <f>HYPERLINK("https://us2.cloudbeds.com/connect/10074733072513#/reservations/31674364330162?display=Kendra%20Eagle%20Star&amp;reservation_id=31674364330162&amp;guest_id=31674364330160", "Kendra Eagle Star")</f>
        <v>Kendra Eagle Star</v>
      </c>
      <c r="E7455" t="s">
        <v>5320</v>
      </c>
      <c r="F7455" t="s">
        <v>4611</v>
      </c>
      <c r="G7455">
        <v>179</v>
      </c>
      <c r="H7455">
        <v>194.58</v>
      </c>
      <c r="I7455">
        <v>194.57</v>
      </c>
      <c r="J7455">
        <v>0.01</v>
      </c>
    </row>
    <row r="7456" spans="1:10" x14ac:dyDescent="0.3">
      <c r="A7456" t="str">
        <f>HYPERLINK("https://us2.cloudbeds.com/connect/10074733072513#/reservations/31677221638375?display=MH92EBNYF&amp;reservation_id=31677221638375", "MH92EBNYF")</f>
        <v>MH92EBNYF</v>
      </c>
      <c r="B7456" t="s">
        <v>10</v>
      </c>
      <c r="C7456" t="s">
        <v>42</v>
      </c>
      <c r="D7456" t="str">
        <f>HYPERLINK("https://us2.cloudbeds.com/connect/10074733072513#/reservations/31677221638375?display=Mandy%20Pearson&amp;reservation_id=31677221638375&amp;guest_id=31677213945999", "Mandy Pearson")</f>
        <v>Mandy Pearson</v>
      </c>
      <c r="E7456" t="s">
        <v>5321</v>
      </c>
      <c r="F7456" t="s">
        <v>5265</v>
      </c>
      <c r="G7456">
        <v>278</v>
      </c>
      <c r="H7456">
        <v>302.2</v>
      </c>
      <c r="I7456">
        <v>302.19</v>
      </c>
      <c r="J7456">
        <v>0.01</v>
      </c>
    </row>
    <row r="7457" spans="1:10" x14ac:dyDescent="0.3">
      <c r="A7457" t="str">
        <f>HYPERLINK("https://us2.cloudbeds.com/connect/10074733072513#/reservations/31674265624711?display=MH6PTP96R&amp;reservation_id=31674265624711", "MH6PTP96R")</f>
        <v>MH6PTP96R</v>
      </c>
      <c r="B7457" t="s">
        <v>10</v>
      </c>
      <c r="C7457" t="s">
        <v>20</v>
      </c>
      <c r="D7457" t="str">
        <f>HYPERLINK("https://us2.cloudbeds.com/connect/10074733072513#/reservations/31674265624711?display=Thomas%20Ambroz&amp;reservation_id=31674265624711&amp;guest_id=31674265624706", "Thomas Ambroz")</f>
        <v>Thomas Ambroz</v>
      </c>
      <c r="E7457" t="s">
        <v>5323</v>
      </c>
      <c r="F7457" t="s">
        <v>5071</v>
      </c>
      <c r="G7457">
        <v>139</v>
      </c>
      <c r="H7457">
        <v>151.1</v>
      </c>
      <c r="I7457">
        <v>151.09</v>
      </c>
      <c r="J7457">
        <v>0.01</v>
      </c>
    </row>
    <row r="7458" spans="1:10" x14ac:dyDescent="0.3">
      <c r="A7458" t="str">
        <f>HYPERLINK("https://us2.cloudbeds.com/connect/10074733072513#/reservations/31674271473884?display=MH6Q1N1BG&amp;reservation_id=31674271473884", "MH6Q1N1BG")</f>
        <v>MH6Q1N1BG</v>
      </c>
      <c r="B7458" t="s">
        <v>10</v>
      </c>
      <c r="C7458" t="s">
        <v>42</v>
      </c>
      <c r="D7458" t="str">
        <f>HYPERLINK("https://us2.cloudbeds.com/connect/10074733072513#/reservations/31674271473884?display=Kevin%20Klein&amp;reservation_id=31674271473884&amp;guest_id=31674271473880", "Kevin Klein")</f>
        <v>Kevin Klein</v>
      </c>
      <c r="E7458" t="s">
        <v>5324</v>
      </c>
      <c r="F7458" t="s">
        <v>5071</v>
      </c>
      <c r="G7458">
        <v>149</v>
      </c>
      <c r="H7458">
        <v>161.97</v>
      </c>
      <c r="I7458">
        <v>161.96</v>
      </c>
      <c r="J7458">
        <v>0.01</v>
      </c>
    </row>
    <row r="7459" spans="1:10" x14ac:dyDescent="0.3">
      <c r="A7459" t="str">
        <f>HYPERLINK("https://us2.cloudbeds.com/connect/10074733072513#/reservations/31677576659075?display=MH9BGNMQF&amp;reservation_id=31677576659075", "MH9BGNMQF")</f>
        <v>MH9BGNMQF</v>
      </c>
      <c r="B7459" t="s">
        <v>10</v>
      </c>
      <c r="C7459" t="s">
        <v>42</v>
      </c>
      <c r="D7459" t="str">
        <f>HYPERLINK("https://us2.cloudbeds.com/connect/10074733072513#/reservations/31677576659075?display=Thomas%20Gannon&amp;reservation_id=31677576659075&amp;guest_id=31677576654996", "Thomas Gannon")</f>
        <v>Thomas Gannon</v>
      </c>
      <c r="E7459" t="s">
        <v>5325</v>
      </c>
      <c r="F7459" t="s">
        <v>5326</v>
      </c>
      <c r="G7459">
        <v>169</v>
      </c>
      <c r="H7459">
        <v>183.71</v>
      </c>
      <c r="I7459">
        <v>183.7</v>
      </c>
      <c r="J7459">
        <v>0.01</v>
      </c>
    </row>
    <row r="7460" spans="1:10" x14ac:dyDescent="0.3">
      <c r="A7460" t="str">
        <f>HYPERLINK("https://us2.cloudbeds.com/connect/10074733072513#/reservations/31675241111801?display=MH7HRAY9M&amp;reservation_id=31675241111801", "MH7HRAY9M")</f>
        <v>MH7HRAY9M</v>
      </c>
      <c r="B7460" t="s">
        <v>10</v>
      </c>
      <c r="C7460" t="s">
        <v>14</v>
      </c>
      <c r="D7460" t="str">
        <f>HYPERLINK("https://us2.cloudbeds.com/connect/10074733072513#/reservations/31675241111801?display=Lisa%20Liewer&amp;reservation_id=31675241111801&amp;guest_id=31675241111789", "Lisa Liewer")</f>
        <v>Lisa Liewer</v>
      </c>
      <c r="E7460" t="s">
        <v>5328</v>
      </c>
      <c r="F7460" t="s">
        <v>5329</v>
      </c>
      <c r="G7460">
        <v>139</v>
      </c>
      <c r="H7460">
        <v>151.1</v>
      </c>
      <c r="I7460">
        <v>151.09</v>
      </c>
      <c r="J7460">
        <v>0.01</v>
      </c>
    </row>
    <row r="7461" spans="1:10" x14ac:dyDescent="0.3">
      <c r="A7461" t="str">
        <f>HYPERLINK("https://us2.cloudbeds.com/connect/10074733072513#/reservations/31675497558145?display=MH7ZCXY70&amp;reservation_id=31675497558145", "MH7ZCXY70")</f>
        <v>MH7ZCXY70</v>
      </c>
      <c r="B7461" t="s">
        <v>10</v>
      </c>
      <c r="C7461" t="s">
        <v>23</v>
      </c>
      <c r="D7461" t="str">
        <f>HYPERLINK("https://us2.cloudbeds.com/connect/10074733072513#/reservations/31675497558145?display=Ryan%20Wilfahrt&amp;reservation_id=31675497558145&amp;guest_id=31675485245668", "Ryan Wilfahrt")</f>
        <v>Ryan Wilfahrt</v>
      </c>
      <c r="E7461" t="s">
        <v>5332</v>
      </c>
      <c r="F7461" t="s">
        <v>5288</v>
      </c>
      <c r="G7461">
        <v>139</v>
      </c>
      <c r="H7461">
        <v>151.1</v>
      </c>
      <c r="I7461">
        <v>151.09</v>
      </c>
      <c r="J7461">
        <v>0.01</v>
      </c>
    </row>
    <row r="7462" spans="1:10" x14ac:dyDescent="0.3">
      <c r="A7462" t="str">
        <f>HYPERLINK("https://us2.cloudbeds.com/connect/10074733072513#/reservations/31675518042321?display=MH7ZTRY9K&amp;reservation_id=31675518042321", "MH7ZTRY9K")</f>
        <v>MH7ZTRY9K</v>
      </c>
      <c r="B7462" t="s">
        <v>10</v>
      </c>
      <c r="C7462" t="s">
        <v>42</v>
      </c>
      <c r="D7462" t="str">
        <f>HYPERLINK("https://us2.cloudbeds.com/connect/10074733072513#/reservations/31675518042321?display=Stephen%20Ly&amp;reservation_id=31675518042321&amp;guest_id=31675518042316", "Stephen Ly")</f>
        <v>Stephen Ly</v>
      </c>
      <c r="E7462" t="s">
        <v>5333</v>
      </c>
      <c r="F7462" t="s">
        <v>5288</v>
      </c>
      <c r="G7462">
        <v>109</v>
      </c>
      <c r="H7462">
        <v>118.49</v>
      </c>
      <c r="I7462">
        <v>118.48</v>
      </c>
      <c r="J7462">
        <v>0.01</v>
      </c>
    </row>
    <row r="7463" spans="1:10" x14ac:dyDescent="0.3">
      <c r="A7463" t="str">
        <f>HYPERLINK("https://us2.cloudbeds.com/connect/10074733072513#/reservations/31673151348940?display=MH5UE5U4C&amp;reservation_id=31673151348940", "MH5UE5U4C")</f>
        <v>MH5UE5U4C</v>
      </c>
      <c r="B7463" t="s">
        <v>10</v>
      </c>
      <c r="C7463" t="s">
        <v>42</v>
      </c>
      <c r="D7463" t="str">
        <f>HYPERLINK("https://us2.cloudbeds.com/connect/10074733072513#/reservations/31673151348940?display=Michael%20Daniels&amp;reservation_id=31673151348940&amp;guest_id=30646312952043", "Michael Daniels")</f>
        <v>Michael Daniels</v>
      </c>
      <c r="E7463" t="s">
        <v>3262</v>
      </c>
      <c r="F7463" t="s">
        <v>5288</v>
      </c>
      <c r="G7463">
        <v>73</v>
      </c>
      <c r="H7463">
        <v>79.36</v>
      </c>
      <c r="I7463">
        <v>79.349999999999994</v>
      </c>
      <c r="J7463">
        <v>0.01</v>
      </c>
    </row>
    <row r="7464" spans="1:10" x14ac:dyDescent="0.3">
      <c r="A7464" t="str">
        <f>HYPERLINK("https://us2.cloudbeds.com/connect/10074733072513#/reservations/31677203095714?display=MH91VNZDY&amp;reservation_id=31677203095714", "MH91VNZDY")</f>
        <v>MH91VNZDY</v>
      </c>
      <c r="B7464" t="s">
        <v>10</v>
      </c>
      <c r="C7464" t="s">
        <v>23</v>
      </c>
      <c r="D7464" t="str">
        <f>HYPERLINK("https://us2.cloudbeds.com/connect/10074733072513#/reservations/31677203095714?display=Bart%20Bellamy&amp;reservation_id=31677203095714&amp;guest_id=31677203091632", "Bart Bellamy")</f>
        <v>Bart Bellamy</v>
      </c>
      <c r="E7464" t="s">
        <v>5334</v>
      </c>
      <c r="F7464" t="s">
        <v>5265</v>
      </c>
      <c r="G7464">
        <v>139</v>
      </c>
      <c r="H7464">
        <v>151.1</v>
      </c>
      <c r="I7464">
        <v>151.09</v>
      </c>
      <c r="J7464">
        <v>0.01</v>
      </c>
    </row>
    <row r="7465" spans="1:10" x14ac:dyDescent="0.3">
      <c r="A7465" t="str">
        <f>HYPERLINK("https://us2.cloudbeds.com/connect/10074733072513#/reservations/31677244649708?display=MH930P1BJ&amp;reservation_id=31677244649708", "MH930P1BJ")</f>
        <v>MH930P1BJ</v>
      </c>
      <c r="B7465" t="s">
        <v>10</v>
      </c>
      <c r="C7465" t="s">
        <v>23</v>
      </c>
      <c r="D7465" t="str">
        <f>HYPERLINK("https://us2.cloudbeds.com/connect/10074733072513#/reservations/31677244649708?display=Jessica%20Scheer&amp;reservation_id=31677244649708&amp;guest_id=31677244649705", "Jessica Scheer")</f>
        <v>Jessica Scheer</v>
      </c>
      <c r="E7465" t="s">
        <v>5335</v>
      </c>
      <c r="F7465" t="s">
        <v>5265</v>
      </c>
      <c r="G7465">
        <v>139</v>
      </c>
      <c r="H7465">
        <v>151.1</v>
      </c>
      <c r="I7465">
        <v>151.09</v>
      </c>
      <c r="J7465">
        <v>0.01</v>
      </c>
    </row>
    <row r="7466" spans="1:10" x14ac:dyDescent="0.3">
      <c r="A7466" t="str">
        <f>HYPERLINK("https://us2.cloudbeds.com/connect/10074733072513#/reservations/31675490013400?display=MH7Z66N2C&amp;reservation_id=31675490013400", "MH7Z66N2C")</f>
        <v>MH7Z66N2C</v>
      </c>
      <c r="B7466" t="s">
        <v>10</v>
      </c>
      <c r="C7466" t="s">
        <v>11</v>
      </c>
      <c r="D7466" t="str">
        <f>HYPERLINK("https://us2.cloudbeds.com/connect/10074733072513#/reservations/31675490013400?display=Miceal%20Carnahan&amp;reservation_id=31675490013400&amp;guest_id=31675490013397", "Miceal Carnahan")</f>
        <v>Miceal Carnahan</v>
      </c>
      <c r="E7466" t="s">
        <v>4612</v>
      </c>
      <c r="F7466" t="s">
        <v>5256</v>
      </c>
      <c r="G7466">
        <v>156.72</v>
      </c>
      <c r="H7466">
        <v>170.36</v>
      </c>
      <c r="I7466">
        <v>170.35</v>
      </c>
      <c r="J7466">
        <v>0.01</v>
      </c>
    </row>
    <row r="7467" spans="1:10" x14ac:dyDescent="0.3">
      <c r="A7467" t="str">
        <f>HYPERLINK("https://us2.cloudbeds.com/connect/10074733072513#/reservations/31675373805753?display=MH7Y771YH&amp;reservation_id=31675373805753", "MH7Y771YH")</f>
        <v>MH7Y771YH</v>
      </c>
      <c r="B7467" t="s">
        <v>10</v>
      </c>
      <c r="C7467" t="s">
        <v>42</v>
      </c>
      <c r="D7467" t="str">
        <f>HYPERLINK("https://us2.cloudbeds.com/connect/10074733072513#/reservations/31675373805753?display=Jessica%20Paulsen&amp;reservation_id=31675373805753&amp;guest_id=31675373805704", "Jessica Paulsen")</f>
        <v>Jessica Paulsen</v>
      </c>
      <c r="E7467" t="s">
        <v>5342</v>
      </c>
      <c r="F7467" t="s">
        <v>4825</v>
      </c>
      <c r="G7467">
        <v>159</v>
      </c>
      <c r="H7467">
        <v>172.84</v>
      </c>
      <c r="I7467">
        <v>172.83</v>
      </c>
      <c r="J7467">
        <v>0.01</v>
      </c>
    </row>
    <row r="7468" spans="1:10" x14ac:dyDescent="0.3">
      <c r="A7468" t="str">
        <f>HYPERLINK("https://us2.cloudbeds.com/connect/10074733072513#/reservations/31674605908123?display=MH71JN5GC&amp;reservation_id=31674605908123", "MH71JN5GC")</f>
        <v>MH71JN5GC</v>
      </c>
      <c r="B7468" t="s">
        <v>10</v>
      </c>
      <c r="C7468" t="s">
        <v>17</v>
      </c>
      <c r="D7468" t="str">
        <f>HYPERLINK("https://us2.cloudbeds.com/connect/10074733072513#/reservations/31674605908123?display=Eric%20Hiemstra&amp;reservation_id=31674605908123&amp;guest_id=31674605908121", "Eric Hiemstra")</f>
        <v>Eric Hiemstra</v>
      </c>
      <c r="E7468" t="s">
        <v>5344</v>
      </c>
      <c r="F7468" t="s">
        <v>5082</v>
      </c>
      <c r="G7468">
        <v>159</v>
      </c>
      <c r="H7468">
        <v>172.84</v>
      </c>
      <c r="I7468">
        <v>172.83</v>
      </c>
      <c r="J7468">
        <v>0.01</v>
      </c>
    </row>
    <row r="7469" spans="1:10" x14ac:dyDescent="0.3">
      <c r="A7469" t="str">
        <f>HYPERLINK("https://us2.cloudbeds.com/connect/10074733072513#/reservations/31676750307466?display=MH8NCU7TY&amp;reservation_id=31676750307466", "MH8NCU7TY")</f>
        <v>MH8NCU7TY</v>
      </c>
      <c r="B7469" t="s">
        <v>10</v>
      </c>
      <c r="C7469" t="s">
        <v>20</v>
      </c>
      <c r="D7469" t="str">
        <f>HYPERLINK("https://us2.cloudbeds.com/connect/10074733072513#/reservations/31676750307466?display=Cathy%20Markus&amp;reservation_id=31676750307466&amp;guest_id=31676742471921", "Cathy Markus")</f>
        <v>Cathy Markus</v>
      </c>
      <c r="E7469" t="s">
        <v>5345</v>
      </c>
      <c r="F7469" t="s">
        <v>5082</v>
      </c>
      <c r="G7469">
        <v>258</v>
      </c>
      <c r="H7469">
        <v>280.45999999999998</v>
      </c>
      <c r="I7469">
        <v>280.45</v>
      </c>
      <c r="J7469">
        <v>0.01</v>
      </c>
    </row>
    <row r="7470" spans="1:10" x14ac:dyDescent="0.3">
      <c r="A7470" t="str">
        <f>HYPERLINK("https://us2.cloudbeds.com/connect/10074733072513#/reservations/31678669193460?display=MHA6DW2B2&amp;reservation_id=31678669193460", "MHA6DW2B2")</f>
        <v>MHA6DW2B2</v>
      </c>
      <c r="B7470" t="s">
        <v>10</v>
      </c>
      <c r="C7470" t="s">
        <v>23</v>
      </c>
      <c r="D7470" t="str">
        <f>HYPERLINK("https://us2.cloudbeds.com/connect/10074733072513#/reservations/31678669193460?display=Cheryl%20Wemhoffg&amp;reservation_id=31678669193460&amp;guest_id=31678669193458", "Cheryl Wemhoffg")</f>
        <v>Cheryl Wemhoffg</v>
      </c>
      <c r="E7470" t="s">
        <v>5346</v>
      </c>
      <c r="F7470" t="s">
        <v>5265</v>
      </c>
      <c r="G7470">
        <v>149</v>
      </c>
      <c r="H7470">
        <v>161.97</v>
      </c>
      <c r="I7470">
        <v>161.96</v>
      </c>
      <c r="J7470">
        <v>0.01</v>
      </c>
    </row>
    <row r="7471" spans="1:10" x14ac:dyDescent="0.3">
      <c r="A7471" t="str">
        <f>HYPERLINK("https://us2.cloudbeds.com/connect/10074733072513#/reservations/31676634194145?display=MH8KE0735&amp;reservation_id=31676634194145", "MH8KE0735")</f>
        <v>MH8KE0735</v>
      </c>
      <c r="B7471" t="s">
        <v>10</v>
      </c>
      <c r="C7471" t="s">
        <v>14</v>
      </c>
      <c r="D7471" t="str">
        <f>HYPERLINK("https://us2.cloudbeds.com/connect/10074733072513#/reservations/31676634194145?display=Andrew%20Chlebek&amp;reservation_id=31676634194145&amp;guest_id=31676634194128", "Andrew Chlebek")</f>
        <v>Andrew Chlebek</v>
      </c>
      <c r="E7471" t="s">
        <v>5350</v>
      </c>
      <c r="F7471" t="s">
        <v>5082</v>
      </c>
      <c r="G7471">
        <v>211.88</v>
      </c>
      <c r="H7471">
        <v>230.32</v>
      </c>
      <c r="I7471">
        <v>230.31</v>
      </c>
      <c r="J7471">
        <v>0.01</v>
      </c>
    </row>
    <row r="7472" spans="1:10" x14ac:dyDescent="0.3">
      <c r="A7472" t="str">
        <f>HYPERLINK("https://us2.cloudbeds.com/connect/10074733072513#/reservations/31678711402628?display=MHA7GXJTP&amp;reservation_id=31678711402628", "MHA7GXJTP")</f>
        <v>MHA7GXJTP</v>
      </c>
      <c r="B7472" t="s">
        <v>10</v>
      </c>
      <c r="C7472" t="s">
        <v>23</v>
      </c>
      <c r="D7472" t="str">
        <f>HYPERLINK("https://us2.cloudbeds.com/connect/10074733072513#/reservations/31678711402628?display=Jill%20Marie%20Becker&amp;reservation_id=31678711402628&amp;guest_id=31678711402625", "Jill Marie Becker")</f>
        <v>Jill Marie Becker</v>
      </c>
      <c r="E7472" t="s">
        <v>5351</v>
      </c>
      <c r="F7472" t="s">
        <v>5265</v>
      </c>
      <c r="G7472">
        <v>298</v>
      </c>
      <c r="H7472">
        <v>323.94</v>
      </c>
      <c r="I7472">
        <v>323.93</v>
      </c>
      <c r="J7472">
        <v>0.01</v>
      </c>
    </row>
    <row r="7473" spans="1:10" x14ac:dyDescent="0.3">
      <c r="A7473" t="str">
        <f>HYPERLINK("https://us2.cloudbeds.com/connect/10074733072513#/reservations/31675410731143?display=MH7M5BX8Z&amp;reservation_id=31675410731143", "MH7M5BX8Z")</f>
        <v>MH7M5BX8Z</v>
      </c>
      <c r="B7473" t="s">
        <v>10</v>
      </c>
      <c r="C7473" t="s">
        <v>42</v>
      </c>
      <c r="D7473" t="str">
        <f>HYPERLINK("https://us2.cloudbeds.com/connect/10074733072513#/reservations/31675410731143?display=Robert%20Lee&amp;reservation_id=31675410731143&amp;guest_id=31675410731139", "Robert Lee")</f>
        <v>Robert Lee</v>
      </c>
      <c r="E7473" t="s">
        <v>5352</v>
      </c>
      <c r="F7473" t="s">
        <v>5256</v>
      </c>
      <c r="G7473">
        <v>129</v>
      </c>
      <c r="H7473">
        <v>140.22999999999999</v>
      </c>
      <c r="I7473">
        <v>140.22</v>
      </c>
      <c r="J7473">
        <v>0.01</v>
      </c>
    </row>
    <row r="7474" spans="1:10" x14ac:dyDescent="0.3">
      <c r="A7474" t="str">
        <f>HYPERLINK("https://us2.cloudbeds.com/connect/10074733072513#/reservations/31674523529380?display=MH6WG7S8R&amp;reservation_id=31674523529380", "MH6WG7S8R")</f>
        <v>MH6WG7S8R</v>
      </c>
      <c r="B7474" t="s">
        <v>10</v>
      </c>
      <c r="C7474" t="s">
        <v>42</v>
      </c>
      <c r="D7474" t="str">
        <f>HYPERLINK("https://us2.cloudbeds.com/connect/10074733072513#/reservations/31674523529380?display=Emanuel%20Benson%20Underground&amp;reservation_id=31674523529380&amp;guest_id=31674523529375", "Emanuel Benson Underground")</f>
        <v>Emanuel Benson Underground</v>
      </c>
      <c r="E7474" t="s">
        <v>5353</v>
      </c>
      <c r="F7474" t="s">
        <v>5348</v>
      </c>
      <c r="G7474">
        <v>158</v>
      </c>
      <c r="H7474">
        <v>171.76</v>
      </c>
      <c r="I7474">
        <v>171.75</v>
      </c>
      <c r="J7474">
        <v>0.01</v>
      </c>
    </row>
    <row r="7475" spans="1:10" x14ac:dyDescent="0.3">
      <c r="A7475" t="str">
        <f>HYPERLINK("https://us2.cloudbeds.com/connect/10074733072513#/reservations/31674535682237?display=MH6WQG0U7&amp;reservation_id=31674535682237", "MH6WQG0U7")</f>
        <v>MH6WQG0U7</v>
      </c>
      <c r="B7475" t="s">
        <v>10</v>
      </c>
      <c r="C7475" t="s">
        <v>42</v>
      </c>
      <c r="D7475" t="str">
        <f>HYPERLINK("https://us2.cloudbeds.com/connect/10074733072513#/reservations/31674535682237?display=Dee%20Lawrence%20Underground&amp;reservation_id=31674535682237&amp;guest_id=31674535682222", "Dee Lawrence Underground")</f>
        <v>Dee Lawrence Underground</v>
      </c>
      <c r="E7475" t="s">
        <v>5354</v>
      </c>
      <c r="F7475" t="s">
        <v>5348</v>
      </c>
      <c r="G7475">
        <v>158</v>
      </c>
      <c r="H7475">
        <v>171.76</v>
      </c>
      <c r="I7475">
        <v>171.75</v>
      </c>
      <c r="J7475">
        <v>0.01</v>
      </c>
    </row>
    <row r="7476" spans="1:10" x14ac:dyDescent="0.3">
      <c r="A7476" t="str">
        <f>HYPERLINK("https://us2.cloudbeds.com/connect/10074733072513#/reservations/31675504881870?display=MH7ZXZED2&amp;reservation_id=31675504881870", "MH7ZXZED2")</f>
        <v>MH7ZXZED2</v>
      </c>
      <c r="B7476" t="s">
        <v>10</v>
      </c>
      <c r="C7476" t="s">
        <v>42</v>
      </c>
      <c r="D7476" t="str">
        <f>HYPERLINK("https://us2.cloudbeds.com/connect/10074733072513#/reservations/31675504881870?display=Susan%20Thomas&amp;reservation_id=31675504881870&amp;guest_id=31675504881858", "Susan Thomas")</f>
        <v>Susan Thomas</v>
      </c>
      <c r="E7476" t="s">
        <v>5356</v>
      </c>
      <c r="F7476" t="s">
        <v>5256</v>
      </c>
      <c r="G7476">
        <v>258</v>
      </c>
      <c r="H7476">
        <v>280.45999999999998</v>
      </c>
      <c r="I7476">
        <v>280.45</v>
      </c>
      <c r="J7476">
        <v>0.01</v>
      </c>
    </row>
    <row r="7477" spans="1:10" x14ac:dyDescent="0.3">
      <c r="A7477" t="str">
        <f>HYPERLINK("https://us2.cloudbeds.com/connect/10074733072513#/reservations/31676377706712?display=MH8DSZ2EN&amp;reservation_id=31676377706712", "MH8DSZ2EN")</f>
        <v>MH8DSZ2EN</v>
      </c>
      <c r="B7477" t="s">
        <v>10</v>
      </c>
      <c r="C7477" t="s">
        <v>121</v>
      </c>
      <c r="D7477" t="str">
        <f>HYPERLINK("https://us2.cloudbeds.com/connect/10074733072513#/reservations/31676377706712?display=Cindy%20Derksen&amp;reservation_id=31676377706712&amp;guest_id=31676377706710", "Cindy Derksen")</f>
        <v>Cindy Derksen</v>
      </c>
      <c r="E7477" t="s">
        <v>5357</v>
      </c>
      <c r="F7477" t="s">
        <v>5348</v>
      </c>
      <c r="G7477">
        <v>109</v>
      </c>
      <c r="H7477">
        <v>118.49</v>
      </c>
      <c r="I7477">
        <v>118.48</v>
      </c>
      <c r="J7477">
        <v>0.01</v>
      </c>
    </row>
    <row r="7478" spans="1:10" x14ac:dyDescent="0.3">
      <c r="A7478" t="str">
        <f>HYPERLINK("https://us2.cloudbeds.com/connect/10074733072513#/reservations/31674560323734?display=MH70E8NX8&amp;reservation_id=31674560323734", "MH70E8NX8")</f>
        <v>MH70E8NX8</v>
      </c>
      <c r="B7478" t="s">
        <v>10</v>
      </c>
      <c r="C7478" t="s">
        <v>42</v>
      </c>
      <c r="D7478" t="str">
        <f>HYPERLINK("https://us2.cloudbeds.com/connect/10074733072513#/reservations/31674560323734?display=Benjamin%20Bacherok&amp;reservation_id=31674560323734&amp;guest_id=31674560323729", "Benjamin Bacherok")</f>
        <v>Benjamin Bacherok</v>
      </c>
      <c r="E7478" t="s">
        <v>5358</v>
      </c>
      <c r="F7478" t="s">
        <v>5348</v>
      </c>
      <c r="G7478">
        <v>109</v>
      </c>
      <c r="H7478">
        <v>118.49</v>
      </c>
      <c r="I7478">
        <v>118.48</v>
      </c>
      <c r="J7478">
        <v>0.01</v>
      </c>
    </row>
    <row r="7479" spans="1:10" x14ac:dyDescent="0.3">
      <c r="A7479" t="str">
        <f>HYPERLINK("https://us2.cloudbeds.com/connect/10074733072513#/reservations/31674540462236?display=MH6WUH18M&amp;reservation_id=31674540462236", "MH6WUH18M")</f>
        <v>MH6WUH18M</v>
      </c>
      <c r="B7479" t="s">
        <v>10</v>
      </c>
      <c r="C7479" t="s">
        <v>42</v>
      </c>
      <c r="D7479" t="str">
        <f>HYPERLINK("https://us2.cloudbeds.com/connect/10074733072513#/reservations/31674540462236?display=William%20Bodin&amp;reservation_id=31674540462236&amp;guest_id=31674540462221", "William Bodin")</f>
        <v>William Bodin</v>
      </c>
      <c r="E7479" t="s">
        <v>5359</v>
      </c>
      <c r="F7479" t="s">
        <v>5348</v>
      </c>
      <c r="G7479">
        <v>158</v>
      </c>
      <c r="H7479">
        <v>171.76</v>
      </c>
      <c r="I7479">
        <v>171.75</v>
      </c>
      <c r="J7479">
        <v>0.01</v>
      </c>
    </row>
    <row r="7480" spans="1:10" x14ac:dyDescent="0.3">
      <c r="A7480" t="str">
        <f>HYPERLINK("https://us2.cloudbeds.com/connect/10074733072513#/reservations/31678141296801?display=MH9PURXZK&amp;reservation_id=31678141296801", "MH9PURXZK")</f>
        <v>MH9PURXZK</v>
      </c>
      <c r="B7480" t="s">
        <v>10</v>
      </c>
      <c r="C7480" t="s">
        <v>20</v>
      </c>
      <c r="D7480" t="str">
        <f>HYPERLINK("https://us2.cloudbeds.com/connect/10074733072513#/reservations/31678141296801?display=Alex%20Rossow&amp;reservation_id=31678141296801&amp;guest_id=31678141296796", "Alex Rossow")</f>
        <v>Alex Rossow</v>
      </c>
      <c r="E7480" t="s">
        <v>5362</v>
      </c>
      <c r="F7480" t="s">
        <v>4577</v>
      </c>
      <c r="G7480">
        <v>338</v>
      </c>
      <c r="H7480">
        <v>367.42</v>
      </c>
      <c r="I7480">
        <v>367.41</v>
      </c>
      <c r="J7480">
        <v>0.01</v>
      </c>
    </row>
    <row r="7481" spans="1:10" x14ac:dyDescent="0.3">
      <c r="A7481" t="str">
        <f>HYPERLINK("https://us2.cloudbeds.com/connect/10074733072513#/reservations/31676397265151?display=MH8EC7AEM&amp;reservation_id=31676397265151", "MH8EC7AEM")</f>
        <v>MH8EC7AEM</v>
      </c>
      <c r="B7481" t="s">
        <v>10</v>
      </c>
      <c r="C7481" t="s">
        <v>42</v>
      </c>
      <c r="D7481" t="str">
        <f>HYPERLINK("https://us2.cloudbeds.com/connect/10074733072513#/reservations/31676397265151?display=Israel%20Reedy&amp;reservation_id=31676397265151&amp;guest_id=31676397265092", "Israel Reedy")</f>
        <v>Israel Reedy</v>
      </c>
      <c r="E7481" t="s">
        <v>5363</v>
      </c>
      <c r="F7481" t="s">
        <v>5348</v>
      </c>
      <c r="G7481">
        <v>109</v>
      </c>
      <c r="H7481">
        <v>118.49</v>
      </c>
      <c r="I7481">
        <v>118.48</v>
      </c>
      <c r="J7481">
        <v>0.01</v>
      </c>
    </row>
    <row r="7482" spans="1:10" x14ac:dyDescent="0.3">
      <c r="A7482" t="str">
        <f>HYPERLINK("https://us2.cloudbeds.com/connect/10074733072513#/reservations/31676764713214?display=MH8NP23AF&amp;reservation_id=31676764713214", "MH8NP23AF")</f>
        <v>MH8NP23AF</v>
      </c>
      <c r="B7482" t="s">
        <v>10</v>
      </c>
      <c r="C7482" t="s">
        <v>20</v>
      </c>
      <c r="D7482" t="str">
        <f>HYPERLINK("https://us2.cloudbeds.com/connect/10074733072513#/reservations/31676764713214?display=Matthew%20Hanson&amp;reservation_id=31676764713214&amp;guest_id=31676764713209", "Matthew Hanson")</f>
        <v>Matthew Hanson</v>
      </c>
      <c r="E7482" t="s">
        <v>5364</v>
      </c>
      <c r="F7482" t="s">
        <v>5082</v>
      </c>
      <c r="G7482">
        <v>129</v>
      </c>
      <c r="H7482">
        <v>140.22999999999999</v>
      </c>
      <c r="I7482">
        <v>140.22</v>
      </c>
      <c r="J7482">
        <v>0.01</v>
      </c>
    </row>
    <row r="7483" spans="1:10" x14ac:dyDescent="0.3">
      <c r="A7483" t="str">
        <f>HYPERLINK("https://us2.cloudbeds.com/connect/10074733072513#/reservations/31684270592195?display=MHEHX785M&amp;reservation_id=31684270592195", "MHEHX785M")</f>
        <v>MHEHX785M</v>
      </c>
      <c r="B7483" t="s">
        <v>10</v>
      </c>
      <c r="C7483" t="s">
        <v>42</v>
      </c>
      <c r="D7483" t="str">
        <f>HYPERLINK("https://us2.cloudbeds.com/connect/10074733072513#/reservations/31684270592195?display=Jesse%20Briggs&amp;reservation_id=31684270592195&amp;guest_id=31684270588146", "Jesse Briggs")</f>
        <v>Jesse Briggs</v>
      </c>
      <c r="E7483" t="s">
        <v>5365</v>
      </c>
      <c r="F7483" t="s">
        <v>5366</v>
      </c>
      <c r="G7483">
        <v>170</v>
      </c>
      <c r="H7483">
        <v>184.8</v>
      </c>
      <c r="I7483">
        <v>184.79</v>
      </c>
      <c r="J7483">
        <v>0.01</v>
      </c>
    </row>
    <row r="7484" spans="1:10" x14ac:dyDescent="0.3">
      <c r="A7484" t="str">
        <f>HYPERLINK("https://us2.cloudbeds.com/connect/10074733072513#/reservations/31678972534982?display=MHAE5ZWSC&amp;reservation_id=31678972534982", "MHAE5ZWSC")</f>
        <v>MHAE5ZWSC</v>
      </c>
      <c r="B7484" t="s">
        <v>10</v>
      </c>
      <c r="C7484" t="s">
        <v>17</v>
      </c>
      <c r="D7484" t="str">
        <f>HYPERLINK("https://us2.cloudbeds.com/connect/10074733072513#/reservations/31678972534982?display=Jeromy%20Gednalske&amp;reservation_id=31678972534982&amp;guest_id=31678965919981", "Jeromy Gednalske")</f>
        <v>Jeromy Gednalske</v>
      </c>
      <c r="E7484" t="s">
        <v>5367</v>
      </c>
      <c r="F7484" t="s">
        <v>5368</v>
      </c>
      <c r="G7484">
        <v>278</v>
      </c>
      <c r="H7484">
        <v>302.2</v>
      </c>
      <c r="I7484">
        <v>302.19</v>
      </c>
      <c r="J7484">
        <v>0.01</v>
      </c>
    </row>
    <row r="7485" spans="1:10" x14ac:dyDescent="0.3">
      <c r="A7485" t="str">
        <f>HYPERLINK("https://us2.cloudbeds.com/connect/10074733072513#/reservations/31678448955550?display=MHA0Q8KM0&amp;reservation_id=31678448955550", "MHA0Q8KM0")</f>
        <v>MHA0Q8KM0</v>
      </c>
      <c r="B7485" t="s">
        <v>10</v>
      </c>
      <c r="C7485" t="s">
        <v>23</v>
      </c>
      <c r="D7485" t="str">
        <f>HYPERLINK("https://us2.cloudbeds.com/connect/10074733072513#/reservations/31678448955550?display=Robby%20Johnson&amp;reservation_id=31678448955550&amp;guest_id=31678448955535", "Robby Johnson")</f>
        <v>Robby Johnson</v>
      </c>
      <c r="E7485" t="s">
        <v>5369</v>
      </c>
      <c r="F7485" t="s">
        <v>3334</v>
      </c>
      <c r="G7485">
        <v>159</v>
      </c>
      <c r="H7485">
        <v>172.84</v>
      </c>
      <c r="I7485">
        <v>172.83</v>
      </c>
      <c r="J7485">
        <v>0.01</v>
      </c>
    </row>
    <row r="7486" spans="1:10" x14ac:dyDescent="0.3">
      <c r="A7486" t="str">
        <f>HYPERLINK("https://us2.cloudbeds.com/connect/10074733072513#/reservations/31676553625741?display=MH8XC298C&amp;reservation_id=31676553625741", "MH8XC298C")</f>
        <v>MH8XC298C</v>
      </c>
      <c r="B7486" t="s">
        <v>10</v>
      </c>
      <c r="C7486" t="s">
        <v>20</v>
      </c>
      <c r="D7486" t="str">
        <f>HYPERLINK("https://us2.cloudbeds.com/connect/10074733072513#/reservations/31676553625741?display=Don%20Hughbanks&amp;reservation_id=31676553625741&amp;guest_id=31676546871478", "Don Hughbanks")</f>
        <v>Don Hughbanks</v>
      </c>
      <c r="E7486" t="s">
        <v>5371</v>
      </c>
      <c r="F7486" t="s">
        <v>4829</v>
      </c>
      <c r="G7486">
        <v>141.55000000000001</v>
      </c>
      <c r="H7486">
        <v>153.87</v>
      </c>
      <c r="I7486">
        <v>153.86000000000001</v>
      </c>
      <c r="J7486">
        <v>0.01</v>
      </c>
    </row>
    <row r="7487" spans="1:10" x14ac:dyDescent="0.3">
      <c r="A7487" t="str">
        <f>HYPERLINK("https://us2.cloudbeds.com/connect/10074733072513#/reservations/31676530569351?display=MH8HPKN5T&amp;reservation_id=31676530569351", "MH8HPKN5T")</f>
        <v>MH8HPKN5T</v>
      </c>
      <c r="B7487" t="s">
        <v>10</v>
      </c>
      <c r="C7487" t="s">
        <v>121</v>
      </c>
      <c r="D7487" t="str">
        <f>HYPERLINK("https://us2.cloudbeds.com/connect/10074733072513#/reservations/31676530569351?display=Hitomi%20Nakasone&amp;reservation_id=31676530569351&amp;guest_id=30670324920531", "Hitomi Nakasone")</f>
        <v>Hitomi Nakasone</v>
      </c>
      <c r="E7487" t="s">
        <v>4910</v>
      </c>
      <c r="F7487" t="s">
        <v>4829</v>
      </c>
      <c r="G7487">
        <v>119</v>
      </c>
      <c r="H7487">
        <v>129.36000000000001</v>
      </c>
      <c r="I7487">
        <v>129.35</v>
      </c>
      <c r="J7487">
        <v>0.01</v>
      </c>
    </row>
    <row r="7488" spans="1:10" x14ac:dyDescent="0.3">
      <c r="A7488" t="str">
        <f>HYPERLINK("https://us2.cloudbeds.com/connect/10074733072513#/reservations/31676403994771?display=MH8EHTJ2X&amp;reservation_id=31676403994771", "MH8EHTJ2X")</f>
        <v>MH8EHTJ2X</v>
      </c>
      <c r="B7488" t="s">
        <v>10</v>
      </c>
      <c r="C7488" t="s">
        <v>42</v>
      </c>
      <c r="D7488" t="str">
        <f>HYPERLINK("https://us2.cloudbeds.com/connect/10074733072513#/reservations/31676403994771?display=Joel%20Waldron&amp;reservation_id=31676403994771&amp;guest_id=31676403990680", "Joel Waldron")</f>
        <v>Joel Waldron</v>
      </c>
      <c r="E7488" t="s">
        <v>5372</v>
      </c>
      <c r="F7488" t="s">
        <v>5348</v>
      </c>
      <c r="G7488">
        <v>73</v>
      </c>
      <c r="H7488">
        <v>79.36</v>
      </c>
      <c r="I7488">
        <v>79.349999999999994</v>
      </c>
      <c r="J7488">
        <v>0.01</v>
      </c>
    </row>
    <row r="7489" spans="1:10" x14ac:dyDescent="0.3">
      <c r="A7489" t="str">
        <f>HYPERLINK("https://us2.cloudbeds.com/connect/10074733072513#/reservations/31675757994188?display=MH7V15YPA&amp;reservation_id=31675757994188", "MH7V15YPA")</f>
        <v>MH7V15YPA</v>
      </c>
      <c r="B7489" t="s">
        <v>10</v>
      </c>
      <c r="C7489" t="s">
        <v>42</v>
      </c>
      <c r="D7489" t="str">
        <f>HYPERLINK("https://us2.cloudbeds.com/connect/10074733072513#/reservations/31675757994188?display=Cindy%20Temme&amp;reservation_id=31675757994188&amp;guest_id=31675757994186", "Cindy Temme")</f>
        <v>Cindy Temme</v>
      </c>
      <c r="E7489" t="s">
        <v>5373</v>
      </c>
      <c r="F7489" t="s">
        <v>4346</v>
      </c>
      <c r="G7489">
        <v>149</v>
      </c>
      <c r="H7489">
        <v>161.97</v>
      </c>
      <c r="I7489">
        <v>161.96</v>
      </c>
      <c r="J7489">
        <v>0.01</v>
      </c>
    </row>
    <row r="7490" spans="1:10" x14ac:dyDescent="0.3">
      <c r="A7490" t="str">
        <f>HYPERLINK("https://us2.cloudbeds.com/connect/10074733072513#/reservations/31675772027033?display=MH7VD04P0&amp;reservation_id=31675772027033", "MH7VD04P0")</f>
        <v>MH7VD04P0</v>
      </c>
      <c r="B7490" t="s">
        <v>10</v>
      </c>
      <c r="C7490" t="s">
        <v>42</v>
      </c>
      <c r="D7490" t="str">
        <f>HYPERLINK("https://us2.cloudbeds.com/connect/10074733072513#/reservations/31675772027033?display=Justin%20Temme&amp;reservation_id=31675772027033&amp;guest_id=31675757998279", "Justin Temme")</f>
        <v>Justin Temme</v>
      </c>
      <c r="E7490" t="s">
        <v>5375</v>
      </c>
      <c r="F7490" t="s">
        <v>4346</v>
      </c>
      <c r="G7490">
        <v>79</v>
      </c>
      <c r="H7490">
        <v>85.88</v>
      </c>
      <c r="I7490">
        <v>85.87</v>
      </c>
      <c r="J7490">
        <v>0.01</v>
      </c>
    </row>
    <row r="7491" spans="1:10" x14ac:dyDescent="0.3">
      <c r="A7491" t="str">
        <f>HYPERLINK("https://us2.cloudbeds.com/connect/10074733072513#/reservations/31676332863649?display=MH8CNU880&amp;reservation_id=31676332863649", "MH8CNU880")</f>
        <v>MH8CNU880</v>
      </c>
      <c r="B7491" t="s">
        <v>10</v>
      </c>
      <c r="C7491" t="s">
        <v>42</v>
      </c>
      <c r="D7491" t="str">
        <f>HYPERLINK("https://us2.cloudbeds.com/connect/10074733072513#/reservations/31676332863649?display=Krista%20Atyeo-Gortmaker&amp;reservation_id=31676332863649&amp;guest_id=31676332863647", "Krista Atyeo-Gortmaker")</f>
        <v>Krista Atyeo-Gortmaker</v>
      </c>
      <c r="E7491" t="s">
        <v>5376</v>
      </c>
      <c r="F7491" t="s">
        <v>5377</v>
      </c>
      <c r="G7491">
        <v>109</v>
      </c>
      <c r="H7491">
        <v>118.49</v>
      </c>
      <c r="I7491">
        <v>118.48</v>
      </c>
      <c r="J7491">
        <v>0.01</v>
      </c>
    </row>
    <row r="7492" spans="1:10" x14ac:dyDescent="0.3">
      <c r="A7492" t="str">
        <f>HYPERLINK("https://us2.cloudbeds.com/connect/10074733072513#/reservations/31675511578789?display=MH7ZZCQ00&amp;reservation_id=31675511578789", "MH7ZZCQ00")</f>
        <v>MH7ZZCQ00</v>
      </c>
      <c r="B7492" t="s">
        <v>10</v>
      </c>
      <c r="C7492" t="s">
        <v>42</v>
      </c>
      <c r="D7492" t="str">
        <f>HYPERLINK("https://us2.cloudbeds.com/connect/10074733072513#/reservations/31675511578789?display=Jessica%20Voelker&amp;reservation_id=31675511578789&amp;guest_id=30679345828030", "Jessica Voelker")</f>
        <v>Jessica Voelker</v>
      </c>
      <c r="E7492" t="s">
        <v>5379</v>
      </c>
      <c r="F7492" t="s">
        <v>5256</v>
      </c>
      <c r="G7492">
        <v>139</v>
      </c>
      <c r="H7492">
        <v>151.1</v>
      </c>
      <c r="I7492">
        <v>151.09</v>
      </c>
      <c r="J7492">
        <v>0.01</v>
      </c>
    </row>
    <row r="7493" spans="1:10" x14ac:dyDescent="0.3">
      <c r="A7493" t="str">
        <f>HYPERLINK("https://us2.cloudbeds.com/connect/10074733072513#/reservations/31674052239514?display=MH6KERH6Z&amp;reservation_id=31674052239514", "MH6KERH6Z")</f>
        <v>MH6KERH6Z</v>
      </c>
      <c r="B7493" t="s">
        <v>10</v>
      </c>
      <c r="C7493" t="s">
        <v>42</v>
      </c>
      <c r="D7493" t="str">
        <f>HYPERLINK("https://us2.cloudbeds.com/connect/10074733072513#/reservations/31674052239514?display=Eric%20Dufrane&amp;reservation_id=31674052239514&amp;guest_id=31674052239509", "Eric Dufrane")</f>
        <v>Eric Dufrane</v>
      </c>
      <c r="E7493" t="s">
        <v>5380</v>
      </c>
      <c r="F7493" t="s">
        <v>5172</v>
      </c>
      <c r="G7493">
        <v>159</v>
      </c>
      <c r="H7493">
        <v>172.84</v>
      </c>
      <c r="I7493">
        <v>172.83</v>
      </c>
      <c r="J7493">
        <v>0.01</v>
      </c>
    </row>
    <row r="7494" spans="1:10" x14ac:dyDescent="0.3">
      <c r="A7494" t="str">
        <f>HYPERLINK("https://us2.cloudbeds.com/connect/10074733072513#/reservations/31675752329392?display=MH7UTD0UR&amp;reservation_id=31675752329392", "MH7UTD0UR")</f>
        <v>MH7UTD0UR</v>
      </c>
      <c r="B7494" t="s">
        <v>10</v>
      </c>
      <c r="C7494" t="s">
        <v>42</v>
      </c>
      <c r="D7494" t="str">
        <f>HYPERLINK("https://us2.cloudbeds.com/connect/10074733072513#/reservations/31675752329392?display=Angela%20Temme&amp;reservation_id=31675752329392&amp;guest_id=30678222774472", "Angela Temme")</f>
        <v>Angela Temme</v>
      </c>
      <c r="E7494" t="s">
        <v>5382</v>
      </c>
      <c r="F7494" t="s">
        <v>4346</v>
      </c>
      <c r="G7494">
        <v>79</v>
      </c>
      <c r="H7494">
        <v>85.88</v>
      </c>
      <c r="I7494">
        <v>85.87</v>
      </c>
      <c r="J7494">
        <v>0.01</v>
      </c>
    </row>
    <row r="7495" spans="1:10" x14ac:dyDescent="0.3">
      <c r="A7495" t="str">
        <f>HYPERLINK("https://us2.cloudbeds.com/connect/10074733072513#/reservations/31674031182038?display=MH6JU2XMB&amp;reservation_id=31674031182038", "MH6JU2XMB")</f>
        <v>MH6JU2XMB</v>
      </c>
      <c r="B7495" t="s">
        <v>10</v>
      </c>
      <c r="C7495" t="s">
        <v>11</v>
      </c>
      <c r="D7495" t="str">
        <f>HYPERLINK("https://us2.cloudbeds.com/connect/10074733072513#/reservations/31674031182038?display=Robert%20Russell&amp;reservation_id=31674031182038&amp;guest_id=31674031182031", "Robert Russell")</f>
        <v>Robert Russell</v>
      </c>
      <c r="E7495" t="s">
        <v>1319</v>
      </c>
      <c r="F7495" t="s">
        <v>5172</v>
      </c>
      <c r="G7495">
        <v>87.84</v>
      </c>
      <c r="H7495">
        <v>95.49</v>
      </c>
      <c r="I7495">
        <v>95.48</v>
      </c>
      <c r="J7495">
        <v>0.01</v>
      </c>
    </row>
    <row r="7496" spans="1:10" x14ac:dyDescent="0.3">
      <c r="A7496" t="str">
        <f>HYPERLINK("https://us2.cloudbeds.com/connect/10074733072513#/reservations/31675840762000?display=MH804VQ8R&amp;reservation_id=31675840762000", "MH804VQ8R")</f>
        <v>MH804VQ8R</v>
      </c>
      <c r="B7496" t="s">
        <v>10</v>
      </c>
      <c r="C7496" t="s">
        <v>42</v>
      </c>
      <c r="D7496" t="str">
        <f>HYPERLINK("https://us2.cloudbeds.com/connect/10074733072513#/reservations/31675840762000?display=Rebecca%20Krenik&amp;reservation_id=31675840762000&amp;guest_id=31675840761995", "Rebecca Krenik")</f>
        <v>Rebecca Krenik</v>
      </c>
      <c r="E7496" t="s">
        <v>5386</v>
      </c>
      <c r="F7496" t="s">
        <v>4904</v>
      </c>
      <c r="G7496">
        <v>109</v>
      </c>
      <c r="H7496">
        <v>118.49</v>
      </c>
      <c r="I7496">
        <v>118.48</v>
      </c>
      <c r="J7496">
        <v>0.01</v>
      </c>
    </row>
    <row r="7497" spans="1:10" x14ac:dyDescent="0.3">
      <c r="A7497" t="str">
        <f>HYPERLINK("https://us2.cloudbeds.com/connect/10074733072513#/reservations/31676813516990?display=MH8P074HP&amp;reservation_id=31676813516990", "MH8P074HP")</f>
        <v>MH8P074HP</v>
      </c>
      <c r="B7497" t="s">
        <v>10</v>
      </c>
      <c r="C7497" t="s">
        <v>42</v>
      </c>
      <c r="D7497" t="str">
        <f>HYPERLINK("https://us2.cloudbeds.com/connect/10074733072513#/reservations/31676813516990?display=Amber%20Olson&amp;reservation_id=31676813516990&amp;guest_id=31676813516937", "Amber Olson")</f>
        <v>Amber Olson</v>
      </c>
      <c r="E7497" t="s">
        <v>5389</v>
      </c>
      <c r="F7497" t="s">
        <v>5082</v>
      </c>
      <c r="G7497">
        <v>149</v>
      </c>
      <c r="H7497">
        <v>161.97</v>
      </c>
      <c r="I7497">
        <v>161.96</v>
      </c>
      <c r="J7497">
        <v>0.01</v>
      </c>
    </row>
    <row r="7498" spans="1:10" x14ac:dyDescent="0.3">
      <c r="A7498" t="str">
        <f>HYPERLINK("https://us2.cloudbeds.com/connect/10074733072513#/reservations/31678909964471?display=MHACXWT0A&amp;reservation_id=31678909964471", "MHACXWT0A")</f>
        <v>MHACXWT0A</v>
      </c>
      <c r="B7498" t="s">
        <v>10</v>
      </c>
      <c r="C7498" t="s">
        <v>17</v>
      </c>
      <c r="D7498" t="str">
        <f>HYPERLINK("https://us2.cloudbeds.com/connect/10074733072513#/reservations/31678909964471?display=Leo%20Wu&amp;reservation_id=31678909964471&amp;guest_id=31678895837403", "Leo Wu")</f>
        <v>Leo Wu</v>
      </c>
      <c r="E7498" t="s">
        <v>5390</v>
      </c>
      <c r="F7498" t="s">
        <v>5048</v>
      </c>
      <c r="G7498">
        <v>189</v>
      </c>
      <c r="H7498">
        <v>205.45</v>
      </c>
      <c r="I7498">
        <v>205.44</v>
      </c>
      <c r="J7498">
        <v>0.01</v>
      </c>
    </row>
    <row r="7499" spans="1:10" x14ac:dyDescent="0.3">
      <c r="A7499" t="str">
        <f>HYPERLINK("https://us2.cloudbeds.com/connect/10074733072513#/reservations/31674076319961?display=MH6Y24JY8&amp;reservation_id=31674076319961", "MH6Y24JY8")</f>
        <v>MH6Y24JY8</v>
      </c>
      <c r="B7499" t="s">
        <v>10</v>
      </c>
      <c r="C7499" t="s">
        <v>20</v>
      </c>
      <c r="D7499" t="str">
        <f>HYPERLINK("https://us2.cloudbeds.com/connect/10074733072513#/reservations/31674076319961?display=Malissa%20Pierce&amp;reservation_id=31674076319961&amp;guest_id=31674076319957", "Malissa Pierce")</f>
        <v>Malissa Pierce</v>
      </c>
      <c r="E7499" t="s">
        <v>5394</v>
      </c>
      <c r="F7499" t="s">
        <v>5172</v>
      </c>
      <c r="G7499">
        <v>139</v>
      </c>
      <c r="H7499">
        <v>151.1</v>
      </c>
      <c r="I7499">
        <v>151.09</v>
      </c>
      <c r="J7499">
        <v>0.01</v>
      </c>
    </row>
    <row r="7500" spans="1:10" x14ac:dyDescent="0.3">
      <c r="A7500" t="str">
        <f>HYPERLINK("https://us2.cloudbeds.com/connect/10074733072513#/reservations/31678643597511?display=MHA5PCR88&amp;reservation_id=31678643597511", "MHA5PCR88")</f>
        <v>MHA5PCR88</v>
      </c>
      <c r="B7500" t="s">
        <v>10</v>
      </c>
      <c r="C7500" t="s">
        <v>20</v>
      </c>
      <c r="D7500" t="str">
        <f>HYPERLINK("https://us2.cloudbeds.com/connect/10074733072513#/reservations/31678643597511?display=Melissa%20Glodowski&amp;reservation_id=31678643597511&amp;guest_id=31678639100091", "Melissa Glodowski")</f>
        <v>Melissa Glodowski</v>
      </c>
      <c r="E7500" t="s">
        <v>5397</v>
      </c>
      <c r="F7500" t="s">
        <v>5265</v>
      </c>
      <c r="G7500">
        <v>298</v>
      </c>
      <c r="H7500">
        <v>323.94</v>
      </c>
      <c r="I7500">
        <v>323.93</v>
      </c>
      <c r="J7500">
        <v>0.01</v>
      </c>
    </row>
    <row r="7501" spans="1:10" x14ac:dyDescent="0.3">
      <c r="A7501" t="str">
        <f>HYPERLINK("https://us2.cloudbeds.com/connect/10074733072513#/reservations/31673806958804?display=MH6E607CV&amp;reservation_id=31673806958804", "MH6E607CV")</f>
        <v>MH6E607CV</v>
      </c>
      <c r="B7501" t="s">
        <v>10</v>
      </c>
      <c r="C7501" t="s">
        <v>17</v>
      </c>
      <c r="D7501" t="str">
        <f>HYPERLINK("https://us2.cloudbeds.com/connect/10074733072513#/reservations/31673806958804?display=Jamie%20Turpin&amp;reservation_id=31673806958804&amp;guest_id=31673794277575", "Jamie Turpin")</f>
        <v>Jamie Turpin</v>
      </c>
      <c r="E7501" t="s">
        <v>5398</v>
      </c>
      <c r="F7501" t="s">
        <v>4904</v>
      </c>
      <c r="G7501">
        <v>109</v>
      </c>
      <c r="H7501">
        <v>118.49</v>
      </c>
      <c r="I7501">
        <v>118.48</v>
      </c>
      <c r="J7501">
        <v>0.01</v>
      </c>
    </row>
    <row r="7502" spans="1:10" x14ac:dyDescent="0.3">
      <c r="A7502" t="str">
        <f>HYPERLINK("https://us2.cloudbeds.com/connect/10074733072513#/reservations/31673870717063?display=MH6FQPCUD&amp;reservation_id=31673870717063", "MH6FQPCUD")</f>
        <v>MH6FQPCUD</v>
      </c>
      <c r="B7502" t="s">
        <v>10</v>
      </c>
      <c r="C7502" t="s">
        <v>42</v>
      </c>
      <c r="D7502" t="str">
        <f>HYPERLINK("https://us2.cloudbeds.com/connect/10074733072513#/reservations/31673870717063?display=Clinton%20Dunwoody&amp;reservation_id=31673870717063&amp;guest_id=31673870717057", "Clinton Dunwoody")</f>
        <v>Clinton Dunwoody</v>
      </c>
      <c r="E7502" t="s">
        <v>5399</v>
      </c>
      <c r="F7502" t="s">
        <v>4904</v>
      </c>
      <c r="G7502">
        <v>238</v>
      </c>
      <c r="H7502">
        <v>258.72000000000003</v>
      </c>
      <c r="I7502">
        <v>258.70999999999998</v>
      </c>
      <c r="J7502">
        <v>0.01</v>
      </c>
    </row>
    <row r="7503" spans="1:10" x14ac:dyDescent="0.3">
      <c r="A7503" t="str">
        <f>HYPERLINK("https://us2.cloudbeds.com/connect/10074733072513#/reservations/31676758925510?display=MH8NK61KG&amp;reservation_id=31676758925510", "MH8NK61KG")</f>
        <v>MH8NK61KG</v>
      </c>
      <c r="B7503" t="s">
        <v>10</v>
      </c>
      <c r="C7503" t="s">
        <v>42</v>
      </c>
      <c r="D7503" t="str">
        <f>HYPERLINK("https://us2.cloudbeds.com/connect/10074733072513#/reservations/31676758925510?display=Riley%20Page&amp;reservation_id=31676758925510&amp;guest_id=31676749934773", "Riley Page")</f>
        <v>Riley Page</v>
      </c>
      <c r="E7503" t="s">
        <v>5400</v>
      </c>
      <c r="F7503" t="s">
        <v>3650</v>
      </c>
      <c r="G7503">
        <v>258</v>
      </c>
      <c r="H7503">
        <v>280.45999999999998</v>
      </c>
      <c r="I7503">
        <v>280.45</v>
      </c>
      <c r="J7503">
        <v>0.01</v>
      </c>
    </row>
    <row r="7504" spans="1:10" x14ac:dyDescent="0.3">
      <c r="A7504" t="str">
        <f>HYPERLINK("https://us2.cloudbeds.com/connect/10074733072513#/reservations/31676843143420?display=MH8PP6HNB&amp;reservation_id=31676843143420", "MH8PP6HNB")</f>
        <v>MH8PP6HNB</v>
      </c>
      <c r="B7504" t="s">
        <v>10</v>
      </c>
      <c r="C7504" t="s">
        <v>20</v>
      </c>
      <c r="D7504" t="str">
        <f>HYPERLINK("https://us2.cloudbeds.com/connect/10074733072513#/reservations/31676843143420?display=Kathy%20Webster&amp;reservation_id=31676843143420&amp;guest_id=31676843143369", "Kathy Webster")</f>
        <v>Kathy Webster</v>
      </c>
      <c r="E7504" t="s">
        <v>5401</v>
      </c>
      <c r="F7504" t="s">
        <v>5029</v>
      </c>
      <c r="G7504">
        <v>229.1</v>
      </c>
      <c r="H7504">
        <v>249.04</v>
      </c>
      <c r="I7504">
        <v>249.03</v>
      </c>
      <c r="J7504">
        <v>0.01</v>
      </c>
    </row>
    <row r="7505" spans="1:10" x14ac:dyDescent="0.3">
      <c r="A7505" t="str">
        <f>HYPERLINK("https://us2.cloudbeds.com/connect/10074733072513#/reservations/31674063859916?display=MH6KZKSU4&amp;reservation_id=31674063859916", "MH6KZKSU4")</f>
        <v>MH6KZKSU4</v>
      </c>
      <c r="B7505" t="s">
        <v>10</v>
      </c>
      <c r="C7505" t="s">
        <v>20</v>
      </c>
      <c r="D7505" t="str">
        <f>HYPERLINK("https://us2.cloudbeds.com/connect/10074733072513#/reservations/31674063859916?display=Chantel%20Bye&amp;reservation_id=31674063859916&amp;guest_id=31674063855834", "Chantel Bye")</f>
        <v>Chantel Bye</v>
      </c>
      <c r="E7505" t="s">
        <v>5402</v>
      </c>
      <c r="F7505" t="s">
        <v>5172</v>
      </c>
      <c r="G7505">
        <v>139</v>
      </c>
      <c r="H7505">
        <v>151.1</v>
      </c>
      <c r="I7505">
        <v>151.09</v>
      </c>
      <c r="J7505">
        <v>0.01</v>
      </c>
    </row>
    <row r="7506" spans="1:10" x14ac:dyDescent="0.3">
      <c r="A7506" t="str">
        <f>HYPERLINK("https://us2.cloudbeds.com/connect/10074733072513#/reservations/31675829702880?display=MH7WSY1VW&amp;reservation_id=31675829702880", "MH7WSY1VW")</f>
        <v>MH7WSY1VW</v>
      </c>
      <c r="B7506" t="s">
        <v>10</v>
      </c>
      <c r="C7506" t="s">
        <v>42</v>
      </c>
      <c r="D7506" t="str">
        <f>HYPERLINK("https://us2.cloudbeds.com/connect/10074733072513#/reservations/31675829702880?display=Maddison%20Page&amp;reservation_id=31675829702880&amp;guest_id=31675821367427", "Maddison Page")</f>
        <v>Maddison Page</v>
      </c>
      <c r="E7506" t="s">
        <v>5403</v>
      </c>
      <c r="F7506" t="s">
        <v>3650</v>
      </c>
      <c r="G7506">
        <v>159</v>
      </c>
      <c r="H7506">
        <v>172.84</v>
      </c>
      <c r="I7506">
        <v>172.83</v>
      </c>
      <c r="J7506">
        <v>0.01</v>
      </c>
    </row>
    <row r="7507" spans="1:10" x14ac:dyDescent="0.3">
      <c r="A7507" t="str">
        <f>HYPERLINK("https://us2.cloudbeds.com/connect/10074733072513#/reservations/31673320612000?display=MH61ZTTV0&amp;reservation_id=31673320612000", "MH61ZTTV0")</f>
        <v>MH61ZTTV0</v>
      </c>
      <c r="B7507" t="s">
        <v>10</v>
      </c>
      <c r="C7507" t="s">
        <v>42</v>
      </c>
      <c r="D7507" t="str">
        <f>HYPERLINK("https://us2.cloudbeds.com/connect/10074733072513#/reservations/31673320612000?display=Robert%20Reemts&amp;reservation_id=31673320612000&amp;guest_id=31673320611997", "Robert Reemts")</f>
        <v>Robert Reemts</v>
      </c>
      <c r="E7507" t="s">
        <v>5405</v>
      </c>
      <c r="F7507" t="s">
        <v>5161</v>
      </c>
      <c r="G7507">
        <v>73</v>
      </c>
      <c r="H7507">
        <v>79.36</v>
      </c>
      <c r="I7507">
        <v>79.349999999999994</v>
      </c>
      <c r="J7507">
        <v>0.01</v>
      </c>
    </row>
    <row r="7508" spans="1:10" x14ac:dyDescent="0.3">
      <c r="A7508" t="str">
        <f>HYPERLINK("https://us2.cloudbeds.com/connect/10074733072513#/reservations/31677115453678?display=MH8WNQW1C&amp;reservation_id=31677115453678", "MH8WNQW1C")</f>
        <v>MH8WNQW1C</v>
      </c>
      <c r="B7508" t="s">
        <v>10</v>
      </c>
      <c r="C7508" t="s">
        <v>14</v>
      </c>
      <c r="D7508" t="str">
        <f>HYPERLINK("https://us2.cloudbeds.com/connect/10074733072513#/reservations/31677115453678?display=Tanner%20Lind&amp;reservation_id=31677115453678&amp;guest_id=31677105459329", "Tanner Lind")</f>
        <v>Tanner Lind</v>
      </c>
      <c r="E7508" t="s">
        <v>5406</v>
      </c>
      <c r="F7508" t="s">
        <v>5172</v>
      </c>
      <c r="G7508">
        <v>179</v>
      </c>
      <c r="H7508">
        <v>194.58</v>
      </c>
      <c r="I7508">
        <v>194.57</v>
      </c>
      <c r="J7508">
        <v>0.01</v>
      </c>
    </row>
    <row r="7509" spans="1:10" x14ac:dyDescent="0.3">
      <c r="A7509" t="str">
        <f>HYPERLINK("https://us2.cloudbeds.com/connect/10074733072513#/reservations/31677089784021?display=MH8W25M8W&amp;reservation_id=31677089784021", "MH8W25M8W")</f>
        <v>MH8W25M8W</v>
      </c>
      <c r="B7509" t="s">
        <v>10</v>
      </c>
      <c r="C7509" t="s">
        <v>20</v>
      </c>
      <c r="D7509" t="str">
        <f>HYPERLINK("https://us2.cloudbeds.com/connect/10074733072513#/reservations/31677089784021?display=Kaiden%20Rawlins&amp;reservation_id=31677089784021&amp;guest_id=31677089784016", "Kaiden Rawlins")</f>
        <v>Kaiden Rawlins</v>
      </c>
      <c r="E7509" t="s">
        <v>5407</v>
      </c>
      <c r="F7509" t="s">
        <v>5172</v>
      </c>
      <c r="G7509">
        <v>149</v>
      </c>
      <c r="H7509">
        <v>161.97</v>
      </c>
      <c r="I7509">
        <v>161.96</v>
      </c>
      <c r="J7509">
        <v>0.01</v>
      </c>
    </row>
    <row r="7510" spans="1:10" x14ac:dyDescent="0.3">
      <c r="A7510" t="str">
        <f>HYPERLINK("https://us2.cloudbeds.com/connect/10074733072513#/reservations/31675838517429?display=MH8032B4H&amp;reservation_id=31675838517429", "MH8032B4H")</f>
        <v>MH8032B4H</v>
      </c>
      <c r="B7510" t="s">
        <v>10</v>
      </c>
      <c r="C7510" t="s">
        <v>42</v>
      </c>
      <c r="D7510" t="str">
        <f>HYPERLINK("https://us2.cloudbeds.com/connect/10074733072513#/reservations/31675838517429?display=Kaylie%20Ranbby&amp;reservation_id=31675838517429&amp;guest_id=31675829706973", "Kaylie Ranbby")</f>
        <v>Kaylie Ranbby</v>
      </c>
      <c r="E7510" t="s">
        <v>5403</v>
      </c>
      <c r="F7510" t="s">
        <v>3650</v>
      </c>
      <c r="G7510">
        <v>129</v>
      </c>
      <c r="H7510">
        <v>140.22999999999999</v>
      </c>
      <c r="I7510">
        <v>140.22</v>
      </c>
      <c r="J7510">
        <v>0.01</v>
      </c>
    </row>
    <row r="7511" spans="1:10" x14ac:dyDescent="0.3">
      <c r="A7511" t="str">
        <f>HYPERLINK("https://us2.cloudbeds.com/connect/10074733072513#/reservations/31676959797458?display=MH8SZXK17&amp;reservation_id=31676959797458", "MH8SZXK17")</f>
        <v>MH8SZXK17</v>
      </c>
      <c r="B7511" t="s">
        <v>10</v>
      </c>
      <c r="C7511" t="s">
        <v>42</v>
      </c>
      <c r="D7511" t="str">
        <f>HYPERLINK("https://us2.cloudbeds.com/connect/10074733072513#/reservations/31676959797458?display=Lisa%20Page&amp;reservation_id=31676959797458&amp;guest_id=31676959797445", "Lisa Page")</f>
        <v>Lisa Page</v>
      </c>
      <c r="E7511" t="s">
        <v>5400</v>
      </c>
      <c r="F7511" t="s">
        <v>3650</v>
      </c>
      <c r="G7511">
        <v>258</v>
      </c>
      <c r="H7511">
        <v>280.45999999999998</v>
      </c>
      <c r="I7511">
        <v>280.45</v>
      </c>
      <c r="J7511">
        <v>0.01</v>
      </c>
    </row>
    <row r="7512" spans="1:10" x14ac:dyDescent="0.3">
      <c r="A7512" t="str">
        <f>HYPERLINK("https://us2.cloudbeds.com/connect/10074733072513#/reservations/31673314541765?display=MH61JPWQG&amp;reservation_id=31673314541765", "MH61JPWQG")</f>
        <v>MH61JPWQG</v>
      </c>
      <c r="B7512" t="s">
        <v>10</v>
      </c>
      <c r="C7512" t="s">
        <v>42</v>
      </c>
      <c r="D7512" t="str">
        <f>HYPERLINK("https://us2.cloudbeds.com/connect/10074733072513#/reservations/31673314541765?display=Emerson%20Leid&amp;reservation_id=31673314541765&amp;guest_id=30645717487752", "Emerson Leid")</f>
        <v>Emerson Leid</v>
      </c>
      <c r="E7512" t="s">
        <v>5410</v>
      </c>
      <c r="F7512" t="s">
        <v>5161</v>
      </c>
      <c r="G7512">
        <v>89</v>
      </c>
      <c r="H7512">
        <v>96.75</v>
      </c>
      <c r="I7512">
        <v>96.74</v>
      </c>
      <c r="J7512">
        <v>0.01</v>
      </c>
    </row>
    <row r="7513" spans="1:10" x14ac:dyDescent="0.3">
      <c r="A7513" t="str">
        <f>HYPERLINK("https://us2.cloudbeds.com/connect/10074733072513#/reservations/31674046984324?display=MH6KAD9GX&amp;reservation_id=31674046984324", "MH6KAD9GX")</f>
        <v>MH6KAD9GX</v>
      </c>
      <c r="B7513" t="s">
        <v>10</v>
      </c>
      <c r="C7513" t="s">
        <v>20</v>
      </c>
      <c r="D7513" t="str">
        <f>HYPERLINK("https://us2.cloudbeds.com/connect/10074733072513#/reservations/31674046984324?display=Mollie%20Koopmans&amp;reservation_id=31674046984324&amp;guest_id=31674046984320", "Mollie Koopmans")</f>
        <v>Mollie Koopmans</v>
      </c>
      <c r="E7513" t="s">
        <v>5414</v>
      </c>
      <c r="F7513" t="s">
        <v>5172</v>
      </c>
      <c r="G7513">
        <v>229</v>
      </c>
      <c r="H7513">
        <v>248.93</v>
      </c>
      <c r="I7513">
        <v>248.92</v>
      </c>
      <c r="J7513">
        <v>0.01</v>
      </c>
    </row>
    <row r="7514" spans="1:10" x14ac:dyDescent="0.3">
      <c r="A7514" t="str">
        <f>HYPERLINK("https://us2.cloudbeds.com/connect/10074733072513#/reservations/31675757998281?display=MH7V15PHB&amp;reservation_id=31675757998281", "MH7V15PHB")</f>
        <v>MH7V15PHB</v>
      </c>
      <c r="B7514" t="s">
        <v>10</v>
      </c>
      <c r="C7514" t="s">
        <v>42</v>
      </c>
      <c r="D7514" t="str">
        <f>HYPERLINK("https://us2.cloudbeds.com/connect/10074733072513#/reservations/31675757998281?display=Keith%20Lesneister&amp;reservation_id=31675757998281&amp;guest_id=31675757994234", "Keith Lesneister")</f>
        <v>Keith Lesneister</v>
      </c>
      <c r="E7514" t="s">
        <v>5415</v>
      </c>
      <c r="F7514" t="s">
        <v>5408</v>
      </c>
      <c r="G7514">
        <v>109</v>
      </c>
      <c r="H7514">
        <v>118.49</v>
      </c>
      <c r="I7514">
        <v>118.48</v>
      </c>
      <c r="J7514">
        <v>0.01</v>
      </c>
    </row>
    <row r="7515" spans="1:10" x14ac:dyDescent="0.3">
      <c r="A7515" t="str">
        <f>HYPERLINK("https://us2.cloudbeds.com/connect/10074733072513#/reservations/31673931612298?display=MH6HC3TDX&amp;reservation_id=31673931612298", "MH6HC3TDX")</f>
        <v>MH6HC3TDX</v>
      </c>
      <c r="B7515" t="s">
        <v>10</v>
      </c>
      <c r="C7515" t="s">
        <v>42</v>
      </c>
      <c r="D7515" t="str">
        <f>HYPERLINK("https://us2.cloudbeds.com/connect/10074733072513#/reservations/31673931612298?display=David%20Goberish&amp;reservation_id=31673931612298&amp;guest_id=31673924116692", "David Goberish")</f>
        <v>David Goberish</v>
      </c>
      <c r="E7515" t="s">
        <v>4913</v>
      </c>
      <c r="F7515" t="s">
        <v>5161</v>
      </c>
      <c r="G7515">
        <v>73</v>
      </c>
      <c r="H7515">
        <v>79.36</v>
      </c>
      <c r="I7515">
        <v>79.349999999999994</v>
      </c>
      <c r="J7515">
        <v>0.01</v>
      </c>
    </row>
    <row r="7516" spans="1:10" x14ac:dyDescent="0.3">
      <c r="A7516" t="str">
        <f>HYPERLINK("https://us2.cloudbeds.com/connect/10074733072513#/reservations/31675772031133?display=MH7VD08H9&amp;reservation_id=31675772031133", "MH7VD08H9")</f>
        <v>MH7VD08H9</v>
      </c>
      <c r="B7516" t="s">
        <v>10</v>
      </c>
      <c r="C7516" t="s">
        <v>42</v>
      </c>
      <c r="D7516" t="str">
        <f>HYPERLINK("https://us2.cloudbeds.com/connect/10074733072513#/reservations/31675772031133?display=Julius%20Smith&amp;reservation_id=31675772031133&amp;guest_id=31675772031128", "Julius Smith")</f>
        <v>Julius Smith</v>
      </c>
      <c r="E7516" t="s">
        <v>5416</v>
      </c>
      <c r="F7516" t="s">
        <v>5408</v>
      </c>
      <c r="G7516">
        <v>73</v>
      </c>
      <c r="H7516">
        <v>79.36</v>
      </c>
      <c r="I7516">
        <v>79.349999999999994</v>
      </c>
      <c r="J7516">
        <v>0.01</v>
      </c>
    </row>
    <row r="7517" spans="1:10" x14ac:dyDescent="0.3">
      <c r="A7517" t="str">
        <f>HYPERLINK("https://us2.cloudbeds.com/connect/10074733072513#/reservations/31677130973339?display=MH903TRB3&amp;reservation_id=31677130973339", "MH903TRB3")</f>
        <v>MH903TRB3</v>
      </c>
      <c r="B7517" t="s">
        <v>10</v>
      </c>
      <c r="C7517" t="s">
        <v>20</v>
      </c>
      <c r="D7517" t="str">
        <f>HYPERLINK("https://us2.cloudbeds.com/connect/10074733072513#/reservations/31677130973339?display=Mikayla%20Smit&amp;reservation_id=31677130973339&amp;guest_id=31677130973325", "Mikayla Smit")</f>
        <v>Mikayla Smit</v>
      </c>
      <c r="E7517" t="s">
        <v>5419</v>
      </c>
      <c r="F7517" t="s">
        <v>5172</v>
      </c>
      <c r="G7517">
        <v>179</v>
      </c>
      <c r="H7517">
        <v>194.58</v>
      </c>
      <c r="I7517">
        <v>194.57</v>
      </c>
      <c r="J7517">
        <v>0.01</v>
      </c>
    </row>
    <row r="7518" spans="1:10" x14ac:dyDescent="0.3">
      <c r="A7518" t="str">
        <f>HYPERLINK("https://us2.cloudbeds.com/connect/10074733072513#/reservations/31677119029451?display=MH8WQRFJ4&amp;reservation_id=31677119029451", "MH8WQRFJ4")</f>
        <v>MH8WQRFJ4</v>
      </c>
      <c r="B7518" t="s">
        <v>10</v>
      </c>
      <c r="C7518" t="s">
        <v>42</v>
      </c>
      <c r="D7518" t="str">
        <f>HYPERLINK("https://us2.cloudbeds.com/connect/10074733072513#/reservations/31677119029451?display=Kendra%20Roberts&amp;reservation_id=31677119029451&amp;guest_id=31677119029445", "Kendra Roberts")</f>
        <v>Kendra Roberts</v>
      </c>
      <c r="E7518" t="s">
        <v>5420</v>
      </c>
      <c r="F7518" t="s">
        <v>5172</v>
      </c>
      <c r="G7518">
        <v>199</v>
      </c>
      <c r="H7518">
        <v>216.32</v>
      </c>
      <c r="I7518">
        <v>216.31</v>
      </c>
      <c r="J7518">
        <v>0.01</v>
      </c>
    </row>
    <row r="7519" spans="1:10" x14ac:dyDescent="0.3">
      <c r="A7519" t="str">
        <f>HYPERLINK("https://us2.cloudbeds.com/connect/10074733072513#/reservations/31673896665310?display=MH6GFYEGU&amp;reservation_id=31673896665310", "MH6GFYEGU")</f>
        <v>MH6GFYEGU</v>
      </c>
      <c r="B7519" t="s">
        <v>10</v>
      </c>
      <c r="C7519" t="s">
        <v>121</v>
      </c>
      <c r="D7519" t="str">
        <f>HYPERLINK("https://us2.cloudbeds.com/connect/10074733072513#/reservations/31673896665310?display=Scott%20Endres&amp;reservation_id=31673896665310&amp;guest_id=31673650495689", "Scott Endres")</f>
        <v>Scott Endres</v>
      </c>
      <c r="E7519" t="s">
        <v>5417</v>
      </c>
      <c r="F7519" t="s">
        <v>5161</v>
      </c>
      <c r="G7519">
        <v>139</v>
      </c>
      <c r="H7519">
        <v>151.1</v>
      </c>
      <c r="I7519">
        <v>151.09</v>
      </c>
      <c r="J7519">
        <v>0.01</v>
      </c>
    </row>
    <row r="7520" spans="1:10" x14ac:dyDescent="0.3">
      <c r="A7520" t="str">
        <f>HYPERLINK("https://us2.cloudbeds.com/connect/10074733072513#/reservations/31682392723669?display=MHD2XZPWR&amp;reservation_id=31682392723669", "MHD2XZPWR")</f>
        <v>MHD2XZPWR</v>
      </c>
      <c r="B7520" t="s">
        <v>10</v>
      </c>
      <c r="C7520" t="s">
        <v>42</v>
      </c>
      <c r="D7520" t="str">
        <f>HYPERLINK("https://us2.cloudbeds.com/connect/10074733072513#/reservations/31682392723669?display=David%20Trca&amp;reservation_id=31682392723669&amp;guest_id=31682392723665", "David Trca")</f>
        <v>David Trca</v>
      </c>
      <c r="E7520" t="s">
        <v>5421</v>
      </c>
      <c r="F7520" t="s">
        <v>5283</v>
      </c>
      <c r="G7520">
        <v>218</v>
      </c>
      <c r="H7520">
        <v>236.98</v>
      </c>
      <c r="I7520">
        <v>236.97</v>
      </c>
      <c r="J7520">
        <v>0.01</v>
      </c>
    </row>
    <row r="7521" spans="1:10" x14ac:dyDescent="0.3">
      <c r="A7521" t="str">
        <f>HYPERLINK("https://us2.cloudbeds.com/connect/10074733072513#/reservations/31681136914613?display=MHC3FR1KV&amp;reservation_id=31681136914613", "MHC3FR1KV")</f>
        <v>MHC3FR1KV</v>
      </c>
      <c r="B7521" t="s">
        <v>10</v>
      </c>
      <c r="C7521" t="s">
        <v>42</v>
      </c>
      <c r="D7521" t="str">
        <f>HYPERLINK("https://us2.cloudbeds.com/connect/10074733072513#/reservations/31681136914613?display=Micah%20Pengitore&amp;reservation_id=31681136914613&amp;guest_id=31681136914608", "Micah Pengitore")</f>
        <v>Micah Pengitore</v>
      </c>
      <c r="E7521" t="s">
        <v>5423</v>
      </c>
      <c r="F7521" t="s">
        <v>4974</v>
      </c>
      <c r="G7521">
        <v>159</v>
      </c>
      <c r="H7521">
        <v>172.84</v>
      </c>
      <c r="I7521">
        <v>172.83</v>
      </c>
      <c r="J7521">
        <v>0.01</v>
      </c>
    </row>
    <row r="7522" spans="1:10" x14ac:dyDescent="0.3">
      <c r="A7522" t="str">
        <f>HYPERLINK("https://us2.cloudbeds.com/connect/10074733072513#/reservations/31675800338656?display=MH7W3SVJ0&amp;reservation_id=31675800338656", "MH7W3SVJ0")</f>
        <v>MH7W3SVJ0</v>
      </c>
      <c r="B7522" t="s">
        <v>10</v>
      </c>
      <c r="C7522" t="s">
        <v>42</v>
      </c>
      <c r="D7522" t="str">
        <f>HYPERLINK("https://us2.cloudbeds.com/connect/10074733072513#/reservations/31675800338656?display=Machelle%20Kenzy&amp;reservation_id=31675800338656&amp;guest_id=31675800338653", "Machelle Kenzy")</f>
        <v>Machelle Kenzy</v>
      </c>
      <c r="E7522" t="s">
        <v>5425</v>
      </c>
      <c r="F7522" t="s">
        <v>5408</v>
      </c>
      <c r="G7522">
        <v>179</v>
      </c>
      <c r="H7522">
        <v>194.58</v>
      </c>
      <c r="I7522">
        <v>194.57</v>
      </c>
      <c r="J7522">
        <v>0.01</v>
      </c>
    </row>
    <row r="7523" spans="1:10" x14ac:dyDescent="0.3">
      <c r="A7523" t="str">
        <f>HYPERLINK("https://us2.cloudbeds.com/connect/10074733072513#/reservations/31674068402308?display=MH6KSF92C&amp;reservation_id=31674068402308", "MH6KSF92C")</f>
        <v>MH6KSF92C</v>
      </c>
      <c r="B7523" t="s">
        <v>10</v>
      </c>
      <c r="C7523" t="s">
        <v>42</v>
      </c>
      <c r="D7523" t="str">
        <f>HYPERLINK("https://us2.cloudbeds.com/connect/10074733072513#/reservations/31674068402308?display=Chad%20Meyer&amp;reservation_id=31674068402308&amp;guest_id=31674068402306", "Chad Meyer")</f>
        <v>Chad Meyer</v>
      </c>
      <c r="E7523" t="s">
        <v>5426</v>
      </c>
      <c r="F7523" t="s">
        <v>5172</v>
      </c>
      <c r="G7523">
        <v>229</v>
      </c>
      <c r="H7523">
        <v>248.93</v>
      </c>
      <c r="I7523">
        <v>248.92</v>
      </c>
      <c r="J7523">
        <v>0.01</v>
      </c>
    </row>
    <row r="7524" spans="1:10" x14ac:dyDescent="0.3">
      <c r="A7524" t="str">
        <f>HYPERLINK("https://us2.cloudbeds.com/connect/10074733072513#/reservations/31675913396469?display=MH8206VJB&amp;reservation_id=31675913396469", "MH8206VJB")</f>
        <v>MH8206VJB</v>
      </c>
      <c r="B7524" t="s">
        <v>10</v>
      </c>
      <c r="C7524" t="s">
        <v>121</v>
      </c>
      <c r="D7524" t="str">
        <f>HYPERLINK("https://us2.cloudbeds.com/connect/10074733072513#/reservations/31675913396469?display=Aaron%20Betts&amp;reservation_id=31675913396469&amp;guest_id=31675905982685", "Aaron Betts")</f>
        <v>Aaron Betts</v>
      </c>
      <c r="E7524" t="s">
        <v>5427</v>
      </c>
      <c r="F7524" t="s">
        <v>5179</v>
      </c>
      <c r="G7524">
        <v>139</v>
      </c>
      <c r="H7524">
        <v>151.1</v>
      </c>
      <c r="I7524">
        <v>151.09</v>
      </c>
      <c r="J7524">
        <v>0.01</v>
      </c>
    </row>
    <row r="7525" spans="1:10" x14ac:dyDescent="0.3">
      <c r="A7525" t="str">
        <f>HYPERLINK("https://us2.cloudbeds.com/connect/10074733072513#/reservations/31675924033775?display=MH8295VHV&amp;reservation_id=31675924033775", "MH8295VHV")</f>
        <v>MH8295VHV</v>
      </c>
      <c r="B7525" t="s">
        <v>10</v>
      </c>
      <c r="C7525" t="s">
        <v>42</v>
      </c>
      <c r="D7525" t="str">
        <f>HYPERLINK("https://us2.cloudbeds.com/connect/10074733072513#/reservations/31675924033775?display=Lynne%20Kuper&amp;reservation_id=31675924033775&amp;guest_id=31675924033770", "Lynne Kuper")</f>
        <v>Lynne Kuper</v>
      </c>
      <c r="E7525" t="s">
        <v>5428</v>
      </c>
      <c r="F7525" t="s">
        <v>5179</v>
      </c>
      <c r="G7525">
        <v>89</v>
      </c>
      <c r="H7525">
        <v>96.75</v>
      </c>
      <c r="I7525">
        <v>96.74</v>
      </c>
      <c r="J7525">
        <v>0.01</v>
      </c>
    </row>
    <row r="7526" spans="1:10" x14ac:dyDescent="0.3">
      <c r="A7526" t="str">
        <f>HYPERLINK("https://us2.cloudbeds.com/connect/10074733072513#/reservations/31673345626331?display=MH62CWVV1&amp;reservation_id=31673345626331", "MH62CWVV1")</f>
        <v>MH62CWVV1</v>
      </c>
      <c r="B7526" t="s">
        <v>10</v>
      </c>
      <c r="C7526" t="s">
        <v>14</v>
      </c>
      <c r="D7526" t="str">
        <f>HYPERLINK("https://us2.cloudbeds.com/connect/10074733072513#/reservations/31673345626331?display=Lori%20Reinbold&amp;reservation_id=31673345626331&amp;guest_id=31673345622240", "Lori Reinbold")</f>
        <v>Lori Reinbold</v>
      </c>
      <c r="E7526" t="s">
        <v>5430</v>
      </c>
      <c r="F7526" t="s">
        <v>5408</v>
      </c>
      <c r="G7526">
        <v>87.84</v>
      </c>
      <c r="H7526">
        <v>95.49</v>
      </c>
      <c r="I7526">
        <v>95.48</v>
      </c>
      <c r="J7526">
        <v>0.01</v>
      </c>
    </row>
    <row r="7527" spans="1:10" x14ac:dyDescent="0.3">
      <c r="A7527" t="str">
        <f>HYPERLINK("https://us2.cloudbeds.com/connect/10074733072513#/reservations/31675945357520?display=MH82R5AJ0&amp;reservation_id=31675945357520", "MH82R5AJ0")</f>
        <v>MH82R5AJ0</v>
      </c>
      <c r="B7527" t="s">
        <v>10</v>
      </c>
      <c r="C7527" t="s">
        <v>42</v>
      </c>
      <c r="D7527" t="str">
        <f>HYPERLINK("https://us2.cloudbeds.com/connect/10074733072513#/reservations/31675945357520?display=Jeffrey%20Potts&amp;reservation_id=31675945357520&amp;guest_id=30663715266764", "Jeffrey Potts")</f>
        <v>Jeffrey Potts</v>
      </c>
      <c r="E7527" t="s">
        <v>3400</v>
      </c>
      <c r="F7527" t="s">
        <v>5179</v>
      </c>
      <c r="G7527">
        <v>222</v>
      </c>
      <c r="H7527">
        <v>241.32</v>
      </c>
      <c r="I7527">
        <v>241.31</v>
      </c>
      <c r="J7527">
        <v>0.01</v>
      </c>
    </row>
    <row r="7528" spans="1:10" x14ac:dyDescent="0.3">
      <c r="A7528" t="str">
        <f>HYPERLINK("https://us2.cloudbeds.com/connect/10074733072513#/reservations/31674710835375?display=MH7495UE2&amp;reservation_id=31674710835375", "MH7495UE2")</f>
        <v>MH7495UE2</v>
      </c>
      <c r="B7528" t="s">
        <v>10</v>
      </c>
      <c r="C7528" t="s">
        <v>17</v>
      </c>
      <c r="D7528" t="str">
        <f>HYPERLINK("https://us2.cloudbeds.com/connect/10074733072513#/reservations/31674710835375?display=Chelsea%20Stangler&amp;reservation_id=31674710835375&amp;guest_id=31674697052319", "Chelsea Stangler")</f>
        <v>Chelsea Stangler</v>
      </c>
      <c r="E7528" t="s">
        <v>5431</v>
      </c>
      <c r="F7528" t="s">
        <v>4692</v>
      </c>
      <c r="G7528">
        <v>149</v>
      </c>
      <c r="H7528">
        <v>161.97</v>
      </c>
      <c r="I7528">
        <v>161.96</v>
      </c>
      <c r="J7528">
        <v>0.01</v>
      </c>
    </row>
    <row r="7529" spans="1:10" x14ac:dyDescent="0.3">
      <c r="A7529" t="str">
        <f>HYPERLINK("https://us2.cloudbeds.com/connect/10074733072513#/reservations/31675785195726?display=MH7VZ3J7B&amp;reservation_id=31675785195726", "MH7VZ3J7B")</f>
        <v>MH7VZ3J7B</v>
      </c>
      <c r="B7529" t="s">
        <v>10</v>
      </c>
      <c r="C7529" t="s">
        <v>42</v>
      </c>
      <c r="D7529" t="str">
        <f>HYPERLINK("https://us2.cloudbeds.com/connect/10074733072513#/reservations/31675785195726?display=Robert%20Reemts&amp;reservation_id=31675785195726&amp;guest_id=31673320611997", "Robert Reemts")</f>
        <v>Robert Reemts</v>
      </c>
      <c r="E7529" t="s">
        <v>5405</v>
      </c>
      <c r="F7529" t="s">
        <v>5408</v>
      </c>
      <c r="G7529">
        <v>73</v>
      </c>
      <c r="H7529">
        <v>79.36</v>
      </c>
      <c r="I7529">
        <v>79.349999999999994</v>
      </c>
      <c r="J7529">
        <v>0.01</v>
      </c>
    </row>
    <row r="7530" spans="1:10" x14ac:dyDescent="0.3">
      <c r="A7530" t="str">
        <f>HYPERLINK("https://us2.cloudbeds.com/connect/10074733072513#/reservations/31675005919443?display=MH7BR02BH&amp;reservation_id=31675005919443", "MH7BR02BH")</f>
        <v>MH7BR02BH</v>
      </c>
      <c r="B7530" t="s">
        <v>10</v>
      </c>
      <c r="C7530" t="s">
        <v>42</v>
      </c>
      <c r="D7530" t="str">
        <f>HYPERLINK("https://us2.cloudbeds.com/connect/10074733072513#/reservations/31675005919443?display=Denis%20Stegall&amp;reservation_id=31675005919443&amp;guest_id=31675005919440", "Denis Stegall")</f>
        <v>Denis Stegall</v>
      </c>
      <c r="E7530" t="s">
        <v>5434</v>
      </c>
      <c r="F7530" t="s">
        <v>5242</v>
      </c>
      <c r="G7530">
        <v>178</v>
      </c>
      <c r="H7530">
        <v>193.5</v>
      </c>
      <c r="I7530">
        <v>193.49</v>
      </c>
      <c r="J7530">
        <v>0.01</v>
      </c>
    </row>
    <row r="7531" spans="1:10" x14ac:dyDescent="0.3">
      <c r="A7531" t="str">
        <f>HYPERLINK("https://us2.cloudbeds.com/connect/10074733072513#/reservations/31685159501966?display=MHF78PFJD&amp;reservation_id=31685159501966", "MHF78PFJD")</f>
        <v>MHF78PFJD</v>
      </c>
      <c r="B7531" t="s">
        <v>10</v>
      </c>
      <c r="C7531" t="s">
        <v>42</v>
      </c>
      <c r="D7531" t="str">
        <f>HYPERLINK("https://us2.cloudbeds.com/connect/10074733072513#/reservations/31685159501966?display=Viva%20Jagow&amp;reservation_id=31685159501966&amp;guest_id=31685159501964", "Viva Jagow")</f>
        <v>Viva Jagow</v>
      </c>
      <c r="E7531" t="s">
        <v>5436</v>
      </c>
      <c r="F7531" t="s">
        <v>4772</v>
      </c>
      <c r="G7531">
        <v>278</v>
      </c>
      <c r="H7531">
        <v>302.2</v>
      </c>
      <c r="I7531">
        <v>302.19</v>
      </c>
      <c r="J7531">
        <v>0.01</v>
      </c>
    </row>
    <row r="7532" spans="1:10" x14ac:dyDescent="0.3">
      <c r="A7532" t="str">
        <f>HYPERLINK("https://us2.cloudbeds.com/connect/10074733072513#/reservations/31675812003984?display=MH7WDNXHQ&amp;reservation_id=31675812003984", "MH7WDNXHQ")</f>
        <v>MH7WDNXHQ</v>
      </c>
      <c r="B7532" t="s">
        <v>10</v>
      </c>
      <c r="C7532" t="s">
        <v>121</v>
      </c>
      <c r="D7532" t="str">
        <f>HYPERLINK("https://us2.cloudbeds.com/connect/10074733072513#/reservations/31675812003984?display=Claire%20Anderson&amp;reservation_id=31675812003984&amp;guest_id=31674983661716", "Claire Anderson")</f>
        <v>Claire Anderson</v>
      </c>
      <c r="E7532" t="s">
        <v>5437</v>
      </c>
      <c r="F7532" t="s">
        <v>5179</v>
      </c>
      <c r="G7532">
        <v>139</v>
      </c>
      <c r="H7532">
        <v>151.1</v>
      </c>
      <c r="I7532">
        <v>151.09</v>
      </c>
      <c r="J7532">
        <v>0.01</v>
      </c>
    </row>
    <row r="7533" spans="1:10" x14ac:dyDescent="0.3">
      <c r="A7533" t="str">
        <f>HYPERLINK("https://us2.cloudbeds.com/connect/10074733072513#/reservations/31675948056773?display=MH82TEE7J&amp;reservation_id=31675948056773", "MH82TEE7J")</f>
        <v>MH82TEE7J</v>
      </c>
      <c r="B7533" t="s">
        <v>10</v>
      </c>
      <c r="C7533" t="s">
        <v>42</v>
      </c>
      <c r="D7533" t="str">
        <f>HYPERLINK("https://us2.cloudbeds.com/connect/10074733072513#/reservations/31675948056773?display=Cheryl%20Vanderbrink&amp;reservation_id=31675948056773&amp;guest_id=31675948052680", "Cheryl Vanderbrink")</f>
        <v>Cheryl Vanderbrink</v>
      </c>
      <c r="E7533" t="s">
        <v>5438</v>
      </c>
      <c r="F7533" t="s">
        <v>5179</v>
      </c>
      <c r="G7533">
        <v>139</v>
      </c>
      <c r="H7533">
        <v>151.1</v>
      </c>
      <c r="I7533">
        <v>151.09</v>
      </c>
      <c r="J7533">
        <v>0.01</v>
      </c>
    </row>
    <row r="7534" spans="1:10" x14ac:dyDescent="0.3">
      <c r="A7534" t="str">
        <f>HYPERLINK("https://us2.cloudbeds.com/connect/10074733072513#/reservations/31674961588369?display=MH7AMKG9Y&amp;reservation_id=31674961588369", "MH7AMKG9Y")</f>
        <v>MH7AMKG9Y</v>
      </c>
      <c r="B7534" t="s">
        <v>10</v>
      </c>
      <c r="C7534" t="s">
        <v>42</v>
      </c>
      <c r="D7534" t="str">
        <f>HYPERLINK("https://us2.cloudbeds.com/connect/10074733072513#/reservations/31674961588369?display=William%20Northern%20Lights%20Diesel&amp;reservation_id=31674961588369&amp;guest_id=31674961588367", "William Northern Lights Diesel")</f>
        <v>William Northern Lights Diesel</v>
      </c>
      <c r="E7534" t="s">
        <v>4888</v>
      </c>
      <c r="F7534" t="s">
        <v>5179</v>
      </c>
      <c r="G7534">
        <v>89</v>
      </c>
      <c r="H7534">
        <v>96.75</v>
      </c>
      <c r="I7534">
        <v>96.74</v>
      </c>
      <c r="J7534">
        <v>0.01</v>
      </c>
    </row>
    <row r="7535" spans="1:10" x14ac:dyDescent="0.3">
      <c r="A7535" t="str">
        <f>HYPERLINK("https://us2.cloudbeds.com/connect/10074733072513#/reservations/31676479549641?display=MH8GFK042&amp;reservation_id=31676479549641", "MH8GFK042")</f>
        <v>MH8GFK042</v>
      </c>
      <c r="B7535" t="s">
        <v>10</v>
      </c>
      <c r="C7535" t="s">
        <v>42</v>
      </c>
      <c r="D7535" t="str">
        <f>HYPERLINK("https://us2.cloudbeds.com/connect/10074733072513#/reservations/31676479549641?display=Sandy%20Lenz&amp;reservation_id=31676479549641&amp;guest_id=31676479549639", "Sandy Lenz")</f>
        <v>Sandy Lenz</v>
      </c>
      <c r="E7535" t="s">
        <v>5441</v>
      </c>
      <c r="F7535" t="s">
        <v>4346</v>
      </c>
      <c r="G7535">
        <v>278</v>
      </c>
      <c r="H7535">
        <v>302.2</v>
      </c>
      <c r="I7535">
        <v>302.19</v>
      </c>
      <c r="J7535">
        <v>0.01</v>
      </c>
    </row>
    <row r="7536" spans="1:10" x14ac:dyDescent="0.3">
      <c r="A7536" t="str">
        <f>HYPERLINK("https://us2.cloudbeds.com/connect/10074733072513#/reservations/31674939044007?display=MH7A3K5D5&amp;reservation_id=31674939044007", "MH7A3K5D5")</f>
        <v>MH7A3K5D5</v>
      </c>
      <c r="B7536" t="s">
        <v>10</v>
      </c>
      <c r="C7536" t="s">
        <v>42</v>
      </c>
      <c r="D7536" t="str">
        <f>HYPERLINK("https://us2.cloudbeds.com/connect/10074733072513#/reservations/31674939044007?display=Brett%20Greiner&amp;reservation_id=31674939044007&amp;guest_id=31674939044002", "Brett Greiner")</f>
        <v>Brett Greiner</v>
      </c>
      <c r="E7536" t="s">
        <v>5442</v>
      </c>
      <c r="F7536" t="s">
        <v>5242</v>
      </c>
      <c r="G7536">
        <v>73</v>
      </c>
      <c r="H7536">
        <v>79.36</v>
      </c>
      <c r="I7536">
        <v>79.349999999999994</v>
      </c>
      <c r="J7536">
        <v>0.01</v>
      </c>
    </row>
    <row r="7537" spans="1:10" x14ac:dyDescent="0.3">
      <c r="A7537" t="str">
        <f>HYPERLINK("https://us2.cloudbeds.com/connect/10074733072513#/reservations/31676137840811?display=MH87ZFEU1&amp;reservation_id=31676137840811", "MH87ZFEU1")</f>
        <v>MH87ZFEU1</v>
      </c>
      <c r="B7537" t="s">
        <v>10</v>
      </c>
      <c r="C7537" t="s">
        <v>42</v>
      </c>
      <c r="D7537" t="str">
        <f>HYPERLINK("https://us2.cloudbeds.com/connect/10074733072513#/reservations/31676137840811?display=Matthew%20Souryachak&amp;reservation_id=31676137840811&amp;guest_id=31676137836730", "Matthew Souryachak")</f>
        <v>Matthew Souryachak</v>
      </c>
      <c r="E7537" t="s">
        <v>5443</v>
      </c>
      <c r="F7537" t="s">
        <v>5440</v>
      </c>
      <c r="G7537">
        <v>73</v>
      </c>
      <c r="H7537">
        <v>79.36</v>
      </c>
      <c r="I7537">
        <v>79.349999999999994</v>
      </c>
      <c r="J7537">
        <v>0.01</v>
      </c>
    </row>
    <row r="7538" spans="1:10" x14ac:dyDescent="0.3">
      <c r="A7538" t="str">
        <f>HYPERLINK("https://us2.cloudbeds.com/connect/10074733072513#/reservations/31674961592463?display=MH7AMKK1N&amp;reservation_id=31674961592463", "MH7AMKK1N")</f>
        <v>MH7AMKK1N</v>
      </c>
      <c r="B7538" t="s">
        <v>10</v>
      </c>
      <c r="C7538" t="s">
        <v>11</v>
      </c>
      <c r="D7538" t="str">
        <f>HYPERLINK("https://us2.cloudbeds.com/connect/10074733072513#/reservations/31674961592463?display=Jeremy%20Ayers&amp;reservation_id=31674961592463&amp;guest_id=31674961592461", "Jeremy Ayers")</f>
        <v>Jeremy Ayers</v>
      </c>
      <c r="E7538" t="s">
        <v>5444</v>
      </c>
      <c r="F7538" t="s">
        <v>5179</v>
      </c>
      <c r="G7538">
        <v>87.84</v>
      </c>
      <c r="H7538">
        <v>95.49</v>
      </c>
      <c r="I7538">
        <v>95.48</v>
      </c>
      <c r="J7538">
        <v>0.01</v>
      </c>
    </row>
    <row r="7539" spans="1:10" x14ac:dyDescent="0.3">
      <c r="A7539" t="str">
        <f>HYPERLINK("https://us2.cloudbeds.com/connect/10074733072513#/reservations/31676750307517?display=MH8NCU7V6&amp;reservation_id=31676750307517", "MH8NCU7V6")</f>
        <v>MH8NCU7V6</v>
      </c>
      <c r="B7539" t="s">
        <v>10</v>
      </c>
      <c r="C7539" t="s">
        <v>42</v>
      </c>
      <c r="D7539" t="str">
        <f>HYPERLINK("https://us2.cloudbeds.com/connect/10074733072513#/reservations/31676750307517?display=Jerry%20Vandyke&amp;reservation_id=31676750307517&amp;guest_id=31676742471920", "Jerry Vandyke")</f>
        <v>Jerry Vandyke</v>
      </c>
      <c r="E7539" t="s">
        <v>5447</v>
      </c>
      <c r="F7539" t="s">
        <v>4530</v>
      </c>
      <c r="G7539">
        <v>318</v>
      </c>
      <c r="H7539">
        <v>345.68</v>
      </c>
      <c r="I7539">
        <v>345.67</v>
      </c>
      <c r="J7539">
        <v>0.01</v>
      </c>
    </row>
    <row r="7540" spans="1:10" x14ac:dyDescent="0.3">
      <c r="A7540" t="str">
        <f>HYPERLINK("https://us2.cloudbeds.com/connect/10074733072513#/reservations/31675916587156?display=MH822TZGR&amp;reservation_id=31675916587156", "MH822TZGR")</f>
        <v>MH822TZGR</v>
      </c>
      <c r="B7540" t="s">
        <v>10</v>
      </c>
      <c r="C7540" t="s">
        <v>42</v>
      </c>
      <c r="D7540" t="str">
        <f>HYPERLINK("https://us2.cloudbeds.com/connect/10074733072513#/reservations/31675916587156?display=Daniel%20Bye&amp;reservation_id=31675916587156&amp;guest_id=31675916583054", "Daniel Bye")</f>
        <v>Daniel Bye</v>
      </c>
      <c r="E7540" t="s">
        <v>5448</v>
      </c>
      <c r="F7540" t="s">
        <v>5179</v>
      </c>
      <c r="G7540">
        <v>139</v>
      </c>
      <c r="H7540">
        <v>151.1</v>
      </c>
      <c r="I7540">
        <v>151.09</v>
      </c>
      <c r="J7540">
        <v>0.01</v>
      </c>
    </row>
    <row r="7541" spans="1:10" x14ac:dyDescent="0.3">
      <c r="A7541" t="str">
        <f>HYPERLINK("https://us2.cloudbeds.com/connect/10074733072513#/reservations/31676742471923?display=MH8N6A6NV&amp;reservation_id=31676742471923", "MH8N6A6NV")</f>
        <v>MH8N6A6NV</v>
      </c>
      <c r="B7541" t="s">
        <v>10</v>
      </c>
      <c r="C7541" t="s">
        <v>42</v>
      </c>
      <c r="D7541" t="str">
        <f>HYPERLINK("https://us2.cloudbeds.com/connect/10074733072513#/reservations/31676742471923?display=Jerry%20Vandyke&amp;reservation_id=31676742471923&amp;guest_id=31676742471920", "Jerry Vandyke")</f>
        <v>Jerry Vandyke</v>
      </c>
      <c r="E7541" t="s">
        <v>5447</v>
      </c>
      <c r="F7541" t="s">
        <v>4530</v>
      </c>
      <c r="G7541">
        <v>159</v>
      </c>
      <c r="H7541">
        <v>172.84</v>
      </c>
      <c r="I7541">
        <v>172.83</v>
      </c>
      <c r="J7541">
        <v>0.01</v>
      </c>
    </row>
    <row r="7542" spans="1:10" x14ac:dyDescent="0.3">
      <c r="A7542" t="str">
        <f>HYPERLINK("https://us2.cloudbeds.com/connect/10074733072513#/reservations/31674947150075?display=MH7AAENWJ&amp;reservation_id=31674947150075", "MH7AAENWJ")</f>
        <v>MH7AAENWJ</v>
      </c>
      <c r="B7542" t="s">
        <v>10</v>
      </c>
      <c r="C7542" t="s">
        <v>42</v>
      </c>
      <c r="D7542" t="str">
        <f>HYPERLINK("https://us2.cloudbeds.com/connect/10074733072513#/reservations/31674947150075?display=Cummings%20.&amp;reservation_id=31674947150075&amp;guest_id=31674947150071", "Cummings .")</f>
        <v>Cummings .</v>
      </c>
      <c r="E7542" t="s">
        <v>5449</v>
      </c>
      <c r="F7542" t="s">
        <v>5242</v>
      </c>
      <c r="G7542">
        <v>73</v>
      </c>
      <c r="H7542">
        <v>79.36</v>
      </c>
      <c r="I7542">
        <v>79.349999999999994</v>
      </c>
      <c r="J7542">
        <v>0.01</v>
      </c>
    </row>
    <row r="7543" spans="1:10" x14ac:dyDescent="0.3">
      <c r="A7543" t="str">
        <f>HYPERLINK("https://us2.cloudbeds.com/connect/10074733072513#/reservations/31677777178832?display=MH9GKQEQP&amp;reservation_id=31677777178832", "MH9GKQEQP")</f>
        <v>MH9GKQEQP</v>
      </c>
      <c r="B7543" t="s">
        <v>10</v>
      </c>
      <c r="C7543" t="s">
        <v>42</v>
      </c>
      <c r="D7543" t="str">
        <f>HYPERLINK("https://us2.cloudbeds.com/connect/10074733072513#/reservations/31677777178832?display=Travis%20Erdman&amp;reservation_id=31677777178832&amp;guest_id=31677777178819", "Travis Erdman")</f>
        <v>Travis Erdman</v>
      </c>
      <c r="E7543" t="s">
        <v>5450</v>
      </c>
      <c r="F7543" t="s">
        <v>5355</v>
      </c>
      <c r="G7543">
        <v>437</v>
      </c>
      <c r="H7543">
        <v>475.03</v>
      </c>
      <c r="I7543">
        <v>475.02</v>
      </c>
      <c r="J7543">
        <v>0.01</v>
      </c>
    </row>
    <row r="7544" spans="1:10" x14ac:dyDescent="0.3">
      <c r="A7544" t="str">
        <f>HYPERLINK("https://us2.cloudbeds.com/connect/10074733072513#/reservations/31682227921058?display=MHCVBPU3A&amp;reservation_id=31682227921058", "MHCVBPU3A")</f>
        <v>MHCVBPU3A</v>
      </c>
      <c r="B7544" t="s">
        <v>10</v>
      </c>
      <c r="C7544" t="s">
        <v>42</v>
      </c>
      <c r="D7544" t="str">
        <f>HYPERLINK("https://us2.cloudbeds.com/connect/10074733072513#/reservations/31682227921058?display=Debra%20Mccartney&amp;reservation_id=31682227921058&amp;guest_id=31682227916977", "Debra Mccartney")</f>
        <v>Debra Mccartney</v>
      </c>
      <c r="E7544" t="s">
        <v>5451</v>
      </c>
      <c r="F7544" t="s">
        <v>4772</v>
      </c>
      <c r="G7544">
        <v>89</v>
      </c>
      <c r="H7544">
        <v>96.75</v>
      </c>
      <c r="I7544">
        <v>96.74</v>
      </c>
      <c r="J7544">
        <v>0.01</v>
      </c>
    </row>
    <row r="7545" spans="1:10" x14ac:dyDescent="0.3">
      <c r="A7545" t="str">
        <f>HYPERLINK("https://us2.cloudbeds.com/connect/10074733072513#/reservations/31675146096775?display=MH7FD6NGF&amp;reservation_id=31675146096775", "MH7FD6NGF")</f>
        <v>MH7FD6NGF</v>
      </c>
      <c r="B7545" t="s">
        <v>10</v>
      </c>
      <c r="C7545" t="s">
        <v>42</v>
      </c>
      <c r="D7545" t="str">
        <f>HYPERLINK("https://us2.cloudbeds.com/connect/10074733072513#/reservations/31675146096775?display=Josh%20Beyers&amp;reservation_id=31675146096775&amp;guest_id=31675146096770", "Josh Beyers")</f>
        <v>Josh Beyers</v>
      </c>
      <c r="E7545" t="s">
        <v>5452</v>
      </c>
      <c r="F7545" t="s">
        <v>5331</v>
      </c>
      <c r="G7545">
        <v>222</v>
      </c>
      <c r="H7545">
        <v>241.32</v>
      </c>
      <c r="I7545">
        <v>241.31</v>
      </c>
      <c r="J7545">
        <v>0.01</v>
      </c>
    </row>
    <row r="7546" spans="1:10" x14ac:dyDescent="0.3">
      <c r="A7546" t="str">
        <f>HYPERLINK("https://us2.cloudbeds.com/connect/10074733072513#/reservations/31675041857749?display=MH7CZA3X3&amp;reservation_id=31675041857749", "MH7CZA3X3")</f>
        <v>MH7CZA3X3</v>
      </c>
      <c r="B7546" t="s">
        <v>10</v>
      </c>
      <c r="C7546" t="s">
        <v>121</v>
      </c>
      <c r="D7546" t="str">
        <f>HYPERLINK("https://us2.cloudbeds.com/connect/10074733072513#/reservations/31675041857749?display=Eldin%20Tricic&amp;reservation_id=31675041857749&amp;guest_id=31675041857745", "Eldin Tricic")</f>
        <v>Eldin Tricic</v>
      </c>
      <c r="E7546" t="s">
        <v>5453</v>
      </c>
      <c r="F7546" t="s">
        <v>5242</v>
      </c>
      <c r="G7546">
        <v>139</v>
      </c>
      <c r="H7546">
        <v>151.1</v>
      </c>
      <c r="I7546">
        <v>151.09</v>
      </c>
      <c r="J7546">
        <v>0.01</v>
      </c>
    </row>
    <row r="7547" spans="1:10" x14ac:dyDescent="0.3">
      <c r="A7547" t="str">
        <f>HYPERLINK("https://us2.cloudbeds.com/connect/10074733072513#/reservations/31674983665810?display=MH7B87RE0&amp;reservation_id=31674983665810", "MH7B87RE0")</f>
        <v>MH7B87RE0</v>
      </c>
      <c r="B7547" t="s">
        <v>10</v>
      </c>
      <c r="C7547" t="s">
        <v>42</v>
      </c>
      <c r="D7547" t="str">
        <f>HYPERLINK("https://us2.cloudbeds.com/connect/10074733072513#/reservations/31674983665810?display=Abigale%20Schroeder&amp;reservation_id=31674983665810&amp;guest_id=31674983665808", "Abigale Schroeder")</f>
        <v>Abigale Schroeder</v>
      </c>
      <c r="E7547" t="s">
        <v>5455</v>
      </c>
      <c r="F7547" t="s">
        <v>5242</v>
      </c>
      <c r="G7547">
        <v>139</v>
      </c>
      <c r="H7547">
        <v>151.1</v>
      </c>
      <c r="I7547">
        <v>151.09</v>
      </c>
      <c r="J7547">
        <v>0.01</v>
      </c>
    </row>
    <row r="7548" spans="1:10" x14ac:dyDescent="0.3">
      <c r="A7548" t="str">
        <f>HYPERLINK("https://us2.cloudbeds.com/connect/10074733072513#/reservations/31674983661718?display=MH7B87NM0&amp;reservation_id=31674983661718", "MH7B87NM0")</f>
        <v>MH7B87NM0</v>
      </c>
      <c r="B7548" t="s">
        <v>10</v>
      </c>
      <c r="C7548" t="s">
        <v>42</v>
      </c>
      <c r="D7548" t="str">
        <f>HYPERLINK("https://us2.cloudbeds.com/connect/10074733072513#/reservations/31674983661718?display=Claire%20Anderson&amp;reservation_id=31674983661718&amp;guest_id=31674983661716", "Claire Anderson")</f>
        <v>Claire Anderson</v>
      </c>
      <c r="E7548" t="s">
        <v>5437</v>
      </c>
      <c r="F7548" t="s">
        <v>5242</v>
      </c>
      <c r="G7548">
        <v>129</v>
      </c>
      <c r="H7548">
        <v>140.22999999999999</v>
      </c>
      <c r="I7548">
        <v>140.22</v>
      </c>
      <c r="J7548">
        <v>0.01</v>
      </c>
    </row>
    <row r="7549" spans="1:10" x14ac:dyDescent="0.3">
      <c r="A7549" t="str">
        <f>HYPERLINK("https://us2.cloudbeds.com/connect/10074733072513#/reservations/31674004439219?display=MH6J7HDEV&amp;reservation_id=31674004439219", "MH6J7HDEV")</f>
        <v>MH6J7HDEV</v>
      </c>
      <c r="B7549" t="s">
        <v>10</v>
      </c>
      <c r="C7549" t="s">
        <v>121</v>
      </c>
      <c r="D7549" t="str">
        <f>HYPERLINK("https://us2.cloudbeds.com/connect/10074733072513#/reservations/31674004439219?display=Azer%20Ademovic&amp;reservation_id=31674004439219&amp;guest_id=31674004439215", "Azer Ademovic")</f>
        <v>Azer Ademovic</v>
      </c>
      <c r="E7549" t="s">
        <v>5457</v>
      </c>
      <c r="F7549" t="s">
        <v>5242</v>
      </c>
      <c r="G7549">
        <v>139</v>
      </c>
      <c r="H7549">
        <v>151.1</v>
      </c>
      <c r="I7549">
        <v>151.09</v>
      </c>
      <c r="J7549">
        <v>0.01</v>
      </c>
    </row>
    <row r="7550" spans="1:10" x14ac:dyDescent="0.3">
      <c r="A7550" t="str">
        <f>HYPERLINK("https://us2.cloudbeds.com/connect/10074733072513#/reservations/31675840766089?display=MH804VU0Z&amp;reservation_id=31675840766089", "MH804VU0Z")</f>
        <v>MH804VU0Z</v>
      </c>
      <c r="B7550" t="s">
        <v>10</v>
      </c>
      <c r="C7550" t="s">
        <v>42</v>
      </c>
      <c r="D7550" t="str">
        <f>HYPERLINK("https://us2.cloudbeds.com/connect/10074733072513#/reservations/31675840766089?display=Mary%20Dybedahl&amp;reservation_id=31675840766089&amp;guest_id=31675840761998", "Mary Dybedahl")</f>
        <v>Mary Dybedahl</v>
      </c>
      <c r="E7550" t="s">
        <v>5403</v>
      </c>
      <c r="F7550" t="s">
        <v>3650</v>
      </c>
      <c r="G7550">
        <v>129</v>
      </c>
      <c r="H7550">
        <v>140.22999999999999</v>
      </c>
      <c r="I7550">
        <v>140.22</v>
      </c>
      <c r="J7550">
        <v>0.01</v>
      </c>
    </row>
    <row r="7551" spans="1:10" x14ac:dyDescent="0.3">
      <c r="A7551" t="str">
        <f>HYPERLINK("https://us2.cloudbeds.com/connect/10074733072513#/reservations/31673888333982?display=MH6G8KK2E&amp;reservation_id=31673888333982", "MH6G8KK2E")</f>
        <v>MH6G8KK2E</v>
      </c>
      <c r="B7551" t="s">
        <v>10</v>
      </c>
      <c r="C7551" t="s">
        <v>20</v>
      </c>
      <c r="D7551" t="str">
        <f>HYPERLINK("https://us2.cloudbeds.com/connect/10074733072513#/reservations/31673888333982?display=Adam%20Vosburgh&amp;reservation_id=31673888333982&amp;guest_id=31673888333980", "Adam Vosburgh")</f>
        <v>Adam Vosburgh</v>
      </c>
      <c r="E7551" t="s">
        <v>5458</v>
      </c>
      <c r="F7551" t="s">
        <v>4141</v>
      </c>
      <c r="G7551">
        <v>259</v>
      </c>
      <c r="H7551">
        <v>281.54000000000002</v>
      </c>
      <c r="I7551">
        <v>281.52999999999997</v>
      </c>
      <c r="J7551">
        <v>0.01</v>
      </c>
    </row>
    <row r="7552" spans="1:10" x14ac:dyDescent="0.3">
      <c r="A7552" t="str">
        <f>HYPERLINK("https://us2.cloudbeds.com/connect/10074733072513#/reservations/31682058551460?display=MHCR0VVF8&amp;reservation_id=31682058551460", "MHCR0VVF8")</f>
        <v>MHCR0VVF8</v>
      </c>
      <c r="B7552" t="s">
        <v>10</v>
      </c>
      <c r="C7552" t="s">
        <v>23</v>
      </c>
      <c r="D7552" t="str">
        <f>HYPERLINK("https://us2.cloudbeds.com/connect/10074733072513#/reservations/31682058551460?display=Barry%20Kirsch&amp;reservation_id=31682058551460&amp;guest_id=31682042908883", "Barry Kirsch")</f>
        <v>Barry Kirsch</v>
      </c>
      <c r="E7552" t="s">
        <v>5459</v>
      </c>
      <c r="F7552" t="s">
        <v>4916</v>
      </c>
      <c r="G7552">
        <v>378</v>
      </c>
      <c r="H7552">
        <v>410.9</v>
      </c>
      <c r="I7552">
        <v>410.89</v>
      </c>
      <c r="J7552">
        <v>0.01</v>
      </c>
    </row>
    <row r="7553" spans="1:10" x14ac:dyDescent="0.3">
      <c r="A7553" t="str">
        <f>HYPERLINK("https://us2.cloudbeds.com/connect/10074733072513#/reservations/31675847463142?display=MH80AK8ZZ&amp;reservation_id=31675847463142", "MH80AK8ZZ")</f>
        <v>MH80AK8ZZ</v>
      </c>
      <c r="B7553" t="s">
        <v>10</v>
      </c>
      <c r="C7553" t="s">
        <v>42</v>
      </c>
      <c r="D7553" t="str">
        <f>HYPERLINK("https://us2.cloudbeds.com/connect/10074733072513#/reservations/31675847463142?display=Tiffany%20Chartier&amp;reservation_id=31675847463142&amp;guest_id=31675847463139", "Tiffany Chartier")</f>
        <v>Tiffany Chartier</v>
      </c>
      <c r="E7553" t="s">
        <v>5460</v>
      </c>
      <c r="F7553" t="s">
        <v>3650</v>
      </c>
      <c r="G7553">
        <v>149</v>
      </c>
      <c r="H7553">
        <v>161.97</v>
      </c>
      <c r="I7553">
        <v>161.96</v>
      </c>
      <c r="J7553">
        <v>0.01</v>
      </c>
    </row>
    <row r="7554" spans="1:10" x14ac:dyDescent="0.3">
      <c r="A7554" t="str">
        <f>HYPERLINK("https://us2.cloudbeds.com/connect/10074733072513#/reservations/31677578580100?display=MH9BXB4RC&amp;reservation_id=31677578580100", "MH9BXB4RC")</f>
        <v>MH9BXB4RC</v>
      </c>
      <c r="B7554" t="s">
        <v>10</v>
      </c>
      <c r="C7554" t="s">
        <v>23</v>
      </c>
      <c r="D7554" t="str">
        <f>HYPERLINK("https://us2.cloudbeds.com/connect/10074733072513#/reservations/31677578580100?display=Barbara%20Duffey&amp;reservation_id=31677578580100&amp;guest_id=31675861352613", "Barbara Duffey")</f>
        <v>Barbara Duffey</v>
      </c>
      <c r="E7554" t="s">
        <v>4678</v>
      </c>
      <c r="F7554" t="s">
        <v>5462</v>
      </c>
      <c r="G7554">
        <v>139</v>
      </c>
      <c r="H7554">
        <v>151.1</v>
      </c>
      <c r="I7554">
        <v>151.09</v>
      </c>
      <c r="J7554">
        <v>0.01</v>
      </c>
    </row>
    <row r="7555" spans="1:10" x14ac:dyDescent="0.3">
      <c r="A7555" t="str">
        <f>HYPERLINK("https://us2.cloudbeds.com/connect/10074733072513#/reservations/31676530565257?display=MH8HPKJDR&amp;reservation_id=31676530565257", "MH8HPKJDR")</f>
        <v>MH8HPKJDR</v>
      </c>
      <c r="B7555" t="s">
        <v>10</v>
      </c>
      <c r="C7555" t="s">
        <v>42</v>
      </c>
      <c r="D7555" t="str">
        <f>HYPERLINK("https://us2.cloudbeds.com/connect/10074733072513#/reservations/31676530565257?display=Adam%20Juba&amp;reservation_id=31676530565257&amp;guest_id=31676524433650", "Adam Juba")</f>
        <v>Adam Juba</v>
      </c>
      <c r="E7555" t="s">
        <v>5463</v>
      </c>
      <c r="F7555" t="s">
        <v>4530</v>
      </c>
      <c r="G7555">
        <v>318</v>
      </c>
      <c r="H7555">
        <v>345.68</v>
      </c>
      <c r="I7555">
        <v>345.67</v>
      </c>
      <c r="J7555">
        <v>0.01</v>
      </c>
    </row>
    <row r="7556" spans="1:10" x14ac:dyDescent="0.3">
      <c r="A7556" t="str">
        <f>HYPERLINK("https://us2.cloudbeds.com/connect/10074733072513#/reservations/31677665534167?display=MH9DPYPF3&amp;reservation_id=31677665534167", "MH9DPYPF3")</f>
        <v>MH9DPYPF3</v>
      </c>
      <c r="B7556" t="s">
        <v>10</v>
      </c>
      <c r="C7556" t="s">
        <v>42</v>
      </c>
      <c r="D7556" t="str">
        <f>HYPERLINK("https://us2.cloudbeds.com/connect/10074733072513#/reservations/31677665534167?display=Joey%20Rodriguez&amp;reservation_id=31677665534167&amp;guest_id=31677665530072", "Joey Rodriguez")</f>
        <v>Joey Rodriguez</v>
      </c>
      <c r="E7556" t="s">
        <v>5466</v>
      </c>
      <c r="F7556" t="s">
        <v>5462</v>
      </c>
      <c r="G7556">
        <v>170</v>
      </c>
      <c r="H7556">
        <v>184.8</v>
      </c>
      <c r="I7556">
        <v>184.79</v>
      </c>
      <c r="J7556">
        <v>0.01</v>
      </c>
    </row>
    <row r="7557" spans="1:10" x14ac:dyDescent="0.3">
      <c r="A7557" t="str">
        <f>HYPERLINK("https://us2.cloudbeds.com/connect/10074733072513#/reservations/31676821495998?display=MH8P6V5ET&amp;reservation_id=31676821495998", "MH8P6V5ET")</f>
        <v>MH8P6V5ET</v>
      </c>
      <c r="B7557" t="s">
        <v>10</v>
      </c>
      <c r="C7557" t="s">
        <v>23</v>
      </c>
      <c r="D7557" t="str">
        <f>HYPERLINK("https://us2.cloudbeds.com/connect/10074733072513#/reservations/31676821495998?display=James%20Heier&amp;reservation_id=31676821495998&amp;guest_id=31676821495987", "James Heier")</f>
        <v>James Heier</v>
      </c>
      <c r="E7557" t="s">
        <v>5467</v>
      </c>
      <c r="F7557" t="s">
        <v>3650</v>
      </c>
      <c r="G7557">
        <v>149</v>
      </c>
      <c r="H7557">
        <v>161.97</v>
      </c>
      <c r="I7557">
        <v>161.96</v>
      </c>
      <c r="J7557">
        <v>0.01</v>
      </c>
    </row>
    <row r="7558" spans="1:10" x14ac:dyDescent="0.3">
      <c r="A7558" t="str">
        <f>HYPERLINK("https://us2.cloudbeds.com/connect/10074733072513#/reservations/31675399377036?display=MH7YSPK2T&amp;reservation_id=31675399377036", "MH7YSPK2T")</f>
        <v>MH7YSPK2T</v>
      </c>
      <c r="B7558" t="s">
        <v>10</v>
      </c>
      <c r="C7558" t="s">
        <v>42</v>
      </c>
      <c r="D7558" t="str">
        <f>HYPERLINK("https://us2.cloudbeds.com/connect/10074733072513#/reservations/31675399377036?display=Mandi%20Day&amp;reservation_id=31675399377036&amp;guest_id=31675399377033", "Mandi Day")</f>
        <v>Mandi Day</v>
      </c>
      <c r="E7558" t="s">
        <v>5470</v>
      </c>
      <c r="F7558" t="s">
        <v>5256</v>
      </c>
      <c r="G7558">
        <v>278</v>
      </c>
      <c r="H7558">
        <v>302.2</v>
      </c>
      <c r="I7558">
        <v>302.19</v>
      </c>
      <c r="J7558">
        <v>0.01</v>
      </c>
    </row>
    <row r="7559" spans="1:10" x14ac:dyDescent="0.3">
      <c r="A7559" t="str">
        <f>HYPERLINK("https://us2.cloudbeds.com/connect/10074733072513#/reservations/31674317758665?display=MH6R7NWEK&amp;reservation_id=31674317758665", "MH6R7NWEK")</f>
        <v>MH6R7NWEK</v>
      </c>
      <c r="B7559" t="s">
        <v>10</v>
      </c>
      <c r="C7559" t="s">
        <v>42</v>
      </c>
      <c r="D7559" t="str">
        <f>HYPERLINK("https://us2.cloudbeds.com/connect/10074733072513#/reservations/31674317758665?display=Shawn%20Hill&amp;reservation_id=31674317758665&amp;guest_id=31674303434941", "Shawn Hill")</f>
        <v>Shawn Hill</v>
      </c>
      <c r="E7559" t="s">
        <v>5304</v>
      </c>
      <c r="F7559" t="s">
        <v>5338</v>
      </c>
      <c r="G7559">
        <v>296</v>
      </c>
      <c r="H7559">
        <v>321.76</v>
      </c>
      <c r="I7559">
        <v>321.75</v>
      </c>
      <c r="J7559">
        <v>0.01</v>
      </c>
    </row>
    <row r="7560" spans="1:10" x14ac:dyDescent="0.3">
      <c r="A7560" t="str">
        <f>HYPERLINK("https://us2.cloudbeds.com/connect/10074733072513#/reservations/31682089353352?display=MHCRQV20U&amp;reservation_id=31682089353352", "MHCRQV20U")</f>
        <v>MHCRQV20U</v>
      </c>
      <c r="B7560" t="s">
        <v>10</v>
      </c>
      <c r="C7560" t="s">
        <v>11</v>
      </c>
      <c r="D7560" t="str">
        <f>HYPERLINK("https://us2.cloudbeds.com/connect/10074733072513#/reservations/31682089353352?display=Chris%20Bontje&amp;reservation_id=31682089353352&amp;guest_id=31682082595056", "Chris Bontje")</f>
        <v>Chris Bontje</v>
      </c>
      <c r="E7560" t="s">
        <v>1933</v>
      </c>
      <c r="F7560" t="s">
        <v>4916</v>
      </c>
      <c r="G7560">
        <v>307.76</v>
      </c>
      <c r="H7560">
        <v>334.55</v>
      </c>
      <c r="I7560">
        <v>334.54</v>
      </c>
      <c r="J7560">
        <v>0.01</v>
      </c>
    </row>
    <row r="7561" spans="1:10" x14ac:dyDescent="0.3">
      <c r="A7561" t="str">
        <f>HYPERLINK("https://us2.cloudbeds.com/connect/10074733072513#/reservations/31675858518199?display=MH80JUTAF&amp;reservation_id=31675858518199", "MH80JUTAF")</f>
        <v>MH80JUTAF</v>
      </c>
      <c r="B7561" t="s">
        <v>10</v>
      </c>
      <c r="C7561" t="s">
        <v>20</v>
      </c>
      <c r="D7561" t="str">
        <f>HYPERLINK("https://us2.cloudbeds.com/connect/10074733072513#/reservations/31675858518199?display=Anita%20Fischbach&amp;reservation_id=31675858518199&amp;guest_id=31675847467232", "Anita Fischbach")</f>
        <v>Anita Fischbach</v>
      </c>
      <c r="E7561" t="s">
        <v>5473</v>
      </c>
      <c r="F7561" t="s">
        <v>3650</v>
      </c>
      <c r="G7561">
        <v>169</v>
      </c>
      <c r="H7561">
        <v>183.71</v>
      </c>
      <c r="I7561">
        <v>183.7</v>
      </c>
      <c r="J7561">
        <v>0.01</v>
      </c>
    </row>
    <row r="7562" spans="1:10" x14ac:dyDescent="0.3">
      <c r="A7562" t="str">
        <f>HYPERLINK("https://us2.cloudbeds.com/connect/10074733072513#/reservations/31680217121017?display=MHBCW7EDY&amp;reservation_id=31680217121017", "MHBCW7EDY")</f>
        <v>MHBCW7EDY</v>
      </c>
      <c r="B7562" t="s">
        <v>10</v>
      </c>
      <c r="C7562" t="s">
        <v>23</v>
      </c>
      <c r="D7562" t="str">
        <f>HYPERLINK("https://us2.cloudbeds.com/connect/10074733072513#/reservations/31680217121017?display=Aric%20Kruger&amp;reservation_id=31680217121017&amp;guest_id=31680207614115", "Aric Kruger")</f>
        <v>Aric Kruger</v>
      </c>
      <c r="E7562" t="s">
        <v>5474</v>
      </c>
      <c r="F7562" t="s">
        <v>2815</v>
      </c>
      <c r="G7562">
        <v>358</v>
      </c>
      <c r="H7562">
        <v>389.16</v>
      </c>
      <c r="I7562">
        <v>389.15</v>
      </c>
      <c r="J7562">
        <v>0.01</v>
      </c>
    </row>
    <row r="7563" spans="1:10" x14ac:dyDescent="0.3">
      <c r="A7563" t="str">
        <f>HYPERLINK("https://us2.cloudbeds.com/connect/10074733072513#/reservations/31676995874974?display=MH8TYWH29&amp;reservation_id=31676995874974", "MH8TYWH29")</f>
        <v>MH8TYWH29</v>
      </c>
      <c r="B7563" t="s">
        <v>10</v>
      </c>
      <c r="C7563" t="s">
        <v>42</v>
      </c>
      <c r="D7563" t="str">
        <f>HYPERLINK("https://us2.cloudbeds.com/connect/10074733072513#/reservations/31676995874974?display=Sidney%20Herrig&amp;reservation_id=31676995874974&amp;guest_id=31676995874972", "Sidney Herrig")</f>
        <v>Sidney Herrig</v>
      </c>
      <c r="E7563" t="s">
        <v>5475</v>
      </c>
      <c r="F7563" t="s">
        <v>3650</v>
      </c>
      <c r="G7563">
        <v>258</v>
      </c>
      <c r="H7563">
        <v>280.45999999999998</v>
      </c>
      <c r="I7563">
        <v>280.45</v>
      </c>
      <c r="J7563">
        <v>0.01</v>
      </c>
    </row>
    <row r="7564" spans="1:10" x14ac:dyDescent="0.3">
      <c r="A7564" t="str">
        <f>HYPERLINK("https://us2.cloudbeds.com/connect/10074733072513#/reservations/31675018768518?display=MH7C4RKAE&amp;reservation_id=31675018768518", "MH7C4RKAE")</f>
        <v>MH7C4RKAE</v>
      </c>
      <c r="B7564" t="s">
        <v>10</v>
      </c>
      <c r="C7564" t="s">
        <v>42</v>
      </c>
      <c r="D7564" t="str">
        <f>HYPERLINK("https://us2.cloudbeds.com/connect/10074733072513#/reservations/31675018768518?display=Underground%20Solutions%20.&amp;reservation_id=31675018768518&amp;guest_id=31675018768514", "Underground Solutions .")</f>
        <v>Underground Solutions .</v>
      </c>
      <c r="E7564" t="s">
        <v>5222</v>
      </c>
      <c r="F7564" t="s">
        <v>5477</v>
      </c>
      <c r="G7564">
        <v>79</v>
      </c>
      <c r="H7564">
        <v>85.88</v>
      </c>
      <c r="I7564">
        <v>85.87</v>
      </c>
      <c r="J7564">
        <v>0.01</v>
      </c>
    </row>
    <row r="7565" spans="1:10" x14ac:dyDescent="0.3">
      <c r="A7565" t="str">
        <f>HYPERLINK("https://us2.cloudbeds.com/connect/10074733072513#/reservations/31676142559432?display=MH87SEZTX&amp;reservation_id=31676142559432", "MH87SEZTX")</f>
        <v>MH87SEZTX</v>
      </c>
      <c r="B7565" t="s">
        <v>10</v>
      </c>
      <c r="C7565" t="s">
        <v>42</v>
      </c>
      <c r="D7565" t="str">
        <f>HYPERLINK("https://us2.cloudbeds.com/connect/10074733072513#/reservations/31676142559432?display=Deborah%20Sweany&amp;reservation_id=31676142559432&amp;guest_id=31676142555335", "Deborah Sweany")</f>
        <v>Deborah Sweany</v>
      </c>
      <c r="E7565" t="s">
        <v>5479</v>
      </c>
      <c r="F7565" t="s">
        <v>4164</v>
      </c>
      <c r="G7565">
        <v>169</v>
      </c>
      <c r="H7565">
        <v>183.71</v>
      </c>
      <c r="I7565">
        <v>183.7</v>
      </c>
      <c r="J7565">
        <v>0.01</v>
      </c>
    </row>
    <row r="7566" spans="1:10" x14ac:dyDescent="0.3">
      <c r="A7566" t="str">
        <f>HYPERLINK("https://us2.cloudbeds.com/connect/10074733072513#/reservations/31676865126543?display=MH8QAZ87K&amp;reservation_id=31676865126543", "MH8QAZ87K")</f>
        <v>MH8QAZ87K</v>
      </c>
      <c r="B7566" t="s">
        <v>10</v>
      </c>
      <c r="C7566" t="s">
        <v>20</v>
      </c>
      <c r="D7566" t="str">
        <f>HYPERLINK("https://us2.cloudbeds.com/connect/10074733072513#/reservations/31676865126543?display=Katie%20Taylor&amp;reservation_id=31676865126543&amp;guest_id=31676858548461", "Katie Taylor")</f>
        <v>Katie Taylor</v>
      </c>
      <c r="E7566" t="s">
        <v>5480</v>
      </c>
      <c r="F7566" t="s">
        <v>3334</v>
      </c>
      <c r="G7566">
        <v>321.3</v>
      </c>
      <c r="H7566">
        <v>349.26</v>
      </c>
      <c r="I7566">
        <v>349.25</v>
      </c>
      <c r="J7566">
        <v>0.01</v>
      </c>
    </row>
    <row r="7567" spans="1:10" x14ac:dyDescent="0.3">
      <c r="A7567" t="str">
        <f>HYPERLINK("https://us2.cloudbeds.com/connect/10074733072513#/reservations/31677697810563?display=MH9EJSU0N&amp;reservation_id=31677697810563", "MH9EJSU0N")</f>
        <v>MH9EJSU0N</v>
      </c>
      <c r="B7567" t="s">
        <v>10</v>
      </c>
      <c r="C7567" t="s">
        <v>42</v>
      </c>
      <c r="D7567" t="str">
        <f>HYPERLINK("https://us2.cloudbeds.com/connect/10074733072513#/reservations/31677697810563?display=Trevor%20Hrubes&amp;reservation_id=31677697810563&amp;guest_id=31677697806479", "Trevor Hrubes")</f>
        <v>Trevor Hrubes</v>
      </c>
      <c r="E7567" t="s">
        <v>5481</v>
      </c>
      <c r="F7567" t="s">
        <v>5462</v>
      </c>
      <c r="G7567">
        <v>109</v>
      </c>
      <c r="H7567">
        <v>118.49</v>
      </c>
      <c r="I7567">
        <v>118.48</v>
      </c>
      <c r="J7567">
        <v>0.01</v>
      </c>
    </row>
    <row r="7568" spans="1:10" x14ac:dyDescent="0.3">
      <c r="A7568" t="str">
        <f>HYPERLINK("https://us2.cloudbeds.com/connect/10074733072513#/reservations/31677814218918?display=MH9HJ14ZK&amp;reservation_id=31677814218918", "MH9HJ14ZK")</f>
        <v>MH9HJ14ZK</v>
      </c>
      <c r="B7568" t="s">
        <v>10</v>
      </c>
      <c r="C7568" t="s">
        <v>42</v>
      </c>
      <c r="D7568" t="str">
        <f>HYPERLINK("https://us2.cloudbeds.com/connect/10074733072513#/reservations/31677814218918?display=Michael%20Daniels&amp;reservation_id=31677814218918&amp;guest_id=30671090090186", "Michael Daniels")</f>
        <v>Michael Daniels</v>
      </c>
      <c r="E7568" t="s">
        <v>3262</v>
      </c>
      <c r="F7568" t="s">
        <v>5482</v>
      </c>
      <c r="G7568">
        <v>73</v>
      </c>
      <c r="H7568">
        <v>79.36</v>
      </c>
      <c r="I7568">
        <v>79.349999999999994</v>
      </c>
      <c r="J7568">
        <v>0.01</v>
      </c>
    </row>
    <row r="7569" spans="1:10" x14ac:dyDescent="0.3">
      <c r="A7569" t="str">
        <f>HYPERLINK("https://us2.cloudbeds.com/connect/10074733072513#/reservations/31675125887105?display=MH7ET5BG7&amp;reservation_id=31675125887105", "MH7ET5BG7")</f>
        <v>MH7ET5BG7</v>
      </c>
      <c r="B7569" t="s">
        <v>10</v>
      </c>
      <c r="C7569" t="s">
        <v>42</v>
      </c>
      <c r="D7569" t="str">
        <f>HYPERLINK("https://us2.cloudbeds.com/connect/10074733072513#/reservations/31675125887105?display=Keith%20Loberg&amp;reservation_id=31675125887105&amp;guest_id=30667674366083", "Keith Loberg")</f>
        <v>Keith Loberg</v>
      </c>
      <c r="E7569" t="s">
        <v>5138</v>
      </c>
      <c r="F7569" t="s">
        <v>5331</v>
      </c>
      <c r="G7569">
        <v>73</v>
      </c>
      <c r="H7569">
        <v>79.36</v>
      </c>
      <c r="I7569">
        <v>79.349999999999994</v>
      </c>
      <c r="J7569">
        <v>0.01</v>
      </c>
    </row>
    <row r="7570" spans="1:10" x14ac:dyDescent="0.3">
      <c r="A7570" t="str">
        <f>HYPERLINK("https://us2.cloudbeds.com/connect/10074733072513#/reservations/31674489168113?display=MH6VK8N7A&amp;reservation_id=31674489168113", "MH6VK8N7A")</f>
        <v>MH6VK8N7A</v>
      </c>
      <c r="B7570" t="s">
        <v>10</v>
      </c>
      <c r="C7570" t="s">
        <v>23</v>
      </c>
      <c r="D7570" t="str">
        <f>HYPERLINK("https://us2.cloudbeds.com/connect/10074733072513#/reservations/31674489168113?display=Chris%20Heier&amp;reservation_id=31674489168113&amp;guest_id=31674489168111", "Chris Heier")</f>
        <v>Chris Heier</v>
      </c>
      <c r="E7570" t="s">
        <v>5467</v>
      </c>
      <c r="F7570" t="s">
        <v>4825</v>
      </c>
      <c r="G7570">
        <v>149</v>
      </c>
      <c r="H7570">
        <v>161.97</v>
      </c>
      <c r="I7570">
        <v>161.96</v>
      </c>
      <c r="J7570">
        <v>0.01</v>
      </c>
    </row>
    <row r="7571" spans="1:10" x14ac:dyDescent="0.3">
      <c r="A7571" t="str">
        <f>HYPERLINK("https://us2.cloudbeds.com/connect/10074733072513#/reservations/31675005915347?display=MH7BQWVJD&amp;reservation_id=31675005915347", "MH7BQWVJD")</f>
        <v>MH7BQWVJD</v>
      </c>
      <c r="B7571" t="s">
        <v>10</v>
      </c>
      <c r="C7571" t="s">
        <v>14</v>
      </c>
      <c r="D7571" t="str">
        <f>HYPERLINK("https://us2.cloudbeds.com/connect/10074733072513#/reservations/31675005915347?display=Talia%20Reynolds&amp;reservation_id=31675005915347&amp;guest_id=31674996113645", "Talia Reynolds")</f>
        <v>Talia Reynolds</v>
      </c>
      <c r="E7571" t="s">
        <v>5484</v>
      </c>
      <c r="F7571" t="s">
        <v>5477</v>
      </c>
      <c r="G7571">
        <v>77.5</v>
      </c>
      <c r="H7571">
        <v>84.25</v>
      </c>
      <c r="I7571">
        <v>84.24</v>
      </c>
      <c r="J7571">
        <v>0.01</v>
      </c>
    </row>
    <row r="7572" spans="1:10" x14ac:dyDescent="0.3">
      <c r="A7572" t="str">
        <f>HYPERLINK("https://us2.cloudbeds.com/connect/10074733072513#/reservations/31681293091033?display=MHC7FGTAZ&amp;reservation_id=31681293091033", "MHC7FGTAZ")</f>
        <v>MHC7FGTAZ</v>
      </c>
      <c r="B7572" t="s">
        <v>10</v>
      </c>
      <c r="C7572" t="s">
        <v>42</v>
      </c>
      <c r="D7572" t="str">
        <f>HYPERLINK("https://us2.cloudbeds.com/connect/10074733072513#/reservations/31681293091033?display=Ashley%20Kimeu&amp;reservation_id=31681293091033&amp;guest_id=31681293091030", "Ashley Kimeu")</f>
        <v>Ashley Kimeu</v>
      </c>
      <c r="E7572" t="s">
        <v>5485</v>
      </c>
      <c r="F7572" t="s">
        <v>4979</v>
      </c>
      <c r="G7572">
        <v>139</v>
      </c>
      <c r="H7572">
        <v>151.1</v>
      </c>
      <c r="I7572">
        <v>151.09</v>
      </c>
      <c r="J7572">
        <v>0.01</v>
      </c>
    </row>
    <row r="7573" spans="1:10" x14ac:dyDescent="0.3">
      <c r="A7573" t="str">
        <f>HYPERLINK("https://us2.cloudbeds.com/connect/10074733072513#/reservations/31677725622408?display=MH9FAAQTT&amp;reservation_id=31677725622408", "MH9FAAQTT")</f>
        <v>MH9FAAQTT</v>
      </c>
      <c r="B7573" t="s">
        <v>10</v>
      </c>
      <c r="C7573" t="s">
        <v>121</v>
      </c>
      <c r="D7573" t="str">
        <f>HYPERLINK("https://us2.cloudbeds.com/connect/10074733072513#/reservations/31677725622408?display=Trevor%20Mulgrew&amp;reservation_id=31677725622408&amp;guest_id=31675034390689", "Trevor Mulgrew")</f>
        <v>Trevor Mulgrew</v>
      </c>
      <c r="E7573" t="s">
        <v>5486</v>
      </c>
      <c r="F7573" t="s">
        <v>5477</v>
      </c>
      <c r="G7573">
        <v>158</v>
      </c>
      <c r="H7573">
        <v>171.76</v>
      </c>
      <c r="I7573">
        <v>171.75</v>
      </c>
      <c r="J7573">
        <v>0.01</v>
      </c>
    </row>
    <row r="7574" spans="1:10" x14ac:dyDescent="0.3">
      <c r="A7574" t="str">
        <f>HYPERLINK("https://us2.cloudbeds.com/connect/10074733072513#/reservations/31675988082834?display=MH83U673H&amp;reservation_id=31675988082834", "MH83U673H")</f>
        <v>MH83U673H</v>
      </c>
      <c r="B7574" t="s">
        <v>10</v>
      </c>
      <c r="C7574" t="s">
        <v>121</v>
      </c>
      <c r="D7574" t="str">
        <f>HYPERLINK("https://us2.cloudbeds.com/connect/10074733072513#/reservations/31675988082834?display=Andreaus%20Russel&amp;reservation_id=31675988082834&amp;guest_id=31675988082832", "Andreaus Russel")</f>
        <v>Andreaus Russel</v>
      </c>
      <c r="E7574" t="s">
        <v>5487</v>
      </c>
      <c r="F7574" t="s">
        <v>5331</v>
      </c>
      <c r="G7574">
        <v>109</v>
      </c>
      <c r="H7574">
        <v>118.49</v>
      </c>
      <c r="I7574">
        <v>118.48</v>
      </c>
      <c r="J7574">
        <v>0.01</v>
      </c>
    </row>
    <row r="7575" spans="1:10" x14ac:dyDescent="0.3">
      <c r="A7575" t="str">
        <f>HYPERLINK("https://us2.cloudbeds.com/connect/10074733072513#/reservations/31675053297799?display=MH7D0VEY9&amp;reservation_id=31675053297799", "MH7D0VEY9")</f>
        <v>MH7D0VEY9</v>
      </c>
      <c r="B7575" t="s">
        <v>10</v>
      </c>
      <c r="C7575" t="s">
        <v>121</v>
      </c>
      <c r="D7575" t="str">
        <f>HYPERLINK("https://us2.cloudbeds.com/connect/10074733072513#/reservations/31675053297799?display=Jay%20James%20Pickthorn&amp;reservation_id=31675053297799&amp;guest_id=31675053297797", "Jay James Pickthorn")</f>
        <v>Jay James Pickthorn</v>
      </c>
      <c r="E7575" t="s">
        <v>5488</v>
      </c>
      <c r="F7575" t="s">
        <v>5331</v>
      </c>
      <c r="G7575">
        <v>139</v>
      </c>
      <c r="H7575">
        <v>151.1</v>
      </c>
      <c r="I7575">
        <v>151.09</v>
      </c>
      <c r="J7575">
        <v>0.01</v>
      </c>
    </row>
    <row r="7576" spans="1:10" x14ac:dyDescent="0.3">
      <c r="A7576" t="str">
        <f>HYPERLINK("https://us2.cloudbeds.com/connect/10074733072513#/reservations/31677468520661?display=MH98ZHJ4S&amp;reservation_id=31677468520661", "MH98ZHJ4S")</f>
        <v>MH98ZHJ4S</v>
      </c>
      <c r="B7576" t="s">
        <v>10</v>
      </c>
      <c r="C7576" t="s">
        <v>11</v>
      </c>
      <c r="D7576" t="str">
        <f>HYPERLINK("https://us2.cloudbeds.com/connect/10074733072513#/reservations/31677468520661?display=Lori%20Taylor&amp;reservation_id=31677468520661&amp;guest_id=31677463486653", "Lori Taylor")</f>
        <v>Lori Taylor</v>
      </c>
      <c r="E7576" t="s">
        <v>5489</v>
      </c>
      <c r="F7576" t="s">
        <v>4164</v>
      </c>
      <c r="G7576">
        <v>106.8</v>
      </c>
      <c r="H7576">
        <v>116.1</v>
      </c>
      <c r="I7576">
        <v>116.09</v>
      </c>
      <c r="J7576">
        <v>0.01</v>
      </c>
    </row>
    <row r="7577" spans="1:10" x14ac:dyDescent="0.3">
      <c r="A7577" t="str">
        <f>HYPERLINK("https://us2.cloudbeds.com/connect/10074733072513#/reservations/31681247830147?display=MHC6ABEEZ&amp;reservation_id=31681247830147", "MHC6ABEEZ")</f>
        <v>MHC6ABEEZ</v>
      </c>
      <c r="B7577" t="s">
        <v>10</v>
      </c>
      <c r="C7577" t="s">
        <v>42</v>
      </c>
      <c r="D7577" t="str">
        <f>HYPERLINK("https://us2.cloudbeds.com/connect/10074733072513#/reservations/31681247830147?display=Steven%20Paul%20Thiner&amp;reservation_id=31681247830147&amp;guest_id=31681247826104", "Steven Paul Thiner")</f>
        <v>Steven Paul Thiner</v>
      </c>
      <c r="E7577" t="s">
        <v>5485</v>
      </c>
      <c r="F7577" t="s">
        <v>4979</v>
      </c>
      <c r="G7577">
        <v>159</v>
      </c>
      <c r="H7577">
        <v>172.84</v>
      </c>
      <c r="I7577">
        <v>172.83</v>
      </c>
      <c r="J7577">
        <v>0.01</v>
      </c>
    </row>
    <row r="7578" spans="1:10" x14ac:dyDescent="0.3">
      <c r="A7578" t="str">
        <f>HYPERLINK("https://us2.cloudbeds.com/connect/10074733072513#/reservations/31674797039854?display=MH76FSMZ0&amp;reservation_id=31674797039854", "MH76FSMZ0")</f>
        <v>MH76FSMZ0</v>
      </c>
      <c r="B7578" t="s">
        <v>10</v>
      </c>
      <c r="C7578" t="s">
        <v>11</v>
      </c>
      <c r="D7578" t="str">
        <f>HYPERLINK("https://us2.cloudbeds.com/connect/10074733072513#/reservations/31674797039854?display=Courtney%20Owen&amp;reservation_id=31674797039854&amp;guest_id=31674788520097", "Courtney Owen")</f>
        <v>Courtney Owen</v>
      </c>
      <c r="E7578" t="s">
        <v>5490</v>
      </c>
      <c r="F7578" t="s">
        <v>5355</v>
      </c>
      <c r="G7578">
        <v>298</v>
      </c>
      <c r="H7578">
        <v>323.94</v>
      </c>
      <c r="I7578">
        <v>323.93</v>
      </c>
      <c r="J7578">
        <v>0.01</v>
      </c>
    </row>
    <row r="7579" spans="1:10" x14ac:dyDescent="0.3">
      <c r="A7579" t="str">
        <f>HYPERLINK("https://us2.cloudbeds.com/connect/10074733072513#/reservations/31674457850001?display=MH6UQS7KK&amp;reservation_id=31674457850001", "MH6UQS7KK")</f>
        <v>MH6UQS7KK</v>
      </c>
      <c r="B7579" t="s">
        <v>10</v>
      </c>
      <c r="C7579" t="s">
        <v>14</v>
      </c>
      <c r="D7579" t="str">
        <f>HYPERLINK("https://us2.cloudbeds.com/connect/10074733072513#/reservations/31674457850001?display=Colleen%20Schultz-Herman&amp;reservation_id=31674457850001&amp;guest_id=31674452345081", "Colleen Schultz-Herman")</f>
        <v>Colleen Schultz-Herman</v>
      </c>
      <c r="E7579" t="s">
        <v>3058</v>
      </c>
      <c r="F7579" t="s">
        <v>4672</v>
      </c>
      <c r="G7579">
        <v>321.3</v>
      </c>
      <c r="H7579">
        <v>349.26</v>
      </c>
      <c r="I7579">
        <v>349.25</v>
      </c>
      <c r="J7579">
        <v>0.01</v>
      </c>
    </row>
    <row r="7580" spans="1:10" x14ac:dyDescent="0.3">
      <c r="A7580" t="str">
        <f>HYPERLINK("https://us2.cloudbeds.com/connect/10074733072513#/reservations/31675999314169?display=MH846YZHW&amp;reservation_id=31675999314169", "MH846YZHW")</f>
        <v>MH846YZHW</v>
      </c>
      <c r="B7580" t="s">
        <v>10</v>
      </c>
      <c r="C7580" t="s">
        <v>121</v>
      </c>
      <c r="D7580" t="str">
        <f>HYPERLINK("https://us2.cloudbeds.com/connect/10074733072513#/reservations/31675999314169?display=Nicolette%20Norton&amp;reservation_id=31675999314169&amp;guest_id=31675999314114", "Nicolette Norton")</f>
        <v>Nicolette Norton</v>
      </c>
      <c r="E7580" t="s">
        <v>5491</v>
      </c>
      <c r="F7580" t="s">
        <v>5331</v>
      </c>
      <c r="G7580">
        <v>139</v>
      </c>
      <c r="H7580">
        <v>151.1</v>
      </c>
      <c r="I7580">
        <v>151.09</v>
      </c>
      <c r="J7580">
        <v>0.01</v>
      </c>
    </row>
    <row r="7581" spans="1:10" x14ac:dyDescent="0.3">
      <c r="A7581" t="str">
        <f>HYPERLINK("https://us2.cloudbeds.com/connect/10074733072513#/reservations/31681128558805?display=MHC38PHNY&amp;reservation_id=31681128558805", "MHC38PHNY")</f>
        <v>MHC38PHNY</v>
      </c>
      <c r="B7581" t="s">
        <v>10</v>
      </c>
      <c r="C7581" t="s">
        <v>42</v>
      </c>
      <c r="D7581" t="str">
        <f>HYPERLINK("https://us2.cloudbeds.com/connect/10074733072513#/reservations/31681128558805?display=Diane%20Schlag&amp;reservation_id=31681128558805&amp;guest_id=31681128558803", "Diane Schlag")</f>
        <v>Diane Schlag</v>
      </c>
      <c r="E7581" t="s">
        <v>5492</v>
      </c>
      <c r="F7581" t="s">
        <v>5283</v>
      </c>
      <c r="G7581">
        <v>218</v>
      </c>
      <c r="H7581">
        <v>236.98</v>
      </c>
      <c r="I7581">
        <v>236.97</v>
      </c>
      <c r="J7581">
        <v>0.01</v>
      </c>
    </row>
    <row r="7582" spans="1:10" x14ac:dyDescent="0.3">
      <c r="A7582" t="str">
        <f>HYPERLINK("https://us2.cloudbeds.com/connect/10074733072513#/reservations/31676791607441?display=MH8ZEZFJ1&amp;reservation_id=31676791607441", "MH8ZEZFJ1")</f>
        <v>MH8ZEZFJ1</v>
      </c>
      <c r="B7582" t="s">
        <v>10</v>
      </c>
      <c r="C7582" t="s">
        <v>20</v>
      </c>
      <c r="D7582" t="str">
        <f>HYPERLINK("https://us2.cloudbeds.com/connect/10074733072513#/reservations/31676791607441?display=Gail%20Mitchell&amp;reservation_id=31676791607441&amp;guest_id=31676782190831", "Gail Mitchell")</f>
        <v>Gail Mitchell</v>
      </c>
      <c r="E7582" t="s">
        <v>5493</v>
      </c>
      <c r="F7582" t="s">
        <v>3650</v>
      </c>
      <c r="G7582">
        <v>298</v>
      </c>
      <c r="H7582">
        <v>323.94</v>
      </c>
      <c r="I7582">
        <v>323.93</v>
      </c>
      <c r="J7582">
        <v>0.01</v>
      </c>
    </row>
    <row r="7583" spans="1:10" x14ac:dyDescent="0.3">
      <c r="A7583" t="str">
        <f>HYPERLINK("https://us2.cloudbeds.com/connect/10074733072513#/reservations/31676024037533?display=MH84RGNBS&amp;reservation_id=31676024037533", "MH84RGNBS")</f>
        <v>MH84RGNBS</v>
      </c>
      <c r="B7583" t="s">
        <v>10</v>
      </c>
      <c r="C7583" t="s">
        <v>42</v>
      </c>
      <c r="D7583" t="str">
        <f>HYPERLINK("https://us2.cloudbeds.com/connect/10074733072513#/reservations/31676024037533?display=Tony%20Ellingson&amp;reservation_id=31676024037533&amp;guest_id=31674859827423", "Tony Ellingson")</f>
        <v>Tony Ellingson</v>
      </c>
      <c r="E7583" t="s">
        <v>5494</v>
      </c>
      <c r="F7583" t="s">
        <v>5440</v>
      </c>
      <c r="G7583">
        <v>79</v>
      </c>
      <c r="H7583">
        <v>85.88</v>
      </c>
      <c r="I7583">
        <v>85.87</v>
      </c>
      <c r="J7583">
        <v>0.01</v>
      </c>
    </row>
    <row r="7584" spans="1:10" x14ac:dyDescent="0.3">
      <c r="A7584" t="str">
        <f>HYPERLINK("https://us2.cloudbeds.com/connect/10074733072513#/reservations/31675528683654?display=MH7P5QZV8&amp;reservation_id=31675528683654", "MH7P5QZV8")</f>
        <v>MH7P5QZV8</v>
      </c>
      <c r="B7584" t="s">
        <v>10</v>
      </c>
      <c r="C7584" t="s">
        <v>11</v>
      </c>
      <c r="D7584" t="str">
        <f>HYPERLINK("https://us2.cloudbeds.com/connect/10074733072513#/reservations/31675528683654?display=Robyn%20Parkes&amp;reservation_id=31675528683654&amp;guest_id=31675525935313", "Robyn Parkes")</f>
        <v>Robyn Parkes</v>
      </c>
      <c r="E7584" t="s">
        <v>4770</v>
      </c>
      <c r="F7584" t="s">
        <v>5256</v>
      </c>
      <c r="G7584">
        <v>87.84</v>
      </c>
      <c r="H7584">
        <v>95.49</v>
      </c>
      <c r="I7584">
        <v>95.48</v>
      </c>
      <c r="J7584">
        <v>0.01</v>
      </c>
    </row>
    <row r="7585" spans="1:10" x14ac:dyDescent="0.3">
      <c r="A7585" t="str">
        <f>HYPERLINK("https://us2.cloudbeds.com/connect/10074733072513#/reservations/31675034390710?display=MH7CX0AP6&amp;reservation_id=31675034390710", "MH7CX0AP6")</f>
        <v>MH7CX0AP6</v>
      </c>
      <c r="B7585" t="s">
        <v>10</v>
      </c>
      <c r="C7585" t="s">
        <v>42</v>
      </c>
      <c r="D7585" t="str">
        <f>HYPERLINK("https://us2.cloudbeds.com/connect/10074733072513#/reservations/31675034390710?display=Trevor%20Mulgrew&amp;reservation_id=31675034390710&amp;guest_id=31675034390689", "Trevor Mulgrew")</f>
        <v>Trevor Mulgrew</v>
      </c>
      <c r="E7585" t="s">
        <v>5486</v>
      </c>
      <c r="F7585" t="s">
        <v>5331</v>
      </c>
      <c r="G7585">
        <v>278</v>
      </c>
      <c r="H7585">
        <v>302.2</v>
      </c>
      <c r="I7585">
        <v>302.19</v>
      </c>
      <c r="J7585">
        <v>0.01</v>
      </c>
    </row>
    <row r="7586" spans="1:10" x14ac:dyDescent="0.3">
      <c r="A7586" t="str">
        <f>HYPERLINK("https://us2.cloudbeds.com/connect/10074733072513#/reservations/31676149285100?display=MH8813TTM&amp;reservation_id=31676149285100", "MH8813TTM")</f>
        <v>MH8813TTM</v>
      </c>
      <c r="B7586" t="s">
        <v>10</v>
      </c>
      <c r="C7586" t="s">
        <v>42</v>
      </c>
      <c r="D7586" t="str">
        <f>HYPERLINK("https://us2.cloudbeds.com/connect/10074733072513#/reservations/31676149285100?display=Maureen%20Njiiri&amp;reservation_id=31676149285100&amp;guest_id=31676149285097", "Maureen Njiiri")</f>
        <v>Maureen Njiiri</v>
      </c>
      <c r="E7586" t="s">
        <v>5495</v>
      </c>
      <c r="F7586" t="s">
        <v>5440</v>
      </c>
      <c r="G7586">
        <v>89</v>
      </c>
      <c r="H7586">
        <v>96.75</v>
      </c>
      <c r="I7586">
        <v>96.74</v>
      </c>
      <c r="J7586">
        <v>0.01</v>
      </c>
    </row>
    <row r="7587" spans="1:10" x14ac:dyDescent="0.3">
      <c r="A7587" t="str">
        <f>HYPERLINK("https://us2.cloudbeds.com/connect/10074733072513#/reservations/31674244886730?display=MH6PC9725&amp;reservation_id=31674244886730", "MH6PC9725")</f>
        <v>MH6PC9725</v>
      </c>
      <c r="B7587" t="s">
        <v>10</v>
      </c>
      <c r="C7587" t="s">
        <v>17</v>
      </c>
      <c r="D7587" t="str">
        <f>HYPERLINK("https://us2.cloudbeds.com/connect/10074733072513#/reservations/31674244886730?display=Brad%20King&amp;reservation_id=31674244886730&amp;guest_id=31674234601646", "Brad King")</f>
        <v>Brad King</v>
      </c>
      <c r="E7587" t="s">
        <v>5496</v>
      </c>
      <c r="F7587" t="s">
        <v>5338</v>
      </c>
      <c r="G7587">
        <v>258</v>
      </c>
      <c r="H7587">
        <v>280.45999999999998</v>
      </c>
      <c r="I7587">
        <v>280.45</v>
      </c>
      <c r="J7587">
        <v>0.01</v>
      </c>
    </row>
    <row r="7588" spans="1:10" x14ac:dyDescent="0.3">
      <c r="A7588" t="str">
        <f>HYPERLINK("https://us2.cloudbeds.com/connect/10074733072513#/reservations/31676944793760?display=MH8SBU3HN&amp;reservation_id=31676944793760", "MH8SBU3HN")</f>
        <v>MH8SBU3HN</v>
      </c>
      <c r="B7588" t="s">
        <v>10</v>
      </c>
      <c r="C7588" t="s">
        <v>23</v>
      </c>
      <c r="D7588" t="str">
        <f>HYPERLINK("https://us2.cloudbeds.com/connect/10074733072513#/reservations/31676944793760?display=Chester%20Dejong&amp;reservation_id=31676944793760&amp;guest_id=31676944793742", "Chester Dejong")</f>
        <v>Chester Dejong</v>
      </c>
      <c r="E7588" t="s">
        <v>5497</v>
      </c>
      <c r="F7588" t="s">
        <v>4846</v>
      </c>
      <c r="G7588">
        <v>159</v>
      </c>
      <c r="H7588">
        <v>172.84</v>
      </c>
      <c r="I7588">
        <v>172.83</v>
      </c>
      <c r="J7588">
        <v>0.01</v>
      </c>
    </row>
    <row r="7589" spans="1:10" x14ac:dyDescent="0.3">
      <c r="A7589" t="str">
        <f>HYPERLINK("https://us2.cloudbeds.com/connect/10074733072513#/reservations/31677342830747?display=MH95HX2DJ&amp;reservation_id=31677342830747", "MH95HX2DJ")</f>
        <v>MH95HX2DJ</v>
      </c>
      <c r="B7589" t="s">
        <v>10</v>
      </c>
      <c r="C7589" t="s">
        <v>23</v>
      </c>
      <c r="D7589" t="str">
        <f>HYPERLINK("https://us2.cloudbeds.com/connect/10074733072513#/reservations/31677342830747?display=Ronald%20And%20Kristiie%20Sylvester&amp;reservation_id=31677342830747&amp;guest_id=31677342830743", "Ronald And Kristiie Sylvester")</f>
        <v>Ronald And Kristiie Sylvester</v>
      </c>
      <c r="E7589" t="s">
        <v>5498</v>
      </c>
      <c r="F7589" t="s">
        <v>4347</v>
      </c>
      <c r="G7589">
        <v>149</v>
      </c>
      <c r="H7589">
        <v>161.97</v>
      </c>
      <c r="I7589">
        <v>161.96</v>
      </c>
      <c r="J7589">
        <v>0.01</v>
      </c>
    </row>
    <row r="7590" spans="1:10" x14ac:dyDescent="0.3">
      <c r="A7590" t="str">
        <f>HYPERLINK("https://us2.cloudbeds.com/connect/10074733072513#/reservations/31674889203863?display=MH78RJ9GP&amp;reservation_id=31674889203863", "MH78RJ9GP")</f>
        <v>MH78RJ9GP</v>
      </c>
      <c r="B7590" t="s">
        <v>10</v>
      </c>
      <c r="C7590" t="s">
        <v>42</v>
      </c>
      <c r="D7590" t="str">
        <f>HYPERLINK("https://us2.cloudbeds.com/connect/10074733072513#/reservations/31674889203863?display=Maren%20Reiners&amp;reservation_id=31674889203863&amp;guest_id=31674889203847", "Maren Reiners")</f>
        <v>Maren Reiners</v>
      </c>
      <c r="E7590" t="s">
        <v>5499</v>
      </c>
      <c r="F7590" t="s">
        <v>4448</v>
      </c>
      <c r="G7590">
        <v>109</v>
      </c>
      <c r="H7590">
        <v>118.49</v>
      </c>
      <c r="I7590">
        <v>118.48</v>
      </c>
      <c r="J7590">
        <v>0.01</v>
      </c>
    </row>
    <row r="7591" spans="1:10" x14ac:dyDescent="0.3">
      <c r="A7591" t="str">
        <f>HYPERLINK("https://us2.cloudbeds.com/connect/10074733072513#/reservations/31674399482052?display=MH6TAY1SS&amp;reservation_id=31674399482052", "MH6TAY1SS")</f>
        <v>MH6TAY1SS</v>
      </c>
      <c r="B7591" t="s">
        <v>10</v>
      </c>
      <c r="C7591" t="s">
        <v>42</v>
      </c>
      <c r="D7591" t="str">
        <f>HYPERLINK("https://us2.cloudbeds.com/connect/10074733072513#/reservations/31674399482052?display=Deeann%20Arbach&amp;reservation_id=31674399482052&amp;guest_id=31674399482048", "Deeann Arbach")</f>
        <v>Deeann Arbach</v>
      </c>
      <c r="E7591" t="s">
        <v>5501</v>
      </c>
      <c r="F7591" t="s">
        <v>4672</v>
      </c>
      <c r="G7591">
        <v>169</v>
      </c>
      <c r="H7591">
        <v>183.71</v>
      </c>
      <c r="I7591">
        <v>183.7</v>
      </c>
      <c r="J7591">
        <v>0.01</v>
      </c>
    </row>
    <row r="7592" spans="1:10" x14ac:dyDescent="0.3">
      <c r="A7592" t="str">
        <f>HYPERLINK("https://us2.cloudbeds.com/connect/10074733072513#/reservations/31675924037857?display=MH829629Y&amp;reservation_id=31675924037857", "MH829629Y")</f>
        <v>MH829629Y</v>
      </c>
      <c r="B7592" t="s">
        <v>10</v>
      </c>
      <c r="C7592" t="s">
        <v>17</v>
      </c>
      <c r="D7592" t="str">
        <f>HYPERLINK("https://us2.cloudbeds.com/connect/10074733072513#/reservations/31675924037857?display=Kristin%20Van%20Middendorp&amp;reservation_id=31675924037857&amp;guest_id=31675924033773", "Kristin Van Middendorp")</f>
        <v>Kristin Van Middendorp</v>
      </c>
      <c r="E7592" t="s">
        <v>5502</v>
      </c>
      <c r="F7592" t="s">
        <v>4846</v>
      </c>
      <c r="G7592">
        <v>159</v>
      </c>
      <c r="H7592">
        <v>172.84</v>
      </c>
      <c r="I7592">
        <v>172.83</v>
      </c>
      <c r="J7592">
        <v>0.01</v>
      </c>
    </row>
    <row r="7593" spans="1:10" x14ac:dyDescent="0.3">
      <c r="A7593" t="str">
        <f>HYPERLINK("https://us2.cloudbeds.com/connect/10074733072513#/reservations/31674253717658?display=MH6PJNV91&amp;reservation_id=31674253717658", "MH6PJNV91")</f>
        <v>MH6PJNV91</v>
      </c>
      <c r="B7593" t="s">
        <v>10</v>
      </c>
      <c r="C7593" t="s">
        <v>121</v>
      </c>
      <c r="D7593" t="str">
        <f>HYPERLINK("https://us2.cloudbeds.com/connect/10074733072513#/reservations/31674253717658?display=Andrew%20Ritzert&amp;reservation_id=31674253717658&amp;guest_id=31674244890828", "Andrew Ritzert")</f>
        <v>Andrew Ritzert</v>
      </c>
      <c r="E7593" t="s">
        <v>5503</v>
      </c>
      <c r="F7593" t="s">
        <v>5338</v>
      </c>
      <c r="G7593">
        <v>318</v>
      </c>
      <c r="H7593">
        <v>345.68</v>
      </c>
      <c r="I7593">
        <v>345.67</v>
      </c>
      <c r="J7593">
        <v>0.01</v>
      </c>
    </row>
    <row r="7594" spans="1:10" x14ac:dyDescent="0.3">
      <c r="A7594" t="str">
        <f>HYPERLINK("https://us2.cloudbeds.com/connect/10074733072513#/reservations/31676197044426?display=MH898CT0W&amp;reservation_id=31676197044426", "MH898CT0W")</f>
        <v>MH898CT0W</v>
      </c>
      <c r="B7594" t="s">
        <v>10</v>
      </c>
      <c r="C7594" t="s">
        <v>42</v>
      </c>
      <c r="D7594" t="str">
        <f>HYPERLINK("https://us2.cloudbeds.com/connect/10074733072513#/reservations/31676197044426?display=Wes%20Gall&amp;reservation_id=31676197044426&amp;guest_id=31676191297757", "Wes Gall")</f>
        <v>Wes Gall</v>
      </c>
      <c r="E7594" t="s">
        <v>5504</v>
      </c>
      <c r="F7594" t="s">
        <v>5338</v>
      </c>
      <c r="G7594">
        <v>109</v>
      </c>
      <c r="H7594">
        <v>118.49</v>
      </c>
      <c r="I7594">
        <v>118.48</v>
      </c>
      <c r="J7594">
        <v>0.01</v>
      </c>
    </row>
    <row r="7595" spans="1:10" x14ac:dyDescent="0.3">
      <c r="A7595" t="str">
        <f>HYPERLINK("https://us2.cloudbeds.com/connect/10074733072513#/reservations/31674390511844?display=MH6T32EPD&amp;reservation_id=31674390511844", "MH6T32EPD")</f>
        <v>MH6T32EPD</v>
      </c>
      <c r="B7595" t="s">
        <v>10</v>
      </c>
      <c r="C7595" t="s">
        <v>42</v>
      </c>
      <c r="D7595" t="str">
        <f>HYPERLINK("https://us2.cloudbeds.com/connect/10074733072513#/reservations/31674390511844?display=Lori%20Wright&amp;reservation_id=31674390511844&amp;guest_id=31674383454344", "Lori Wright")</f>
        <v>Lori Wright</v>
      </c>
      <c r="E7595" t="s">
        <v>5505</v>
      </c>
      <c r="F7595" t="s">
        <v>4672</v>
      </c>
      <c r="G7595">
        <v>218</v>
      </c>
      <c r="H7595">
        <v>236.98</v>
      </c>
      <c r="I7595">
        <v>236.97</v>
      </c>
      <c r="J7595">
        <v>0.01</v>
      </c>
    </row>
    <row r="7596" spans="1:10" x14ac:dyDescent="0.3">
      <c r="A7596" t="str">
        <f>HYPERLINK("https://us2.cloudbeds.com/connect/10074733072513#/reservations/31676311711943?display=MH8C62M67&amp;reservation_id=31676311711943", "MH8C62M67")</f>
        <v>MH8C62M67</v>
      </c>
      <c r="B7596" t="s">
        <v>10</v>
      </c>
      <c r="C7596" t="s">
        <v>42</v>
      </c>
      <c r="D7596" t="str">
        <f>HYPERLINK("https://us2.cloudbeds.com/connect/10074733072513#/reservations/31676311711943?display=Dave%20Mccandless&amp;reservation_id=31676311711943&amp;guest_id=31676311707857", "Dave Mccandless")</f>
        <v>Dave Mccandless</v>
      </c>
      <c r="E7596" t="s">
        <v>3497</v>
      </c>
      <c r="F7596" t="s">
        <v>5157</v>
      </c>
      <c r="G7596">
        <v>89</v>
      </c>
      <c r="H7596">
        <v>96.75</v>
      </c>
      <c r="I7596">
        <v>96.74</v>
      </c>
      <c r="J7596">
        <v>0.01</v>
      </c>
    </row>
    <row r="7597" spans="1:10" x14ac:dyDescent="0.3">
      <c r="A7597" t="str">
        <f>HYPERLINK("https://us2.cloudbeds.com/connect/10074733072513#/reservations/31674399482051?display=MH6TAY1SR&amp;reservation_id=31674399482051", "MH6TAY1SR")</f>
        <v>MH6TAY1SR</v>
      </c>
      <c r="B7597" t="s">
        <v>10</v>
      </c>
      <c r="C7597" t="s">
        <v>42</v>
      </c>
      <c r="D7597" t="str">
        <f>HYPERLINK("https://us2.cloudbeds.com/connect/10074733072513#/reservations/31674399482051?display=Deeann%20Arbach&amp;reservation_id=31674399482051&amp;guest_id=31674390515939", "Deeann Arbach")</f>
        <v>Deeann Arbach</v>
      </c>
      <c r="E7597" t="s">
        <v>5501</v>
      </c>
      <c r="F7597" t="s">
        <v>5338</v>
      </c>
      <c r="G7597">
        <v>139</v>
      </c>
      <c r="H7597">
        <v>151.1</v>
      </c>
      <c r="I7597">
        <v>151.09</v>
      </c>
      <c r="J7597">
        <v>0.01</v>
      </c>
    </row>
    <row r="7598" spans="1:10" x14ac:dyDescent="0.3">
      <c r="A7598" t="str">
        <f>HYPERLINK("https://us2.cloudbeds.com/connect/10074733072513#/reservations/31677477028030?display=MH98VNA7U&amp;reservation_id=31677477028030", "MH98VNA7U")</f>
        <v>MH98VNA7U</v>
      </c>
      <c r="B7598" t="s">
        <v>10</v>
      </c>
      <c r="C7598" t="s">
        <v>11</v>
      </c>
      <c r="D7598" t="str">
        <f>HYPERLINK("https://us2.cloudbeds.com/connect/10074733072513#/reservations/31677477028030?display=Brandi%20Anderson&amp;reservation_id=31677477028030&amp;guest_id=31677468524755", "Brandi Anderson")</f>
        <v>Brandi Anderson</v>
      </c>
      <c r="E7598" t="s">
        <v>5506</v>
      </c>
      <c r="F7598" t="s">
        <v>4164</v>
      </c>
      <c r="G7598">
        <v>106.8</v>
      </c>
      <c r="H7598">
        <v>116.1</v>
      </c>
      <c r="I7598">
        <v>116.09</v>
      </c>
      <c r="J7598">
        <v>0.01</v>
      </c>
    </row>
    <row r="7599" spans="1:10" x14ac:dyDescent="0.3">
      <c r="A7599" t="str">
        <f>HYPERLINK("https://us2.cloudbeds.com/connect/10074733072513#/reservations/31675480793271?display=MH7NVE4FH&amp;reservation_id=31675480793271", "MH7NVE4FH")</f>
        <v>MH7NVE4FH</v>
      </c>
      <c r="B7599" t="s">
        <v>10</v>
      </c>
      <c r="C7599" t="s">
        <v>42</v>
      </c>
      <c r="D7599" t="str">
        <f>HYPERLINK("https://us2.cloudbeds.com/connect/10074733072513#/reservations/31675480793271?display=Brielle%20Breaw&amp;reservation_id=31675480793271&amp;guest_id=31675480793266", "Brielle Breaw")</f>
        <v>Brielle Breaw</v>
      </c>
      <c r="E7599" t="s">
        <v>5508</v>
      </c>
      <c r="F7599" t="s">
        <v>5256</v>
      </c>
      <c r="G7599">
        <v>222</v>
      </c>
      <c r="H7599">
        <v>241.32</v>
      </c>
      <c r="I7599">
        <v>241.31</v>
      </c>
      <c r="J7599">
        <v>0.01</v>
      </c>
    </row>
    <row r="7600" spans="1:10" x14ac:dyDescent="0.3">
      <c r="A7600" t="str">
        <f>HYPERLINK("https://us2.cloudbeds.com/connect/10074733072513#/reservations/31676178186458?display=MH88PG48D&amp;reservation_id=31676178186458", "MH88PG48D")</f>
        <v>MH88PG48D</v>
      </c>
      <c r="B7600" t="s">
        <v>10</v>
      </c>
      <c r="C7600" t="s">
        <v>121</v>
      </c>
      <c r="D7600" t="str">
        <f>HYPERLINK("https://us2.cloudbeds.com/connect/10074733072513#/reservations/31676178186458?display=Chelsea%20Nielsen&amp;reservation_id=31676178186458&amp;guest_id=31676178186443", "Chelsea Nielsen")</f>
        <v>Chelsea Nielsen</v>
      </c>
      <c r="E7600" t="s">
        <v>5509</v>
      </c>
      <c r="F7600" t="s">
        <v>5338</v>
      </c>
      <c r="G7600">
        <v>129</v>
      </c>
      <c r="H7600">
        <v>140.22999999999999</v>
      </c>
      <c r="I7600">
        <v>140.22</v>
      </c>
      <c r="J7600">
        <v>0.01</v>
      </c>
    </row>
    <row r="7601" spans="1:10" x14ac:dyDescent="0.3">
      <c r="A7601" t="str">
        <f>HYPERLINK("https://us2.cloudbeds.com/connect/10074733072513#/reservations/31675399364813?display=MH7YSP8SG&amp;reservation_id=31675399364813", "MH7YSP8SG")</f>
        <v>MH7YSP8SG</v>
      </c>
      <c r="B7601" t="s">
        <v>10</v>
      </c>
      <c r="C7601" t="s">
        <v>42</v>
      </c>
      <c r="D7601" t="str">
        <f>HYPERLINK("https://us2.cloudbeds.com/connect/10074733072513#/reservations/31675399364813?display=Raul%20Contreras&amp;reservation_id=31675399364813&amp;guest_id=31675399364810", "Raul Contreras")</f>
        <v>Raul Contreras</v>
      </c>
      <c r="E7601" t="s">
        <v>5510</v>
      </c>
      <c r="F7601" t="s">
        <v>5112</v>
      </c>
      <c r="G7601">
        <v>282</v>
      </c>
      <c r="H7601">
        <v>306.54000000000002</v>
      </c>
      <c r="I7601">
        <v>306.52999999999997</v>
      </c>
      <c r="J7601">
        <v>0.01</v>
      </c>
    </row>
    <row r="7602" spans="1:10" x14ac:dyDescent="0.3">
      <c r="A7602" t="str">
        <f>HYPERLINK("https://us2.cloudbeds.com/connect/10074733072513#/reservations/31676482396401?display=MH8GX077H&amp;reservation_id=31676482396401", "MH8GX077H")</f>
        <v>MH8GX077H</v>
      </c>
      <c r="B7602" t="s">
        <v>10</v>
      </c>
      <c r="C7602" t="s">
        <v>42</v>
      </c>
      <c r="D7602" t="str">
        <f>HYPERLINK("https://us2.cloudbeds.com/connect/10074733072513#/reservations/31676482396401?display=Jeffrey%20Potts&amp;reservation_id=31676482396401&amp;guest_id=30663715266764", "Jeffrey Potts")</f>
        <v>Jeffrey Potts</v>
      </c>
      <c r="E7602" t="s">
        <v>3400</v>
      </c>
      <c r="F7602" t="s">
        <v>5512</v>
      </c>
      <c r="G7602">
        <v>444</v>
      </c>
      <c r="H7602">
        <v>482.64</v>
      </c>
      <c r="I7602">
        <v>482.63</v>
      </c>
      <c r="J7602">
        <v>0.01</v>
      </c>
    </row>
    <row r="7603" spans="1:10" x14ac:dyDescent="0.3">
      <c r="A7603" t="str">
        <f>HYPERLINK("https://us2.cloudbeds.com/connect/10074733072513#/reservations/31675999314119?display=MH846YZGG&amp;reservation_id=31675999314119", "MH846YZGG")</f>
        <v>MH846YZGG</v>
      </c>
      <c r="B7603" t="s">
        <v>10</v>
      </c>
      <c r="C7603" t="s">
        <v>23</v>
      </c>
      <c r="D7603" t="str">
        <f>HYPERLINK("https://us2.cloudbeds.com/connect/10074733072513#/reservations/31675999314119?display=Jeff%20Houghtaling&amp;reservation_id=31675999314119&amp;guest_id=31675999314117", "Jeff Houghtaling")</f>
        <v>Jeff Houghtaling</v>
      </c>
      <c r="E7603" t="s">
        <v>5513</v>
      </c>
      <c r="F7603" t="s">
        <v>5514</v>
      </c>
      <c r="G7603">
        <v>318</v>
      </c>
      <c r="H7603">
        <v>345.68</v>
      </c>
      <c r="I7603">
        <v>345.67</v>
      </c>
      <c r="J7603">
        <v>0.01</v>
      </c>
    </row>
    <row r="7604" spans="1:10" x14ac:dyDescent="0.3">
      <c r="A7604" t="str">
        <f>HYPERLINK("https://us2.cloudbeds.com/connect/10074733072513#/reservations/31674499186829?display=MH6VSNG4P&amp;reservation_id=31674499186829", "MH6VSNG4P")</f>
        <v>MH6VSNG4P</v>
      </c>
      <c r="B7604" t="s">
        <v>10</v>
      </c>
      <c r="C7604" t="s">
        <v>23</v>
      </c>
      <c r="D7604" t="str">
        <f>HYPERLINK("https://us2.cloudbeds.com/connect/10074733072513#/reservations/31674499186829?display=Matthew%20Murphy&amp;reservation_id=31674499186829&amp;guest_id=31674499186824", "Matthew Murphy")</f>
        <v>Matthew Murphy</v>
      </c>
      <c r="E7604" t="s">
        <v>5515</v>
      </c>
      <c r="F7604" t="s">
        <v>4825</v>
      </c>
      <c r="G7604">
        <v>139</v>
      </c>
      <c r="H7604">
        <v>151.1</v>
      </c>
      <c r="I7604">
        <v>151.09</v>
      </c>
      <c r="J7604">
        <v>0.01</v>
      </c>
    </row>
    <row r="7605" spans="1:10" x14ac:dyDescent="0.3">
      <c r="A7605" t="str">
        <f>HYPERLINK("https://us2.cloudbeds.com/connect/10074733072513#/reservations/31677481066714?display=MH9923MS9&amp;reservation_id=31677481066714", "MH9923MS9")</f>
        <v>MH9923MS9</v>
      </c>
      <c r="B7605" t="s">
        <v>10</v>
      </c>
      <c r="C7605" t="s">
        <v>11</v>
      </c>
      <c r="D7605" t="str">
        <f>HYPERLINK("https://us2.cloudbeds.com/connect/10074733072513#/reservations/31677481066714?display=Keith%20Gertsema&amp;reservation_id=31677481066714&amp;guest_id=31677481066709", "Keith Gertsema")</f>
        <v>Keith Gertsema</v>
      </c>
      <c r="E7605" t="s">
        <v>4117</v>
      </c>
      <c r="F7605" t="s">
        <v>4164</v>
      </c>
      <c r="G7605">
        <v>106.8</v>
      </c>
      <c r="H7605">
        <v>116.1</v>
      </c>
      <c r="I7605">
        <v>116.09</v>
      </c>
      <c r="J7605">
        <v>0.01</v>
      </c>
    </row>
    <row r="7606" spans="1:10" x14ac:dyDescent="0.3">
      <c r="A7606" t="str">
        <f>HYPERLINK("https://us2.cloudbeds.com/connect/10074733072513#/reservations/31674466418878?display=MH6V12M6X&amp;reservation_id=31674466418878", "MH6V12M6X")</f>
        <v>MH6V12M6X</v>
      </c>
      <c r="B7606" t="s">
        <v>10</v>
      </c>
      <c r="C7606" t="s">
        <v>42</v>
      </c>
      <c r="D7606" t="str">
        <f>HYPERLINK("https://us2.cloudbeds.com/connect/10074733072513#/reservations/31674466418878?display=Christopher%20Jacobson&amp;reservation_id=31674466418878&amp;guest_id=31674466418876", "Christopher Jacobson")</f>
        <v>Christopher Jacobson</v>
      </c>
      <c r="E7606" t="s">
        <v>5517</v>
      </c>
      <c r="F7606" t="s">
        <v>4825</v>
      </c>
      <c r="G7606">
        <v>139</v>
      </c>
      <c r="H7606">
        <v>151.1</v>
      </c>
      <c r="I7606">
        <v>151.09</v>
      </c>
      <c r="J7606">
        <v>0.01</v>
      </c>
    </row>
    <row r="7607" spans="1:10" x14ac:dyDescent="0.3">
      <c r="A7607" t="str">
        <f>HYPERLINK("https://us2.cloudbeds.com/connect/10074733072513#/reservations/31674333413603?display=MH6RKUJVM&amp;reservation_id=31674333413603", "MH6RKUJVM")</f>
        <v>MH6RKUJVM</v>
      </c>
      <c r="B7607" t="s">
        <v>10</v>
      </c>
      <c r="C7607" t="s">
        <v>121</v>
      </c>
      <c r="D7607" t="str">
        <f>HYPERLINK("https://us2.cloudbeds.com/connect/10074733072513#/reservations/31674333413603?display=Daniel%20Muscha&amp;reservation_id=31674333413603&amp;guest_id=31674333409506", "Daniel Muscha")</f>
        <v>Daniel Muscha</v>
      </c>
      <c r="E7607" t="s">
        <v>5518</v>
      </c>
      <c r="F7607" t="s">
        <v>4672</v>
      </c>
      <c r="G7607">
        <v>139</v>
      </c>
      <c r="H7607">
        <v>151.1</v>
      </c>
      <c r="I7607">
        <v>151.09</v>
      </c>
      <c r="J7607">
        <v>0.01</v>
      </c>
    </row>
    <row r="7608" spans="1:10" x14ac:dyDescent="0.3">
      <c r="A7608" t="str">
        <f>HYPERLINK("https://us2.cloudbeds.com/connect/10074733072513#/reservations/31677481070807?display=MH9923QKA&amp;reservation_id=31677481070807", "MH9923QKA")</f>
        <v>MH9923QKA</v>
      </c>
      <c r="B7608" t="s">
        <v>10</v>
      </c>
      <c r="C7608" t="s">
        <v>20</v>
      </c>
      <c r="D7608" t="str">
        <f>HYPERLINK("https://us2.cloudbeds.com/connect/10074733072513#/reservations/31677481070807?display=Micki%20Dunn&amp;reservation_id=31677481070807&amp;guest_id=31677481066712", "Micki Dunn")</f>
        <v>Micki Dunn</v>
      </c>
      <c r="E7608" t="s">
        <v>5519</v>
      </c>
      <c r="F7608" t="s">
        <v>4164</v>
      </c>
      <c r="G7608">
        <v>321.3</v>
      </c>
      <c r="H7608">
        <v>349.26</v>
      </c>
      <c r="I7608">
        <v>349.25</v>
      </c>
      <c r="J7608">
        <v>0.01</v>
      </c>
    </row>
    <row r="7609" spans="1:10" x14ac:dyDescent="0.3">
      <c r="A7609" t="str">
        <f>HYPERLINK("https://us2.cloudbeds.com/connect/10074733072513#/reservations/31675373805706?display=MH7Y771K3&amp;reservation_id=31675373805706", "MH7Y771K3")</f>
        <v>MH7Y771K3</v>
      </c>
      <c r="B7609" t="s">
        <v>10</v>
      </c>
      <c r="C7609" t="s">
        <v>121</v>
      </c>
      <c r="D7609" t="str">
        <f>HYPERLINK("https://us2.cloudbeds.com/connect/10074733072513#/reservations/31675373805706?display=Hitomi%20Nakasone&amp;reservation_id=31675373805706&amp;guest_id=30670324920531", "Hitomi Nakasone")</f>
        <v>Hitomi Nakasone</v>
      </c>
      <c r="E7609" t="s">
        <v>4910</v>
      </c>
      <c r="F7609" t="s">
        <v>5112</v>
      </c>
      <c r="G7609">
        <v>139</v>
      </c>
      <c r="H7609">
        <v>151.1</v>
      </c>
      <c r="I7609">
        <v>151.09</v>
      </c>
      <c r="J7609">
        <v>0.01</v>
      </c>
    </row>
    <row r="7610" spans="1:10" x14ac:dyDescent="0.3">
      <c r="A7610" t="str">
        <f>HYPERLINK("https://us2.cloudbeds.com/connect/10074733072513#/reservations/31675315917055?display=MH7JZD6WX&amp;reservation_id=31675315917055", "MH7JZD6WX")</f>
        <v>MH7JZD6WX</v>
      </c>
      <c r="B7610" t="s">
        <v>10</v>
      </c>
      <c r="C7610" t="s">
        <v>42</v>
      </c>
      <c r="D7610" t="str">
        <f>HYPERLINK("https://us2.cloudbeds.com/connect/10074733072513#/reservations/31675315917055?display=Evelyn%20Stiefel&amp;reservation_id=31675315917055&amp;guest_id=31675315917051", "Evelyn Stiefel")</f>
        <v>Evelyn Stiefel</v>
      </c>
      <c r="E7610" t="s">
        <v>5529</v>
      </c>
      <c r="F7610" t="s">
        <v>5112</v>
      </c>
      <c r="G7610">
        <v>149</v>
      </c>
      <c r="H7610">
        <v>161.97</v>
      </c>
      <c r="I7610">
        <v>161.96</v>
      </c>
      <c r="J7610">
        <v>0.01</v>
      </c>
    </row>
    <row r="7611" spans="1:10" x14ac:dyDescent="0.3">
      <c r="A7611" t="str">
        <f>HYPERLINK("https://us2.cloudbeds.com/connect/10074733072513#/reservations/31674278801585?display=MH6Q7SV61&amp;reservation_id=31674278801585", "MH6Q7SV61")</f>
        <v>MH6Q7SV61</v>
      </c>
      <c r="B7611" t="s">
        <v>10</v>
      </c>
      <c r="C7611" t="s">
        <v>42</v>
      </c>
      <c r="D7611" t="str">
        <f>HYPERLINK("https://us2.cloudbeds.com/connect/10074733072513#/reservations/31674278801585?display=Rick%20Hurd&amp;reservation_id=31674278801585&amp;guest_id=30682386702535", "Rick Hurd")</f>
        <v>Rick Hurd</v>
      </c>
      <c r="E7611" t="s">
        <v>5530</v>
      </c>
      <c r="F7611" t="s">
        <v>4692</v>
      </c>
      <c r="G7611">
        <v>139</v>
      </c>
      <c r="H7611">
        <v>151.1</v>
      </c>
      <c r="I7611">
        <v>151.09</v>
      </c>
      <c r="J7611">
        <v>0.01</v>
      </c>
    </row>
    <row r="7612" spans="1:10" x14ac:dyDescent="0.3">
      <c r="A7612" t="str">
        <f>HYPERLINK("https://us2.cloudbeds.com/connect/10074733072513#/reservations/31679380340956?display=MHAZJKQB6&amp;reservation_id=31679380340956", "MHAZJKQB6")</f>
        <v>MHAZJKQB6</v>
      </c>
      <c r="B7612" t="s">
        <v>10</v>
      </c>
      <c r="C7612" t="s">
        <v>42</v>
      </c>
      <c r="D7612" t="str">
        <f>HYPERLINK("https://us2.cloudbeds.com/connect/10074733072513#/reservations/31679380340956?display=Renee%20Schroeder&amp;reservation_id=31679380340956&amp;guest_id=31679380340954", "Renee Schroeder")</f>
        <v>Renee Schroeder</v>
      </c>
      <c r="E7612" t="s">
        <v>5531</v>
      </c>
      <c r="F7612" t="s">
        <v>5366</v>
      </c>
      <c r="G7612">
        <v>318</v>
      </c>
      <c r="H7612">
        <v>345.68</v>
      </c>
      <c r="I7612">
        <v>345.67</v>
      </c>
      <c r="J7612">
        <v>0.01</v>
      </c>
    </row>
    <row r="7613" spans="1:10" x14ac:dyDescent="0.3">
      <c r="A7613" t="str">
        <f>HYPERLINK("https://us2.cloudbeds.com/connect/10074733072513#/reservations/31676333768919?display=MH8CZMEHE&amp;reservation_id=31676333768919", "MH8CZMEHE")</f>
        <v>MH8CZMEHE</v>
      </c>
      <c r="B7613" t="s">
        <v>10</v>
      </c>
      <c r="C7613" t="s">
        <v>121</v>
      </c>
      <c r="D7613" t="str">
        <f>HYPERLINK("https://us2.cloudbeds.com/connect/10074733072513#/reservations/31676333768919?display=Alexander%20Newcomb&amp;reservation_id=31676333768919&amp;guest_id=31676333764828", "Alexander Newcomb")</f>
        <v>Alexander Newcomb</v>
      </c>
      <c r="E7613" t="s">
        <v>5532</v>
      </c>
      <c r="F7613" t="s">
        <v>5157</v>
      </c>
      <c r="G7613">
        <v>149</v>
      </c>
      <c r="H7613">
        <v>161.97</v>
      </c>
      <c r="I7613">
        <v>161.96</v>
      </c>
      <c r="J7613">
        <v>0.01</v>
      </c>
    </row>
    <row r="7614" spans="1:10" x14ac:dyDescent="0.3">
      <c r="A7614" t="str">
        <f>HYPERLINK("https://us2.cloudbeds.com/connect/10074733072513#/reservations/31674251251863?display=MH6PHYAWW&amp;reservation_id=31674251251863", "MH6PHYAWW")</f>
        <v>MH6PHYAWW</v>
      </c>
      <c r="B7614" t="s">
        <v>10</v>
      </c>
      <c r="C7614" t="s">
        <v>42</v>
      </c>
      <c r="D7614" t="str">
        <f>HYPERLINK("https://us2.cloudbeds.com/connect/10074733072513#/reservations/31674251251863?display=Tammy%20Dick&amp;reservation_id=31674251251863&amp;guest_id=31674251251858", "Tammy Dick")</f>
        <v>Tammy Dick</v>
      </c>
      <c r="E7614" t="s">
        <v>1933</v>
      </c>
      <c r="F7614" t="s">
        <v>4692</v>
      </c>
      <c r="G7614">
        <v>178</v>
      </c>
      <c r="H7614">
        <v>193.5</v>
      </c>
      <c r="I7614">
        <v>193.49</v>
      </c>
      <c r="J7614">
        <v>0.01</v>
      </c>
    </row>
    <row r="7615" spans="1:10" x14ac:dyDescent="0.3">
      <c r="A7615" t="str">
        <f>HYPERLINK("https://us2.cloudbeds.com/connect/10074733072513#/reservations/31675418890440?display=MH7MC7JZ5&amp;reservation_id=31675418890440", "MH7MC7JZ5")</f>
        <v>MH7MC7JZ5</v>
      </c>
      <c r="B7615" t="s">
        <v>10</v>
      </c>
      <c r="C7615" t="s">
        <v>42</v>
      </c>
      <c r="D7615" t="str">
        <f>HYPERLINK("https://us2.cloudbeds.com/connect/10074733072513#/reservations/31675418890440?display=Gene%20Westerbuhr&amp;reservation_id=31675418890440&amp;guest_id=31675418890435", "Gene Westerbuhr")</f>
        <v>Gene Westerbuhr</v>
      </c>
      <c r="E7615" t="s">
        <v>4927</v>
      </c>
      <c r="F7615" t="s">
        <v>5157</v>
      </c>
      <c r="G7615">
        <v>79</v>
      </c>
      <c r="H7615">
        <v>85.88</v>
      </c>
      <c r="I7615">
        <v>85.87</v>
      </c>
      <c r="J7615">
        <v>0.01</v>
      </c>
    </row>
    <row r="7616" spans="1:10" x14ac:dyDescent="0.3">
      <c r="A7616" t="str">
        <f>HYPERLINK("https://us2.cloudbeds.com/connect/10074733072513#/reservations/31676328747206?display=MH8CKEN7A&amp;reservation_id=31676328747206", "MH8CKEN7A")</f>
        <v>MH8CKEN7A</v>
      </c>
      <c r="B7616" t="s">
        <v>10</v>
      </c>
      <c r="C7616" t="s">
        <v>42</v>
      </c>
      <c r="D7616" t="str">
        <f>HYPERLINK("https://us2.cloudbeds.com/connect/10074733072513#/reservations/31676328747206?display=Brylee%20Callender&amp;reservation_id=31676328747206&amp;guest_id=31676328743160", "Brylee Callender")</f>
        <v>Brylee Callender</v>
      </c>
      <c r="E7616" t="s">
        <v>5535</v>
      </c>
      <c r="F7616" t="s">
        <v>5157</v>
      </c>
      <c r="G7616">
        <v>119</v>
      </c>
      <c r="H7616">
        <v>129.36000000000001</v>
      </c>
      <c r="I7616">
        <v>129.35</v>
      </c>
      <c r="J7616">
        <v>0.01</v>
      </c>
    </row>
    <row r="7617" spans="1:10" x14ac:dyDescent="0.3">
      <c r="A7617" t="str">
        <f>HYPERLINK("https://us2.cloudbeds.com/connect/10074733072513#/reservations/31681756229807?display=MHCJA1DF1&amp;reservation_id=31681756229807", "MHCJA1DF1")</f>
        <v>MHCJA1DF1</v>
      </c>
      <c r="B7617" t="s">
        <v>10</v>
      </c>
      <c r="C7617" t="s">
        <v>23</v>
      </c>
      <c r="D7617" t="str">
        <f>HYPERLINK("https://us2.cloudbeds.com/connect/10074733072513#/reservations/31681756229807?display=Marie%20Sauvain&amp;reservation_id=31681756229807&amp;guest_id=31681749074134", "Marie Sauvain")</f>
        <v>Marie Sauvain</v>
      </c>
      <c r="E7617" t="s">
        <v>5536</v>
      </c>
      <c r="F7617" t="s">
        <v>5537</v>
      </c>
      <c r="G7617">
        <v>169</v>
      </c>
      <c r="H7617">
        <v>183.71</v>
      </c>
      <c r="I7617">
        <v>183.7</v>
      </c>
      <c r="J7617">
        <v>0.01</v>
      </c>
    </row>
    <row r="7618" spans="1:10" x14ac:dyDescent="0.3">
      <c r="A7618" t="str">
        <f>HYPERLINK("https://us2.cloudbeds.com/connect/10074733072513#/reservations/31675847467234?display=MH80AKCGZ&amp;reservation_id=31675847467234", "MH80AKCGZ")</f>
        <v>MH80AKCGZ</v>
      </c>
      <c r="B7618" t="s">
        <v>10</v>
      </c>
      <c r="C7618" t="s">
        <v>42</v>
      </c>
      <c r="D7618" t="str">
        <f>HYPERLINK("https://us2.cloudbeds.com/connect/10074733072513#/reservations/31675847467234?display=Calvin%20Mclaughlin&amp;reservation_id=31675847467234&amp;guest_id=31675847463140", "Calvin Mclaughlin")</f>
        <v>Calvin Mclaughlin</v>
      </c>
      <c r="E7618" t="s">
        <v>5403</v>
      </c>
      <c r="F7618" t="s">
        <v>3650</v>
      </c>
      <c r="G7618">
        <v>159</v>
      </c>
      <c r="H7618">
        <v>172.84</v>
      </c>
      <c r="I7618">
        <v>172.83</v>
      </c>
      <c r="J7618">
        <v>0.01</v>
      </c>
    </row>
    <row r="7619" spans="1:10" x14ac:dyDescent="0.3">
      <c r="A7619" t="str">
        <f>HYPERLINK("https://us2.cloudbeds.com/connect/10074733072513#/reservations/31675127787695?display=MH7EUP7ZS&amp;reservation_id=31675127787695", "MH7EUP7ZS")</f>
        <v>MH7EUP7ZS</v>
      </c>
      <c r="B7619" t="s">
        <v>10</v>
      </c>
      <c r="C7619" t="s">
        <v>23</v>
      </c>
      <c r="D7619" t="str">
        <f>HYPERLINK("https://us2.cloudbeds.com/connect/10074733072513#/reservations/31675127787695?display=Katherine%20Herrmann&amp;reservation_id=31675127787695&amp;guest_id=31675127787690", "Katherine Herrmann")</f>
        <v>Katherine Herrmann</v>
      </c>
      <c r="E7619" t="s">
        <v>5538</v>
      </c>
      <c r="F7619" t="s">
        <v>5329</v>
      </c>
      <c r="G7619">
        <v>199</v>
      </c>
      <c r="H7619">
        <v>216.32</v>
      </c>
      <c r="I7619">
        <v>216.31</v>
      </c>
      <c r="J7619">
        <v>0.01</v>
      </c>
    </row>
    <row r="7620" spans="1:10" x14ac:dyDescent="0.3">
      <c r="A7620" t="str">
        <f>HYPERLINK("https://us2.cloudbeds.com/connect/10074733072513#/reservations/31675871084770?display=MH80UHXSY&amp;reservation_id=31675871084770", "MH80UHXSY")</f>
        <v>MH80UHXSY</v>
      </c>
      <c r="B7620" t="s">
        <v>10</v>
      </c>
      <c r="C7620" t="s">
        <v>42</v>
      </c>
      <c r="D7620" t="str">
        <f>HYPERLINK("https://us2.cloudbeds.com/connect/10074733072513#/reservations/31675871084770?display=Carrie%20Selthert&amp;reservation_id=31675871084770&amp;guest_id=31675871084758", "Carrie Selthert")</f>
        <v>Carrie Selthert</v>
      </c>
      <c r="E7620" t="s">
        <v>5403</v>
      </c>
      <c r="F7620" t="s">
        <v>3650</v>
      </c>
      <c r="G7620">
        <v>159</v>
      </c>
      <c r="H7620">
        <v>172.84</v>
      </c>
      <c r="I7620">
        <v>172.83</v>
      </c>
      <c r="J7620">
        <v>0.01</v>
      </c>
    </row>
    <row r="7621" spans="1:10" x14ac:dyDescent="0.3">
      <c r="A7621" t="str">
        <f>HYPERLINK("https://us2.cloudbeds.com/connect/10074733072513#/reservations/31674719490271?display=MH74GFZWY&amp;reservation_id=31674719490271", "MH74GFZWY")</f>
        <v>MH74GFZWY</v>
      </c>
      <c r="B7621" t="s">
        <v>10</v>
      </c>
      <c r="C7621" t="s">
        <v>23</v>
      </c>
      <c r="D7621" t="str">
        <f>HYPERLINK("https://us2.cloudbeds.com/connect/10074733072513#/reservations/31674719490271?display=Jared%20Salinas&amp;reservation_id=31674719490271&amp;guest_id=31674719490269", "Jared Salinas")</f>
        <v>Jared Salinas</v>
      </c>
      <c r="E7621" t="s">
        <v>5540</v>
      </c>
      <c r="F7621" t="s">
        <v>5522</v>
      </c>
      <c r="G7621">
        <v>179</v>
      </c>
      <c r="H7621">
        <v>194.58</v>
      </c>
      <c r="I7621">
        <v>194.57</v>
      </c>
      <c r="J7621">
        <v>0.01</v>
      </c>
    </row>
    <row r="7622" spans="1:10" x14ac:dyDescent="0.3">
      <c r="A7622" t="str">
        <f>HYPERLINK("https://us2.cloudbeds.com/connect/10074733072513#/reservations/31676116730087?display=MH876M0G4&amp;reservation_id=31676116730087", "MH876M0G4")</f>
        <v>MH876M0G4</v>
      </c>
      <c r="B7622" t="s">
        <v>10</v>
      </c>
      <c r="C7622" t="s">
        <v>42</v>
      </c>
      <c r="D7622" t="str">
        <f>HYPERLINK("https://us2.cloudbeds.com/connect/10074733072513#/reservations/31676116730087?display=Austin%20Luebke&amp;reservation_id=31676116730087&amp;guest_id=31676116730082", "Austin Luebke")</f>
        <v>Austin Luebke</v>
      </c>
      <c r="E7622" t="s">
        <v>5541</v>
      </c>
      <c r="F7622" t="s">
        <v>5265</v>
      </c>
      <c r="G7622">
        <v>169</v>
      </c>
      <c r="H7622">
        <v>183.71</v>
      </c>
      <c r="I7622">
        <v>183.7</v>
      </c>
      <c r="J7622">
        <v>0.01</v>
      </c>
    </row>
    <row r="7623" spans="1:10" x14ac:dyDescent="0.3">
      <c r="A7623" t="str">
        <f>HYPERLINK("https://us2.cloudbeds.com/connect/10074733072513#/reservations/31685748273351?display=MHFMA7TRH&amp;reservation_id=31685748273351", "MHFMA7TRH")</f>
        <v>MHFMA7TRH</v>
      </c>
      <c r="B7623" t="s">
        <v>10</v>
      </c>
      <c r="C7623" t="s">
        <v>42</v>
      </c>
      <c r="D7623" t="str">
        <f>HYPERLINK("https://us2.cloudbeds.com/connect/10074733072513#/reservations/31685748273351?display=Donna%20Schaefer&amp;reservation_id=31685748273351&amp;guest_id=31685748269263", "Donna Schaefer")</f>
        <v>Donna Schaefer</v>
      </c>
      <c r="E7623" t="s">
        <v>5542</v>
      </c>
      <c r="F7623" t="s">
        <v>4181</v>
      </c>
      <c r="G7623">
        <v>258</v>
      </c>
      <c r="H7623">
        <v>280.45999999999998</v>
      </c>
      <c r="I7623">
        <v>280.45</v>
      </c>
      <c r="J7623">
        <v>0.01</v>
      </c>
    </row>
    <row r="7624" spans="1:10" x14ac:dyDescent="0.3">
      <c r="A7624" t="str">
        <f>HYPERLINK("https://us2.cloudbeds.com/connect/10074733072513#/reservations/31674692985028?display=MH73R46UF&amp;reservation_id=31674692985028", "MH73R46UF")</f>
        <v>MH73R46UF</v>
      </c>
      <c r="B7624" t="s">
        <v>10</v>
      </c>
      <c r="C7624" t="s">
        <v>42</v>
      </c>
      <c r="D7624" t="str">
        <f>HYPERLINK("https://us2.cloudbeds.com/connect/10074733072513#/reservations/31674692985028?display=Tony%20Ellingson&amp;reservation_id=31674692985028&amp;guest_id=31674685075619", "Tony Ellingson")</f>
        <v>Tony Ellingson</v>
      </c>
      <c r="E7624" t="s">
        <v>5494</v>
      </c>
      <c r="F7624" t="s">
        <v>5512</v>
      </c>
      <c r="G7624">
        <v>158</v>
      </c>
      <c r="H7624">
        <v>171.76</v>
      </c>
      <c r="I7624">
        <v>171.75</v>
      </c>
      <c r="J7624">
        <v>0.01</v>
      </c>
    </row>
    <row r="7625" spans="1:10" x14ac:dyDescent="0.3">
      <c r="A7625" t="str">
        <f>HYPERLINK("https://us2.cloudbeds.com/connect/10074733072513#/reservations/31675604996283?display=MH7R458R5&amp;reservation_id=31675604996283", "MH7R458R5")</f>
        <v>MH7R458R5</v>
      </c>
      <c r="B7625" t="s">
        <v>10</v>
      </c>
      <c r="C7625" t="s">
        <v>42</v>
      </c>
      <c r="D7625" t="str">
        <f>HYPERLINK("https://us2.cloudbeds.com/connect/10074733072513#/reservations/31675604996283?display=Matthew%20Souryachak&amp;reservation_id=31675604996283&amp;guest_id=31675604996230", "Matthew Souryachak")</f>
        <v>Matthew Souryachak</v>
      </c>
      <c r="E7625" t="s">
        <v>5543</v>
      </c>
      <c r="F7625" t="s">
        <v>5446</v>
      </c>
      <c r="G7625">
        <v>73</v>
      </c>
      <c r="H7625">
        <v>79.36</v>
      </c>
      <c r="I7625">
        <v>79.349999999999994</v>
      </c>
      <c r="J7625">
        <v>0.01</v>
      </c>
    </row>
    <row r="7626" spans="1:10" x14ac:dyDescent="0.3">
      <c r="A7626" t="str">
        <f>HYPERLINK("https://us2.cloudbeds.com/connect/10074733072513#/reservations/31679421018295?display=MHAPKUN8R&amp;reservation_id=31679421018295", "MHAPKUN8R")</f>
        <v>MHAPKUN8R</v>
      </c>
      <c r="B7626" t="s">
        <v>10</v>
      </c>
      <c r="C7626" t="s">
        <v>42</v>
      </c>
      <c r="D7626" t="str">
        <f>HYPERLINK("https://us2.cloudbeds.com/connect/10074733072513#/reservations/31679421018295?display=Matthew%20Souryachak&amp;reservation_id=31679421018295&amp;guest_id=31675604996230", "Matthew Souryachak")</f>
        <v>Matthew Souryachak</v>
      </c>
      <c r="E7626" t="s">
        <v>5543</v>
      </c>
      <c r="F7626" t="s">
        <v>5544</v>
      </c>
      <c r="G7626">
        <v>73</v>
      </c>
      <c r="H7626">
        <v>79.36</v>
      </c>
      <c r="I7626">
        <v>79.349999999999994</v>
      </c>
      <c r="J7626">
        <v>0.01</v>
      </c>
    </row>
    <row r="7627" spans="1:10" x14ac:dyDescent="0.3">
      <c r="A7627" t="str">
        <f>HYPERLINK("https://us2.cloudbeds.com/connect/10074733072513#/reservations/31679643840706?display=MHAVAR273&amp;reservation_id=31679643840706", "MHAVAR273")</f>
        <v>MHAVAR273</v>
      </c>
      <c r="B7627" t="s">
        <v>10</v>
      </c>
      <c r="C7627" t="s">
        <v>42</v>
      </c>
      <c r="D7627" t="str">
        <f>HYPERLINK("https://us2.cloudbeds.com/connect/10074733072513#/reservations/31679643840706?display=Matthew%20Souryachak&amp;reservation_id=31679643840706&amp;guest_id=31674825752822", "Matthew Souryachak")</f>
        <v>Matthew Souryachak</v>
      </c>
      <c r="E7627" t="s">
        <v>5545</v>
      </c>
      <c r="F7627" t="s">
        <v>5546</v>
      </c>
      <c r="G7627">
        <v>73</v>
      </c>
      <c r="H7627">
        <v>79.36</v>
      </c>
      <c r="I7627">
        <v>79.349999999999994</v>
      </c>
      <c r="J7627">
        <v>0.01</v>
      </c>
    </row>
    <row r="7628" spans="1:10" x14ac:dyDescent="0.3">
      <c r="A7628" t="str">
        <f>HYPERLINK("https://us2.cloudbeds.com/connect/10074733072513#/reservations/31676197703892?display=MH898V7JQ&amp;reservation_id=31676197703892", "MH898V7JQ")</f>
        <v>MH898V7JQ</v>
      </c>
      <c r="B7628" t="s">
        <v>10</v>
      </c>
      <c r="C7628" t="s">
        <v>42</v>
      </c>
      <c r="D7628" t="str">
        <f>HYPERLINK("https://us2.cloudbeds.com/connect/10074733072513#/reservations/31676197703892?display=Jordan%20Thull&amp;reservation_id=31676197703892&amp;guest_id=31676197703886", "Jordan Thull")</f>
        <v>Jordan Thull</v>
      </c>
      <c r="E7628" t="s">
        <v>5547</v>
      </c>
      <c r="F7628" t="s">
        <v>4164</v>
      </c>
      <c r="G7628">
        <v>149</v>
      </c>
      <c r="H7628">
        <v>161.97</v>
      </c>
      <c r="I7628">
        <v>161.96</v>
      </c>
      <c r="J7628">
        <v>0.01</v>
      </c>
    </row>
    <row r="7629" spans="1:10" x14ac:dyDescent="0.3">
      <c r="A7629" t="str">
        <f>HYPERLINK("https://us2.cloudbeds.com/connect/10074733072513#/reservations/31686105260261?display=MHFVE8JGM&amp;reservation_id=31686105260261", "MHFVE8JGM")</f>
        <v>MHFVE8JGM</v>
      </c>
      <c r="B7629" t="s">
        <v>10</v>
      </c>
      <c r="C7629" t="s">
        <v>42</v>
      </c>
      <c r="D7629" t="str">
        <f>HYPERLINK("https://us2.cloudbeds.com/connect/10074733072513#/reservations/31686105260261?display=Matthew%20Souryachak&amp;reservation_id=31686105260261&amp;guest_id=31675604996230", "Matthew Souryachak")</f>
        <v>Matthew Souryachak</v>
      </c>
      <c r="E7629" t="s">
        <v>5543</v>
      </c>
      <c r="F7629" t="s">
        <v>5548</v>
      </c>
      <c r="G7629">
        <v>73</v>
      </c>
      <c r="H7629">
        <v>79.36</v>
      </c>
      <c r="I7629">
        <v>79.349999999999994</v>
      </c>
      <c r="J7629">
        <v>0.01</v>
      </c>
    </row>
    <row r="7630" spans="1:10" x14ac:dyDescent="0.3">
      <c r="A7630" t="str">
        <f>HYPERLINK("https://us2.cloudbeds.com/connect/10074733072513#/reservations/31675447378061?display=MH7N38A5D&amp;reservation_id=31675447378061", "MH7N38A5D")</f>
        <v>MH7N38A5D</v>
      </c>
      <c r="B7630" t="s">
        <v>10</v>
      </c>
      <c r="C7630" t="s">
        <v>42</v>
      </c>
      <c r="D7630" t="str">
        <f>HYPERLINK("https://us2.cloudbeds.com/connect/10074733072513#/reservations/31675447378061?display=Matthew%20Souryachak&amp;reservation_id=31675447378061&amp;guest_id=31674825752822", "Matthew Souryachak")</f>
        <v>Matthew Souryachak</v>
      </c>
      <c r="E7630" t="s">
        <v>5545</v>
      </c>
      <c r="F7630" t="s">
        <v>5549</v>
      </c>
      <c r="G7630">
        <v>73</v>
      </c>
      <c r="H7630">
        <v>79.36</v>
      </c>
      <c r="I7630">
        <v>79.349999999999994</v>
      </c>
      <c r="J7630">
        <v>0.01</v>
      </c>
    </row>
    <row r="7631" spans="1:10" x14ac:dyDescent="0.3">
      <c r="A7631" t="str">
        <f>HYPERLINK("https://us2.cloudbeds.com/connect/10074733072513#/reservations/31678290473182?display=MH9TZKKG0&amp;reservation_id=31678290473182", "MH9TZKKG0")</f>
        <v>MH9TZKKG0</v>
      </c>
      <c r="B7631" t="s">
        <v>10</v>
      </c>
      <c r="C7631" t="s">
        <v>42</v>
      </c>
      <c r="D7631" t="str">
        <f>HYPERLINK("https://us2.cloudbeds.com/connect/10074733072513#/reservations/31678290473182?display=Matthew%20Souryachak&amp;reservation_id=31678290473182&amp;guest_id=31675604996230", "Matthew Souryachak")</f>
        <v>Matthew Souryachak</v>
      </c>
      <c r="E7631" t="s">
        <v>5543</v>
      </c>
      <c r="F7631" t="s">
        <v>5550</v>
      </c>
      <c r="G7631">
        <v>73</v>
      </c>
      <c r="H7631">
        <v>79.36</v>
      </c>
      <c r="I7631">
        <v>79.349999999999994</v>
      </c>
      <c r="J7631">
        <v>0.01</v>
      </c>
    </row>
    <row r="7632" spans="1:10" x14ac:dyDescent="0.3">
      <c r="A7632" t="str">
        <f>HYPERLINK("https://us2.cloudbeds.com/connect/10074733072513#/reservations/31674825752824?display=MH7772M30&amp;reservation_id=31674825752824", "MH7772M30")</f>
        <v>MH7772M30</v>
      </c>
      <c r="B7632" t="s">
        <v>10</v>
      </c>
      <c r="C7632" t="s">
        <v>42</v>
      </c>
      <c r="D7632" t="str">
        <f>HYPERLINK("https://us2.cloudbeds.com/connect/10074733072513#/reservations/31674825752824?display=Matthew%20Souryachak&amp;reservation_id=31674825752824&amp;guest_id=31674825752822", "Matthew Souryachak")</f>
        <v>Matthew Souryachak</v>
      </c>
      <c r="E7632" t="s">
        <v>5545</v>
      </c>
      <c r="F7632" t="s">
        <v>5551</v>
      </c>
      <c r="G7632">
        <v>73</v>
      </c>
      <c r="H7632">
        <v>79.36</v>
      </c>
      <c r="I7632">
        <v>79.349999999999994</v>
      </c>
      <c r="J7632">
        <v>0.01</v>
      </c>
    </row>
    <row r="7633" spans="1:10" x14ac:dyDescent="0.3">
      <c r="A7633" t="str">
        <f>HYPERLINK("https://us2.cloudbeds.com/connect/10074733072513#/reservations/31690357104779?display=MHJ82HE8V&amp;reservation_id=31690357104779", "MHJ82HE8V")</f>
        <v>MHJ82HE8V</v>
      </c>
      <c r="B7633" t="s">
        <v>10</v>
      </c>
      <c r="C7633" t="s">
        <v>42</v>
      </c>
      <c r="D7633" t="str">
        <f>HYPERLINK("https://us2.cloudbeds.com/connect/10074733072513#/reservations/31690357104779?display=Matthew%20Souryachak&amp;reservation_id=31690357104779&amp;guest_id=31675604996230", "Matthew Souryachak")</f>
        <v>Matthew Souryachak</v>
      </c>
      <c r="E7633" t="s">
        <v>5543</v>
      </c>
      <c r="F7633" t="s">
        <v>5552</v>
      </c>
      <c r="G7633">
        <v>73</v>
      </c>
      <c r="H7633">
        <v>79.36</v>
      </c>
      <c r="I7633">
        <v>79.349999999999994</v>
      </c>
      <c r="J7633">
        <v>0.01</v>
      </c>
    </row>
    <row r="7634" spans="1:10" x14ac:dyDescent="0.3">
      <c r="A7634" t="str">
        <f>HYPERLINK("https://us2.cloudbeds.com/connect/10074733072513#/reservations/31689671569569?display=MHXNXFDBN&amp;reservation_id=31689671569569", "MHXNXFDBN")</f>
        <v>MHXNXFDBN</v>
      </c>
      <c r="B7634" t="s">
        <v>10</v>
      </c>
      <c r="C7634" t="s">
        <v>42</v>
      </c>
      <c r="D7634" t="str">
        <f>HYPERLINK("https://us2.cloudbeds.com/connect/10074733072513#/reservations/31689671569569?display=Matthew%20Souryachak&amp;reservation_id=31689671569569&amp;guest_id=31675604996230", "Matthew Souryachak")</f>
        <v>Matthew Souryachak</v>
      </c>
      <c r="E7634" t="s">
        <v>5543</v>
      </c>
      <c r="F7634" t="s">
        <v>5553</v>
      </c>
      <c r="G7634">
        <v>73</v>
      </c>
      <c r="H7634">
        <v>79.36</v>
      </c>
      <c r="I7634">
        <v>79.349999999999994</v>
      </c>
      <c r="J7634">
        <v>0.01</v>
      </c>
    </row>
    <row r="7635" spans="1:10" x14ac:dyDescent="0.3">
      <c r="A7635" t="str">
        <f>HYPERLINK("https://us2.cloudbeds.com/connect/10074733072513#/reservations/31689608671361?display=MHXYVE5JD&amp;reservation_id=31689608671361", "MHXYVE5JD")</f>
        <v>MHXYVE5JD</v>
      </c>
      <c r="B7635" t="s">
        <v>10</v>
      </c>
      <c r="C7635" t="s">
        <v>42</v>
      </c>
      <c r="D7635" t="str">
        <f>HYPERLINK("https://us2.cloudbeds.com/connect/10074733072513#/reservations/31689608671361?display=Matthew%20Souryachak&amp;reservation_id=31689608671361&amp;guest_id=31674825752822", "Matthew Souryachak")</f>
        <v>Matthew Souryachak</v>
      </c>
      <c r="E7635" t="s">
        <v>5545</v>
      </c>
      <c r="F7635" t="s">
        <v>5554</v>
      </c>
      <c r="G7635">
        <v>73</v>
      </c>
      <c r="H7635">
        <v>79.36</v>
      </c>
      <c r="I7635">
        <v>79.349999999999994</v>
      </c>
      <c r="J7635">
        <v>0.01</v>
      </c>
    </row>
    <row r="7636" spans="1:10" x14ac:dyDescent="0.3">
      <c r="A7636" t="str">
        <f>HYPERLINK("https://us2.cloudbeds.com/connect/10074733072513#/reservations/31680233832589?display=MHBDDAF70&amp;reservation_id=31680233832589", "MHBDDAF70")</f>
        <v>MHBDDAF70</v>
      </c>
      <c r="B7636" t="s">
        <v>10</v>
      </c>
      <c r="C7636" t="s">
        <v>42</v>
      </c>
      <c r="D7636" t="str">
        <f>HYPERLINK("https://us2.cloudbeds.com/connect/10074733072513#/reservations/31680233832589?display=Matthew%20Souryachak&amp;reservation_id=31680233832589&amp;guest_id=31675604996230", "Matthew Souryachak")</f>
        <v>Matthew Souryachak</v>
      </c>
      <c r="E7636" t="s">
        <v>5543</v>
      </c>
      <c r="F7636" t="s">
        <v>5556</v>
      </c>
      <c r="G7636">
        <v>73</v>
      </c>
      <c r="H7636">
        <v>79.36</v>
      </c>
      <c r="I7636">
        <v>79.349999999999994</v>
      </c>
      <c r="J7636">
        <v>0.01</v>
      </c>
    </row>
    <row r="7637" spans="1:10" x14ac:dyDescent="0.3">
      <c r="A7637" t="str">
        <f>HYPERLINK("https://us2.cloudbeds.com/connect/10074733072513#/reservations/31685730500753?display=MHFYS8BNV&amp;reservation_id=31685730500753", "MHFYS8BNV")</f>
        <v>MHFYS8BNV</v>
      </c>
      <c r="B7637" t="s">
        <v>10</v>
      </c>
      <c r="C7637" t="s">
        <v>42</v>
      </c>
      <c r="D7637" t="str">
        <f>HYPERLINK("https://us2.cloudbeds.com/connect/10074733072513#/reservations/31685730500753?display=Matthew%20Souryachak&amp;reservation_id=31685730500753&amp;guest_id=31675604996230", "Matthew Souryachak")</f>
        <v>Matthew Souryachak</v>
      </c>
      <c r="E7637" t="s">
        <v>5543</v>
      </c>
      <c r="F7637" t="s">
        <v>5557</v>
      </c>
      <c r="G7637">
        <v>73</v>
      </c>
      <c r="H7637">
        <v>79.36</v>
      </c>
      <c r="I7637">
        <v>79.349999999999994</v>
      </c>
      <c r="J7637">
        <v>0.01</v>
      </c>
    </row>
    <row r="7638" spans="1:10" x14ac:dyDescent="0.3">
      <c r="A7638" t="str">
        <f>HYPERLINK("https://us2.cloudbeds.com/connect/10074733072513#/reservations/31685475283104?display=MHFFB1X2Q&amp;reservation_id=31685475283104", "MHFFB1X2Q")</f>
        <v>MHFFB1X2Q</v>
      </c>
      <c r="B7638" t="s">
        <v>10</v>
      </c>
      <c r="C7638" t="s">
        <v>42</v>
      </c>
      <c r="D7638" t="str">
        <f>HYPERLINK("https://us2.cloudbeds.com/connect/10074733072513#/reservations/31685475283104?display=Matthew%20Souryachak&amp;reservation_id=31685475283104&amp;guest_id=31675604996230", "Matthew Souryachak")</f>
        <v>Matthew Souryachak</v>
      </c>
      <c r="E7638" t="s">
        <v>5543</v>
      </c>
      <c r="F7638" t="s">
        <v>5558</v>
      </c>
      <c r="G7638">
        <v>73</v>
      </c>
      <c r="H7638">
        <v>79.36</v>
      </c>
      <c r="I7638">
        <v>79.349999999999994</v>
      </c>
      <c r="J7638">
        <v>0.01</v>
      </c>
    </row>
    <row r="7639" spans="1:10" x14ac:dyDescent="0.3">
      <c r="A7639" t="str">
        <f>HYPERLINK("https://us2.cloudbeds.com/connect/10074733072513#/reservations/31685343826143?display=MHFBW6XKH&amp;reservation_id=31685343826143", "MHFBW6XKH")</f>
        <v>MHFBW6XKH</v>
      </c>
      <c r="B7639" t="s">
        <v>10</v>
      </c>
      <c r="C7639" t="s">
        <v>42</v>
      </c>
      <c r="D7639" t="str">
        <f>HYPERLINK("https://us2.cloudbeds.com/connect/10074733072513#/reservations/31685343826143?display=Matthew%20Souryachak&amp;reservation_id=31685343826143&amp;guest_id=31674825752822", "Matthew Souryachak")</f>
        <v>Matthew Souryachak</v>
      </c>
      <c r="E7639" t="s">
        <v>5545</v>
      </c>
      <c r="F7639" t="s">
        <v>5559</v>
      </c>
      <c r="G7639">
        <v>73</v>
      </c>
      <c r="H7639">
        <v>79.36</v>
      </c>
      <c r="I7639">
        <v>79.349999999999994</v>
      </c>
      <c r="J7639">
        <v>0.01</v>
      </c>
    </row>
    <row r="7640" spans="1:10" x14ac:dyDescent="0.3">
      <c r="A7640" t="str">
        <f>HYPERLINK("https://us2.cloudbeds.com/connect/10074733072513#/reservations/31680556286150?display=MHBYY76R1&amp;reservation_id=31680556286150", "MHBYY76R1")</f>
        <v>MHBYY76R1</v>
      </c>
      <c r="B7640" t="s">
        <v>10</v>
      </c>
      <c r="C7640" t="s">
        <v>42</v>
      </c>
      <c r="D7640" t="str">
        <f>HYPERLINK("https://us2.cloudbeds.com/connect/10074733072513#/reservations/31680556286150?display=Matthew%20Souryachak&amp;reservation_id=31680556286150&amp;guest_id=31675604996230", "Matthew Souryachak")</f>
        <v>Matthew Souryachak</v>
      </c>
      <c r="E7640" t="s">
        <v>5543</v>
      </c>
      <c r="F7640" t="s">
        <v>5560</v>
      </c>
      <c r="G7640">
        <v>73</v>
      </c>
      <c r="H7640">
        <v>79.36</v>
      </c>
      <c r="I7640">
        <v>79.349999999999994</v>
      </c>
      <c r="J7640">
        <v>0.01</v>
      </c>
    </row>
    <row r="7641" spans="1:10" x14ac:dyDescent="0.3">
      <c r="A7641" t="str">
        <f>HYPERLINK("https://us2.cloudbeds.com/connect/10074733072513#/reservations/31686852800651?display=MHGHHK04P&amp;reservation_id=31686852800651", "MHGHHK04P")</f>
        <v>MHGHHK04P</v>
      </c>
      <c r="B7641" t="s">
        <v>10</v>
      </c>
      <c r="C7641" t="s">
        <v>42</v>
      </c>
      <c r="D7641" t="str">
        <f>HYPERLINK("https://us2.cloudbeds.com/connect/10074733072513#/reservations/31686852800651?display=Matthew%20Souryachak&amp;reservation_id=31686852800651&amp;guest_id=31675604996230", "Matthew Souryachak")</f>
        <v>Matthew Souryachak</v>
      </c>
      <c r="E7641" t="s">
        <v>5543</v>
      </c>
      <c r="F7641" t="s">
        <v>5561</v>
      </c>
      <c r="G7641">
        <v>73</v>
      </c>
      <c r="H7641">
        <v>79.36</v>
      </c>
      <c r="I7641">
        <v>79.349999999999994</v>
      </c>
      <c r="J7641">
        <v>0.01</v>
      </c>
    </row>
    <row r="7642" spans="1:10" x14ac:dyDescent="0.3">
      <c r="A7642" t="str">
        <f>HYPERLINK("https://us2.cloudbeds.com/connect/10074733072513#/reservations/31678471286944?display=MHA1C30WU&amp;reservation_id=31678471286944", "MHA1C30WU")</f>
        <v>MHA1C30WU</v>
      </c>
      <c r="B7642" t="s">
        <v>10</v>
      </c>
      <c r="C7642" t="s">
        <v>42</v>
      </c>
      <c r="D7642" t="str">
        <f>HYPERLINK("https://us2.cloudbeds.com/connect/10074733072513#/reservations/31678471286944?display=Matthew%20Souryachak&amp;reservation_id=31678471286944&amp;guest_id=31675604996230", "Matthew Souryachak")</f>
        <v>Matthew Souryachak</v>
      </c>
      <c r="E7642" t="s">
        <v>5543</v>
      </c>
      <c r="F7642" t="s">
        <v>5562</v>
      </c>
      <c r="G7642">
        <v>73</v>
      </c>
      <c r="H7642">
        <v>79.36</v>
      </c>
      <c r="I7642">
        <v>79.349999999999994</v>
      </c>
      <c r="J7642">
        <v>0.01</v>
      </c>
    </row>
    <row r="7643" spans="1:10" x14ac:dyDescent="0.3">
      <c r="A7643" t="str">
        <f>HYPERLINK("https://us2.cloudbeds.com/connect/10074733072513#/reservations/31684414443679?display=MHEY7H46X&amp;reservation_id=31684414443679", "MHEY7H46X")</f>
        <v>MHEY7H46X</v>
      </c>
      <c r="B7643" t="s">
        <v>10</v>
      </c>
      <c r="C7643" t="s">
        <v>42</v>
      </c>
      <c r="D7643" t="str">
        <f>HYPERLINK("https://us2.cloudbeds.com/connect/10074733072513#/reservations/31684414443679?display=Matthew%20Souryachak&amp;reservation_id=31684414443679&amp;guest_id=31674825752822", "Matthew Souryachak")</f>
        <v>Matthew Souryachak</v>
      </c>
      <c r="E7643" t="s">
        <v>5545</v>
      </c>
      <c r="F7643" t="s">
        <v>5563</v>
      </c>
      <c r="G7643">
        <v>73</v>
      </c>
      <c r="H7643">
        <v>79.36</v>
      </c>
      <c r="I7643">
        <v>79.349999999999994</v>
      </c>
      <c r="J7643">
        <v>0.01</v>
      </c>
    </row>
    <row r="7644" spans="1:10" x14ac:dyDescent="0.3">
      <c r="A7644" t="str">
        <f>HYPERLINK("https://us2.cloudbeds.com/connect/10074733072513#/reservations/31675195924681?display=MH7GM7850&amp;reservation_id=31675195924681", "MH7GM7850")</f>
        <v>MH7GM7850</v>
      </c>
      <c r="B7644" t="s">
        <v>10</v>
      </c>
      <c r="C7644" t="s">
        <v>42</v>
      </c>
      <c r="D7644" t="str">
        <f>HYPERLINK("https://us2.cloudbeds.com/connect/10074733072513#/reservations/31675195924681?display=Ronica%20Lillehaugen&amp;reservation_id=31675195924681&amp;guest_id=31675195924679", "Ronica Lillehaugen")</f>
        <v>Ronica Lillehaugen</v>
      </c>
      <c r="E7644" t="s">
        <v>5565</v>
      </c>
      <c r="F7644" t="s">
        <v>5329</v>
      </c>
      <c r="G7644">
        <v>159</v>
      </c>
      <c r="H7644">
        <v>172.84</v>
      </c>
      <c r="I7644">
        <v>172.83</v>
      </c>
      <c r="J7644">
        <v>0.01</v>
      </c>
    </row>
    <row r="7645" spans="1:10" x14ac:dyDescent="0.3">
      <c r="A7645" t="str">
        <f>HYPERLINK("https://us2.cloudbeds.com/connect/10074733072513#/reservations/31677863579883?display=MH9XRYMKE&amp;reservation_id=31677863579883", "MH9XRYMKE")</f>
        <v>MH9XRYMKE</v>
      </c>
      <c r="B7645" t="s">
        <v>10</v>
      </c>
      <c r="C7645" t="s">
        <v>42</v>
      </c>
      <c r="D7645" t="str">
        <f>HYPERLINK("https://us2.cloudbeds.com/connect/10074733072513#/reservations/31677863579883?display=Matthew%20Souryachak&amp;reservation_id=31677863579883&amp;guest_id=31675604996230", "Matthew Souryachak")</f>
        <v>Matthew Souryachak</v>
      </c>
      <c r="E7645" t="s">
        <v>5543</v>
      </c>
      <c r="F7645" t="s">
        <v>5566</v>
      </c>
      <c r="G7645">
        <v>73</v>
      </c>
      <c r="H7645">
        <v>79.36</v>
      </c>
      <c r="I7645">
        <v>79.349999999999994</v>
      </c>
      <c r="J7645">
        <v>0.01</v>
      </c>
    </row>
    <row r="7646" spans="1:10" x14ac:dyDescent="0.3">
      <c r="A7646" t="str">
        <f>HYPERLINK("https://us2.cloudbeds.com/connect/10074733072513#/reservations/31684103659686?display=MHED9F3EQ&amp;reservation_id=31684103659686", "MHED9F3EQ")</f>
        <v>MHED9F3EQ</v>
      </c>
      <c r="B7646" t="s">
        <v>10</v>
      </c>
      <c r="C7646" t="s">
        <v>42</v>
      </c>
      <c r="D7646" t="str">
        <f>HYPERLINK("https://us2.cloudbeds.com/connect/10074733072513#/reservations/31684103659686?display=Matthew%20Souryachak&amp;reservation_id=31684103659686&amp;guest_id=31675604996230", "Matthew Souryachak")</f>
        <v>Matthew Souryachak</v>
      </c>
      <c r="E7646" t="s">
        <v>5543</v>
      </c>
      <c r="F7646" t="s">
        <v>5567</v>
      </c>
      <c r="G7646">
        <v>73</v>
      </c>
      <c r="H7646">
        <v>79.36</v>
      </c>
      <c r="I7646">
        <v>79.349999999999994</v>
      </c>
      <c r="J7646">
        <v>0.01</v>
      </c>
    </row>
    <row r="7647" spans="1:10" x14ac:dyDescent="0.3">
      <c r="A7647" t="str">
        <f>HYPERLINK("https://us2.cloudbeds.com/connect/10074733072513#/reservations/31683957330136?display=MHE9X28T0&amp;reservation_id=31683957330136", "MHE9X28T0")</f>
        <v>MHE9X28T0</v>
      </c>
      <c r="B7647" t="s">
        <v>10</v>
      </c>
      <c r="C7647" t="s">
        <v>42</v>
      </c>
      <c r="D7647" t="str">
        <f>HYPERLINK("https://us2.cloudbeds.com/connect/10074733072513#/reservations/31683957330136?display=Matthew%20Souryachak&amp;reservation_id=31683957330136&amp;guest_id=31674825752822", "Matthew Souryachak")</f>
        <v>Matthew Souryachak</v>
      </c>
      <c r="E7647" t="s">
        <v>5545</v>
      </c>
      <c r="F7647" t="s">
        <v>5568</v>
      </c>
      <c r="G7647">
        <v>73</v>
      </c>
      <c r="H7647">
        <v>79.36</v>
      </c>
      <c r="I7647">
        <v>79.349999999999994</v>
      </c>
      <c r="J7647">
        <v>0.01</v>
      </c>
    </row>
    <row r="7648" spans="1:10" x14ac:dyDescent="0.3">
      <c r="A7648" t="str">
        <f>HYPERLINK("https://us2.cloudbeds.com/connect/10074733072513#/reservations/31679616995478?display=MHAUY61VA&amp;reservation_id=31679616995478", "MHAUY61VA")</f>
        <v>MHAUY61VA</v>
      </c>
      <c r="B7648" t="s">
        <v>10</v>
      </c>
      <c r="C7648" t="s">
        <v>42</v>
      </c>
      <c r="D7648" t="str">
        <f>HYPERLINK("https://us2.cloudbeds.com/connect/10074733072513#/reservations/31679616995478?display=Matthew%20Souryachak&amp;reservation_id=31679616995478&amp;guest_id=31675604996230", "Matthew Souryachak")</f>
        <v>Matthew Souryachak</v>
      </c>
      <c r="E7648" t="s">
        <v>5543</v>
      </c>
      <c r="F7648" t="s">
        <v>5569</v>
      </c>
      <c r="G7648">
        <v>73</v>
      </c>
      <c r="H7648">
        <v>79.36</v>
      </c>
      <c r="I7648">
        <v>79.349999999999994</v>
      </c>
      <c r="J7648">
        <v>0.01</v>
      </c>
    </row>
    <row r="7649" spans="1:10" x14ac:dyDescent="0.3">
      <c r="A7649" t="str">
        <f>HYPERLINK("https://us2.cloudbeds.com/connect/10074733072513#/reservations/31676340576498?display=MH8CUDSZN&amp;reservation_id=31676340576498", "MH8CUDSZN")</f>
        <v>MH8CUDSZN</v>
      </c>
      <c r="B7649" t="s">
        <v>10</v>
      </c>
      <c r="C7649" t="s">
        <v>42</v>
      </c>
      <c r="D7649" t="str">
        <f>HYPERLINK("https://us2.cloudbeds.com/connect/10074733072513#/reservations/31676340576498?display=Cameron%20Wyly&amp;reservation_id=31676340576498&amp;guest_id=31676340576486", "Cameron Wyly")</f>
        <v>Cameron Wyly</v>
      </c>
      <c r="E7649" t="s">
        <v>5570</v>
      </c>
      <c r="F7649" t="s">
        <v>5571</v>
      </c>
      <c r="G7649">
        <v>89</v>
      </c>
      <c r="H7649">
        <v>96.75</v>
      </c>
      <c r="I7649">
        <v>96.74</v>
      </c>
      <c r="J7649">
        <v>0.01</v>
      </c>
    </row>
    <row r="7650" spans="1:10" x14ac:dyDescent="0.3">
      <c r="A7650" t="str">
        <f>HYPERLINK("https://us2.cloudbeds.com/connect/10074733072513#/reservations/31683314192604?display=MHDQ3P0KT&amp;reservation_id=31683314192604", "MHDQ3P0KT")</f>
        <v>MHDQ3P0KT</v>
      </c>
      <c r="B7650" t="s">
        <v>10</v>
      </c>
      <c r="C7650" t="s">
        <v>42</v>
      </c>
      <c r="D7650" t="str">
        <f>HYPERLINK("https://us2.cloudbeds.com/connect/10074733072513#/reservations/31683314192604?display=Matthew%20Souryachak&amp;reservation_id=31683314192604&amp;guest_id=31675604996230", "Matthew Souryachak")</f>
        <v>Matthew Souryachak</v>
      </c>
      <c r="E7650" t="s">
        <v>5543</v>
      </c>
      <c r="F7650" t="s">
        <v>5572</v>
      </c>
      <c r="G7650">
        <v>73</v>
      </c>
      <c r="H7650">
        <v>79.36</v>
      </c>
      <c r="I7650">
        <v>79.349999999999994</v>
      </c>
      <c r="J7650">
        <v>0.01</v>
      </c>
    </row>
    <row r="7651" spans="1:10" x14ac:dyDescent="0.3">
      <c r="A7651" t="str">
        <f>HYPERLINK("https://us2.cloudbeds.com/connect/10074733072513#/reservations/31675021181172?display=MH7C6SZQ5&amp;reservation_id=31675021181172", "MH7C6SZQ5")</f>
        <v>MH7C6SZQ5</v>
      </c>
      <c r="B7651" t="s">
        <v>10</v>
      </c>
      <c r="C7651" t="s">
        <v>42</v>
      </c>
      <c r="D7651" t="str">
        <f>HYPERLINK("https://us2.cloudbeds.com/connect/10074733072513#/reservations/31675021181172?display=Cameron%20Wiley&amp;reservation_id=31675021181172&amp;guest_id=31675011535075", "Cameron Wiley")</f>
        <v>Cameron Wiley</v>
      </c>
      <c r="E7651" t="s">
        <v>5266</v>
      </c>
      <c r="F7651" t="s">
        <v>5551</v>
      </c>
      <c r="G7651">
        <v>178</v>
      </c>
      <c r="H7651">
        <v>193.5</v>
      </c>
      <c r="I7651">
        <v>193.49</v>
      </c>
      <c r="J7651">
        <v>0.01</v>
      </c>
    </row>
    <row r="7652" spans="1:10" x14ac:dyDescent="0.3">
      <c r="A7652" t="str">
        <f>HYPERLINK("https://us2.cloudbeds.com/connect/10074733072513#/reservations/31686971674839?display=MHGKXRS5T&amp;reservation_id=31686971674839", "MHGKXRS5T")</f>
        <v>MHGKXRS5T</v>
      </c>
      <c r="B7652" t="s">
        <v>10</v>
      </c>
      <c r="C7652" t="s">
        <v>42</v>
      </c>
      <c r="D7652" t="str">
        <f>HYPERLINK("https://us2.cloudbeds.com/connect/10074733072513#/reservations/31686971674839?display=Matthew%20Souryachak&amp;reservation_id=31686971674839&amp;guest_id=31674825752822", "Matthew Souryachak")</f>
        <v>Matthew Souryachak</v>
      </c>
      <c r="E7652" t="s">
        <v>5545</v>
      </c>
      <c r="F7652" t="s">
        <v>5573</v>
      </c>
      <c r="G7652">
        <v>73</v>
      </c>
      <c r="H7652">
        <v>79.36</v>
      </c>
      <c r="I7652">
        <v>79.349999999999994</v>
      </c>
      <c r="J7652">
        <v>0.01</v>
      </c>
    </row>
    <row r="7653" spans="1:10" x14ac:dyDescent="0.3">
      <c r="A7653" t="str">
        <f>HYPERLINK("https://us2.cloudbeds.com/connect/10074733072513#/reservations/31675298447514?display=MH7J9M35H&amp;reservation_id=31675298447514", "MH7J9M35H")</f>
        <v>MH7J9M35H</v>
      </c>
      <c r="B7653" t="s">
        <v>10</v>
      </c>
      <c r="C7653" t="s">
        <v>42</v>
      </c>
      <c r="D7653" t="str">
        <f>HYPERLINK("https://us2.cloudbeds.com/connect/10074733072513#/reservations/31675298447514?display=Matthew%20Souryachak&amp;reservation_id=31675298447514&amp;guest_id=31674825752822", "Matthew Souryachak")</f>
        <v>Matthew Souryachak</v>
      </c>
      <c r="E7653" t="s">
        <v>5545</v>
      </c>
      <c r="F7653" t="s">
        <v>5574</v>
      </c>
      <c r="G7653">
        <v>73</v>
      </c>
      <c r="H7653">
        <v>79.36</v>
      </c>
      <c r="I7653">
        <v>79.349999999999994</v>
      </c>
      <c r="J7653">
        <v>0.01</v>
      </c>
    </row>
    <row r="7654" spans="1:10" x14ac:dyDescent="0.3">
      <c r="A7654" t="str">
        <f>HYPERLINK("https://us2.cloudbeds.com/connect/10074733072513#/reservations/31683576172702?display=MHDWQM01Z&amp;reservation_id=31683576172702", "MHDWQM01Z")</f>
        <v>MHDWQM01Z</v>
      </c>
      <c r="B7654" t="s">
        <v>10</v>
      </c>
      <c r="C7654" t="s">
        <v>42</v>
      </c>
      <c r="D7654" t="str">
        <f>HYPERLINK("https://us2.cloudbeds.com/connect/10074733072513#/reservations/31683576172702?display=Matthew%20Souryachak&amp;reservation_id=31683576172702&amp;guest_id=31675604996230", "Matthew Souryachak")</f>
        <v>Matthew Souryachak</v>
      </c>
      <c r="E7654" t="s">
        <v>5543</v>
      </c>
      <c r="F7654" t="s">
        <v>5575</v>
      </c>
      <c r="G7654">
        <v>73</v>
      </c>
      <c r="H7654">
        <v>79.36</v>
      </c>
      <c r="I7654">
        <v>79.349999999999994</v>
      </c>
      <c r="J7654">
        <v>0.01</v>
      </c>
    </row>
    <row r="7655" spans="1:10" x14ac:dyDescent="0.3">
      <c r="A7655" t="str">
        <f>HYPERLINK("https://us2.cloudbeds.com/connect/10074733072513#/reservations/31676391497910?display=MH8E7BRHQ&amp;reservation_id=31676391497910", "MH8E7BRHQ")</f>
        <v>MH8E7BRHQ</v>
      </c>
      <c r="B7655" t="s">
        <v>10</v>
      </c>
      <c r="C7655" t="s">
        <v>42</v>
      </c>
      <c r="D7655" t="str">
        <f>HYPERLINK("https://us2.cloudbeds.com/connect/10074733072513#/reservations/31676391497910?display=Matthew%20Souryachak&amp;reservation_id=31676391497910&amp;guest_id=31674825752822", "Matthew Souryachak")</f>
        <v>Matthew Souryachak</v>
      </c>
      <c r="E7655" t="s">
        <v>5545</v>
      </c>
      <c r="F7655" t="s">
        <v>5512</v>
      </c>
      <c r="G7655">
        <v>73</v>
      </c>
      <c r="H7655">
        <v>79.36</v>
      </c>
      <c r="I7655">
        <v>79.349999999999994</v>
      </c>
      <c r="J7655">
        <v>0.01</v>
      </c>
    </row>
    <row r="7656" spans="1:10" x14ac:dyDescent="0.3">
      <c r="A7656" t="str">
        <f>HYPERLINK("https://us2.cloudbeds.com/connect/10074733072513#/reservations/31689466474624?display=MHXX3AQNQ&amp;reservation_id=31689466474624", "MHXX3AQNQ")</f>
        <v>MHXX3AQNQ</v>
      </c>
      <c r="B7656" t="s">
        <v>10</v>
      </c>
      <c r="C7656" t="s">
        <v>42</v>
      </c>
      <c r="D7656" t="str">
        <f>HYPERLINK("https://us2.cloudbeds.com/connect/10074733072513#/reservations/31689466474624?display=Matthew%20Souryachak&amp;reservation_id=31689466474624&amp;guest_id=31675604996230", "Matthew Souryachak")</f>
        <v>Matthew Souryachak</v>
      </c>
      <c r="E7656" t="s">
        <v>5543</v>
      </c>
      <c r="F7656" t="s">
        <v>5576</v>
      </c>
      <c r="G7656">
        <v>73</v>
      </c>
      <c r="H7656">
        <v>79.36</v>
      </c>
      <c r="I7656">
        <v>79.349999999999994</v>
      </c>
      <c r="J7656">
        <v>0.01</v>
      </c>
    </row>
    <row r="7657" spans="1:10" x14ac:dyDescent="0.3">
      <c r="A7657" t="str">
        <f>HYPERLINK("https://us2.cloudbeds.com/connect/10074733072513#/reservations/31678055964825?display=MH9NZT2Y5&amp;reservation_id=31678055964825", "MH9NZT2Y5")</f>
        <v>MH9NZT2Y5</v>
      </c>
      <c r="B7657" t="s">
        <v>10</v>
      </c>
      <c r="C7657" t="s">
        <v>11</v>
      </c>
      <c r="D7657" t="str">
        <f>HYPERLINK("https://us2.cloudbeds.com/connect/10074733072513#/reservations/31678055964825?display=Maxx%20Karr&amp;reservation_id=31678055964825&amp;guest_id=31678055964814", "Maxx Karr")</f>
        <v>Maxx Karr</v>
      </c>
      <c r="E7657" t="s">
        <v>5577</v>
      </c>
      <c r="F7657" t="s">
        <v>5578</v>
      </c>
      <c r="G7657">
        <v>87.84</v>
      </c>
      <c r="H7657">
        <v>95.49</v>
      </c>
      <c r="I7657">
        <v>95.48</v>
      </c>
      <c r="J7657">
        <v>0.01</v>
      </c>
    </row>
    <row r="7658" spans="1:10" x14ac:dyDescent="0.3">
      <c r="A7658" t="str">
        <f>HYPERLINK("https://us2.cloudbeds.com/connect/10074733072513#/reservations/31676961386703?display=MH8SPTRD5&amp;reservation_id=31676961386703", "MH8SPTRD5")</f>
        <v>MH8SPTRD5</v>
      </c>
      <c r="B7658" t="s">
        <v>10</v>
      </c>
      <c r="C7658" t="s">
        <v>20</v>
      </c>
      <c r="D7658" t="str">
        <f>HYPERLINK("https://us2.cloudbeds.com/connect/10074733072513#/reservations/31676961386703?display=Julie%20Lewis&amp;reservation_id=31676961386703&amp;guest_id=31676961386698", "Julie Lewis")</f>
        <v>Julie Lewis</v>
      </c>
      <c r="E7658" t="s">
        <v>5579</v>
      </c>
      <c r="F7658" t="s">
        <v>3650</v>
      </c>
      <c r="G7658">
        <v>169</v>
      </c>
      <c r="H7658">
        <v>183.71</v>
      </c>
      <c r="I7658">
        <v>183.7</v>
      </c>
      <c r="J7658">
        <v>0.01</v>
      </c>
    </row>
    <row r="7659" spans="1:10" x14ac:dyDescent="0.3">
      <c r="A7659" t="str">
        <f>HYPERLINK("https://us2.cloudbeds.com/connect/10074733072513#/reservations/31692922335401?display=MHY7KJZV7&amp;reservation_id=31692922335401", "MHY7KJZV7")</f>
        <v>MHY7KJZV7</v>
      </c>
      <c r="B7659" t="s">
        <v>10</v>
      </c>
      <c r="C7659" t="s">
        <v>42</v>
      </c>
      <c r="D7659" t="str">
        <f>HYPERLINK("https://us2.cloudbeds.com/connect/10074733072513#/reservations/31692922335401?display=Matthew%20Souryachak&amp;reservation_id=31692922335401&amp;guest_id=31675604996230", "Matthew Souryachak")</f>
        <v>Matthew Souryachak</v>
      </c>
      <c r="E7659" t="s">
        <v>5543</v>
      </c>
      <c r="F7659" t="s">
        <v>5580</v>
      </c>
      <c r="G7659">
        <v>73</v>
      </c>
      <c r="H7659">
        <v>79.36</v>
      </c>
      <c r="I7659">
        <v>79.349999999999994</v>
      </c>
      <c r="J7659">
        <v>0.01</v>
      </c>
    </row>
    <row r="7660" spans="1:10" x14ac:dyDescent="0.3">
      <c r="A7660" t="str">
        <f>HYPERLINK("https://us2.cloudbeds.com/connect/10074733072513#/reservations/31677771325623?display=MH9GFSXVQ&amp;reservation_id=31677771325623", "MH9GFSXVQ")</f>
        <v>MH9GFSXVQ</v>
      </c>
      <c r="B7660" t="s">
        <v>10</v>
      </c>
      <c r="C7660" t="s">
        <v>42</v>
      </c>
      <c r="D7660" t="str">
        <f>HYPERLINK("https://us2.cloudbeds.com/connect/10074733072513#/reservations/31677771325623?display=Matthew%20Souryachak&amp;reservation_id=31677771325623&amp;guest_id=31674825752822", "Matthew Souryachak")</f>
        <v>Matthew Souryachak</v>
      </c>
      <c r="E7660" t="s">
        <v>5545</v>
      </c>
      <c r="F7660" t="s">
        <v>4803</v>
      </c>
      <c r="G7660">
        <v>73</v>
      </c>
      <c r="H7660">
        <v>79.36</v>
      </c>
      <c r="I7660">
        <v>79.349999999999994</v>
      </c>
      <c r="J7660">
        <v>0.01</v>
      </c>
    </row>
    <row r="7661" spans="1:10" x14ac:dyDescent="0.3">
      <c r="A7661" t="str">
        <f>HYPERLINK("https://us2.cloudbeds.com/connect/10074733072513#/reservations/31677988638855?display=MH9M13KW8&amp;reservation_id=31677988638855", "MH9M13KW8")</f>
        <v>MH9M13KW8</v>
      </c>
      <c r="B7661" t="s">
        <v>10</v>
      </c>
      <c r="C7661" t="s">
        <v>42</v>
      </c>
      <c r="D7661" t="str">
        <f>HYPERLINK("https://us2.cloudbeds.com/connect/10074733072513#/reservations/31677988638855?display=Matthew%20Souryachak&amp;reservation_id=31677988638855&amp;guest_id=31675604996230", "Matthew Souryachak")</f>
        <v>Matthew Souryachak</v>
      </c>
      <c r="E7661" t="s">
        <v>5543</v>
      </c>
      <c r="F7661" t="s">
        <v>5581</v>
      </c>
      <c r="G7661">
        <v>73</v>
      </c>
      <c r="H7661">
        <v>79.36</v>
      </c>
      <c r="I7661">
        <v>79.349999999999994</v>
      </c>
      <c r="J7661">
        <v>0.01</v>
      </c>
    </row>
    <row r="7662" spans="1:10" x14ac:dyDescent="0.3">
      <c r="A7662" t="str">
        <f>HYPERLINK("https://us2.cloudbeds.com/connect/10074733072513#/reservations/31681380876423?display=MHC9NHYB2&amp;reservation_id=31681380876423", "MHC9NHYB2")</f>
        <v>MHC9NHYB2</v>
      </c>
      <c r="B7662" t="s">
        <v>10</v>
      </c>
      <c r="C7662" t="s">
        <v>42</v>
      </c>
      <c r="D7662" t="str">
        <f>HYPERLINK("https://us2.cloudbeds.com/connect/10074733072513#/reservations/31681380876423?display=Matthew%20Souryachak&amp;reservation_id=31681380876423&amp;guest_id=31675604996230", "Matthew Souryachak")</f>
        <v>Matthew Souryachak</v>
      </c>
      <c r="E7662" t="s">
        <v>5543</v>
      </c>
      <c r="F7662" t="s">
        <v>5582</v>
      </c>
      <c r="G7662">
        <v>73</v>
      </c>
      <c r="H7662">
        <v>79.36</v>
      </c>
      <c r="I7662">
        <v>79.349999999999994</v>
      </c>
      <c r="J7662">
        <v>0.01</v>
      </c>
    </row>
    <row r="7663" spans="1:10" x14ac:dyDescent="0.3">
      <c r="A7663" t="str">
        <f>HYPERLINK("https://us2.cloudbeds.com/connect/10074733072513#/reservations/31689425182850?display=MHXH8NAUG&amp;reservation_id=31689425182850", "MHXH8NAUG")</f>
        <v>MHXH8NAUG</v>
      </c>
      <c r="B7663" t="s">
        <v>10</v>
      </c>
      <c r="C7663" t="s">
        <v>42</v>
      </c>
      <c r="D7663" t="str">
        <f>HYPERLINK("https://us2.cloudbeds.com/connect/10074733072513#/reservations/31689425182850?display=Matthew%20Souryachak&amp;reservation_id=31689425182850&amp;guest_id=31674825752822", "Matthew Souryachak")</f>
        <v>Matthew Souryachak</v>
      </c>
      <c r="E7663" t="s">
        <v>5545</v>
      </c>
      <c r="F7663" t="s">
        <v>5583</v>
      </c>
      <c r="G7663">
        <v>73</v>
      </c>
      <c r="H7663">
        <v>79.36</v>
      </c>
      <c r="I7663">
        <v>79.349999999999994</v>
      </c>
      <c r="J7663">
        <v>0.01</v>
      </c>
    </row>
    <row r="7664" spans="1:10" x14ac:dyDescent="0.3">
      <c r="A7664" t="str">
        <f>HYPERLINK("https://us2.cloudbeds.com/connect/10074733072513#/reservations/31678803751077?display=MHA9SEB1K&amp;reservation_id=31678803751077", "MHA9SEB1K")</f>
        <v>MHA9SEB1K</v>
      </c>
      <c r="B7664" t="s">
        <v>10</v>
      </c>
      <c r="C7664" t="s">
        <v>42</v>
      </c>
      <c r="D7664" t="str">
        <f>HYPERLINK("https://us2.cloudbeds.com/connect/10074733072513#/reservations/31678803751077?display=Matthew%20Souryachak&amp;reservation_id=31678803751077&amp;guest_id=31675604996230", "Matthew Souryachak")</f>
        <v>Matthew Souryachak</v>
      </c>
      <c r="E7664" t="s">
        <v>5543</v>
      </c>
      <c r="F7664" t="s">
        <v>5584</v>
      </c>
      <c r="G7664">
        <v>73</v>
      </c>
      <c r="H7664">
        <v>79.36</v>
      </c>
      <c r="I7664">
        <v>79.349999999999994</v>
      </c>
      <c r="J7664">
        <v>0.01</v>
      </c>
    </row>
    <row r="7665" spans="1:10" x14ac:dyDescent="0.3">
      <c r="A7665" t="str">
        <f>HYPERLINK("https://us2.cloudbeds.com/connect/10074733072513#/reservations/31674605904029?display=MH71JN1ZA&amp;reservation_id=31674605904029", "MH71JN1ZA")</f>
        <v>MH71JN1ZA</v>
      </c>
      <c r="B7665" t="s">
        <v>10</v>
      </c>
      <c r="C7665" t="s">
        <v>121</v>
      </c>
      <c r="D7665" t="str">
        <f>HYPERLINK("https://us2.cloudbeds.com/connect/10074733072513#/reservations/31674605904029?display=Jeremiah%20Pierre&amp;reservation_id=31674605904029&amp;guest_id=31674605904027", "Jeremiah Pierre")</f>
        <v>Jeremiah Pierre</v>
      </c>
      <c r="E7665" t="s">
        <v>5591</v>
      </c>
      <c r="F7665" t="s">
        <v>5522</v>
      </c>
      <c r="G7665">
        <v>119</v>
      </c>
      <c r="H7665">
        <v>129.36000000000001</v>
      </c>
      <c r="I7665">
        <v>129.35</v>
      </c>
      <c r="J7665">
        <v>0.01</v>
      </c>
    </row>
    <row r="7666" spans="1:10" x14ac:dyDescent="0.3">
      <c r="A7666" t="str">
        <f>HYPERLINK("https://us2.cloudbeds.com/connect/10074733072513#/reservations/31691763609811?display=MHKB0HGPX&amp;reservation_id=31691763609811", "MHKB0HGPX")</f>
        <v>MHKB0HGPX</v>
      </c>
      <c r="B7666" t="s">
        <v>10</v>
      </c>
      <c r="C7666" t="s">
        <v>17</v>
      </c>
      <c r="D7666" t="str">
        <f>HYPERLINK("https://us2.cloudbeds.com/connect/10074733072513#/reservations/31691763609811?display=Gary%20Arneson&amp;reservation_id=31691763609811&amp;guest_id=31691759489172", "Gary Arneson")</f>
        <v>Gary Arneson</v>
      </c>
      <c r="E7666" t="s">
        <v>5592</v>
      </c>
      <c r="F7666" t="s">
        <v>5593</v>
      </c>
      <c r="G7666">
        <v>119</v>
      </c>
      <c r="H7666">
        <v>129.36000000000001</v>
      </c>
      <c r="I7666">
        <v>129.35</v>
      </c>
      <c r="J7666">
        <v>0.01</v>
      </c>
    </row>
    <row r="7667" spans="1:10" x14ac:dyDescent="0.3">
      <c r="A7667" t="str">
        <f>HYPERLINK("https://us2.cloudbeds.com/connect/10074733072513#/reservations/31676553629837?display=MH8XC2D0G&amp;reservation_id=31676553629837", "MH8XC2D0G")</f>
        <v>MH8XC2D0G</v>
      </c>
      <c r="B7667" t="s">
        <v>10</v>
      </c>
      <c r="C7667" t="s">
        <v>23</v>
      </c>
      <c r="D7667" t="str">
        <f>HYPERLINK("https://us2.cloudbeds.com/connect/10074733072513#/reservations/31676553629837?display=Luke%20Cramlet&amp;reservation_id=31676553629837&amp;guest_id=31676553629832", "Luke Cramlet")</f>
        <v>Luke Cramlet</v>
      </c>
      <c r="E7667" t="s">
        <v>5594</v>
      </c>
      <c r="F7667" t="s">
        <v>4530</v>
      </c>
      <c r="G7667">
        <v>398</v>
      </c>
      <c r="H7667">
        <v>432.64</v>
      </c>
      <c r="I7667">
        <v>432.63</v>
      </c>
      <c r="J7667">
        <v>0.01</v>
      </c>
    </row>
    <row r="7668" spans="1:10" x14ac:dyDescent="0.3">
      <c r="A7668" t="str">
        <f>HYPERLINK("https://us2.cloudbeds.com/connect/10074733072513#/reservations/31679147356354?display=MHAXY5YNZ&amp;reservation_id=31679147356354", "MHAXY5YNZ")</f>
        <v>MHAXY5YNZ</v>
      </c>
      <c r="B7668" t="s">
        <v>10</v>
      </c>
      <c r="C7668" t="s">
        <v>23</v>
      </c>
      <c r="D7668" t="str">
        <f>HYPERLINK("https://us2.cloudbeds.com/connect/10074733072513#/reservations/31679147356354?display=Ben%20Blood&amp;reservation_id=31679147356354&amp;guest_id=31679147352317", "Ben Blood")</f>
        <v>Ben Blood</v>
      </c>
      <c r="E7668" t="s">
        <v>5596</v>
      </c>
      <c r="F7668" t="s">
        <v>4530</v>
      </c>
      <c r="G7668">
        <v>398</v>
      </c>
      <c r="H7668">
        <v>432.64</v>
      </c>
      <c r="I7668">
        <v>432.63</v>
      </c>
      <c r="J7668">
        <v>0.01</v>
      </c>
    </row>
    <row r="7669" spans="1:10" x14ac:dyDescent="0.3">
      <c r="A7669" t="str">
        <f>HYPERLINK("https://us2.cloudbeds.com/connect/10074733072513#/reservations/31679122370690?display=MHAX03D1D&amp;reservation_id=31679122370690", "MHAX03D1D")</f>
        <v>MHAX03D1D</v>
      </c>
      <c r="B7669" t="s">
        <v>10</v>
      </c>
      <c r="C7669" t="s">
        <v>23</v>
      </c>
      <c r="D7669" t="str">
        <f>HYPERLINK("https://us2.cloudbeds.com/connect/10074733072513#/reservations/31679122370690?display=Hailee%20Eisenbeisz&amp;reservation_id=31679122370690&amp;guest_id=31679113679090", "Hailee Eisenbeisz")</f>
        <v>Hailee Eisenbeisz</v>
      </c>
      <c r="E7669" t="s">
        <v>5597</v>
      </c>
      <c r="F7669" t="s">
        <v>4530</v>
      </c>
      <c r="G7669">
        <v>209</v>
      </c>
      <c r="H7669">
        <v>227.19</v>
      </c>
      <c r="I7669">
        <v>227.18</v>
      </c>
      <c r="J7669">
        <v>0.01</v>
      </c>
    </row>
    <row r="7670" spans="1:10" x14ac:dyDescent="0.3">
      <c r="A7670" t="str">
        <f>HYPERLINK("https://us2.cloudbeds.com/connect/10074733072513#/reservations/31676652949756?display=MH8KTR3T0&amp;reservation_id=31676652949756", "MH8KTR3T0")</f>
        <v>MH8KTR3T0</v>
      </c>
      <c r="B7670" t="s">
        <v>10</v>
      </c>
      <c r="C7670" t="s">
        <v>17</v>
      </c>
      <c r="D7670" t="str">
        <f>HYPERLINK("https://us2.cloudbeds.com/connect/10074733072513#/reservations/31676652949756?display=Jesse%20Hattervig&amp;reservation_id=31676652949756&amp;guest_id=31676652949754", "Jesse Hattervig")</f>
        <v>Jesse Hattervig</v>
      </c>
      <c r="E7670" t="s">
        <v>5598</v>
      </c>
      <c r="F7670" t="s">
        <v>4577</v>
      </c>
      <c r="G7670">
        <v>338</v>
      </c>
      <c r="H7670">
        <v>367.42</v>
      </c>
      <c r="I7670">
        <v>367.41</v>
      </c>
      <c r="J7670">
        <v>0.01</v>
      </c>
    </row>
    <row r="7671" spans="1:10" x14ac:dyDescent="0.3">
      <c r="A7671" t="str">
        <f>HYPERLINK("https://us2.cloudbeds.com/connect/10074733072513#/reservations/31675176312997?display=MH7G5MH8X&amp;reservation_id=31675176312997", "MH7G5MH8X")</f>
        <v>MH7G5MH8X</v>
      </c>
      <c r="B7671" t="s">
        <v>10</v>
      </c>
      <c r="C7671" t="s">
        <v>42</v>
      </c>
      <c r="D7671" t="str">
        <f>HYPERLINK("https://us2.cloudbeds.com/connect/10074733072513#/reservations/31675176312997?display=Kirk%20Satrom&amp;reservation_id=31675176312997&amp;guest_id=31675176312994", "Kirk Satrom")</f>
        <v>Kirk Satrom</v>
      </c>
      <c r="E7671" t="s">
        <v>5599</v>
      </c>
      <c r="F7671" t="s">
        <v>5149</v>
      </c>
      <c r="G7671">
        <v>296</v>
      </c>
      <c r="H7671">
        <v>321.76</v>
      </c>
      <c r="I7671">
        <v>321.75</v>
      </c>
      <c r="J7671">
        <v>0.01</v>
      </c>
    </row>
    <row r="7672" spans="1:10" x14ac:dyDescent="0.3">
      <c r="A7672" t="str">
        <f>HYPERLINK("https://us2.cloudbeds.com/connect/10074733072513#/reservations/31674241003671?display=MH6P905BN&amp;reservation_id=31674241003671", "MH6P905BN")</f>
        <v>MH6P905BN</v>
      </c>
      <c r="B7672" t="s">
        <v>10</v>
      </c>
      <c r="C7672" t="s">
        <v>121</v>
      </c>
      <c r="D7672" t="str">
        <f>HYPERLINK("https://us2.cloudbeds.com/connect/10074733072513#/reservations/31674241003671?display=Kimberly%20Winchester&amp;reservation_id=31674241003671&amp;guest_id=31674228826250", "Kimberly Winchester")</f>
        <v>Kimberly Winchester</v>
      </c>
      <c r="E7672" t="s">
        <v>5600</v>
      </c>
      <c r="F7672" t="s">
        <v>5522</v>
      </c>
      <c r="G7672">
        <v>119</v>
      </c>
      <c r="H7672">
        <v>129.36000000000001</v>
      </c>
      <c r="I7672">
        <v>129.35</v>
      </c>
      <c r="J7672">
        <v>0.01</v>
      </c>
    </row>
    <row r="7673" spans="1:10" x14ac:dyDescent="0.3">
      <c r="A7673" t="str">
        <f>HYPERLINK("https://us2.cloudbeds.com/connect/10074733072513#/reservations/31674744156301?display=MH7549453&amp;reservation_id=31674744156301", "MH7549453")</f>
        <v>MH7549453</v>
      </c>
      <c r="B7673" t="s">
        <v>10</v>
      </c>
      <c r="C7673" t="s">
        <v>121</v>
      </c>
      <c r="D7673" t="str">
        <f>HYPERLINK("https://us2.cloudbeds.com/connect/10074733072513#/reservations/31674744156301?display=Gordon%20Woods&amp;reservation_id=31674744156301&amp;guest_id=31674744156298", "Gordon Woods")</f>
        <v>Gordon Woods</v>
      </c>
      <c r="E7673" t="s">
        <v>5601</v>
      </c>
      <c r="F7673" t="s">
        <v>4692</v>
      </c>
      <c r="G7673">
        <v>139</v>
      </c>
      <c r="H7673">
        <v>151.1</v>
      </c>
      <c r="I7673">
        <v>151.09</v>
      </c>
      <c r="J7673">
        <v>0.01</v>
      </c>
    </row>
    <row r="7674" spans="1:10" x14ac:dyDescent="0.3">
      <c r="A7674" t="str">
        <f>HYPERLINK("https://us2.cloudbeds.com/connect/10074733072513#/reservations/31674247110850?display=MH6PE53DZ&amp;reservation_id=31674247110850", "MH6PE53DZ")</f>
        <v>MH6PE53DZ</v>
      </c>
      <c r="B7674" t="s">
        <v>10</v>
      </c>
      <c r="C7674" t="s">
        <v>42</v>
      </c>
      <c r="D7674" t="str">
        <f>HYPERLINK("https://us2.cloudbeds.com/connect/10074733072513#/reservations/31674247110850?display=Martin%20Hood&amp;reservation_id=31674247110850&amp;guest_id=31674241007777", "Martin Hood")</f>
        <v>Martin Hood</v>
      </c>
      <c r="E7674" t="s">
        <v>5602</v>
      </c>
      <c r="F7674" t="s">
        <v>4692</v>
      </c>
      <c r="G7674">
        <v>109</v>
      </c>
      <c r="H7674">
        <v>118.49</v>
      </c>
      <c r="I7674">
        <v>118.48</v>
      </c>
      <c r="J7674">
        <v>0.01</v>
      </c>
    </row>
    <row r="7675" spans="1:10" x14ac:dyDescent="0.3">
      <c r="A7675" t="str">
        <f>HYPERLINK("https://us2.cloudbeds.com/connect/10074733072513#/reservations/31682695287037?display=MHDA9T1VZ&amp;reservation_id=31682695287037", "MHDA9T1VZ")</f>
        <v>MHDA9T1VZ</v>
      </c>
      <c r="B7675" t="s">
        <v>10</v>
      </c>
      <c r="C7675" t="s">
        <v>42</v>
      </c>
      <c r="D7675" t="str">
        <f>HYPERLINK("https://us2.cloudbeds.com/connect/10074733072513#/reservations/31682695287037?display=Louise%20Weis&amp;reservation_id=31682695287037&amp;guest_id=31682695286983", "Louise Weis")</f>
        <v>Louise Weis</v>
      </c>
      <c r="E7675" t="s">
        <v>5605</v>
      </c>
      <c r="F7675" t="s">
        <v>4645</v>
      </c>
      <c r="G7675">
        <v>576</v>
      </c>
      <c r="H7675">
        <v>626.12</v>
      </c>
      <c r="I7675">
        <v>626.11</v>
      </c>
      <c r="J7675">
        <v>0.01</v>
      </c>
    </row>
    <row r="7676" spans="1:10" x14ac:dyDescent="0.3">
      <c r="A7676" t="str">
        <f>HYPERLINK("https://us2.cloudbeds.com/connect/10074733072513#/reservations/31677784862896?display=MH9GR98T6&amp;reservation_id=31677784862896", "MH9GR98T6")</f>
        <v>MH9GR98T6</v>
      </c>
      <c r="B7676" t="s">
        <v>10</v>
      </c>
      <c r="C7676" t="s">
        <v>42</v>
      </c>
      <c r="D7676" t="str">
        <f>HYPERLINK("https://us2.cloudbeds.com/connect/10074733072513#/reservations/31677784862896?display=Daniel%20Pfanstiel&amp;reservation_id=31677784862896&amp;guest_id=31677784862891", "Daniel Pfanstiel")</f>
        <v>Daniel Pfanstiel</v>
      </c>
      <c r="E7676" t="s">
        <v>5607</v>
      </c>
      <c r="F7676" t="s">
        <v>5482</v>
      </c>
      <c r="G7676">
        <v>73</v>
      </c>
      <c r="H7676">
        <v>79.36</v>
      </c>
      <c r="I7676">
        <v>79.349999999999994</v>
      </c>
      <c r="J7676">
        <v>0.01</v>
      </c>
    </row>
    <row r="7677" spans="1:10" x14ac:dyDescent="0.3">
      <c r="A7677" t="str">
        <f>HYPERLINK("https://us2.cloudbeds.com/connect/10074733072513#/reservations/31677797941402?display=MH9H5A6HX&amp;reservation_id=31677797941402", "MH9H5A6HX")</f>
        <v>MH9H5A6HX</v>
      </c>
      <c r="B7677" t="s">
        <v>10</v>
      </c>
      <c r="C7677" t="s">
        <v>23</v>
      </c>
      <c r="D7677" t="str">
        <f>HYPERLINK("https://us2.cloudbeds.com/connect/10074733072513#/reservations/31677797941402?display=Andy%20Heckman&amp;reservation_id=31677797941402&amp;guest_id=31677797941397", "Andy Heckman")</f>
        <v>Andy Heckman</v>
      </c>
      <c r="E7677" t="s">
        <v>5608</v>
      </c>
      <c r="F7677" t="s">
        <v>5482</v>
      </c>
      <c r="G7677">
        <v>129</v>
      </c>
      <c r="H7677">
        <v>140.22999999999999</v>
      </c>
      <c r="I7677">
        <v>140.22</v>
      </c>
      <c r="J7677">
        <v>0.01</v>
      </c>
    </row>
    <row r="7678" spans="1:10" x14ac:dyDescent="0.3">
      <c r="A7678" t="str">
        <f>HYPERLINK("https://us2.cloudbeds.com/connect/10074733072513#/reservations/31676861849810?display=MH8Q7W29M&amp;reservation_id=31676861849810", "MH8Q7W29M")</f>
        <v>MH8Q7W29M</v>
      </c>
      <c r="B7678" t="s">
        <v>10</v>
      </c>
      <c r="C7678" t="s">
        <v>17</v>
      </c>
      <c r="D7678" t="str">
        <f>HYPERLINK("https://us2.cloudbeds.com/connect/10074733072513#/reservations/31676861849810?display=Lynece%20Daiker&amp;reservation_id=31676861849810&amp;guest_id=30672844808322", "Lynece Daiker")</f>
        <v>Lynece Daiker</v>
      </c>
      <c r="E7678" t="s">
        <v>4536</v>
      </c>
      <c r="F7678" t="s">
        <v>3650</v>
      </c>
      <c r="G7678">
        <v>179</v>
      </c>
      <c r="H7678">
        <v>194.58</v>
      </c>
      <c r="I7678">
        <v>194.57</v>
      </c>
      <c r="J7678">
        <v>0.01</v>
      </c>
    </row>
    <row r="7679" spans="1:10" x14ac:dyDescent="0.3">
      <c r="A7679" t="str">
        <f>HYPERLINK("https://us2.cloudbeds.com/connect/10074733072513#/reservations/31675054719221?display=MH7D24WTM&amp;reservation_id=31675054719221", "MH7D24WTM")</f>
        <v>MH7D24WTM</v>
      </c>
      <c r="B7679" t="s">
        <v>10</v>
      </c>
      <c r="C7679" t="s">
        <v>42</v>
      </c>
      <c r="D7679" t="str">
        <f>HYPERLINK("https://us2.cloudbeds.com/connect/10074733072513#/reservations/31675054719221?display=Josh%20Stumm&amp;reservation_id=31675054719221&amp;guest_id=31675054719204", "Josh Stumm")</f>
        <v>Josh Stumm</v>
      </c>
      <c r="E7679" t="s">
        <v>5610</v>
      </c>
      <c r="F7679" t="s">
        <v>5551</v>
      </c>
      <c r="G7679">
        <v>79</v>
      </c>
      <c r="H7679">
        <v>85.88</v>
      </c>
      <c r="I7679">
        <v>85.87</v>
      </c>
      <c r="J7679">
        <v>0.01</v>
      </c>
    </row>
    <row r="7680" spans="1:10" x14ac:dyDescent="0.3">
      <c r="A7680" t="str">
        <f>HYPERLINK("https://us2.cloudbeds.com/connect/10074733072513#/reservations/31675046338719?display=MH7CS2QA2&amp;reservation_id=31675046338719", "MH7CS2QA2")</f>
        <v>MH7CS2QA2</v>
      </c>
      <c r="B7680" t="s">
        <v>10</v>
      </c>
      <c r="C7680" t="s">
        <v>42</v>
      </c>
      <c r="D7680" t="str">
        <f>HYPERLINK("https://us2.cloudbeds.com/connect/10074733072513#/reservations/31675046338719?display=Nicholas%20Ludwig&amp;reservation_id=31675046338719&amp;guest_id=31675046338689", "Nicholas Ludwig")</f>
        <v>Nicholas Ludwig</v>
      </c>
      <c r="E7680" t="s">
        <v>5611</v>
      </c>
      <c r="F7680" t="s">
        <v>5551</v>
      </c>
      <c r="G7680">
        <v>79</v>
      </c>
      <c r="H7680">
        <v>85.88</v>
      </c>
      <c r="I7680">
        <v>85.87</v>
      </c>
      <c r="J7680">
        <v>0.01</v>
      </c>
    </row>
    <row r="7681" spans="1:10" x14ac:dyDescent="0.3">
      <c r="A7681" t="str">
        <f>HYPERLINK("https://us2.cloudbeds.com/connect/10074733072513#/reservations/31675059789962?display=MH7D6E37G&amp;reservation_id=31675059789962", "MH7D6E37G")</f>
        <v>MH7D6E37G</v>
      </c>
      <c r="B7681" t="s">
        <v>10</v>
      </c>
      <c r="C7681" t="s">
        <v>42</v>
      </c>
      <c r="D7681" t="str">
        <f>HYPERLINK("https://us2.cloudbeds.com/connect/10074733072513#/reservations/31675059789962?display=Erik%20Swanson&amp;reservation_id=31675059789962&amp;guest_id=31675059785870", "Erik Swanson")</f>
        <v>Erik Swanson</v>
      </c>
      <c r="E7681" t="s">
        <v>5612</v>
      </c>
      <c r="F7681" t="s">
        <v>5551</v>
      </c>
      <c r="G7681">
        <v>79</v>
      </c>
      <c r="H7681">
        <v>85.88</v>
      </c>
      <c r="I7681">
        <v>85.87</v>
      </c>
      <c r="J7681">
        <v>0.01</v>
      </c>
    </row>
    <row r="7682" spans="1:10" x14ac:dyDescent="0.3">
      <c r="A7682" t="str">
        <f>HYPERLINK("https://us2.cloudbeds.com/connect/10074733072513#/reservations/31674810314946?display=MH76R22TH&amp;reservation_id=31674810314946", "MH76R22TH")</f>
        <v>MH76R22TH</v>
      </c>
      <c r="B7682" t="s">
        <v>10</v>
      </c>
      <c r="C7682" t="s">
        <v>42</v>
      </c>
      <c r="D7682" t="str">
        <f>HYPERLINK("https://us2.cloudbeds.com/connect/10074733072513#/reservations/31674810314946?display=Daryle%20Petrzilka&amp;reservation_id=31674810314946&amp;guest_id=31674810310860", "Daryle Petrzilka")</f>
        <v>Daryle Petrzilka</v>
      </c>
      <c r="E7682" t="s">
        <v>5614</v>
      </c>
      <c r="F7682" t="s">
        <v>5250</v>
      </c>
      <c r="G7682">
        <v>79</v>
      </c>
      <c r="H7682">
        <v>85.88</v>
      </c>
      <c r="I7682">
        <v>85.87</v>
      </c>
      <c r="J7682">
        <v>0.01</v>
      </c>
    </row>
    <row r="7683" spans="1:10" x14ac:dyDescent="0.3">
      <c r="A7683" t="str">
        <f>HYPERLINK("https://us2.cloudbeds.com/connect/10074733072513#/reservations/31678103531735?display=MH9ZVWN2M&amp;reservation_id=31678103531735", "MH9ZVWN2M")</f>
        <v>MH9ZVWN2M</v>
      </c>
      <c r="B7683" t="s">
        <v>10</v>
      </c>
      <c r="C7683" t="s">
        <v>23</v>
      </c>
      <c r="D7683" t="str">
        <f>HYPERLINK("https://us2.cloudbeds.com/connect/10074733072513#/reservations/31678103531735?display=Brian%20Vargo&amp;reservation_id=31678103531735&amp;guest_id=31678103527654", "Brian Vargo")</f>
        <v>Brian Vargo</v>
      </c>
      <c r="E7683" t="s">
        <v>5615</v>
      </c>
      <c r="F7683" t="s">
        <v>5250</v>
      </c>
      <c r="G7683">
        <v>119</v>
      </c>
      <c r="H7683">
        <v>129.36000000000001</v>
      </c>
      <c r="I7683">
        <v>129.35</v>
      </c>
      <c r="J7683">
        <v>0.01</v>
      </c>
    </row>
    <row r="7684" spans="1:10" x14ac:dyDescent="0.3">
      <c r="A7684" t="str">
        <f>HYPERLINK("https://us2.cloudbeds.com/connect/10074733072513#/reservations/31681108476034?display=MHC2ZRN7R&amp;reservation_id=31681108476034", "MHC2ZRN7R")</f>
        <v>MHC2ZRN7R</v>
      </c>
      <c r="B7684" t="s">
        <v>10</v>
      </c>
      <c r="C7684" t="s">
        <v>42</v>
      </c>
      <c r="D7684" t="str">
        <f>HYPERLINK("https://us2.cloudbeds.com/connect/10074733072513#/reservations/31681108476034?display=Dave%20Dawes&amp;reservation_id=31681108476034&amp;guest_id=31681108476032", "Dave Dawes")</f>
        <v>Dave Dawes</v>
      </c>
      <c r="E7684" t="s">
        <v>5616</v>
      </c>
      <c r="F7684" t="s">
        <v>5283</v>
      </c>
      <c r="G7684">
        <v>218</v>
      </c>
      <c r="H7684">
        <v>236.98</v>
      </c>
      <c r="I7684">
        <v>236.97</v>
      </c>
      <c r="J7684">
        <v>0.01</v>
      </c>
    </row>
    <row r="7685" spans="1:10" x14ac:dyDescent="0.3">
      <c r="A7685" t="str">
        <f>HYPERLINK("https://us2.cloudbeds.com/connect/10074733072513#/reservations/31676767305961?display=MH8NR885X&amp;reservation_id=31676767305961", "MH8NR885X")</f>
        <v>MH8NR885X</v>
      </c>
      <c r="B7685" t="s">
        <v>10</v>
      </c>
      <c r="C7685" t="s">
        <v>20</v>
      </c>
      <c r="D7685" t="str">
        <f>HYPERLINK("https://us2.cloudbeds.com/connect/10074733072513#/reservations/31676767305961?display=Nathan%20Uhl&amp;reservation_id=31676767305961&amp;guest_id=31676758929615", "Nathan Uhl")</f>
        <v>Nathan Uhl</v>
      </c>
      <c r="E7685" t="s">
        <v>5617</v>
      </c>
      <c r="F7685" t="s">
        <v>3650</v>
      </c>
      <c r="G7685">
        <v>358</v>
      </c>
      <c r="H7685">
        <v>389.16</v>
      </c>
      <c r="I7685">
        <v>389.15</v>
      </c>
      <c r="J7685">
        <v>0.01</v>
      </c>
    </row>
    <row r="7686" spans="1:10" x14ac:dyDescent="0.3">
      <c r="A7686" t="str">
        <f>HYPERLINK("https://us2.cloudbeds.com/connect/10074733072513#/reservations/31682575302813?display=MHD77NAK5&amp;reservation_id=31682575302813", "MHD77NAK5")</f>
        <v>MHD77NAK5</v>
      </c>
      <c r="B7686" t="s">
        <v>10</v>
      </c>
      <c r="C7686" t="s">
        <v>42</v>
      </c>
      <c r="D7686" t="str">
        <f>HYPERLINK("https://us2.cloudbeds.com/connect/10074733072513#/reservations/31682575302813?display=Ashley%20Kolbeck&amp;reservation_id=31682575302813&amp;guest_id=31682575302800", "Ashley Kolbeck")</f>
        <v>Ashley Kolbeck</v>
      </c>
      <c r="E7686" t="s">
        <v>5618</v>
      </c>
      <c r="F7686" t="s">
        <v>4974</v>
      </c>
      <c r="G7686">
        <v>159</v>
      </c>
      <c r="H7686">
        <v>172.84</v>
      </c>
      <c r="I7686">
        <v>172.83</v>
      </c>
      <c r="J7686">
        <v>0.01</v>
      </c>
    </row>
    <row r="7687" spans="1:10" x14ac:dyDescent="0.3">
      <c r="A7687" t="str">
        <f>HYPERLINK("https://us2.cloudbeds.com/connect/10074733072513#/reservations/31678194565320?display=MH9R9ZRR5&amp;reservation_id=31678194565320", "MH9R9ZRR5")</f>
        <v>MH9R9ZRR5</v>
      </c>
      <c r="B7687" t="s">
        <v>10</v>
      </c>
      <c r="C7687" t="s">
        <v>42</v>
      </c>
      <c r="D7687" t="str">
        <f>HYPERLINK("https://us2.cloudbeds.com/connect/10074733072513#/reservations/31678194565320?display=John%20Wenke&amp;reservation_id=31678194565320&amp;guest_id=31678186987702", "John Wenke")</f>
        <v>John Wenke</v>
      </c>
      <c r="E7687" t="s">
        <v>5619</v>
      </c>
      <c r="F7687" t="s">
        <v>3061</v>
      </c>
      <c r="G7687">
        <v>258</v>
      </c>
      <c r="H7687">
        <v>280.45999999999998</v>
      </c>
      <c r="I7687">
        <v>280.45</v>
      </c>
      <c r="J7687">
        <v>0.01</v>
      </c>
    </row>
    <row r="7688" spans="1:10" x14ac:dyDescent="0.3">
      <c r="A7688" t="str">
        <f>HYPERLINK("https://us2.cloudbeds.com/connect/10074733072513#/reservations/31675368517829?display=MH7Y2ZTTD&amp;reservation_id=31675368517829", "MH7Y2ZTTD")</f>
        <v>MH7Y2ZTTD</v>
      </c>
      <c r="B7688" t="s">
        <v>10</v>
      </c>
      <c r="C7688" t="s">
        <v>42</v>
      </c>
      <c r="D7688" t="str">
        <f>HYPERLINK("https://us2.cloudbeds.com/connect/10074733072513#/reservations/31675368517829?display=Dawson%20Woolett&amp;reservation_id=31675368517829&amp;guest_id=31675361558709", "Dawson Woolett")</f>
        <v>Dawson Woolett</v>
      </c>
      <c r="E7688" t="s">
        <v>4775</v>
      </c>
      <c r="F7688" t="s">
        <v>5149</v>
      </c>
      <c r="G7688">
        <v>238</v>
      </c>
      <c r="H7688">
        <v>258.72000000000003</v>
      </c>
      <c r="I7688">
        <v>258.70999999999998</v>
      </c>
      <c r="J7688">
        <v>0.01</v>
      </c>
    </row>
    <row r="7689" spans="1:10" x14ac:dyDescent="0.3">
      <c r="A7689" t="str">
        <f>HYPERLINK("https://us2.cloudbeds.com/connect/10074733072513#/reservations/31681536680132?display=MHCDMU3PJ&amp;reservation_id=31681536680132", "MHCDMU3PJ")</f>
        <v>MHCDMU3PJ</v>
      </c>
      <c r="B7689" t="s">
        <v>10</v>
      </c>
      <c r="C7689" t="s">
        <v>14</v>
      </c>
      <c r="D7689" t="str">
        <f>HYPERLINK("https://us2.cloudbeds.com/connect/10074733072513#/reservations/31681536680132?display=Kari%20Wynia&amp;reservation_id=31681536680132&amp;guest_id=31681536676044", "Kari Wynia")</f>
        <v>Kari Wynia</v>
      </c>
      <c r="E7689" t="s">
        <v>5620</v>
      </c>
      <c r="F7689" t="s">
        <v>5537</v>
      </c>
      <c r="G7689">
        <v>338</v>
      </c>
      <c r="H7689">
        <v>367.42</v>
      </c>
      <c r="I7689">
        <v>367.41</v>
      </c>
      <c r="J7689">
        <v>0.01</v>
      </c>
    </row>
    <row r="7690" spans="1:10" x14ac:dyDescent="0.3">
      <c r="A7690" t="str">
        <f>HYPERLINK("https://us2.cloudbeds.com/connect/10074733072513#/reservations/31676671549636?display=MH8YCGMYZ&amp;reservation_id=31676671549636", "MH8YCGMYZ")</f>
        <v>MH8YCGMYZ</v>
      </c>
      <c r="B7690" t="s">
        <v>10</v>
      </c>
      <c r="C7690" t="s">
        <v>42</v>
      </c>
      <c r="D7690" t="str">
        <f>HYPERLINK("https://us2.cloudbeds.com/connect/10074733072513#/reservations/31676671549636?display=Jeffery%20Rykhus&amp;reservation_id=31676671549636&amp;guest_id=31676671549632", "Jeffery Rykhus")</f>
        <v>Jeffery Rykhus</v>
      </c>
      <c r="E7690" t="s">
        <v>5621</v>
      </c>
      <c r="F7690" t="s">
        <v>4577</v>
      </c>
      <c r="G7690">
        <v>318</v>
      </c>
      <c r="H7690">
        <v>345.68</v>
      </c>
      <c r="I7690">
        <v>345.67</v>
      </c>
      <c r="J7690">
        <v>0.01</v>
      </c>
    </row>
    <row r="7691" spans="1:10" x14ac:dyDescent="0.3">
      <c r="A7691" t="str">
        <f>HYPERLINK("https://us2.cloudbeds.com/connect/10074733072513#/reservations/31676671545541?display=MH8YCGXTY&amp;reservation_id=31676671545541", "MH8YCGXTY")</f>
        <v>MH8YCGXTY</v>
      </c>
      <c r="B7691" t="s">
        <v>10</v>
      </c>
      <c r="C7691" t="s">
        <v>11</v>
      </c>
      <c r="D7691" t="str">
        <f>HYPERLINK("https://us2.cloudbeds.com/connect/10074733072513#/reservations/31676671545541?display=Jeanette%20Valdez&amp;reservation_id=31676671545541&amp;guest_id=31676662100122", "Jeanette Valdez")</f>
        <v>Jeanette Valdez</v>
      </c>
      <c r="E7691" t="s">
        <v>1319</v>
      </c>
      <c r="F7691" t="s">
        <v>4577</v>
      </c>
      <c r="G7691">
        <v>106.8</v>
      </c>
      <c r="H7691">
        <v>116.1</v>
      </c>
      <c r="I7691">
        <v>116.09</v>
      </c>
      <c r="J7691">
        <v>0.01</v>
      </c>
    </row>
    <row r="7692" spans="1:10" x14ac:dyDescent="0.3">
      <c r="A7692" t="str">
        <f>HYPERLINK("https://us2.cloudbeds.com/connect/10074733072513#/reservations/31675002200198?display=MH7BNSJ24&amp;reservation_id=31675002200198", "MH7BNSJ24")</f>
        <v>MH7BNSJ24</v>
      </c>
      <c r="B7692" t="s">
        <v>10</v>
      </c>
      <c r="C7692" t="s">
        <v>42</v>
      </c>
      <c r="D7692" t="str">
        <f>HYPERLINK("https://us2.cloudbeds.com/connect/10074733072513#/reservations/31675002200198?display=Paul%20Stevenson&amp;reservation_id=31675002200198&amp;guest_id=31675002200193", "Paul Stevenson")</f>
        <v>Paul Stevenson</v>
      </c>
      <c r="E7692" t="s">
        <v>5623</v>
      </c>
      <c r="F7692" t="s">
        <v>5551</v>
      </c>
      <c r="G7692">
        <v>222</v>
      </c>
      <c r="H7692">
        <v>241.32</v>
      </c>
      <c r="I7692">
        <v>241.31</v>
      </c>
      <c r="J7692">
        <v>0.01</v>
      </c>
    </row>
    <row r="7693" spans="1:10" x14ac:dyDescent="0.3">
      <c r="A7693" t="str">
        <f>HYPERLINK("https://us2.cloudbeds.com/connect/10074733072513#/reservations/31674680488151?display=MH73GJFC7&amp;reservation_id=31674680488151", "MH73GJFC7")</f>
        <v>MH73GJFC7</v>
      </c>
      <c r="B7693" t="s">
        <v>10</v>
      </c>
      <c r="C7693" t="s">
        <v>121</v>
      </c>
      <c r="D7693" t="str">
        <f>HYPERLINK("https://us2.cloudbeds.com/connect/10074733072513#/reservations/31674680488151?display=Scott%20Dacas&amp;reservation_id=31674680488151&amp;guest_id=31674680488136", "Scott Dacas")</f>
        <v>Scott Dacas</v>
      </c>
      <c r="E7693" t="s">
        <v>5624</v>
      </c>
      <c r="F7693" t="s">
        <v>5250</v>
      </c>
      <c r="G7693">
        <v>119</v>
      </c>
      <c r="H7693">
        <v>129.36000000000001</v>
      </c>
      <c r="I7693">
        <v>129.35</v>
      </c>
      <c r="J7693">
        <v>0.01</v>
      </c>
    </row>
    <row r="7694" spans="1:10" x14ac:dyDescent="0.3">
      <c r="A7694" t="str">
        <f>HYPERLINK("https://us2.cloudbeds.com/connect/10074733072513#/reservations/31675701895382?display=MH7TJSKNG&amp;reservation_id=31675701895382", "MH7TJSKNG")</f>
        <v>MH7TJSKNG</v>
      </c>
      <c r="B7694" t="s">
        <v>10</v>
      </c>
      <c r="C7694" t="s">
        <v>23</v>
      </c>
      <c r="D7694" t="str">
        <f>HYPERLINK("https://us2.cloudbeds.com/connect/10074733072513#/reservations/31675701895382?display=Mikki%20Ingrid%20Running&amp;reservation_id=31675701895382&amp;guest_id=31675694145707", "Mikki Ingrid Running")</f>
        <v>Mikki Ingrid Running</v>
      </c>
      <c r="E7694" t="s">
        <v>5626</v>
      </c>
      <c r="F7694" t="s">
        <v>5627</v>
      </c>
      <c r="G7694">
        <v>238</v>
      </c>
      <c r="H7694">
        <v>258.72000000000003</v>
      </c>
      <c r="I7694">
        <v>258.70999999999998</v>
      </c>
      <c r="J7694">
        <v>0.01</v>
      </c>
    </row>
    <row r="7695" spans="1:10" x14ac:dyDescent="0.3">
      <c r="A7695" t="str">
        <f>HYPERLINK("https://us2.cloudbeds.com/connect/10074733072513#/reservations/31678037745860?display=MH9N9H3YA&amp;reservation_id=31678037745860", "MH9N9H3YA")</f>
        <v>MH9N9H3YA</v>
      </c>
      <c r="B7695" t="s">
        <v>10</v>
      </c>
      <c r="C7695" t="s">
        <v>20</v>
      </c>
      <c r="D7695" t="str">
        <f>HYPERLINK("https://us2.cloudbeds.com/connect/10074733072513#/reservations/31678037745860?display=Tegan%20Ramstad&amp;reservation_id=31678037745860&amp;guest_id=31678030766248", "Tegan Ramstad")</f>
        <v>Tegan Ramstad</v>
      </c>
      <c r="E7695" t="s">
        <v>5628</v>
      </c>
      <c r="F7695" t="s">
        <v>5286</v>
      </c>
      <c r="G7695">
        <v>398</v>
      </c>
      <c r="H7695">
        <v>432.64</v>
      </c>
      <c r="I7695">
        <v>432.63</v>
      </c>
      <c r="J7695">
        <v>0.01</v>
      </c>
    </row>
    <row r="7696" spans="1:10" x14ac:dyDescent="0.3">
      <c r="A7696" t="str">
        <f>HYPERLINK("https://us2.cloudbeds.com/connect/10074733072513#/reservations/31675082174671?display=MH7DP9WH0&amp;reservation_id=31675082174671", "MH7DP9WH0")</f>
        <v>MH7DP9WH0</v>
      </c>
      <c r="B7696" t="s">
        <v>10</v>
      </c>
      <c r="C7696" t="s">
        <v>42</v>
      </c>
      <c r="D7696" t="str">
        <f>HYPERLINK("https://us2.cloudbeds.com/connect/10074733072513#/reservations/31675082174671?display=D%20U.&amp;reservation_id=31675082174671&amp;guest_id=31675075629304", "D U.")</f>
        <v>D U.</v>
      </c>
      <c r="E7696" t="s">
        <v>5630</v>
      </c>
      <c r="F7696" t="s">
        <v>5551</v>
      </c>
      <c r="G7696">
        <v>79</v>
      </c>
      <c r="H7696">
        <v>85.88</v>
      </c>
      <c r="I7696">
        <v>85.87</v>
      </c>
      <c r="J7696">
        <v>0.01</v>
      </c>
    </row>
    <row r="7697" spans="1:10" x14ac:dyDescent="0.3">
      <c r="A7697" t="str">
        <f>HYPERLINK("https://us2.cloudbeds.com/connect/10074733072513#/reservations/31679430078596?display=MHAPSXR3D&amp;reservation_id=31679430078596", "MHAPSXR3D")</f>
        <v>MHAPSXR3D</v>
      </c>
      <c r="B7697" t="s">
        <v>10</v>
      </c>
      <c r="C7697" t="s">
        <v>23</v>
      </c>
      <c r="D7697" t="str">
        <f>HYPERLINK("https://us2.cloudbeds.com/connect/10074733072513#/reservations/31679430078596?display=Courtney%20Davies&amp;reservation_id=31679430078596&amp;guest_id=31679424839831", "Courtney Davies")</f>
        <v>Courtney Davies</v>
      </c>
      <c r="E7697" t="s">
        <v>5631</v>
      </c>
      <c r="F7697" t="s">
        <v>5366</v>
      </c>
      <c r="G7697">
        <v>707</v>
      </c>
      <c r="H7697">
        <v>768.52</v>
      </c>
      <c r="I7697">
        <v>768.51</v>
      </c>
      <c r="J7697">
        <v>0.01</v>
      </c>
    </row>
    <row r="7698" spans="1:10" x14ac:dyDescent="0.3">
      <c r="A7698" t="str">
        <f>HYPERLINK("https://us2.cloudbeds.com/connect/10074733072513#/reservations/31676014993607?display=MH84JT1XG&amp;reservation_id=31676014993607", "MH84JT1XG")</f>
        <v>MH84JT1XG</v>
      </c>
      <c r="B7698" t="s">
        <v>10</v>
      </c>
      <c r="C7698" t="s">
        <v>23</v>
      </c>
      <c r="D7698" t="str">
        <f>HYPERLINK("https://us2.cloudbeds.com/connect/10074733072513#/reservations/31676014993607?display=Shari%20Hofer&amp;reservation_id=31676014993607&amp;guest_id=31676014993604", "Shari Hofer")</f>
        <v>Shari Hofer</v>
      </c>
      <c r="E7698" t="s">
        <v>5632</v>
      </c>
      <c r="F7698" t="s">
        <v>5514</v>
      </c>
      <c r="G7698">
        <v>169</v>
      </c>
      <c r="H7698">
        <v>183.71</v>
      </c>
      <c r="I7698">
        <v>183.7</v>
      </c>
      <c r="J7698">
        <v>0.01</v>
      </c>
    </row>
    <row r="7699" spans="1:10" x14ac:dyDescent="0.3">
      <c r="A7699" t="str">
        <f>HYPERLINK("https://us2.cloudbeds.com/connect/10074733072513#/reservations/31675135279314?display=MH7F42N3K&amp;reservation_id=31675135279314", "MH7F42N3K")</f>
        <v>MH7F42N3K</v>
      </c>
      <c r="B7699" t="s">
        <v>10</v>
      </c>
      <c r="C7699" t="s">
        <v>11</v>
      </c>
      <c r="D7699" t="str">
        <f>HYPERLINK("https://us2.cloudbeds.com/connect/10074733072513#/reservations/31675135279314?display=Jacquelyn%20Alberts&amp;reservation_id=31675135279314&amp;guest_id=31675135279309", "Jacquelyn Alberts")</f>
        <v>Jacquelyn Alberts</v>
      </c>
      <c r="E7699" t="s">
        <v>4740</v>
      </c>
      <c r="F7699" t="s">
        <v>5551</v>
      </c>
      <c r="G7699">
        <v>106.8</v>
      </c>
      <c r="H7699">
        <v>116.1</v>
      </c>
      <c r="I7699">
        <v>116.09</v>
      </c>
      <c r="J7699">
        <v>0.01</v>
      </c>
    </row>
    <row r="7700" spans="1:10" x14ac:dyDescent="0.3">
      <c r="A7700" t="str">
        <f>HYPERLINK("https://us2.cloudbeds.com/connect/10074733072513#/reservations/31675782402284?display=MH7VYZS2J&amp;reservation_id=31675782402284", "MH7VYZS2J")</f>
        <v>MH7VYZS2J</v>
      </c>
      <c r="B7700" t="s">
        <v>10</v>
      </c>
      <c r="C7700" t="s">
        <v>11</v>
      </c>
      <c r="D7700" t="str">
        <f>HYPERLINK("https://us2.cloudbeds.com/connect/10074733072513#/reservations/31675782402284?display=Jason%20Trowbridge&amp;reservation_id=31675782402284&amp;guest_id=31675772031131", "Jason Trowbridge")</f>
        <v>Jason Trowbridge</v>
      </c>
      <c r="E7700" t="s">
        <v>5633</v>
      </c>
      <c r="F7700" t="s">
        <v>4346</v>
      </c>
      <c r="G7700">
        <v>169</v>
      </c>
      <c r="H7700">
        <v>183.71</v>
      </c>
      <c r="I7700">
        <v>183.7</v>
      </c>
      <c r="J7700">
        <v>0.01</v>
      </c>
    </row>
    <row r="7701" spans="1:10" x14ac:dyDescent="0.3">
      <c r="A7701" t="str">
        <f>HYPERLINK("https://us2.cloudbeds.com/connect/10074733072513#/reservations/31675155693731?display=MH7FY9P4A&amp;reservation_id=31675155693731", "MH7FY9P4A")</f>
        <v>MH7FY9P4A</v>
      </c>
      <c r="B7701" t="s">
        <v>10</v>
      </c>
      <c r="C7701" t="s">
        <v>121</v>
      </c>
      <c r="D7701" t="str">
        <f>HYPERLINK("https://us2.cloudbeds.com/connect/10074733072513#/reservations/31675155693731?display=Justin%20Henion&amp;reservation_id=31675155693731&amp;guest_id=31675155693726", "Justin Henion")</f>
        <v>Justin Henion</v>
      </c>
      <c r="E7701" t="s">
        <v>5637</v>
      </c>
      <c r="F7701" t="s">
        <v>5149</v>
      </c>
      <c r="G7701">
        <v>149</v>
      </c>
      <c r="H7701">
        <v>161.97</v>
      </c>
      <c r="I7701">
        <v>161.96</v>
      </c>
      <c r="J7701">
        <v>0.01</v>
      </c>
    </row>
    <row r="7702" spans="1:10" x14ac:dyDescent="0.3">
      <c r="A7702" t="str">
        <f>HYPERLINK("https://us2.cloudbeds.com/connect/10074733072513#/reservations/31675384656017?display=MH7YGBW5D&amp;reservation_id=31675384656017", "MH7YGBW5D")</f>
        <v>MH7YGBW5D</v>
      </c>
      <c r="B7702" t="s">
        <v>10</v>
      </c>
      <c r="C7702" t="s">
        <v>42</v>
      </c>
      <c r="D7702" t="str">
        <f>HYPERLINK("https://us2.cloudbeds.com/connect/10074733072513#/reservations/31675384656017?display=Carl%20Mathis&amp;reservation_id=31675384656017&amp;guest_id=31675384651932", "Carl Mathis")</f>
        <v>Carl Mathis</v>
      </c>
      <c r="E7702" t="s">
        <v>5638</v>
      </c>
      <c r="F7702" t="s">
        <v>5149</v>
      </c>
      <c r="G7702">
        <v>87.84</v>
      </c>
      <c r="H7702">
        <v>95.49</v>
      </c>
      <c r="I7702">
        <v>95.48</v>
      </c>
      <c r="J7702">
        <v>0.01</v>
      </c>
    </row>
    <row r="7703" spans="1:10" x14ac:dyDescent="0.3">
      <c r="A7703" t="str">
        <f>HYPERLINK("https://us2.cloudbeds.com/connect/10074733072513#/reservations/31676741026013?display=MH8N52VWG&amp;reservation_id=31676741026013", "MH8N52VWG")</f>
        <v>MH8N52VWG</v>
      </c>
      <c r="B7703" t="s">
        <v>10</v>
      </c>
      <c r="C7703" t="s">
        <v>23</v>
      </c>
      <c r="D7703" t="str">
        <f>HYPERLINK("https://us2.cloudbeds.com/connect/10074733072513#/reservations/31676741026013?display=Laurie%20Zink&amp;reservation_id=31676741026013&amp;guest_id=31676741026000", "Laurie Zink")</f>
        <v>Laurie Zink</v>
      </c>
      <c r="E7703" t="s">
        <v>5639</v>
      </c>
      <c r="F7703" t="s">
        <v>4577</v>
      </c>
      <c r="G7703">
        <v>169</v>
      </c>
      <c r="H7703">
        <v>183.71</v>
      </c>
      <c r="I7703">
        <v>183.7</v>
      </c>
      <c r="J7703">
        <v>0.01</v>
      </c>
    </row>
    <row r="7704" spans="1:10" x14ac:dyDescent="0.3">
      <c r="A7704" t="str">
        <f>HYPERLINK("https://us2.cloudbeds.com/connect/10074733072513#/reservations/31676924661988?display=MH8RX188M&amp;reservation_id=31676924661988", "MH8RX188M")</f>
        <v>MH8RX188M</v>
      </c>
      <c r="B7704" t="s">
        <v>10</v>
      </c>
      <c r="C7704" t="s">
        <v>20</v>
      </c>
      <c r="D7704" t="str">
        <f>HYPERLINK("https://us2.cloudbeds.com/connect/10074733072513#/reservations/31676924661988?display=Zach%20Davis&amp;reservation_id=31676924661988&amp;guest_id=31676912922785", "Zach Davis")</f>
        <v>Zach Davis</v>
      </c>
      <c r="E7704" t="s">
        <v>5640</v>
      </c>
      <c r="F7704" t="s">
        <v>3650</v>
      </c>
      <c r="G7704">
        <v>358</v>
      </c>
      <c r="H7704">
        <v>389.16</v>
      </c>
      <c r="I7704">
        <v>389.15</v>
      </c>
      <c r="J7704">
        <v>0.01</v>
      </c>
    </row>
    <row r="7705" spans="1:10" x14ac:dyDescent="0.3">
      <c r="A7705" t="str">
        <f>HYPERLINK("https://us2.cloudbeds.com/connect/10074733072513#/reservations/31676018565333?display=MH84MTECK&amp;reservation_id=31676018565333", "MH84MTECK")</f>
        <v>MH84MTECK</v>
      </c>
      <c r="B7705" t="s">
        <v>10</v>
      </c>
      <c r="C7705" t="s">
        <v>11</v>
      </c>
      <c r="D7705" t="str">
        <f>HYPERLINK("https://us2.cloudbeds.com/connect/10074733072513#/reservations/31676018565333?display=Yvonne%20Faus&amp;reservation_id=31676018565333&amp;guest_id=31676006498518", "Yvonne Faus")</f>
        <v>Yvonne Faus</v>
      </c>
      <c r="E7705" t="s">
        <v>5641</v>
      </c>
      <c r="F7705" t="s">
        <v>5234</v>
      </c>
      <c r="G7705">
        <v>211.88</v>
      </c>
      <c r="H7705">
        <v>230.32</v>
      </c>
      <c r="I7705">
        <v>230.31</v>
      </c>
      <c r="J7705">
        <v>0.01</v>
      </c>
    </row>
    <row r="7706" spans="1:10" x14ac:dyDescent="0.3">
      <c r="A7706" t="str">
        <f>HYPERLINK("https://us2.cloudbeds.com/connect/10074733072513#/reservations/31678550089914?display=MHA3CHRMN&amp;reservation_id=31678550089914", "MHA3CHRMN")</f>
        <v>MHA3CHRMN</v>
      </c>
      <c r="B7706" t="s">
        <v>10</v>
      </c>
      <c r="C7706" t="s">
        <v>42</v>
      </c>
      <c r="D7706" t="str">
        <f>HYPERLINK("https://us2.cloudbeds.com/connect/10074733072513#/reservations/31678550089914?display=Glenn%20Dagenais&amp;reservation_id=31678550089914&amp;guest_id=31678550089866", "Glenn Dagenais")</f>
        <v>Glenn Dagenais</v>
      </c>
      <c r="E7706" t="s">
        <v>5643</v>
      </c>
      <c r="F7706" t="s">
        <v>5469</v>
      </c>
      <c r="G7706">
        <v>298</v>
      </c>
      <c r="H7706">
        <v>323.94</v>
      </c>
      <c r="I7706">
        <v>323.93</v>
      </c>
      <c r="J7706">
        <v>0.01</v>
      </c>
    </row>
    <row r="7707" spans="1:10" x14ac:dyDescent="0.3">
      <c r="A7707" t="str">
        <f>HYPERLINK("https://us2.cloudbeds.com/connect/10074733072513#/reservations/31675392221432?display=MH7YMZG9D&amp;reservation_id=31675392221432", "MH7YMZG9D")</f>
        <v>MH7YMZG9D</v>
      </c>
      <c r="B7707" t="s">
        <v>10</v>
      </c>
      <c r="C7707" t="s">
        <v>42</v>
      </c>
      <c r="D7707" t="str">
        <f>HYPERLINK("https://us2.cloudbeds.com/connect/10074733072513#/reservations/31675392221432?display=Andy%20Barth&amp;reservation_id=31675392221432&amp;guest_id=31675392221429", "Andy Barth")</f>
        <v>Andy Barth</v>
      </c>
      <c r="E7707" t="s">
        <v>5644</v>
      </c>
      <c r="F7707" t="s">
        <v>5149</v>
      </c>
      <c r="G7707">
        <v>89</v>
      </c>
      <c r="H7707">
        <v>96.75</v>
      </c>
      <c r="I7707">
        <v>96.74</v>
      </c>
      <c r="J7707">
        <v>0.01</v>
      </c>
    </row>
    <row r="7708" spans="1:10" x14ac:dyDescent="0.3">
      <c r="A7708" t="str">
        <f>HYPERLINK("https://us2.cloudbeds.com/connect/10074733072513#/reservations/31675072098493?display=MH7DGQJR9&amp;reservation_id=31675072098493", "MH7DGQJR9")</f>
        <v>MH7DGQJR9</v>
      </c>
      <c r="B7708" t="s">
        <v>10</v>
      </c>
      <c r="C7708" t="s">
        <v>20</v>
      </c>
      <c r="D7708" t="str">
        <f>HYPERLINK("https://us2.cloudbeds.com/connect/10074733072513#/reservations/31675072098493?display=Mary%20Fischer&amp;reservation_id=31675072098493&amp;guest_id=31675062702305", "Mary Fischer")</f>
        <v>Mary Fischer</v>
      </c>
      <c r="E7708" t="s">
        <v>5645</v>
      </c>
      <c r="F7708" t="s">
        <v>5646</v>
      </c>
      <c r="G7708">
        <v>226.1</v>
      </c>
      <c r="H7708">
        <v>245.78</v>
      </c>
      <c r="I7708">
        <v>245.77</v>
      </c>
      <c r="J7708">
        <v>0.01</v>
      </c>
    </row>
    <row r="7709" spans="1:10" x14ac:dyDescent="0.3">
      <c r="A7709" t="str">
        <f>HYPERLINK("https://us2.cloudbeds.com/connect/10074733072513#/reservations/31678230192294?display=MH9S6Q74E&amp;reservation_id=31678230192294", "MH9S6Q74E")</f>
        <v>MH9S6Q74E</v>
      </c>
      <c r="B7709" t="s">
        <v>10</v>
      </c>
      <c r="C7709" t="s">
        <v>42</v>
      </c>
      <c r="D7709" t="str">
        <f>HYPERLINK("https://us2.cloudbeds.com/connect/10074733072513#/reservations/31678230192294?display=Matt%20Raneapaa&amp;reservation_id=31678230192294&amp;guest_id=31678230192261", "Matt Raneapaa")</f>
        <v>Matt Raneapaa</v>
      </c>
      <c r="E7709" t="s">
        <v>5648</v>
      </c>
      <c r="F7709" t="s">
        <v>4577</v>
      </c>
      <c r="G7709">
        <v>159</v>
      </c>
      <c r="H7709">
        <v>172.84</v>
      </c>
      <c r="I7709">
        <v>172.83</v>
      </c>
      <c r="J7709">
        <v>0.01</v>
      </c>
    </row>
    <row r="7710" spans="1:10" x14ac:dyDescent="0.3">
      <c r="A7710" t="str">
        <f>HYPERLINK("https://us2.cloudbeds.com/connect/10074733072513#/reservations/31675165323510?display=MH7FTDNTQ&amp;reservation_id=31675165323510", "MH7FTDNTQ")</f>
        <v>MH7FTDNTQ</v>
      </c>
      <c r="B7710" t="s">
        <v>10</v>
      </c>
      <c r="C7710" t="s">
        <v>121</v>
      </c>
      <c r="D7710" t="str">
        <f>HYPERLINK("https://us2.cloudbeds.com/connect/10074733072513#/reservations/31675165323510?display=Robert%20Reiser&amp;reservation_id=31675165323510&amp;guest_id=31675165323496", "Robert Reiser")</f>
        <v>Robert Reiser</v>
      </c>
      <c r="E7710" t="s">
        <v>5649</v>
      </c>
      <c r="F7710" t="s">
        <v>5149</v>
      </c>
      <c r="G7710">
        <v>139</v>
      </c>
      <c r="H7710">
        <v>151.1</v>
      </c>
      <c r="I7710">
        <v>151.09</v>
      </c>
      <c r="J7710">
        <v>0.01</v>
      </c>
    </row>
    <row r="7711" spans="1:10" x14ac:dyDescent="0.3">
      <c r="A7711" t="str">
        <f>HYPERLINK("https://us2.cloudbeds.com/connect/10074733072513#/reservations/31676734210182?display=MH8MWBA65&amp;reservation_id=31676734210182", "MH8MWBA65")</f>
        <v>MH8MWBA65</v>
      </c>
      <c r="B7711" t="s">
        <v>10</v>
      </c>
      <c r="C7711" t="s">
        <v>23</v>
      </c>
      <c r="D7711" t="str">
        <f>HYPERLINK("https://us2.cloudbeds.com/connect/10074733072513#/reservations/31676734210182?display=Lisa%20Rickman&amp;reservation_id=31676734210182&amp;guest_id=31676734206139", "Lisa Rickman")</f>
        <v>Lisa Rickman</v>
      </c>
      <c r="E7711" t="s">
        <v>5650</v>
      </c>
      <c r="F7711" t="s">
        <v>4577</v>
      </c>
      <c r="G7711">
        <v>159</v>
      </c>
      <c r="H7711">
        <v>172.84</v>
      </c>
      <c r="I7711">
        <v>172.83</v>
      </c>
      <c r="J7711">
        <v>0.01</v>
      </c>
    </row>
    <row r="7712" spans="1:10" x14ac:dyDescent="0.3">
      <c r="A7712" t="str">
        <f>HYPERLINK("https://us2.cloudbeds.com/connect/10074733072513#/reservations/31681644044444?display=MHCGEEMJJ&amp;reservation_id=31681644044444", "MHCGEEMJJ")</f>
        <v>MHCGEEMJJ</v>
      </c>
      <c r="B7712" t="s">
        <v>10</v>
      </c>
      <c r="C7712" t="s">
        <v>42</v>
      </c>
      <c r="D7712" t="str">
        <f>HYPERLINK("https://us2.cloudbeds.com/connect/10074733072513#/reservations/31681644044444?display=Stephany%20Murphy&amp;reservation_id=31681644044444&amp;guest_id=31681644040352", "Stephany Murphy")</f>
        <v>Stephany Murphy</v>
      </c>
      <c r="E7712" t="s">
        <v>5652</v>
      </c>
      <c r="F7712" t="s">
        <v>2815</v>
      </c>
      <c r="G7712">
        <v>139</v>
      </c>
      <c r="H7712">
        <v>151.1</v>
      </c>
      <c r="I7712">
        <v>151.09</v>
      </c>
      <c r="J7712">
        <v>0.01</v>
      </c>
    </row>
    <row r="7713" spans="1:10" x14ac:dyDescent="0.3">
      <c r="A7713" t="str">
        <f>HYPERLINK("https://us2.cloudbeds.com/connect/10074733072513#/reservations/31678309662852?display=MH9U7QJS5&amp;reservation_id=31678309662852", "MH9U7QJS5")</f>
        <v>MH9U7QJS5</v>
      </c>
      <c r="B7713" t="s">
        <v>10</v>
      </c>
      <c r="C7713" t="s">
        <v>42</v>
      </c>
      <c r="D7713" t="str">
        <f>HYPERLINK("https://us2.cloudbeds.com/connect/10074733072513#/reservations/31678309662852?display=Billy%20Patterson&amp;reservation_id=31678309662852&amp;guest_id=31674542166162", "Billy Patterson")</f>
        <v>Billy Patterson</v>
      </c>
      <c r="E7713" t="s">
        <v>5521</v>
      </c>
      <c r="F7713" t="s">
        <v>5340</v>
      </c>
      <c r="G7713">
        <v>237</v>
      </c>
      <c r="H7713">
        <v>257.63</v>
      </c>
      <c r="I7713">
        <v>257.62</v>
      </c>
      <c r="J7713">
        <v>0.01</v>
      </c>
    </row>
    <row r="7714" spans="1:10" x14ac:dyDescent="0.3">
      <c r="A7714" t="str">
        <f>HYPERLINK("https://us2.cloudbeds.com/connect/10074733072513#/reservations/31676713095296?display=MH8M8YYKZ&amp;reservation_id=31676713095296", "MH8M8YYKZ")</f>
        <v>MH8M8YYKZ</v>
      </c>
      <c r="B7714" t="s">
        <v>10</v>
      </c>
      <c r="C7714" t="s">
        <v>23</v>
      </c>
      <c r="D7714" t="str">
        <f>HYPERLINK("https://us2.cloudbeds.com/connect/10074733072513#/reservations/31676713095296?display=Cody%20Miller&amp;reservation_id=31676713095296&amp;guest_id=31676706119906", "Cody Miller")</f>
        <v>Cody Miller</v>
      </c>
      <c r="E7714" t="s">
        <v>5654</v>
      </c>
      <c r="F7714" t="s">
        <v>4346</v>
      </c>
      <c r="G7714">
        <v>338</v>
      </c>
      <c r="H7714">
        <v>367.42</v>
      </c>
      <c r="I7714">
        <v>367.41</v>
      </c>
      <c r="J7714">
        <v>0.01</v>
      </c>
    </row>
    <row r="7715" spans="1:10" x14ac:dyDescent="0.3">
      <c r="A7715" t="str">
        <f>HYPERLINK("https://us2.cloudbeds.com/connect/10074733072513#/reservations/31676900606135?display=MH8R7YH6P&amp;reservation_id=31676900606135", "MH8R7YH6P")</f>
        <v>MH8R7YH6P</v>
      </c>
      <c r="B7715" t="s">
        <v>10</v>
      </c>
      <c r="C7715" t="s">
        <v>42</v>
      </c>
      <c r="D7715" t="str">
        <f>HYPERLINK("https://us2.cloudbeds.com/connect/10074733072513#/reservations/31676900606135?display=Tami%20Scheidegger&amp;reservation_id=31676900606135&amp;guest_id=31676890382494", "Tami Scheidegger")</f>
        <v>Tami Scheidegger</v>
      </c>
      <c r="E7715" t="s">
        <v>5655</v>
      </c>
      <c r="F7715" t="s">
        <v>5029</v>
      </c>
      <c r="G7715">
        <v>169</v>
      </c>
      <c r="H7715">
        <v>183.71</v>
      </c>
      <c r="I7715">
        <v>183.7</v>
      </c>
      <c r="J7715">
        <v>0.01</v>
      </c>
    </row>
    <row r="7716" spans="1:10" x14ac:dyDescent="0.3">
      <c r="A7716" t="str">
        <f>HYPERLINK("https://us2.cloudbeds.com/connect/10074733072513#/reservations/31678280872185?display=MH9TGHF4N&amp;reservation_id=31678280872185", "MH9TGHF4N")</f>
        <v>MH9TGHF4N</v>
      </c>
      <c r="B7716" t="s">
        <v>10</v>
      </c>
      <c r="C7716" t="s">
        <v>14</v>
      </c>
      <c r="D7716" t="str">
        <f>HYPERLINK("https://us2.cloudbeds.com/connect/10074733072513#/reservations/31678280872185?display=Austin%20Jensen&amp;reservation_id=31678280872185&amp;guest_id=31678280872132", "Austin Jensen")</f>
        <v>Austin Jensen</v>
      </c>
      <c r="E7716" t="s">
        <v>5656</v>
      </c>
      <c r="F7716" t="s">
        <v>4448</v>
      </c>
      <c r="G7716">
        <v>77.5</v>
      </c>
      <c r="H7716">
        <v>84.25</v>
      </c>
      <c r="I7716">
        <v>84.24</v>
      </c>
      <c r="J7716">
        <v>0.01</v>
      </c>
    </row>
    <row r="7717" spans="1:10" x14ac:dyDescent="0.3">
      <c r="A7717" t="str">
        <f>HYPERLINK("https://us2.cloudbeds.com/connect/10074733072513#/reservations/31682825449622?display=MHDDKY0RG&amp;reservation_id=31682825449622", "MHDDKY0RG")</f>
        <v>MHDDKY0RG</v>
      </c>
      <c r="B7717" t="s">
        <v>10</v>
      </c>
      <c r="C7717" t="s">
        <v>11</v>
      </c>
      <c r="D7717" t="str">
        <f>HYPERLINK("https://us2.cloudbeds.com/connect/10074733072513#/reservations/31682825449622?display=Gina%20Beyer&amp;reservation_id=31682825449622&amp;guest_id=31682825445541", "Gina Beyer")</f>
        <v>Gina Beyer</v>
      </c>
      <c r="E7717" t="s">
        <v>5660</v>
      </c>
      <c r="F7717" t="s">
        <v>5661</v>
      </c>
      <c r="G7717">
        <v>338</v>
      </c>
      <c r="H7717">
        <v>367.42</v>
      </c>
      <c r="I7717">
        <v>367.41</v>
      </c>
      <c r="J7717">
        <v>0.01</v>
      </c>
    </row>
    <row r="7718" spans="1:10" x14ac:dyDescent="0.3">
      <c r="A7718" t="str">
        <f>HYPERLINK("https://us2.cloudbeds.com/connect/10074733072513#/reservations/31678945808529?display=MHADG79YT&amp;reservation_id=31678945808529", "MHADG79YT")</f>
        <v>MHADG79YT</v>
      </c>
      <c r="B7718" t="s">
        <v>10</v>
      </c>
      <c r="C7718" t="s">
        <v>20</v>
      </c>
      <c r="D7718" t="str">
        <f>HYPERLINK("https://us2.cloudbeds.com/connect/10074733072513#/reservations/31678945808529?display=Sherri%20Burress&amp;reservation_id=31678945808529&amp;guest_id=31678940147937", "Sherri Burress")</f>
        <v>Sherri Burress</v>
      </c>
      <c r="E7718" t="s">
        <v>5664</v>
      </c>
      <c r="F7718" t="s">
        <v>4645</v>
      </c>
      <c r="G7718">
        <v>321.3</v>
      </c>
      <c r="H7718">
        <v>349.26</v>
      </c>
      <c r="I7718">
        <v>349.25</v>
      </c>
      <c r="J7718">
        <v>0.01</v>
      </c>
    </row>
    <row r="7719" spans="1:10" x14ac:dyDescent="0.3">
      <c r="A7719" t="str">
        <f>HYPERLINK("https://us2.cloudbeds.com/connect/10074733072513#/reservations/31676052021448?display=MH85X3D89&amp;reservation_id=31676052021448", "MH85X3D89")</f>
        <v>MH85X3D89</v>
      </c>
      <c r="B7719" t="s">
        <v>10</v>
      </c>
      <c r="C7719" t="s">
        <v>42</v>
      </c>
      <c r="D7719" t="str">
        <f>HYPERLINK("https://us2.cloudbeds.com/connect/10074733072513#/reservations/31676052021448?display=Ronald%20Enga&amp;reservation_id=31676052021448&amp;guest_id=31676052021443", "Ronald Enga")</f>
        <v>Ronald Enga</v>
      </c>
      <c r="E7719" t="s">
        <v>5666</v>
      </c>
      <c r="F7719" t="s">
        <v>5234</v>
      </c>
      <c r="G7719">
        <v>358</v>
      </c>
      <c r="H7719">
        <v>389.16</v>
      </c>
      <c r="I7719">
        <v>389.15</v>
      </c>
      <c r="J7719">
        <v>0.01</v>
      </c>
    </row>
    <row r="7720" spans="1:10" x14ac:dyDescent="0.3">
      <c r="A7720" t="str">
        <f>HYPERLINK("https://us2.cloudbeds.com/connect/10074733072513#/reservations/31676071215233?display=MH8619GD4&amp;reservation_id=31676071215233", "MH8619GD4")</f>
        <v>MH8619GD4</v>
      </c>
      <c r="B7720" t="s">
        <v>10</v>
      </c>
      <c r="C7720" t="s">
        <v>42</v>
      </c>
      <c r="D7720" t="str">
        <f>HYPERLINK("https://us2.cloudbeds.com/connect/10074733072513#/reservations/31676071215233?display=Randy%20Patnoe&amp;reservation_id=31676071215233&amp;guest_id=30679237726424", "Randy Patnoe")</f>
        <v>Randy Patnoe</v>
      </c>
      <c r="E7720" t="s">
        <v>5667</v>
      </c>
      <c r="F7720" t="s">
        <v>5234</v>
      </c>
      <c r="G7720">
        <v>149</v>
      </c>
      <c r="H7720">
        <v>161.97</v>
      </c>
      <c r="I7720">
        <v>161.96</v>
      </c>
      <c r="J7720">
        <v>0.01</v>
      </c>
    </row>
    <row r="7721" spans="1:10" x14ac:dyDescent="0.3">
      <c r="A7721" t="str">
        <f>HYPERLINK("https://us2.cloudbeds.com/connect/10074733072513#/reservations/31675531849955?display=MH7P8FSFP&amp;reservation_id=31675531849955", "MH7P8FSFP")</f>
        <v>MH7P8FSFP</v>
      </c>
      <c r="B7721" t="s">
        <v>10</v>
      </c>
      <c r="C7721" t="s">
        <v>42</v>
      </c>
      <c r="D7721" t="str">
        <f>HYPERLINK("https://us2.cloudbeds.com/connect/10074733072513#/reservations/31675531849955?display=Joe%20Tewksbury&amp;reservation_id=31675531849955&amp;guest_id=31675531849953", "Joe Tewksbury")</f>
        <v>Joe Tewksbury</v>
      </c>
      <c r="E7721" t="s">
        <v>5668</v>
      </c>
      <c r="F7721" t="s">
        <v>5446</v>
      </c>
      <c r="G7721">
        <v>158</v>
      </c>
      <c r="H7721">
        <v>171.76</v>
      </c>
      <c r="I7721">
        <v>171.75</v>
      </c>
      <c r="J7721">
        <v>0.01</v>
      </c>
    </row>
    <row r="7722" spans="1:10" x14ac:dyDescent="0.3">
      <c r="A7722" t="str">
        <f>HYPERLINK("https://us2.cloudbeds.com/connect/10074733072513#/reservations/31684296593662?display=MHEX74PKU&amp;reservation_id=31684296593662", "MHEX74PKU")</f>
        <v>MHEX74PKU</v>
      </c>
      <c r="B7722" t="s">
        <v>10</v>
      </c>
      <c r="C7722" t="s">
        <v>42</v>
      </c>
      <c r="D7722" t="str">
        <f>HYPERLINK("https://us2.cloudbeds.com/connect/10074733072513#/reservations/31684296593662?display=Pamela%20Frahm&amp;reservation_id=31684296593662&amp;guest_id=31684296593657", "Pamela Frahm")</f>
        <v>Pamela Frahm</v>
      </c>
      <c r="E7722" t="s">
        <v>5670</v>
      </c>
      <c r="F7722" t="s">
        <v>5247</v>
      </c>
      <c r="G7722">
        <v>238</v>
      </c>
      <c r="H7722">
        <v>258.72000000000003</v>
      </c>
      <c r="I7722">
        <v>258.70999999999998</v>
      </c>
      <c r="J7722">
        <v>0.01</v>
      </c>
    </row>
    <row r="7723" spans="1:10" x14ac:dyDescent="0.3">
      <c r="A7723" t="str">
        <f>HYPERLINK("https://us2.cloudbeds.com/connect/10074733072513#/reservations/31682741227672?display=MHDBFKE16&amp;reservation_id=31682741227672", "MHDBFKE16")</f>
        <v>MHDBFKE16</v>
      </c>
      <c r="B7723" t="s">
        <v>10</v>
      </c>
      <c r="C7723" t="s">
        <v>23</v>
      </c>
      <c r="D7723" t="str">
        <f>HYPERLINK("https://us2.cloudbeds.com/connect/10074733072513#/reservations/31682741227672?display=Susan%20Wik&amp;reservation_id=31682741227672&amp;guest_id=31682741227670", "Susan Wik")</f>
        <v>Susan Wik</v>
      </c>
      <c r="E7723" t="s">
        <v>5671</v>
      </c>
      <c r="F7723" t="s">
        <v>4645</v>
      </c>
      <c r="G7723">
        <v>189</v>
      </c>
      <c r="H7723">
        <v>205.45</v>
      </c>
      <c r="I7723">
        <v>205.44</v>
      </c>
      <c r="J7723">
        <v>0.01</v>
      </c>
    </row>
    <row r="7724" spans="1:10" x14ac:dyDescent="0.3">
      <c r="A7724" t="str">
        <f>HYPERLINK("https://us2.cloudbeds.com/connect/10074733072513#/reservations/31674865811612?display=MH787SC0M&amp;reservation_id=31674865811612", "MH787SC0M")</f>
        <v>MH787SC0M</v>
      </c>
      <c r="B7724" t="s">
        <v>10</v>
      </c>
      <c r="C7724" t="s">
        <v>42</v>
      </c>
      <c r="D7724" t="str">
        <f>HYPERLINK("https://us2.cloudbeds.com/connect/10074733072513#/reservations/31674865811612?display=Andrew%20Barth&amp;reservation_id=31674865811612&amp;guest_id=31674865811606", "Andrew Barth")</f>
        <v>Andrew Barth</v>
      </c>
      <c r="E7724" t="s">
        <v>5672</v>
      </c>
      <c r="F7724" t="s">
        <v>5653</v>
      </c>
      <c r="G7724">
        <v>89</v>
      </c>
      <c r="H7724">
        <v>96.75</v>
      </c>
      <c r="I7724">
        <v>96.74</v>
      </c>
      <c r="J7724">
        <v>0.01</v>
      </c>
    </row>
    <row r="7725" spans="1:10" x14ac:dyDescent="0.3">
      <c r="A7725" t="str">
        <f>HYPERLINK("https://us2.cloudbeds.com/connect/10074733072513#/reservations/31682704216244?display=MHDAHDHDP&amp;reservation_id=31682704216244", "MHDAHDHDP")</f>
        <v>MHDAHDHDP</v>
      </c>
      <c r="B7725" t="s">
        <v>10</v>
      </c>
      <c r="C7725" t="s">
        <v>42</v>
      </c>
      <c r="D7725" t="str">
        <f>HYPERLINK("https://us2.cloudbeds.com/connect/10074733072513#/reservations/31682704216244?display=Robert%20Wik&amp;reservation_id=31682704216244&amp;guest_id=31682704216241", "Robert Wik")</f>
        <v>Robert Wik</v>
      </c>
      <c r="E7725" t="s">
        <v>5674</v>
      </c>
      <c r="F7725" t="s">
        <v>4645</v>
      </c>
      <c r="G7725">
        <v>258</v>
      </c>
      <c r="H7725">
        <v>280.45999999999998</v>
      </c>
      <c r="I7725">
        <v>280.45</v>
      </c>
      <c r="J7725">
        <v>0.01</v>
      </c>
    </row>
    <row r="7726" spans="1:10" x14ac:dyDescent="0.3">
      <c r="A7726" t="str">
        <f>HYPERLINK("https://us2.cloudbeds.com/connect/10074733072513#/reservations/31677421744283?display=MH97X2VKS&amp;reservation_id=31677421744283", "MH97X2VKS")</f>
        <v>MH97X2VKS</v>
      </c>
      <c r="B7726" t="s">
        <v>10</v>
      </c>
      <c r="C7726" t="s">
        <v>11</v>
      </c>
      <c r="D7726" t="str">
        <f>HYPERLINK("https://us2.cloudbeds.com/connect/10074733072513#/reservations/31677421744283?display=Ryan%20Mcelhinny&amp;reservation_id=31677421744283&amp;guest_id=31677421744268", "Ryan Mcelhinny")</f>
        <v>Ryan Mcelhinny</v>
      </c>
      <c r="E7726" t="s">
        <v>4775</v>
      </c>
      <c r="F7726" t="s">
        <v>4346</v>
      </c>
      <c r="G7726">
        <v>106.8</v>
      </c>
      <c r="H7726">
        <v>116.1</v>
      </c>
      <c r="I7726">
        <v>116.09</v>
      </c>
      <c r="J7726">
        <v>0.01</v>
      </c>
    </row>
    <row r="7727" spans="1:10" x14ac:dyDescent="0.3">
      <c r="A7727" t="str">
        <f>HYPERLINK("https://us2.cloudbeds.com/connect/10074733072513#/reservations/31675504885964?display=MH7ZXZX54&amp;reservation_id=31675504885964", "MH7ZXZX54")</f>
        <v>MH7ZXZX54</v>
      </c>
      <c r="B7727" t="s">
        <v>10</v>
      </c>
      <c r="C7727" t="s">
        <v>42</v>
      </c>
      <c r="D7727" t="str">
        <f>HYPERLINK("https://us2.cloudbeds.com/connect/10074733072513#/reservations/31675504885964?display=Keith%20Loberg&amp;reservation_id=31675504885964&amp;guest_id=30667674366083", "Keith Loberg")</f>
        <v>Keith Loberg</v>
      </c>
      <c r="E7727" t="s">
        <v>5138</v>
      </c>
      <c r="F7727" t="s">
        <v>5446</v>
      </c>
      <c r="G7727">
        <v>73</v>
      </c>
      <c r="H7727">
        <v>79.36</v>
      </c>
      <c r="I7727">
        <v>79.349999999999994</v>
      </c>
      <c r="J7727">
        <v>0.01</v>
      </c>
    </row>
    <row r="7728" spans="1:10" x14ac:dyDescent="0.3">
      <c r="A7728" t="str">
        <f>HYPERLINK("https://us2.cloudbeds.com/connect/10074733072513#/reservations/31679424835753?display=MHAPZ4UZC&amp;reservation_id=31679424835753", "MHAPZ4UZC")</f>
        <v>MHAPZ4UZC</v>
      </c>
      <c r="B7728" t="s">
        <v>10</v>
      </c>
      <c r="C7728" t="s">
        <v>42</v>
      </c>
      <c r="D7728" t="str">
        <f>HYPERLINK("https://us2.cloudbeds.com/connect/10074733072513#/reservations/31679424835753?display=Wayne%20Rabine&amp;reservation_id=31679424835753&amp;guest_id=31679416631504", "Wayne Rabine")</f>
        <v>Wayne Rabine</v>
      </c>
      <c r="E7728" t="s">
        <v>5677</v>
      </c>
      <c r="F7728" t="s">
        <v>5366</v>
      </c>
      <c r="G7728">
        <v>170</v>
      </c>
      <c r="H7728">
        <v>184.8</v>
      </c>
      <c r="I7728">
        <v>184.79</v>
      </c>
      <c r="J7728">
        <v>0.01</v>
      </c>
    </row>
    <row r="7729" spans="1:10" x14ac:dyDescent="0.3">
      <c r="A7729" t="str">
        <f>HYPERLINK("https://us2.cloudbeds.com/connect/10074733072513#/reservations/31676279083161?display=MH8BBXZ18&amp;reservation_id=31676279083161", "MH8BBXZ18")</f>
        <v>MH8BBXZ18</v>
      </c>
      <c r="B7729" t="s">
        <v>10</v>
      </c>
      <c r="C7729" t="s">
        <v>42</v>
      </c>
      <c r="D7729" t="str">
        <f>HYPERLINK("https://us2.cloudbeds.com/connect/10074733072513#/reservations/31676279083161?display=Lisa%20Jackson&amp;reservation_id=31676279083161&amp;guest_id=31676279083156", "Lisa Jackson")</f>
        <v>Lisa Jackson</v>
      </c>
      <c r="E7729" t="s">
        <v>4220</v>
      </c>
      <c r="F7729" t="s">
        <v>5646</v>
      </c>
      <c r="G7729">
        <v>296</v>
      </c>
      <c r="H7729">
        <v>321.76</v>
      </c>
      <c r="I7729">
        <v>321.75</v>
      </c>
      <c r="J7729">
        <v>0.01</v>
      </c>
    </row>
    <row r="7730" spans="1:10" x14ac:dyDescent="0.3">
      <c r="A7730" t="str">
        <f>HYPERLINK("https://us2.cloudbeds.com/connect/10074733072513#/reservations/31674776641757?display=MH75VM2MS&amp;reservation_id=31674776641757", "MH75VM2MS")</f>
        <v>MH75VM2MS</v>
      </c>
      <c r="B7730" t="s">
        <v>10</v>
      </c>
      <c r="C7730" t="s">
        <v>42</v>
      </c>
      <c r="D7730" t="str">
        <f>HYPERLINK("https://us2.cloudbeds.com/connect/10074733072513#/reservations/31674776641757?display=Tyler%20Lund&amp;reservation_id=31674776641757&amp;guest_id=31674776641753", "Tyler Lund")</f>
        <v>Tyler Lund</v>
      </c>
      <c r="E7730" t="s">
        <v>5678</v>
      </c>
      <c r="F7730" t="s">
        <v>5653</v>
      </c>
      <c r="G7730">
        <v>119</v>
      </c>
      <c r="H7730">
        <v>129.36000000000001</v>
      </c>
      <c r="I7730">
        <v>129.35</v>
      </c>
      <c r="J7730">
        <v>0.01</v>
      </c>
    </row>
    <row r="7731" spans="1:10" x14ac:dyDescent="0.3">
      <c r="A7731" t="str">
        <f>HYPERLINK("https://us2.cloudbeds.com/connect/10074733072513#/reservations/31675500339443?display=MH7ZEU16P&amp;reservation_id=31675500339443", "MH7ZEU16P")</f>
        <v>MH7ZEU16P</v>
      </c>
      <c r="B7731" t="s">
        <v>10</v>
      </c>
      <c r="C7731" t="s">
        <v>20</v>
      </c>
      <c r="D7731" t="str">
        <f>HYPERLINK("https://us2.cloudbeds.com/connect/10074733072513#/reservations/31675500339443?display=James%20Carson&amp;reservation_id=31675500339443&amp;guest_id=31675490013398", "James Carson")</f>
        <v>James Carson</v>
      </c>
      <c r="E7731" t="s">
        <v>5679</v>
      </c>
      <c r="F7731" t="s">
        <v>5446</v>
      </c>
      <c r="G7731">
        <v>101.75</v>
      </c>
      <c r="H7731">
        <v>110.61</v>
      </c>
      <c r="I7731">
        <v>110.6</v>
      </c>
      <c r="J7731">
        <v>0.01</v>
      </c>
    </row>
    <row r="7732" spans="1:10" x14ac:dyDescent="0.3">
      <c r="A7732" t="str">
        <f>HYPERLINK("https://us2.cloudbeds.com/connect/10074733072513#/reservations/31674834735245?display=MH77EYKDJ&amp;reservation_id=31674834735245", "MH77EYKDJ")</f>
        <v>MH77EYKDJ</v>
      </c>
      <c r="B7732" t="s">
        <v>10</v>
      </c>
      <c r="C7732" t="s">
        <v>42</v>
      </c>
      <c r="D7732" t="str">
        <f>HYPERLINK("https://us2.cloudbeds.com/connect/10074733072513#/reservations/31674834735245?display=Chad%20Schemehorn&amp;reservation_id=31674834735245&amp;guest_id=31674825752819", "Chad Schemehorn")</f>
        <v>Chad Schemehorn</v>
      </c>
      <c r="E7732" t="s">
        <v>5680</v>
      </c>
      <c r="F7732" t="s">
        <v>5653</v>
      </c>
      <c r="G7732">
        <v>238</v>
      </c>
      <c r="H7732">
        <v>258.72000000000003</v>
      </c>
      <c r="I7732">
        <v>258.70999999999998</v>
      </c>
      <c r="J7732">
        <v>0.01</v>
      </c>
    </row>
    <row r="7733" spans="1:10" x14ac:dyDescent="0.3">
      <c r="A7733" t="str">
        <f>HYPERLINK("https://us2.cloudbeds.com/connect/10074733072513#/reservations/31675583414450?display=MH7QXVNQ7&amp;reservation_id=31675583414450", "MH7QXVNQ7")</f>
        <v>MH7QXVNQ7</v>
      </c>
      <c r="B7733" t="s">
        <v>10</v>
      </c>
      <c r="C7733" t="s">
        <v>121</v>
      </c>
      <c r="D7733" t="str">
        <f>HYPERLINK("https://us2.cloudbeds.com/connect/10074733072513#/reservations/31675583414450?display=Nancy%20Limbach&amp;reservation_id=31675583414450&amp;guest_id=31675583414448", "Nancy Limbach")</f>
        <v>Nancy Limbach</v>
      </c>
      <c r="E7733" t="s">
        <v>5681</v>
      </c>
      <c r="F7733" t="s">
        <v>5446</v>
      </c>
      <c r="G7733">
        <v>139</v>
      </c>
      <c r="H7733">
        <v>151.1</v>
      </c>
      <c r="I7733">
        <v>151.09</v>
      </c>
      <c r="J7733">
        <v>0.01</v>
      </c>
    </row>
    <row r="7734" spans="1:10" x14ac:dyDescent="0.3">
      <c r="A7734" t="str">
        <f>HYPERLINK("https://us2.cloudbeds.com/connect/10074733072513#/reservations/31677225013447?display=MH92H6KTC&amp;reservation_id=31677225013447", "MH92H6KTC")</f>
        <v>MH92H6KTC</v>
      </c>
      <c r="B7734" t="s">
        <v>10</v>
      </c>
      <c r="C7734" t="s">
        <v>20</v>
      </c>
      <c r="D7734" t="str">
        <f>HYPERLINK("https://us2.cloudbeds.com/connect/10074733072513#/reservations/31677225013447?display=Monica%20Jones&amp;reservation_id=31677225013447&amp;guest_id=31677225009395", "Monica Jones")</f>
        <v>Monica Jones</v>
      </c>
      <c r="E7734" t="s">
        <v>5682</v>
      </c>
      <c r="F7734" t="s">
        <v>5265</v>
      </c>
      <c r="G7734">
        <v>321.3</v>
      </c>
      <c r="H7734">
        <v>349.26</v>
      </c>
      <c r="I7734">
        <v>349.25</v>
      </c>
      <c r="J7734">
        <v>0.01</v>
      </c>
    </row>
    <row r="7735" spans="1:10" x14ac:dyDescent="0.3">
      <c r="A7735" t="str">
        <f>HYPERLINK("https://us2.cloudbeds.com/connect/10074733072513#/reservations/31678367101120?display=MH9VN7Q6X&amp;reservation_id=31678367101120", "MH9VN7Q6X")</f>
        <v>MH9VN7Q6X</v>
      </c>
      <c r="B7735" t="s">
        <v>10</v>
      </c>
      <c r="C7735" t="s">
        <v>42</v>
      </c>
      <c r="D7735" t="str">
        <f>HYPERLINK("https://us2.cloudbeds.com/connect/10074733072513#/reservations/31678367101120?display=Daniel%20Kahlstorf&amp;reservation_id=31678367101120&amp;guest_id=31675447382154", "Daniel Kahlstorf")</f>
        <v>Daniel Kahlstorf</v>
      </c>
      <c r="E7735" t="s">
        <v>5683</v>
      </c>
      <c r="F7735" t="s">
        <v>5340</v>
      </c>
      <c r="G7735">
        <v>73</v>
      </c>
      <c r="H7735">
        <v>79.36</v>
      </c>
      <c r="I7735">
        <v>79.349999999999994</v>
      </c>
      <c r="J7735">
        <v>0.01</v>
      </c>
    </row>
    <row r="7736" spans="1:10" x14ac:dyDescent="0.3">
      <c r="A7736" t="str">
        <f>HYPERLINK("https://us2.cloudbeds.com/connect/10074733072513#/reservations/31675934683378?display=MH82X59Q6&amp;reservation_id=31675934683378", "MH82X59Q6")</f>
        <v>MH82X59Q6</v>
      </c>
      <c r="B7736" t="s">
        <v>10</v>
      </c>
      <c r="C7736" t="s">
        <v>17</v>
      </c>
      <c r="D7736" t="str">
        <f>HYPERLINK("https://us2.cloudbeds.com/connect/10074733072513#/reservations/31675934683378?display=Helena%20Griglione&amp;reservation_id=31675934683378&amp;guest_id=31675923095768", "Helena Griglione")</f>
        <v>Helena Griglione</v>
      </c>
      <c r="E7736" t="s">
        <v>5684</v>
      </c>
      <c r="F7736" t="s">
        <v>5685</v>
      </c>
      <c r="G7736">
        <v>169</v>
      </c>
      <c r="H7736">
        <v>183.71</v>
      </c>
      <c r="I7736">
        <v>183.7</v>
      </c>
      <c r="J7736">
        <v>0.01</v>
      </c>
    </row>
    <row r="7737" spans="1:10" x14ac:dyDescent="0.3">
      <c r="A7737" t="str">
        <f>HYPERLINK("https://us2.cloudbeds.com/connect/10074733072513#/reservations/31679787798773?display=MHB206U3P&amp;reservation_id=31679787798773", "MHB206U3P")</f>
        <v>MHB206U3P</v>
      </c>
      <c r="B7737" t="s">
        <v>10</v>
      </c>
      <c r="C7737" t="s">
        <v>42</v>
      </c>
      <c r="D7737" t="str">
        <f>HYPERLINK("https://us2.cloudbeds.com/connect/10074733072513#/reservations/31679787798773?display=Dirk%20Bergquist&amp;reservation_id=31679787798773&amp;guest_id=31679780536542", "Dirk Bergquist")</f>
        <v>Dirk Bergquist</v>
      </c>
      <c r="E7737" t="s">
        <v>5687</v>
      </c>
      <c r="F7737" t="s">
        <v>5688</v>
      </c>
      <c r="G7737">
        <v>189</v>
      </c>
      <c r="H7737">
        <v>205.45</v>
      </c>
      <c r="I7737">
        <v>205.44</v>
      </c>
      <c r="J7737">
        <v>0.01</v>
      </c>
    </row>
    <row r="7738" spans="1:10" x14ac:dyDescent="0.3">
      <c r="A7738" t="str">
        <f>HYPERLINK("https://us2.cloudbeds.com/connect/10074733072513#/reservations/31678374908117?display=MH9VTR4SD&amp;reservation_id=31678374908117", "MH9VTR4SD")</f>
        <v>MH9VTR4SD</v>
      </c>
      <c r="B7738" t="s">
        <v>10</v>
      </c>
      <c r="C7738" t="s">
        <v>42</v>
      </c>
      <c r="D7738" t="str">
        <f>HYPERLINK("https://us2.cloudbeds.com/connect/10074733072513#/reservations/31678374908117?display=Denise%20Duffy&amp;reservation_id=31678374908117&amp;guest_id=30682386936024", "Denise Duffy")</f>
        <v>Denise Duffy</v>
      </c>
      <c r="E7738" t="s">
        <v>3233</v>
      </c>
      <c r="F7738" t="s">
        <v>5340</v>
      </c>
      <c r="G7738">
        <v>89</v>
      </c>
      <c r="H7738">
        <v>96.75</v>
      </c>
      <c r="I7738">
        <v>96.74</v>
      </c>
      <c r="J7738">
        <v>0.01</v>
      </c>
    </row>
    <row r="7739" spans="1:10" x14ac:dyDescent="0.3">
      <c r="A7739" t="str">
        <f>HYPERLINK("https://us2.cloudbeds.com/connect/10074733072513#/reservations/31675604996232?display=MH7R458PK&amp;reservation_id=31675604996232", "MH7R458PK")</f>
        <v>MH7R458PK</v>
      </c>
      <c r="B7739" t="s">
        <v>10</v>
      </c>
      <c r="C7739" t="s">
        <v>20</v>
      </c>
      <c r="D7739" t="str">
        <f>HYPERLINK("https://us2.cloudbeds.com/connect/10074733072513#/reservations/31675604996232?display=Frederick%20Brummer&amp;reservation_id=31675604996232&amp;guest_id=31675604996227", "Frederick Brummer")</f>
        <v>Frederick Brummer</v>
      </c>
      <c r="E7739" t="s">
        <v>5689</v>
      </c>
      <c r="F7739" t="s">
        <v>5340</v>
      </c>
      <c r="G7739">
        <v>101.75</v>
      </c>
      <c r="H7739">
        <v>110.61</v>
      </c>
      <c r="I7739">
        <v>110.6</v>
      </c>
      <c r="J7739">
        <v>0.01</v>
      </c>
    </row>
    <row r="7740" spans="1:10" x14ac:dyDescent="0.3">
      <c r="A7740" t="str">
        <f>HYPERLINK("https://us2.cloudbeds.com/connect/10074733072513#/reservations/31681286901957?display=MHC7A9M1W&amp;reservation_id=31681286901957", "MHC7A9M1W")</f>
        <v>MHC7A9M1W</v>
      </c>
      <c r="B7740" t="s">
        <v>10</v>
      </c>
      <c r="C7740" t="s">
        <v>42</v>
      </c>
      <c r="D7740" t="str">
        <f>HYPERLINK("https://us2.cloudbeds.com/connect/10074733072513#/reservations/31681286901957?display=Terri%20Jo%20Ann%20Peery&amp;reservation_id=31681286901957&amp;guest_id=31681286901954", "Terri Jo Ann Peery")</f>
        <v>Terri Jo Ann Peery</v>
      </c>
      <c r="E7740" t="s">
        <v>5690</v>
      </c>
      <c r="F7740" t="s">
        <v>5688</v>
      </c>
      <c r="G7740">
        <v>189</v>
      </c>
      <c r="H7740">
        <v>205.45</v>
      </c>
      <c r="I7740">
        <v>205.44</v>
      </c>
      <c r="J7740">
        <v>0.01</v>
      </c>
    </row>
    <row r="7741" spans="1:10" x14ac:dyDescent="0.3">
      <c r="A7741" t="str">
        <f>HYPERLINK("https://us2.cloudbeds.com/connect/10074733072513#/reservations/31675590484108?display=MH7QZUEM9&amp;reservation_id=31675590484108", "MH7QZUEM9")</f>
        <v>MH7QZUEM9</v>
      </c>
      <c r="B7741" t="s">
        <v>10</v>
      </c>
      <c r="C7741" t="s">
        <v>23</v>
      </c>
      <c r="D7741" t="str">
        <f>HYPERLINK("https://us2.cloudbeds.com/connect/10074733072513#/reservations/31675590484108?display=Tara%20Bones&amp;reservation_id=31675590484108&amp;guest_id=31675590484104", "Tara Bones")</f>
        <v>Tara Bones</v>
      </c>
      <c r="E7741" t="s">
        <v>5691</v>
      </c>
      <c r="F7741" t="s">
        <v>5340</v>
      </c>
      <c r="G7741">
        <v>119</v>
      </c>
      <c r="H7741">
        <v>129.36000000000001</v>
      </c>
      <c r="I7741">
        <v>129.35</v>
      </c>
      <c r="J7741">
        <v>0.01</v>
      </c>
    </row>
    <row r="7742" spans="1:10" x14ac:dyDescent="0.3">
      <c r="A7742" t="str">
        <f>HYPERLINK("https://us2.cloudbeds.com/connect/10074733072513#/reservations/31674914963599?display=MH79GA2WR&amp;reservation_id=31674914963599", "MH79GA2WR")</f>
        <v>MH79GA2WR</v>
      </c>
      <c r="B7742" t="s">
        <v>10</v>
      </c>
      <c r="C7742" t="s">
        <v>42</v>
      </c>
      <c r="D7742" t="str">
        <f>HYPERLINK("https://us2.cloudbeds.com/connect/10074733072513#/reservations/31674914963599?display=Miguelangel%20Placencia&amp;reservation_id=31674914963599&amp;guest_id=31674914963593", "Miguelangel Placencia")</f>
        <v>Miguelangel Placencia</v>
      </c>
      <c r="E7742" t="s">
        <v>5692</v>
      </c>
      <c r="F7742" t="s">
        <v>5446</v>
      </c>
      <c r="G7742">
        <v>139</v>
      </c>
      <c r="H7742">
        <v>151.1</v>
      </c>
      <c r="I7742">
        <v>151.09</v>
      </c>
      <c r="J7742">
        <v>0.01</v>
      </c>
    </row>
    <row r="7743" spans="1:10" x14ac:dyDescent="0.3">
      <c r="A7743" t="str">
        <f>HYPERLINK("https://us2.cloudbeds.com/connect/10074733072513#/reservations/31677259280587?display=MH93D35GX&amp;reservation_id=31677259280587", "MH93D35GX")</f>
        <v>MH93D35GX</v>
      </c>
      <c r="B7743" t="s">
        <v>10</v>
      </c>
      <c r="C7743" t="s">
        <v>23</v>
      </c>
      <c r="D7743" t="str">
        <f>HYPERLINK("https://us2.cloudbeds.com/connect/10074733072513#/reservations/31677259280587?display=Donald%20Porter&amp;reservation_id=31677259280587&amp;guest_id=31677259280584", "Donald Porter")</f>
        <v>Donald Porter</v>
      </c>
      <c r="E7743" t="s">
        <v>5693</v>
      </c>
      <c r="F7743" t="s">
        <v>5265</v>
      </c>
      <c r="G7743">
        <v>322.2</v>
      </c>
      <c r="H7743">
        <v>350.24</v>
      </c>
      <c r="I7743">
        <v>350.23</v>
      </c>
      <c r="J7743">
        <v>0.01</v>
      </c>
    </row>
    <row r="7744" spans="1:10" x14ac:dyDescent="0.3">
      <c r="A7744" t="str">
        <f>HYPERLINK("https://us2.cloudbeds.com/connect/10074733072513#/reservations/31678366675088?display=MH9VMT1MM&amp;reservation_id=31678366675088", "MH9VMT1MM")</f>
        <v>MH9VMT1MM</v>
      </c>
      <c r="B7744" t="s">
        <v>10</v>
      </c>
      <c r="C7744" t="s">
        <v>42</v>
      </c>
      <c r="D7744" t="str">
        <f>HYPERLINK("https://us2.cloudbeds.com/connect/10074733072513#/reservations/31678366675088?display=Paul%20Meinert&amp;reservation_id=31678366675088&amp;guest_id=30684875985090", "Paul Meinert")</f>
        <v>Paul Meinert</v>
      </c>
      <c r="E7744" t="s">
        <v>5694</v>
      </c>
      <c r="F7744" t="s">
        <v>5340</v>
      </c>
      <c r="G7744">
        <v>255</v>
      </c>
      <c r="H7744">
        <v>277.2</v>
      </c>
      <c r="I7744">
        <v>277.19</v>
      </c>
      <c r="J7744">
        <v>0.01</v>
      </c>
    </row>
    <row r="7745" spans="1:10" x14ac:dyDescent="0.3">
      <c r="A7745" t="str">
        <f>HYPERLINK("https://us2.cloudbeds.com/connect/10074733072513#/reservations/31677129588961?display=MH902ZA39&amp;reservation_id=31677129588961", "MH902ZA39")</f>
        <v>MH902ZA39</v>
      </c>
      <c r="B7745" t="s">
        <v>10</v>
      </c>
      <c r="C7745" t="s">
        <v>42</v>
      </c>
      <c r="D7745" t="str">
        <f>HYPERLINK("https://us2.cloudbeds.com/connect/10074733072513#/reservations/31677129588961?display=Ryan%20Jolly&amp;reservation_id=31677129588961&amp;guest_id=31674662228098", "Ryan Jolly")</f>
        <v>Ryan Jolly</v>
      </c>
      <c r="E7745" t="s">
        <v>5525</v>
      </c>
      <c r="F7745" t="s">
        <v>5590</v>
      </c>
      <c r="G7745">
        <v>89</v>
      </c>
      <c r="H7745">
        <v>96.75</v>
      </c>
      <c r="I7745">
        <v>96.74</v>
      </c>
      <c r="J7745">
        <v>0.01</v>
      </c>
    </row>
    <row r="7746" spans="1:10" x14ac:dyDescent="0.3">
      <c r="A7746" t="str">
        <f>HYPERLINK("https://us2.cloudbeds.com/connect/10074733072513#/reservations/31678260060408?display=MH9SVWB7Q&amp;reservation_id=31678260060408", "MH9SVWB7Q")</f>
        <v>MH9SVWB7Q</v>
      </c>
      <c r="B7746" t="s">
        <v>10</v>
      </c>
      <c r="C7746" t="s">
        <v>121</v>
      </c>
      <c r="D7746" t="str">
        <f>HYPERLINK("https://us2.cloudbeds.com/connect/10074733072513#/reservations/31678260060408?display=Melissa%20Anne%20Radley&amp;reservation_id=31678260060408&amp;guest_id=31678250840221", "Melissa Anne Radley")</f>
        <v>Melissa Anne Radley</v>
      </c>
      <c r="E7746" t="s">
        <v>5696</v>
      </c>
      <c r="F7746" t="s">
        <v>5340</v>
      </c>
      <c r="G7746">
        <v>119</v>
      </c>
      <c r="H7746">
        <v>129.36000000000001</v>
      </c>
      <c r="I7746">
        <v>129.35</v>
      </c>
      <c r="J7746">
        <v>0.01</v>
      </c>
    </row>
    <row r="7747" spans="1:10" x14ac:dyDescent="0.3">
      <c r="A7747" t="str">
        <f>HYPERLINK("https://us2.cloudbeds.com/connect/10074733072513#/reservations/31676977316075?display=MH8T6B2UD&amp;reservation_id=31676977316075", "MH8T6B2UD")</f>
        <v>MH8T6B2UD</v>
      </c>
      <c r="B7747" t="s">
        <v>10</v>
      </c>
      <c r="C7747" t="s">
        <v>20</v>
      </c>
      <c r="D7747" t="str">
        <f>HYPERLINK("https://us2.cloudbeds.com/connect/10074733072513#/reservations/31676977316075?display=Annie%20Manwarren&amp;reservation_id=31676977316075&amp;guest_id=31676968607916", "Annie Manwarren")</f>
        <v>Annie Manwarren</v>
      </c>
      <c r="E7747" t="s">
        <v>5698</v>
      </c>
      <c r="F7747" t="s">
        <v>5234</v>
      </c>
      <c r="G7747">
        <v>159</v>
      </c>
      <c r="H7747">
        <v>172.84</v>
      </c>
      <c r="I7747">
        <v>172.83</v>
      </c>
      <c r="J7747">
        <v>0.01</v>
      </c>
    </row>
    <row r="7748" spans="1:10" x14ac:dyDescent="0.3">
      <c r="A7748" t="str">
        <f>HYPERLINK("https://us2.cloudbeds.com/connect/10074733072513#/reservations/31675184947399?display=MH7GCVQ03&amp;reservation_id=31675184947399", "MH7GCVQ03")</f>
        <v>MH7GCVQ03</v>
      </c>
      <c r="B7748" t="s">
        <v>10</v>
      </c>
      <c r="C7748" t="s">
        <v>20</v>
      </c>
      <c r="D7748" t="str">
        <f>HYPERLINK("https://us2.cloudbeds.com/connect/10074733072513#/reservations/31675184947399?display=Pamela%20Mello&amp;reservation_id=31675184947399&amp;guest_id=31675184947395", "Pamela Mello")</f>
        <v>Pamela Mello</v>
      </c>
      <c r="E7748" t="s">
        <v>5700</v>
      </c>
      <c r="F7748" t="s">
        <v>5329</v>
      </c>
      <c r="G7748">
        <v>258</v>
      </c>
      <c r="H7748">
        <v>280.45999999999998</v>
      </c>
      <c r="I7748">
        <v>280.45</v>
      </c>
      <c r="J7748">
        <v>0.01</v>
      </c>
    </row>
    <row r="7749" spans="1:10" x14ac:dyDescent="0.3">
      <c r="A7749" t="str">
        <f>HYPERLINK("https://us2.cloudbeds.com/connect/10074733072513#/reservations/31677142769803?display=MH90DS2NZ&amp;reservation_id=31677142769803", "MH90DS2NZ")</f>
        <v>MH90DS2NZ</v>
      </c>
      <c r="B7749" t="s">
        <v>10</v>
      </c>
      <c r="C7749" t="s">
        <v>42</v>
      </c>
      <c r="D7749" t="str">
        <f>HYPERLINK("https://us2.cloudbeds.com/connect/10074733072513#/reservations/31677142769803?display=Stephanie%20Leader&amp;reservation_id=31677142769803&amp;guest_id=31677142765759", "Stephanie Leader")</f>
        <v>Stephanie Leader</v>
      </c>
      <c r="E7749" t="s">
        <v>5701</v>
      </c>
      <c r="F7749" t="s">
        <v>5286</v>
      </c>
      <c r="G7749">
        <v>139</v>
      </c>
      <c r="H7749">
        <v>151.1</v>
      </c>
      <c r="I7749">
        <v>151.09</v>
      </c>
      <c r="J7749">
        <v>0.01</v>
      </c>
    </row>
    <row r="7750" spans="1:10" x14ac:dyDescent="0.3">
      <c r="A7750" t="str">
        <f>HYPERLINK("https://us2.cloudbeds.com/connect/10074733072513#/reservations/31678278328452?display=MH9TECM9T&amp;reservation_id=31678278328452", "MH9TECM9T")</f>
        <v>MH9TECM9T</v>
      </c>
      <c r="B7750" t="s">
        <v>10</v>
      </c>
      <c r="C7750" t="s">
        <v>42</v>
      </c>
      <c r="D7750" t="str">
        <f>HYPERLINK("https://us2.cloudbeds.com/connect/10074733072513#/reservations/31678278328452?display=Miguelangel%20Placencia&amp;reservation_id=31678278328452&amp;guest_id=31674914963593", "Miguelangel Placencia")</f>
        <v>Miguelangel Placencia</v>
      </c>
      <c r="E7750" t="s">
        <v>5692</v>
      </c>
      <c r="F7750" t="s">
        <v>5340</v>
      </c>
      <c r="G7750">
        <v>119</v>
      </c>
      <c r="H7750">
        <v>129.36000000000001</v>
      </c>
      <c r="I7750">
        <v>129.35</v>
      </c>
      <c r="J7750">
        <v>0.01</v>
      </c>
    </row>
    <row r="7751" spans="1:10" x14ac:dyDescent="0.3">
      <c r="A7751" t="str">
        <f>HYPERLINK("https://us2.cloudbeds.com/connect/10074733072513#/reservations/31678679498994?display=MHA6MYRKW&amp;reservation_id=31678679498994", "MHA6MYRKW")</f>
        <v>MHA6MYRKW</v>
      </c>
      <c r="B7751" t="s">
        <v>10</v>
      </c>
      <c r="C7751" t="s">
        <v>14</v>
      </c>
      <c r="D7751" t="str">
        <f>HYPERLINK("https://us2.cloudbeds.com/connect/10074733072513#/reservations/31678679498994?display=Justin%20Fischer&amp;reservation_id=31678679498994&amp;guest_id=31678679498992", "Justin Fischer")</f>
        <v>Justin Fischer</v>
      </c>
      <c r="E7751" t="s">
        <v>5705</v>
      </c>
      <c r="F7751" t="s">
        <v>5265</v>
      </c>
      <c r="G7751">
        <v>322.2</v>
      </c>
      <c r="H7751">
        <v>350.24</v>
      </c>
      <c r="I7751">
        <v>350.23</v>
      </c>
      <c r="J7751">
        <v>0.01</v>
      </c>
    </row>
    <row r="7752" spans="1:10" x14ac:dyDescent="0.3">
      <c r="A7752" t="str">
        <f>HYPERLINK("https://us2.cloudbeds.com/connect/10074733072513#/reservations/31677999534212?display=MH9MA9QTJ&amp;reservation_id=31677999534212", "MH9MA9QTJ")</f>
        <v>MH9MA9QTJ</v>
      </c>
      <c r="B7752" t="s">
        <v>10</v>
      </c>
      <c r="C7752" t="s">
        <v>42</v>
      </c>
      <c r="D7752" t="str">
        <f>HYPERLINK("https://us2.cloudbeds.com/connect/10074733072513#/reservations/31677999534212?display=Jared%20Jay%20Veurink&amp;reservation_id=31677999534212&amp;guest_id=31677999534208", "Jared Jay Veurink")</f>
        <v>Jared Jay Veurink</v>
      </c>
      <c r="E7752" t="s">
        <v>5707</v>
      </c>
      <c r="F7752" t="s">
        <v>5286</v>
      </c>
      <c r="G7752">
        <v>139</v>
      </c>
      <c r="H7752">
        <v>151.1</v>
      </c>
      <c r="I7752">
        <v>151.09</v>
      </c>
      <c r="J7752">
        <v>0.01</v>
      </c>
    </row>
    <row r="7753" spans="1:10" x14ac:dyDescent="0.3">
      <c r="A7753" t="str">
        <f>HYPERLINK("https://us2.cloudbeds.com/connect/10074733072513#/reservations/31678044999843?display=MH9NFKVPW&amp;reservation_id=31678044999843", "MH9NFKVPW")</f>
        <v>MH9NFKVPW</v>
      </c>
      <c r="B7753" t="s">
        <v>10</v>
      </c>
      <c r="C7753" t="s">
        <v>42</v>
      </c>
      <c r="D7753" t="str">
        <f>HYPERLINK("https://us2.cloudbeds.com/connect/10074733072513#/reservations/31678044999843?display=Nicole%20Devries&amp;reservation_id=31678044999843&amp;guest_id=31678037749959", "Nicole Devries")</f>
        <v>Nicole Devries</v>
      </c>
      <c r="E7753" t="s">
        <v>5708</v>
      </c>
      <c r="F7753" t="s">
        <v>5286</v>
      </c>
      <c r="G7753">
        <v>139</v>
      </c>
      <c r="H7753">
        <v>151.1</v>
      </c>
      <c r="I7753">
        <v>151.09</v>
      </c>
      <c r="J7753">
        <v>0.01</v>
      </c>
    </row>
    <row r="7754" spans="1:10" x14ac:dyDescent="0.3">
      <c r="A7754" t="str">
        <f>HYPERLINK("https://us2.cloudbeds.com/connect/10074733072513#/reservations/31678045003938?display=MH9NFY2X2&amp;reservation_id=31678045003938", "MH9NFY2X2")</f>
        <v>MH9NFY2X2</v>
      </c>
      <c r="B7754" t="s">
        <v>10</v>
      </c>
      <c r="C7754" t="s">
        <v>42</v>
      </c>
      <c r="D7754" t="str">
        <f>HYPERLINK("https://us2.cloudbeds.com/connect/10074733072513#/reservations/31678045003938?display=Katy%20Vanderpol&amp;reservation_id=31678045003938&amp;guest_id=31678045003935", "Katy Vanderpol")</f>
        <v>Katy Vanderpol</v>
      </c>
      <c r="E7754" t="s">
        <v>5709</v>
      </c>
      <c r="F7754" t="s">
        <v>5286</v>
      </c>
      <c r="G7754">
        <v>278</v>
      </c>
      <c r="H7754">
        <v>302.2</v>
      </c>
      <c r="I7754">
        <v>302.19</v>
      </c>
      <c r="J7754">
        <v>0.01</v>
      </c>
    </row>
    <row r="7755" spans="1:10" x14ac:dyDescent="0.3">
      <c r="A7755" t="str">
        <f>HYPERLINK("https://us2.cloudbeds.com/connect/10074733072513#/reservations/31676488171684?display=MH8GMSUH3&amp;reservation_id=31676488171684", "MH8GMSUH3")</f>
        <v>MH8GMSUH3</v>
      </c>
      <c r="B7755" t="s">
        <v>10</v>
      </c>
      <c r="C7755" t="s">
        <v>42</v>
      </c>
      <c r="D7755" t="str">
        <f>HYPERLINK("https://us2.cloudbeds.com/connect/10074733072513#/reservations/31676488171684?display=Michael%20Wilhelmi&amp;reservation_id=31676488171684&amp;guest_id=31676488171669", "Michael Wilhelmi")</f>
        <v>Michael Wilhelmi</v>
      </c>
      <c r="E7755" t="s">
        <v>5711</v>
      </c>
      <c r="F7755" t="s">
        <v>4346</v>
      </c>
      <c r="G7755">
        <v>418</v>
      </c>
      <c r="H7755">
        <v>454.38</v>
      </c>
      <c r="I7755">
        <v>454.37</v>
      </c>
      <c r="J7755">
        <v>0.01</v>
      </c>
    </row>
    <row r="7756" spans="1:10" x14ac:dyDescent="0.3">
      <c r="A7756" t="str">
        <f>HYPERLINK("https://us2.cloudbeds.com/connect/10074733072513#/reservations/31676804468963?display=MH8ZPJBW4&amp;reservation_id=31676804468963", "MH8ZPJBW4")</f>
        <v>MH8ZPJBW4</v>
      </c>
      <c r="B7756" t="s">
        <v>10</v>
      </c>
      <c r="C7756" t="s">
        <v>23</v>
      </c>
      <c r="D7756" t="str">
        <f>HYPERLINK("https://us2.cloudbeds.com/connect/10074733072513#/reservations/31676804468963?display=Tom%20Kemper&amp;reservation_id=31676804468963&amp;guest_id=31676804468960", "Tom Kemper")</f>
        <v>Tom Kemper</v>
      </c>
      <c r="E7756" t="s">
        <v>5713</v>
      </c>
      <c r="F7756" t="s">
        <v>3650</v>
      </c>
      <c r="G7756">
        <v>238</v>
      </c>
      <c r="H7756">
        <v>258.72000000000003</v>
      </c>
      <c r="I7756">
        <v>258.70999999999998</v>
      </c>
      <c r="J7756">
        <v>0.01</v>
      </c>
    </row>
    <row r="7757" spans="1:10" x14ac:dyDescent="0.3">
      <c r="A7757" t="str">
        <f>HYPERLINK("https://us2.cloudbeds.com/connect/10074733072513#/reservations/31677042127003?display=MH8URWX2U&amp;reservation_id=31677042127003", "MH8URWX2U")</f>
        <v>MH8URWX2U</v>
      </c>
      <c r="B7757" t="s">
        <v>10</v>
      </c>
      <c r="C7757" t="s">
        <v>42</v>
      </c>
      <c r="D7757" t="str">
        <f>HYPERLINK("https://us2.cloudbeds.com/connect/10074733072513#/reservations/31677042127003?display=Mark%20John%20Petersen&amp;reservation_id=31677042127003&amp;guest_id=31677032169667", "Mark John Petersen")</f>
        <v>Mark John Petersen</v>
      </c>
      <c r="E7757" t="s">
        <v>5718</v>
      </c>
      <c r="F7757" t="s">
        <v>5286</v>
      </c>
      <c r="G7757">
        <v>129</v>
      </c>
      <c r="H7757">
        <v>140.22999999999999</v>
      </c>
      <c r="I7757">
        <v>140.22</v>
      </c>
      <c r="J7757">
        <v>0.01</v>
      </c>
    </row>
    <row r="7758" spans="1:10" x14ac:dyDescent="0.3">
      <c r="A7758" t="str">
        <f>HYPERLINK("https://us2.cloudbeds.com/connect/10074733072513#/reservations/31677066715323?display=MH8VFNZTH&amp;reservation_id=31677066715323", "MH8VFNZTH")</f>
        <v>MH8VFNZTH</v>
      </c>
      <c r="B7758" t="s">
        <v>10</v>
      </c>
      <c r="C7758" t="s">
        <v>11</v>
      </c>
      <c r="D7758" t="str">
        <f>HYPERLINK("https://us2.cloudbeds.com/connect/10074733072513#/reservations/31677066715323?display=John%20Boltjes&amp;reservation_id=31677066715323&amp;guest_id=31677066715321", "John Boltjes")</f>
        <v>John Boltjes</v>
      </c>
      <c r="E7758" t="s">
        <v>1933</v>
      </c>
      <c r="F7758" t="s">
        <v>5286</v>
      </c>
      <c r="G7758">
        <v>106.8</v>
      </c>
      <c r="H7758">
        <v>116.1</v>
      </c>
      <c r="I7758">
        <v>116.09</v>
      </c>
      <c r="J7758">
        <v>0.01</v>
      </c>
    </row>
    <row r="7759" spans="1:10" x14ac:dyDescent="0.3">
      <c r="A7759" t="str">
        <f>HYPERLINK("https://us2.cloudbeds.com/connect/10074733072513#/reservations/31677041696896?display=MH8UJ8WHA&amp;reservation_id=31677041696896", "MH8UJ8WHA")</f>
        <v>MH8UJ8WHA</v>
      </c>
      <c r="B7759" t="s">
        <v>10</v>
      </c>
      <c r="C7759" t="s">
        <v>121</v>
      </c>
      <c r="D7759" t="str">
        <f>HYPERLINK("https://us2.cloudbeds.com/connect/10074733072513#/reservations/31677041696896?display=Rafael%20Rosario&amp;reservation_id=31677041696896&amp;guest_id=31677031792855", "Rafael Rosario")</f>
        <v>Rafael Rosario</v>
      </c>
      <c r="E7759" t="s">
        <v>5719</v>
      </c>
      <c r="F7759" t="s">
        <v>5590</v>
      </c>
      <c r="G7759">
        <v>119</v>
      </c>
      <c r="H7759">
        <v>129.36000000000001</v>
      </c>
      <c r="I7759">
        <v>129.35</v>
      </c>
      <c r="J7759">
        <v>0.01</v>
      </c>
    </row>
    <row r="7760" spans="1:10" x14ac:dyDescent="0.3">
      <c r="A7760" t="str">
        <f>HYPERLINK("https://us2.cloudbeds.com/connect/10074733072513#/reservations/31677244502216?display=MH930KUU4&amp;reservation_id=31677244502216", "MH930KUU4")</f>
        <v>MH930KUU4</v>
      </c>
      <c r="B7760" t="s">
        <v>10</v>
      </c>
      <c r="C7760" t="s">
        <v>20</v>
      </c>
      <c r="D7760" t="str">
        <f>HYPERLINK("https://us2.cloudbeds.com/connect/10074733072513#/reservations/31677244502216?display=Michelle%20Bursing&amp;reservation_id=31677244502216&amp;guest_id=31677244498135", "Michelle Bursing")</f>
        <v>Michelle Bursing</v>
      </c>
      <c r="E7760" t="s">
        <v>5720</v>
      </c>
      <c r="F7760" t="s">
        <v>5265</v>
      </c>
      <c r="G7760">
        <v>418</v>
      </c>
      <c r="H7760">
        <v>454.38</v>
      </c>
      <c r="I7760">
        <v>454.37</v>
      </c>
      <c r="J7760">
        <v>0.01</v>
      </c>
    </row>
    <row r="7761" spans="1:10" x14ac:dyDescent="0.3">
      <c r="A7761" t="str">
        <f>HYPERLINK("https://us2.cloudbeds.com/connect/10074733072513#/reservations/31682064568552?display=MHCR61CQC&amp;reservation_id=31682064568552", "MHCR61CQC")</f>
        <v>MHCR61CQC</v>
      </c>
      <c r="B7761" t="s">
        <v>10</v>
      </c>
      <c r="C7761" t="s">
        <v>14</v>
      </c>
      <c r="D7761" t="str">
        <f>HYPERLINK("https://us2.cloudbeds.com/connect/10074733072513#/reservations/31682064568552?display=Todd%20Headrick&amp;reservation_id=31682064568552&amp;guest_id=31682051473553", "Todd Headrick")</f>
        <v>Todd Headrick</v>
      </c>
      <c r="E7761" t="s">
        <v>5721</v>
      </c>
      <c r="F7761" t="s">
        <v>4916</v>
      </c>
      <c r="G7761">
        <v>169</v>
      </c>
      <c r="H7761">
        <v>183.71</v>
      </c>
      <c r="I7761">
        <v>183.7</v>
      </c>
      <c r="J7761">
        <v>0.01</v>
      </c>
    </row>
    <row r="7762" spans="1:10" x14ac:dyDescent="0.3">
      <c r="A7762" t="str">
        <f>HYPERLINK("https://us2.cloudbeds.com/connect/10074733072513#/reservations/31677153530025?display=MH90MUGX2&amp;reservation_id=31677153530025", "MH90MUGX2")</f>
        <v>MH90MUGX2</v>
      </c>
      <c r="B7762" t="s">
        <v>10</v>
      </c>
      <c r="C7762" t="s">
        <v>20</v>
      </c>
      <c r="D7762" t="str">
        <f>HYPERLINK("https://us2.cloudbeds.com/connect/10074733072513#/reservations/31677153530025?display=Downs%20Summer&amp;reservation_id=31677153530025&amp;guest_id=31677153530001", "Downs Summer")</f>
        <v>Downs Summer</v>
      </c>
      <c r="E7762" t="s">
        <v>5722</v>
      </c>
      <c r="F7762" t="s">
        <v>5590</v>
      </c>
      <c r="G7762">
        <v>101.75</v>
      </c>
      <c r="H7762">
        <v>110.61</v>
      </c>
      <c r="I7762">
        <v>110.6</v>
      </c>
      <c r="J7762">
        <v>0.01</v>
      </c>
    </row>
    <row r="7763" spans="1:10" x14ac:dyDescent="0.3">
      <c r="A7763" t="str">
        <f>HYPERLINK("https://us2.cloudbeds.com/connect/10074733072513#/reservations/31678686625942?display=MHA6SM543&amp;reservation_id=31678686625942", "MHA6SM543")</f>
        <v>MHA6SM543</v>
      </c>
      <c r="B7763" t="s">
        <v>10</v>
      </c>
      <c r="C7763" t="s">
        <v>42</v>
      </c>
      <c r="D7763" t="str">
        <f>HYPERLINK("https://us2.cloudbeds.com/connect/10074733072513#/reservations/31678686625942?display=Lori%20Puckett&amp;reservation_id=31678686625942&amp;guest_id=31678686625936", "Lori Puckett")</f>
        <v>Lori Puckett</v>
      </c>
      <c r="E7763" t="s">
        <v>5723</v>
      </c>
      <c r="F7763" t="s">
        <v>5265</v>
      </c>
      <c r="G7763">
        <v>119</v>
      </c>
      <c r="H7763">
        <v>129.36000000000001</v>
      </c>
      <c r="I7763">
        <v>129.35</v>
      </c>
      <c r="J7763">
        <v>0.01</v>
      </c>
    </row>
    <row r="7764" spans="1:10" x14ac:dyDescent="0.3">
      <c r="A7764" t="str">
        <f>HYPERLINK("https://us2.cloudbeds.com/connect/10074733072513#/reservations/31676777865379?display=MH8Z352JU&amp;reservation_id=31676777865379", "MH8Z352JU")</f>
        <v>MH8Z352JU</v>
      </c>
      <c r="B7764" t="s">
        <v>10</v>
      </c>
      <c r="C7764" t="s">
        <v>11</v>
      </c>
      <c r="D7764" t="str">
        <f>HYPERLINK("https://us2.cloudbeds.com/connect/10074733072513#/reservations/31676777865379?display=Lisa%20Roxbury&amp;reservation_id=31676777865379&amp;guest_id=31676770578642", "Lisa Roxbury")</f>
        <v>Lisa Roxbury</v>
      </c>
      <c r="E7764" t="s">
        <v>5725</v>
      </c>
      <c r="F7764" t="s">
        <v>4530</v>
      </c>
      <c r="G7764">
        <v>311.42</v>
      </c>
      <c r="H7764">
        <v>338.52</v>
      </c>
      <c r="I7764">
        <v>338.51</v>
      </c>
      <c r="J7764">
        <v>0.01</v>
      </c>
    </row>
    <row r="7765" spans="1:10" x14ac:dyDescent="0.3">
      <c r="A7765" t="str">
        <f>HYPERLINK("https://us2.cloudbeds.com/connect/10074733072513#/reservations/31676950900954?display=MH8SH21K6&amp;reservation_id=31676950900954", "MH8SH21K6")</f>
        <v>MH8SH21K6</v>
      </c>
      <c r="B7765" t="s">
        <v>10</v>
      </c>
      <c r="C7765" t="s">
        <v>42</v>
      </c>
      <c r="D7765" t="str">
        <f>HYPERLINK("https://us2.cloudbeds.com/connect/10074733072513#/reservations/31676950900954?display=Steve%20Settje&amp;reservation_id=31676950900954&amp;guest_id=31676943790209", "Steve Settje")</f>
        <v>Steve Settje</v>
      </c>
      <c r="E7765" t="s">
        <v>5726</v>
      </c>
      <c r="F7765" t="s">
        <v>5234</v>
      </c>
      <c r="G7765">
        <v>149</v>
      </c>
      <c r="H7765">
        <v>161.97</v>
      </c>
      <c r="I7765">
        <v>161.96</v>
      </c>
      <c r="J7765">
        <v>0.01</v>
      </c>
    </row>
    <row r="7766" spans="1:10" x14ac:dyDescent="0.3">
      <c r="A7766" t="str">
        <f>HYPERLINK("https://us2.cloudbeds.com/connect/10074733072513#/reservations/31677089779928?display=MH8W25XGV&amp;reservation_id=31677089779928", "MH8W25XGV")</f>
        <v>MH8W25XGV</v>
      </c>
      <c r="B7766" t="s">
        <v>10</v>
      </c>
      <c r="C7766" t="s">
        <v>42</v>
      </c>
      <c r="D7766" t="str">
        <f>HYPERLINK("https://us2.cloudbeds.com/connect/10074733072513#/reservations/31677089779928?display=Kiersten%20Graesser&amp;reservation_id=31677089779928&amp;guest_id=31677089779923", "Kiersten Graesser")</f>
        <v>Kiersten Graesser</v>
      </c>
      <c r="E7766" t="s">
        <v>5727</v>
      </c>
      <c r="F7766" t="s">
        <v>5286</v>
      </c>
      <c r="G7766">
        <v>139</v>
      </c>
      <c r="H7766">
        <v>151.1</v>
      </c>
      <c r="I7766">
        <v>151.09</v>
      </c>
      <c r="J7766">
        <v>0.01</v>
      </c>
    </row>
    <row r="7767" spans="1:10" x14ac:dyDescent="0.3">
      <c r="A7767" t="str">
        <f>HYPERLINK("https://us2.cloudbeds.com/connect/10074733072513#/reservations/31675285053594?display=MH7XVCCT5&amp;reservation_id=31675285053594", "MH7XVCCT5")</f>
        <v>MH7XVCCT5</v>
      </c>
      <c r="B7767" t="s">
        <v>10</v>
      </c>
      <c r="C7767" t="s">
        <v>42</v>
      </c>
      <c r="D7767" t="str">
        <f>HYPERLINK("https://us2.cloudbeds.com/connect/10074733072513#/reservations/31675285053594?display=Denise%20Duffy&amp;reservation_id=31675285053594&amp;guest_id=30681456500932", "Denise Duffy")</f>
        <v>Denise Duffy</v>
      </c>
      <c r="E7767" t="s">
        <v>5728</v>
      </c>
      <c r="F7767" t="s">
        <v>5729</v>
      </c>
      <c r="G7767">
        <v>178</v>
      </c>
      <c r="H7767">
        <v>193.5</v>
      </c>
      <c r="I7767">
        <v>193.49</v>
      </c>
      <c r="J7767">
        <v>0.01</v>
      </c>
    </row>
    <row r="7768" spans="1:10" x14ac:dyDescent="0.3">
      <c r="A7768" t="str">
        <f>HYPERLINK("https://us2.cloudbeds.com/connect/10074733072513#/reservations/31679036199164?display=MHAFQEX01&amp;reservation_id=31679036199164", "MHAFQEX01")</f>
        <v>MHAFQEX01</v>
      </c>
      <c r="B7768" t="s">
        <v>10</v>
      </c>
      <c r="C7768" t="s">
        <v>20</v>
      </c>
      <c r="D7768" t="str">
        <f>HYPERLINK("https://us2.cloudbeds.com/connect/10074733072513#/reservations/31679036199164?display=Lisa%20Wargo&amp;reservation_id=31679036199164&amp;guest_id=31679036199148", "Lisa Wargo")</f>
        <v>Lisa Wargo</v>
      </c>
      <c r="E7768" t="s">
        <v>5730</v>
      </c>
      <c r="F7768" t="s">
        <v>5368</v>
      </c>
      <c r="G7768">
        <v>101.75</v>
      </c>
      <c r="H7768">
        <v>110.61</v>
      </c>
      <c r="I7768">
        <v>110.6</v>
      </c>
      <c r="J7768">
        <v>0.01</v>
      </c>
    </row>
    <row r="7769" spans="1:10" x14ac:dyDescent="0.3">
      <c r="A7769" t="str">
        <f>HYPERLINK("https://us2.cloudbeds.com/connect/10074733072513#/reservations/31676986020061?display=MH8TDM9XX&amp;reservation_id=31676986020061", "MH8TDM9XX")</f>
        <v>MH8TDM9XX</v>
      </c>
      <c r="B7769" t="s">
        <v>10</v>
      </c>
      <c r="C7769" t="s">
        <v>11</v>
      </c>
      <c r="D7769" t="str">
        <f>HYPERLINK("https://us2.cloudbeds.com/connect/10074733072513#/reservations/31676986020061?display=Samantha%20Allison&amp;reservation_id=31676986020061&amp;guest_id=31676986020056", "Samantha Allison")</f>
        <v>Samantha Allison</v>
      </c>
      <c r="E7769" t="s">
        <v>5731</v>
      </c>
      <c r="F7769" t="s">
        <v>5590</v>
      </c>
      <c r="G7769">
        <v>80.38</v>
      </c>
      <c r="H7769">
        <v>87.38</v>
      </c>
      <c r="I7769">
        <v>87.37</v>
      </c>
      <c r="J7769">
        <v>0.01</v>
      </c>
    </row>
    <row r="7770" spans="1:10" x14ac:dyDescent="0.3">
      <c r="A7770" t="str">
        <f>HYPERLINK("https://us2.cloudbeds.com/connect/10074733072513#/reservations/31679219228895?display=MHAKFPKCH&amp;reservation_id=31679219228895", "MHAKFPKCH")</f>
        <v>MHAKFPKCH</v>
      </c>
      <c r="B7770" t="s">
        <v>10</v>
      </c>
      <c r="C7770" t="s">
        <v>11</v>
      </c>
      <c r="D7770" t="str">
        <f>HYPERLINK("https://us2.cloudbeds.com/connect/10074733072513#/reservations/31679219228895?display=Nicole%20Gilbert&amp;reservation_id=31679219228895&amp;guest_id=31679219228892", "Nicole Gilbert")</f>
        <v>Nicole Gilbert</v>
      </c>
      <c r="E7770" t="s">
        <v>1319</v>
      </c>
      <c r="F7770" t="s">
        <v>5029</v>
      </c>
      <c r="G7770">
        <v>106.8</v>
      </c>
      <c r="H7770">
        <v>116.1</v>
      </c>
      <c r="I7770">
        <v>116.09</v>
      </c>
      <c r="J7770">
        <v>0.01</v>
      </c>
    </row>
    <row r="7771" spans="1:10" x14ac:dyDescent="0.3">
      <c r="A7771" t="str">
        <f>HYPERLINK("https://us2.cloudbeds.com/connect/10074733072513#/reservations/31677220159711?display=MH92D3XRF&amp;reservation_id=31677220159711", "MH92D3XRF")</f>
        <v>MH92D3XRF</v>
      </c>
      <c r="B7771" t="s">
        <v>10</v>
      </c>
      <c r="C7771" t="s">
        <v>121</v>
      </c>
      <c r="D7771" t="str">
        <f>HYPERLINK("https://us2.cloudbeds.com/connect/10074733072513#/reservations/31677220159711?display=Timothy%20Robert%20Rhode&amp;reservation_id=31677220159711&amp;guest_id=31675254890744", "Timothy Robert Rhode")</f>
        <v>Timothy Robert Rhode</v>
      </c>
      <c r="E7771" t="s">
        <v>5734</v>
      </c>
      <c r="F7771" t="s">
        <v>5703</v>
      </c>
      <c r="G7771">
        <v>119</v>
      </c>
      <c r="H7771">
        <v>129.36000000000001</v>
      </c>
      <c r="I7771">
        <v>129.35</v>
      </c>
      <c r="J7771">
        <v>0.01</v>
      </c>
    </row>
    <row r="7772" spans="1:10" x14ac:dyDescent="0.3">
      <c r="A7772" t="str">
        <f>HYPERLINK("https://us2.cloudbeds.com/connect/10074733072513#/reservations/31677203091634?display=MH91VNKM0&amp;reservation_id=31677203091634", "MH91VNKM0")</f>
        <v>MH91VNKM0</v>
      </c>
      <c r="B7772" t="s">
        <v>10</v>
      </c>
      <c r="C7772" t="s">
        <v>121</v>
      </c>
      <c r="D7772" t="str">
        <f>HYPERLINK("https://us2.cloudbeds.com/connect/10074733072513#/reservations/31677203091634?display=Rafael%20Rosario&amp;reservation_id=31677203091634&amp;guest_id=31677031792855", "Rafael Rosario")</f>
        <v>Rafael Rosario</v>
      </c>
      <c r="E7772" t="s">
        <v>5719</v>
      </c>
      <c r="F7772" t="s">
        <v>5703</v>
      </c>
      <c r="G7772">
        <v>119</v>
      </c>
      <c r="H7772">
        <v>129.36000000000001</v>
      </c>
      <c r="I7772">
        <v>129.35</v>
      </c>
      <c r="J7772">
        <v>0.01</v>
      </c>
    </row>
    <row r="7773" spans="1:10" x14ac:dyDescent="0.3">
      <c r="A7773" t="str">
        <f>HYPERLINK("https://us2.cloudbeds.com/connect/10074733072513#/reservations/31680611934461?display=MHBN24N6F&amp;reservation_id=31680611934461", "MHBN24N6F")</f>
        <v>MHBN24N6F</v>
      </c>
      <c r="B7773" t="s">
        <v>10</v>
      </c>
      <c r="C7773" t="s">
        <v>42</v>
      </c>
      <c r="D7773" t="str">
        <f>HYPERLINK("https://us2.cloudbeds.com/connect/10074733072513#/reservations/31680611934461?display=Nikki%20Hardin&amp;reservation_id=31680611934461&amp;guest_id=31680611934458", "Nikki Hardin")</f>
        <v>Nikki Hardin</v>
      </c>
      <c r="E7773" t="s">
        <v>5735</v>
      </c>
      <c r="F7773" t="s">
        <v>5366</v>
      </c>
      <c r="G7773">
        <v>149</v>
      </c>
      <c r="H7773">
        <v>161.97</v>
      </c>
      <c r="I7773">
        <v>161.96</v>
      </c>
      <c r="J7773">
        <v>0.01</v>
      </c>
    </row>
    <row r="7774" spans="1:10" x14ac:dyDescent="0.3">
      <c r="A7774" t="str">
        <f>HYPERLINK("https://us2.cloudbeds.com/connect/10074733072513#/reservations/31675238584458?display=MH7HP6AGH&amp;reservation_id=31675238584458", "MH7HP6AGH")</f>
        <v>MH7HP6AGH</v>
      </c>
      <c r="B7774" t="s">
        <v>10</v>
      </c>
      <c r="C7774" t="s">
        <v>42</v>
      </c>
      <c r="D7774" t="str">
        <f>HYPERLINK("https://us2.cloudbeds.com/connect/10074733072513#/reservations/31675238584458?display=Tracy%20Steven%20Moore&amp;reservation_id=31675238584458&amp;guest_id=31672468132052", "Tracy Steven Moore")</f>
        <v>Tracy Steven Moore</v>
      </c>
      <c r="E7774" t="s">
        <v>5095</v>
      </c>
      <c r="F7774" t="s">
        <v>5729</v>
      </c>
      <c r="G7774">
        <v>73</v>
      </c>
      <c r="H7774">
        <v>79.36</v>
      </c>
      <c r="I7774">
        <v>79.349999999999994</v>
      </c>
      <c r="J7774">
        <v>0.01</v>
      </c>
    </row>
    <row r="7775" spans="1:10" x14ac:dyDescent="0.3">
      <c r="A7775" t="str">
        <f>HYPERLINK("https://us2.cloudbeds.com/connect/10074733072513#/reservations/31682729177256?display=MHDB5F3F2&amp;reservation_id=31682729177256", "MHDB5F3F2")</f>
        <v>MHDB5F3F2</v>
      </c>
      <c r="B7775" t="s">
        <v>10</v>
      </c>
      <c r="C7775" t="s">
        <v>42</v>
      </c>
      <c r="D7775" t="str">
        <f>HYPERLINK("https://us2.cloudbeds.com/connect/10074733072513#/reservations/31682729177256?display=Cody%20Schoenrock&amp;reservation_id=31682729177256&amp;guest_id=31682718998732", "Cody Schoenrock")</f>
        <v>Cody Schoenrock</v>
      </c>
      <c r="E7775" t="s">
        <v>5740</v>
      </c>
      <c r="F7775" t="s">
        <v>5741</v>
      </c>
      <c r="G7775">
        <v>149</v>
      </c>
      <c r="H7775">
        <v>161.97</v>
      </c>
      <c r="I7775">
        <v>161.96</v>
      </c>
      <c r="J7775">
        <v>0.01</v>
      </c>
    </row>
    <row r="7776" spans="1:10" x14ac:dyDescent="0.3">
      <c r="A7776" t="str">
        <f>HYPERLINK("https://us2.cloudbeds.com/connect/10074733072513#/reservations/31682735042802?display=MHDBADAKT&amp;reservation_id=31682735042802", "MHDBADAKT")</f>
        <v>MHDBADAKT</v>
      </c>
      <c r="B7776" t="s">
        <v>10</v>
      </c>
      <c r="C7776" t="s">
        <v>42</v>
      </c>
      <c r="D7776" t="str">
        <f>HYPERLINK("https://us2.cloudbeds.com/connect/10074733072513#/reservations/31682735042802?display=Marrisa%20Leander&amp;reservation_id=31682735042802&amp;guest_id=31682735042753", "Marrisa Leander")</f>
        <v>Marrisa Leander</v>
      </c>
      <c r="E7776" t="s">
        <v>5742</v>
      </c>
      <c r="F7776" t="s">
        <v>5741</v>
      </c>
      <c r="G7776">
        <v>149</v>
      </c>
      <c r="H7776">
        <v>161.97</v>
      </c>
      <c r="I7776">
        <v>161.96</v>
      </c>
      <c r="J7776">
        <v>0.01</v>
      </c>
    </row>
    <row r="7777" spans="1:10" x14ac:dyDescent="0.3">
      <c r="A7777" t="str">
        <f>HYPERLINK("https://us2.cloudbeds.com/connect/10074733072513#/reservations/31675259723922?display=MH7XA0XAB&amp;reservation_id=31675259723922", "MH7XA0XAB")</f>
        <v>MH7XA0XAB</v>
      </c>
      <c r="B7777" t="s">
        <v>10</v>
      </c>
      <c r="C7777" t="s">
        <v>42</v>
      </c>
      <c r="D7777" t="str">
        <f>HYPERLINK("https://us2.cloudbeds.com/connect/10074733072513#/reservations/31675259723922?display=Timothy%20Robert%20Rhode&amp;reservation_id=31675259723922&amp;guest_id=31675254890744", "Timothy Robert Rhode")</f>
        <v>Timothy Robert Rhode</v>
      </c>
      <c r="E7777" t="s">
        <v>5734</v>
      </c>
      <c r="F7777" t="s">
        <v>5729</v>
      </c>
      <c r="G7777">
        <v>119</v>
      </c>
      <c r="H7777">
        <v>129.36000000000001</v>
      </c>
      <c r="I7777">
        <v>129.35</v>
      </c>
      <c r="J7777">
        <v>0.01</v>
      </c>
    </row>
    <row r="7778" spans="1:10" x14ac:dyDescent="0.3">
      <c r="A7778" t="str">
        <f>HYPERLINK("https://us2.cloudbeds.com/connect/10074733072513#/reservations/31676756087005?display=MH8NHQ236&amp;reservation_id=31676756087005", "MH8NHQ236")</f>
        <v>MH8NHQ236</v>
      </c>
      <c r="B7778" t="s">
        <v>10</v>
      </c>
      <c r="C7778" t="s">
        <v>42</v>
      </c>
      <c r="D7778" t="str">
        <f>HYPERLINK("https://us2.cloudbeds.com/connect/10074733072513#/reservations/31676756087005?display=Katie%20Bortnem&amp;reservation_id=31676756087005&amp;guest_id=31676756082919", "Katie Bortnem")</f>
        <v>Katie Bortnem</v>
      </c>
      <c r="E7778" t="s">
        <v>5743</v>
      </c>
      <c r="F7778" t="s">
        <v>4530</v>
      </c>
      <c r="G7778">
        <v>149</v>
      </c>
      <c r="H7778">
        <v>161.97</v>
      </c>
      <c r="I7778">
        <v>161.96</v>
      </c>
      <c r="J7778">
        <v>0.01</v>
      </c>
    </row>
    <row r="7779" spans="1:10" x14ac:dyDescent="0.3">
      <c r="A7779" t="str">
        <f>HYPERLINK("https://us2.cloudbeds.com/connect/10074733072513#/reservations/31686380978347?display=MHG5FZS56&amp;reservation_id=31686380978347", "MHG5FZS56")</f>
        <v>MHG5FZS56</v>
      </c>
      <c r="B7779" t="s">
        <v>10</v>
      </c>
      <c r="C7779" t="s">
        <v>42</v>
      </c>
      <c r="D7779" t="str">
        <f>HYPERLINK("https://us2.cloudbeds.com/connect/10074733072513#/reservations/31686380978347?display=Russel%20Davis&amp;reservation_id=31686380978347&amp;guest_id=31686380978345", "Russel Davis")</f>
        <v>Russel Davis</v>
      </c>
      <c r="E7779" t="s">
        <v>5744</v>
      </c>
      <c r="F7779" t="s">
        <v>5745</v>
      </c>
      <c r="G7779">
        <v>149</v>
      </c>
      <c r="H7779">
        <v>161.97</v>
      </c>
      <c r="I7779">
        <v>161.96</v>
      </c>
      <c r="J7779">
        <v>0.01</v>
      </c>
    </row>
    <row r="7780" spans="1:10" x14ac:dyDescent="0.3">
      <c r="A7780" t="str">
        <f>HYPERLINK("https://us2.cloudbeds.com/connect/10074733072513#/reservations/31686338183372?display=MHG4CM0YP&amp;reservation_id=31686338183372", "MHG4CM0YP")</f>
        <v>MHG4CM0YP</v>
      </c>
      <c r="B7780" t="s">
        <v>10</v>
      </c>
      <c r="C7780" t="s">
        <v>42</v>
      </c>
      <c r="D7780" t="str">
        <f>HYPERLINK("https://us2.cloudbeds.com/connect/10074733072513#/reservations/31686338183372?display=Mitchell%20Schoenrock&amp;reservation_id=31686338183372&amp;guest_id=31686338183370", "Mitchell Schoenrock")</f>
        <v>Mitchell Schoenrock</v>
      </c>
      <c r="E7780" t="s">
        <v>5746</v>
      </c>
      <c r="F7780" t="s">
        <v>5745</v>
      </c>
      <c r="G7780">
        <v>298</v>
      </c>
      <c r="H7780">
        <v>323.94</v>
      </c>
      <c r="I7780">
        <v>323.93</v>
      </c>
      <c r="J7780">
        <v>0.01</v>
      </c>
    </row>
    <row r="7781" spans="1:10" x14ac:dyDescent="0.3">
      <c r="A7781" t="str">
        <f>HYPERLINK("https://us2.cloudbeds.com/connect/10074733072513#/reservations/31685988012179?display=MHFSECWMG&amp;reservation_id=31685988012179", "MHFSECWMG")</f>
        <v>MHFSECWMG</v>
      </c>
      <c r="B7781" t="s">
        <v>10</v>
      </c>
      <c r="C7781" t="s">
        <v>42</v>
      </c>
      <c r="D7781" t="str">
        <f>HYPERLINK("https://us2.cloudbeds.com/connect/10074733072513#/reservations/31685988012179?display=Angela%20Schoenrock&amp;reservation_id=31685988012179&amp;guest_id=31685988012167", "Angela Schoenrock")</f>
        <v>Angela Schoenrock</v>
      </c>
      <c r="E7781" t="s">
        <v>5747</v>
      </c>
      <c r="F7781" t="s">
        <v>5745</v>
      </c>
      <c r="G7781">
        <v>318</v>
      </c>
      <c r="H7781">
        <v>345.68</v>
      </c>
      <c r="I7781">
        <v>345.67</v>
      </c>
      <c r="J7781">
        <v>0.01</v>
      </c>
    </row>
    <row r="7782" spans="1:10" x14ac:dyDescent="0.3">
      <c r="A7782" t="str">
        <f>HYPERLINK("https://us2.cloudbeds.com/connect/10074733072513#/reservations/31678019854518?display=MH9MRE8GE&amp;reservation_id=31678019854518", "MH9MRE8GE")</f>
        <v>MH9MRE8GE</v>
      </c>
      <c r="B7782" t="s">
        <v>10</v>
      </c>
      <c r="C7782" t="s">
        <v>42</v>
      </c>
      <c r="D7782" t="str">
        <f>HYPERLINK("https://us2.cloudbeds.com/connect/10074733072513#/reservations/31678019854518?display=Shauna%20Meyerink&amp;reservation_id=31678019854518&amp;guest_id=31678010331353", "Shauna Meyerink")</f>
        <v>Shauna Meyerink</v>
      </c>
      <c r="E7782" t="s">
        <v>5748</v>
      </c>
      <c r="F7782" t="s">
        <v>5286</v>
      </c>
      <c r="G7782">
        <v>129</v>
      </c>
      <c r="H7782">
        <v>140.22999999999999</v>
      </c>
      <c r="I7782">
        <v>140.22</v>
      </c>
      <c r="J7782">
        <v>0.01</v>
      </c>
    </row>
    <row r="7783" spans="1:10" x14ac:dyDescent="0.3">
      <c r="A7783" t="str">
        <f>HYPERLINK("https://us2.cloudbeds.com/connect/10074733072513#/reservations/31675662180566?display=MH7SJCGY7&amp;reservation_id=31675662180566", "MH7SJCGY7")</f>
        <v>MH7SJCGY7</v>
      </c>
      <c r="B7783" t="s">
        <v>10</v>
      </c>
      <c r="C7783" t="s">
        <v>121</v>
      </c>
      <c r="D7783" t="str">
        <f>HYPERLINK("https://us2.cloudbeds.com/connect/10074733072513#/reservations/31675662180566?display=Preston%20Heflin&amp;reservation_id=31675662180566&amp;guest_id=31675662180564", "Preston Heflin")</f>
        <v>Preston Heflin</v>
      </c>
      <c r="E7783" t="s">
        <v>5749</v>
      </c>
      <c r="F7783" t="s">
        <v>5729</v>
      </c>
      <c r="G7783">
        <v>119</v>
      </c>
      <c r="H7783">
        <v>129.36000000000001</v>
      </c>
      <c r="I7783">
        <v>129.35</v>
      </c>
      <c r="J7783">
        <v>0.01</v>
      </c>
    </row>
    <row r="7784" spans="1:10" x14ac:dyDescent="0.3">
      <c r="A7784" t="str">
        <f>HYPERLINK("https://us2.cloudbeds.com/connect/10074733072513#/reservations/31679462637797?display=MHAQN0RBS&amp;reservation_id=31679462637797", "MHAQN0RBS")</f>
        <v>MHAQN0RBS</v>
      </c>
      <c r="B7784" t="s">
        <v>10</v>
      </c>
      <c r="C7784" t="s">
        <v>42</v>
      </c>
      <c r="D7784" t="str">
        <f>HYPERLINK("https://us2.cloudbeds.com/connect/10074733072513#/reservations/31679462637797?display=Austin%20Swanson&amp;reservation_id=31679462637797&amp;guest_id=31679452762259", "Austin Swanson")</f>
        <v>Austin Swanson</v>
      </c>
      <c r="E7784" t="s">
        <v>5750</v>
      </c>
      <c r="F7784" t="s">
        <v>5366</v>
      </c>
      <c r="G7784">
        <v>298</v>
      </c>
      <c r="H7784">
        <v>323.94</v>
      </c>
      <c r="I7784">
        <v>323.93</v>
      </c>
      <c r="J7784">
        <v>0.01</v>
      </c>
    </row>
    <row r="7785" spans="1:10" x14ac:dyDescent="0.3">
      <c r="A7785" t="str">
        <f>HYPERLINK("https://us2.cloudbeds.com/connect/10074733072513#/reservations/31675053301892?display=MH7D0VXDA&amp;reservation_id=31675053301892", "MH7D0VXDA")</f>
        <v>MH7D0VXDA</v>
      </c>
      <c r="B7785" t="s">
        <v>10</v>
      </c>
      <c r="C7785" t="s">
        <v>121</v>
      </c>
      <c r="D7785" t="str">
        <f>HYPERLINK("https://us2.cloudbeds.com/connect/10074733072513#/reservations/31675053301892?display=Antonio%20Ferrer&amp;reservation_id=31675053301892&amp;guest_id=31675053297849", "Antonio Ferrer")</f>
        <v>Antonio Ferrer</v>
      </c>
      <c r="E7785" t="s">
        <v>5751</v>
      </c>
      <c r="F7785" t="s">
        <v>5646</v>
      </c>
      <c r="G7785">
        <v>321.3</v>
      </c>
      <c r="H7785">
        <v>349.26</v>
      </c>
      <c r="I7785">
        <v>349.25</v>
      </c>
      <c r="J7785">
        <v>0.01</v>
      </c>
    </row>
    <row r="7786" spans="1:10" x14ac:dyDescent="0.3">
      <c r="A7786" t="str">
        <f>HYPERLINK("https://us2.cloudbeds.com/connect/10074733072513#/reservations/31679517376725?display=MHAS360M8&amp;reservation_id=31679517376725", "MHAS360M8")</f>
        <v>MHAS360M8</v>
      </c>
      <c r="B7786" t="s">
        <v>10</v>
      </c>
      <c r="C7786" t="s">
        <v>42</v>
      </c>
      <c r="D7786" t="str">
        <f>HYPERLINK("https://us2.cloudbeds.com/connect/10074733072513#/reservations/31679517376725?display=Gail%20Eilers&amp;reservation_id=31679517376725&amp;guest_id=31679517376714", "Gail Eilers")</f>
        <v>Gail Eilers</v>
      </c>
      <c r="E7786" t="s">
        <v>5752</v>
      </c>
      <c r="F7786" t="s">
        <v>3061</v>
      </c>
      <c r="G7786">
        <v>129</v>
      </c>
      <c r="H7786">
        <v>140.22999999999999</v>
      </c>
      <c r="I7786">
        <v>140.22</v>
      </c>
      <c r="J7786">
        <v>0.01</v>
      </c>
    </row>
    <row r="7787" spans="1:10" x14ac:dyDescent="0.3">
      <c r="A7787" t="str">
        <f>HYPERLINK("https://us2.cloudbeds.com/connect/10074733072513#/reservations/31675719381138?display=MH7U1K6DT&amp;reservation_id=31675719381138", "MH7U1K6DT")</f>
        <v>MH7U1K6DT</v>
      </c>
      <c r="B7787" t="s">
        <v>10</v>
      </c>
      <c r="C7787" t="s">
        <v>42</v>
      </c>
      <c r="D7787" t="str">
        <f>HYPERLINK("https://us2.cloudbeds.com/connect/10074733072513#/reservations/31675719381138?display=Donna%20Ringling&amp;reservation_id=31675719381138&amp;guest_id=31671543861461", "Donna Ringling")</f>
        <v>Donna Ringling</v>
      </c>
      <c r="E7787" t="s">
        <v>5753</v>
      </c>
      <c r="F7787" t="s">
        <v>5627</v>
      </c>
      <c r="G7787">
        <v>89</v>
      </c>
      <c r="H7787">
        <v>96.75</v>
      </c>
      <c r="I7787">
        <v>96.74</v>
      </c>
      <c r="J7787">
        <v>0.01</v>
      </c>
    </row>
    <row r="7788" spans="1:10" x14ac:dyDescent="0.3">
      <c r="A7788" t="str">
        <f>HYPERLINK("https://us2.cloudbeds.com/connect/10074733072513#/reservations/31675765362942?display=MH7V7CN9T&amp;reservation_id=31675765362942", "MH7V7CN9T")</f>
        <v>MH7V7CN9T</v>
      </c>
      <c r="B7788" t="s">
        <v>10</v>
      </c>
      <c r="C7788" t="s">
        <v>42</v>
      </c>
      <c r="D7788" t="str">
        <f>HYPERLINK("https://us2.cloudbeds.com/connect/10074733072513#/reservations/31675765362942?display=Dan%20Kahlstorf&amp;reservation_id=31675765362942&amp;guest_id=31675022897303", "Dan Kahlstorf")</f>
        <v>Dan Kahlstorf</v>
      </c>
      <c r="E7788" t="s">
        <v>5754</v>
      </c>
      <c r="F7788" t="s">
        <v>5627</v>
      </c>
      <c r="G7788">
        <v>73</v>
      </c>
      <c r="H7788">
        <v>79.36</v>
      </c>
      <c r="I7788">
        <v>79.349999999999994</v>
      </c>
      <c r="J7788">
        <v>0.01</v>
      </c>
    </row>
    <row r="7789" spans="1:10" x14ac:dyDescent="0.3">
      <c r="A7789" t="str">
        <f>HYPERLINK("https://us2.cloudbeds.com/connect/10074733072513#/reservations/31675074060445?display=MH7DXF6EC&amp;reservation_id=31675074060445", "MH7DXF6EC")</f>
        <v>MH7DXF6EC</v>
      </c>
      <c r="B7789" t="s">
        <v>10</v>
      </c>
      <c r="C7789" t="s">
        <v>42</v>
      </c>
      <c r="D7789" t="str">
        <f>HYPERLINK("https://us2.cloudbeds.com/connect/10074733072513#/reservations/31675074060445?display=Herke%20Joffer&amp;reservation_id=31675074060445&amp;guest_id=31675074056348", "Herke Joffer")</f>
        <v>Herke Joffer</v>
      </c>
      <c r="E7789" t="s">
        <v>5755</v>
      </c>
      <c r="F7789" t="s">
        <v>5646</v>
      </c>
      <c r="G7789">
        <v>198</v>
      </c>
      <c r="H7789">
        <v>215.24</v>
      </c>
      <c r="I7789">
        <v>215.23</v>
      </c>
      <c r="J7789">
        <v>0.01</v>
      </c>
    </row>
    <row r="7790" spans="1:10" x14ac:dyDescent="0.3">
      <c r="A7790" t="str">
        <f>HYPERLINK("https://us2.cloudbeds.com/connect/10074733072513#/reservations/31675773944022?display=MH7VEKG2K&amp;reservation_id=31675773944022", "MH7VEKG2K")</f>
        <v>MH7VEKG2K</v>
      </c>
      <c r="B7790" t="s">
        <v>10</v>
      </c>
      <c r="C7790" t="s">
        <v>42</v>
      </c>
      <c r="D7790" t="str">
        <f>HYPERLINK("https://us2.cloudbeds.com/connect/10074733072513#/reservations/31675773944022?display=Tim%20Reha&amp;reservation_id=31675773944022&amp;guest_id=31675773944020", "Tim Reha")</f>
        <v>Tim Reha</v>
      </c>
      <c r="E7790" t="s">
        <v>5756</v>
      </c>
      <c r="F7790" t="s">
        <v>5627</v>
      </c>
      <c r="G7790">
        <v>73</v>
      </c>
      <c r="H7790">
        <v>79.36</v>
      </c>
      <c r="I7790">
        <v>79.349999999999994</v>
      </c>
      <c r="J7790">
        <v>0.01</v>
      </c>
    </row>
    <row r="7791" spans="1:10" x14ac:dyDescent="0.3">
      <c r="A7791" t="str">
        <f>HYPERLINK("https://us2.cloudbeds.com/connect/10074733072513#/reservations/31677074432209?display=MH8VM7G3X&amp;reservation_id=31677074432209", "MH8VM7G3X")</f>
        <v>MH8VM7G3X</v>
      </c>
      <c r="B7791" t="s">
        <v>10</v>
      </c>
      <c r="C7791" t="s">
        <v>42</v>
      </c>
      <c r="D7791" t="str">
        <f>HYPERLINK("https://us2.cloudbeds.com/connect/10074733072513#/reservations/31677074432209?display=Troy%20Aaron%20Schaunaman&amp;reservation_id=31677074432209&amp;guest_id=31677074432206", "Troy Aaron Schaunaman")</f>
        <v>Troy Aaron Schaunaman</v>
      </c>
      <c r="E7791" t="s">
        <v>5757</v>
      </c>
      <c r="F7791" t="s">
        <v>5286</v>
      </c>
      <c r="G7791">
        <v>199</v>
      </c>
      <c r="H7791">
        <v>216.32</v>
      </c>
      <c r="I7791">
        <v>216.31</v>
      </c>
      <c r="J7791">
        <v>0.01</v>
      </c>
    </row>
    <row r="7792" spans="1:10" x14ac:dyDescent="0.3">
      <c r="A7792" t="str">
        <f>HYPERLINK("https://us2.cloudbeds.com/connect/10074733072513#/reservations/31683472892101?display=MHDU5J26X&amp;reservation_id=31683472892101", "MHDU5J26X")</f>
        <v>MHDU5J26X</v>
      </c>
      <c r="B7792" t="s">
        <v>10</v>
      </c>
      <c r="C7792" t="s">
        <v>42</v>
      </c>
      <c r="D7792" t="str">
        <f>HYPERLINK("https://us2.cloudbeds.com/connect/10074733072513#/reservations/31683472892101?display=Jusin%20Vietor&amp;reservation_id=31683472892101&amp;guest_id=31683472892096", "Jusin Vietor")</f>
        <v>Jusin Vietor</v>
      </c>
      <c r="E7792" t="s">
        <v>5758</v>
      </c>
      <c r="F7792" t="s">
        <v>5140</v>
      </c>
      <c r="G7792">
        <v>139</v>
      </c>
      <c r="H7792">
        <v>151.1</v>
      </c>
      <c r="I7792">
        <v>151.09</v>
      </c>
      <c r="J7792">
        <v>0.01</v>
      </c>
    </row>
    <row r="7793" spans="1:10" x14ac:dyDescent="0.3">
      <c r="A7793" t="str">
        <f>HYPERLINK("https://us2.cloudbeds.com/connect/10074733072513#/reservations/31675232084212?display=MH7HJNEGC&amp;reservation_id=31675232084212", "MH7HJNEGC")</f>
        <v>MH7HJNEGC</v>
      </c>
      <c r="B7793" t="s">
        <v>10</v>
      </c>
      <c r="C7793" t="s">
        <v>121</v>
      </c>
      <c r="D7793" t="str">
        <f>HYPERLINK("https://us2.cloudbeds.com/connect/10074733072513#/reservations/31675232084212?display=Joseph%20Klein&amp;reservation_id=31675232084212&amp;guest_id=31675232084200", "Joseph Klein")</f>
        <v>Joseph Klein</v>
      </c>
      <c r="E7793" t="s">
        <v>5759</v>
      </c>
      <c r="F7793" t="s">
        <v>5729</v>
      </c>
      <c r="G7793">
        <v>79</v>
      </c>
      <c r="H7793">
        <v>85.88</v>
      </c>
      <c r="I7793">
        <v>85.87</v>
      </c>
      <c r="J7793">
        <v>0.01</v>
      </c>
    </row>
    <row r="7794" spans="1:10" x14ac:dyDescent="0.3">
      <c r="A7794" t="str">
        <f>HYPERLINK("https://us2.cloudbeds.com/connect/10074733072513#/reservations/31676801847527?display=MH8ZNCDPM&amp;reservation_id=31676801847527", "MH8ZNCDPM")</f>
        <v>MH8ZNCDPM</v>
      </c>
      <c r="B7794" t="s">
        <v>10</v>
      </c>
      <c r="C7794" t="s">
        <v>17</v>
      </c>
      <c r="D7794" t="str">
        <f>HYPERLINK("https://us2.cloudbeds.com/connect/10074733072513#/reservations/31676801847527?display=Randy%20Anderson&amp;reservation_id=31676801847527&amp;guest_id=31676791611540", "Randy Anderson")</f>
        <v>Randy Anderson</v>
      </c>
      <c r="E7794" t="s">
        <v>5760</v>
      </c>
      <c r="F7794" t="s">
        <v>3650</v>
      </c>
      <c r="G7794">
        <v>599.4</v>
      </c>
      <c r="H7794">
        <v>651.55999999999995</v>
      </c>
      <c r="I7794">
        <v>651.54999999999995</v>
      </c>
      <c r="J7794">
        <v>0.01</v>
      </c>
    </row>
    <row r="7795" spans="1:10" x14ac:dyDescent="0.3">
      <c r="A7795" t="str">
        <f>HYPERLINK("https://us2.cloudbeds.com/connect/10074733072513#/reservations/31676158591197?display=MH888VSEK&amp;reservation_id=31676158591197", "MH888VSEK")</f>
        <v>MH888VSEK</v>
      </c>
      <c r="B7795" t="s">
        <v>10</v>
      </c>
      <c r="C7795" t="s">
        <v>23</v>
      </c>
      <c r="D7795" t="str">
        <f>HYPERLINK("https://us2.cloudbeds.com/connect/10074733072513#/reservations/31676158591197?display=Andrew%20Tejral&amp;reservation_id=31676158591197&amp;guest_id=31676158591192", "Andrew Tejral")</f>
        <v>Andrew Tejral</v>
      </c>
      <c r="E7795" t="s">
        <v>5763</v>
      </c>
      <c r="F7795" t="s">
        <v>4164</v>
      </c>
      <c r="G7795">
        <v>209</v>
      </c>
      <c r="H7795">
        <v>227.19</v>
      </c>
      <c r="I7795">
        <v>227.18</v>
      </c>
      <c r="J7795">
        <v>0.01</v>
      </c>
    </row>
    <row r="7796" spans="1:10" x14ac:dyDescent="0.3">
      <c r="A7796" t="str">
        <f>HYPERLINK("https://us2.cloudbeds.com/connect/10074733072513#/reservations/31677915836612?display=MH9K5NQJM&amp;reservation_id=31677915836612", "MH9K5NQJM")</f>
        <v>MH9K5NQJM</v>
      </c>
      <c r="B7796" t="s">
        <v>10</v>
      </c>
      <c r="C7796" t="s">
        <v>42</v>
      </c>
      <c r="D7796" t="str">
        <f>HYPERLINK("https://us2.cloudbeds.com/connect/10074733072513#/reservations/31677915836612?display=Deanna%20High%20School%20Faith&amp;reservation_id=31677915836612&amp;guest_id=31677915832557", "Deanna High School Faith")</f>
        <v>Deanna High School Faith</v>
      </c>
      <c r="E7796" t="s">
        <v>5764</v>
      </c>
      <c r="F7796" t="s">
        <v>5200</v>
      </c>
      <c r="G7796">
        <v>377</v>
      </c>
      <c r="H7796">
        <v>409.81</v>
      </c>
      <c r="I7796">
        <v>409.8</v>
      </c>
      <c r="J7796">
        <v>0.01</v>
      </c>
    </row>
    <row r="7797" spans="1:10" x14ac:dyDescent="0.3">
      <c r="A7797" t="str">
        <f>HYPERLINK("https://us2.cloudbeds.com/connect/10074733072513#/reservations/31676167033034?display=MH88G2PBS&amp;reservation_id=31676167033034", "MH88G2PBS")</f>
        <v>MH88G2PBS</v>
      </c>
      <c r="B7797" t="s">
        <v>10</v>
      </c>
      <c r="C7797" t="s">
        <v>42</v>
      </c>
      <c r="D7797" t="str">
        <f>HYPERLINK("https://us2.cloudbeds.com/connect/10074733072513#/reservations/31676167033034?display=Kevin%20Campbell&amp;reservation_id=31676167033034&amp;guest_id=31671815106813", "Kevin Campbell")</f>
        <v>Kevin Campbell</v>
      </c>
      <c r="E7797" t="s">
        <v>5765</v>
      </c>
      <c r="F7797" t="s">
        <v>5766</v>
      </c>
      <c r="G7797">
        <v>89</v>
      </c>
      <c r="H7797">
        <v>96.75</v>
      </c>
      <c r="I7797">
        <v>96.74</v>
      </c>
      <c r="J7797">
        <v>0.01</v>
      </c>
    </row>
    <row r="7798" spans="1:10" x14ac:dyDescent="0.3">
      <c r="A7798" t="str">
        <f>HYPERLINK("https://us2.cloudbeds.com/connect/10074733072513#/reservations/31676191293681?display=MH893HS8W&amp;reservation_id=31676191293681", "MH893HS8W")</f>
        <v>MH893HS8W</v>
      </c>
      <c r="B7798" t="s">
        <v>10</v>
      </c>
      <c r="C7798" t="s">
        <v>42</v>
      </c>
      <c r="D7798" t="str">
        <f>HYPERLINK("https://us2.cloudbeds.com/connect/10074733072513#/reservations/31676191293681?display=George%20Czarnecki&amp;reservation_id=31676191293681&amp;guest_id=31676178186456", "George Czarnecki")</f>
        <v>George Czarnecki</v>
      </c>
      <c r="E7798" t="s">
        <v>5765</v>
      </c>
      <c r="F7798" t="s">
        <v>5766</v>
      </c>
      <c r="G7798">
        <v>89</v>
      </c>
      <c r="H7798">
        <v>96.75</v>
      </c>
      <c r="I7798">
        <v>96.74</v>
      </c>
      <c r="J7798">
        <v>0.01</v>
      </c>
    </row>
    <row r="7799" spans="1:10" x14ac:dyDescent="0.3">
      <c r="A7799" t="str">
        <f>HYPERLINK("https://us2.cloudbeds.com/connect/10074733072513#/reservations/31677931098249?display=MH9KXJFVH&amp;reservation_id=31677931098249", "MH9KXJFVH")</f>
        <v>MH9KXJFVH</v>
      </c>
      <c r="B7799" t="s">
        <v>10</v>
      </c>
      <c r="C7799" t="s">
        <v>42</v>
      </c>
      <c r="D7799" t="str">
        <f>HYPERLINK("https://us2.cloudbeds.com/connect/10074733072513#/reservations/31677931098249?display=Doug%20High%20School%20Faith&amp;reservation_id=31677931098249&amp;guest_id=31677921374442", "Doug High School Faith")</f>
        <v>Doug High School Faith</v>
      </c>
      <c r="E7799" t="s">
        <v>5764</v>
      </c>
      <c r="F7799" t="s">
        <v>5200</v>
      </c>
      <c r="G7799">
        <v>377</v>
      </c>
      <c r="H7799">
        <v>409.81</v>
      </c>
      <c r="I7799">
        <v>409.8</v>
      </c>
      <c r="J7799">
        <v>0.01</v>
      </c>
    </row>
    <row r="7800" spans="1:10" x14ac:dyDescent="0.3">
      <c r="A7800" t="str">
        <f>HYPERLINK("https://us2.cloudbeds.com/connect/10074733072513#/reservations/31675681362070?display=MH7T2X8GU&amp;reservation_id=31675681362070", "MH7T2X8GU")</f>
        <v>MH7T2X8GU</v>
      </c>
      <c r="B7800" t="s">
        <v>10</v>
      </c>
      <c r="C7800" t="s">
        <v>121</v>
      </c>
      <c r="D7800" t="str">
        <f>HYPERLINK("https://us2.cloudbeds.com/connect/10074733072513#/reservations/31675681362070?display=Cynthia%20Withrow&amp;reservation_id=31675681362070&amp;guest_id=31675681362065", "Cynthia Withrow")</f>
        <v>Cynthia Withrow</v>
      </c>
      <c r="E7800" t="s">
        <v>5767</v>
      </c>
      <c r="F7800" t="s">
        <v>5627</v>
      </c>
      <c r="G7800">
        <v>89</v>
      </c>
      <c r="H7800">
        <v>96.75</v>
      </c>
      <c r="I7800">
        <v>96.74</v>
      </c>
      <c r="J7800">
        <v>0.01</v>
      </c>
    </row>
    <row r="7801" spans="1:10" x14ac:dyDescent="0.3">
      <c r="A7801" t="str">
        <f>HYPERLINK("https://us2.cloudbeds.com/connect/10074733072513#/reservations/31678610002136?display=MHA4U1WGJ&amp;reservation_id=31678610002136", "MHA4U1WGJ")</f>
        <v>MHA4U1WGJ</v>
      </c>
      <c r="B7801" t="s">
        <v>10</v>
      </c>
      <c r="C7801" t="s">
        <v>23</v>
      </c>
      <c r="D7801" t="str">
        <f>HYPERLINK("https://us2.cloudbeds.com/connect/10074733072513#/reservations/31678610002136?display=Elizabeth%20Wood&amp;reservation_id=31678610002136&amp;guest_id=31678610002118", "Elizabeth Wood")</f>
        <v>Elizabeth Wood</v>
      </c>
      <c r="E7801" t="s">
        <v>5768</v>
      </c>
      <c r="F7801" t="s">
        <v>5329</v>
      </c>
      <c r="G7801">
        <v>209</v>
      </c>
      <c r="H7801">
        <v>227.19</v>
      </c>
      <c r="I7801">
        <v>227.18</v>
      </c>
      <c r="J7801">
        <v>0.01</v>
      </c>
    </row>
    <row r="7802" spans="1:10" x14ac:dyDescent="0.3">
      <c r="A7802" t="str">
        <f>HYPERLINK("https://us2.cloudbeds.com/connect/10074733072513#/reservations/31682029002981?display=MHCQ91NSQ&amp;reservation_id=31682029002981", "MHCQ91NSQ")</f>
        <v>MHCQ91NSQ</v>
      </c>
      <c r="B7802" t="s">
        <v>10</v>
      </c>
      <c r="C7802" t="s">
        <v>42</v>
      </c>
      <c r="D7802" t="str">
        <f>HYPERLINK("https://us2.cloudbeds.com/connect/10074733072513#/reservations/31682029002981?display=Robert%20Carlson&amp;reservation_id=31682029002981&amp;guest_id=31682020495512", "Robert Carlson")</f>
        <v>Robert Carlson</v>
      </c>
      <c r="E7802" t="s">
        <v>5769</v>
      </c>
      <c r="F7802" t="s">
        <v>4916</v>
      </c>
      <c r="G7802">
        <v>169</v>
      </c>
      <c r="H7802">
        <v>183.71</v>
      </c>
      <c r="I7802">
        <v>183.7</v>
      </c>
      <c r="J7802">
        <v>0.01</v>
      </c>
    </row>
    <row r="7803" spans="1:10" x14ac:dyDescent="0.3">
      <c r="A7803" t="str">
        <f>HYPERLINK("https://us2.cloudbeds.com/connect/10074733072513#/reservations/31676252430507?display=MH8AM32K1&amp;reservation_id=31676252430507", "MH8AM32K1")</f>
        <v>MH8AM32K1</v>
      </c>
      <c r="B7803" t="s">
        <v>10</v>
      </c>
      <c r="C7803" t="s">
        <v>17</v>
      </c>
      <c r="D7803" t="str">
        <f>HYPERLINK("https://us2.cloudbeds.com/connect/10074733072513#/reservations/31676252430507?display=Lonnie%20Zelinske&amp;reservation_id=31676252430507&amp;guest_id=31676252430491", "Lonnie Zelinske")</f>
        <v>Lonnie Zelinske</v>
      </c>
      <c r="E7803" t="s">
        <v>5770</v>
      </c>
      <c r="F7803" t="s">
        <v>5646</v>
      </c>
      <c r="G7803">
        <v>119</v>
      </c>
      <c r="H7803">
        <v>129.36000000000001</v>
      </c>
      <c r="I7803">
        <v>129.35</v>
      </c>
      <c r="J7803">
        <v>0.01</v>
      </c>
    </row>
    <row r="7804" spans="1:10" x14ac:dyDescent="0.3">
      <c r="A7804" t="str">
        <f>HYPERLINK("https://us2.cloudbeds.com/connect/10074733072513#/reservations/31682952143004?display=MHDGSFF0T&amp;reservation_id=31682952143004", "MHDGSFF0T")</f>
        <v>MHDGSFF0T</v>
      </c>
      <c r="B7804" t="s">
        <v>10</v>
      </c>
      <c r="C7804" t="s">
        <v>42</v>
      </c>
      <c r="D7804" t="str">
        <f>HYPERLINK("https://us2.cloudbeds.com/connect/10074733072513#/reservations/31682952143004?display=Brenda%20Tolliver&amp;reservation_id=31682952143004&amp;guest_id=31682952142999", "Brenda Tolliver")</f>
        <v>Brenda Tolliver</v>
      </c>
      <c r="E7804" t="s">
        <v>5771</v>
      </c>
      <c r="F7804" t="s">
        <v>5140</v>
      </c>
      <c r="G7804">
        <v>139</v>
      </c>
      <c r="H7804">
        <v>151.1</v>
      </c>
      <c r="I7804">
        <v>151.09</v>
      </c>
      <c r="J7804">
        <v>0.01</v>
      </c>
    </row>
    <row r="7805" spans="1:10" x14ac:dyDescent="0.3">
      <c r="A7805" t="str">
        <f>HYPERLINK("https://us2.cloudbeds.com/connect/10074733072513#/reservations/31675790393512?display=MH7VSG770&amp;reservation_id=31675790393512", "MH7VSG770")</f>
        <v>MH7VSG770</v>
      </c>
      <c r="B7805" t="s">
        <v>10</v>
      </c>
      <c r="C7805" t="s">
        <v>42</v>
      </c>
      <c r="D7805" t="str">
        <f>HYPERLINK("https://us2.cloudbeds.com/connect/10074733072513#/reservations/31675790393512?display=Kent%20Hamilton&amp;reservation_id=31675790393512&amp;guest_id=31675790393510", "Kent Hamilton")</f>
        <v>Kent Hamilton</v>
      </c>
      <c r="E7805" t="s">
        <v>5773</v>
      </c>
      <c r="F7805" t="s">
        <v>5646</v>
      </c>
      <c r="G7805">
        <v>119</v>
      </c>
      <c r="H7805">
        <v>129.36000000000001</v>
      </c>
      <c r="I7805">
        <v>129.35</v>
      </c>
      <c r="J7805">
        <v>0.01</v>
      </c>
    </row>
    <row r="7806" spans="1:10" x14ac:dyDescent="0.3">
      <c r="A7806" t="str">
        <f>HYPERLINK("https://us2.cloudbeds.com/connect/10074733072513#/reservations/31675786973364?display=MH7VPK1J5&amp;reservation_id=31675786973364", "MH7VPK1J5")</f>
        <v>MH7VPK1J5</v>
      </c>
      <c r="B7806" t="s">
        <v>10</v>
      </c>
      <c r="C7806" t="s">
        <v>14</v>
      </c>
      <c r="D7806" t="str">
        <f>HYPERLINK("https://us2.cloudbeds.com/connect/10074733072513#/reservations/31675786973364?display=Debby%20Hubley&amp;reservation_id=31675786973364&amp;guest_id=31675773948112", "Debby Hubley")</f>
        <v>Debby Hubley</v>
      </c>
      <c r="E7806" t="s">
        <v>5775</v>
      </c>
      <c r="F7806" t="s">
        <v>5627</v>
      </c>
      <c r="G7806">
        <v>80.38</v>
      </c>
      <c r="H7806">
        <v>87.38</v>
      </c>
      <c r="I7806">
        <v>87.37</v>
      </c>
      <c r="J7806">
        <v>0.01</v>
      </c>
    </row>
    <row r="7807" spans="1:10" x14ac:dyDescent="0.3">
      <c r="A7807" t="str">
        <f>HYPERLINK("https://us2.cloudbeds.com/connect/10074733072513#/reservations/31678660518044?display=MHA66YYUM&amp;reservation_id=31678660518044", "MHA66YYUM")</f>
        <v>MHA66YYUM</v>
      </c>
      <c r="B7807" t="s">
        <v>10</v>
      </c>
      <c r="C7807" t="s">
        <v>42</v>
      </c>
      <c r="D7807" t="str">
        <f>HYPERLINK("https://us2.cloudbeds.com/connect/10074733072513#/reservations/31678660518044?display=Penny%20Norris&amp;reservation_id=31678660518044&amp;guest_id=31678660518025", "Penny Norris")</f>
        <v>Penny Norris</v>
      </c>
      <c r="E7807" t="s">
        <v>5779</v>
      </c>
      <c r="F7807" t="s">
        <v>5329</v>
      </c>
      <c r="G7807">
        <v>209</v>
      </c>
      <c r="H7807">
        <v>227.19</v>
      </c>
      <c r="I7807">
        <v>227.18</v>
      </c>
      <c r="J7807">
        <v>0.01</v>
      </c>
    </row>
    <row r="7808" spans="1:10" x14ac:dyDescent="0.3">
      <c r="A7808" t="str">
        <f>HYPERLINK("https://us2.cloudbeds.com/connect/10074733072513#/reservations/31680934154455?display=MHBV9RVAZ&amp;reservation_id=31680934154455", "MHBV9RVAZ")</f>
        <v>MHBV9RVAZ</v>
      </c>
      <c r="B7808" t="s">
        <v>10</v>
      </c>
      <c r="C7808" t="s">
        <v>20</v>
      </c>
      <c r="D7808" t="str">
        <f>HYPERLINK("https://us2.cloudbeds.com/connect/10074733072513#/reservations/31680934154455?display=Becca%20Athman&amp;reservation_id=31680934154455&amp;guest_id=31680934154450", "Becca Athman")</f>
        <v>Becca Athman</v>
      </c>
      <c r="E7808" t="s">
        <v>5780</v>
      </c>
      <c r="F7808" t="s">
        <v>5781</v>
      </c>
      <c r="G7808">
        <v>338</v>
      </c>
      <c r="H7808">
        <v>367.42</v>
      </c>
      <c r="I7808">
        <v>367.41</v>
      </c>
      <c r="J7808">
        <v>0.01</v>
      </c>
    </row>
    <row r="7809" spans="1:10" x14ac:dyDescent="0.3">
      <c r="A7809" t="str">
        <f>HYPERLINK("https://us2.cloudbeds.com/connect/10074733072513#/reservations/31678633595008?display=MHA591C9E&amp;reservation_id=31678633595008", "MHA591C9E")</f>
        <v>MHA591C9E</v>
      </c>
      <c r="B7809" t="s">
        <v>10</v>
      </c>
      <c r="C7809" t="s">
        <v>42</v>
      </c>
      <c r="D7809" t="str">
        <f>HYPERLINK("https://us2.cloudbeds.com/connect/10074733072513#/reservations/31678633595008?display=Penny%20Norris&amp;reservation_id=31678633595008&amp;guest_id=31678624211154", "Penny Norris")</f>
        <v>Penny Norris</v>
      </c>
      <c r="E7809" t="s">
        <v>5782</v>
      </c>
      <c r="F7809" t="s">
        <v>5329</v>
      </c>
      <c r="G7809">
        <v>209</v>
      </c>
      <c r="H7809">
        <v>227.19</v>
      </c>
      <c r="I7809">
        <v>227.18</v>
      </c>
      <c r="J7809">
        <v>0.01</v>
      </c>
    </row>
    <row r="7810" spans="1:10" x14ac:dyDescent="0.3">
      <c r="A7810" t="str">
        <f>HYPERLINK("https://us2.cloudbeds.com/connect/10074733072513#/reservations/31684136980695?display=MHEE4XA8B&amp;reservation_id=31684136980695", "MHEE4XA8B")</f>
        <v>MHEE4XA8B</v>
      </c>
      <c r="B7810" t="s">
        <v>10</v>
      </c>
      <c r="C7810" t="s">
        <v>42</v>
      </c>
      <c r="D7810" t="str">
        <f>HYPERLINK("https://us2.cloudbeds.com/connect/10074733072513#/reservations/31684136980695?display=Elizabeth%20Hansen&amp;reservation_id=31684136980695&amp;guest_id=31684136980690", "Elizabeth Hansen")</f>
        <v>Elizabeth Hansen</v>
      </c>
      <c r="E7810" t="s">
        <v>5783</v>
      </c>
      <c r="F7810" t="s">
        <v>5017</v>
      </c>
      <c r="G7810">
        <v>129</v>
      </c>
      <c r="H7810">
        <v>140.22999999999999</v>
      </c>
      <c r="I7810">
        <v>140.22</v>
      </c>
      <c r="J7810">
        <v>0.01</v>
      </c>
    </row>
    <row r="7811" spans="1:10" x14ac:dyDescent="0.3">
      <c r="A7811" t="str">
        <f>HYPERLINK("https://us2.cloudbeds.com/connect/10074733072513#/reservations/31676240584885?display=MH8AC3F2R&amp;reservation_id=31676240584885", "MH8AC3F2R")</f>
        <v>MH8AC3F2R</v>
      </c>
      <c r="B7811" t="s">
        <v>10</v>
      </c>
      <c r="C7811" t="s">
        <v>121</v>
      </c>
      <c r="D7811" t="str">
        <f>HYPERLINK("https://us2.cloudbeds.com/connect/10074733072513#/reservations/31676240584885?display=Gregory%20Baxtor%20Fitzwilliam&amp;reservation_id=31676240584885&amp;guest_id=31676227825866", "Gregory Baxtor Fitzwilliam")</f>
        <v>Gregory Baxtor Fitzwilliam</v>
      </c>
      <c r="E7811" t="s">
        <v>5785</v>
      </c>
      <c r="F7811" t="s">
        <v>5646</v>
      </c>
      <c r="G7811">
        <v>139</v>
      </c>
      <c r="H7811">
        <v>151.1</v>
      </c>
      <c r="I7811">
        <v>151.09</v>
      </c>
      <c r="J7811">
        <v>0.01</v>
      </c>
    </row>
    <row r="7812" spans="1:10" x14ac:dyDescent="0.3">
      <c r="A7812" t="str">
        <f>HYPERLINK("https://us2.cloudbeds.com/connect/10074733072513#/reservations/31681517207738?display=MHCD6G8Q1&amp;reservation_id=31681517207738", "MHCD6G8Q1")</f>
        <v>MHCD6G8Q1</v>
      </c>
      <c r="B7812" t="s">
        <v>10</v>
      </c>
      <c r="C7812" t="s">
        <v>23</v>
      </c>
      <c r="D7812" t="str">
        <f>HYPERLINK("https://us2.cloudbeds.com/connect/10074733072513#/reservations/31681517207738?display=Carla%20Beavers&amp;reservation_id=31681517207738&amp;guest_id=31681507012834", "Carla Beavers")</f>
        <v>Carla Beavers</v>
      </c>
      <c r="E7812" t="s">
        <v>5786</v>
      </c>
      <c r="F7812" t="s">
        <v>5537</v>
      </c>
      <c r="G7812">
        <v>258</v>
      </c>
      <c r="H7812">
        <v>280.45999999999998</v>
      </c>
      <c r="I7812">
        <v>280.45</v>
      </c>
      <c r="J7812">
        <v>0.01</v>
      </c>
    </row>
    <row r="7813" spans="1:10" x14ac:dyDescent="0.3">
      <c r="A7813" t="str">
        <f>HYPERLINK("https://us2.cloudbeds.com/connect/10074733072513#/reservations/31681707131070?display=MHCX1Y5CH&amp;reservation_id=31681707131070", "MHCX1Y5CH")</f>
        <v>MHCX1Y5CH</v>
      </c>
      <c r="B7813" t="s">
        <v>10</v>
      </c>
      <c r="C7813" t="s">
        <v>42</v>
      </c>
      <c r="D7813" t="str">
        <f>HYPERLINK("https://us2.cloudbeds.com/connect/10074733072513#/reservations/31681707131070?display=Kaitlynn%20Oliver&amp;reservation_id=31681707131070&amp;guest_id=31681707131068", "Kaitlynn Oliver")</f>
        <v>Kaitlynn Oliver</v>
      </c>
      <c r="E7813" t="s">
        <v>5787</v>
      </c>
      <c r="F7813" t="s">
        <v>5537</v>
      </c>
      <c r="G7813">
        <v>129</v>
      </c>
      <c r="H7813">
        <v>140.22999999999999</v>
      </c>
      <c r="I7813">
        <v>140.22</v>
      </c>
      <c r="J7813">
        <v>0.01</v>
      </c>
    </row>
    <row r="7814" spans="1:10" x14ac:dyDescent="0.3">
      <c r="A7814" t="str">
        <f>HYPERLINK("https://us2.cloudbeds.com/connect/10074733072513#/reservations/31678702530782?display=MHA792Z3V&amp;reservation_id=31678702530782", "MHA792Z3V")</f>
        <v>MHA792Z3V</v>
      </c>
      <c r="B7814" t="s">
        <v>10</v>
      </c>
      <c r="C7814" t="s">
        <v>42</v>
      </c>
      <c r="D7814" t="str">
        <f>HYPERLINK("https://us2.cloudbeds.com/connect/10074733072513#/reservations/31678702530782?display=Chris%20Larson&amp;reservation_id=31678702530782&amp;guest_id=31678702526700", "Chris Larson")</f>
        <v>Chris Larson</v>
      </c>
      <c r="E7814" t="s">
        <v>5790</v>
      </c>
      <c r="F7814" t="s">
        <v>5265</v>
      </c>
      <c r="G7814">
        <v>189</v>
      </c>
      <c r="H7814">
        <v>205.45</v>
      </c>
      <c r="I7814">
        <v>205.44</v>
      </c>
      <c r="J7814">
        <v>0.01</v>
      </c>
    </row>
    <row r="7815" spans="1:10" x14ac:dyDescent="0.3">
      <c r="A7815" t="str">
        <f>HYPERLINK("https://us2.cloudbeds.com/connect/10074733072513#/reservations/31681468408053?display=MHCBVBBAN&amp;reservation_id=31681468408053", "MHCBVBBAN")</f>
        <v>MHCBVBBAN</v>
      </c>
      <c r="B7815" t="s">
        <v>10</v>
      </c>
      <c r="C7815" t="s">
        <v>23</v>
      </c>
      <c r="D7815" t="str">
        <f>HYPERLINK("https://us2.cloudbeds.com/connect/10074733072513#/reservations/31681468408053?display=Caitlin%20Keegan&amp;reservation_id=31681468408053&amp;guest_id=31681459331229", "Caitlin Keegan")</f>
        <v>Caitlin Keegan</v>
      </c>
      <c r="E7815" t="s">
        <v>5791</v>
      </c>
      <c r="F7815" t="s">
        <v>5537</v>
      </c>
      <c r="G7815">
        <v>129</v>
      </c>
      <c r="H7815">
        <v>140.22999999999999</v>
      </c>
      <c r="I7815">
        <v>140.22</v>
      </c>
      <c r="J7815">
        <v>0.01</v>
      </c>
    </row>
    <row r="7816" spans="1:10" x14ac:dyDescent="0.3">
      <c r="A7816" t="str">
        <f>HYPERLINK("https://us2.cloudbeds.com/connect/10074733072513#/reservations/31676662100124?display=MH8Y4HZDT&amp;reservation_id=31676662100124", "MH8Y4HZDT")</f>
        <v>MH8Y4HZDT</v>
      </c>
      <c r="B7816" t="s">
        <v>10</v>
      </c>
      <c r="C7816" t="s">
        <v>42</v>
      </c>
      <c r="D7816" t="str">
        <f>HYPERLINK("https://us2.cloudbeds.com/connect/10074733072513#/reservations/31676662100124?display=Billy%20Patterson&amp;reservation_id=31676662100124&amp;guest_id=31676531609818", "Billy Patterson")</f>
        <v>Billy Patterson</v>
      </c>
      <c r="E7816" t="s">
        <v>5792</v>
      </c>
      <c r="F7816" t="s">
        <v>5778</v>
      </c>
      <c r="G7816">
        <v>370</v>
      </c>
      <c r="H7816">
        <v>402.2</v>
      </c>
      <c r="I7816">
        <v>402.19</v>
      </c>
      <c r="J7816">
        <v>0.01</v>
      </c>
    </row>
    <row r="7817" spans="1:10" x14ac:dyDescent="0.3">
      <c r="A7817" t="str">
        <f>HYPERLINK("https://us2.cloudbeds.com/connect/10074733072513#/reservations/31676137836732?display=MH87ZFB5E&amp;reservation_id=31676137836732", "MH87ZFB5E")</f>
        <v>MH87ZFB5E</v>
      </c>
      <c r="B7817" t="s">
        <v>10</v>
      </c>
      <c r="C7817" t="s">
        <v>121</v>
      </c>
      <c r="D7817" t="str">
        <f>HYPERLINK("https://us2.cloudbeds.com/connect/10074733072513#/reservations/31676137836732?display=Charles%20Oleson&amp;reservation_id=31676137836732&amp;guest_id=31676137836727", "Charles Oleson")</f>
        <v>Charles Oleson</v>
      </c>
      <c r="E7817" t="s">
        <v>5793</v>
      </c>
      <c r="F7817" t="s">
        <v>5732</v>
      </c>
      <c r="G7817">
        <v>149</v>
      </c>
      <c r="H7817">
        <v>161.97</v>
      </c>
      <c r="I7817">
        <v>161.96</v>
      </c>
      <c r="J7817">
        <v>0.01</v>
      </c>
    </row>
    <row r="7818" spans="1:10" x14ac:dyDescent="0.3">
      <c r="A7818" t="str">
        <f>HYPERLINK("https://us2.cloudbeds.com/connect/10074733072513#/reservations/31679869227178?display=MHB42SPM6&amp;reservation_id=31679869227178", "MHB42SPM6")</f>
        <v>MHB42SPM6</v>
      </c>
      <c r="B7818" t="s">
        <v>10</v>
      </c>
      <c r="C7818" t="s">
        <v>20</v>
      </c>
      <c r="D7818" t="str">
        <f>HYPERLINK("https://us2.cloudbeds.com/connect/10074733072513#/reservations/31679869227178?display=Mark%20Boeding&amp;reservation_id=31679869227178&amp;guest_id=31679869227173", "Mark Boeding")</f>
        <v>Mark Boeding</v>
      </c>
      <c r="E7818" t="s">
        <v>5794</v>
      </c>
      <c r="F7818" t="s">
        <v>4982</v>
      </c>
      <c r="G7818">
        <v>199</v>
      </c>
      <c r="H7818">
        <v>216.32</v>
      </c>
      <c r="I7818">
        <v>216.31</v>
      </c>
      <c r="J7818">
        <v>0.01</v>
      </c>
    </row>
    <row r="7819" spans="1:10" x14ac:dyDescent="0.3">
      <c r="A7819" t="str">
        <f>HYPERLINK("https://us2.cloudbeds.com/connect/10074733072513#/reservations/31683480416410?display=MHDUBUEXU&amp;reservation_id=31683480416410", "MHDUBUEXU")</f>
        <v>MHDUBUEXU</v>
      </c>
      <c r="B7819" t="s">
        <v>10</v>
      </c>
      <c r="C7819" t="s">
        <v>42</v>
      </c>
      <c r="D7819" t="str">
        <f>HYPERLINK("https://us2.cloudbeds.com/connect/10074733072513#/reservations/31683480416410?display=Lori%20Schrader&amp;reservation_id=31683480416410&amp;guest_id=31683480416404", "Lori Schrader")</f>
        <v>Lori Schrader</v>
      </c>
      <c r="E7819" t="s">
        <v>5795</v>
      </c>
      <c r="F7819" t="s">
        <v>5140</v>
      </c>
      <c r="G7819">
        <v>139</v>
      </c>
      <c r="H7819">
        <v>151.1</v>
      </c>
      <c r="I7819">
        <v>151.09</v>
      </c>
      <c r="J7819">
        <v>0.01</v>
      </c>
    </row>
    <row r="7820" spans="1:10" x14ac:dyDescent="0.3">
      <c r="A7820" t="str">
        <f>HYPERLINK("https://us2.cloudbeds.com/connect/10074733072513#/reservations/31676197048518?display=MH898CWPV&amp;reservation_id=31676197048518", "MH898CWPV")</f>
        <v>MH898CWPV</v>
      </c>
      <c r="B7820" t="s">
        <v>10</v>
      </c>
      <c r="C7820" t="s">
        <v>20</v>
      </c>
      <c r="D7820" t="str">
        <f>HYPERLINK("https://us2.cloudbeds.com/connect/10074733072513#/reservations/31676197048518?display=Edward%20Drzewiecki&amp;reservation_id=31676197048518&amp;guest_id=31676197044424", "Edward Drzewiecki")</f>
        <v>Edward Drzewiecki</v>
      </c>
      <c r="E7820" t="s">
        <v>5799</v>
      </c>
      <c r="F7820" t="s">
        <v>5766</v>
      </c>
      <c r="G7820">
        <v>101.75</v>
      </c>
      <c r="H7820">
        <v>110.61</v>
      </c>
      <c r="I7820">
        <v>110.6</v>
      </c>
      <c r="J7820">
        <v>0.01</v>
      </c>
    </row>
    <row r="7821" spans="1:10" x14ac:dyDescent="0.3">
      <c r="A7821" t="str">
        <f>HYPERLINK("https://us2.cloudbeds.com/connect/10074733072513#/reservations/31680444354697?display=MHBXPRX3R&amp;reservation_id=31680444354697", "MHBXPRX3R")</f>
        <v>MHBXPRX3R</v>
      </c>
      <c r="B7821" t="s">
        <v>10</v>
      </c>
      <c r="C7821" t="s">
        <v>42</v>
      </c>
      <c r="D7821" t="str">
        <f>HYPERLINK("https://us2.cloudbeds.com/connect/10074733072513#/reservations/31680444354697?display=Robert%20Lommel&amp;reservation_id=31680444354697&amp;guest_id=31680439541917", "Robert Lommel")</f>
        <v>Robert Lommel</v>
      </c>
      <c r="E7821" t="s">
        <v>5801</v>
      </c>
      <c r="F7821" t="s">
        <v>5252</v>
      </c>
      <c r="G7821">
        <v>129</v>
      </c>
      <c r="H7821">
        <v>140.22999999999999</v>
      </c>
      <c r="I7821">
        <v>140.22</v>
      </c>
      <c r="J7821">
        <v>0.01</v>
      </c>
    </row>
    <row r="7822" spans="1:10" x14ac:dyDescent="0.3">
      <c r="A7822" t="str">
        <f>HYPERLINK("https://us2.cloudbeds.com/connect/10074733072513#/reservations/31683442520292?display=MHDTCVUXN&amp;reservation_id=31683442520292", "MHDTCVUXN")</f>
        <v>MHDTCVUXN</v>
      </c>
      <c r="B7822" t="s">
        <v>10</v>
      </c>
      <c r="C7822" t="s">
        <v>42</v>
      </c>
      <c r="D7822" t="str">
        <f>HYPERLINK("https://us2.cloudbeds.com/connect/10074733072513#/reservations/31683442520292?display=David%20Tolliver&amp;reservation_id=31683442520292&amp;guest_id=31683433795735", "David Tolliver")</f>
        <v>David Tolliver</v>
      </c>
      <c r="E7822" t="s">
        <v>5802</v>
      </c>
      <c r="F7822" t="s">
        <v>5140</v>
      </c>
      <c r="G7822">
        <v>278</v>
      </c>
      <c r="H7822">
        <v>302.2</v>
      </c>
      <c r="I7822">
        <v>302.19</v>
      </c>
      <c r="J7822">
        <v>0.01</v>
      </c>
    </row>
    <row r="7823" spans="1:10" x14ac:dyDescent="0.3">
      <c r="A7823" t="str">
        <f>HYPERLINK("https://us2.cloudbeds.com/connect/10074733072513#/reservations/31681516736710?display=MHCD6358F&amp;reservation_id=31681516736710", "MHCD6358F")</f>
        <v>MHCD6358F</v>
      </c>
      <c r="B7823" t="s">
        <v>10</v>
      </c>
      <c r="C7823" t="s">
        <v>42</v>
      </c>
      <c r="D7823" t="str">
        <f>HYPERLINK("https://us2.cloudbeds.com/connect/10074733072513#/reservations/31681516736710?display=Kim%20Frazee&amp;reservation_id=31681516736710&amp;guest_id=31681516736707", "Kim Frazee")</f>
        <v>Kim Frazee</v>
      </c>
      <c r="E7823" t="s">
        <v>5803</v>
      </c>
      <c r="F7823" t="s">
        <v>5537</v>
      </c>
      <c r="G7823">
        <v>129</v>
      </c>
      <c r="H7823">
        <v>140.22999999999999</v>
      </c>
      <c r="I7823">
        <v>140.22</v>
      </c>
      <c r="J7823">
        <v>0.01</v>
      </c>
    </row>
    <row r="7824" spans="1:10" x14ac:dyDescent="0.3">
      <c r="A7824" t="str">
        <f>HYPERLINK("https://us2.cloudbeds.com/connect/10074733072513#/reservations/31681525932187?display=MHCDDS179&amp;reservation_id=31681525932187", "MHCDDS179")</f>
        <v>MHCDDS179</v>
      </c>
      <c r="B7824" t="s">
        <v>10</v>
      </c>
      <c r="C7824" t="s">
        <v>42</v>
      </c>
      <c r="D7824" t="str">
        <f>HYPERLINK("https://us2.cloudbeds.com/connect/10074733072513#/reservations/31681525932187?display=Alexis%20Lieth&amp;reservation_id=31681525932187&amp;guest_id=31681525932176", "Alexis Lieth")</f>
        <v>Alexis Lieth</v>
      </c>
      <c r="E7824" t="s">
        <v>5803</v>
      </c>
      <c r="F7824" t="s">
        <v>5537</v>
      </c>
      <c r="G7824">
        <v>129</v>
      </c>
      <c r="H7824">
        <v>140.22999999999999</v>
      </c>
      <c r="I7824">
        <v>140.22</v>
      </c>
      <c r="J7824">
        <v>0.01</v>
      </c>
    </row>
    <row r="7825" spans="1:10" x14ac:dyDescent="0.3">
      <c r="A7825" t="str">
        <f>HYPERLINK("https://us2.cloudbeds.com/connect/10074733072513#/reservations/31675206693084?display=MH7GV9TG8&amp;reservation_id=31675206693084", "MH7GV9TG8")</f>
        <v>MH7GV9TG8</v>
      </c>
      <c r="B7825" t="s">
        <v>10</v>
      </c>
      <c r="C7825" t="s">
        <v>42</v>
      </c>
      <c r="D7825" t="str">
        <f>HYPERLINK("https://us2.cloudbeds.com/connect/10074733072513#/reservations/31675206693084?display=Dale%20Bradway%20A.&amp;reservation_id=31675206693084&amp;guest_id=31675206693082", "Dale Bradway A.")</f>
        <v>Dale Bradway A.</v>
      </c>
      <c r="E7825" t="s">
        <v>709</v>
      </c>
      <c r="F7825" t="s">
        <v>5806</v>
      </c>
      <c r="G7825">
        <v>79</v>
      </c>
      <c r="H7825">
        <v>85.88</v>
      </c>
      <c r="I7825">
        <v>85.87</v>
      </c>
      <c r="J7825">
        <v>0.01</v>
      </c>
    </row>
    <row r="7826" spans="1:10" x14ac:dyDescent="0.3">
      <c r="A7826" t="str">
        <f>HYPERLINK("https://us2.cloudbeds.com/connect/10074733072513#/reservations/31676240933045?display=MH8ACD4Q4&amp;reservation_id=31676240933045", "MH8ACD4Q4")</f>
        <v>MH8ACD4Q4</v>
      </c>
      <c r="B7826" t="s">
        <v>10</v>
      </c>
      <c r="C7826" t="s">
        <v>42</v>
      </c>
      <c r="D7826" t="str">
        <f>HYPERLINK("https://us2.cloudbeds.com/connect/10074733072513#/reservations/31676240933045?display=Devin%20Kruup%20Great%20Plains%20Structures&amp;reservation_id=31676240933045&amp;guest_id=31676240932993", "Devin Kruup Great Plains Structures")</f>
        <v>Devin Kruup Great Plains Structures</v>
      </c>
      <c r="E7826" t="s">
        <v>5244</v>
      </c>
      <c r="F7826" t="s">
        <v>5574</v>
      </c>
      <c r="G7826">
        <v>79</v>
      </c>
      <c r="H7826">
        <v>85.88</v>
      </c>
      <c r="I7826">
        <v>85.87</v>
      </c>
      <c r="J7826">
        <v>0.01</v>
      </c>
    </row>
    <row r="7827" spans="1:10" x14ac:dyDescent="0.3">
      <c r="A7827" t="str">
        <f>HYPERLINK("https://us2.cloudbeds.com/connect/10074733072513#/reservations/31680405393594?display=MHBHPWD5B&amp;reservation_id=31680405393594", "MHBHPWD5B")</f>
        <v>MHBHPWD5B</v>
      </c>
      <c r="B7827" t="s">
        <v>10</v>
      </c>
      <c r="C7827" t="s">
        <v>17</v>
      </c>
      <c r="D7827" t="str">
        <f>HYPERLINK("https://us2.cloudbeds.com/connect/10074733072513#/reservations/31680405393594?display=Breanne%20Lunemann&amp;reservation_id=31680405393594&amp;guest_id=31680405393575", "Breanne Lunemann")</f>
        <v>Breanne Lunemann</v>
      </c>
      <c r="E7827" t="s">
        <v>5808</v>
      </c>
      <c r="F7827" t="s">
        <v>5252</v>
      </c>
      <c r="G7827">
        <v>169</v>
      </c>
      <c r="H7827">
        <v>183.71</v>
      </c>
      <c r="I7827">
        <v>183.7</v>
      </c>
      <c r="J7827">
        <v>0.01</v>
      </c>
    </row>
    <row r="7828" spans="1:10" x14ac:dyDescent="0.3">
      <c r="A7828" t="str">
        <f>HYPERLINK("https://us2.cloudbeds.com/connect/10074733072513#/reservations/31675871805637?display=MH80V4KR3&amp;reservation_id=31675871805637", "MH80V4KR3")</f>
        <v>MH80V4KR3</v>
      </c>
      <c r="B7828" t="s">
        <v>10</v>
      </c>
      <c r="C7828" t="s">
        <v>20</v>
      </c>
      <c r="D7828" t="str">
        <f>HYPERLINK("https://us2.cloudbeds.com/connect/10074733072513#/reservations/31675871805637?display=George%20Poffenberger&amp;reservation_id=31675871805637&amp;guest_id=31675871805635", "George Poffenberger")</f>
        <v>George Poffenberger</v>
      </c>
      <c r="E7828" t="s">
        <v>5809</v>
      </c>
      <c r="F7828" t="s">
        <v>4355</v>
      </c>
      <c r="G7828">
        <v>101.75</v>
      </c>
      <c r="H7828">
        <v>110.61</v>
      </c>
      <c r="I7828">
        <v>110.6</v>
      </c>
      <c r="J7828">
        <v>0.01</v>
      </c>
    </row>
    <row r="7829" spans="1:10" x14ac:dyDescent="0.3">
      <c r="A7829" t="str">
        <f>HYPERLINK("https://us2.cloudbeds.com/connect/10074733072513#/reservations/31677327991017?display=MH95514FQ&amp;reservation_id=31677327991017", "MH95514FQ")</f>
        <v>MH95514FQ</v>
      </c>
      <c r="B7829" t="s">
        <v>10</v>
      </c>
      <c r="C7829" t="s">
        <v>23</v>
      </c>
      <c r="D7829" t="str">
        <f>HYPERLINK("https://us2.cloudbeds.com/connect/10074733072513#/reservations/31677327991017?display=Chris%20Steckler&amp;reservation_id=31677327991017&amp;guest_id=31677327991012", "Chris Steckler")</f>
        <v>Chris Steckler</v>
      </c>
      <c r="E7829" t="s">
        <v>5810</v>
      </c>
      <c r="F7829" t="s">
        <v>4347</v>
      </c>
      <c r="G7829">
        <v>209</v>
      </c>
      <c r="H7829">
        <v>227.19</v>
      </c>
      <c r="I7829">
        <v>227.18</v>
      </c>
      <c r="J7829">
        <v>0.01</v>
      </c>
    </row>
    <row r="7830" spans="1:10" x14ac:dyDescent="0.3">
      <c r="A7830" t="str">
        <f>HYPERLINK("https://us2.cloudbeds.com/connect/10074733072513#/reservations/31676592869542?display=MH8JC59QF&amp;reservation_id=31676592869542", "MH8JC59QF")</f>
        <v>MH8JC59QF</v>
      </c>
      <c r="B7830" t="s">
        <v>10</v>
      </c>
      <c r="C7830" t="s">
        <v>23</v>
      </c>
      <c r="D7830" t="str">
        <f>HYPERLINK("https://us2.cloudbeds.com/connect/10074733072513#/reservations/31676592869542?display=Adam%20Bollman&amp;reservation_id=31676592869542&amp;guest_id=31676592869539", "Adam Bollman")</f>
        <v>Adam Bollman</v>
      </c>
      <c r="E7830" t="s">
        <v>5811</v>
      </c>
      <c r="F7830" t="s">
        <v>4530</v>
      </c>
      <c r="G7830">
        <v>199</v>
      </c>
      <c r="H7830">
        <v>216.32</v>
      </c>
      <c r="I7830">
        <v>216.31</v>
      </c>
      <c r="J7830">
        <v>0.01</v>
      </c>
    </row>
    <row r="7831" spans="1:10" x14ac:dyDescent="0.3">
      <c r="A7831" t="str">
        <f>HYPERLINK("https://us2.cloudbeds.com/connect/10074733072513#/reservations/31676350365884?display=MH8D5M92P&amp;reservation_id=31676350365884", "MH8D5M92P")</f>
        <v>MH8D5M92P</v>
      </c>
      <c r="B7831" t="s">
        <v>10</v>
      </c>
      <c r="C7831" t="s">
        <v>42</v>
      </c>
      <c r="D7831" t="str">
        <f>HYPERLINK("https://us2.cloudbeds.com/connect/10074733072513#/reservations/31676350365884?display=Joseph%20Steven%20Tewksbury%20Great%20Plains%20Structures&amp;reservation_id=31676350365884&amp;guest_id=31676350365879", "Joseph Steven Tewksbury Great Plains Structures")</f>
        <v>Joseph Steven Tewksbury Great Plains Structures</v>
      </c>
      <c r="E7831" t="s">
        <v>5812</v>
      </c>
      <c r="F7831" t="s">
        <v>5574</v>
      </c>
      <c r="G7831">
        <v>79</v>
      </c>
      <c r="H7831">
        <v>85.88</v>
      </c>
      <c r="I7831">
        <v>85.87</v>
      </c>
      <c r="J7831">
        <v>0.01</v>
      </c>
    </row>
    <row r="7832" spans="1:10" x14ac:dyDescent="0.3">
      <c r="A7832" t="str">
        <f>HYPERLINK("https://us2.cloudbeds.com/connect/10074733072513#/reservations/31676475908317?display=MH8GCHMCU&amp;reservation_id=31676475908317", "MH8GCHMCU")</f>
        <v>MH8GCHMCU</v>
      </c>
      <c r="B7832" t="s">
        <v>10</v>
      </c>
      <c r="C7832" t="s">
        <v>121</v>
      </c>
      <c r="D7832" t="str">
        <f>HYPERLINK("https://us2.cloudbeds.com/connect/10074733072513#/reservations/31676475908317?display=Austin%20Roy%20White%20Roadconsultants%20Billy%20Crew&amp;reservation_id=31676475908317&amp;guest_id=31676463374480", "Austin Roy White Roadconsultants Billy Crew")</f>
        <v>Austin Roy White Roadconsultants Billy Crew</v>
      </c>
      <c r="E7832" t="s">
        <v>5813</v>
      </c>
      <c r="F7832" t="s">
        <v>5778</v>
      </c>
      <c r="G7832">
        <v>222</v>
      </c>
      <c r="H7832">
        <v>241.32</v>
      </c>
      <c r="I7832">
        <v>241.31</v>
      </c>
      <c r="J7832">
        <v>0.01</v>
      </c>
    </row>
    <row r="7833" spans="1:10" x14ac:dyDescent="0.3">
      <c r="A7833" t="str">
        <f>HYPERLINK("https://us2.cloudbeds.com/connect/10074733072513#/reservations/31675215151289?display=MH7H5E8EF&amp;reservation_id=31675215151289", "MH7H5E8EF")</f>
        <v>MH7H5E8EF</v>
      </c>
      <c r="B7833" t="s">
        <v>10</v>
      </c>
      <c r="C7833" t="s">
        <v>42</v>
      </c>
      <c r="D7833" t="str">
        <f>HYPERLINK("https://us2.cloudbeds.com/connect/10074733072513#/reservations/31675215151289?display=Sandra%20Williams&amp;reservation_id=31675215151289&amp;guest_id=31675215151285", "Sandra Williams")</f>
        <v>Sandra Williams</v>
      </c>
      <c r="E7833" t="s">
        <v>5814</v>
      </c>
      <c r="F7833" t="s">
        <v>5806</v>
      </c>
      <c r="G7833">
        <v>73</v>
      </c>
      <c r="H7833">
        <v>79.36</v>
      </c>
      <c r="I7833">
        <v>79.349999999999994</v>
      </c>
      <c r="J7833">
        <v>0.01</v>
      </c>
    </row>
    <row r="7834" spans="1:10" x14ac:dyDescent="0.3">
      <c r="A7834" t="str">
        <f>HYPERLINK("https://us2.cloudbeds.com/connect/10074733072513#/reservations/31675231436957?display=MH7HJ5E4J&amp;reservation_id=31675231436957", "MH7HJ5E4J")</f>
        <v>MH7HJ5E4J</v>
      </c>
      <c r="B7834" t="s">
        <v>10</v>
      </c>
      <c r="C7834" t="s">
        <v>20</v>
      </c>
      <c r="D7834" t="str">
        <f>HYPERLINK("https://us2.cloudbeds.com/connect/10074733072513#/reservations/31675231436957?display=Todd%20Hummel&amp;reservation_id=31675231436957&amp;guest_id=31675231432860", "Todd Hummel")</f>
        <v>Todd Hummel</v>
      </c>
      <c r="E7834" t="s">
        <v>5815</v>
      </c>
      <c r="F7834" t="s">
        <v>5806</v>
      </c>
      <c r="G7834">
        <v>101.75</v>
      </c>
      <c r="H7834">
        <v>110.61</v>
      </c>
      <c r="I7834">
        <v>110.6</v>
      </c>
      <c r="J7834">
        <v>0.01</v>
      </c>
    </row>
    <row r="7835" spans="1:10" x14ac:dyDescent="0.3">
      <c r="A7835" t="str">
        <f>HYPERLINK("https://us2.cloudbeds.com/connect/10074733072513#/reservations/31677059522783?display=MH8V9YK5P&amp;reservation_id=31677059522783", "MH8V9YK5P")</f>
        <v>MH8V9YK5P</v>
      </c>
      <c r="B7835" t="s">
        <v>10</v>
      </c>
      <c r="C7835" t="s">
        <v>20</v>
      </c>
      <c r="D7835" t="str">
        <f>HYPERLINK("https://us2.cloudbeds.com/connect/10074733072513#/reservations/31677059522783?display=Melanie%20Rogers&amp;reservation_id=31677059522783&amp;guest_id=31677059518691", "Melanie Rogers")</f>
        <v>Melanie Rogers</v>
      </c>
      <c r="E7835" t="s">
        <v>5816</v>
      </c>
      <c r="F7835" t="s">
        <v>5286</v>
      </c>
      <c r="G7835">
        <v>209</v>
      </c>
      <c r="H7835">
        <v>227.19</v>
      </c>
      <c r="I7835">
        <v>227.18</v>
      </c>
      <c r="J7835">
        <v>0.01</v>
      </c>
    </row>
    <row r="7836" spans="1:10" x14ac:dyDescent="0.3">
      <c r="A7836" t="str">
        <f>HYPERLINK("https://us2.cloudbeds.com/connect/10074733072513#/reservations/31675246035109?display=MH7HVFY7R&amp;reservation_id=31675246035109", "MH7HVFY7R")</f>
        <v>MH7HVFY7R</v>
      </c>
      <c r="B7836" t="s">
        <v>10</v>
      </c>
      <c r="C7836" t="s">
        <v>42</v>
      </c>
      <c r="D7836" t="str">
        <f>HYPERLINK("https://us2.cloudbeds.com/connect/10074733072513#/reservations/31675246035109?display=Andrew%20Barth&amp;reservation_id=31675246035109&amp;guest_id=31675246035097", "Andrew Barth")</f>
        <v>Andrew Barth</v>
      </c>
      <c r="E7836" t="s">
        <v>5817</v>
      </c>
      <c r="F7836" t="s">
        <v>5806</v>
      </c>
      <c r="G7836">
        <v>89</v>
      </c>
      <c r="H7836">
        <v>96.75</v>
      </c>
      <c r="I7836">
        <v>96.74</v>
      </c>
      <c r="J7836">
        <v>0.01</v>
      </c>
    </row>
    <row r="7837" spans="1:10" x14ac:dyDescent="0.3">
      <c r="A7837" t="str">
        <f>HYPERLINK("https://us2.cloudbeds.com/connect/10074733072513#/reservations/31676279218350?display=MH8BBMG5T&amp;reservation_id=31676279218350", "MH8BBMG5T")</f>
        <v>MH8BBMG5T</v>
      </c>
      <c r="B7837" t="s">
        <v>10</v>
      </c>
      <c r="C7837" t="s">
        <v>23</v>
      </c>
      <c r="D7837" t="str">
        <f>HYPERLINK("https://us2.cloudbeds.com/connect/10074733072513#/reservations/31676279218350?display=Patrick%20Gilbertson&amp;reservation_id=31676279218350&amp;guest_id=31676269125842", "Patrick Gilbertson")</f>
        <v>Patrick Gilbertson</v>
      </c>
      <c r="E7837" t="s">
        <v>5818</v>
      </c>
      <c r="F7837" t="s">
        <v>5574</v>
      </c>
      <c r="G7837">
        <v>149</v>
      </c>
      <c r="H7837">
        <v>161.97</v>
      </c>
      <c r="I7837">
        <v>161.96</v>
      </c>
      <c r="J7837">
        <v>0.01</v>
      </c>
    </row>
    <row r="7838" spans="1:10" x14ac:dyDescent="0.3">
      <c r="A7838" t="str">
        <f>HYPERLINK("https://us2.cloudbeds.com/connect/10074733072513#/reservations/31676375380161?display=MH8DQPB15&amp;reservation_id=31676375380161", "MH8DQPB15")</f>
        <v>MH8DQPB15</v>
      </c>
      <c r="B7838" t="s">
        <v>10</v>
      </c>
      <c r="C7838" t="s">
        <v>42</v>
      </c>
      <c r="D7838" t="str">
        <f>HYPERLINK("https://us2.cloudbeds.com/connect/10074733072513#/reservations/31676375380161?display=Laurance%20And%20Kurt%20Underground%20Solutions&amp;reservation_id=31676375380161&amp;guest_id=31676366479520", "Laurance And Kurt Underground Solutions")</f>
        <v>Laurance And Kurt Underground Solutions</v>
      </c>
      <c r="E7838" t="s">
        <v>5222</v>
      </c>
      <c r="F7838" t="s">
        <v>5574</v>
      </c>
      <c r="G7838">
        <v>89</v>
      </c>
      <c r="H7838">
        <v>96.75</v>
      </c>
      <c r="I7838">
        <v>96.74</v>
      </c>
      <c r="J7838">
        <v>0.01</v>
      </c>
    </row>
    <row r="7839" spans="1:10" x14ac:dyDescent="0.3">
      <c r="A7839" t="str">
        <f>HYPERLINK("https://us2.cloudbeds.com/connect/10074733072513#/reservations/31676378030300?display=MH8DT02JD&amp;reservation_id=31676378030300", "MH8DT02JD")</f>
        <v>MH8DT02JD</v>
      </c>
      <c r="B7839" t="s">
        <v>10</v>
      </c>
      <c r="C7839" t="s">
        <v>42</v>
      </c>
      <c r="D7839" t="str">
        <f>HYPERLINK("https://us2.cloudbeds.com/connect/10074733072513#/reservations/31676378030300?display=Dee%20Underground%20Solutions&amp;reservation_id=31676378030300&amp;guest_id=31676378026198", "Dee Underground Solutions")</f>
        <v>Dee Underground Solutions</v>
      </c>
      <c r="E7839" t="s">
        <v>5222</v>
      </c>
      <c r="F7839" t="s">
        <v>5574</v>
      </c>
      <c r="G7839">
        <v>89</v>
      </c>
      <c r="H7839">
        <v>96.75</v>
      </c>
      <c r="I7839">
        <v>96.74</v>
      </c>
      <c r="J7839">
        <v>0.01</v>
      </c>
    </row>
    <row r="7840" spans="1:10" x14ac:dyDescent="0.3">
      <c r="A7840" t="str">
        <f>HYPERLINK("https://us2.cloudbeds.com/connect/10074733072513#/reservations/31676400550091?display=MH8EEWNUA&amp;reservation_id=31676400550091", "MH8EEWNUA")</f>
        <v>MH8EEWNUA</v>
      </c>
      <c r="B7840" t="s">
        <v>10</v>
      </c>
      <c r="C7840" t="s">
        <v>42</v>
      </c>
      <c r="D7840" t="str">
        <f>HYPERLINK("https://us2.cloudbeds.com/connect/10074733072513#/reservations/31676400550091?display=Ryan%20Underground%20Solutions&amp;reservation_id=31676400550091&amp;guest_id=31676391497908", "Ryan Underground Solutions")</f>
        <v>Ryan Underground Solutions</v>
      </c>
      <c r="E7840" t="s">
        <v>5222</v>
      </c>
      <c r="F7840" t="s">
        <v>5574</v>
      </c>
      <c r="G7840">
        <v>89</v>
      </c>
      <c r="H7840">
        <v>96.75</v>
      </c>
      <c r="I7840">
        <v>96.74</v>
      </c>
      <c r="J7840">
        <v>0.01</v>
      </c>
    </row>
    <row r="7841" spans="1:10" x14ac:dyDescent="0.3">
      <c r="A7841" t="str">
        <f>HYPERLINK("https://us2.cloudbeds.com/connect/10074733072513#/reservations/31676437909727?display=MH8FDGA9G&amp;reservation_id=31676437909727", "MH8FDGA9G")</f>
        <v>MH8FDGA9G</v>
      </c>
      <c r="B7841" t="s">
        <v>10</v>
      </c>
      <c r="C7841" t="s">
        <v>42</v>
      </c>
      <c r="D7841" t="str">
        <f>HYPERLINK("https://us2.cloudbeds.com/connect/10074733072513#/reservations/31676437909727?display=Von%20Smith%20Railroad%20Consultants.&amp;reservation_id=31676437909727&amp;guest_id=31676437909714", "Von Smith Railroad Consultants.")</f>
        <v>Von Smith Railroad Consultants.</v>
      </c>
      <c r="E7841" t="s">
        <v>5819</v>
      </c>
      <c r="F7841" t="s">
        <v>5571</v>
      </c>
      <c r="G7841">
        <v>222</v>
      </c>
      <c r="H7841">
        <v>241.32</v>
      </c>
      <c r="I7841">
        <v>241.31</v>
      </c>
      <c r="J7841">
        <v>0.01</v>
      </c>
    </row>
    <row r="7842" spans="1:10" x14ac:dyDescent="0.3">
      <c r="A7842" t="str">
        <f>HYPERLINK("https://us2.cloudbeds.com/connect/10074733072513#/reservations/31676448247962?display=MH8FM6WKB&amp;reservation_id=31676448247962", "MH8FM6WKB")</f>
        <v>MH8FM6WKB</v>
      </c>
      <c r="B7842" t="s">
        <v>10</v>
      </c>
      <c r="C7842" t="s">
        <v>42</v>
      </c>
      <c r="D7842" t="str">
        <f>HYPERLINK("https://us2.cloudbeds.com/connect/10074733072513#/reservations/31676448247962?display=Billy%20Patterson%20Railroad%20Consultants.&amp;reservation_id=31676448247962&amp;guest_id=31676448247959", "Billy Patterson Railroad Consultants.")</f>
        <v>Billy Patterson Railroad Consultants.</v>
      </c>
      <c r="E7842" t="s">
        <v>5820</v>
      </c>
      <c r="F7842" t="s">
        <v>5571</v>
      </c>
      <c r="G7842">
        <v>222</v>
      </c>
      <c r="H7842">
        <v>241.32</v>
      </c>
      <c r="I7842">
        <v>241.31</v>
      </c>
      <c r="J7842">
        <v>0.01</v>
      </c>
    </row>
    <row r="7843" spans="1:10" x14ac:dyDescent="0.3">
      <c r="A7843" t="str">
        <f>HYPERLINK("https://us2.cloudbeds.com/connect/10074733072513#/reservations/31687641878674?display=MHH4MW8N0&amp;reservation_id=31687641878674", "MHH4MW8N0")</f>
        <v>MHH4MW8N0</v>
      </c>
      <c r="B7843" t="s">
        <v>10</v>
      </c>
      <c r="C7843" t="s">
        <v>20</v>
      </c>
      <c r="D7843" t="str">
        <f>HYPERLINK("https://us2.cloudbeds.com/connect/10074733072513#/reservations/31687641878674?display=Mary%20Berg&amp;reservation_id=31687641878674&amp;guest_id=31687641874582", "Mary Berg")</f>
        <v>Mary Berg</v>
      </c>
      <c r="E7843" t="s">
        <v>5821</v>
      </c>
      <c r="F7843" t="s">
        <v>5822</v>
      </c>
      <c r="G7843">
        <v>179</v>
      </c>
      <c r="H7843">
        <v>194.58</v>
      </c>
      <c r="I7843">
        <v>194.57</v>
      </c>
      <c r="J7843">
        <v>0.01</v>
      </c>
    </row>
    <row r="7844" spans="1:10" x14ac:dyDescent="0.3">
      <c r="A7844" t="str">
        <f>HYPERLINK("https://us2.cloudbeds.com/connect/10074733072513#/reservations/31676928712923?display=MH8RVBKUK&amp;reservation_id=31676928712923", "MH8RVBKUK")</f>
        <v>MH8RVBKUK</v>
      </c>
      <c r="B7844" t="s">
        <v>10</v>
      </c>
      <c r="C7844" t="s">
        <v>11</v>
      </c>
      <c r="D7844" t="str">
        <f>HYPERLINK("https://us2.cloudbeds.com/connect/10074733072513#/reservations/31676928712923?display=Amy%20Littau&amp;reservation_id=31676928712923&amp;guest_id=31676928712910", "Amy Littau")</f>
        <v>Amy Littau</v>
      </c>
      <c r="E7844" t="s">
        <v>5823</v>
      </c>
      <c r="F7844" t="s">
        <v>3650</v>
      </c>
      <c r="G7844">
        <v>247.43</v>
      </c>
      <c r="H7844">
        <v>268.97000000000003</v>
      </c>
      <c r="I7844">
        <v>268.95999999999998</v>
      </c>
      <c r="J7844">
        <v>0.01</v>
      </c>
    </row>
    <row r="7845" spans="1:10" x14ac:dyDescent="0.3">
      <c r="A7845" t="str">
        <f>HYPERLINK("https://us2.cloudbeds.com/connect/10074733072513#/reservations/31677438431441?display=MH97W5A0A&amp;reservation_id=31677438431441", "MH97W5A0A")</f>
        <v>MH97W5A0A</v>
      </c>
      <c r="B7845" t="s">
        <v>10</v>
      </c>
      <c r="C7845" t="s">
        <v>42</v>
      </c>
      <c r="D7845" t="str">
        <f>HYPERLINK("https://us2.cloudbeds.com/connect/10074733072513#/reservations/31677438431441?display=Kristen%20Gertsema&amp;reservation_id=31677438431441&amp;guest_id=31677438431438", "Kristen Gertsema")</f>
        <v>Kristen Gertsema</v>
      </c>
      <c r="E7845" t="s">
        <v>5825</v>
      </c>
      <c r="F7845" t="s">
        <v>4164</v>
      </c>
      <c r="G7845">
        <v>189</v>
      </c>
      <c r="H7845">
        <v>205.45</v>
      </c>
      <c r="I7845">
        <v>205.44</v>
      </c>
      <c r="J7845">
        <v>0.01</v>
      </c>
    </row>
    <row r="7846" spans="1:10" x14ac:dyDescent="0.3">
      <c r="A7846" t="str">
        <f>HYPERLINK("https://us2.cloudbeds.com/connect/10074733072513#/reservations/31675630186653?display=MH7RPD7FN&amp;reservation_id=31675630186653", "MH7RPD7FN")</f>
        <v>MH7RPD7FN</v>
      </c>
      <c r="B7846" t="s">
        <v>10</v>
      </c>
      <c r="C7846" t="s">
        <v>20</v>
      </c>
      <c r="D7846" t="str">
        <f>HYPERLINK("https://us2.cloudbeds.com/connect/10074733072513#/reservations/31675630186653?display=Emily%20Cosio&amp;reservation_id=31675630186653&amp;guest_id=31675620987132", "Emily Cosio")</f>
        <v>Emily Cosio</v>
      </c>
      <c r="E7846" t="s">
        <v>5826</v>
      </c>
      <c r="F7846" t="s">
        <v>5549</v>
      </c>
      <c r="G7846">
        <v>283.10000000000002</v>
      </c>
      <c r="H7846">
        <v>307.74</v>
      </c>
      <c r="I7846">
        <v>307.73</v>
      </c>
      <c r="J7846">
        <v>0.01</v>
      </c>
    </row>
    <row r="7847" spans="1:10" x14ac:dyDescent="0.3">
      <c r="A7847" t="str">
        <f>HYPERLINK("https://us2.cloudbeds.com/connect/10074733072513#/reservations/31678054678685?display=MH9NNQ9K6&amp;reservation_id=31678054678685", "MH9NNQ9K6")</f>
        <v>MH9NNQ9K6</v>
      </c>
      <c r="B7847" t="s">
        <v>10</v>
      </c>
      <c r="C7847" t="s">
        <v>17</v>
      </c>
      <c r="D7847" t="str">
        <f>HYPERLINK("https://us2.cloudbeds.com/connect/10074733072513#/reservations/31678054678685?display=Trent%20Dotson&amp;reservation_id=31678054678685&amp;guest_id=31678054678682", "Trent Dotson")</f>
        <v>Trent Dotson</v>
      </c>
      <c r="E7847" t="s">
        <v>5827</v>
      </c>
      <c r="F7847" t="s">
        <v>5286</v>
      </c>
      <c r="G7847">
        <v>169</v>
      </c>
      <c r="H7847">
        <v>183.71</v>
      </c>
      <c r="I7847">
        <v>183.7</v>
      </c>
      <c r="J7847">
        <v>0.01</v>
      </c>
    </row>
    <row r="7848" spans="1:10" x14ac:dyDescent="0.3">
      <c r="A7848" t="str">
        <f>HYPERLINK("https://us2.cloudbeds.com/connect/10074733072513#/reservations/31675293040774?display=MH7J53Y9U&amp;reservation_id=31675293040774", "MH7J53Y9U")</f>
        <v>MH7J53Y9U</v>
      </c>
      <c r="B7848" t="s">
        <v>10</v>
      </c>
      <c r="C7848" t="s">
        <v>121</v>
      </c>
      <c r="D7848" t="str">
        <f>HYPERLINK("https://us2.cloudbeds.com/connect/10074733072513#/reservations/31675293040774?display=William%20Mack&amp;reservation_id=31675293040774&amp;guest_id=31675293040769", "William Mack")</f>
        <v>William Mack</v>
      </c>
      <c r="E7848" t="s">
        <v>5828</v>
      </c>
      <c r="F7848" t="s">
        <v>5574</v>
      </c>
      <c r="G7848">
        <v>119</v>
      </c>
      <c r="H7848">
        <v>129.36000000000001</v>
      </c>
      <c r="I7848">
        <v>129.35</v>
      </c>
      <c r="J7848">
        <v>0.01</v>
      </c>
    </row>
    <row r="7849" spans="1:10" x14ac:dyDescent="0.3">
      <c r="A7849" t="str">
        <f>HYPERLINK("https://us2.cloudbeds.com/connect/10074733072513#/reservations/31684337197250?display=MHEJ8CKRM&amp;reservation_id=31684337197250", "MHEJ8CKRM")</f>
        <v>MHEJ8CKRM</v>
      </c>
      <c r="B7849" t="s">
        <v>10</v>
      </c>
      <c r="C7849" t="s">
        <v>42</v>
      </c>
      <c r="D7849" t="str">
        <f>HYPERLINK("https://us2.cloudbeds.com/connect/10074733072513#/reservations/31684337197250?display=Kiristina%20Swanson&amp;reservation_id=31684337197250&amp;guest_id=31684329926827", "Kiristina Swanson")</f>
        <v>Kiristina Swanson</v>
      </c>
      <c r="E7849" t="s">
        <v>5833</v>
      </c>
      <c r="F7849" t="s">
        <v>5366</v>
      </c>
      <c r="G7849">
        <v>298</v>
      </c>
      <c r="H7849">
        <v>323.94</v>
      </c>
      <c r="I7849">
        <v>323.93</v>
      </c>
      <c r="J7849">
        <v>0.01</v>
      </c>
    </row>
    <row r="7850" spans="1:10" x14ac:dyDescent="0.3">
      <c r="A7850" t="str">
        <f>HYPERLINK("https://us2.cloudbeds.com/connect/10074733072513#/reservations/31683333771494?display=MHDQK8RDJ&amp;reservation_id=31683333771494", "MHDQK8RDJ")</f>
        <v>MHDQK8RDJ</v>
      </c>
      <c r="B7850" t="s">
        <v>10</v>
      </c>
      <c r="C7850" t="s">
        <v>42</v>
      </c>
      <c r="D7850" t="str">
        <f>HYPERLINK("https://us2.cloudbeds.com/connect/10074733072513#/reservations/31683333771494?display=Chuck%20Schmith&amp;reservation_id=31683333771494&amp;guest_id=31683319394450", "Chuck Schmith")</f>
        <v>Chuck Schmith</v>
      </c>
      <c r="E7850" t="s">
        <v>5835</v>
      </c>
      <c r="F7850" t="s">
        <v>5140</v>
      </c>
      <c r="G7850">
        <v>278</v>
      </c>
      <c r="H7850">
        <v>302.2</v>
      </c>
      <c r="I7850">
        <v>302.19</v>
      </c>
      <c r="J7850">
        <v>0.01</v>
      </c>
    </row>
    <row r="7851" spans="1:10" x14ac:dyDescent="0.3">
      <c r="A7851" t="str">
        <f>HYPERLINK("https://us2.cloudbeds.com/connect/10074733072513#/reservations/31682641223904?display=MHD8U9M6W&amp;reservation_id=31682641223904", "MHD8U9M6W")</f>
        <v>MHD8U9M6W</v>
      </c>
      <c r="B7851" t="s">
        <v>10</v>
      </c>
      <c r="C7851" t="s">
        <v>11</v>
      </c>
      <c r="D7851" t="str">
        <f>HYPERLINK("https://us2.cloudbeds.com/connect/10074733072513#/reservations/31682641223904?display=Matthew%20Smith&amp;reservation_id=31682641223904&amp;guest_id=31682641223899", "Matthew Smith")</f>
        <v>Matthew Smith</v>
      </c>
      <c r="E7851" t="s">
        <v>4117</v>
      </c>
      <c r="F7851" t="s">
        <v>4600</v>
      </c>
      <c r="G7851">
        <v>125.76</v>
      </c>
      <c r="H7851">
        <v>136.71</v>
      </c>
      <c r="I7851">
        <v>136.69999999999999</v>
      </c>
      <c r="J7851">
        <v>0.01</v>
      </c>
    </row>
    <row r="7852" spans="1:10" x14ac:dyDescent="0.3">
      <c r="A7852" t="str">
        <f>HYPERLINK("https://us2.cloudbeds.com/connect/10074733072513#/reservations/31676446785780?display=MH8FKW9UQ&amp;reservation_id=31676446785780", "MH8FKW9UQ")</f>
        <v>MH8FKW9UQ</v>
      </c>
      <c r="B7852" t="s">
        <v>10</v>
      </c>
      <c r="C7852" t="s">
        <v>23</v>
      </c>
      <c r="D7852" t="str">
        <f>HYPERLINK("https://us2.cloudbeds.com/connect/10074733072513#/reservations/31676446785780?display=Paul%20Vig&amp;reservation_id=31676446785780&amp;guest_id=31676446785778", "Paul Vig")</f>
        <v>Paul Vig</v>
      </c>
      <c r="E7852" t="s">
        <v>5837</v>
      </c>
      <c r="F7852" t="s">
        <v>5778</v>
      </c>
      <c r="G7852">
        <v>248</v>
      </c>
      <c r="H7852">
        <v>269.58999999999997</v>
      </c>
      <c r="I7852">
        <v>269.58</v>
      </c>
      <c r="J7852">
        <v>0.01</v>
      </c>
    </row>
    <row r="7853" spans="1:10" x14ac:dyDescent="0.3">
      <c r="A7853" t="str">
        <f>HYPERLINK("https://us2.cloudbeds.com/connect/10074733072513#/reservations/31679007379701?display=MHAF24JRW&amp;reservation_id=31679007379701", "MHAF24JRW")</f>
        <v>MHAF24JRW</v>
      </c>
      <c r="B7853" t="s">
        <v>10</v>
      </c>
      <c r="C7853" t="s">
        <v>42</v>
      </c>
      <c r="D7853" t="str">
        <f>HYPERLINK("https://us2.cloudbeds.com/connect/10074733072513#/reservations/31679007379701?display=Chad%20Dlouhy&amp;reservation_id=31679007379701&amp;guest_id=31679007379686", "Chad Dlouhy")</f>
        <v>Chad Dlouhy</v>
      </c>
      <c r="E7853" t="s">
        <v>5838</v>
      </c>
      <c r="F7853" t="s">
        <v>5368</v>
      </c>
      <c r="G7853">
        <v>119</v>
      </c>
      <c r="H7853">
        <v>129.36000000000001</v>
      </c>
      <c r="I7853">
        <v>129.35</v>
      </c>
      <c r="J7853">
        <v>0.01</v>
      </c>
    </row>
    <row r="7854" spans="1:10" x14ac:dyDescent="0.3">
      <c r="A7854" t="str">
        <f>HYPERLINK("https://us2.cloudbeds.com/connect/10074733072513#/reservations/31687400702162?display=MHGVHK5YS&amp;reservation_id=31687400702162", "MHGVHK5YS")</f>
        <v>MHGVHK5YS</v>
      </c>
      <c r="B7854" t="s">
        <v>10</v>
      </c>
      <c r="C7854" t="s">
        <v>42</v>
      </c>
      <c r="D7854" t="str">
        <f>HYPERLINK("https://us2.cloudbeds.com/connect/10074733072513#/reservations/31687400702162?display=Philip%20Varnagis&amp;reservation_id=31687400702162&amp;guest_id=31687400698071", "Philip Varnagis")</f>
        <v>Philip Varnagis</v>
      </c>
      <c r="E7854" t="s">
        <v>5841</v>
      </c>
      <c r="F7854" t="s">
        <v>5842</v>
      </c>
      <c r="G7854">
        <v>119</v>
      </c>
      <c r="H7854">
        <v>129.36000000000001</v>
      </c>
      <c r="I7854">
        <v>129.35</v>
      </c>
      <c r="J7854">
        <v>0.01</v>
      </c>
    </row>
    <row r="7855" spans="1:10" x14ac:dyDescent="0.3">
      <c r="A7855" t="str">
        <f>HYPERLINK("https://us2.cloudbeds.com/connect/10074733072513#/reservations/31676415828160?display=MH8ERSZYU&amp;reservation_id=31676415828160", "MH8ERSZYU")</f>
        <v>MH8ERSZYU</v>
      </c>
      <c r="B7855" t="s">
        <v>10</v>
      </c>
      <c r="C7855" t="s">
        <v>121</v>
      </c>
      <c r="D7855" t="str">
        <f>HYPERLINK("https://us2.cloudbeds.com/connect/10074733072513#/reservations/31676415828160?display=William%20Richard%20Mack&amp;reservation_id=31676415828160&amp;guest_id=31676415824126", "William Richard Mack")</f>
        <v>William Richard Mack</v>
      </c>
      <c r="E7855" t="s">
        <v>5843</v>
      </c>
      <c r="F7855" t="s">
        <v>5778</v>
      </c>
      <c r="G7855">
        <v>119</v>
      </c>
      <c r="H7855">
        <v>129.36000000000001</v>
      </c>
      <c r="I7855">
        <v>129.35</v>
      </c>
      <c r="J7855">
        <v>0.01</v>
      </c>
    </row>
    <row r="7856" spans="1:10" x14ac:dyDescent="0.3">
      <c r="A7856" t="str">
        <f>HYPERLINK("https://us2.cloudbeds.com/connect/10074733072513#/reservations/31684349227249?display=MHEJXHCM3&amp;reservation_id=31684349227249", "MHEJXHCM3")</f>
        <v>MHEJXHCM3</v>
      </c>
      <c r="B7856" t="s">
        <v>10</v>
      </c>
      <c r="C7856" t="s">
        <v>42</v>
      </c>
      <c r="D7856" t="str">
        <f>HYPERLINK("https://us2.cloudbeds.com/connect/10074733072513#/reservations/31684349227249?display=Jesse%20Jasper&amp;reservation_id=31684349227249&amp;guest_id=31684341727383", "Jesse Jasper")</f>
        <v>Jesse Jasper</v>
      </c>
      <c r="E7856" t="s">
        <v>5844</v>
      </c>
      <c r="F7856" t="s">
        <v>5366</v>
      </c>
      <c r="G7856">
        <v>298</v>
      </c>
      <c r="H7856">
        <v>323.94</v>
      </c>
      <c r="I7856">
        <v>323.93</v>
      </c>
      <c r="J7856">
        <v>0.01</v>
      </c>
    </row>
    <row r="7857" spans="1:10" x14ac:dyDescent="0.3">
      <c r="A7857" t="str">
        <f>HYPERLINK("https://us2.cloudbeds.com/connect/10074733072513#/reservations/31676429217944?display=MH8F65ES4&amp;reservation_id=31676429217944", "MH8F65ES4")</f>
        <v>MH8F65ES4</v>
      </c>
      <c r="B7857" t="s">
        <v>10</v>
      </c>
      <c r="C7857" t="s">
        <v>42</v>
      </c>
      <c r="D7857" t="str">
        <f>HYPERLINK("https://us2.cloudbeds.com/connect/10074733072513#/reservations/31676429217944?display=Arron%20Michael%20Kuhs&amp;reservation_id=31676429217944&amp;guest_id=31676429213846", "Arron Michael Kuhs")</f>
        <v>Arron Michael Kuhs</v>
      </c>
      <c r="E7857" t="s">
        <v>5845</v>
      </c>
      <c r="F7857" t="s">
        <v>5778</v>
      </c>
      <c r="G7857">
        <v>73</v>
      </c>
      <c r="H7857">
        <v>79.36</v>
      </c>
      <c r="I7857">
        <v>79.349999999999994</v>
      </c>
      <c r="J7857">
        <v>0.01</v>
      </c>
    </row>
    <row r="7858" spans="1:10" x14ac:dyDescent="0.3">
      <c r="A7858" t="str">
        <f>HYPERLINK("https://us2.cloudbeds.com/connect/10074733072513#/reservations/31676479553739?display=MH8GFK3T8&amp;reservation_id=31676479553739", "MH8GFK3T8")</f>
        <v>MH8GFK3T8</v>
      </c>
      <c r="B7858" t="s">
        <v>10</v>
      </c>
      <c r="C7858" t="s">
        <v>42</v>
      </c>
      <c r="D7858" t="str">
        <f>HYPERLINK("https://us2.cloudbeds.com/connect/10074733072513#/reservations/31676479553739?display=Ahmad%20Yara&amp;reservation_id=31676479553739&amp;guest_id=31675890442485", "Ahmad Yara")</f>
        <v>Ahmad Yara</v>
      </c>
      <c r="E7858" t="s">
        <v>5846</v>
      </c>
      <c r="F7858" t="s">
        <v>5778</v>
      </c>
      <c r="G7858">
        <v>73</v>
      </c>
      <c r="H7858">
        <v>79.36</v>
      </c>
      <c r="I7858">
        <v>79.349999999999994</v>
      </c>
      <c r="J7858">
        <v>0.01</v>
      </c>
    </row>
    <row r="7859" spans="1:10" x14ac:dyDescent="0.3">
      <c r="A7859" t="str">
        <f>HYPERLINK("https://us2.cloudbeds.com/connect/10074733072513#/reservations/31684341723292?display=MHEJC6XWF&amp;reservation_id=31684341723292", "MHEJC6XWF")</f>
        <v>MHEJC6XWF</v>
      </c>
      <c r="B7859" t="s">
        <v>10</v>
      </c>
      <c r="C7859" t="s">
        <v>42</v>
      </c>
      <c r="D7859" t="str">
        <f>HYPERLINK("https://us2.cloudbeds.com/connect/10074733072513#/reservations/31684341723292?display=Ross%20Johnson&amp;reservation_id=31684341723292&amp;guest_id=31684341723277", "Ross Johnson")</f>
        <v>Ross Johnson</v>
      </c>
      <c r="E7859" t="s">
        <v>5848</v>
      </c>
      <c r="F7859" t="s">
        <v>5366</v>
      </c>
      <c r="G7859">
        <v>149</v>
      </c>
      <c r="H7859">
        <v>161.97</v>
      </c>
      <c r="I7859">
        <v>161.96</v>
      </c>
      <c r="J7859">
        <v>0.01</v>
      </c>
    </row>
    <row r="7860" spans="1:10" x14ac:dyDescent="0.3">
      <c r="A7860" t="str">
        <f>HYPERLINK("https://us2.cloudbeds.com/connect/10074733072513#/reservations/31679361573071?display=MHAZ3QX9D&amp;reservation_id=31679361573071", "MHAZ3QX9D")</f>
        <v>MHAZ3QX9D</v>
      </c>
      <c r="B7860" t="s">
        <v>10</v>
      </c>
      <c r="C7860" t="s">
        <v>42</v>
      </c>
      <c r="D7860" t="str">
        <f>HYPERLINK("https://us2.cloudbeds.com/connect/10074733072513#/reservations/31679361573071?display=Evan%20Swanson&amp;reservation_id=31679361573071&amp;guest_id=31679354376381", "Evan Swanson")</f>
        <v>Evan Swanson</v>
      </c>
      <c r="E7860" t="s">
        <v>5849</v>
      </c>
      <c r="F7860" t="s">
        <v>5366</v>
      </c>
      <c r="G7860">
        <v>298</v>
      </c>
      <c r="H7860">
        <v>323.94</v>
      </c>
      <c r="I7860">
        <v>323.93</v>
      </c>
      <c r="J7860">
        <v>0.01</v>
      </c>
    </row>
    <row r="7861" spans="1:10" x14ac:dyDescent="0.3">
      <c r="A7861" t="str">
        <f>HYPERLINK("https://us2.cloudbeds.com/connect/10074733072513#/reservations/31677331685609?display=MH9584V44&amp;reservation_id=31677331685609", "MH9584V44")</f>
        <v>MH9584V44</v>
      </c>
      <c r="B7861" t="s">
        <v>10</v>
      </c>
      <c r="C7861" t="s">
        <v>42</v>
      </c>
      <c r="D7861" t="str">
        <f>HYPERLINK("https://us2.cloudbeds.com/connect/10074733072513#/reservations/31677331685609?display=Denise%20Foster&amp;reservation_id=31677331685609&amp;guest_id=31677325348999", "Denise Foster")</f>
        <v>Denise Foster</v>
      </c>
      <c r="E7861" t="s">
        <v>5853</v>
      </c>
      <c r="F7861" t="s">
        <v>4347</v>
      </c>
      <c r="G7861">
        <v>179</v>
      </c>
      <c r="H7861">
        <v>194.58</v>
      </c>
      <c r="I7861">
        <v>194.57</v>
      </c>
      <c r="J7861">
        <v>0.01</v>
      </c>
    </row>
    <row r="7862" spans="1:10" x14ac:dyDescent="0.3">
      <c r="A7862" t="str">
        <f>HYPERLINK("https://us2.cloudbeds.com/connect/10074733072513#/reservations/31679465799811?display=MHAQPMQVF&amp;reservation_id=31679465799811", "MHAQPMQVF")</f>
        <v>MHAQPMQVF</v>
      </c>
      <c r="B7862" t="s">
        <v>10</v>
      </c>
      <c r="C7862" t="s">
        <v>42</v>
      </c>
      <c r="D7862" t="str">
        <f>HYPERLINK("https://us2.cloudbeds.com/connect/10074733072513#/reservations/31679465799811?display=Levi%20Hurst&amp;reservation_id=31679465799811&amp;guest_id=31679465795720", "Levi Hurst")</f>
        <v>Levi Hurst</v>
      </c>
      <c r="E7862" t="s">
        <v>5854</v>
      </c>
      <c r="F7862" t="s">
        <v>5366</v>
      </c>
      <c r="G7862">
        <v>298</v>
      </c>
      <c r="H7862">
        <v>323.94</v>
      </c>
      <c r="I7862">
        <v>323.93</v>
      </c>
      <c r="J7862">
        <v>0.01</v>
      </c>
    </row>
    <row r="7863" spans="1:10" x14ac:dyDescent="0.3">
      <c r="A7863" t="str">
        <f>HYPERLINK("https://us2.cloudbeds.com/connect/10074733072513#/reservations/31676717981856?display=MH8MXYZ4N&amp;reservation_id=31676717981856", "MH8MXYZ4N")</f>
        <v>MH8MXYZ4N</v>
      </c>
      <c r="B7863" t="s">
        <v>10</v>
      </c>
      <c r="C7863" t="s">
        <v>23</v>
      </c>
      <c r="D7863" t="str">
        <f>HYPERLINK("https://us2.cloudbeds.com/connect/10074733072513#/reservations/31676717981856?display=Andrew%20Newton&amp;reservation_id=31676717981856&amp;guest_id=31676717981853", "Andrew Newton")</f>
        <v>Andrew Newton</v>
      </c>
      <c r="E7863" t="s">
        <v>5855</v>
      </c>
      <c r="F7863" t="s">
        <v>4346</v>
      </c>
      <c r="G7863">
        <v>189</v>
      </c>
      <c r="H7863">
        <v>205.45</v>
      </c>
      <c r="I7863">
        <v>205.44</v>
      </c>
      <c r="J7863">
        <v>0.01</v>
      </c>
    </row>
    <row r="7864" spans="1:10" x14ac:dyDescent="0.3">
      <c r="A7864" t="str">
        <f>HYPERLINK("https://us2.cloudbeds.com/connect/10074733072513#/reservations/31676716929237?display=MH8MHPEX5&amp;reservation_id=31676716929237", "MH8MHPEX5")</f>
        <v>MH8MHPEX5</v>
      </c>
      <c r="B7864" t="s">
        <v>10</v>
      </c>
      <c r="C7864" t="s">
        <v>42</v>
      </c>
      <c r="D7864" t="str">
        <f>HYPERLINK("https://us2.cloudbeds.com/connect/10074733072513#/reservations/31676716929237?display=Scott%20Deprez&amp;reservation_id=31676716929237&amp;guest_id=31676716925141", "Scott Deprez")</f>
        <v>Scott Deprez</v>
      </c>
      <c r="E7864" t="s">
        <v>5856</v>
      </c>
      <c r="F7864" t="s">
        <v>5778</v>
      </c>
      <c r="G7864">
        <v>119</v>
      </c>
      <c r="H7864">
        <v>129.36000000000001</v>
      </c>
      <c r="I7864">
        <v>129.35</v>
      </c>
      <c r="J7864">
        <v>0.01</v>
      </c>
    </row>
    <row r="7865" spans="1:10" x14ac:dyDescent="0.3">
      <c r="A7865" t="str">
        <f>HYPERLINK("https://us2.cloudbeds.com/connect/10074733072513#/reservations/31675785199819?display=MH7VZ3MWC&amp;reservation_id=31675785199819", "MH7VZ3MWC")</f>
        <v>MH7VZ3MWC</v>
      </c>
      <c r="B7865" t="s">
        <v>10</v>
      </c>
      <c r="C7865" t="s">
        <v>42</v>
      </c>
      <c r="D7865" t="str">
        <f>HYPERLINK("https://us2.cloudbeds.com/connect/10074733072513#/reservations/31675785199819?display=Jennifer%20Holdworth&amp;reservation_id=31675785199819&amp;guest_id=31675785199814", "Jennifer Holdworth")</f>
        <v>Jennifer Holdworth</v>
      </c>
      <c r="E7865" t="s">
        <v>5857</v>
      </c>
      <c r="F7865" t="s">
        <v>4346</v>
      </c>
      <c r="G7865">
        <v>149</v>
      </c>
      <c r="H7865">
        <v>161.97</v>
      </c>
      <c r="I7865">
        <v>161.96</v>
      </c>
      <c r="J7865">
        <v>0.01</v>
      </c>
    </row>
    <row r="7866" spans="1:10" x14ac:dyDescent="0.3">
      <c r="A7866" t="str">
        <f>HYPERLINK("https://us2.cloudbeds.com/connect/10074733072513#/reservations/31676578455724?display=MH8J006W3&amp;reservation_id=31676578455724", "MH8J006W3")</f>
        <v>MH8J006W3</v>
      </c>
      <c r="B7866" t="s">
        <v>10</v>
      </c>
      <c r="C7866" t="s">
        <v>23</v>
      </c>
      <c r="D7866" t="str">
        <f>HYPERLINK("https://us2.cloudbeds.com/connect/10074733072513#/reservations/31676578455724?display=Chad%20Gessner&amp;reservation_id=31676578455724&amp;guest_id=31676578455707", "Chad Gessner")</f>
        <v>Chad Gessner</v>
      </c>
      <c r="E7866" t="s">
        <v>5858</v>
      </c>
      <c r="F7866" t="s">
        <v>4530</v>
      </c>
      <c r="G7866">
        <v>199</v>
      </c>
      <c r="H7866">
        <v>216.32</v>
      </c>
      <c r="I7866">
        <v>216.31</v>
      </c>
      <c r="J7866">
        <v>0.01</v>
      </c>
    </row>
    <row r="7867" spans="1:10" x14ac:dyDescent="0.3">
      <c r="A7867" t="str">
        <f>HYPERLINK("https://us2.cloudbeds.com/connect/10074733072513#/reservations/31676460134553?display=MH8FW7ZP2&amp;reservation_id=31676460134553", "MH8FW7ZP2")</f>
        <v>MH8FW7ZP2</v>
      </c>
      <c r="B7867" t="s">
        <v>10</v>
      </c>
      <c r="C7867" t="s">
        <v>42</v>
      </c>
      <c r="D7867" t="str">
        <f>HYPERLINK("https://us2.cloudbeds.com/connect/10074733072513#/reservations/31676460134553?display=Ryan%20Daniel%20Jolly%20Underground%20Solutions&amp;reservation_id=31676460134553&amp;guest_id=31676460134551", "Ryan Daniel Jolly Underground Solutions")</f>
        <v>Ryan Daniel Jolly Underground Solutions</v>
      </c>
      <c r="E7867" t="s">
        <v>5222</v>
      </c>
      <c r="F7867" t="s">
        <v>5778</v>
      </c>
      <c r="G7867">
        <v>89</v>
      </c>
      <c r="H7867">
        <v>96.75</v>
      </c>
      <c r="I7867">
        <v>96.74</v>
      </c>
      <c r="J7867">
        <v>0.01</v>
      </c>
    </row>
    <row r="7868" spans="1:10" x14ac:dyDescent="0.3">
      <c r="A7868" t="str">
        <f>HYPERLINK("https://us2.cloudbeds.com/connect/10074733072513#/reservations/31677159682255?display=MH90S3MW9&amp;reservation_id=31677159682255", "MH90S3MW9")</f>
        <v>MH90S3MW9</v>
      </c>
      <c r="B7868" t="s">
        <v>10</v>
      </c>
      <c r="C7868" t="s">
        <v>23</v>
      </c>
      <c r="D7868" t="str">
        <f>HYPERLINK("https://us2.cloudbeds.com/connect/10074733072513#/reservations/31677159682255?display=Andrea%20Hofer&amp;reservation_id=31677159682255&amp;guest_id=31677156286645", "Andrea Hofer")</f>
        <v>Andrea Hofer</v>
      </c>
      <c r="E7868" t="s">
        <v>5859</v>
      </c>
      <c r="F7868" t="s">
        <v>5286</v>
      </c>
      <c r="G7868">
        <v>169</v>
      </c>
      <c r="H7868">
        <v>183.71</v>
      </c>
      <c r="I7868">
        <v>183.7</v>
      </c>
      <c r="J7868">
        <v>0.01</v>
      </c>
    </row>
    <row r="7869" spans="1:10" x14ac:dyDescent="0.3">
      <c r="A7869" t="str">
        <f>HYPERLINK("https://us2.cloudbeds.com/connect/10074733072513#/reservations/31678538789084?display=MHA330CEA&amp;reservation_id=31678538789084", "MHA330CEA")</f>
        <v>MHA330CEA</v>
      </c>
      <c r="B7869" t="s">
        <v>10</v>
      </c>
      <c r="C7869" t="s">
        <v>23</v>
      </c>
      <c r="D7869" t="str">
        <f>HYPERLINK("https://us2.cloudbeds.com/connect/10074733072513#/reservations/31678538789084?display=Lisa%20Felts&amp;reservation_id=31678538789084&amp;guest_id=31678538789079", "Lisa Felts")</f>
        <v>Lisa Felts</v>
      </c>
      <c r="E7869" t="s">
        <v>5861</v>
      </c>
      <c r="F7869" t="s">
        <v>5469</v>
      </c>
      <c r="G7869">
        <v>199</v>
      </c>
      <c r="H7869">
        <v>216.32</v>
      </c>
      <c r="I7869">
        <v>216.31</v>
      </c>
      <c r="J7869">
        <v>0.01</v>
      </c>
    </row>
    <row r="7870" spans="1:10" x14ac:dyDescent="0.3">
      <c r="A7870" t="str">
        <f>HYPERLINK("https://us2.cloudbeds.com/connect/10074733072513#/reservations/31679299854482?display=MHAMHP4Z4&amp;reservation_id=31679299854482", "MHAMHP4Z4")</f>
        <v>MHAMHP4Z4</v>
      </c>
      <c r="B7870" t="s">
        <v>10</v>
      </c>
      <c r="C7870" t="s">
        <v>42</v>
      </c>
      <c r="D7870" t="str">
        <f>HYPERLINK("https://us2.cloudbeds.com/connect/10074733072513#/reservations/31679299854482?display=Roger%20Osland&amp;reservation_id=31679299854482&amp;guest_id=31679299854477", "Roger Osland")</f>
        <v>Roger Osland</v>
      </c>
      <c r="E7870" t="s">
        <v>5862</v>
      </c>
      <c r="F7870" t="s">
        <v>4530</v>
      </c>
      <c r="G7870">
        <v>149</v>
      </c>
      <c r="H7870">
        <v>161.97</v>
      </c>
      <c r="I7870">
        <v>161.96</v>
      </c>
      <c r="J7870">
        <v>0.01</v>
      </c>
    </row>
    <row r="7871" spans="1:10" x14ac:dyDescent="0.3">
      <c r="A7871" t="str">
        <f>HYPERLINK("https://us2.cloudbeds.com/connect/10074733072513#/reservations/31681281388778?display=MHC75Y8EV&amp;reservation_id=31681281388778", "MHC75Y8EV")</f>
        <v>MHC75Y8EV</v>
      </c>
      <c r="B7871" t="s">
        <v>10</v>
      </c>
      <c r="C7871" t="s">
        <v>42</v>
      </c>
      <c r="D7871" t="str">
        <f>HYPERLINK("https://us2.cloudbeds.com/connect/10074733072513#/reservations/31681281388778?display=Paula%20Byers&amp;reservation_id=31681281388778&amp;guest_id=31681271566477", "Paula Byers")</f>
        <v>Paula Byers</v>
      </c>
      <c r="E7871" t="s">
        <v>5863</v>
      </c>
      <c r="F7871" t="s">
        <v>4979</v>
      </c>
      <c r="G7871">
        <v>159</v>
      </c>
      <c r="H7871">
        <v>172.84</v>
      </c>
      <c r="I7871">
        <v>172.83</v>
      </c>
      <c r="J7871">
        <v>0.01</v>
      </c>
    </row>
    <row r="7872" spans="1:10" x14ac:dyDescent="0.3">
      <c r="A7872" t="str">
        <f>HYPERLINK("https://us2.cloudbeds.com/connect/10074733072513#/reservations/31679474520286?display=MHAR01FZ8&amp;reservation_id=31679474520286", "MHAR01FZ8")</f>
        <v>MHAR01FZ8</v>
      </c>
      <c r="B7872" t="s">
        <v>10</v>
      </c>
      <c r="C7872" t="s">
        <v>42</v>
      </c>
      <c r="D7872" t="str">
        <f>HYPERLINK("https://us2.cloudbeds.com/connect/10074733072513#/reservations/31679474520286?display=Jason%20Thyen&amp;reservation_id=31679474520286&amp;guest_id=31679474516193", "Jason Thyen")</f>
        <v>Jason Thyen</v>
      </c>
      <c r="E7872" t="s">
        <v>5864</v>
      </c>
      <c r="F7872" t="s">
        <v>5366</v>
      </c>
      <c r="G7872">
        <v>298</v>
      </c>
      <c r="H7872">
        <v>323.94</v>
      </c>
      <c r="I7872">
        <v>323.93</v>
      </c>
      <c r="J7872">
        <v>0.01</v>
      </c>
    </row>
    <row r="7873" spans="1:10" x14ac:dyDescent="0.3">
      <c r="A7873" t="str">
        <f>HYPERLINK("https://us2.cloudbeds.com/connect/10074733072513#/reservations/31679797473408?display=MHB28C0CB&amp;reservation_id=31679797473408", "MHB28C0CB")</f>
        <v>MHB28C0CB</v>
      </c>
      <c r="B7873" t="s">
        <v>10</v>
      </c>
      <c r="C7873" t="s">
        <v>23</v>
      </c>
      <c r="D7873" t="str">
        <f>HYPERLINK("https://us2.cloudbeds.com/connect/10074733072513#/reservations/31679797473408?display=Ramona%20Gatz&amp;reservation_id=31679797473408&amp;guest_id=31679797469360", "Ramona Gatz")</f>
        <v>Ramona Gatz</v>
      </c>
      <c r="E7873" t="s">
        <v>5866</v>
      </c>
      <c r="F7873" t="s">
        <v>4982</v>
      </c>
      <c r="G7873">
        <v>169</v>
      </c>
      <c r="H7873">
        <v>183.71</v>
      </c>
      <c r="I7873">
        <v>183.7</v>
      </c>
      <c r="J7873">
        <v>0.01</v>
      </c>
    </row>
    <row r="7874" spans="1:10" x14ac:dyDescent="0.3">
      <c r="A7874" t="str">
        <f>HYPERLINK("https://us2.cloudbeds.com/connect/10074733072513#/reservations/31681673007283?display=MHCH5SKDC&amp;reservation_id=31681673007283", "MHCH5SKDC")</f>
        <v>MHCH5SKDC</v>
      </c>
      <c r="B7874" t="s">
        <v>10</v>
      </c>
      <c r="C7874" t="s">
        <v>42</v>
      </c>
      <c r="D7874" t="str">
        <f>HYPERLINK("https://us2.cloudbeds.com/connect/10074733072513#/reservations/31681673007283?display=Steven%20Tolrud&amp;reservation_id=31681673007283&amp;guest_id=31681665888476", "Steven Tolrud")</f>
        <v>Steven Tolrud</v>
      </c>
      <c r="E7874" t="s">
        <v>5867</v>
      </c>
      <c r="F7874" t="s">
        <v>2815</v>
      </c>
      <c r="G7874">
        <v>139</v>
      </c>
      <c r="H7874">
        <v>151.1</v>
      </c>
      <c r="I7874">
        <v>151.09</v>
      </c>
      <c r="J7874">
        <v>0.01</v>
      </c>
    </row>
    <row r="7875" spans="1:10" x14ac:dyDescent="0.3">
      <c r="A7875" t="str">
        <f>HYPERLINK("https://us2.cloudbeds.com/connect/10074733072513#/reservations/31675861352619?display=MH80MAP2W&amp;reservation_id=31675861352619", "MH80MAP2W")</f>
        <v>MH80MAP2W</v>
      </c>
      <c r="B7875" t="s">
        <v>10</v>
      </c>
      <c r="C7875" t="s">
        <v>23</v>
      </c>
      <c r="D7875" t="str">
        <f>HYPERLINK("https://us2.cloudbeds.com/connect/10074733072513#/reservations/31675861352619?display=Barbara%20Duffey&amp;reservation_id=31675861352619&amp;guest_id=31675861352613", "Barbara Duffey")</f>
        <v>Barbara Duffey</v>
      </c>
      <c r="E7875" t="s">
        <v>4678</v>
      </c>
      <c r="F7875" t="s">
        <v>4355</v>
      </c>
      <c r="G7875">
        <v>149</v>
      </c>
      <c r="H7875">
        <v>161.97</v>
      </c>
      <c r="I7875">
        <v>161.96</v>
      </c>
      <c r="J7875">
        <v>0.01</v>
      </c>
    </row>
    <row r="7876" spans="1:10" x14ac:dyDescent="0.3">
      <c r="A7876" t="str">
        <f>HYPERLINK("https://us2.cloudbeds.com/connect/10074733072513#/reservations/31678979272869?display=MHAEBEG2Q&amp;reservation_id=31678979272869", "MHAEBEG2Q")</f>
        <v>MHAEBEG2Q</v>
      </c>
      <c r="B7876" t="s">
        <v>10</v>
      </c>
      <c r="C7876" t="s">
        <v>20</v>
      </c>
      <c r="D7876" t="str">
        <f>HYPERLINK("https://us2.cloudbeds.com/connect/10074733072513#/reservations/31678979272869?display=De%20La%20Cruz%20Alvaro&amp;reservation_id=31678979272869&amp;guest_id=31678979272854", "De La Cruz Alvaro")</f>
        <v>De La Cruz Alvaro</v>
      </c>
      <c r="E7876" t="s">
        <v>5872</v>
      </c>
      <c r="F7876" t="s">
        <v>5368</v>
      </c>
      <c r="G7876">
        <v>101.75</v>
      </c>
      <c r="H7876">
        <v>110.61</v>
      </c>
      <c r="I7876">
        <v>110.6</v>
      </c>
      <c r="J7876">
        <v>0.01</v>
      </c>
    </row>
    <row r="7877" spans="1:10" x14ac:dyDescent="0.3">
      <c r="A7877" t="str">
        <f>HYPERLINK("https://us2.cloudbeds.com/connect/10074733072513#/reservations/31679308783781?display=MHAMP9K8U&amp;reservation_id=31679308783781", "MHAMP9K8U")</f>
        <v>MHAMP9K8U</v>
      </c>
      <c r="B7877" t="s">
        <v>10</v>
      </c>
      <c r="C7877" t="s">
        <v>42</v>
      </c>
      <c r="D7877" t="str">
        <f>HYPERLINK("https://us2.cloudbeds.com/connect/10074733072513#/reservations/31679308783781?display=Paul%20Atkins&amp;reservation_id=31679308783781&amp;guest_id=31679299858572", "Paul Atkins")</f>
        <v>Paul Atkins</v>
      </c>
      <c r="E7877" t="s">
        <v>5873</v>
      </c>
      <c r="F7877" t="s">
        <v>4530</v>
      </c>
      <c r="G7877">
        <v>159</v>
      </c>
      <c r="H7877">
        <v>172.84</v>
      </c>
      <c r="I7877">
        <v>172.83</v>
      </c>
      <c r="J7877">
        <v>0.01</v>
      </c>
    </row>
    <row r="7878" spans="1:10" x14ac:dyDescent="0.3">
      <c r="A7878" t="str">
        <f>HYPERLINK("https://us2.cloudbeds.com/connect/10074733072513#/reservations/31681562902729?display=MHCEC0Q9Z&amp;reservation_id=31681562902729", "MHCEC0Q9Z")</f>
        <v>MHCEC0Q9Z</v>
      </c>
      <c r="B7878" t="s">
        <v>10</v>
      </c>
      <c r="C7878" t="s">
        <v>17</v>
      </c>
      <c r="D7878" t="str">
        <f>HYPERLINK("https://us2.cloudbeds.com/connect/10074733072513#/reservations/31681562902729?display=Adam%20Pederson&amp;reservation_id=31681562902729&amp;guest_id=31681562898680", "Adam Pederson")</f>
        <v>Adam Pederson</v>
      </c>
      <c r="E7878" t="s">
        <v>5874</v>
      </c>
      <c r="F7878" t="s">
        <v>5875</v>
      </c>
      <c r="G7878">
        <v>338</v>
      </c>
      <c r="H7878">
        <v>367.42</v>
      </c>
      <c r="I7878">
        <v>367.41</v>
      </c>
      <c r="J7878">
        <v>0.01</v>
      </c>
    </row>
    <row r="7879" spans="1:10" x14ac:dyDescent="0.3">
      <c r="A7879" t="str">
        <f>HYPERLINK("https://us2.cloudbeds.com/connect/10074733072513#/reservations/31675819815120?display=MH7WK9QXF&amp;reservation_id=31675819815120", "MH7WK9QXF")</f>
        <v>MH7WK9QXF</v>
      </c>
      <c r="B7879" t="s">
        <v>10</v>
      </c>
      <c r="C7879" t="s">
        <v>42</v>
      </c>
      <c r="D7879" t="str">
        <f>HYPERLINK("https://us2.cloudbeds.com/connect/10074733072513#/reservations/31675819815120?display=Eva%20Pohl&amp;reservation_id=31675819815120&amp;guest_id=31675819811043", "Eva Pohl")</f>
        <v>Eva Pohl</v>
      </c>
      <c r="E7879" t="s">
        <v>5876</v>
      </c>
      <c r="F7879" t="s">
        <v>4355</v>
      </c>
      <c r="G7879">
        <v>119</v>
      </c>
      <c r="H7879">
        <v>129.36000000000001</v>
      </c>
      <c r="I7879">
        <v>129.35</v>
      </c>
      <c r="J7879">
        <v>0.01</v>
      </c>
    </row>
    <row r="7880" spans="1:10" x14ac:dyDescent="0.3">
      <c r="A7880" t="str">
        <f>HYPERLINK("https://us2.cloudbeds.com/connect/10074733072513#/reservations/31676299378845?display=MH8BSMG0W&amp;reservation_id=31676299378845", "MH8BSMG0W")</f>
        <v>MH8BSMG0W</v>
      </c>
      <c r="B7880" t="s">
        <v>10</v>
      </c>
      <c r="C7880" t="s">
        <v>42</v>
      </c>
      <c r="D7880" t="str">
        <f>HYPERLINK("https://us2.cloudbeds.com/connect/10074733072513#/reservations/31676299378845?display=Cory%20Glick&amp;reservation_id=31676299378845&amp;guest_id=31672877940869", "Cory Glick")</f>
        <v>Cory Glick</v>
      </c>
      <c r="E7880" t="s">
        <v>5004</v>
      </c>
      <c r="F7880" t="s">
        <v>5368</v>
      </c>
      <c r="G7880">
        <v>158</v>
      </c>
      <c r="H7880">
        <v>171.76</v>
      </c>
      <c r="I7880">
        <v>171.75</v>
      </c>
      <c r="J7880">
        <v>0.01</v>
      </c>
    </row>
    <row r="7881" spans="1:10" x14ac:dyDescent="0.3">
      <c r="A7881" t="str">
        <f>HYPERLINK("https://us2.cloudbeds.com/connect/10074733072513#/reservations/31679200903329?display=MHAK0AMGB&amp;reservation_id=31679200903329", "MHAK0AMGB")</f>
        <v>MHAK0AMGB</v>
      </c>
      <c r="B7881" t="s">
        <v>10</v>
      </c>
      <c r="C7881" t="s">
        <v>11</v>
      </c>
      <c r="D7881" t="str">
        <f>HYPERLINK("https://us2.cloudbeds.com/connect/10074733072513#/reservations/31679200903329?display=Shania%20Joseph&amp;reservation_id=31679200903329&amp;guest_id=31679200903327", "Shania Joseph")</f>
        <v>Shania Joseph</v>
      </c>
      <c r="E7881" t="s">
        <v>5878</v>
      </c>
      <c r="F7881" t="s">
        <v>5029</v>
      </c>
      <c r="G7881">
        <v>313.2</v>
      </c>
      <c r="H7881">
        <v>340.46</v>
      </c>
      <c r="I7881">
        <v>340.45</v>
      </c>
      <c r="J7881">
        <v>0.01</v>
      </c>
    </row>
    <row r="7882" spans="1:10" x14ac:dyDescent="0.3">
      <c r="A7882" t="str">
        <f>HYPERLINK("https://us2.cloudbeds.com/connect/10074733072513#/reservations/31681558081670?display=MHCE7VY7U&amp;reservation_id=31681558081670", "MHCE7VY7U")</f>
        <v>MHCE7VY7U</v>
      </c>
      <c r="B7882" t="s">
        <v>10</v>
      </c>
      <c r="C7882" t="s">
        <v>42</v>
      </c>
      <c r="D7882" t="str">
        <f>HYPERLINK("https://us2.cloudbeds.com/connect/10074733072513#/reservations/31681558081670?display=Chuck%20Rose&amp;reservation_id=31681558081670&amp;guest_id=31681546809518", "Chuck Rose")</f>
        <v>Chuck Rose</v>
      </c>
      <c r="E7882" t="s">
        <v>5879</v>
      </c>
      <c r="F7882" t="s">
        <v>5537</v>
      </c>
      <c r="G7882">
        <v>298</v>
      </c>
      <c r="H7882">
        <v>323.94</v>
      </c>
      <c r="I7882">
        <v>323.93</v>
      </c>
      <c r="J7882">
        <v>0.01</v>
      </c>
    </row>
    <row r="7883" spans="1:10" x14ac:dyDescent="0.3">
      <c r="A7883" t="str">
        <f>HYPERLINK("https://us2.cloudbeds.com/connect/10074733072513#/reservations/31676006154387?display=MH84CE2ZB&amp;reservation_id=31676006154387", "MH84CE2ZB")</f>
        <v>MH84CE2ZB</v>
      </c>
      <c r="B7883" t="s">
        <v>10</v>
      </c>
      <c r="C7883" t="s">
        <v>23</v>
      </c>
      <c r="D7883" t="str">
        <f>HYPERLINK("https://us2.cloudbeds.com/connect/10074733072513#/reservations/31676006154387?display=Mike%20Stiefel&amp;reservation_id=31676006154387&amp;guest_id=31676006150303", "Mike Stiefel")</f>
        <v>Mike Stiefel</v>
      </c>
      <c r="E7883" t="s">
        <v>5880</v>
      </c>
      <c r="F7883" t="s">
        <v>5514</v>
      </c>
      <c r="G7883">
        <v>238</v>
      </c>
      <c r="H7883">
        <v>258.72000000000003</v>
      </c>
      <c r="I7883">
        <v>258.70999999999998</v>
      </c>
      <c r="J7883">
        <v>0.01</v>
      </c>
    </row>
    <row r="7884" spans="1:10" x14ac:dyDescent="0.3">
      <c r="A7884" t="str">
        <f>HYPERLINK("https://us2.cloudbeds.com/connect/10074733072513#/reservations/31676850909368?display=MH8PVZKW4&amp;reservation_id=31676850909368", "MH8PVZKW4")</f>
        <v>MH8PVZKW4</v>
      </c>
      <c r="B7884" t="s">
        <v>10</v>
      </c>
      <c r="C7884" t="s">
        <v>42</v>
      </c>
      <c r="D7884" t="str">
        <f>HYPERLINK("https://us2.cloudbeds.com/connect/10074733072513#/reservations/31676850909368?display=Kevin%20Gault&amp;reservation_id=31676850909368&amp;guest_id=31676850909364", "Kevin Gault")</f>
        <v>Kevin Gault</v>
      </c>
      <c r="E7884" t="s">
        <v>5881</v>
      </c>
      <c r="F7884" t="s">
        <v>5029</v>
      </c>
      <c r="G7884">
        <v>278</v>
      </c>
      <c r="H7884">
        <v>302.2</v>
      </c>
      <c r="I7884">
        <v>302.19</v>
      </c>
      <c r="J7884">
        <v>0.01</v>
      </c>
    </row>
    <row r="7885" spans="1:10" x14ac:dyDescent="0.3">
      <c r="A7885" t="str">
        <f>HYPERLINK("https://us2.cloudbeds.com/connect/10074733072513#/reservations/31676333764830?display=MH8CZMAPH&amp;reservation_id=31676333764830", "MH8CZMAPH")</f>
        <v>MH8CZMAPH</v>
      </c>
      <c r="B7885" t="s">
        <v>10</v>
      </c>
      <c r="C7885" t="s">
        <v>42</v>
      </c>
      <c r="D7885" t="str">
        <f>HYPERLINK("https://us2.cloudbeds.com/connect/10074733072513#/reservations/31676333764830?display=Gene%20Westerbuhr&amp;reservation_id=31676333764830&amp;guest_id=31675418890435", "Gene Westerbuhr")</f>
        <v>Gene Westerbuhr</v>
      </c>
      <c r="E7885" t="s">
        <v>4927</v>
      </c>
      <c r="F7885" t="s">
        <v>5571</v>
      </c>
      <c r="G7885">
        <v>79</v>
      </c>
      <c r="H7885">
        <v>85.88</v>
      </c>
      <c r="I7885">
        <v>85.87</v>
      </c>
      <c r="J7885">
        <v>0.01</v>
      </c>
    </row>
    <row r="7886" spans="1:10" x14ac:dyDescent="0.3">
      <c r="A7886" t="str">
        <f>HYPERLINK("https://us2.cloudbeds.com/connect/10074733072513#/reservations/31679041745045?display=MHAFV3SY1&amp;reservation_id=31679041745045", "MHAFV3SY1")</f>
        <v>MHAFV3SY1</v>
      </c>
      <c r="B7886" t="s">
        <v>10</v>
      </c>
      <c r="C7886" t="s">
        <v>121</v>
      </c>
      <c r="D7886" t="str">
        <f>HYPERLINK("https://us2.cloudbeds.com/connect/10074733072513#/reservations/31679041745045?display=Doyle%20Emmel&amp;reservation_id=31679041745045&amp;guest_id=31679041745030", "Doyle Emmel")</f>
        <v>Doyle Emmel</v>
      </c>
      <c r="E7886" t="s">
        <v>5883</v>
      </c>
      <c r="F7886" t="s">
        <v>5368</v>
      </c>
      <c r="G7886">
        <v>139</v>
      </c>
      <c r="H7886">
        <v>151.1</v>
      </c>
      <c r="I7886">
        <v>151.09</v>
      </c>
      <c r="J7886">
        <v>0.01</v>
      </c>
    </row>
    <row r="7887" spans="1:10" x14ac:dyDescent="0.3">
      <c r="A7887" t="str">
        <f>HYPERLINK("https://us2.cloudbeds.com/connect/10074733072513#/reservations/31682655862917?display=MHD99Y0RE&amp;reservation_id=31682655862917", "MHD99Y0RE")</f>
        <v>MHD99Y0RE</v>
      </c>
      <c r="B7887" t="s">
        <v>10</v>
      </c>
      <c r="C7887" t="s">
        <v>42</v>
      </c>
      <c r="D7887" t="str">
        <f>HYPERLINK("https://us2.cloudbeds.com/connect/10074733072513#/reservations/31682655862917?display=Kim%20Haddon&amp;reservation_id=31682655862917&amp;guest_id=31682648539316", "Kim Haddon")</f>
        <v>Kim Haddon</v>
      </c>
      <c r="E7887" t="s">
        <v>5884</v>
      </c>
      <c r="F7887" t="s">
        <v>4974</v>
      </c>
      <c r="G7887">
        <v>467</v>
      </c>
      <c r="H7887">
        <v>507.64</v>
      </c>
      <c r="I7887">
        <v>507.63</v>
      </c>
      <c r="J7887">
        <v>0.01</v>
      </c>
    </row>
    <row r="7888" spans="1:10" x14ac:dyDescent="0.3">
      <c r="A7888" t="str">
        <f>HYPERLINK("https://us2.cloudbeds.com/connect/10074733072513#/reservations/31676403990682?display=MH8EHTFAY&amp;reservation_id=31676403990682", "MH8EHTFAY")</f>
        <v>MH8EHTFAY</v>
      </c>
      <c r="B7888" t="s">
        <v>10</v>
      </c>
      <c r="C7888" t="s">
        <v>42</v>
      </c>
      <c r="D7888" t="str">
        <f>HYPERLINK("https://us2.cloudbeds.com/connect/10074733072513#/reservations/31676403990682?display=Brannon%20Valliant&amp;reservation_id=31676403990682&amp;guest_id=31676403990671", "Brannon Valliant")</f>
        <v>Brannon Valliant</v>
      </c>
      <c r="E7888" t="s">
        <v>5885</v>
      </c>
      <c r="F7888" t="s">
        <v>5571</v>
      </c>
      <c r="G7888">
        <v>89</v>
      </c>
      <c r="H7888">
        <v>96.75</v>
      </c>
      <c r="I7888">
        <v>96.74</v>
      </c>
      <c r="J7888">
        <v>0.01</v>
      </c>
    </row>
    <row r="7889" spans="1:10" x14ac:dyDescent="0.3">
      <c r="A7889" t="str">
        <f>HYPERLINK("https://us2.cloudbeds.com/connect/10074733072513#/reservations/31677179834582?display=MH91C3FAS&amp;reservation_id=31677179834582", "MH91C3FAS")</f>
        <v>MH91C3FAS</v>
      </c>
      <c r="B7889" t="s">
        <v>10</v>
      </c>
      <c r="C7889" t="s">
        <v>42</v>
      </c>
      <c r="D7889" t="str">
        <f>HYPERLINK("https://us2.cloudbeds.com/connect/10074733072513#/reservations/31677179834582?display=Taysha%20Wantoch&amp;reservation_id=31677179834582&amp;guest_id=31677179834566", "Taysha Wantoch")</f>
        <v>Taysha Wantoch</v>
      </c>
      <c r="E7889" t="s">
        <v>5888</v>
      </c>
      <c r="F7889" t="s">
        <v>5286</v>
      </c>
      <c r="G7889">
        <v>418</v>
      </c>
      <c r="H7889">
        <v>454.38</v>
      </c>
      <c r="I7889">
        <v>454.37</v>
      </c>
      <c r="J7889">
        <v>0.01</v>
      </c>
    </row>
    <row r="7890" spans="1:10" x14ac:dyDescent="0.3">
      <c r="A7890" t="str">
        <f>HYPERLINK("https://us2.cloudbeds.com/connect/10074733072513#/reservations/31677777182932?display=MH9GKQXJ0&amp;reservation_id=31677777182932", "MH9GKQXJ0")</f>
        <v>MH9GKQXJ0</v>
      </c>
      <c r="B7890" t="s">
        <v>10</v>
      </c>
      <c r="C7890" t="s">
        <v>17</v>
      </c>
      <c r="D7890" t="str">
        <f>HYPERLINK("https://us2.cloudbeds.com/connect/10074733072513#/reservations/31677777182932?display=Mary%20Andersen&amp;reservation_id=31677777182932&amp;guest_id=30676728094922", "Mary Andersen")</f>
        <v>Mary Andersen</v>
      </c>
      <c r="E7890" t="s">
        <v>5889</v>
      </c>
      <c r="F7890" t="s">
        <v>4803</v>
      </c>
      <c r="G7890">
        <v>149</v>
      </c>
      <c r="H7890">
        <v>161.97</v>
      </c>
      <c r="I7890">
        <v>161.96</v>
      </c>
      <c r="J7890">
        <v>0.01</v>
      </c>
    </row>
    <row r="7891" spans="1:10" x14ac:dyDescent="0.3">
      <c r="A7891" t="str">
        <f>HYPERLINK("https://us2.cloudbeds.com/connect/10074733072513#/reservations/31675429273832?display=MH7MKWHHD&amp;reservation_id=31675429273832", "MH7MKWHHD")</f>
        <v>MH7MKWHHD</v>
      </c>
      <c r="B7891" t="s">
        <v>10</v>
      </c>
      <c r="C7891" t="s">
        <v>42</v>
      </c>
      <c r="D7891" t="str">
        <f>HYPERLINK("https://us2.cloudbeds.com/connect/10074733072513#/reservations/31675429273832?display=Adrian%20Fishburn&amp;reservation_id=31675429273832&amp;guest_id=31675419885723", "Adrian Fishburn")</f>
        <v>Adrian Fishburn</v>
      </c>
      <c r="E7891" t="s">
        <v>5890</v>
      </c>
      <c r="F7891" t="s">
        <v>5571</v>
      </c>
      <c r="G7891">
        <v>89</v>
      </c>
      <c r="H7891">
        <v>96.75</v>
      </c>
      <c r="I7891">
        <v>96.74</v>
      </c>
      <c r="J7891">
        <v>0.01</v>
      </c>
    </row>
    <row r="7892" spans="1:10" x14ac:dyDescent="0.3">
      <c r="A7892" t="str">
        <f>HYPERLINK("https://us2.cloudbeds.com/connect/10074733072513#/reservations/31677053493387?display=MH8V4XRHQ&amp;reservation_id=31677053493387", "MH8V4XRHQ")</f>
        <v>MH8V4XRHQ</v>
      </c>
      <c r="B7892" t="s">
        <v>10</v>
      </c>
      <c r="C7892" t="s">
        <v>11</v>
      </c>
      <c r="D7892" t="str">
        <f>HYPERLINK("https://us2.cloudbeds.com/connect/10074733072513#/reservations/31677053493387?display=Shelley%20Welberg&amp;reservation_id=31677053493387&amp;guest_id=31677049606368", "Shelley Welberg")</f>
        <v>Shelley Welberg</v>
      </c>
      <c r="E7892" t="s">
        <v>5891</v>
      </c>
      <c r="F7892" t="s">
        <v>4676</v>
      </c>
      <c r="G7892">
        <v>219.92</v>
      </c>
      <c r="H7892">
        <v>239.06</v>
      </c>
      <c r="I7892">
        <v>239.05</v>
      </c>
      <c r="J7892">
        <v>0.01</v>
      </c>
    </row>
    <row r="7893" spans="1:10" x14ac:dyDescent="0.3">
      <c r="A7893" t="str">
        <f>HYPERLINK("https://us2.cloudbeds.com/connect/10074733072513#/reservations/31679316144313?display=MHAMVGE8C&amp;reservation_id=31679316144313", "MHAMVGE8C")</f>
        <v>MHAMVGE8C</v>
      </c>
      <c r="B7893" t="s">
        <v>10</v>
      </c>
      <c r="C7893" t="s">
        <v>42</v>
      </c>
      <c r="D7893" t="str">
        <f>HYPERLINK("https://us2.cloudbeds.com/connect/10074733072513#/reservations/31679316144313?display=Sandra%20Labaugh&amp;reservation_id=31679316144313&amp;guest_id=31679308787874", "Sandra Labaugh")</f>
        <v>Sandra Labaugh</v>
      </c>
      <c r="E7893" t="s">
        <v>5892</v>
      </c>
      <c r="F7893" t="s">
        <v>4530</v>
      </c>
      <c r="G7893">
        <v>149</v>
      </c>
      <c r="H7893">
        <v>161.97</v>
      </c>
      <c r="I7893">
        <v>161.96</v>
      </c>
      <c r="J7893">
        <v>0.01</v>
      </c>
    </row>
    <row r="7894" spans="1:10" x14ac:dyDescent="0.3">
      <c r="A7894" t="str">
        <f>HYPERLINK("https://us2.cloudbeds.com/connect/10074733072513#/reservations/31676422832303?display=MH8F0PP2S&amp;reservation_id=31676422832303", "MH8F0PP2S")</f>
        <v>MH8F0PP2S</v>
      </c>
      <c r="B7894" t="s">
        <v>10</v>
      </c>
      <c r="C7894" t="s">
        <v>11</v>
      </c>
      <c r="D7894" t="str">
        <f>HYPERLINK("https://us2.cloudbeds.com/connect/10074733072513#/reservations/31676422832303?display=Mike%20Bell&amp;reservation_id=31676422832303&amp;guest_id=31676422832299", "Mike Bell")</f>
        <v>Mike Bell</v>
      </c>
      <c r="E7894" t="s">
        <v>5893</v>
      </c>
      <c r="F7894" t="s">
        <v>5571</v>
      </c>
      <c r="G7894">
        <v>106.8</v>
      </c>
      <c r="H7894">
        <v>116.1</v>
      </c>
      <c r="I7894">
        <v>116.09</v>
      </c>
      <c r="J7894">
        <v>0.01</v>
      </c>
    </row>
    <row r="7895" spans="1:10" x14ac:dyDescent="0.3">
      <c r="A7895" t="str">
        <f>HYPERLINK("https://us2.cloudbeds.com/connect/10074733072513#/reservations/31675648651392?display=MH7S7VUF2&amp;reservation_id=31675648651392", "MH7S7VUF2")</f>
        <v>MH7S7VUF2</v>
      </c>
      <c r="B7895" t="s">
        <v>10</v>
      </c>
      <c r="C7895" t="s">
        <v>42</v>
      </c>
      <c r="D7895" t="str">
        <f>HYPERLINK("https://us2.cloudbeds.com/connect/10074733072513#/reservations/31675648651392?display=Ryan%20Albeck&amp;reservation_id=31675648651392&amp;guest_id=31675644371127", "Ryan Albeck")</f>
        <v>Ryan Albeck</v>
      </c>
      <c r="E7895" t="s">
        <v>5894</v>
      </c>
      <c r="F7895" t="s">
        <v>5549</v>
      </c>
      <c r="G7895">
        <v>238</v>
      </c>
      <c r="H7895">
        <v>258.72000000000003</v>
      </c>
      <c r="I7895">
        <v>258.70999999999998</v>
      </c>
      <c r="J7895">
        <v>0.01</v>
      </c>
    </row>
    <row r="7896" spans="1:10" x14ac:dyDescent="0.3">
      <c r="A7896" t="str">
        <f>HYPERLINK("https://us2.cloudbeds.com/connect/10074733072513#/reservations/31679057531014?display=MHAGBE4FZ&amp;reservation_id=31679057531014", "MHAGBE4FZ")</f>
        <v>MHAGBE4FZ</v>
      </c>
      <c r="B7896" t="s">
        <v>10</v>
      </c>
      <c r="C7896" t="s">
        <v>11</v>
      </c>
      <c r="D7896" t="str">
        <f>HYPERLINK("https://us2.cloudbeds.com/connect/10074733072513#/reservations/31679057531014?display=Chris%20Moore&amp;reservation_id=31679057531014&amp;guest_id=31679051206871", "Chris Moore")</f>
        <v>Chris Moore</v>
      </c>
      <c r="E7896" t="s">
        <v>2955</v>
      </c>
      <c r="F7896" t="s">
        <v>5368</v>
      </c>
      <c r="G7896">
        <v>87.84</v>
      </c>
      <c r="H7896">
        <v>95.49</v>
      </c>
      <c r="I7896">
        <v>95.48</v>
      </c>
      <c r="J7896">
        <v>0.01</v>
      </c>
    </row>
    <row r="7897" spans="1:10" x14ac:dyDescent="0.3">
      <c r="A7897" t="str">
        <f>HYPERLINK("https://us2.cloudbeds.com/connect/10074733072513#/reservations/31678940143854?display=MHADBEYV2&amp;reservation_id=31678940143854", "MHADBEYV2")</f>
        <v>MHADBEYV2</v>
      </c>
      <c r="B7897" t="s">
        <v>10</v>
      </c>
      <c r="C7897" t="s">
        <v>17</v>
      </c>
      <c r="D7897" t="str">
        <f>HYPERLINK("https://us2.cloudbeds.com/connect/10074733072513#/reservations/31678940143854?display=Mary%20Andersen&amp;reservation_id=31678940143854&amp;guest_id=30676728094922", "Mary Andersen")</f>
        <v>Mary Andersen</v>
      </c>
      <c r="E7897" t="s">
        <v>5889</v>
      </c>
      <c r="F7897" t="s">
        <v>5895</v>
      </c>
      <c r="G7897">
        <v>497</v>
      </c>
      <c r="H7897">
        <v>540.25</v>
      </c>
      <c r="I7897">
        <v>540.24</v>
      </c>
      <c r="J7897">
        <v>0.01</v>
      </c>
    </row>
    <row r="7898" spans="1:10" x14ac:dyDescent="0.3">
      <c r="A7898" t="str">
        <f>HYPERLINK("https://us2.cloudbeds.com/connect/10074733072513#/reservations/31678078648556?display=MH9ZB09GV&amp;reservation_id=31678078648556", "MH9ZB09GV")</f>
        <v>MH9ZB09GV</v>
      </c>
      <c r="B7898" t="s">
        <v>10</v>
      </c>
      <c r="C7898" t="s">
        <v>42</v>
      </c>
      <c r="D7898" t="str">
        <f>HYPERLINK("https://us2.cloudbeds.com/connect/10074733072513#/reservations/31678078648556?display=Kayla%20Lux&amp;reservation_id=31678078648556&amp;guest_id=31678070829198", "Kayla Lux")</f>
        <v>Kayla Lux</v>
      </c>
      <c r="E7898" t="s">
        <v>5897</v>
      </c>
      <c r="F7898" t="s">
        <v>5286</v>
      </c>
      <c r="G7898">
        <v>338</v>
      </c>
      <c r="H7898">
        <v>367.42</v>
      </c>
      <c r="I7898">
        <v>367.41</v>
      </c>
      <c r="J7898">
        <v>0.01</v>
      </c>
    </row>
    <row r="7899" spans="1:10" x14ac:dyDescent="0.3">
      <c r="A7899" t="str">
        <f>HYPERLINK("https://us2.cloudbeds.com/connect/10074733072513#/reservations/31677234426018?display=MH92P4X6Q&amp;reservation_id=31677234426018", "MH92P4X6Q")</f>
        <v>MH92P4X6Q</v>
      </c>
      <c r="B7899" t="s">
        <v>10</v>
      </c>
      <c r="C7899" t="s">
        <v>23</v>
      </c>
      <c r="D7899" t="str">
        <f>HYPERLINK("https://us2.cloudbeds.com/connect/10074733072513#/reservations/31677234426018?display=Tina%20Teply&amp;reservation_id=31677234426018&amp;guest_id=31677225013445", "Tina Teply")</f>
        <v>Tina Teply</v>
      </c>
      <c r="E7899" t="s">
        <v>5898</v>
      </c>
      <c r="F7899" t="s">
        <v>5200</v>
      </c>
      <c r="G7899">
        <v>189</v>
      </c>
      <c r="H7899">
        <v>205.45</v>
      </c>
      <c r="I7899">
        <v>205.44</v>
      </c>
      <c r="J7899">
        <v>0.01</v>
      </c>
    </row>
    <row r="7900" spans="1:10" x14ac:dyDescent="0.3">
      <c r="A7900" t="str">
        <f>HYPERLINK("https://us2.cloudbeds.com/connect/10074733072513#/reservations/31676345737353?display=MH8D1PFR8&amp;reservation_id=31676345737353", "MH8D1PFR8")</f>
        <v>MH8D1PFR8</v>
      </c>
      <c r="B7900" t="s">
        <v>10</v>
      </c>
      <c r="C7900" t="s">
        <v>11</v>
      </c>
      <c r="D7900" t="str">
        <f>HYPERLINK("https://us2.cloudbeds.com/connect/10074733072513#/reservations/31676345737353?display=Brittany%20Noltimier&amp;reservation_id=31676345737353&amp;guest_id=31676345733306", "Brittany Noltimier")</f>
        <v>Brittany Noltimier</v>
      </c>
      <c r="E7900" t="s">
        <v>5899</v>
      </c>
      <c r="F7900" t="s">
        <v>5571</v>
      </c>
      <c r="G7900">
        <v>87.84</v>
      </c>
      <c r="H7900">
        <v>95.49</v>
      </c>
      <c r="I7900">
        <v>95.48</v>
      </c>
      <c r="J7900">
        <v>0.01</v>
      </c>
    </row>
    <row r="7901" spans="1:10" x14ac:dyDescent="0.3">
      <c r="A7901" t="str">
        <f>HYPERLINK("https://us2.cloudbeds.com/connect/10074733072513#/reservations/31675696881802?display=MH7TFY3SR&amp;reservation_id=31675696881802", "MH7TFY3SR")</f>
        <v>MH7TFY3SR</v>
      </c>
      <c r="B7901" t="s">
        <v>10</v>
      </c>
      <c r="C7901" t="s">
        <v>42</v>
      </c>
      <c r="D7901" t="str">
        <f>HYPERLINK("https://us2.cloudbeds.com/connect/10074733072513#/reservations/31675696881802?display=Brad%20Smrcina&amp;reservation_id=31675696881802&amp;guest_id=30650946105507", "Brad Smrcina")</f>
        <v>Brad Smrcina</v>
      </c>
      <c r="E7901" t="s">
        <v>5900</v>
      </c>
      <c r="F7901" t="s">
        <v>5549</v>
      </c>
      <c r="G7901">
        <v>139</v>
      </c>
      <c r="H7901">
        <v>151.1</v>
      </c>
      <c r="I7901">
        <v>151.09</v>
      </c>
      <c r="J7901">
        <v>0.01</v>
      </c>
    </row>
    <row r="7902" spans="1:10" x14ac:dyDescent="0.3">
      <c r="A7902" t="str">
        <f>HYPERLINK("https://us2.cloudbeds.com/connect/10074733072513#/reservations/31680622743695?display=MHBNB8G11&amp;reservation_id=31680622743695", "MHBNB8G11")</f>
        <v>MHBNB8G11</v>
      </c>
      <c r="B7902" t="s">
        <v>10</v>
      </c>
      <c r="C7902" t="s">
        <v>42</v>
      </c>
      <c r="D7902" t="str">
        <f>HYPERLINK("https://us2.cloudbeds.com/connect/10074733072513#/reservations/31680622743695?display=Donovan%20Rose&amp;reservation_id=31680622743695&amp;guest_id=31680622739603", "Donovan Rose")</f>
        <v>Donovan Rose</v>
      </c>
      <c r="E7902" t="s">
        <v>5901</v>
      </c>
      <c r="F7902" t="s">
        <v>5366</v>
      </c>
      <c r="G7902">
        <v>149</v>
      </c>
      <c r="H7902">
        <v>161.97</v>
      </c>
      <c r="I7902">
        <v>161.96</v>
      </c>
      <c r="J7902">
        <v>0.01</v>
      </c>
    </row>
    <row r="7903" spans="1:10" x14ac:dyDescent="0.3">
      <c r="A7903" t="str">
        <f>HYPERLINK("https://us2.cloudbeds.com/connect/10074733072513#/reservations/31675715563665?display=MH7TVCVUT&amp;reservation_id=31675715563665", "MH7TVCVUT")</f>
        <v>MH7TVCVUT</v>
      </c>
      <c r="B7903" t="s">
        <v>10</v>
      </c>
      <c r="C7903" t="s">
        <v>11</v>
      </c>
      <c r="D7903" t="str">
        <f>HYPERLINK("https://us2.cloudbeds.com/connect/10074733072513#/reservations/31675715563665?display=Derrick%20Roskam&amp;reservation_id=31675715563665&amp;guest_id=31675711324322", "Derrick Roskam")</f>
        <v>Derrick Roskam</v>
      </c>
      <c r="E7903" t="s">
        <v>5902</v>
      </c>
      <c r="F7903" t="s">
        <v>5549</v>
      </c>
      <c r="G7903">
        <v>106.8</v>
      </c>
      <c r="H7903">
        <v>116.1</v>
      </c>
      <c r="I7903">
        <v>116.09</v>
      </c>
      <c r="J7903">
        <v>0.01</v>
      </c>
    </row>
    <row r="7904" spans="1:10" x14ac:dyDescent="0.3">
      <c r="A7904" t="str">
        <f>HYPERLINK("https://us2.cloudbeds.com/connect/10074733072513#/reservations/31675956994189?display=MH833W47C&amp;reservation_id=31675956994189", "MH833W47C")</f>
        <v>MH833W47C</v>
      </c>
      <c r="B7904" t="s">
        <v>10</v>
      </c>
      <c r="C7904" t="s">
        <v>42</v>
      </c>
      <c r="D7904" t="str">
        <f>HYPERLINK("https://us2.cloudbeds.com/connect/10074733072513#/reservations/31675956994189?display=Kayla%20Lux&amp;reservation_id=31675956994189&amp;guest_id=31675956990094", "Kayla Lux")</f>
        <v>Kayla Lux</v>
      </c>
      <c r="E7904" t="s">
        <v>5897</v>
      </c>
      <c r="F7904" t="s">
        <v>5286</v>
      </c>
      <c r="G7904">
        <v>338</v>
      </c>
      <c r="H7904">
        <v>367.42</v>
      </c>
      <c r="I7904">
        <v>367.41</v>
      </c>
      <c r="J7904">
        <v>0.01</v>
      </c>
    </row>
    <row r="7905" spans="1:10" x14ac:dyDescent="0.3">
      <c r="A7905" t="str">
        <f>HYPERLINK("https://us2.cloudbeds.com/connect/10074733072513#/reservations/31677974925552?display=MH9YMX1DK&amp;reservation_id=31677974925552", "MH9YMX1DK")</f>
        <v>MH9YMX1DK</v>
      </c>
      <c r="B7905" t="s">
        <v>10</v>
      </c>
      <c r="C7905" t="s">
        <v>42</v>
      </c>
      <c r="D7905" t="str">
        <f>HYPERLINK("https://us2.cloudbeds.com/connect/10074733072513#/reservations/31677974925552?display=Sonja%20Schibi&amp;reservation_id=31677974925552&amp;guest_id=31674026815664", "Sonja Schibi")</f>
        <v>Sonja Schibi</v>
      </c>
      <c r="E7905" t="s">
        <v>5221</v>
      </c>
      <c r="F7905" t="s">
        <v>5200</v>
      </c>
      <c r="G7905">
        <v>238</v>
      </c>
      <c r="H7905">
        <v>258.72000000000003</v>
      </c>
      <c r="I7905">
        <v>258.70999999999998</v>
      </c>
      <c r="J7905">
        <v>0.01</v>
      </c>
    </row>
    <row r="7906" spans="1:10" x14ac:dyDescent="0.3">
      <c r="A7906" t="str">
        <f>HYPERLINK("https://us2.cloudbeds.com/connect/10074733072513#/reservations/31675430707351?display=MH7MM6DTC&amp;reservation_id=31675430707351", "MH7MM6DTC")</f>
        <v>MH7MM6DTC</v>
      </c>
      <c r="B7906" t="s">
        <v>10</v>
      </c>
      <c r="C7906" t="s">
        <v>14</v>
      </c>
      <c r="D7906" t="str">
        <f>HYPERLINK("https://us2.cloudbeds.com/connect/10074733072513#/reservations/31675430707351?display=Karen%20Watson&amp;reservation_id=31675430707351&amp;guest_id=31675430707347", "Karen Watson")</f>
        <v>Karen Watson</v>
      </c>
      <c r="E7906" t="s">
        <v>5905</v>
      </c>
      <c r="F7906" t="s">
        <v>5571</v>
      </c>
      <c r="G7906">
        <v>87.84</v>
      </c>
      <c r="H7906">
        <v>95.49</v>
      </c>
      <c r="I7906">
        <v>95.48</v>
      </c>
      <c r="J7906">
        <v>0.01</v>
      </c>
    </row>
    <row r="7907" spans="1:10" x14ac:dyDescent="0.3">
      <c r="A7907" t="str">
        <f>HYPERLINK("https://us2.cloudbeds.com/connect/10074733072513#/reservations/31676713099395?display=MH8MEHSNB&amp;reservation_id=31676713099395", "MH8MEHSNB")</f>
        <v>MH8MEHSNB</v>
      </c>
      <c r="B7907" t="s">
        <v>10</v>
      </c>
      <c r="C7907" t="s">
        <v>42</v>
      </c>
      <c r="D7907" t="str">
        <f>HYPERLINK("https://us2.cloudbeds.com/connect/10074733072513#/reservations/31676713099395?display=Daniel%20Kahlstorf&amp;reservation_id=31676713099395&amp;guest_id=31675447382154", "Daniel Kahlstorf")</f>
        <v>Daniel Kahlstorf</v>
      </c>
      <c r="E7907" t="s">
        <v>5683</v>
      </c>
      <c r="F7907" t="s">
        <v>5292</v>
      </c>
      <c r="G7907">
        <v>73</v>
      </c>
      <c r="H7907">
        <v>79.36</v>
      </c>
      <c r="I7907">
        <v>79.349999999999994</v>
      </c>
      <c r="J7907">
        <v>0.01</v>
      </c>
    </row>
    <row r="7908" spans="1:10" x14ac:dyDescent="0.3">
      <c r="A7908" t="str">
        <f>HYPERLINK("https://us2.cloudbeds.com/connect/10074733072513#/reservations/31682860662937?display=MHDEHAT9Y&amp;reservation_id=31682860662937", "MHDEHAT9Y")</f>
        <v>MHDEHAT9Y</v>
      </c>
      <c r="B7908" t="s">
        <v>10</v>
      </c>
      <c r="C7908" t="s">
        <v>42</v>
      </c>
      <c r="D7908" t="str">
        <f>HYPERLINK("https://us2.cloudbeds.com/connect/10074733072513#/reservations/31682860662937?display=Debra%20Sederstrom&amp;reservation_id=31682860662937&amp;guest_id=31682860662924", "Debra Sederstrom")</f>
        <v>Debra Sederstrom</v>
      </c>
      <c r="E7908" t="s">
        <v>5906</v>
      </c>
      <c r="F7908" t="s">
        <v>5661</v>
      </c>
      <c r="G7908">
        <v>258</v>
      </c>
      <c r="H7908">
        <v>280.45999999999998</v>
      </c>
      <c r="I7908">
        <v>280.45</v>
      </c>
      <c r="J7908">
        <v>0.01</v>
      </c>
    </row>
    <row r="7909" spans="1:10" x14ac:dyDescent="0.3">
      <c r="A7909" t="str">
        <f>HYPERLINK("https://us2.cloudbeds.com/connect/10074733072513#/reservations/31679201603723?display=MHAK0U5YD&amp;reservation_id=31679201603723", "MHAK0U5YD")</f>
        <v>MHAK0U5YD</v>
      </c>
      <c r="B7909" t="s">
        <v>10</v>
      </c>
      <c r="C7909" t="s">
        <v>42</v>
      </c>
      <c r="D7909" t="str">
        <f>HYPERLINK("https://us2.cloudbeds.com/connect/10074733072513#/reservations/31679201603723?display=Ahmadullah%20Yara&amp;reservation_id=31679201603723&amp;guest_id=30653080101006", "Ahmadullah Yara")</f>
        <v>Ahmadullah Yara</v>
      </c>
      <c r="E7909" t="s">
        <v>4551</v>
      </c>
      <c r="F7909" t="s">
        <v>5292</v>
      </c>
      <c r="G7909">
        <v>73</v>
      </c>
      <c r="H7909">
        <v>79.36</v>
      </c>
      <c r="I7909">
        <v>79.349999999999994</v>
      </c>
      <c r="J7909">
        <v>0.01</v>
      </c>
    </row>
    <row r="7910" spans="1:10" x14ac:dyDescent="0.3">
      <c r="A7910" t="str">
        <f>HYPERLINK("https://us2.cloudbeds.com/connect/10074733072513#/reservations/31677899952355?display=MH9JPAQGH&amp;reservation_id=31677899952355", "MH9JPAQGH")</f>
        <v>MH9JPAQGH</v>
      </c>
      <c r="B7910" t="s">
        <v>10</v>
      </c>
      <c r="C7910" t="s">
        <v>23</v>
      </c>
      <c r="D7910" t="str">
        <f>HYPERLINK("https://us2.cloudbeds.com/connect/10074733072513#/reservations/31677899952355?display=Justin%20Goodwin&amp;reservation_id=31677899952355&amp;guest_id=31677889802390", "Justin Goodwin")</f>
        <v>Justin Goodwin</v>
      </c>
      <c r="E7910" t="s">
        <v>5907</v>
      </c>
      <c r="F7910" t="s">
        <v>5200</v>
      </c>
      <c r="G7910">
        <v>209</v>
      </c>
      <c r="H7910">
        <v>227.19</v>
      </c>
      <c r="I7910">
        <v>227.18</v>
      </c>
      <c r="J7910">
        <v>0.01</v>
      </c>
    </row>
    <row r="7911" spans="1:10" x14ac:dyDescent="0.3">
      <c r="A7911" t="str">
        <f>HYPERLINK("https://us2.cloudbeds.com/connect/10074733072513#/reservations/31677149454559?display=MH90JG353&amp;reservation_id=31677149454559", "MH90JG353")</f>
        <v>MH90JG353</v>
      </c>
      <c r="B7911" t="s">
        <v>10</v>
      </c>
      <c r="C7911" t="s">
        <v>42</v>
      </c>
      <c r="D7911" t="str">
        <f>HYPERLINK("https://us2.cloudbeds.com/connect/10074733072513#/reservations/31677149454559?display=Charlie%20Boushek&amp;reservation_id=31677149454559&amp;guest_id=31677149454544", "Charlie Boushek")</f>
        <v>Charlie Boushek</v>
      </c>
      <c r="E7911" t="s">
        <v>5908</v>
      </c>
      <c r="F7911" t="s">
        <v>5286</v>
      </c>
      <c r="G7911">
        <v>209</v>
      </c>
      <c r="H7911">
        <v>227.19</v>
      </c>
      <c r="I7911">
        <v>227.18</v>
      </c>
      <c r="J7911">
        <v>0.01</v>
      </c>
    </row>
    <row r="7912" spans="1:10" x14ac:dyDescent="0.3">
      <c r="A7912" t="str">
        <f>HYPERLINK("https://us2.cloudbeds.com/connect/10074733072513#/reservations/31676643012796?display=MH8KYEK10&amp;reservation_id=31676643012796", "MH8KYEK10")</f>
        <v>MH8KYEK10</v>
      </c>
      <c r="B7912" t="s">
        <v>10</v>
      </c>
      <c r="C7912" t="s">
        <v>23</v>
      </c>
      <c r="D7912" t="str">
        <f>HYPERLINK("https://us2.cloudbeds.com/connect/10074733072513#/reservations/31676643012796?display=Terry%20Milham&amp;reservation_id=31676643012796&amp;guest_id=31676634194143", "Terry Milham")</f>
        <v>Terry Milham</v>
      </c>
      <c r="E7912" t="s">
        <v>5909</v>
      </c>
      <c r="F7912" t="s">
        <v>5292</v>
      </c>
      <c r="G7912">
        <v>139</v>
      </c>
      <c r="H7912">
        <v>151.1</v>
      </c>
      <c r="I7912">
        <v>151.09</v>
      </c>
      <c r="J7912">
        <v>0.01</v>
      </c>
    </row>
    <row r="7913" spans="1:10" x14ac:dyDescent="0.3">
      <c r="A7913" t="str">
        <f>HYPERLINK("https://us2.cloudbeds.com/connect/10074733072513#/reservations/31679750574273?display=MHB11R2RK&amp;reservation_id=31679750574273", "MHB11R2RK")</f>
        <v>MHB11R2RK</v>
      </c>
      <c r="B7913" t="s">
        <v>10</v>
      </c>
      <c r="C7913" t="s">
        <v>42</v>
      </c>
      <c r="D7913" t="str">
        <f>HYPERLINK("https://us2.cloudbeds.com/connect/10074733072513#/reservations/31679750574273?display=Steve%20Willis&amp;reservation_id=31679750574273&amp;guest_id=31679750570239", "Steve Willis")</f>
        <v>Steve Willis</v>
      </c>
      <c r="E7913" t="s">
        <v>5910</v>
      </c>
      <c r="F7913" t="s">
        <v>5688</v>
      </c>
      <c r="G7913">
        <v>169</v>
      </c>
      <c r="H7913">
        <v>183.71</v>
      </c>
      <c r="I7913">
        <v>183.7</v>
      </c>
      <c r="J7913">
        <v>0.01</v>
      </c>
    </row>
    <row r="7914" spans="1:10" x14ac:dyDescent="0.3">
      <c r="A7914" t="str">
        <f>HYPERLINK("https://us2.cloudbeds.com/connect/10074733072513#/reservations/31681163104491?display=MHC44TR3K&amp;reservation_id=31681163104491", "MHC44TR3K")</f>
        <v>MHC44TR3K</v>
      </c>
      <c r="B7914" t="s">
        <v>10</v>
      </c>
      <c r="C7914" t="s">
        <v>17</v>
      </c>
      <c r="D7914" t="str">
        <f>HYPERLINK("https://us2.cloudbeds.com/connect/10074733072513#/reservations/31681163104491?display=Brenda%20Veurink&amp;reservation_id=31681163104491&amp;guest_id=31681163104468", "Brenda Veurink")</f>
        <v>Brenda Veurink</v>
      </c>
      <c r="E7914" t="s">
        <v>5911</v>
      </c>
      <c r="F7914" t="s">
        <v>4974</v>
      </c>
      <c r="G7914">
        <v>169</v>
      </c>
      <c r="H7914">
        <v>183.71</v>
      </c>
      <c r="I7914">
        <v>183.7</v>
      </c>
      <c r="J7914">
        <v>0.01</v>
      </c>
    </row>
    <row r="7915" spans="1:10" x14ac:dyDescent="0.3">
      <c r="A7915" t="str">
        <f>HYPERLINK("https://us2.cloudbeds.com/connect/10074733072513#/reservations/31675861782674?display=MH80MMNWV&amp;reservation_id=31675861782674", "MH80MMNWV")</f>
        <v>MH80MMNWV</v>
      </c>
      <c r="B7915" t="s">
        <v>10</v>
      </c>
      <c r="C7915" t="s">
        <v>42</v>
      </c>
      <c r="D7915" t="str">
        <f>HYPERLINK("https://us2.cloudbeds.com/connect/10074733072513#/reservations/31675861782674?display=John%20Falconberry&amp;reservation_id=31675861782674&amp;guest_id=31675861782670", "John Falconberry")</f>
        <v>John Falconberry</v>
      </c>
      <c r="E7915" t="s">
        <v>5912</v>
      </c>
      <c r="F7915" t="s">
        <v>3650</v>
      </c>
      <c r="G7915">
        <v>79</v>
      </c>
      <c r="H7915">
        <v>85.88</v>
      </c>
      <c r="I7915">
        <v>85.87</v>
      </c>
      <c r="J7915">
        <v>0.01</v>
      </c>
    </row>
    <row r="7916" spans="1:10" x14ac:dyDescent="0.3">
      <c r="A7916" t="str">
        <f>HYPERLINK("https://us2.cloudbeds.com/connect/10074733072513#/reservations/31682118070445?display=MHCSX555S&amp;reservation_id=31682118070445", "MHCSX555S")</f>
        <v>MHCSX555S</v>
      </c>
      <c r="B7916" t="s">
        <v>10</v>
      </c>
      <c r="C7916" t="s">
        <v>20</v>
      </c>
      <c r="D7916" t="str">
        <f>HYPERLINK("https://us2.cloudbeds.com/connect/10074733072513#/reservations/31682118070445?display=Kenneth%20Bruland&amp;reservation_id=31682118070445&amp;guest_id=31682118070429", "Kenneth Bruland")</f>
        <v>Kenneth Bruland</v>
      </c>
      <c r="E7916" t="s">
        <v>5915</v>
      </c>
      <c r="F7916" t="s">
        <v>5916</v>
      </c>
      <c r="G7916">
        <v>149</v>
      </c>
      <c r="H7916">
        <v>161.97</v>
      </c>
      <c r="I7916">
        <v>161.96</v>
      </c>
      <c r="J7916">
        <v>0.01</v>
      </c>
    </row>
    <row r="7917" spans="1:10" x14ac:dyDescent="0.3">
      <c r="A7917" t="str">
        <f>HYPERLINK("https://us2.cloudbeds.com/connect/10074733072513#/reservations/31682488242430?display=MHD509ZBZ&amp;reservation_id=31682488242430", "MHD509ZBZ")</f>
        <v>MHD509ZBZ</v>
      </c>
      <c r="B7917" t="s">
        <v>10</v>
      </c>
      <c r="C7917" t="s">
        <v>42</v>
      </c>
      <c r="D7917" t="str">
        <f>HYPERLINK("https://us2.cloudbeds.com/connect/10074733072513#/reservations/31682488242430?display=Mike%20Long&amp;reservation_id=31682488242430&amp;guest_id=31682488242428", "Mike Long")</f>
        <v>Mike Long</v>
      </c>
      <c r="E7917" t="s">
        <v>5918</v>
      </c>
      <c r="F7917" t="s">
        <v>5283</v>
      </c>
      <c r="G7917">
        <v>218</v>
      </c>
      <c r="H7917">
        <v>236.98</v>
      </c>
      <c r="I7917">
        <v>236.97</v>
      </c>
      <c r="J7917">
        <v>0.01</v>
      </c>
    </row>
    <row r="7918" spans="1:10" x14ac:dyDescent="0.3">
      <c r="A7918" t="str">
        <f>HYPERLINK("https://us2.cloudbeds.com/connect/10074733072513#/reservations/31679207948447?display=MHAK68NRP&amp;reservation_id=31679207948447", "MHAK68NRP")</f>
        <v>MHAK68NRP</v>
      </c>
      <c r="B7918" t="s">
        <v>10</v>
      </c>
      <c r="C7918" t="s">
        <v>121</v>
      </c>
      <c r="D7918" t="str">
        <f>HYPERLINK("https://us2.cloudbeds.com/connect/10074733072513#/reservations/31679207948447?display=Aaron%20Kuhs&amp;reservation_id=31679207948447&amp;guest_id=31676319297699", "Aaron Kuhs")</f>
        <v>Aaron Kuhs</v>
      </c>
      <c r="E7918" t="s">
        <v>5919</v>
      </c>
      <c r="F7918" t="s">
        <v>5292</v>
      </c>
      <c r="G7918">
        <v>73</v>
      </c>
      <c r="H7918">
        <v>79.36</v>
      </c>
      <c r="I7918">
        <v>79.349999999999994</v>
      </c>
      <c r="J7918">
        <v>0.01</v>
      </c>
    </row>
    <row r="7919" spans="1:10" x14ac:dyDescent="0.3">
      <c r="A7919" t="str">
        <f>HYPERLINK("https://us2.cloudbeds.com/connect/10074733072513#/reservations/31679218208911?display=MHAKEU7ZU&amp;reservation_id=31679218208911", "MHAKEU7ZU")</f>
        <v>MHAKEU7ZU</v>
      </c>
      <c r="B7919" t="s">
        <v>10</v>
      </c>
      <c r="C7919" t="s">
        <v>42</v>
      </c>
      <c r="D7919" t="str">
        <f>HYPERLINK("https://us2.cloudbeds.com/connect/10074733072513#/reservations/31679218208911?display=Brian%20Jarvis&amp;reservation_id=31679218208911&amp;guest_id=31673044766864", "Brian Jarvis")</f>
        <v>Brian Jarvis</v>
      </c>
      <c r="E7919" t="s">
        <v>3802</v>
      </c>
      <c r="F7919" t="s">
        <v>5292</v>
      </c>
      <c r="G7919">
        <v>73</v>
      </c>
      <c r="H7919">
        <v>79.36</v>
      </c>
      <c r="I7919">
        <v>79.349999999999994</v>
      </c>
      <c r="J7919">
        <v>0.01</v>
      </c>
    </row>
    <row r="7920" spans="1:10" x14ac:dyDescent="0.3">
      <c r="A7920" t="str">
        <f>HYPERLINK("https://us2.cloudbeds.com/connect/10074733072513#/reservations/31679200899235?display=MHAK0AXZ9&amp;reservation_id=31679200899235", "MHAK0AXZ9")</f>
        <v>MHAK0AXZ9</v>
      </c>
      <c r="B7920" t="s">
        <v>10</v>
      </c>
      <c r="C7920" t="s">
        <v>23</v>
      </c>
      <c r="D7920" t="str">
        <f>HYPERLINK("https://us2.cloudbeds.com/connect/10074733072513#/reservations/31679200899235?display=Cheri%20Underhill&amp;reservation_id=31679200899235&amp;guest_id=31679200899220", "Cheri Underhill")</f>
        <v>Cheri Underhill</v>
      </c>
      <c r="E7920" t="s">
        <v>5920</v>
      </c>
      <c r="F7920" t="s">
        <v>5029</v>
      </c>
      <c r="G7920">
        <v>179</v>
      </c>
      <c r="H7920">
        <v>194.58</v>
      </c>
      <c r="I7920">
        <v>194.57</v>
      </c>
      <c r="J7920">
        <v>0.01</v>
      </c>
    </row>
    <row r="7921" spans="1:10" x14ac:dyDescent="0.3">
      <c r="A7921" t="str">
        <f>HYPERLINK("https://us2.cloudbeds.com/connect/10074733072513#/reservations/31680564924626?display=MHBYSGJA1&amp;reservation_id=31680564924626", "MHBYSGJA1")</f>
        <v>MHBYSGJA1</v>
      </c>
      <c r="B7921" t="s">
        <v>10</v>
      </c>
      <c r="C7921" t="s">
        <v>42</v>
      </c>
      <c r="D7921" t="str">
        <f>HYPERLINK("https://us2.cloudbeds.com/connect/10074733072513#/reservations/31680564924626?display=Anita%20Swanson&amp;reservation_id=31680564924626&amp;guest_id=31680564924624", "Anita Swanson")</f>
        <v>Anita Swanson</v>
      </c>
      <c r="E7921" t="s">
        <v>5921</v>
      </c>
      <c r="F7921" t="s">
        <v>5366</v>
      </c>
      <c r="G7921">
        <v>298</v>
      </c>
      <c r="H7921">
        <v>323.94</v>
      </c>
      <c r="I7921">
        <v>323.93</v>
      </c>
      <c r="J7921">
        <v>0.01</v>
      </c>
    </row>
    <row r="7922" spans="1:10" x14ac:dyDescent="0.3">
      <c r="A7922" t="str">
        <f>HYPERLINK("https://us2.cloudbeds.com/connect/10074733072513#/reservations/31679721894079?display=MHB0AY0XR&amp;reservation_id=31679721894079", "MHB0AY0XR")</f>
        <v>MHB0AY0XR</v>
      </c>
      <c r="B7922" t="s">
        <v>10</v>
      </c>
      <c r="C7922" t="s">
        <v>42</v>
      </c>
      <c r="D7922" t="str">
        <f>HYPERLINK("https://us2.cloudbeds.com/connect/10074733072513#/reservations/31679721894079?display=Alysha%20Mortenson&amp;reservation_id=31679721894079&amp;guest_id=31679721894017", "Alysha Mortenson")</f>
        <v>Alysha Mortenson</v>
      </c>
      <c r="E7922" t="s">
        <v>5922</v>
      </c>
      <c r="F7922" t="s">
        <v>5685</v>
      </c>
      <c r="G7922">
        <v>119</v>
      </c>
      <c r="H7922">
        <v>129.36000000000001</v>
      </c>
      <c r="I7922">
        <v>129.35</v>
      </c>
      <c r="J7922">
        <v>0.01</v>
      </c>
    </row>
    <row r="7923" spans="1:10" x14ac:dyDescent="0.3">
      <c r="A7923" t="str">
        <f>HYPERLINK("https://us2.cloudbeds.com/connect/10074733072513#/reservations/31675729866883?display=MH7UAEW6Z&amp;reservation_id=31675729866883", "MH7UAEW6Z")</f>
        <v>MH7UAEW6Z</v>
      </c>
      <c r="B7923" t="s">
        <v>10</v>
      </c>
      <c r="C7923" t="s">
        <v>121</v>
      </c>
      <c r="D7923" t="str">
        <f>HYPERLINK("https://us2.cloudbeds.com/connect/10074733072513#/reservations/31675729866883?display=Sharon%20Hammaker&amp;reservation_id=31675729866883&amp;guest_id=31675729866881", "Sharon Hammaker")</f>
        <v>Sharon Hammaker</v>
      </c>
      <c r="E7923" t="s">
        <v>5923</v>
      </c>
      <c r="F7923" t="s">
        <v>5292</v>
      </c>
      <c r="G7923">
        <v>119</v>
      </c>
      <c r="H7923">
        <v>129.36000000000001</v>
      </c>
      <c r="I7923">
        <v>129.35</v>
      </c>
      <c r="J7923">
        <v>0.01</v>
      </c>
    </row>
    <row r="7924" spans="1:10" x14ac:dyDescent="0.3">
      <c r="A7924" t="str">
        <f>HYPERLINK("https://us2.cloudbeds.com/connect/10074733072513#/reservations/31676819894495?display=MH8P5JJRG&amp;reservation_id=31676819894495", "MH8P5JJRG")</f>
        <v>MH8P5JJRG</v>
      </c>
      <c r="B7924" t="s">
        <v>10</v>
      </c>
      <c r="C7924" t="s">
        <v>23</v>
      </c>
      <c r="D7924" t="str">
        <f>HYPERLINK("https://us2.cloudbeds.com/connect/10074733072513#/reservations/31676819894495?display=Daniel%20Cable&amp;reservation_id=31676819894495&amp;guest_id=31676819894492", "Daniel Cable")</f>
        <v>Daniel Cable</v>
      </c>
      <c r="E7924" t="s">
        <v>5925</v>
      </c>
      <c r="F7924" t="s">
        <v>5292</v>
      </c>
      <c r="G7924">
        <v>139</v>
      </c>
      <c r="H7924">
        <v>151.1</v>
      </c>
      <c r="I7924">
        <v>151.09</v>
      </c>
      <c r="J7924">
        <v>0.01</v>
      </c>
    </row>
    <row r="7925" spans="1:10" x14ac:dyDescent="0.3">
      <c r="A7925" t="str">
        <f>HYPERLINK("https://us2.cloudbeds.com/connect/10074733072513#/reservations/31679239135389?display=MHAKWXHWK&amp;reservation_id=31679239135389", "MHAKWXHWK")</f>
        <v>MHAKWXHWK</v>
      </c>
      <c r="B7925" t="s">
        <v>10</v>
      </c>
      <c r="C7925" t="s">
        <v>121</v>
      </c>
      <c r="D7925" t="str">
        <f>HYPERLINK("https://us2.cloudbeds.com/connect/10074733072513#/reservations/31679239135389?display=Easton%20Hunt&amp;reservation_id=31679239135389&amp;guest_id=31679232548993", "Easton Hunt")</f>
        <v>Easton Hunt</v>
      </c>
      <c r="E7925" t="s">
        <v>5927</v>
      </c>
      <c r="F7925" t="s">
        <v>5292</v>
      </c>
      <c r="G7925">
        <v>139</v>
      </c>
      <c r="H7925">
        <v>151.1</v>
      </c>
      <c r="I7925">
        <v>151.09</v>
      </c>
      <c r="J7925">
        <v>0.01</v>
      </c>
    </row>
    <row r="7926" spans="1:10" x14ac:dyDescent="0.3">
      <c r="A7926" t="str">
        <f>HYPERLINK("https://us2.cloudbeds.com/connect/10074733072513#/reservations/31679224598739?display=MHAKKA1C2&amp;reservation_id=31679224598739", "MHAKKA1C2")</f>
        <v>MHAKKA1C2</v>
      </c>
      <c r="B7926" t="s">
        <v>10</v>
      </c>
      <c r="C7926" t="s">
        <v>121</v>
      </c>
      <c r="D7926" t="str">
        <f>HYPERLINK("https://us2.cloudbeds.com/connect/10074733072513#/reservations/31679224598739?display=Kevin%20Souza&amp;reservation_id=31679224598739&amp;guest_id=31679224594648", "Kevin Souza")</f>
        <v>Kevin Souza</v>
      </c>
      <c r="E7926" t="s">
        <v>5928</v>
      </c>
      <c r="F7926" t="s">
        <v>5292</v>
      </c>
      <c r="G7926">
        <v>278</v>
      </c>
      <c r="H7926">
        <v>302.2</v>
      </c>
      <c r="I7926">
        <v>302.19</v>
      </c>
      <c r="J7926">
        <v>0.01</v>
      </c>
    </row>
    <row r="7927" spans="1:10" x14ac:dyDescent="0.3">
      <c r="A7927" t="str">
        <f>HYPERLINK("https://us2.cloudbeds.com/connect/10074733072513#/reservations/31677151584492?display=MH90Y9C0H&amp;reservation_id=31677151584492", "MH90Y9C0H")</f>
        <v>MH90Y9C0H</v>
      </c>
      <c r="B7927" t="s">
        <v>10</v>
      </c>
      <c r="C7927" t="s">
        <v>42</v>
      </c>
      <c r="D7927" t="str">
        <f>HYPERLINK("https://us2.cloudbeds.com/connect/10074733072513#/reservations/31677151584492?display=Roofing%20And%20Siding%20Lynch&amp;reservation_id=31677151584492&amp;guest_id=31677129588959", "Roofing And Siding Lynch")</f>
        <v>Roofing And Siding Lynch</v>
      </c>
      <c r="E7927" t="s">
        <v>5930</v>
      </c>
      <c r="F7927" t="s">
        <v>5931</v>
      </c>
      <c r="G7927">
        <v>296</v>
      </c>
      <c r="H7927">
        <v>321.76</v>
      </c>
      <c r="I7927">
        <v>321.75</v>
      </c>
      <c r="J7927">
        <v>0.01</v>
      </c>
    </row>
    <row r="7928" spans="1:10" x14ac:dyDescent="0.3">
      <c r="A7928" t="str">
        <f>HYPERLINK("https://us2.cloudbeds.com/connect/10074733072513#/reservations/31677213946001?display=MH927SYV7&amp;reservation_id=31677213946001", "MH927SYV7")</f>
        <v>MH927SYV7</v>
      </c>
      <c r="B7928" t="s">
        <v>10</v>
      </c>
      <c r="C7928" t="s">
        <v>42</v>
      </c>
      <c r="D7928" t="str">
        <f>HYPERLINK("https://us2.cloudbeds.com/connect/10074733072513#/reservations/31677213946001?display=Lucy%20Atteberry&amp;reservation_id=31677213946001&amp;guest_id=31677213945990", "Lucy Atteberry")</f>
        <v>Lucy Atteberry</v>
      </c>
      <c r="E7928" t="s">
        <v>5933</v>
      </c>
      <c r="F7928" t="s">
        <v>5200</v>
      </c>
      <c r="G7928">
        <v>169</v>
      </c>
      <c r="H7928">
        <v>183.71</v>
      </c>
      <c r="I7928">
        <v>183.7</v>
      </c>
      <c r="J7928">
        <v>0.01</v>
      </c>
    </row>
    <row r="7929" spans="1:10" x14ac:dyDescent="0.3">
      <c r="A7929" t="str">
        <f>HYPERLINK("https://us2.cloudbeds.com/connect/10074733072513#/reservations/31675871080675?display=MH80UHF3X&amp;reservation_id=31675871080675", "MH80UHF3X")</f>
        <v>MH80UHF3X</v>
      </c>
      <c r="B7929" t="s">
        <v>10</v>
      </c>
      <c r="C7929" t="s">
        <v>42</v>
      </c>
      <c r="D7929" t="str">
        <f>HYPERLINK("https://us2.cloudbeds.com/connect/10074733072513#/reservations/31675871080675?display=David%20Oberg&amp;reservation_id=31675871080675&amp;guest_id=31675861786764", "David Oberg")</f>
        <v>David Oberg</v>
      </c>
      <c r="E7929" t="s">
        <v>5936</v>
      </c>
      <c r="F7929" t="s">
        <v>3650</v>
      </c>
      <c r="G7929">
        <v>139</v>
      </c>
      <c r="H7929">
        <v>151.1</v>
      </c>
      <c r="I7929">
        <v>151.09</v>
      </c>
      <c r="J7929">
        <v>0.01</v>
      </c>
    </row>
    <row r="7930" spans="1:10" x14ac:dyDescent="0.3">
      <c r="A7930" t="str">
        <f>HYPERLINK("https://us2.cloudbeds.com/connect/10074733072513#/reservations/31677122089095?display=MH8WTDK5K&amp;reservation_id=31677122089095", "MH8WTDK5K")</f>
        <v>MH8WTDK5K</v>
      </c>
      <c r="B7930" t="s">
        <v>10</v>
      </c>
      <c r="C7930" t="s">
        <v>42</v>
      </c>
      <c r="D7930" t="str">
        <f>HYPERLINK("https://us2.cloudbeds.com/connect/10074733072513#/reservations/31677122089095?display=Penney%20Ivey&amp;reservation_id=31677122089095&amp;guest_id=31677122085049", "Penney Ivey")</f>
        <v>Penney Ivey</v>
      </c>
      <c r="E7930" t="s">
        <v>5940</v>
      </c>
      <c r="F7930" t="s">
        <v>5931</v>
      </c>
      <c r="G7930">
        <v>119</v>
      </c>
      <c r="H7930">
        <v>129.36000000000001</v>
      </c>
      <c r="I7930">
        <v>129.35</v>
      </c>
      <c r="J7930">
        <v>0.01</v>
      </c>
    </row>
    <row r="7931" spans="1:10" x14ac:dyDescent="0.3">
      <c r="A7931" t="str">
        <f>HYPERLINK("https://us2.cloudbeds.com/connect/10074733072513#/reservations/31681675210887?display=MHCH7NUU8&amp;reservation_id=31681675210887", "MHCH7NUU8")</f>
        <v>MHCH7NUU8</v>
      </c>
      <c r="B7931" t="s">
        <v>10</v>
      </c>
      <c r="C7931" t="s">
        <v>42</v>
      </c>
      <c r="D7931" t="str">
        <f>HYPERLINK("https://us2.cloudbeds.com/connect/10074733072513#/reservations/31681675210887?display=Kalsey%20Smith&amp;reservation_id=31681675210887&amp;guest_id=31681675206796", "Kalsey Smith")</f>
        <v>Kalsey Smith</v>
      </c>
      <c r="E7931" t="s">
        <v>5942</v>
      </c>
      <c r="F7931" t="s">
        <v>2815</v>
      </c>
      <c r="G7931">
        <v>139</v>
      </c>
      <c r="H7931">
        <v>151.1</v>
      </c>
      <c r="I7931">
        <v>151.09</v>
      </c>
      <c r="J7931">
        <v>0.01</v>
      </c>
    </row>
    <row r="7932" spans="1:10" x14ac:dyDescent="0.3">
      <c r="A7932" t="str">
        <f>HYPERLINK("https://us2.cloudbeds.com/connect/10074733072513#/reservations/31678733922448?display=MHA82X88X&amp;reservation_id=31678733922448", "MHA82X88X")</f>
        <v>MHA82X88X</v>
      </c>
      <c r="B7932" t="s">
        <v>10</v>
      </c>
      <c r="C7932" t="s">
        <v>23</v>
      </c>
      <c r="D7932" t="str">
        <f>HYPERLINK("https://us2.cloudbeds.com/connect/10074733072513#/reservations/31678733922448?display=Carol%20Pyfferoen&amp;reservation_id=31678733922448&amp;guest_id=31678733918362", "Carol Pyfferoen")</f>
        <v>Carol Pyfferoen</v>
      </c>
      <c r="E7932" t="s">
        <v>5943</v>
      </c>
      <c r="F7932" t="s">
        <v>4164</v>
      </c>
      <c r="G7932">
        <v>199</v>
      </c>
      <c r="H7932">
        <v>216.32</v>
      </c>
      <c r="I7932">
        <v>216.31</v>
      </c>
      <c r="J7932">
        <v>0.01</v>
      </c>
    </row>
    <row r="7933" spans="1:10" x14ac:dyDescent="0.3">
      <c r="A7933" t="str">
        <f>HYPERLINK("https://us2.cloudbeds.com/connect/10074733072513#/reservations/31677122085002?display=MH8WTDGDJ&amp;reservation_id=31677122085002", "MH8WTDGDJ")</f>
        <v>MH8WTDGDJ</v>
      </c>
      <c r="B7933" t="s">
        <v>10</v>
      </c>
      <c r="C7933" t="s">
        <v>20</v>
      </c>
      <c r="D7933" t="str">
        <f>HYPERLINK("https://us2.cloudbeds.com/connect/10074733072513#/reservations/31677122085002?display=Carole%20Curtis&amp;reservation_id=31677122085002&amp;guest_id=31677115523249", "Carole Curtis")</f>
        <v>Carole Curtis</v>
      </c>
      <c r="E7933" t="s">
        <v>5944</v>
      </c>
      <c r="F7933" t="s">
        <v>5200</v>
      </c>
      <c r="G7933">
        <v>169</v>
      </c>
      <c r="H7933">
        <v>183.71</v>
      </c>
      <c r="I7933">
        <v>183.7</v>
      </c>
      <c r="J7933">
        <v>0.01</v>
      </c>
    </row>
    <row r="7934" spans="1:10" x14ac:dyDescent="0.3">
      <c r="A7934" t="str">
        <f>HYPERLINK("https://us2.cloudbeds.com/connect/10074733072513#/reservations/31676508815611?display=MH8H79C9Y&amp;reservation_id=31676508815611", "MH8H79C9Y")</f>
        <v>MH8H79C9Y</v>
      </c>
      <c r="B7934" t="s">
        <v>10</v>
      </c>
      <c r="C7934" t="s">
        <v>23</v>
      </c>
      <c r="D7934" t="str">
        <f>HYPERLINK("https://us2.cloudbeds.com/connect/10074733072513#/reservations/31676508815611?display=Holly%20Schmitt&amp;reservation_id=31676508815611&amp;guest_id=31676491649184", "Holly Schmitt")</f>
        <v>Holly Schmitt</v>
      </c>
      <c r="E7934" t="s">
        <v>5945</v>
      </c>
      <c r="F7934" t="s">
        <v>4530</v>
      </c>
      <c r="G7934">
        <v>209</v>
      </c>
      <c r="H7934">
        <v>227.19</v>
      </c>
      <c r="I7934">
        <v>227.18</v>
      </c>
      <c r="J7934">
        <v>0.01</v>
      </c>
    </row>
    <row r="7935" spans="1:10" x14ac:dyDescent="0.3">
      <c r="A7935" t="str">
        <f>HYPERLINK("https://us2.cloudbeds.com/connect/10074733072513#/reservations/31676243337354?display=MH8AEE1JW&amp;reservation_id=31676243337354", "MH8AEE1JW")</f>
        <v>MH8AEE1JW</v>
      </c>
      <c r="B7935" t="s">
        <v>10</v>
      </c>
      <c r="C7935" t="s">
        <v>17</v>
      </c>
      <c r="D7935" t="str">
        <f>HYPERLINK("https://us2.cloudbeds.com/connect/10074733072513#/reservations/31676243337354?display=Keaton%20Storm&amp;reservation_id=31676243337354&amp;guest_id=31676243333262", "Keaton Storm")</f>
        <v>Keaton Storm</v>
      </c>
      <c r="E7935" t="s">
        <v>5947</v>
      </c>
      <c r="F7935" t="s">
        <v>4164</v>
      </c>
      <c r="G7935">
        <v>458</v>
      </c>
      <c r="H7935">
        <v>497.86</v>
      </c>
      <c r="I7935">
        <v>497.85</v>
      </c>
      <c r="J7935">
        <v>0.01</v>
      </c>
    </row>
    <row r="7936" spans="1:10" x14ac:dyDescent="0.3">
      <c r="A7936" t="str">
        <f>HYPERLINK("https://us2.cloudbeds.com/connect/10074733072513#/reservations/31681494888605?display=MHCCKM6NM&amp;reservation_id=31681494888605", "MHCCKM6NM")</f>
        <v>MHCCKM6NM</v>
      </c>
      <c r="B7936" t="s">
        <v>10</v>
      </c>
      <c r="C7936" t="s">
        <v>42</v>
      </c>
      <c r="D7936" t="str">
        <f>HYPERLINK("https://us2.cloudbeds.com/connect/10074733072513#/reservations/31681494888605?display=Julie%20Barrett&amp;reservation_id=31681494888605&amp;guest_id=31681494888600", "Julie Barrett")</f>
        <v>Julie Barrett</v>
      </c>
      <c r="E7936" t="s">
        <v>5948</v>
      </c>
      <c r="F7936" t="s">
        <v>5537</v>
      </c>
      <c r="G7936">
        <v>129</v>
      </c>
      <c r="H7936">
        <v>140.22999999999999</v>
      </c>
      <c r="I7936">
        <v>140.22</v>
      </c>
      <c r="J7936">
        <v>0.01</v>
      </c>
    </row>
    <row r="7937" spans="1:10" x14ac:dyDescent="0.3">
      <c r="A7937" t="str">
        <f>HYPERLINK("https://us2.cloudbeds.com/connect/10074733072513#/reservations/31677049602290?display=MH8V19XEP&amp;reservation_id=31677049602290", "MH8V19XEP")</f>
        <v>MH8V19XEP</v>
      </c>
      <c r="B7937" t="s">
        <v>10</v>
      </c>
      <c r="C7937" t="s">
        <v>42</v>
      </c>
      <c r="D7937" t="str">
        <f>HYPERLINK("https://us2.cloudbeds.com/connect/10074733072513#/reservations/31677049602290?display=Nicki%20Nelson&amp;reservation_id=31677049602290&amp;guest_id=31677042131096", "Nicki Nelson")</f>
        <v>Nicki Nelson</v>
      </c>
      <c r="E7937" t="s">
        <v>5951</v>
      </c>
      <c r="F7937" t="s">
        <v>5286</v>
      </c>
      <c r="G7937">
        <v>169</v>
      </c>
      <c r="H7937">
        <v>183.71</v>
      </c>
      <c r="I7937">
        <v>183.7</v>
      </c>
      <c r="J7937">
        <v>0.01</v>
      </c>
    </row>
    <row r="7938" spans="1:10" x14ac:dyDescent="0.3">
      <c r="A7938" t="str">
        <f>HYPERLINK("https://us2.cloudbeds.com/connect/10074733072513#/reservations/31677106565343?display=MH8WGAY3T&amp;reservation_id=31677106565343", "MH8WGAY3T")</f>
        <v>MH8WGAY3T</v>
      </c>
      <c r="B7938" t="s">
        <v>10</v>
      </c>
      <c r="C7938" t="s">
        <v>42</v>
      </c>
      <c r="D7938" t="str">
        <f>HYPERLINK("https://us2.cloudbeds.com/connect/10074733072513#/reservations/31677106565343?display=Roxane%20Kraft&amp;reservation_id=31677106565343&amp;guest_id=31677106565331", "Roxane Kraft")</f>
        <v>Roxane Kraft</v>
      </c>
      <c r="E7938" t="s">
        <v>3173</v>
      </c>
      <c r="F7938" t="s">
        <v>5931</v>
      </c>
      <c r="G7938">
        <v>99</v>
      </c>
      <c r="H7938">
        <v>107.62</v>
      </c>
      <c r="I7938">
        <v>107.61</v>
      </c>
      <c r="J7938">
        <v>0.01</v>
      </c>
    </row>
    <row r="7939" spans="1:10" x14ac:dyDescent="0.3">
      <c r="A7939" t="str">
        <f>HYPERLINK("https://us2.cloudbeds.com/connect/10074733072513#/reservations/31677854650518?display=MH9XK470K&amp;reservation_id=31677854650518", "MH9XK470K")</f>
        <v>MH9XK470K</v>
      </c>
      <c r="B7939" t="s">
        <v>10</v>
      </c>
      <c r="C7939" t="s">
        <v>20</v>
      </c>
      <c r="D7939" t="str">
        <f>HYPERLINK("https://us2.cloudbeds.com/connect/10074733072513#/reservations/31677854650518?display=Rachel%20Steinbrunner&amp;reservation_id=31677854650518&amp;guest_id=31677854650513", "Rachel Steinbrunner")</f>
        <v>Rachel Steinbrunner</v>
      </c>
      <c r="E7939" t="s">
        <v>5953</v>
      </c>
      <c r="F7939" t="s">
        <v>5566</v>
      </c>
      <c r="G7939">
        <v>101.75</v>
      </c>
      <c r="H7939">
        <v>110.61</v>
      </c>
      <c r="I7939">
        <v>110.6</v>
      </c>
      <c r="J7939">
        <v>0.01</v>
      </c>
    </row>
    <row r="7940" spans="1:10" x14ac:dyDescent="0.3">
      <c r="A7940" t="str">
        <f>HYPERLINK("https://us2.cloudbeds.com/connect/10074733072513#/reservations/31677174395042?display=MH917H3BA&amp;reservation_id=31677174395042", "MH917H3BA")</f>
        <v>MH917H3BA</v>
      </c>
      <c r="B7940" t="s">
        <v>10</v>
      </c>
      <c r="C7940" t="s">
        <v>121</v>
      </c>
      <c r="D7940" t="str">
        <f>HYPERLINK("https://us2.cloudbeds.com/connect/10074733072513#/reservations/31677174395042?display=Aaron%20Kuhs&amp;reservation_id=31677174395042&amp;guest_id=31676319297699", "Aaron Kuhs")</f>
        <v>Aaron Kuhs</v>
      </c>
      <c r="E7940" t="s">
        <v>5919</v>
      </c>
      <c r="F7940" t="s">
        <v>5931</v>
      </c>
      <c r="G7940">
        <v>73</v>
      </c>
      <c r="H7940">
        <v>79.36</v>
      </c>
      <c r="I7940">
        <v>79.349999999999994</v>
      </c>
      <c r="J7940">
        <v>0.01</v>
      </c>
    </row>
    <row r="7941" spans="1:10" x14ac:dyDescent="0.3">
      <c r="A7941" t="str">
        <f>HYPERLINK("https://us2.cloudbeds.com/connect/10074733072513#/reservations/31680461795540?display=MHBJ7HSJ7&amp;reservation_id=31680461795540", "MHBJ7HSJ7")</f>
        <v>MHBJ7HSJ7</v>
      </c>
      <c r="B7941" t="s">
        <v>10</v>
      </c>
      <c r="C7941" t="s">
        <v>23</v>
      </c>
      <c r="D7941" t="str">
        <f>HYPERLINK("https://us2.cloudbeds.com/connect/10074733072513#/reservations/31680461795540?display=Emily%20Huntley&amp;reservation_id=31680461795540&amp;guest_id=31680461795535", "Emily Huntley")</f>
        <v>Emily Huntley</v>
      </c>
      <c r="E7941" t="s">
        <v>5955</v>
      </c>
      <c r="F7941" t="s">
        <v>4916</v>
      </c>
      <c r="G7941">
        <v>358</v>
      </c>
      <c r="H7941">
        <v>389.16</v>
      </c>
      <c r="I7941">
        <v>389.15</v>
      </c>
      <c r="J7941">
        <v>0.01</v>
      </c>
    </row>
    <row r="7942" spans="1:10" x14ac:dyDescent="0.3">
      <c r="A7942" t="str">
        <f>HYPERLINK("https://us2.cloudbeds.com/connect/10074733072513#/reservations/31679280615568?display=MHAM1HQ4Z&amp;reservation_id=31679280615568", "MHAM1HQ4Z")</f>
        <v>MHAM1HQ4Z</v>
      </c>
      <c r="B7942" t="s">
        <v>10</v>
      </c>
      <c r="C7942" t="s">
        <v>121</v>
      </c>
      <c r="D7942" t="str">
        <f>HYPERLINK("https://us2.cloudbeds.com/connect/10074733072513#/reservations/31679280615568?display=Sean%20Mcdannel&amp;reservation_id=31679280615568&amp;guest_id=31679280611474", "Sean Mcdannel")</f>
        <v>Sean Mcdannel</v>
      </c>
      <c r="E7942" t="s">
        <v>5956</v>
      </c>
      <c r="F7942" t="s">
        <v>5931</v>
      </c>
      <c r="G7942">
        <v>129</v>
      </c>
      <c r="H7942">
        <v>140.22999999999999</v>
      </c>
      <c r="I7942">
        <v>140.22</v>
      </c>
      <c r="J7942">
        <v>0.01</v>
      </c>
    </row>
    <row r="7943" spans="1:10" x14ac:dyDescent="0.3">
      <c r="A7943" t="str">
        <f>HYPERLINK("https://us2.cloudbeds.com/connect/10074733072513#/reservations/31679543136473?display=MHASZTR5M&amp;reservation_id=31679543136473", "MHASZTR5M")</f>
        <v>MHASZTR5M</v>
      </c>
      <c r="B7943" t="s">
        <v>10</v>
      </c>
      <c r="C7943" t="s">
        <v>42</v>
      </c>
      <c r="D7943" t="str">
        <f>HYPERLINK("https://us2.cloudbeds.com/connect/10074733072513#/reservations/31679543136473?display=Adrian%20Fishburn&amp;reservation_id=31679543136473&amp;guest_id=31678984261853", "Adrian Fishburn")</f>
        <v>Adrian Fishburn</v>
      </c>
      <c r="E7943" t="s">
        <v>5890</v>
      </c>
      <c r="F7943" t="s">
        <v>5957</v>
      </c>
      <c r="G7943">
        <v>119</v>
      </c>
      <c r="H7943">
        <v>129.36000000000001</v>
      </c>
      <c r="I7943">
        <v>129.35</v>
      </c>
      <c r="J7943">
        <v>0.01</v>
      </c>
    </row>
    <row r="7944" spans="1:10" x14ac:dyDescent="0.3">
      <c r="A7944" t="str">
        <f>HYPERLINK("https://us2.cloudbeds.com/connect/10074733072513#/reservations/31677815914689?display=MH9HKF77C&amp;reservation_id=31677815914689", "MH9HKF77C")</f>
        <v>MH9HKF77C</v>
      </c>
      <c r="B7944" t="s">
        <v>10</v>
      </c>
      <c r="C7944" t="s">
        <v>20</v>
      </c>
      <c r="D7944" t="str">
        <f>HYPERLINK("https://us2.cloudbeds.com/connect/10074733072513#/reservations/31677815914689?display=Amy%20Elders&amp;reservation_id=31677815914689&amp;guest_id=31677815910609", "Amy Elders")</f>
        <v>Amy Elders</v>
      </c>
      <c r="E7944" t="s">
        <v>5958</v>
      </c>
      <c r="F7944" t="s">
        <v>5566</v>
      </c>
      <c r="G7944">
        <v>101.75</v>
      </c>
      <c r="H7944">
        <v>110.61</v>
      </c>
      <c r="I7944">
        <v>110.6</v>
      </c>
      <c r="J7944">
        <v>0.01</v>
      </c>
    </row>
    <row r="7945" spans="1:10" x14ac:dyDescent="0.3">
      <c r="A7945" t="str">
        <f>HYPERLINK("https://us2.cloudbeds.com/connect/10074733072513#/reservations/31679397347486?display=MHAP0W0WJ&amp;reservation_id=31679397347486", "MHAP0W0WJ")</f>
        <v>MHAP0W0WJ</v>
      </c>
      <c r="B7945" t="s">
        <v>10</v>
      </c>
      <c r="C7945" t="s">
        <v>42</v>
      </c>
      <c r="D7945" t="str">
        <f>HYPERLINK("https://us2.cloudbeds.com/connect/10074733072513#/reservations/31679397347486?display=Karrie%20Foster&amp;reservation_id=31679397347486&amp;guest_id=31679397347481", "Karrie Foster")</f>
        <v>Karrie Foster</v>
      </c>
      <c r="E7945" t="s">
        <v>5960</v>
      </c>
      <c r="F7945" t="s">
        <v>5366</v>
      </c>
      <c r="G7945">
        <v>298</v>
      </c>
      <c r="H7945">
        <v>323.94</v>
      </c>
      <c r="I7945">
        <v>323.93</v>
      </c>
      <c r="J7945">
        <v>0.01</v>
      </c>
    </row>
    <row r="7946" spans="1:10" x14ac:dyDescent="0.3">
      <c r="A7946" t="str">
        <f>HYPERLINK("https://us2.cloudbeds.com/connect/10074733072513#/reservations/31679304667350?display=MHAMYR28K&amp;reservation_id=31679304667350", "MHAMYR28K")</f>
        <v>MHAMYR28K</v>
      </c>
      <c r="B7946" t="s">
        <v>10</v>
      </c>
      <c r="C7946" t="s">
        <v>121</v>
      </c>
      <c r="D7946" t="str">
        <f>HYPERLINK("https://us2.cloudbeds.com/connect/10074733072513#/reservations/31679304667350?display=Benjamin%20Jahn&amp;reservation_id=31679304667350&amp;guest_id=31679299444925", "Benjamin Jahn")</f>
        <v>Benjamin Jahn</v>
      </c>
      <c r="E7946" t="s">
        <v>5964</v>
      </c>
      <c r="F7946" t="s">
        <v>5957</v>
      </c>
      <c r="G7946">
        <v>139</v>
      </c>
      <c r="H7946">
        <v>151.1</v>
      </c>
      <c r="I7946">
        <v>151.09</v>
      </c>
      <c r="J7946">
        <v>0.01</v>
      </c>
    </row>
    <row r="7947" spans="1:10" x14ac:dyDescent="0.3">
      <c r="A7947" t="str">
        <f>HYPERLINK("https://us2.cloudbeds.com/connect/10074733072513#/reservations/31679299444866?display=MHAMHDZJG&amp;reservation_id=31679299444866", "MHAMHDZJG")</f>
        <v>MHAMHDZJG</v>
      </c>
      <c r="B7947" t="s">
        <v>10</v>
      </c>
      <c r="C7947" t="s">
        <v>42</v>
      </c>
      <c r="D7947" t="str">
        <f>HYPERLINK("https://us2.cloudbeds.com/connect/10074733072513#/reservations/31679299444866?display=Justin%20Segler&amp;reservation_id=31679299444866&amp;guest_id=31679290867944", "Justin Segler")</f>
        <v>Justin Segler</v>
      </c>
      <c r="E7947" t="s">
        <v>5965</v>
      </c>
      <c r="F7947" t="s">
        <v>5957</v>
      </c>
      <c r="G7947">
        <v>73</v>
      </c>
      <c r="H7947">
        <v>79.36</v>
      </c>
      <c r="I7947">
        <v>79.349999999999994</v>
      </c>
      <c r="J7947">
        <v>0.01</v>
      </c>
    </row>
    <row r="7948" spans="1:10" x14ac:dyDescent="0.3">
      <c r="A7948" t="str">
        <f>HYPERLINK("https://us2.cloudbeds.com/connect/10074733072513#/reservations/31677191377113?display=MH91YRYHH&amp;reservation_id=31677191377113", "MH91YRYHH")</f>
        <v>MH91YRYHH</v>
      </c>
      <c r="B7948" t="s">
        <v>10</v>
      </c>
      <c r="C7948" t="s">
        <v>121</v>
      </c>
      <c r="D7948" t="str">
        <f>HYPERLINK("https://us2.cloudbeds.com/connect/10074733072513#/reservations/31677191377113?display=Kaury%20Thiebaut&amp;reservation_id=31677191377113&amp;guest_id=31677191377099", "Kaury Thiebaut")</f>
        <v>Kaury Thiebaut</v>
      </c>
      <c r="E7948" t="s">
        <v>5966</v>
      </c>
      <c r="F7948" t="s">
        <v>5931</v>
      </c>
      <c r="G7948">
        <v>129</v>
      </c>
      <c r="H7948">
        <v>140.22999999999999</v>
      </c>
      <c r="I7948">
        <v>140.22</v>
      </c>
      <c r="J7948">
        <v>0.01</v>
      </c>
    </row>
    <row r="7949" spans="1:10" x14ac:dyDescent="0.3">
      <c r="A7949" t="str">
        <f>HYPERLINK("https://us2.cloudbeds.com/connect/10074733072513#/reservations/31678125015276?display=MH9PH3GS2&amp;reservation_id=31678125015276", "MH9PH3GS2")</f>
        <v>MH9PH3GS2</v>
      </c>
      <c r="B7949" t="s">
        <v>10</v>
      </c>
      <c r="C7949" t="s">
        <v>42</v>
      </c>
      <c r="D7949" t="str">
        <f>HYPERLINK("https://us2.cloudbeds.com/connect/10074733072513#/reservations/31678125015276?display=Douglas%20Burn&amp;reservation_id=31678125015276&amp;guest_id=31677164720258", "Douglas Burn")</f>
        <v>Douglas Burn</v>
      </c>
      <c r="E7949" t="s">
        <v>5967</v>
      </c>
      <c r="F7949" t="s">
        <v>5887</v>
      </c>
      <c r="G7949">
        <v>285</v>
      </c>
      <c r="H7949">
        <v>309.81</v>
      </c>
      <c r="I7949">
        <v>309.8</v>
      </c>
      <c r="J7949">
        <v>0.01</v>
      </c>
    </row>
    <row r="7950" spans="1:10" x14ac:dyDescent="0.3">
      <c r="A7950" t="str">
        <f>HYPERLINK("https://us2.cloudbeds.com/connect/10074733072513#/reservations/31677603709153?display=MH9C6HD5R&amp;reservation_id=31677603709153", "MH9C6HD5R")</f>
        <v>MH9C6HD5R</v>
      </c>
      <c r="B7950" t="s">
        <v>10</v>
      </c>
      <c r="C7950" t="s">
        <v>42</v>
      </c>
      <c r="D7950" t="str">
        <f>HYPERLINK("https://us2.cloudbeds.com/connect/10074733072513#/reservations/31677603709153?display=Devin%20Kruup%20Great%20Plains%20Structure&amp;reservation_id=31677603709153&amp;guest_id=31677603709143", "Devin Kruup Great Plains Structure")</f>
        <v>Devin Kruup Great Plains Structure</v>
      </c>
      <c r="E7950" t="s">
        <v>5244</v>
      </c>
      <c r="F7950" t="s">
        <v>5566</v>
      </c>
      <c r="G7950">
        <v>79</v>
      </c>
      <c r="H7950">
        <v>85.88</v>
      </c>
      <c r="I7950">
        <v>85.87</v>
      </c>
      <c r="J7950">
        <v>0.01</v>
      </c>
    </row>
    <row r="7951" spans="1:10" x14ac:dyDescent="0.3">
      <c r="A7951" t="str">
        <f>HYPERLINK("https://us2.cloudbeds.com/connect/10074733072513#/reservations/31679660896468?display=MHAVP6M2B&amp;reservation_id=31679660896468", "MHAVP6M2B")</f>
        <v>MHAVP6M2B</v>
      </c>
      <c r="B7951" t="s">
        <v>10</v>
      </c>
      <c r="C7951" t="s">
        <v>42</v>
      </c>
      <c r="D7951" t="str">
        <f>HYPERLINK("https://us2.cloudbeds.com/connect/10074733072513#/reservations/31679660896468?display=Melissa%20Adams&amp;reservation_id=31679660896468&amp;guest_id=31679660892383", "Melissa Adams")</f>
        <v>Melissa Adams</v>
      </c>
      <c r="E7951" t="s">
        <v>5968</v>
      </c>
      <c r="F7951" t="s">
        <v>5566</v>
      </c>
      <c r="G7951">
        <v>119</v>
      </c>
      <c r="H7951">
        <v>129.36000000000001</v>
      </c>
      <c r="I7951">
        <v>129.35</v>
      </c>
      <c r="J7951">
        <v>0.01</v>
      </c>
    </row>
    <row r="7952" spans="1:10" x14ac:dyDescent="0.3">
      <c r="A7952" t="str">
        <f>HYPERLINK("https://us2.cloudbeds.com/connect/10074733072513#/reservations/31677612200122?display=MH9CDMM6U&amp;reservation_id=31677612200122", "MH9CDMM6U")</f>
        <v>MH9CDMM6U</v>
      </c>
      <c r="B7952" t="s">
        <v>10</v>
      </c>
      <c r="C7952" t="s">
        <v>42</v>
      </c>
      <c r="D7952" t="str">
        <f>HYPERLINK("https://us2.cloudbeds.com/connect/10074733072513#/reservations/31677612200122?display=Anthony%20David%20Ellingson%20Great%20Plains%20Structure&amp;reservation_id=31677612200122&amp;guest_id=31677612200118", "Anthony David Ellingson Great Plains Structure")</f>
        <v>Anthony David Ellingson Great Plains Structure</v>
      </c>
      <c r="E7952" t="s">
        <v>5244</v>
      </c>
      <c r="F7952" t="s">
        <v>5566</v>
      </c>
      <c r="G7952">
        <v>79</v>
      </c>
      <c r="H7952">
        <v>85.88</v>
      </c>
      <c r="I7952">
        <v>85.87</v>
      </c>
      <c r="J7952">
        <v>0.01</v>
      </c>
    </row>
    <row r="7953" spans="1:10" x14ac:dyDescent="0.3">
      <c r="A7953" t="str">
        <f>HYPERLINK("https://us2.cloudbeds.com/connect/10074733072513#/reservations/31677618573463?display=MH9CJ20MF&amp;reservation_id=31677618573463", "MH9CJ20MF")</f>
        <v>MH9CJ20MF</v>
      </c>
      <c r="B7953" t="s">
        <v>10</v>
      </c>
      <c r="C7953" t="s">
        <v>42</v>
      </c>
      <c r="D7953" t="str">
        <f>HYPERLINK("https://us2.cloudbeds.com/connect/10074733072513#/reservations/31677618573463?display=Joseph%20Steven%20Tewksbury%20Great%20Plains%20Structure&amp;reservation_id=31677618573463&amp;guest_id=31677618573459", "Joseph Steven Tewksbury Great Plains Structure")</f>
        <v>Joseph Steven Tewksbury Great Plains Structure</v>
      </c>
      <c r="E7953" t="s">
        <v>5244</v>
      </c>
      <c r="F7953" t="s">
        <v>5566</v>
      </c>
      <c r="G7953">
        <v>158</v>
      </c>
      <c r="H7953">
        <v>171.76</v>
      </c>
      <c r="I7953">
        <v>171.75</v>
      </c>
      <c r="J7953">
        <v>0.01</v>
      </c>
    </row>
    <row r="7954" spans="1:10" x14ac:dyDescent="0.3">
      <c r="A7954" t="str">
        <f>HYPERLINK("https://us2.cloudbeds.com/connect/10074733072513#/reservations/31679678914784?display=MHAW7D1QV&amp;reservation_id=31679678914784", "MHAW7D1QV")</f>
        <v>MHAW7D1QV</v>
      </c>
      <c r="B7954" t="s">
        <v>10</v>
      </c>
      <c r="C7954" t="s">
        <v>42</v>
      </c>
      <c r="D7954" t="str">
        <f>HYPERLINK("https://us2.cloudbeds.com/connect/10074733072513#/reservations/31679678914784?display=Edwin%20Ruther&amp;reservation_id=31679678914784&amp;guest_id=31675966267540", "Edwin Ruther")</f>
        <v>Edwin Ruther</v>
      </c>
      <c r="E7954" t="s">
        <v>5970</v>
      </c>
      <c r="F7954" t="s">
        <v>5566</v>
      </c>
      <c r="G7954">
        <v>99</v>
      </c>
      <c r="H7954">
        <v>107.62</v>
      </c>
      <c r="I7954">
        <v>107.61</v>
      </c>
      <c r="J7954">
        <v>0.01</v>
      </c>
    </row>
    <row r="7955" spans="1:10" x14ac:dyDescent="0.3">
      <c r="A7955" t="str">
        <f>HYPERLINK("https://us2.cloudbeds.com/connect/10074733072513#/reservations/31681286902002?display=MHC7A9M3A&amp;reservation_id=31681286902002", "MHC7A9M3A")</f>
        <v>MHC7A9M3A</v>
      </c>
      <c r="B7955" t="s">
        <v>10</v>
      </c>
      <c r="C7955" t="s">
        <v>42</v>
      </c>
      <c r="D7955" t="str">
        <f>HYPERLINK("https://us2.cloudbeds.com/connect/10074733072513#/reservations/31681286902002?display=Melissa%20Herrera&amp;reservation_id=31681286902002&amp;guest_id=31681286901955", "Melissa Herrera")</f>
        <v>Melissa Herrera</v>
      </c>
      <c r="E7955" t="s">
        <v>5971</v>
      </c>
      <c r="F7955" t="s">
        <v>4979</v>
      </c>
      <c r="G7955">
        <v>159</v>
      </c>
      <c r="H7955">
        <v>172.84</v>
      </c>
      <c r="I7955">
        <v>172.83</v>
      </c>
      <c r="J7955">
        <v>0.01</v>
      </c>
    </row>
    <row r="7956" spans="1:10" x14ac:dyDescent="0.3">
      <c r="A7956" t="str">
        <f>HYPERLINK("https://us2.cloudbeds.com/connect/10074733072513#/reservations/31675940389004?display=MH82MW23V&amp;reservation_id=31675940389004", "MH82MW23V")</f>
        <v>MH82MW23V</v>
      </c>
      <c r="B7956" t="s">
        <v>10</v>
      </c>
      <c r="C7956" t="s">
        <v>42</v>
      </c>
      <c r="D7956" t="str">
        <f>HYPERLINK("https://us2.cloudbeds.com/connect/10074733072513#/reservations/31675940389004?display=Daniel%20Dion&amp;reservation_id=31675940389004&amp;guest_id=31675934687455", "Daniel Dion")</f>
        <v>Daniel Dion</v>
      </c>
      <c r="E7956" t="s">
        <v>5972</v>
      </c>
      <c r="F7956" t="s">
        <v>5685</v>
      </c>
      <c r="G7956">
        <v>129</v>
      </c>
      <c r="H7956">
        <v>140.22999999999999</v>
      </c>
      <c r="I7956">
        <v>140.22</v>
      </c>
      <c r="J7956">
        <v>0.01</v>
      </c>
    </row>
    <row r="7957" spans="1:10" x14ac:dyDescent="0.3">
      <c r="A7957" t="str">
        <f>HYPERLINK("https://us2.cloudbeds.com/connect/10074733072513#/reservations/31677017620618?display=MH8U7AKH6&amp;reservation_id=31677017620618", "MH8U7AKH6")</f>
        <v>MH8U7AKH6</v>
      </c>
      <c r="B7957" t="s">
        <v>10</v>
      </c>
      <c r="C7957" t="s">
        <v>11</v>
      </c>
      <c r="D7957" t="str">
        <f>HYPERLINK("https://us2.cloudbeds.com/connect/10074733072513#/reservations/31677017620618?display=Matthew%20Kadowaki&amp;reservation_id=31677017620618&amp;guest_id=31677017620613", "Matthew Kadowaki")</f>
        <v>Matthew Kadowaki</v>
      </c>
      <c r="E7957" t="s">
        <v>5973</v>
      </c>
      <c r="F7957" t="s">
        <v>4676</v>
      </c>
      <c r="G7957">
        <v>219.92</v>
      </c>
      <c r="H7957">
        <v>239.06</v>
      </c>
      <c r="I7957">
        <v>239.05</v>
      </c>
      <c r="J7957">
        <v>0.01</v>
      </c>
    </row>
    <row r="7958" spans="1:10" x14ac:dyDescent="0.3">
      <c r="A7958" t="str">
        <f>HYPERLINK("https://us2.cloudbeds.com/connect/10074733072513#/reservations/31677177548993?display=MH91A5SHJ&amp;reservation_id=31677177548993", "MH91A5SHJ")</f>
        <v>MH91A5SHJ</v>
      </c>
      <c r="B7958" t="s">
        <v>10</v>
      </c>
      <c r="C7958" t="s">
        <v>42</v>
      </c>
      <c r="D7958" t="str">
        <f>HYPERLINK("https://us2.cloudbeds.com/connect/10074733072513#/reservations/31677177548993?display=Judy%20Baas&amp;reservation_id=31677177548993&amp;guest_id=31677166780578", "Judy Baas")</f>
        <v>Judy Baas</v>
      </c>
      <c r="E7958" t="s">
        <v>5975</v>
      </c>
      <c r="F7958" t="s">
        <v>5286</v>
      </c>
      <c r="G7958">
        <v>169</v>
      </c>
      <c r="H7958">
        <v>183.71</v>
      </c>
      <c r="I7958">
        <v>183.7</v>
      </c>
      <c r="J7958">
        <v>0.01</v>
      </c>
    </row>
    <row r="7959" spans="1:10" x14ac:dyDescent="0.3">
      <c r="A7959" t="str">
        <f>HYPERLINK("https://us2.cloudbeds.com/connect/10074733072513#/reservations/31681273544925?display=MHC6W0WYE&amp;reservation_id=31681273544925", "MHC6W0WYE")</f>
        <v>MHC6W0WYE</v>
      </c>
      <c r="B7959" t="s">
        <v>10</v>
      </c>
      <c r="C7959" t="s">
        <v>42</v>
      </c>
      <c r="D7959" t="str">
        <f>HYPERLINK("https://us2.cloudbeds.com/connect/10074733072513#/reservations/31681273544925?display=Karlle%20Mckinney&amp;reservation_id=31681273544925&amp;guest_id=31681273544920", "Karlle Mckinney")</f>
        <v>Karlle Mckinney</v>
      </c>
      <c r="E7959" t="s">
        <v>5977</v>
      </c>
      <c r="F7959" t="s">
        <v>5283</v>
      </c>
      <c r="G7959">
        <v>109</v>
      </c>
      <c r="H7959">
        <v>118.49</v>
      </c>
      <c r="I7959">
        <v>118.48</v>
      </c>
      <c r="J7959">
        <v>0.01</v>
      </c>
    </row>
    <row r="7960" spans="1:10" x14ac:dyDescent="0.3">
      <c r="A7960" t="str">
        <f>HYPERLINK("https://us2.cloudbeds.com/connect/10074733072513#/reservations/31677834748103?display=MH9X3BD54&amp;reservation_id=31677834748103", "MH9X3BD54")</f>
        <v>MH9X3BD54</v>
      </c>
      <c r="B7960" t="s">
        <v>10</v>
      </c>
      <c r="C7960" t="s">
        <v>121</v>
      </c>
      <c r="D7960" t="str">
        <f>HYPERLINK("https://us2.cloudbeds.com/connect/10074733072513#/reservations/31677834748103?display=Donna%20M%20Padden&amp;reservation_id=31677834748103&amp;guest_id=31677834748098", "Donna M Padden")</f>
        <v>Donna M Padden</v>
      </c>
      <c r="E7960" t="s">
        <v>5978</v>
      </c>
      <c r="F7960" t="s">
        <v>5566</v>
      </c>
      <c r="G7960">
        <v>139</v>
      </c>
      <c r="H7960">
        <v>151.1</v>
      </c>
      <c r="I7960">
        <v>151.09</v>
      </c>
      <c r="J7960">
        <v>0.01</v>
      </c>
    </row>
    <row r="7961" spans="1:10" x14ac:dyDescent="0.3">
      <c r="A7961" t="str">
        <f>HYPERLINK("https://us2.cloudbeds.com/connect/10074733072513#/reservations/31677824520365?display=MH9HRNQ9M&amp;reservation_id=31677824520365", "MH9HRNQ9M")</f>
        <v>MH9HRNQ9M</v>
      </c>
      <c r="B7961" t="s">
        <v>10</v>
      </c>
      <c r="C7961" t="s">
        <v>11</v>
      </c>
      <c r="D7961" t="str">
        <f>HYPERLINK("https://us2.cloudbeds.com/connect/10074733072513#/reservations/31677824520365?display=Charles%20Wagner&amp;reservation_id=31677824520365&amp;guest_id=31677824520360", "Charles Wagner")</f>
        <v>Charles Wagner</v>
      </c>
      <c r="E7961" t="s">
        <v>5980</v>
      </c>
      <c r="F7961" t="s">
        <v>5566</v>
      </c>
      <c r="G7961">
        <v>87.84</v>
      </c>
      <c r="H7961">
        <v>95.49</v>
      </c>
      <c r="I7961">
        <v>95.48</v>
      </c>
      <c r="J7961">
        <v>0.01</v>
      </c>
    </row>
    <row r="7962" spans="1:10" x14ac:dyDescent="0.3">
      <c r="A7962" t="str">
        <f>HYPERLINK("https://us2.cloudbeds.com/connect/10074733072513#/reservations/31679653597360?display=MHAVJ1XG9&amp;reservation_id=31679653597360", "MHAVJ1XG9")</f>
        <v>MHAVJ1XG9</v>
      </c>
      <c r="B7962" t="s">
        <v>10</v>
      </c>
      <c r="C7962" t="s">
        <v>11</v>
      </c>
      <c r="D7962" t="str">
        <f>HYPERLINK("https://us2.cloudbeds.com/connect/10074733072513#/reservations/31679653597360?display=Michael%20Min&amp;reservation_id=31679653597360&amp;guest_id=31679653597312", "Michael Min")</f>
        <v>Michael Min</v>
      </c>
      <c r="E7962" t="s">
        <v>5981</v>
      </c>
      <c r="F7962" t="s">
        <v>5685</v>
      </c>
      <c r="G7962">
        <v>87.84</v>
      </c>
      <c r="H7962">
        <v>95.49</v>
      </c>
      <c r="I7962">
        <v>95.48</v>
      </c>
      <c r="J7962">
        <v>0.01</v>
      </c>
    </row>
    <row r="7963" spans="1:10" x14ac:dyDescent="0.3">
      <c r="A7963" t="str">
        <f>HYPERLINK("https://us2.cloudbeds.com/connect/10074733072513#/reservations/31675966263462?display=MH83BQ1VD&amp;reservation_id=31675966263462", "MH83BQ1VD")</f>
        <v>MH83BQ1VD</v>
      </c>
      <c r="B7963" t="s">
        <v>10</v>
      </c>
      <c r="C7963" t="s">
        <v>121</v>
      </c>
      <c r="D7963" t="str">
        <f>HYPERLINK("https://us2.cloudbeds.com/connect/10074733072513#/reservations/31675966263462?display=Lisa%20Schwartz&amp;reservation_id=31675966263462&amp;guest_id=31675966263446", "Lisa Schwartz")</f>
        <v>Lisa Schwartz</v>
      </c>
      <c r="E7963" t="s">
        <v>5984</v>
      </c>
      <c r="F7963" t="s">
        <v>5685</v>
      </c>
      <c r="G7963">
        <v>159</v>
      </c>
      <c r="H7963">
        <v>172.84</v>
      </c>
      <c r="I7963">
        <v>172.83</v>
      </c>
      <c r="J7963">
        <v>0.01</v>
      </c>
    </row>
    <row r="7964" spans="1:10" x14ac:dyDescent="0.3">
      <c r="A7964" t="str">
        <f>HYPERLINK("https://us2.cloudbeds.com/connect/10074733072513#/reservations/31675957510274?display=MH834DG4A&amp;reservation_id=31675957510274", "MH834DG4A")</f>
        <v>MH834DG4A</v>
      </c>
      <c r="B7964" t="s">
        <v>10</v>
      </c>
      <c r="C7964" t="s">
        <v>121</v>
      </c>
      <c r="D7964" t="str">
        <f>HYPERLINK("https://us2.cloudbeds.com/connect/10074733072513#/reservations/31675957510274?display=Melvin%20Menjivar&amp;reservation_id=31675957510274&amp;guest_id=31675957506212", "Melvin Menjivar")</f>
        <v>Melvin Menjivar</v>
      </c>
      <c r="E7964" t="s">
        <v>5985</v>
      </c>
      <c r="F7964" t="s">
        <v>5685</v>
      </c>
      <c r="G7964">
        <v>388</v>
      </c>
      <c r="H7964">
        <v>421.77</v>
      </c>
      <c r="I7964">
        <v>421.76</v>
      </c>
      <c r="J7964">
        <v>0.01</v>
      </c>
    </row>
    <row r="7965" spans="1:10" x14ac:dyDescent="0.3">
      <c r="A7965" t="str">
        <f>HYPERLINK("https://us2.cloudbeds.com/connect/10074733072513#/reservations/31675948462240?display=MH82TPNXF&amp;reservation_id=31675948462240", "MH82TPNXF")</f>
        <v>MH82TPNXF</v>
      </c>
      <c r="B7965" t="s">
        <v>10</v>
      </c>
      <c r="C7965" t="s">
        <v>121</v>
      </c>
      <c r="D7965" t="str">
        <f>HYPERLINK("https://us2.cloudbeds.com/connect/10074733072513#/reservations/31675948462240?display=Clayton%20Staley&amp;reservation_id=31675948462240&amp;guest_id=31675948462223", "Clayton Staley")</f>
        <v>Clayton Staley</v>
      </c>
      <c r="E7965" t="s">
        <v>5986</v>
      </c>
      <c r="F7965" t="s">
        <v>5685</v>
      </c>
      <c r="G7965">
        <v>139</v>
      </c>
      <c r="H7965">
        <v>151.1</v>
      </c>
      <c r="I7965">
        <v>151.09</v>
      </c>
      <c r="J7965">
        <v>0.01</v>
      </c>
    </row>
    <row r="7966" spans="1:10" x14ac:dyDescent="0.3">
      <c r="A7966" t="str">
        <f>HYPERLINK("https://us2.cloudbeds.com/connect/10074733072513#/reservations/31675900182669?display=MH81M28N5&amp;reservation_id=31675900182669", "MH81M28N5")</f>
        <v>MH81M28N5</v>
      </c>
      <c r="B7966" t="s">
        <v>10</v>
      </c>
      <c r="C7966" t="s">
        <v>11</v>
      </c>
      <c r="D7966" t="str">
        <f>HYPERLINK("https://us2.cloudbeds.com/connect/10074733072513#/reservations/31675900182669?display=Megan%20Prpich&amp;reservation_id=31675900182669&amp;guest_id=31675890442486", "Megan Prpich")</f>
        <v>Megan Prpich</v>
      </c>
      <c r="E7966" t="s">
        <v>5987</v>
      </c>
      <c r="F7966" t="s">
        <v>5685</v>
      </c>
      <c r="G7966">
        <v>106.8</v>
      </c>
      <c r="H7966">
        <v>116.1</v>
      </c>
      <c r="I7966">
        <v>116.09</v>
      </c>
      <c r="J7966">
        <v>0.01</v>
      </c>
    </row>
    <row r="7967" spans="1:10" x14ac:dyDescent="0.3">
      <c r="A7967" t="str">
        <f>HYPERLINK("https://us2.cloudbeds.com/connect/10074733072513#/reservations/31680787910880?display=MHBRXHGN8&amp;reservation_id=31680787910880", "MHBRXHGN8")</f>
        <v>MHBRXHGN8</v>
      </c>
      <c r="B7967" t="s">
        <v>10</v>
      </c>
      <c r="C7967" t="s">
        <v>42</v>
      </c>
      <c r="D7967" t="str">
        <f>HYPERLINK("https://us2.cloudbeds.com/connect/10074733072513#/reservations/31680787910880?display=Steve%20Harris&amp;reservation_id=31680787910880&amp;guest_id=31680787910878", "Steve Harris")</f>
        <v>Steve Harris</v>
      </c>
      <c r="E7967" t="s">
        <v>5988</v>
      </c>
      <c r="F7967" t="s">
        <v>5283</v>
      </c>
      <c r="G7967">
        <v>218</v>
      </c>
      <c r="H7967">
        <v>236.98</v>
      </c>
      <c r="I7967">
        <v>236.97</v>
      </c>
      <c r="J7967">
        <v>0.01</v>
      </c>
    </row>
    <row r="7968" spans="1:10" x14ac:dyDescent="0.3">
      <c r="A7968" t="str">
        <f>HYPERLINK("https://us2.cloudbeds.com/connect/10074733072513#/reservations/31675890442488?display=MH81DS7X5&amp;reservation_id=31675890442488", "MH81DS7X5")</f>
        <v>MH81DS7X5</v>
      </c>
      <c r="B7968" t="s">
        <v>10</v>
      </c>
      <c r="C7968" t="s">
        <v>42</v>
      </c>
      <c r="D7968" t="str">
        <f>HYPERLINK("https://us2.cloudbeds.com/connect/10074733072513#/reservations/31675890442488?display=Ahmad%20Yara&amp;reservation_id=31675890442488&amp;guest_id=31675890442485", "Ahmad Yara")</f>
        <v>Ahmad Yara</v>
      </c>
      <c r="E7968" t="s">
        <v>5846</v>
      </c>
      <c r="F7968" t="s">
        <v>5685</v>
      </c>
      <c r="G7968">
        <v>73</v>
      </c>
      <c r="H7968">
        <v>79.36</v>
      </c>
      <c r="I7968">
        <v>79.349999999999994</v>
      </c>
      <c r="J7968">
        <v>0.01</v>
      </c>
    </row>
    <row r="7969" spans="1:10" x14ac:dyDescent="0.3">
      <c r="A7969" t="str">
        <f>HYPERLINK("https://us2.cloudbeds.com/connect/10074733072513#/reservations/31678961184907?display=MHADT65CZ&amp;reservation_id=31678961184907", "MHADT65CZ")</f>
        <v>MHADT65CZ</v>
      </c>
      <c r="B7969" t="s">
        <v>10</v>
      </c>
      <c r="C7969" t="s">
        <v>23</v>
      </c>
      <c r="D7969" t="str">
        <f>HYPERLINK("https://us2.cloudbeds.com/connect/10074733072513#/reservations/31678961184907?display=Brad%20Oakley&amp;reservation_id=31678961184907&amp;guest_id=31678954582252", "Brad Oakley")</f>
        <v>Brad Oakley</v>
      </c>
      <c r="E7969" t="s">
        <v>5993</v>
      </c>
      <c r="F7969" t="s">
        <v>5895</v>
      </c>
      <c r="G7969">
        <v>298</v>
      </c>
      <c r="H7969">
        <v>323.94</v>
      </c>
      <c r="I7969">
        <v>323.93</v>
      </c>
      <c r="J7969">
        <v>0.01</v>
      </c>
    </row>
    <row r="7970" spans="1:10" x14ac:dyDescent="0.3">
      <c r="A7970" t="str">
        <f>HYPERLINK("https://us2.cloudbeds.com/connect/10074733072513#/reservations/31679726477528?display=MHB0EGXE7&amp;reservation_id=31679726477528", "MHB0EGXE7")</f>
        <v>MHB0EGXE7</v>
      </c>
      <c r="B7970" t="s">
        <v>10</v>
      </c>
      <c r="C7970" t="s">
        <v>23</v>
      </c>
      <c r="D7970" t="str">
        <f>HYPERLINK("https://us2.cloudbeds.com/connect/10074733072513#/reservations/31679726477528?display=Angel%20Luttmann&amp;reservation_id=31679726477528&amp;guest_id=31679726477511", "Angel Luttmann")</f>
        <v>Angel Luttmann</v>
      </c>
      <c r="E7970" t="s">
        <v>5994</v>
      </c>
      <c r="F7970" t="s">
        <v>5685</v>
      </c>
      <c r="G7970">
        <v>169</v>
      </c>
      <c r="H7970">
        <v>183.71</v>
      </c>
      <c r="I7970">
        <v>183.7</v>
      </c>
      <c r="J7970">
        <v>0.01</v>
      </c>
    </row>
    <row r="7971" spans="1:10" x14ac:dyDescent="0.3">
      <c r="A7971" t="str">
        <f>HYPERLINK("https://us2.cloudbeds.com/connect/10074733072513#/reservations/31679713390763?display=MHB03FD6J&amp;reservation_id=31679713390763", "MHB03FD6J")</f>
        <v>MHB03FD6J</v>
      </c>
      <c r="B7971" t="s">
        <v>10</v>
      </c>
      <c r="C7971" t="s">
        <v>42</v>
      </c>
      <c r="D7971" t="str">
        <f>HYPERLINK("https://us2.cloudbeds.com/connect/10074733072513#/reservations/31679713390763?display=Arron%20Michael%20Kuhs&amp;reservation_id=31679713390763&amp;guest_id=31676429213846", "Arron Michael Kuhs")</f>
        <v>Arron Michael Kuhs</v>
      </c>
      <c r="E7971" t="s">
        <v>5845</v>
      </c>
      <c r="F7971" t="s">
        <v>5685</v>
      </c>
      <c r="G7971">
        <v>73</v>
      </c>
      <c r="H7971">
        <v>79.36</v>
      </c>
      <c r="I7971">
        <v>79.349999999999994</v>
      </c>
      <c r="J7971">
        <v>0.01</v>
      </c>
    </row>
    <row r="7972" spans="1:10" x14ac:dyDescent="0.3">
      <c r="A7972" t="str">
        <f>HYPERLINK("https://us2.cloudbeds.com/connect/10074733072513#/reservations/31679705002199?display=MHAWTCW6M&amp;reservation_id=31679705002199", "MHAWTCW6M")</f>
        <v>MHAWTCW6M</v>
      </c>
      <c r="B7972" t="s">
        <v>10</v>
      </c>
      <c r="C7972" t="s">
        <v>14</v>
      </c>
      <c r="D7972" t="str">
        <f>HYPERLINK("https://us2.cloudbeds.com/connect/10074733072513#/reservations/31679705002199?display=Vernon%20Rousu&amp;reservation_id=31679705002199&amp;guest_id=31679705002194", "Vernon Rousu")</f>
        <v>Vernon Rousu</v>
      </c>
      <c r="E7972" t="s">
        <v>5995</v>
      </c>
      <c r="F7972" t="s">
        <v>5685</v>
      </c>
      <c r="G7972">
        <v>87.84</v>
      </c>
      <c r="H7972">
        <v>95.49</v>
      </c>
      <c r="I7972">
        <v>95.48</v>
      </c>
      <c r="J7972">
        <v>0.01</v>
      </c>
    </row>
    <row r="7973" spans="1:10" x14ac:dyDescent="0.3">
      <c r="A7973" t="str">
        <f>HYPERLINK("https://us2.cloudbeds.com/connect/10074733072513#/reservations/31679691751585?display=MHAWX78GU&amp;reservation_id=31679691751585", "MHAWX78GU")</f>
        <v>MHAWX78GU</v>
      </c>
      <c r="B7973" t="s">
        <v>10</v>
      </c>
      <c r="C7973" t="s">
        <v>121</v>
      </c>
      <c r="D7973" t="str">
        <f>HYPERLINK("https://us2.cloudbeds.com/connect/10074733072513#/reservations/31679691751585?display=Brandon%20Looper&amp;reservation_id=31679691751585&amp;guest_id=31679691751580", "Brandon Looper")</f>
        <v>Brandon Looper</v>
      </c>
      <c r="E7973" t="s">
        <v>5996</v>
      </c>
      <c r="F7973" t="s">
        <v>5566</v>
      </c>
      <c r="G7973">
        <v>169</v>
      </c>
      <c r="H7973">
        <v>183.71</v>
      </c>
      <c r="I7973">
        <v>183.7</v>
      </c>
      <c r="J7973">
        <v>0.01</v>
      </c>
    </row>
    <row r="7974" spans="1:10" x14ac:dyDescent="0.3">
      <c r="A7974" t="str">
        <f>HYPERLINK("https://us2.cloudbeds.com/connect/10074733072513#/reservations/31675909562531?display=MH81TW8WD&amp;reservation_id=31675909562531", "MH81TW8WD")</f>
        <v>MH81TW8WD</v>
      </c>
      <c r="B7974" t="s">
        <v>10</v>
      </c>
      <c r="C7974" t="s">
        <v>42</v>
      </c>
      <c r="D7974" t="str">
        <f>HYPERLINK("https://us2.cloudbeds.com/connect/10074733072513#/reservations/31675909562531?display=Cale%20Thompson&amp;reservation_id=31675909562531&amp;guest_id=31675909562520", "Cale Thompson")</f>
        <v>Cale Thompson</v>
      </c>
      <c r="E7974" t="s">
        <v>5998</v>
      </c>
      <c r="F7974" t="s">
        <v>5685</v>
      </c>
      <c r="G7974">
        <v>199</v>
      </c>
      <c r="H7974">
        <v>216.32</v>
      </c>
      <c r="I7974">
        <v>216.31</v>
      </c>
      <c r="J7974">
        <v>0.01</v>
      </c>
    </row>
    <row r="7975" spans="1:10" x14ac:dyDescent="0.3">
      <c r="A7975" t="str">
        <f>HYPERLINK("https://us2.cloudbeds.com/connect/10074733072513#/reservations/31678531022982?display=MHA2TF90T&amp;reservation_id=31678531022982", "MHA2TF90T")</f>
        <v>MHA2TF90T</v>
      </c>
      <c r="B7975" t="s">
        <v>10</v>
      </c>
      <c r="C7975" t="s">
        <v>23</v>
      </c>
      <c r="D7975" t="str">
        <f>HYPERLINK("https://us2.cloudbeds.com/connect/10074733072513#/reservations/31678531022982?display=Connor%20Kuiper&amp;reservation_id=31678531022982&amp;guest_id=31678531022977", "Connor Kuiper")</f>
        <v>Connor Kuiper</v>
      </c>
      <c r="E7975" t="s">
        <v>5999</v>
      </c>
      <c r="F7975" t="s">
        <v>5469</v>
      </c>
      <c r="G7975">
        <v>199</v>
      </c>
      <c r="H7975">
        <v>216.32</v>
      </c>
      <c r="I7975">
        <v>216.31</v>
      </c>
      <c r="J7975">
        <v>0.01</v>
      </c>
    </row>
    <row r="7976" spans="1:10" x14ac:dyDescent="0.3">
      <c r="A7976" t="str">
        <f>HYPERLINK("https://us2.cloudbeds.com/connect/10074733072513#/reservations/31675985670358?display=MH83S52Q6&amp;reservation_id=31675985670358", "MH83S52Q6")</f>
        <v>MH83S52Q6</v>
      </c>
      <c r="B7976" t="s">
        <v>10</v>
      </c>
      <c r="C7976" t="s">
        <v>42</v>
      </c>
      <c r="D7976" t="str">
        <f>HYPERLINK("https://us2.cloudbeds.com/connect/10074733072513#/reservations/31675985670358?display=Stephanie%20Miller&amp;reservation_id=31675985670358&amp;guest_id=31675985670340", "Stephanie Miller")</f>
        <v>Stephanie Miller</v>
      </c>
      <c r="E7976" t="s">
        <v>6000</v>
      </c>
      <c r="F7976" t="s">
        <v>5200</v>
      </c>
      <c r="G7976">
        <v>179</v>
      </c>
      <c r="H7976">
        <v>194.58</v>
      </c>
      <c r="I7976">
        <v>194.57</v>
      </c>
      <c r="J7976">
        <v>0.01</v>
      </c>
    </row>
    <row r="7977" spans="1:10" x14ac:dyDescent="0.3">
      <c r="A7977" t="str">
        <f>HYPERLINK("https://us2.cloudbeds.com/connect/10074733072513#/reservations/31679797342438?display=MHB288FQZ&amp;reservation_id=31679797342438", "MHB288FQZ")</f>
        <v>MHB288FQZ</v>
      </c>
      <c r="B7977" t="s">
        <v>10</v>
      </c>
      <c r="C7977" t="s">
        <v>42</v>
      </c>
      <c r="D7977" t="str">
        <f>HYPERLINK("https://us2.cloudbeds.com/connect/10074733072513#/reservations/31679797342438?display=Dan%20Hanson&amp;reservation_id=31679797342438&amp;guest_id=31679797342427", "Dan Hanson")</f>
        <v>Dan Hanson</v>
      </c>
      <c r="E7977" t="s">
        <v>6001</v>
      </c>
      <c r="F7977" t="s">
        <v>5805</v>
      </c>
      <c r="G7977">
        <v>158</v>
      </c>
      <c r="H7977">
        <v>171.76</v>
      </c>
      <c r="I7977">
        <v>171.75</v>
      </c>
      <c r="J7977">
        <v>0.01</v>
      </c>
    </row>
    <row r="7978" spans="1:10" x14ac:dyDescent="0.3">
      <c r="A7978" t="str">
        <f>HYPERLINK("https://us2.cloudbeds.com/connect/10074733072513#/reservations/31685418385603?display=MHFDT29K3&amp;reservation_id=31685418385603", "MHFDT29K3")</f>
        <v>MHFDT29K3</v>
      </c>
      <c r="B7978" t="s">
        <v>10</v>
      </c>
      <c r="C7978" t="s">
        <v>42</v>
      </c>
      <c r="D7978" t="str">
        <f>HYPERLINK("https://us2.cloudbeds.com/connect/10074733072513#/reservations/31685418385603?display=Jordyn%20Davis&amp;reservation_id=31685418385603&amp;guest_id=31685418385601", "Jordyn Davis")</f>
        <v>Jordyn Davis</v>
      </c>
      <c r="E7978" t="s">
        <v>6002</v>
      </c>
      <c r="F7978" t="s">
        <v>5745</v>
      </c>
      <c r="G7978">
        <v>238</v>
      </c>
      <c r="H7978">
        <v>258.72000000000003</v>
      </c>
      <c r="I7978">
        <v>258.70999999999998</v>
      </c>
      <c r="J7978">
        <v>0.01</v>
      </c>
    </row>
    <row r="7979" spans="1:10" x14ac:dyDescent="0.3">
      <c r="A7979" t="str">
        <f>HYPERLINK("https://us2.cloudbeds.com/connect/10074733072513#/reservations/31675940393095?display=MH82MW5SU&amp;reservation_id=31675940393095", "MH82MW5SU")</f>
        <v>MH82MW5SU</v>
      </c>
      <c r="B7979" t="s">
        <v>10</v>
      </c>
      <c r="C7979" t="s">
        <v>42</v>
      </c>
      <c r="D7979" t="str">
        <f>HYPERLINK("https://us2.cloudbeds.com/connect/10074733072513#/reservations/31675940393095?display=Jame%20Buhrow&amp;reservation_id=31675940393095&amp;guest_id=31675940389002", "Jame Buhrow")</f>
        <v>Jame Buhrow</v>
      </c>
      <c r="E7979" t="s">
        <v>6003</v>
      </c>
      <c r="F7979" t="s">
        <v>5685</v>
      </c>
      <c r="G7979">
        <v>189</v>
      </c>
      <c r="H7979">
        <v>205.45</v>
      </c>
      <c r="I7979">
        <v>205.44</v>
      </c>
      <c r="J7979">
        <v>0.01</v>
      </c>
    </row>
    <row r="7980" spans="1:10" x14ac:dyDescent="0.3">
      <c r="A7980" t="str">
        <f>HYPERLINK("https://us2.cloudbeds.com/connect/10074733072513#/reservations/31677556637824?display=MH9AYB4NE&amp;reservation_id=31677556637824", "MH9AYB4NE")</f>
        <v>MH9AYB4NE</v>
      </c>
      <c r="B7980" t="s">
        <v>10</v>
      </c>
      <c r="C7980" t="s">
        <v>42</v>
      </c>
      <c r="D7980" t="str">
        <f>HYPERLINK("https://us2.cloudbeds.com/connect/10074733072513#/reservations/31677556637824?display=Ruben%20Rodrigez&amp;reservation_id=31677556637824&amp;guest_id=31677543002329", "Ruben Rodrigez")</f>
        <v>Ruben Rodrigez</v>
      </c>
      <c r="E7980" t="s">
        <v>6004</v>
      </c>
      <c r="F7980" t="s">
        <v>4164</v>
      </c>
      <c r="G7980">
        <v>398</v>
      </c>
      <c r="H7980">
        <v>432.64</v>
      </c>
      <c r="I7980">
        <v>432.63</v>
      </c>
      <c r="J7980">
        <v>0.01</v>
      </c>
    </row>
    <row r="7981" spans="1:10" x14ac:dyDescent="0.3">
      <c r="A7981" t="str">
        <f>HYPERLINK("https://us2.cloudbeds.com/connect/10074733072513#/reservations/31677990224090?display=MH9M2EZYM&amp;reservation_id=31677990224090", "MH9M2EZYM")</f>
        <v>MH9M2EZYM</v>
      </c>
      <c r="B7981" t="s">
        <v>10</v>
      </c>
      <c r="C7981" t="s">
        <v>20</v>
      </c>
      <c r="D7981" t="str">
        <f>HYPERLINK("https://us2.cloudbeds.com/connect/10074733072513#/reservations/31677990224090?display=Rebecca%20Vanvactor&amp;reservation_id=31677990224090&amp;guest_id=31677990220002", "Rebecca Vanvactor")</f>
        <v>Rebecca Vanvactor</v>
      </c>
      <c r="E7981" t="s">
        <v>6007</v>
      </c>
      <c r="F7981" t="s">
        <v>5200</v>
      </c>
      <c r="G7981">
        <v>209</v>
      </c>
      <c r="H7981">
        <v>227.19</v>
      </c>
      <c r="I7981">
        <v>227.18</v>
      </c>
      <c r="J7981">
        <v>0.01</v>
      </c>
    </row>
    <row r="7982" spans="1:10" x14ac:dyDescent="0.3">
      <c r="A7982" t="str">
        <f>HYPERLINK("https://us2.cloudbeds.com/connect/10074733072513#/reservations/31676265443557?display=MH8B0264U&amp;reservation_id=31676265443557", "MH8B0264U")</f>
        <v>MH8B0264U</v>
      </c>
      <c r="B7982" t="s">
        <v>10</v>
      </c>
      <c r="C7982" t="s">
        <v>42</v>
      </c>
      <c r="D7982" t="str">
        <f>HYPERLINK("https://us2.cloudbeds.com/connect/10074733072513#/reservations/31676265443557?display=Loretta%20Naber&amp;reservation_id=31676265443557&amp;guest_id=31676265443529", "Loretta Naber")</f>
        <v>Loretta Naber</v>
      </c>
      <c r="E7982" t="s">
        <v>6008</v>
      </c>
      <c r="F7982" t="s">
        <v>4164</v>
      </c>
      <c r="G7982">
        <v>398</v>
      </c>
      <c r="H7982">
        <v>432.64</v>
      </c>
      <c r="I7982">
        <v>432.63</v>
      </c>
      <c r="J7982">
        <v>0.01</v>
      </c>
    </row>
    <row r="7983" spans="1:10" x14ac:dyDescent="0.3">
      <c r="A7983" t="str">
        <f>HYPERLINK("https://us2.cloudbeds.com/connect/10074733072513#/reservations/31678024061135?display=MH9MUWAAM&amp;reservation_id=31678024061135", "MH9MUWAAM")</f>
        <v>MH9MUWAAM</v>
      </c>
      <c r="B7983" t="s">
        <v>10</v>
      </c>
      <c r="C7983" t="s">
        <v>42</v>
      </c>
      <c r="D7983" t="str">
        <f>HYPERLINK("https://us2.cloudbeds.com/connect/10074733072513#/reservations/31678024061135?display=Troy%20Harder&amp;reservation_id=31678024061135&amp;guest_id=31678024057039", "Troy Harder")</f>
        <v>Troy Harder</v>
      </c>
      <c r="E7983" t="s">
        <v>6009</v>
      </c>
      <c r="F7983" t="s">
        <v>5286</v>
      </c>
      <c r="G7983">
        <v>199</v>
      </c>
      <c r="H7983">
        <v>216.32</v>
      </c>
      <c r="I7983">
        <v>216.31</v>
      </c>
      <c r="J7983">
        <v>0.01</v>
      </c>
    </row>
    <row r="7984" spans="1:10" x14ac:dyDescent="0.3">
      <c r="A7984" t="str">
        <f>HYPERLINK("https://us2.cloudbeds.com/connect/10074733072513#/reservations/31682142142686?display=MHCT5F02N&amp;reservation_id=31682142142686", "MHCT5F02N")</f>
        <v>MHCT5F02N</v>
      </c>
      <c r="B7984" t="s">
        <v>10</v>
      </c>
      <c r="C7984" t="s">
        <v>42</v>
      </c>
      <c r="D7984" t="str">
        <f>HYPERLINK("https://us2.cloudbeds.com/connect/10074733072513#/reservations/31682142142686?display=Matilda%20Hawk%20Eagle&amp;reservation_id=31682142142686&amp;guest_id=31682132902030", "Matilda Hawk Eagle")</f>
        <v>Matilda Hawk Eagle</v>
      </c>
      <c r="E7984" t="s">
        <v>6010</v>
      </c>
      <c r="F7984" t="s">
        <v>4916</v>
      </c>
      <c r="G7984">
        <v>189</v>
      </c>
      <c r="H7984">
        <v>205.45</v>
      </c>
      <c r="I7984">
        <v>205.44</v>
      </c>
      <c r="J7984">
        <v>0.01</v>
      </c>
    </row>
    <row r="7985" spans="1:10" x14ac:dyDescent="0.3">
      <c r="A7985" t="str">
        <f>HYPERLINK("https://us2.cloudbeds.com/connect/10074733072513#/reservations/31677074448564?display=MH8VM7V45&amp;reservation_id=31677074448564", "MH8VM7V45")</f>
        <v>MH8VM7V45</v>
      </c>
      <c r="B7985" t="s">
        <v>10</v>
      </c>
      <c r="C7985" t="s">
        <v>121</v>
      </c>
      <c r="D7985" t="str">
        <f>HYPERLINK("https://us2.cloudbeds.com/connect/10074733072513#/reservations/31677074448564?display=Jose%20Angel%20Vargas&amp;reservation_id=31677074448564&amp;guest_id=31677074448550", "Jose Angel Vargas")</f>
        <v>Jose Angel Vargas</v>
      </c>
      <c r="E7985" t="s">
        <v>6011</v>
      </c>
      <c r="F7985" t="s">
        <v>5200</v>
      </c>
      <c r="G7985">
        <v>199</v>
      </c>
      <c r="H7985">
        <v>216.32</v>
      </c>
      <c r="I7985">
        <v>216.31</v>
      </c>
      <c r="J7985">
        <v>0.01</v>
      </c>
    </row>
    <row r="7986" spans="1:10" x14ac:dyDescent="0.3">
      <c r="A7986" t="str">
        <f>HYPERLINK("https://us2.cloudbeds.com/connect/10074733072513#/reservations/31678786998510?display=MHA9EA5K2&amp;reservation_id=31678786998510", "MHA9EA5K2")</f>
        <v>MHA9EA5K2</v>
      </c>
      <c r="B7986" t="s">
        <v>10</v>
      </c>
      <c r="C7986" t="s">
        <v>42</v>
      </c>
      <c r="D7986" t="str">
        <f>HYPERLINK("https://us2.cloudbeds.com/connect/10074733072513#/reservations/31678786998510?display=Amy%20Boylyn&amp;reservation_id=31678786998510&amp;guest_id=31678786998507", "Amy Boylyn")</f>
        <v>Amy Boylyn</v>
      </c>
      <c r="E7986" t="s">
        <v>6012</v>
      </c>
      <c r="F7986" t="s">
        <v>5831</v>
      </c>
      <c r="G7986">
        <v>258</v>
      </c>
      <c r="H7986">
        <v>280.45999999999998</v>
      </c>
      <c r="I7986">
        <v>280.45</v>
      </c>
      <c r="J7986">
        <v>0.01</v>
      </c>
    </row>
    <row r="7987" spans="1:10" x14ac:dyDescent="0.3">
      <c r="A7987" t="str">
        <f>HYPERLINK("https://us2.cloudbeds.com/connect/10074733072513#/reservations/31681152655575?display=MHC3T324Q&amp;reservation_id=31681152655575", "MHC3T324Q")</f>
        <v>MHC3T324Q</v>
      </c>
      <c r="B7987" t="s">
        <v>10</v>
      </c>
      <c r="C7987" t="s">
        <v>42</v>
      </c>
      <c r="D7987" t="str">
        <f>HYPERLINK("https://us2.cloudbeds.com/connect/10074733072513#/reservations/31681152655575?display=Gabriella%20Hernandez&amp;reservation_id=31681152655575&amp;guest_id=31681140895875", "Gabriella Hernandez")</f>
        <v>Gabriella Hernandez</v>
      </c>
      <c r="E7987" t="s">
        <v>6013</v>
      </c>
      <c r="F7987" t="s">
        <v>4979</v>
      </c>
      <c r="G7987">
        <v>298</v>
      </c>
      <c r="H7987">
        <v>323.94</v>
      </c>
      <c r="I7987">
        <v>323.93</v>
      </c>
      <c r="J7987">
        <v>0.01</v>
      </c>
    </row>
    <row r="7988" spans="1:10" x14ac:dyDescent="0.3">
      <c r="A7988" t="str">
        <f>HYPERLINK("https://us2.cloudbeds.com/connect/10074733072513#/reservations/31677130969248?display=MH903TNJ5&amp;reservation_id=31677130969248", "MH903TNJ5")</f>
        <v>MH903TNJ5</v>
      </c>
      <c r="B7988" t="s">
        <v>10</v>
      </c>
      <c r="C7988" t="s">
        <v>121</v>
      </c>
      <c r="D7988" t="str">
        <f>HYPERLINK("https://us2.cloudbeds.com/connect/10074733072513#/reservations/31677130969248?display=Christi%20Kuiper&amp;reservation_id=31677130969248&amp;guest_id=31677119033542", "Christi Kuiper")</f>
        <v>Christi Kuiper</v>
      </c>
      <c r="E7988" t="s">
        <v>6014</v>
      </c>
      <c r="F7988" t="s">
        <v>5286</v>
      </c>
      <c r="G7988">
        <v>169</v>
      </c>
      <c r="H7988">
        <v>183.71</v>
      </c>
      <c r="I7988">
        <v>183.7</v>
      </c>
      <c r="J7988">
        <v>0.01</v>
      </c>
    </row>
    <row r="7989" spans="1:10" x14ac:dyDescent="0.3">
      <c r="A7989" t="str">
        <f>HYPERLINK("https://us2.cloudbeds.com/connect/10074733072513#/reservations/31676044951778?display=MH85C4MBS&amp;reservation_id=31676044951778", "MH85C4MBS")</f>
        <v>MH85C4MBS</v>
      </c>
      <c r="B7989" t="s">
        <v>10</v>
      </c>
      <c r="C7989" t="s">
        <v>121</v>
      </c>
      <c r="D7989" t="str">
        <f>HYPERLINK("https://us2.cloudbeds.com/connect/10074733072513#/reservations/31676044951778?display=Jarod%20Buckly%20Jedlicki&amp;reservation_id=31676044951778&amp;guest_id=31676044951773", "Jarod Buckly Jedlicki")</f>
        <v>Jarod Buckly Jedlicki</v>
      </c>
      <c r="E7989" t="s">
        <v>6015</v>
      </c>
      <c r="F7989" t="s">
        <v>5514</v>
      </c>
      <c r="G7989">
        <v>149</v>
      </c>
      <c r="H7989">
        <v>161.97</v>
      </c>
      <c r="I7989">
        <v>161.96</v>
      </c>
      <c r="J7989">
        <v>0.01</v>
      </c>
    </row>
    <row r="7990" spans="1:10" x14ac:dyDescent="0.3">
      <c r="A7990" t="str">
        <f>HYPERLINK("https://us2.cloudbeds.com/connect/10074733072513#/reservations/31678968406254?display=MHAE293XE&amp;reservation_id=31678968406254", "MHAE293XE")</f>
        <v>MHAE293XE</v>
      </c>
      <c r="B7990" t="s">
        <v>10</v>
      </c>
      <c r="C7990" t="s">
        <v>42</v>
      </c>
      <c r="D7990" t="str">
        <f>HYPERLINK("https://us2.cloudbeds.com/connect/10074733072513#/reservations/31678968406254?display=Jason%20Sorenson&amp;reservation_id=31678968406254&amp;guest_id=31678968406248", "Jason Sorenson")</f>
        <v>Jason Sorenson</v>
      </c>
      <c r="E7990" t="s">
        <v>6016</v>
      </c>
      <c r="F7990" t="s">
        <v>4645</v>
      </c>
      <c r="G7990">
        <v>338</v>
      </c>
      <c r="H7990">
        <v>367.42</v>
      </c>
      <c r="I7990">
        <v>367.41</v>
      </c>
      <c r="J7990">
        <v>0.01</v>
      </c>
    </row>
    <row r="7991" spans="1:10" x14ac:dyDescent="0.3">
      <c r="A7991" t="str">
        <f>HYPERLINK("https://us2.cloudbeds.com/connect/10074733072513#/reservations/31682662138060?display=MHD9EUY49&amp;reservation_id=31682662138060", "MHD9EUY49")</f>
        <v>MHD9EUY49</v>
      </c>
      <c r="B7991" t="s">
        <v>10</v>
      </c>
      <c r="C7991" t="s">
        <v>42</v>
      </c>
      <c r="D7991" t="str">
        <f>HYPERLINK("https://us2.cloudbeds.com/connect/10074733072513#/reservations/31682662138060?display=Jenny%20Hill&amp;reservation_id=31682662138060&amp;guest_id=31682662133976", "Jenny Hill")</f>
        <v>Jenny Hill</v>
      </c>
      <c r="E7991" t="s">
        <v>6017</v>
      </c>
      <c r="F7991" t="s">
        <v>4645</v>
      </c>
      <c r="G7991">
        <v>378</v>
      </c>
      <c r="H7991">
        <v>410.9</v>
      </c>
      <c r="I7991">
        <v>410.89</v>
      </c>
      <c r="J7991">
        <v>0.01</v>
      </c>
    </row>
    <row r="7992" spans="1:10" x14ac:dyDescent="0.3">
      <c r="A7992" t="str">
        <f>HYPERLINK("https://us2.cloudbeds.com/connect/10074733072513#/reservations/31682680983758?display=MHD9UR1Y1&amp;reservation_id=31682680983758", "MHD9UR1Y1")</f>
        <v>MHD9UR1Y1</v>
      </c>
      <c r="B7992" t="s">
        <v>10</v>
      </c>
      <c r="C7992" t="s">
        <v>42</v>
      </c>
      <c r="D7992" t="str">
        <f>HYPERLINK("https://us2.cloudbeds.com/connect/10074733072513#/reservations/31682680983758?display=Abel%20Dorado&amp;reservation_id=31682680983758&amp;guest_id=31682672255217", "Abel Dorado")</f>
        <v>Abel Dorado</v>
      </c>
      <c r="E7992" t="s">
        <v>6018</v>
      </c>
      <c r="F7992" t="s">
        <v>4645</v>
      </c>
      <c r="G7992">
        <v>378</v>
      </c>
      <c r="H7992">
        <v>410.9</v>
      </c>
      <c r="I7992">
        <v>410.89</v>
      </c>
      <c r="J7992">
        <v>0.01</v>
      </c>
    </row>
    <row r="7993" spans="1:10" x14ac:dyDescent="0.3">
      <c r="A7993" t="str">
        <f>HYPERLINK("https://us2.cloudbeds.com/connect/10074733072513#/reservations/31679668383882?display=MHAVVH0XN&amp;reservation_id=31679668383882", "MHAVVH0XN")</f>
        <v>MHAVVH0XN</v>
      </c>
      <c r="B7993" t="s">
        <v>10</v>
      </c>
      <c r="C7993" t="s">
        <v>23</v>
      </c>
      <c r="D7993" t="str">
        <f>HYPERLINK("https://us2.cloudbeds.com/connect/10074733072513#/reservations/31679668383882?display=Christine%20Belitz&amp;reservation_id=31679668383882&amp;guest_id=31679659221245", "Christine Belitz")</f>
        <v>Christine Belitz</v>
      </c>
      <c r="E7993" t="s">
        <v>6019</v>
      </c>
      <c r="F7993" t="s">
        <v>6020</v>
      </c>
      <c r="G7993">
        <v>129</v>
      </c>
      <c r="H7993">
        <v>140.22999999999999</v>
      </c>
      <c r="I7993">
        <v>140.22</v>
      </c>
      <c r="J7993">
        <v>0.01</v>
      </c>
    </row>
    <row r="7994" spans="1:10" x14ac:dyDescent="0.3">
      <c r="A7994" t="str">
        <f>HYPERLINK("https://us2.cloudbeds.com/connect/10074733072513#/reservations/31679668387998?display=MHAVVH4BE&amp;reservation_id=31679668387998", "MHAVVH4BE")</f>
        <v>MHAVVH4BE</v>
      </c>
      <c r="B7994" t="s">
        <v>10</v>
      </c>
      <c r="C7994" t="s">
        <v>121</v>
      </c>
      <c r="D7994" t="str">
        <f>HYPERLINK("https://us2.cloudbeds.com/connect/10074733072513#/reservations/31679668387998?display=Jason%20Thompson&amp;reservation_id=31679668387998&amp;guest_id=31679668387993", "Jason Thompson")</f>
        <v>Jason Thompson</v>
      </c>
      <c r="E7994" t="s">
        <v>6021</v>
      </c>
      <c r="F7994" t="s">
        <v>6020</v>
      </c>
      <c r="G7994">
        <v>129</v>
      </c>
      <c r="H7994">
        <v>140.22999999999999</v>
      </c>
      <c r="I7994">
        <v>140.22</v>
      </c>
      <c r="J7994">
        <v>0.01</v>
      </c>
    </row>
    <row r="7995" spans="1:10" x14ac:dyDescent="0.3">
      <c r="A7995" t="str">
        <f>HYPERLINK("https://us2.cloudbeds.com/connect/10074733072513#/reservations/31678895837405?display=MHAC72PGD&amp;reservation_id=31678895837405", "MHAC72PGD")</f>
        <v>MHAC72PGD</v>
      </c>
      <c r="B7995" t="s">
        <v>10</v>
      </c>
      <c r="C7995" t="s">
        <v>42</v>
      </c>
      <c r="D7995" t="str">
        <f>HYPERLINK("https://us2.cloudbeds.com/connect/10074733072513#/reservations/31678895837405?display=Kristy%20Torgrimson&amp;reservation_id=31678895837405&amp;guest_id=31678895837400", "Kristy Torgrimson")</f>
        <v>Kristy Torgrimson</v>
      </c>
      <c r="E7995" t="s">
        <v>6022</v>
      </c>
      <c r="F7995" t="s">
        <v>4645</v>
      </c>
      <c r="G7995">
        <v>378</v>
      </c>
      <c r="H7995">
        <v>410.9</v>
      </c>
      <c r="I7995">
        <v>410.89</v>
      </c>
      <c r="J7995">
        <v>0.01</v>
      </c>
    </row>
    <row r="7996" spans="1:10" x14ac:dyDescent="0.3">
      <c r="A7996" t="str">
        <f>HYPERLINK("https://us2.cloudbeds.com/connect/10074733072513#/reservations/31678159089796?display=MH9QCRMJ9&amp;reservation_id=31678159089796", "MH9QCRMJ9")</f>
        <v>MH9QCRMJ9</v>
      </c>
      <c r="B7996" t="s">
        <v>10</v>
      </c>
      <c r="C7996" t="s">
        <v>23</v>
      </c>
      <c r="D7996" t="str">
        <f>HYPERLINK("https://us2.cloudbeds.com/connect/10074733072513#/reservations/31678159089796?display=Dale%20Johnson&amp;reservation_id=31678159089796&amp;guest_id=31678159085700", "Dale Johnson")</f>
        <v>Dale Johnson</v>
      </c>
      <c r="E7996" t="s">
        <v>6023</v>
      </c>
      <c r="F7996" t="s">
        <v>5469</v>
      </c>
      <c r="G7996">
        <v>313.2</v>
      </c>
      <c r="H7996">
        <v>340.46</v>
      </c>
      <c r="I7996">
        <v>340.45</v>
      </c>
      <c r="J7996">
        <v>0.01</v>
      </c>
    </row>
    <row r="7997" spans="1:10" x14ac:dyDescent="0.3">
      <c r="A7997" t="str">
        <f>HYPERLINK("https://us2.cloudbeds.com/connect/10074733072513#/reservations/31678860251299?display=MHABA2HNX&amp;reservation_id=31678860251299", "MHABA2HNX")</f>
        <v>MHABA2HNX</v>
      </c>
      <c r="B7997" t="s">
        <v>10</v>
      </c>
      <c r="C7997" t="s">
        <v>42</v>
      </c>
      <c r="D7997" t="str">
        <f>HYPERLINK("https://us2.cloudbeds.com/connect/10074733072513#/reservations/31678860251299?display=Michelle%20Herzberg&amp;reservation_id=31678860251299&amp;guest_id=31678860251295", "Michelle Herzberg")</f>
        <v>Michelle Herzberg</v>
      </c>
      <c r="E7997" t="s">
        <v>6024</v>
      </c>
      <c r="F7997" t="s">
        <v>4645</v>
      </c>
      <c r="G7997">
        <v>378</v>
      </c>
      <c r="H7997">
        <v>410.9</v>
      </c>
      <c r="I7997">
        <v>410.89</v>
      </c>
      <c r="J7997">
        <v>0.01</v>
      </c>
    </row>
    <row r="7998" spans="1:10" x14ac:dyDescent="0.3">
      <c r="A7998" t="str">
        <f>HYPERLINK("https://us2.cloudbeds.com/connect/10074733072513#/reservations/31682030416006?display=MHCQA81DZ&amp;reservation_id=31682030416006", "MHCQA81DZ")</f>
        <v>MHCQA81DZ</v>
      </c>
      <c r="B7998" t="s">
        <v>10</v>
      </c>
      <c r="C7998" t="s">
        <v>42</v>
      </c>
      <c r="D7998" t="str">
        <f>HYPERLINK("https://us2.cloudbeds.com/connect/10074733072513#/reservations/31682030416006?display=Corey%20Eagle%20Staff&amp;reservation_id=31682030416006&amp;guest_id=31682030411912", "Corey Eagle Staff")</f>
        <v>Corey Eagle Staff</v>
      </c>
      <c r="E7998" t="s">
        <v>6026</v>
      </c>
      <c r="F7998" t="s">
        <v>4916</v>
      </c>
      <c r="G7998">
        <v>338</v>
      </c>
      <c r="H7998">
        <v>367.42</v>
      </c>
      <c r="I7998">
        <v>367.41</v>
      </c>
      <c r="J7998">
        <v>0.01</v>
      </c>
    </row>
    <row r="7999" spans="1:10" x14ac:dyDescent="0.3">
      <c r="A7999" t="str">
        <f>HYPERLINK("https://us2.cloudbeds.com/connect/10074733072513#/reservations/31678925287665?display=MHACVU8TH&amp;reservation_id=31678925287665", "MHACVU8TH")</f>
        <v>MHACVU8TH</v>
      </c>
      <c r="B7999" t="s">
        <v>10</v>
      </c>
      <c r="C7999" t="s">
        <v>42</v>
      </c>
      <c r="D7999" t="str">
        <f>HYPERLINK("https://us2.cloudbeds.com/connect/10074733072513#/reservations/31678925287665?display=Aaron%20Hegle&amp;reservation_id=31678925287665&amp;guest_id=31678925287660", "Aaron Hegle")</f>
        <v>Aaron Hegle</v>
      </c>
      <c r="E7999" t="s">
        <v>6016</v>
      </c>
      <c r="F7999" t="s">
        <v>4645</v>
      </c>
      <c r="G7999">
        <v>378</v>
      </c>
      <c r="H7999">
        <v>410.9</v>
      </c>
      <c r="I7999">
        <v>410.89</v>
      </c>
      <c r="J7999">
        <v>0.01</v>
      </c>
    </row>
    <row r="8000" spans="1:10" x14ac:dyDescent="0.3">
      <c r="A8000" t="str">
        <f>HYPERLINK("https://us2.cloudbeds.com/connect/10074733072513#/reservations/31681951371502?display=MHCZ9JGUZ&amp;reservation_id=31681951371502", "MHCZ9JGUZ")</f>
        <v>MHCZ9JGUZ</v>
      </c>
      <c r="B8000" t="s">
        <v>10</v>
      </c>
      <c r="C8000" t="s">
        <v>20</v>
      </c>
      <c r="D8000" t="str">
        <f>HYPERLINK("https://us2.cloudbeds.com/connect/10074733072513#/reservations/31681951371502?display=Misty%20Frantz&amp;reservation_id=31681951371502&amp;guest_id=31681943978135", "Misty Frantz")</f>
        <v>Misty Frantz</v>
      </c>
      <c r="E8000" t="s">
        <v>6028</v>
      </c>
      <c r="F8000" t="s">
        <v>5587</v>
      </c>
      <c r="G8000">
        <v>149</v>
      </c>
      <c r="H8000">
        <v>161.97</v>
      </c>
      <c r="I8000">
        <v>161.96</v>
      </c>
      <c r="J8000">
        <v>0.01</v>
      </c>
    </row>
    <row r="8001" spans="1:10" x14ac:dyDescent="0.3">
      <c r="A8001" t="str">
        <f>HYPERLINK("https://us2.cloudbeds.com/connect/10074733072513#/reservations/31680492986506?display=MHBK0RQE0&amp;reservation_id=31680492986506", "MHBK0RQE0")</f>
        <v>MHBK0RQE0</v>
      </c>
      <c r="B8001" t="s">
        <v>10</v>
      </c>
      <c r="C8001" t="s">
        <v>42</v>
      </c>
      <c r="D8001" t="str">
        <f>HYPERLINK("https://us2.cloudbeds.com/connect/10074733072513#/reservations/31680492986506?display=Corey%20Eagle%20Staff&amp;reservation_id=31680492986506&amp;guest_id=31680485552292", "Corey Eagle Staff")</f>
        <v>Corey Eagle Staff</v>
      </c>
      <c r="E8001" t="s">
        <v>6026</v>
      </c>
      <c r="F8001" t="s">
        <v>4916</v>
      </c>
      <c r="G8001">
        <v>338</v>
      </c>
      <c r="H8001">
        <v>367.42</v>
      </c>
      <c r="I8001">
        <v>367.41</v>
      </c>
      <c r="J8001">
        <v>0.01</v>
      </c>
    </row>
    <row r="8002" spans="1:10" x14ac:dyDescent="0.3">
      <c r="A8002" t="str">
        <f>HYPERLINK("https://us2.cloudbeds.com/connect/10074733072513#/reservations/31678954582254?display=MHADNKEBB&amp;reservation_id=31678954582254", "MHADNKEBB")</f>
        <v>MHADNKEBB</v>
      </c>
      <c r="B8002" t="s">
        <v>10</v>
      </c>
      <c r="C8002" t="s">
        <v>42</v>
      </c>
      <c r="D8002" t="str">
        <f>HYPERLINK("https://us2.cloudbeds.com/connect/10074733072513#/reservations/31678954582254?display=Brooke%20Cebulla&amp;reservation_id=31678954582254&amp;guest_id=31678954582249", "Brooke Cebulla")</f>
        <v>Brooke Cebulla</v>
      </c>
      <c r="E8002" t="s">
        <v>6030</v>
      </c>
      <c r="F8002" t="s">
        <v>4645</v>
      </c>
      <c r="G8002">
        <v>378</v>
      </c>
      <c r="H8002">
        <v>410.9</v>
      </c>
      <c r="I8002">
        <v>410.89</v>
      </c>
      <c r="J8002">
        <v>0.01</v>
      </c>
    </row>
    <row r="8003" spans="1:10" x14ac:dyDescent="0.3">
      <c r="A8003" t="str">
        <f>HYPERLINK("https://us2.cloudbeds.com/connect/10074733072513#/reservations/31681943974041?display=MHCZ3BM18&amp;reservation_id=31681943974041", "MHCZ3BM18")</f>
        <v>MHCZ3BM18</v>
      </c>
      <c r="B8003" t="s">
        <v>10</v>
      </c>
      <c r="C8003" t="s">
        <v>20</v>
      </c>
      <c r="D8003" t="str">
        <f>HYPERLINK("https://us2.cloudbeds.com/connect/10074733072513#/reservations/31681943974041?display=Dalton%20Frantz&amp;reservation_id=31681943974041&amp;guest_id=31681935683714", "Dalton Frantz")</f>
        <v>Dalton Frantz</v>
      </c>
      <c r="E8003" t="s">
        <v>6028</v>
      </c>
      <c r="F8003" t="s">
        <v>5587</v>
      </c>
      <c r="G8003">
        <v>159</v>
      </c>
      <c r="H8003">
        <v>172.84</v>
      </c>
      <c r="I8003">
        <v>172.83</v>
      </c>
      <c r="J8003">
        <v>0.01</v>
      </c>
    </row>
    <row r="8004" spans="1:10" x14ac:dyDescent="0.3">
      <c r="A8004" t="str">
        <f>HYPERLINK("https://us2.cloudbeds.com/connect/10074733072513#/reservations/31679766028463?display=MHB1ES40D&amp;reservation_id=31679766028463", "MHB1ES40D")</f>
        <v>MHB1ES40D</v>
      </c>
      <c r="B8004" t="s">
        <v>10</v>
      </c>
      <c r="C8004" t="s">
        <v>14</v>
      </c>
      <c r="D8004" t="str">
        <f>HYPERLINK("https://us2.cloudbeds.com/connect/10074733072513#/reservations/31679766028463?display=Kenton%20Mckeehan&amp;reservation_id=31679766028463&amp;guest_id=31679766028458", "Kenton Mckeehan")</f>
        <v>Kenton Mckeehan</v>
      </c>
      <c r="E8004" t="s">
        <v>6031</v>
      </c>
      <c r="F8004" t="s">
        <v>5805</v>
      </c>
      <c r="G8004">
        <v>169.36</v>
      </c>
      <c r="H8004">
        <v>184.1</v>
      </c>
      <c r="I8004">
        <v>184.09</v>
      </c>
      <c r="J8004">
        <v>0.01</v>
      </c>
    </row>
    <row r="8005" spans="1:10" x14ac:dyDescent="0.3">
      <c r="A8005" t="str">
        <f>HYPERLINK("https://us2.cloudbeds.com/connect/10074733072513#/reservations/31679709765884?display=MHB00DHXP&amp;reservation_id=31679709765884", "MHB00DHXP")</f>
        <v>MHB00DHXP</v>
      </c>
      <c r="B8005" t="s">
        <v>10</v>
      </c>
      <c r="C8005" t="s">
        <v>121</v>
      </c>
      <c r="D8005" t="str">
        <f>HYPERLINK("https://us2.cloudbeds.com/connect/10074733072513#/reservations/31679709765884?display=Jonathan%20Treischel&amp;reservation_id=31679709765884&amp;guest_id=31679709765882", "Jonathan Treischel")</f>
        <v>Jonathan Treischel</v>
      </c>
      <c r="E8005" t="s">
        <v>6032</v>
      </c>
      <c r="F8005" t="s">
        <v>5805</v>
      </c>
      <c r="G8005">
        <v>139</v>
      </c>
      <c r="H8005">
        <v>151.1</v>
      </c>
      <c r="I8005">
        <v>151.09</v>
      </c>
      <c r="J8005">
        <v>0.01</v>
      </c>
    </row>
    <row r="8006" spans="1:10" x14ac:dyDescent="0.3">
      <c r="A8006" t="str">
        <f>HYPERLINK("https://us2.cloudbeds.com/connect/10074733072513#/reservations/31679996956840?display=MHB7BJ1EW&amp;reservation_id=31679996956840", "MHB7BJ1EW")</f>
        <v>MHB7BJ1EW</v>
      </c>
      <c r="B8006" t="s">
        <v>10</v>
      </c>
      <c r="C8006" t="s">
        <v>20</v>
      </c>
      <c r="D8006" t="str">
        <f>HYPERLINK("https://us2.cloudbeds.com/connect/10074733072513#/reservations/31679996956840?display=Brad%20Notestein&amp;reservation_id=31679996956840&amp;guest_id=31677835976939", "Brad Notestein")</f>
        <v>Brad Notestein</v>
      </c>
      <c r="E8006" t="s">
        <v>6033</v>
      </c>
      <c r="F8006" t="s">
        <v>5895</v>
      </c>
      <c r="G8006">
        <v>169</v>
      </c>
      <c r="H8006">
        <v>183.71</v>
      </c>
      <c r="I8006">
        <v>183.7</v>
      </c>
      <c r="J8006">
        <v>0.01</v>
      </c>
    </row>
    <row r="8007" spans="1:10" x14ac:dyDescent="0.3">
      <c r="A8007" t="str">
        <f>HYPERLINK("https://us2.cloudbeds.com/connect/10074733072513#/reservations/31682096455906?display=MHCRWUN3Q&amp;reservation_id=31682096455906", "MHCRWUN3Q")</f>
        <v>MHCRWUN3Q</v>
      </c>
      <c r="B8007" t="s">
        <v>10</v>
      </c>
      <c r="C8007" t="s">
        <v>11</v>
      </c>
      <c r="D8007" t="str">
        <f>HYPERLINK("https://us2.cloudbeds.com/connect/10074733072513#/reservations/31682096455906?display=Craig%20Gunderson&amp;reservation_id=31682096455906&amp;guest_id=31682087776393", "Craig Gunderson")</f>
        <v>Craig Gunderson</v>
      </c>
      <c r="E8007" t="s">
        <v>6034</v>
      </c>
      <c r="F8007" t="s">
        <v>4916</v>
      </c>
      <c r="G8007">
        <v>378</v>
      </c>
      <c r="H8007">
        <v>410.9</v>
      </c>
      <c r="I8007">
        <v>410.89</v>
      </c>
      <c r="J8007">
        <v>0.01</v>
      </c>
    </row>
    <row r="8008" spans="1:10" x14ac:dyDescent="0.3">
      <c r="A8008" t="str">
        <f>HYPERLINK("https://us2.cloudbeds.com/connect/10074733072513#/reservations/31678748066019?display=MHA8EFQUK&amp;reservation_id=31678748066019", "MHA8EFQUK")</f>
        <v>MHA8EFQUK</v>
      </c>
      <c r="B8008" t="s">
        <v>10</v>
      </c>
      <c r="C8008" t="s">
        <v>42</v>
      </c>
      <c r="D8008" t="str">
        <f>HYPERLINK("https://us2.cloudbeds.com/connect/10074733072513#/reservations/31678748066019?display=Lisa%20Scholting&amp;reservation_id=31678748066019&amp;guest_id=31678748061904", "Lisa Scholting")</f>
        <v>Lisa Scholting</v>
      </c>
      <c r="E8008" t="s">
        <v>6035</v>
      </c>
      <c r="F8008" t="s">
        <v>4916</v>
      </c>
      <c r="G8008">
        <v>378</v>
      </c>
      <c r="H8008">
        <v>410.9</v>
      </c>
      <c r="I8008">
        <v>410.89</v>
      </c>
      <c r="J8008">
        <v>0.01</v>
      </c>
    </row>
    <row r="8009" spans="1:10" x14ac:dyDescent="0.3">
      <c r="A8009" t="str">
        <f>HYPERLINK("https://us2.cloudbeds.com/connect/10074733072513#/reservations/31682435891389?display=MHD3M4WPX&amp;reservation_id=31682435891389", "MHD3M4WPX")</f>
        <v>MHD3M4WPX</v>
      </c>
      <c r="B8009" t="s">
        <v>10</v>
      </c>
      <c r="C8009" t="s">
        <v>20</v>
      </c>
      <c r="D8009" t="str">
        <f>HYPERLINK("https://us2.cloudbeds.com/connect/10074733072513#/reservations/31682435891389?display=David%20Nokes&amp;reservation_id=31682435891389&amp;guest_id=31682435891377", "David Nokes")</f>
        <v>David Nokes</v>
      </c>
      <c r="E8009" t="s">
        <v>6036</v>
      </c>
      <c r="F8009" t="s">
        <v>5550</v>
      </c>
      <c r="G8009">
        <v>149</v>
      </c>
      <c r="H8009">
        <v>161.97</v>
      </c>
      <c r="I8009">
        <v>161.96</v>
      </c>
      <c r="J8009">
        <v>0.01</v>
      </c>
    </row>
    <row r="8010" spans="1:10" x14ac:dyDescent="0.3">
      <c r="A8010" t="str">
        <f>HYPERLINK("https://us2.cloudbeds.com/connect/10074733072513#/reservations/31680415387865?display=MHBX1DGY1&amp;reservation_id=31680415387865", "MHBX1DGY1")</f>
        <v>MHBX1DGY1</v>
      </c>
      <c r="B8010" t="s">
        <v>10</v>
      </c>
      <c r="C8010" t="s">
        <v>20</v>
      </c>
      <c r="D8010" t="str">
        <f>HYPERLINK("https://us2.cloudbeds.com/connect/10074733072513#/reservations/31680415387865?display=Nicholas%20Degidio&amp;reservation_id=31680415387865&amp;guest_id=31680400298175", "Nicholas Degidio")</f>
        <v>Nicholas Degidio</v>
      </c>
      <c r="E8010" t="s">
        <v>6037</v>
      </c>
      <c r="F8010" t="s">
        <v>5326</v>
      </c>
      <c r="G8010">
        <v>348</v>
      </c>
      <c r="H8010">
        <v>378.29</v>
      </c>
      <c r="I8010">
        <v>378.28</v>
      </c>
      <c r="J8010">
        <v>0.01</v>
      </c>
    </row>
    <row r="8011" spans="1:10" x14ac:dyDescent="0.3">
      <c r="A8011" t="str">
        <f>HYPERLINK("https://us2.cloudbeds.com/connect/10074733072513#/reservations/31677444702377?display=MH984EQEM&amp;reservation_id=31677444702377", "MH984EQEM")</f>
        <v>MH984EQEM</v>
      </c>
      <c r="B8011" t="s">
        <v>10</v>
      </c>
      <c r="C8011" t="s">
        <v>42</v>
      </c>
      <c r="D8011" t="str">
        <f>HYPERLINK("https://us2.cloudbeds.com/connect/10074733072513#/reservations/31677444702377?display=Sheryl%20Taylor%20Clc&amp;reservation_id=31677444702377&amp;guest_id=31677444702365", "Sheryl Taylor Clc")</f>
        <v>Sheryl Taylor Clc</v>
      </c>
      <c r="E8011" t="s">
        <v>6039</v>
      </c>
      <c r="F8011" t="s">
        <v>5805</v>
      </c>
      <c r="G8011">
        <v>73</v>
      </c>
      <c r="H8011">
        <v>79.36</v>
      </c>
      <c r="I8011">
        <v>79.349999999999994</v>
      </c>
      <c r="J8011">
        <v>0.01</v>
      </c>
    </row>
    <row r="8012" spans="1:10" x14ac:dyDescent="0.3">
      <c r="A8012" t="str">
        <f>HYPERLINK("https://us2.cloudbeds.com/connect/10074733072513#/reservations/31679804629125?display=MHB2ED7WE&amp;reservation_id=31679804629125", "MHB2ED7WE")</f>
        <v>MHB2ED7WE</v>
      </c>
      <c r="B8012" t="s">
        <v>10</v>
      </c>
      <c r="C8012" t="s">
        <v>14</v>
      </c>
      <c r="D8012" t="str">
        <f>HYPERLINK("https://us2.cloudbeds.com/connect/10074733072513#/reservations/31679804629125?display=David%20Hamann&amp;reservation_id=31679804629125&amp;guest_id=31679804629120", "David Hamann")</f>
        <v>David Hamann</v>
      </c>
      <c r="E8012" t="s">
        <v>6040</v>
      </c>
      <c r="F8012" t="s">
        <v>5805</v>
      </c>
      <c r="G8012">
        <v>87.84</v>
      </c>
      <c r="H8012">
        <v>95.49</v>
      </c>
      <c r="I8012">
        <v>95.48</v>
      </c>
      <c r="J8012">
        <v>0.01</v>
      </c>
    </row>
    <row r="8013" spans="1:10" x14ac:dyDescent="0.3">
      <c r="A8013" t="str">
        <f>HYPERLINK("https://us2.cloudbeds.com/connect/10074733072513#/reservations/31677452202237?display=MH98APGC5&amp;reservation_id=31677452202237", "MH98APGC5")</f>
        <v>MH98APGC5</v>
      </c>
      <c r="B8013" t="s">
        <v>10</v>
      </c>
      <c r="C8013" t="s">
        <v>42</v>
      </c>
      <c r="D8013" t="str">
        <f>HYPERLINK("https://us2.cloudbeds.com/connect/10074733072513#/reservations/31677452202237?display=Larquan%20Washington%20Clc&amp;reservation_id=31677452202237&amp;guest_id=31677452202224", "Larquan Washington Clc")</f>
        <v>Larquan Washington Clc</v>
      </c>
      <c r="E8013" t="s">
        <v>6043</v>
      </c>
      <c r="F8013" t="s">
        <v>5805</v>
      </c>
      <c r="G8013">
        <v>73</v>
      </c>
      <c r="H8013">
        <v>79.36</v>
      </c>
      <c r="I8013">
        <v>79.349999999999994</v>
      </c>
      <c r="J8013">
        <v>0.01</v>
      </c>
    </row>
    <row r="8014" spans="1:10" x14ac:dyDescent="0.3">
      <c r="A8014" t="str">
        <f>HYPERLINK("https://us2.cloudbeds.com/connect/10074733072513#/reservations/31679773069452?display=MHB1KQ1XY&amp;reservation_id=31679773069452", "MHB1KQ1XY")</f>
        <v>MHB1KQ1XY</v>
      </c>
      <c r="B8014" t="s">
        <v>10</v>
      </c>
      <c r="C8014" t="s">
        <v>11</v>
      </c>
      <c r="D8014" t="str">
        <f>HYPERLINK("https://us2.cloudbeds.com/connect/10074733072513#/reservations/31679773069452?display=Mike%20Oconnell&amp;reservation_id=31679773069452&amp;guest_id=31679773069447", "Mike Oconnell")</f>
        <v>Mike Oconnell</v>
      </c>
      <c r="E8014" t="s">
        <v>6044</v>
      </c>
      <c r="F8014" t="s">
        <v>5805</v>
      </c>
      <c r="G8014">
        <v>87.84</v>
      </c>
      <c r="H8014">
        <v>95.49</v>
      </c>
      <c r="I8014">
        <v>95.48</v>
      </c>
      <c r="J8014">
        <v>0.01</v>
      </c>
    </row>
    <row r="8015" spans="1:10" x14ac:dyDescent="0.3">
      <c r="A8015" t="str">
        <f>HYPERLINK("https://us2.cloudbeds.com/connect/10074733072513#/reservations/31679773065354?display=MHB1KPUQH&amp;reservation_id=31679773065354", "MHB1KPUQH")</f>
        <v>MHB1KPUQH</v>
      </c>
      <c r="B8015" t="s">
        <v>10</v>
      </c>
      <c r="C8015" t="s">
        <v>20</v>
      </c>
      <c r="D8015" t="str">
        <f>HYPERLINK("https://us2.cloudbeds.com/connect/10074733072513#/reservations/31679773065354?display=Sapphire%20Rossicoe&amp;reservation_id=31679773065354&amp;guest_id=31679766028461", "Sapphire Rossicoe")</f>
        <v>Sapphire Rossicoe</v>
      </c>
      <c r="E8015" t="s">
        <v>6045</v>
      </c>
      <c r="F8015" t="s">
        <v>5688</v>
      </c>
      <c r="G8015">
        <v>199</v>
      </c>
      <c r="H8015">
        <v>216.32</v>
      </c>
      <c r="I8015">
        <v>216.31</v>
      </c>
      <c r="J8015">
        <v>0.01</v>
      </c>
    </row>
    <row r="8016" spans="1:10" x14ac:dyDescent="0.3">
      <c r="A8016" t="str">
        <f>HYPERLINK("https://us2.cloudbeds.com/connect/10074733072513#/reservations/31677456109713?display=MH98E27GH&amp;reservation_id=31677456109713", "MH98E27GH")</f>
        <v>MH98E27GH</v>
      </c>
      <c r="B8016" t="s">
        <v>10</v>
      </c>
      <c r="C8016" t="s">
        <v>42</v>
      </c>
      <c r="D8016" t="str">
        <f>HYPERLINK("https://us2.cloudbeds.com/connect/10074733072513#/reservations/31677456109713?display=Trevon%20Ford%20Clc&amp;reservation_id=31677456109713&amp;guest_id=31677456109698", "Trevon Ford Clc")</f>
        <v>Trevon Ford Clc</v>
      </c>
      <c r="E8016" t="s">
        <v>6046</v>
      </c>
      <c r="F8016" t="s">
        <v>5805</v>
      </c>
      <c r="G8016">
        <v>73</v>
      </c>
      <c r="H8016">
        <v>79.36</v>
      </c>
      <c r="I8016">
        <v>79.349999999999994</v>
      </c>
      <c r="J8016">
        <v>0.01</v>
      </c>
    </row>
    <row r="8017" spans="1:10" x14ac:dyDescent="0.3">
      <c r="A8017" t="str">
        <f>HYPERLINK("https://us2.cloudbeds.com/connect/10074733072513#/reservations/31685271408790?display=MHFA44EM9&amp;reservation_id=31685271408790", "MHFA44EM9")</f>
        <v>MHFA44EM9</v>
      </c>
      <c r="B8017" t="s">
        <v>10</v>
      </c>
      <c r="C8017" t="s">
        <v>42</v>
      </c>
      <c r="D8017" t="str">
        <f>HYPERLINK("https://us2.cloudbeds.com/connect/10074733072513#/reservations/31685271408790?display=Anne%20Sederstrom&amp;reservation_id=31685271408790&amp;guest_id=31685271404684", "Anne Sederstrom")</f>
        <v>Anne Sederstrom</v>
      </c>
      <c r="E8017" t="s">
        <v>6047</v>
      </c>
      <c r="F8017" t="s">
        <v>5661</v>
      </c>
      <c r="G8017">
        <v>129</v>
      </c>
      <c r="H8017">
        <v>140.22999999999999</v>
      </c>
      <c r="I8017">
        <v>140.22</v>
      </c>
      <c r="J8017">
        <v>0.01</v>
      </c>
    </row>
    <row r="8018" spans="1:10" x14ac:dyDescent="0.3">
      <c r="A8018" t="str">
        <f>HYPERLINK("https://us2.cloudbeds.com/connect/10074733072513#/reservations/31677857476793?display=MH9XMGSAA&amp;reservation_id=31677857476793", "MH9XMGSAA")</f>
        <v>MH9XMGSAA</v>
      </c>
      <c r="B8018" t="s">
        <v>10</v>
      </c>
      <c r="C8018" t="s">
        <v>42</v>
      </c>
      <c r="D8018" t="str">
        <f>HYPERLINK("https://us2.cloudbeds.com/connect/10074733072513#/reservations/31677857476793?display=Scott%20Westman&amp;reservation_id=31677857476793&amp;guest_id=31677857476788", "Scott Westman")</f>
        <v>Scott Westman</v>
      </c>
      <c r="E8018" t="s">
        <v>6048</v>
      </c>
      <c r="F8018" t="s">
        <v>5581</v>
      </c>
      <c r="G8018">
        <v>119</v>
      </c>
      <c r="H8018">
        <v>129.36000000000001</v>
      </c>
      <c r="I8018">
        <v>129.35</v>
      </c>
      <c r="J8018">
        <v>0.01</v>
      </c>
    </row>
    <row r="8019" spans="1:10" x14ac:dyDescent="0.3">
      <c r="A8019" t="str">
        <f>HYPERLINK("https://us2.cloudbeds.com/connect/10074733072513#/reservations/31679719497936?display=MHB08KB8E&amp;reservation_id=31679719497936", "MHB08KB8E")</f>
        <v>MHB08KB8E</v>
      </c>
      <c r="B8019" t="s">
        <v>10</v>
      </c>
      <c r="C8019" t="s">
        <v>11</v>
      </c>
      <c r="D8019" t="str">
        <f>HYPERLINK("https://us2.cloudbeds.com/connect/10074733072513#/reservations/31679719497936?display=Brian%20Coover&amp;reservation_id=31679719497936&amp;guest_id=31679719497934", "Brian Coover")</f>
        <v>Brian Coover</v>
      </c>
      <c r="E8019" t="s">
        <v>6049</v>
      </c>
      <c r="F8019" t="s">
        <v>5805</v>
      </c>
      <c r="G8019">
        <v>87.84</v>
      </c>
      <c r="H8019">
        <v>95.49</v>
      </c>
      <c r="I8019">
        <v>95.48</v>
      </c>
      <c r="J8019">
        <v>0.01</v>
      </c>
    </row>
    <row r="8020" spans="1:10" x14ac:dyDescent="0.3">
      <c r="A8020" t="str">
        <f>HYPERLINK("https://us2.cloudbeds.com/connect/10074733072513#/reservations/31679709765824?display=MHAWJ2SJE&amp;reservation_id=31679709765824", "MHAWJ2SJE")</f>
        <v>MHAWJ2SJE</v>
      </c>
      <c r="B8020" t="s">
        <v>10</v>
      </c>
      <c r="C8020" t="s">
        <v>42</v>
      </c>
      <c r="D8020" t="str">
        <f>HYPERLINK("https://us2.cloudbeds.com/connect/10074733072513#/reservations/31679709765824?display=Roger%20Sieck&amp;reservation_id=31679709765824&amp;guest_id=31679692779682", "Roger Sieck")</f>
        <v>Roger Sieck</v>
      </c>
      <c r="E8020" t="s">
        <v>5134</v>
      </c>
      <c r="F8020" t="s">
        <v>5805</v>
      </c>
      <c r="G8020">
        <v>139</v>
      </c>
      <c r="H8020">
        <v>151.1</v>
      </c>
      <c r="I8020">
        <v>151.09</v>
      </c>
      <c r="J8020">
        <v>0.01</v>
      </c>
    </row>
    <row r="8021" spans="1:10" x14ac:dyDescent="0.3">
      <c r="A8021" t="str">
        <f>HYPERLINK("https://us2.cloudbeds.com/connect/10074733072513#/reservations/31679692775591?display=MHAWJ2ZRD&amp;reservation_id=31679692775591", "MHAWJ2ZRD")</f>
        <v>MHAWJ2ZRD</v>
      </c>
      <c r="B8021" t="s">
        <v>10</v>
      </c>
      <c r="C8021" t="s">
        <v>14</v>
      </c>
      <c r="D8021" t="str">
        <f>HYPERLINK("https://us2.cloudbeds.com/connect/10074733072513#/reservations/31679692775591?display=Amanda%20Hamann&amp;reservation_id=31679692775591&amp;guest_id=31679692775589", "Amanda Hamann")</f>
        <v>Amanda Hamann</v>
      </c>
      <c r="E8021" t="s">
        <v>6050</v>
      </c>
      <c r="F8021" t="s">
        <v>5805</v>
      </c>
      <c r="G8021">
        <v>87.84</v>
      </c>
      <c r="H8021">
        <v>95.49</v>
      </c>
      <c r="I8021">
        <v>95.48</v>
      </c>
      <c r="J8021">
        <v>0.01</v>
      </c>
    </row>
    <row r="8022" spans="1:10" x14ac:dyDescent="0.3">
      <c r="A8022" t="str">
        <f>HYPERLINK("https://us2.cloudbeds.com/connect/10074733072513#/reservations/31680968753312?display=MHBW60NHV&amp;reservation_id=31680968753312", "MHBW60NHV")</f>
        <v>MHBW60NHV</v>
      </c>
      <c r="B8022" t="s">
        <v>10</v>
      </c>
      <c r="C8022" t="s">
        <v>20</v>
      </c>
      <c r="D8022" t="str">
        <f>HYPERLINK("https://us2.cloudbeds.com/connect/10074733072513#/reservations/31680968753312?display=Jamie%20Gerber&amp;reservation_id=31680968753312&amp;guest_id=31680968753285", "Jamie Gerber")</f>
        <v>Jamie Gerber</v>
      </c>
      <c r="E8022" t="s">
        <v>6051</v>
      </c>
      <c r="F8022" t="s">
        <v>5688</v>
      </c>
      <c r="G8022">
        <v>199</v>
      </c>
      <c r="H8022">
        <v>216.32</v>
      </c>
      <c r="I8022">
        <v>216.31</v>
      </c>
      <c r="J8022">
        <v>0.01</v>
      </c>
    </row>
    <row r="8023" spans="1:10" x14ac:dyDescent="0.3">
      <c r="A8023" t="str">
        <f>HYPERLINK("https://us2.cloudbeds.com/connect/10074733072513#/reservations/31681210937581?display=MHC5C7RW6&amp;reservation_id=31681210937581", "MHC5C7RW6")</f>
        <v>MHC5C7RW6</v>
      </c>
      <c r="B8023" t="s">
        <v>10</v>
      </c>
      <c r="C8023" t="s">
        <v>20</v>
      </c>
      <c r="D8023" t="str">
        <f>HYPERLINK("https://us2.cloudbeds.com/connect/10074733072513#/reservations/31681210937581?display=John%20Ketring&amp;reservation_id=31681210937581&amp;guest_id=31681210937578", "John Ketring")</f>
        <v>John Ketring</v>
      </c>
      <c r="E8023" t="s">
        <v>6052</v>
      </c>
      <c r="F8023" t="s">
        <v>5688</v>
      </c>
      <c r="G8023">
        <v>199</v>
      </c>
      <c r="H8023">
        <v>216.32</v>
      </c>
      <c r="I8023">
        <v>216.31</v>
      </c>
      <c r="J8023">
        <v>0.01</v>
      </c>
    </row>
    <row r="8024" spans="1:10" x14ac:dyDescent="0.3">
      <c r="A8024" t="str">
        <f>HYPERLINK("https://us2.cloudbeds.com/connect/10074733072513#/reservations/31679649636568?display=MHAVFNBD9&amp;reservation_id=31679649636568", "MHAVFNBD9")</f>
        <v>MHAVFNBD9</v>
      </c>
      <c r="B8024" t="s">
        <v>10</v>
      </c>
      <c r="C8024" t="s">
        <v>121</v>
      </c>
      <c r="D8024" t="str">
        <f>HYPERLINK("https://us2.cloudbeds.com/connect/10074733072513#/reservations/31679649636568?display=Nicholas%20Hill&amp;reservation_id=31679649636568&amp;guest_id=31678113456256", "Nicholas Hill")</f>
        <v>Nicholas Hill</v>
      </c>
      <c r="E8024" t="s">
        <v>4748</v>
      </c>
      <c r="F8024" t="s">
        <v>6020</v>
      </c>
      <c r="G8024">
        <v>73</v>
      </c>
      <c r="H8024">
        <v>79.36</v>
      </c>
      <c r="I8024">
        <v>79.349999999999994</v>
      </c>
      <c r="J8024">
        <v>0.01</v>
      </c>
    </row>
    <row r="8025" spans="1:10" x14ac:dyDescent="0.3">
      <c r="A8025" t="str">
        <f>HYPERLINK("https://us2.cloudbeds.com/connect/10074733072513#/reservations/31676103790748?display=MH86SZVKV&amp;reservation_id=31676103790748", "MH86SZVKV")</f>
        <v>MH86SZVKV</v>
      </c>
      <c r="B8025" t="s">
        <v>10</v>
      </c>
      <c r="C8025" t="s">
        <v>42</v>
      </c>
      <c r="D8025" t="str">
        <f>HYPERLINK("https://us2.cloudbeds.com/connect/10074733072513#/reservations/31676103790748?display=Anthony%20Ross&amp;reservation_id=31676103790748&amp;guest_id=31676088230095", "Anthony Ross")</f>
        <v>Anthony Ross</v>
      </c>
      <c r="E8025" t="s">
        <v>6053</v>
      </c>
      <c r="F8025" t="s">
        <v>6020</v>
      </c>
      <c r="G8025">
        <v>129</v>
      </c>
      <c r="H8025">
        <v>140.22999999999999</v>
      </c>
      <c r="I8025">
        <v>140.22</v>
      </c>
      <c r="J8025">
        <v>0.01</v>
      </c>
    </row>
    <row r="8026" spans="1:10" x14ac:dyDescent="0.3">
      <c r="A8026" t="str">
        <f>HYPERLINK("https://us2.cloudbeds.com/connect/10074733072513#/reservations/31683223068892?display=MHDNPUC3J&amp;reservation_id=31683223068892", "MHDNPUC3J")</f>
        <v>MHDNPUC3J</v>
      </c>
      <c r="B8026" t="s">
        <v>10</v>
      </c>
      <c r="C8026" t="s">
        <v>42</v>
      </c>
      <c r="D8026" t="str">
        <f>HYPERLINK("https://us2.cloudbeds.com/connect/10074733072513#/reservations/31683223068892?display=Dwight%20Goldson&amp;reservation_id=31683223068892&amp;guest_id=31683213127826", "Dwight Goldson")</f>
        <v>Dwight Goldson</v>
      </c>
      <c r="E8026" t="s">
        <v>6054</v>
      </c>
      <c r="F8026" t="s">
        <v>4772</v>
      </c>
      <c r="G8026">
        <v>258</v>
      </c>
      <c r="H8026">
        <v>280.45999999999998</v>
      </c>
      <c r="I8026">
        <v>280.45</v>
      </c>
      <c r="J8026">
        <v>0.01</v>
      </c>
    </row>
    <row r="8027" spans="1:10" x14ac:dyDescent="0.3">
      <c r="A8027" t="str">
        <f>HYPERLINK("https://us2.cloudbeds.com/connect/10074733072513#/reservations/31677308907651?display=MH94YV3NW&amp;reservation_id=31677308907651", "MH94YV3NW")</f>
        <v>MH94YV3NW</v>
      </c>
      <c r="B8027" t="s">
        <v>10</v>
      </c>
      <c r="C8027" t="s">
        <v>42</v>
      </c>
      <c r="D8027" t="str">
        <f>HYPERLINK("https://us2.cloudbeds.com/connect/10074733072513#/reservations/31677308907651?display=Julie%20Snavely&amp;reservation_id=31677308907651&amp;guest_id=31677302214891", "Julie Snavely")</f>
        <v>Julie Snavely</v>
      </c>
      <c r="E8027" t="s">
        <v>3933</v>
      </c>
      <c r="F8027" t="s">
        <v>5887</v>
      </c>
      <c r="G8027">
        <v>322.2</v>
      </c>
      <c r="H8027">
        <v>350.24</v>
      </c>
      <c r="I8027">
        <v>350.23</v>
      </c>
      <c r="J8027">
        <v>0.01</v>
      </c>
    </row>
    <row r="8028" spans="1:10" x14ac:dyDescent="0.3">
      <c r="A8028" t="str">
        <f>HYPERLINK("https://us2.cloudbeds.com/connect/10074733072513#/reservations/31685325734097?display=MHFBGV45N&amp;reservation_id=31685325734097", "MHFBGV45N")</f>
        <v>MHFBGV45N</v>
      </c>
      <c r="B8028" t="s">
        <v>10</v>
      </c>
      <c r="C8028" t="s">
        <v>42</v>
      </c>
      <c r="D8028" t="str">
        <f>HYPERLINK("https://us2.cloudbeds.com/connect/10074733072513#/reservations/31685325734097?display=Gail%20Beyer&amp;reservation_id=31685325734097&amp;guest_id=31685325734092", "Gail Beyer")</f>
        <v>Gail Beyer</v>
      </c>
      <c r="E8028" t="s">
        <v>6056</v>
      </c>
      <c r="F8028" t="s">
        <v>5661</v>
      </c>
      <c r="G8028">
        <v>437</v>
      </c>
      <c r="H8028">
        <v>475.03</v>
      </c>
      <c r="I8028">
        <v>475.02</v>
      </c>
      <c r="J8028">
        <v>0.01</v>
      </c>
    </row>
    <row r="8029" spans="1:10" x14ac:dyDescent="0.3">
      <c r="A8029" t="str">
        <f>HYPERLINK("https://us2.cloudbeds.com/connect/10074733072513#/reservations/31677797937306?display=MH9H5A2PE&amp;reservation_id=31677797937306", "MH9H5A2PE")</f>
        <v>MH9H5A2PE</v>
      </c>
      <c r="B8029" t="s">
        <v>10</v>
      </c>
      <c r="C8029" t="s">
        <v>20</v>
      </c>
      <c r="D8029" t="str">
        <f>HYPERLINK("https://us2.cloudbeds.com/connect/10074733072513#/reservations/31677797937306?display=Trevor%20Shiell&amp;reservation_id=31677797937306&amp;guest_id=31677792153794", "Trevor Shiell")</f>
        <v>Trevor Shiell</v>
      </c>
      <c r="E8029" t="s">
        <v>6057</v>
      </c>
      <c r="F8029" t="s">
        <v>4803</v>
      </c>
      <c r="G8029">
        <v>141.55000000000001</v>
      </c>
      <c r="H8029">
        <v>153.87</v>
      </c>
      <c r="I8029">
        <v>153.86000000000001</v>
      </c>
      <c r="J8029">
        <v>0.01</v>
      </c>
    </row>
    <row r="8030" spans="1:10" x14ac:dyDescent="0.3">
      <c r="A8030" t="str">
        <f>HYPERLINK("https://us2.cloudbeds.com/connect/10074733072513#/reservations/31679780536544?display=MHB1R2RD7&amp;reservation_id=31679780536544", "MHB1R2RD7")</f>
        <v>MHB1R2RD7</v>
      </c>
      <c r="B8030" t="s">
        <v>10</v>
      </c>
      <c r="C8030" t="s">
        <v>42</v>
      </c>
      <c r="D8030" t="str">
        <f>HYPERLINK("https://us2.cloudbeds.com/connect/10074733072513#/reservations/31679780536544?display=James%20Bedard&amp;reservation_id=31679780536544&amp;guest_id=31679780536541", "James Bedard")</f>
        <v>James Bedard</v>
      </c>
      <c r="E8030" t="s">
        <v>6058</v>
      </c>
      <c r="F8030" t="s">
        <v>5805</v>
      </c>
      <c r="G8030">
        <v>139</v>
      </c>
      <c r="H8030">
        <v>151.1</v>
      </c>
      <c r="I8030">
        <v>151.09</v>
      </c>
      <c r="J8030">
        <v>0.01</v>
      </c>
    </row>
    <row r="8031" spans="1:10" x14ac:dyDescent="0.3">
      <c r="A8031" t="str">
        <f>HYPERLINK("https://us2.cloudbeds.com/connect/10074733072513#/reservations/31677467533513?display=MH98NN3M9&amp;reservation_id=31677467533513", "MH98NN3M9")</f>
        <v>MH98NN3M9</v>
      </c>
      <c r="B8031" t="s">
        <v>10</v>
      </c>
      <c r="C8031" t="s">
        <v>42</v>
      </c>
      <c r="D8031" t="str">
        <f>HYPERLINK("https://us2.cloudbeds.com/connect/10074733072513#/reservations/31677467533513?display=Justin%20Bedard&amp;reservation_id=31677467533513&amp;guest_id=31677467533511", "Justin Bedard")</f>
        <v>Justin Bedard</v>
      </c>
      <c r="E8031" t="s">
        <v>6061</v>
      </c>
      <c r="F8031" t="s">
        <v>5805</v>
      </c>
      <c r="G8031">
        <v>139</v>
      </c>
      <c r="H8031">
        <v>151.1</v>
      </c>
      <c r="I8031">
        <v>151.09</v>
      </c>
      <c r="J8031">
        <v>0.01</v>
      </c>
    </row>
    <row r="8032" spans="1:10" x14ac:dyDescent="0.3">
      <c r="A8032" t="str">
        <f>HYPERLINK("https://us2.cloudbeds.com/connect/10074733072513#/reservations/31677518340231?display=MH9A0HT4Q&amp;reservation_id=31677518340231", "MH9A0HT4Q")</f>
        <v>MH9A0HT4Q</v>
      </c>
      <c r="B8032" t="s">
        <v>10</v>
      </c>
      <c r="C8032" t="s">
        <v>11</v>
      </c>
      <c r="D8032" t="str">
        <f>HYPERLINK("https://us2.cloudbeds.com/connect/10074733072513#/reservations/31677518340231?display=Karla%20Hackett&amp;reservation_id=31677518340231&amp;guest_id=31677518340226", "Karla Hackett")</f>
        <v>Karla Hackett</v>
      </c>
      <c r="E8032" t="s">
        <v>6063</v>
      </c>
      <c r="F8032" t="s">
        <v>4164</v>
      </c>
      <c r="G8032">
        <v>125.76</v>
      </c>
      <c r="H8032">
        <v>136.71</v>
      </c>
      <c r="I8032">
        <v>136.69999999999999</v>
      </c>
      <c r="J8032">
        <v>0.01</v>
      </c>
    </row>
    <row r="8033" spans="1:10" x14ac:dyDescent="0.3">
      <c r="A8033" t="str">
        <f>HYPERLINK("https://us2.cloudbeds.com/connect/10074733072513#/reservations/31677467537610?display=MH98NN7EE&amp;reservation_id=31677467537610", "MH98NN7EE")</f>
        <v>MH98NN7EE</v>
      </c>
      <c r="B8033" t="s">
        <v>10</v>
      </c>
      <c r="C8033" t="s">
        <v>42</v>
      </c>
      <c r="D8033" t="str">
        <f>HYPERLINK("https://us2.cloudbeds.com/connect/10074733072513#/reservations/31677467537610?display=Austin%20Clc&amp;reservation_id=31677467537610&amp;guest_id=31677467537607", "Austin Clc")</f>
        <v>Austin Clc</v>
      </c>
      <c r="E8033" t="s">
        <v>6064</v>
      </c>
      <c r="F8033" t="s">
        <v>5805</v>
      </c>
      <c r="G8033">
        <v>73</v>
      </c>
      <c r="H8033">
        <v>79.36</v>
      </c>
      <c r="I8033">
        <v>79.349999999999994</v>
      </c>
      <c r="J8033">
        <v>0.01</v>
      </c>
    </row>
    <row r="8034" spans="1:10" x14ac:dyDescent="0.3">
      <c r="A8034" t="str">
        <f>HYPERLINK("https://us2.cloudbeds.com/connect/10074733072513#/reservations/31677829079191?display=MH9HVXYHU&amp;reservation_id=31677829079191", "MH9HVXYHU")</f>
        <v>MH9HVXYHU</v>
      </c>
      <c r="B8034" t="s">
        <v>10</v>
      </c>
      <c r="C8034" t="s">
        <v>42</v>
      </c>
      <c r="D8034" t="str">
        <f>HYPERLINK("https://us2.cloudbeds.com/connect/10074733072513#/reservations/31677829079191?display=Autumn%20Diekamp&amp;reservation_id=31677829079191&amp;guest_id=31677829079185", "Autumn Diekamp")</f>
        <v>Autumn Diekamp</v>
      </c>
      <c r="E8034" t="s">
        <v>6066</v>
      </c>
      <c r="F8034" t="s">
        <v>4803</v>
      </c>
      <c r="G8034">
        <v>73</v>
      </c>
      <c r="H8034">
        <v>79.36</v>
      </c>
      <c r="I8034">
        <v>79.349999999999994</v>
      </c>
      <c r="J8034">
        <v>0.01</v>
      </c>
    </row>
    <row r="8035" spans="1:10" x14ac:dyDescent="0.3">
      <c r="A8035" t="str">
        <f>HYPERLINK("https://us2.cloudbeds.com/connect/10074733072513#/reservations/31677814222997?display=MH9HJ18G7&amp;reservation_id=31677814222997", "MH9HJ18G7")</f>
        <v>MH9HJ18G7</v>
      </c>
      <c r="B8035" t="s">
        <v>10</v>
      </c>
      <c r="C8035" t="s">
        <v>11</v>
      </c>
      <c r="D8035" t="str">
        <f>HYPERLINK("https://us2.cloudbeds.com/connect/10074733072513#/reservations/31677814222997?display=Sara%20Hough&amp;reservation_id=31677814222997&amp;guest_id=31677814218916", "Sara Hough")</f>
        <v>Sara Hough</v>
      </c>
      <c r="E8035" t="s">
        <v>6067</v>
      </c>
      <c r="F8035" t="s">
        <v>4803</v>
      </c>
      <c r="G8035">
        <v>87.84</v>
      </c>
      <c r="H8035">
        <v>95.49</v>
      </c>
      <c r="I8035">
        <v>95.48</v>
      </c>
      <c r="J8035">
        <v>0.01</v>
      </c>
    </row>
    <row r="8036" spans="1:10" x14ac:dyDescent="0.3">
      <c r="A8036" t="str">
        <f>HYPERLINK("https://us2.cloudbeds.com/connect/10074733072513#/reservations/31682151182512?display=MHCTD2X3R&amp;reservation_id=31682151182512", "MHCTD2X3R")</f>
        <v>MHCTD2X3R</v>
      </c>
      <c r="B8036" t="s">
        <v>10</v>
      </c>
      <c r="C8036" t="s">
        <v>42</v>
      </c>
      <c r="D8036" t="str">
        <f>HYPERLINK("https://us2.cloudbeds.com/connect/10074733072513#/reservations/31682151182512?display=Corey%20Eaglestaff&amp;reservation_id=31682151182512&amp;guest_id=31682142146787", "Corey Eaglestaff")</f>
        <v>Corey Eaglestaff</v>
      </c>
      <c r="E8036" t="s">
        <v>6068</v>
      </c>
      <c r="F8036" t="s">
        <v>4916</v>
      </c>
      <c r="G8036">
        <v>189</v>
      </c>
      <c r="H8036">
        <v>205.45</v>
      </c>
      <c r="I8036">
        <v>205.44</v>
      </c>
      <c r="J8036">
        <v>0.01</v>
      </c>
    </row>
    <row r="8037" spans="1:10" x14ac:dyDescent="0.3">
      <c r="A8037" t="str">
        <f>HYPERLINK("https://us2.cloudbeds.com/connect/10074733072513#/reservations/31679719493844?display=MHB08K7GE&amp;reservation_id=31679719493844", "MHB08K7GE")</f>
        <v>MHB08K7GE</v>
      </c>
      <c r="B8037" t="s">
        <v>10</v>
      </c>
      <c r="C8037" t="s">
        <v>121</v>
      </c>
      <c r="D8037" t="str">
        <f>HYPERLINK("https://us2.cloudbeds.com/connect/10074733072513#/reservations/31679719493844?display=Thomas%20Alan%20Roos&amp;reservation_id=31679719493844&amp;guest_id=31679719493842", "Thomas Alan Roos")</f>
        <v>Thomas Alan Roos</v>
      </c>
      <c r="E8037" t="s">
        <v>6069</v>
      </c>
      <c r="F8037" t="s">
        <v>5805</v>
      </c>
      <c r="G8037">
        <v>119</v>
      </c>
      <c r="H8037">
        <v>129.36000000000001</v>
      </c>
      <c r="I8037">
        <v>129.35</v>
      </c>
      <c r="J8037">
        <v>0.01</v>
      </c>
    </row>
    <row r="8038" spans="1:10" x14ac:dyDescent="0.3">
      <c r="A8038" t="str">
        <f>HYPERLINK("https://us2.cloudbeds.com/connect/10074733072513#/reservations/31680643150017?display=MHBNSFAKE&amp;reservation_id=31680643150017", "MHBNSFAKE")</f>
        <v>MHBNSFAKE</v>
      </c>
      <c r="B8038" t="s">
        <v>10</v>
      </c>
      <c r="C8038" t="s">
        <v>42</v>
      </c>
      <c r="D8038" t="str">
        <f>HYPERLINK("https://us2.cloudbeds.com/connect/10074733072513#/reservations/31680643150017?display=Christina%20Bennett&amp;reservation_id=31680643150017&amp;guest_id=31680643145925", "Christina Bennett")</f>
        <v>Christina Bennett</v>
      </c>
      <c r="E8038" t="s">
        <v>6070</v>
      </c>
      <c r="F8038" t="s">
        <v>4600</v>
      </c>
      <c r="G8038">
        <v>199</v>
      </c>
      <c r="H8038">
        <v>216.32</v>
      </c>
      <c r="I8038">
        <v>216.31</v>
      </c>
      <c r="J8038">
        <v>0.01</v>
      </c>
    </row>
    <row r="8039" spans="1:10" x14ac:dyDescent="0.3">
      <c r="A8039" t="str">
        <f>HYPERLINK("https://us2.cloudbeds.com/connect/10074733072513#/reservations/31677805269232?display=MH9HBG3G0&amp;reservation_id=31677805269232", "MH9HBG3G0")</f>
        <v>MH9HBG3G0</v>
      </c>
      <c r="B8039" t="s">
        <v>10</v>
      </c>
      <c r="C8039" t="s">
        <v>14</v>
      </c>
      <c r="D8039" t="str">
        <f>HYPERLINK("https://us2.cloudbeds.com/connect/10074733072513#/reservations/31677805269232?display=Richard%20Nasello&amp;reservation_id=31677805269232&amp;guest_id=31677797941400", "Richard Nasello")</f>
        <v>Richard Nasello</v>
      </c>
      <c r="E8039" t="s">
        <v>6071</v>
      </c>
      <c r="F8039" t="s">
        <v>4803</v>
      </c>
      <c r="G8039">
        <v>87.84</v>
      </c>
      <c r="H8039">
        <v>95.49</v>
      </c>
      <c r="I8039">
        <v>95.48</v>
      </c>
      <c r="J8039">
        <v>0.01</v>
      </c>
    </row>
    <row r="8040" spans="1:10" x14ac:dyDescent="0.3">
      <c r="A8040" t="str">
        <f>HYPERLINK("https://us2.cloudbeds.com/connect/10074733072513#/reservations/31677479186588?display=MH990HCCP&amp;reservation_id=31677479186588", "MH990HCCP")</f>
        <v>MH990HCCP</v>
      </c>
      <c r="B8040" t="s">
        <v>10</v>
      </c>
      <c r="C8040" t="s">
        <v>14</v>
      </c>
      <c r="D8040" t="str">
        <f>HYPERLINK("https://us2.cloudbeds.com/connect/10074733072513#/reservations/31677479186588?display=Ron%20Harlow&amp;reservation_id=31677479186588&amp;guest_id=31677479186575", "Ron Harlow")</f>
        <v>Ron Harlow</v>
      </c>
      <c r="E8040" t="s">
        <v>6072</v>
      </c>
      <c r="F8040" t="s">
        <v>5805</v>
      </c>
      <c r="G8040">
        <v>87.84</v>
      </c>
      <c r="H8040">
        <v>95.49</v>
      </c>
      <c r="I8040">
        <v>95.48</v>
      </c>
      <c r="J8040">
        <v>0.01</v>
      </c>
    </row>
    <row r="8041" spans="1:10" x14ac:dyDescent="0.3">
      <c r="A8041" t="str">
        <f>HYPERLINK("https://us2.cloudbeds.com/connect/10074733072513#/reservations/31677808136321?display=MH9HDTPX9&amp;reservation_id=31677808136321", "MH9HDTPX9")</f>
        <v>MH9HDTPX9</v>
      </c>
      <c r="B8041" t="s">
        <v>10</v>
      </c>
      <c r="C8041" t="s">
        <v>20</v>
      </c>
      <c r="D8041" t="str">
        <f>HYPERLINK("https://us2.cloudbeds.com/connect/10074733072513#/reservations/31677808136321?display=Keven%20Vandenbark&amp;reservation_id=31677808136321&amp;guest_id=31677808132234", "Keven Vandenbark")</f>
        <v>Keven Vandenbark</v>
      </c>
      <c r="E8041" t="s">
        <v>6073</v>
      </c>
      <c r="F8041" t="s">
        <v>4803</v>
      </c>
      <c r="G8041">
        <v>141.55000000000001</v>
      </c>
      <c r="H8041">
        <v>153.87</v>
      </c>
      <c r="I8041">
        <v>153.86000000000001</v>
      </c>
      <c r="J8041">
        <v>0.01</v>
      </c>
    </row>
    <row r="8042" spans="1:10" x14ac:dyDescent="0.3">
      <c r="A8042" t="str">
        <f>HYPERLINK("https://us2.cloudbeds.com/connect/10074733072513#/reservations/31683433791620?display=MHDT5K18G&amp;reservation_id=31683433791620", "MHDT5K18G")</f>
        <v>MHDT5K18G</v>
      </c>
      <c r="B8042" t="s">
        <v>10</v>
      </c>
      <c r="C8042" t="s">
        <v>42</v>
      </c>
      <c r="D8042" t="str">
        <f>HYPERLINK("https://us2.cloudbeds.com/connect/10074733072513#/reservations/31683433791620?display=Barbera%20Moore&amp;reservation_id=31683433791620&amp;guest_id=31683426021624", "Barbera Moore")</f>
        <v>Barbera Moore</v>
      </c>
      <c r="E8042" t="s">
        <v>6076</v>
      </c>
      <c r="F8042" t="s">
        <v>5661</v>
      </c>
      <c r="G8042">
        <v>258</v>
      </c>
      <c r="H8042">
        <v>280.45999999999998</v>
      </c>
      <c r="I8042">
        <v>280.45</v>
      </c>
      <c r="J8042">
        <v>0.01</v>
      </c>
    </row>
    <row r="8043" spans="1:10" x14ac:dyDescent="0.3">
      <c r="A8043" t="str">
        <f>HYPERLINK("https://us2.cloudbeds.com/connect/10074733072513#/reservations/31677503770752?display=MH99Y8BM8&amp;reservation_id=31677503770752", "MH99Y8BM8")</f>
        <v>MH99Y8BM8</v>
      </c>
      <c r="B8043" t="s">
        <v>10</v>
      </c>
      <c r="C8043" t="s">
        <v>42</v>
      </c>
      <c r="D8043" t="str">
        <f>HYPERLINK("https://us2.cloudbeds.com/connect/10074733072513#/reservations/31677503770752?display=Brian%20Herrera&amp;reservation_id=31677503770752&amp;guest_id=31677503766659", "Brian Herrera")</f>
        <v>Brian Herrera</v>
      </c>
      <c r="E8043" t="s">
        <v>6077</v>
      </c>
      <c r="F8043" t="s">
        <v>4803</v>
      </c>
      <c r="G8043">
        <v>139</v>
      </c>
      <c r="H8043">
        <v>151.1</v>
      </c>
      <c r="I8043">
        <v>151.09</v>
      </c>
      <c r="J8043">
        <v>0.01</v>
      </c>
    </row>
    <row r="8044" spans="1:10" x14ac:dyDescent="0.3">
      <c r="A8044" t="str">
        <f>HYPERLINK("https://us2.cloudbeds.com/connect/10074733072513#/reservations/31677321408692?display=MH94WFW3D&amp;reservation_id=31677321408692", "MH94WFW3D")</f>
        <v>MH94WFW3D</v>
      </c>
      <c r="B8044" t="s">
        <v>10</v>
      </c>
      <c r="C8044" t="s">
        <v>42</v>
      </c>
      <c r="D8044" t="str">
        <f>HYPERLINK("https://us2.cloudbeds.com/connect/10074733072513#/reservations/31677321408692?display=Aaron%20Kuhs&amp;reservation_id=31677321408692&amp;guest_id=31677314482394", "Aaron Kuhs")</f>
        <v>Aaron Kuhs</v>
      </c>
      <c r="E8044" t="s">
        <v>5919</v>
      </c>
      <c r="F8044" t="s">
        <v>5887</v>
      </c>
      <c r="G8044">
        <v>73</v>
      </c>
      <c r="H8044">
        <v>79.36</v>
      </c>
      <c r="I8044">
        <v>79.349999999999994</v>
      </c>
      <c r="J8044">
        <v>0.01</v>
      </c>
    </row>
    <row r="8045" spans="1:10" x14ac:dyDescent="0.3">
      <c r="A8045" t="str">
        <f>HYPERLINK("https://us2.cloudbeds.com/connect/10074733072513#/reservations/31677338128580?display=MH95DJ7HM&amp;reservation_id=31677338128580", "MH95DJ7HM")</f>
        <v>MH95DJ7HM</v>
      </c>
      <c r="B8045" t="s">
        <v>10</v>
      </c>
      <c r="C8045" t="s">
        <v>11</v>
      </c>
      <c r="D8045" t="str">
        <f>HYPERLINK("https://us2.cloudbeds.com/connect/10074733072513#/reservations/31677338128580?display=Vickie%20Stemper&amp;reservation_id=31677338128580&amp;guest_id=31677338128577", "Vickie Stemper")</f>
        <v>Vickie Stemper</v>
      </c>
      <c r="E8045" t="s">
        <v>6080</v>
      </c>
      <c r="F8045" t="s">
        <v>5887</v>
      </c>
      <c r="G8045">
        <v>87.84</v>
      </c>
      <c r="H8045">
        <v>95.49</v>
      </c>
      <c r="I8045">
        <v>95.48</v>
      </c>
      <c r="J8045">
        <v>0.01</v>
      </c>
    </row>
    <row r="8046" spans="1:10" x14ac:dyDescent="0.3">
      <c r="A8046" t="str">
        <f>HYPERLINK("https://us2.cloudbeds.com/connect/10074733072513#/reservations/31677273485446?display=MH93P2EER&amp;reservation_id=31677273485446", "MH93P2EER")</f>
        <v>MH93P2EER</v>
      </c>
      <c r="B8046" t="s">
        <v>10</v>
      </c>
      <c r="C8046" t="s">
        <v>14</v>
      </c>
      <c r="D8046" t="str">
        <f>HYPERLINK("https://us2.cloudbeds.com/connect/10074733072513#/reservations/31677273485446?display=Spencer%20Peppet&amp;reservation_id=31677273485446&amp;guest_id=31677273481399", "Spencer Peppet")</f>
        <v>Spencer Peppet</v>
      </c>
      <c r="E8046" t="s">
        <v>6081</v>
      </c>
      <c r="F8046" t="s">
        <v>4803</v>
      </c>
      <c r="G8046">
        <v>87.84</v>
      </c>
      <c r="H8046">
        <v>95.49</v>
      </c>
      <c r="I8046">
        <v>95.48</v>
      </c>
      <c r="J8046">
        <v>0.01</v>
      </c>
    </row>
    <row r="8047" spans="1:10" x14ac:dyDescent="0.3">
      <c r="A8047" t="str">
        <f>HYPERLINK("https://us2.cloudbeds.com/connect/10074733072513#/reservations/31678117064839?display=MH9PAD95Z&amp;reservation_id=31678117064839", "MH9PAD95Z")</f>
        <v>MH9PAD95Z</v>
      </c>
      <c r="B8047" t="s">
        <v>10</v>
      </c>
      <c r="C8047" t="s">
        <v>14</v>
      </c>
      <c r="D8047" t="str">
        <f>HYPERLINK("https://us2.cloudbeds.com/connect/10074733072513#/reservations/31678117064839?display=Mark%20Elliott&amp;reservation_id=31678117064839&amp;guest_id=31678117064837", "Mark Elliott")</f>
        <v>Mark Elliott</v>
      </c>
      <c r="E8047" t="s">
        <v>6082</v>
      </c>
      <c r="F8047" t="s">
        <v>5887</v>
      </c>
      <c r="G8047">
        <v>87.84</v>
      </c>
      <c r="H8047">
        <v>95.49</v>
      </c>
      <c r="I8047">
        <v>95.48</v>
      </c>
      <c r="J8047">
        <v>0.01</v>
      </c>
    </row>
    <row r="8048" spans="1:10" x14ac:dyDescent="0.3">
      <c r="A8048" t="str">
        <f>HYPERLINK("https://us2.cloudbeds.com/connect/10074733072513#/reservations/31677444706467?display=MH984EU6K&amp;reservation_id=31677444706467", "MH984EU6K")</f>
        <v>MH984EU6K</v>
      </c>
      <c r="B8048" t="s">
        <v>10</v>
      </c>
      <c r="C8048" t="s">
        <v>121</v>
      </c>
      <c r="D8048" t="str">
        <f>HYPERLINK("https://us2.cloudbeds.com/connect/10074733072513#/reservations/31677444706467?display=Isam%20Morgan&amp;reservation_id=31677444706467&amp;guest_id=31677444702375", "Isam Morgan")</f>
        <v>Isam Morgan</v>
      </c>
      <c r="E8048" t="s">
        <v>6083</v>
      </c>
      <c r="F8048" t="s">
        <v>5887</v>
      </c>
      <c r="G8048">
        <v>139</v>
      </c>
      <c r="H8048">
        <v>151.1</v>
      </c>
      <c r="I8048">
        <v>151.09</v>
      </c>
      <c r="J8048">
        <v>0.01</v>
      </c>
    </row>
    <row r="8049" spans="1:10" x14ac:dyDescent="0.3">
      <c r="A8049" t="str">
        <f>HYPERLINK("https://us2.cloudbeds.com/connect/10074733072513#/reservations/31677293592723?display=MH9490VE8&amp;reservation_id=31677293592723", "MH9490VE8")</f>
        <v>MH9490VE8</v>
      </c>
      <c r="B8049" t="s">
        <v>10</v>
      </c>
      <c r="C8049" t="s">
        <v>11</v>
      </c>
      <c r="D8049" t="str">
        <f>HYPERLINK("https://us2.cloudbeds.com/connect/10074733072513#/reservations/31677293592723?display=Ryan%20Loutsis&amp;reservation_id=31677293592723&amp;guest_id=31677288251579", "Ryan Loutsis")</f>
        <v>Ryan Loutsis</v>
      </c>
      <c r="E8049" t="s">
        <v>6087</v>
      </c>
      <c r="F8049" t="s">
        <v>4803</v>
      </c>
      <c r="G8049">
        <v>87.84</v>
      </c>
      <c r="H8049">
        <v>95.49</v>
      </c>
      <c r="I8049">
        <v>95.48</v>
      </c>
      <c r="J8049">
        <v>0.01</v>
      </c>
    </row>
    <row r="8050" spans="1:10" x14ac:dyDescent="0.3">
      <c r="A8050" t="str">
        <f>HYPERLINK("https://us2.cloudbeds.com/connect/10074733072513#/reservations/31677293596820?display=MH949126D&amp;reservation_id=31677293596820", "MH949126D")</f>
        <v>MH949126D</v>
      </c>
      <c r="B8050" t="s">
        <v>10</v>
      </c>
      <c r="C8050" t="s">
        <v>121</v>
      </c>
      <c r="D8050" t="str">
        <f>HYPERLINK("https://us2.cloudbeds.com/connect/10074733072513#/reservations/31677293596820?display=David%20Reisch&amp;reservation_id=31677293596820&amp;guest_id=31677293596818", "David Reisch")</f>
        <v>David Reisch</v>
      </c>
      <c r="E8050" t="s">
        <v>6088</v>
      </c>
      <c r="F8050" t="s">
        <v>4803</v>
      </c>
      <c r="G8050">
        <v>149</v>
      </c>
      <c r="H8050">
        <v>161.97</v>
      </c>
      <c r="I8050">
        <v>161.96</v>
      </c>
      <c r="J8050">
        <v>0.01</v>
      </c>
    </row>
    <row r="8051" spans="1:10" x14ac:dyDescent="0.3">
      <c r="A8051" t="str">
        <f>HYPERLINK("https://us2.cloudbeds.com/connect/10074733072513#/reservations/31681037390008?display=MHC0UTKQR&amp;reservation_id=31681037390008", "MHC0UTKQR")</f>
        <v>MHC0UTKQR</v>
      </c>
      <c r="B8051" t="s">
        <v>10</v>
      </c>
      <c r="C8051" t="s">
        <v>23</v>
      </c>
      <c r="D8051" t="str">
        <f>HYPERLINK("https://us2.cloudbeds.com/connect/10074733072513#/reservations/31681037390008?display=Kole%20Mastel&amp;reservation_id=31681037390008&amp;guest_id=31681037390003", "Kole Mastel")</f>
        <v>Kole Mastel</v>
      </c>
      <c r="E8051" t="s">
        <v>6089</v>
      </c>
      <c r="F8051" t="s">
        <v>5688</v>
      </c>
      <c r="G8051">
        <v>378</v>
      </c>
      <c r="H8051">
        <v>410.9</v>
      </c>
      <c r="I8051">
        <v>410.89</v>
      </c>
      <c r="J8051">
        <v>0.01</v>
      </c>
    </row>
    <row r="8052" spans="1:10" x14ac:dyDescent="0.3">
      <c r="A8052" t="str">
        <f>HYPERLINK("https://us2.cloudbeds.com/connect/10074733072513#/reservations/31676585939141?display=MH8J6AEQA&amp;reservation_id=31676585939141", "MH8J6AEQA")</f>
        <v>MH8J6AEQA</v>
      </c>
      <c r="B8052" t="s">
        <v>10</v>
      </c>
      <c r="C8052" t="s">
        <v>42</v>
      </c>
      <c r="D8052" t="str">
        <f>HYPERLINK("https://us2.cloudbeds.com/connect/10074733072513#/reservations/31676585939141?display=Teresa%20/%20Dan%20Tiedtke&amp;reservation_id=31676585939141&amp;guest_id=31676585935044", "Teresa / Dan Tiedtke")</f>
        <v>Teresa / Dan Tiedtke</v>
      </c>
      <c r="E8052" t="s">
        <v>6090</v>
      </c>
      <c r="F8052" t="s">
        <v>4530</v>
      </c>
      <c r="G8052">
        <v>398</v>
      </c>
      <c r="H8052">
        <v>432.64</v>
      </c>
      <c r="I8052">
        <v>432.63</v>
      </c>
      <c r="J8052">
        <v>0.01</v>
      </c>
    </row>
    <row r="8053" spans="1:10" x14ac:dyDescent="0.3">
      <c r="A8053" t="str">
        <f>HYPERLINK("https://us2.cloudbeds.com/connect/10074733072513#/reservations/31683411689722?display=MHDSJW0M0&amp;reservation_id=31683411689722", "MHDSJW0M0")</f>
        <v>MHDSJW0M0</v>
      </c>
      <c r="B8053" t="s">
        <v>10</v>
      </c>
      <c r="C8053" t="s">
        <v>42</v>
      </c>
      <c r="D8053" t="str">
        <f>HYPERLINK("https://us2.cloudbeds.com/connect/10074733072513#/reservations/31683411689722?display=Shandra%20Goosen&amp;reservation_id=31683411689722&amp;guest_id=31683411689717", "Shandra Goosen")</f>
        <v>Shandra Goosen</v>
      </c>
      <c r="E8053" t="s">
        <v>6096</v>
      </c>
      <c r="F8053" t="s">
        <v>5140</v>
      </c>
      <c r="G8053">
        <v>139</v>
      </c>
      <c r="H8053">
        <v>151.1</v>
      </c>
      <c r="I8053">
        <v>151.09</v>
      </c>
      <c r="J8053">
        <v>0.01</v>
      </c>
    </row>
    <row r="8054" spans="1:10" x14ac:dyDescent="0.3">
      <c r="A8054" t="str">
        <f>HYPERLINK("https://us2.cloudbeds.com/connect/10074733072513#/reservations/31676132368594?display=MH87JS5U9&amp;reservation_id=31676132368594", "MH87JS5U9")</f>
        <v>MH87JS5U9</v>
      </c>
      <c r="B8054" t="s">
        <v>10</v>
      </c>
      <c r="C8054" t="s">
        <v>11</v>
      </c>
      <c r="D8054" t="str">
        <f>HYPERLINK("https://us2.cloudbeds.com/connect/10074733072513#/reservations/31676132368594?display=Morena%20Cativo&amp;reservation_id=31676132368594&amp;guest_id=31676126503098", "Morena Cativo")</f>
        <v>Morena Cativo</v>
      </c>
      <c r="E8054" t="s">
        <v>6098</v>
      </c>
      <c r="F8054" t="s">
        <v>5469</v>
      </c>
      <c r="G8054">
        <v>125.76</v>
      </c>
      <c r="H8054">
        <v>136.71</v>
      </c>
      <c r="I8054">
        <v>136.69999999999999</v>
      </c>
      <c r="J8054">
        <v>0.01</v>
      </c>
    </row>
    <row r="8055" spans="1:10" x14ac:dyDescent="0.3">
      <c r="A8055" t="str">
        <f>HYPERLINK("https://us2.cloudbeds.com/connect/10074733072513#/reservations/31676175548614?display=MH88N8NWZ&amp;reservation_id=31676175548614", "MH88N8NWZ")</f>
        <v>MH88N8NWZ</v>
      </c>
      <c r="B8055" t="s">
        <v>10</v>
      </c>
      <c r="C8055" t="s">
        <v>11</v>
      </c>
      <c r="D8055" t="str">
        <f>HYPERLINK("https://us2.cloudbeds.com/connect/10074733072513#/reservations/31676175548614?display=Roxann%20Dubois&amp;reservation_id=31676175548614&amp;guest_id=31676175548609", "Roxann Dubois")</f>
        <v>Roxann Dubois</v>
      </c>
      <c r="E8055" t="s">
        <v>6099</v>
      </c>
      <c r="F8055" t="s">
        <v>4164</v>
      </c>
      <c r="G8055">
        <v>169.93</v>
      </c>
      <c r="H8055">
        <v>184.72</v>
      </c>
      <c r="I8055">
        <v>184.71</v>
      </c>
      <c r="J8055">
        <v>0.01</v>
      </c>
    </row>
    <row r="8056" spans="1:10" x14ac:dyDescent="0.3">
      <c r="A8056" t="str">
        <f>HYPERLINK("https://us2.cloudbeds.com/connect/10074733072513#/reservations/31678099882185?display=MH9ZSU4Q8&amp;reservation_id=31678099882185", "MH9ZSU4Q8")</f>
        <v>MH9ZSU4Q8</v>
      </c>
      <c r="B8056" t="s">
        <v>10</v>
      </c>
      <c r="C8056" t="s">
        <v>14</v>
      </c>
      <c r="D8056" t="str">
        <f>HYPERLINK("https://us2.cloudbeds.com/connect/10074733072513#/reservations/31678099882185?display=Shyla%20Hamilton&amp;reservation_id=31678099882185&amp;guest_id=31678099882179", "Shyla Hamilton")</f>
        <v>Shyla Hamilton</v>
      </c>
      <c r="E8056" t="s">
        <v>6100</v>
      </c>
      <c r="F8056" t="s">
        <v>5887</v>
      </c>
      <c r="G8056">
        <v>87.84</v>
      </c>
      <c r="H8056">
        <v>95.49</v>
      </c>
      <c r="I8056">
        <v>95.48</v>
      </c>
      <c r="J8056">
        <v>0.01</v>
      </c>
    </row>
    <row r="8057" spans="1:10" x14ac:dyDescent="0.3">
      <c r="A8057" t="str">
        <f>HYPERLINK("https://us2.cloudbeds.com/connect/10074733072513#/reservations/31680352301304?display=MHBGE70U2&amp;reservation_id=31680352301304", "MHBGE70U2")</f>
        <v>MHBGE70U2</v>
      </c>
      <c r="B8057" t="s">
        <v>10</v>
      </c>
      <c r="C8057" t="s">
        <v>23</v>
      </c>
      <c r="D8057" t="str">
        <f>HYPERLINK("https://us2.cloudbeds.com/connect/10074733072513#/reservations/31680352301304?display=Jami%20Meints&amp;reservation_id=31680352301304&amp;guest_id=31680337240274", "Jami Meints")</f>
        <v>Jami Meints</v>
      </c>
      <c r="E8057" t="s">
        <v>6102</v>
      </c>
      <c r="F8057" t="s">
        <v>5581</v>
      </c>
      <c r="G8057">
        <v>149</v>
      </c>
      <c r="H8057">
        <v>161.97</v>
      </c>
      <c r="I8057">
        <v>161.96</v>
      </c>
      <c r="J8057">
        <v>0.01</v>
      </c>
    </row>
    <row r="8058" spans="1:10" x14ac:dyDescent="0.3">
      <c r="A8058" t="str">
        <f>HYPERLINK("https://us2.cloudbeds.com/connect/10074733072513#/reservations/31681240551599?display=MHC646TZM&amp;reservation_id=31681240551599", "MHC646TZM")</f>
        <v>MHC646TZM</v>
      </c>
      <c r="B8058" t="s">
        <v>10</v>
      </c>
      <c r="C8058" t="s">
        <v>42</v>
      </c>
      <c r="D8058" t="str">
        <f>HYPERLINK("https://us2.cloudbeds.com/connect/10074733072513#/reservations/31681240551599?display=Jill%20Sheehan&amp;reservation_id=31681240551599&amp;guest_id=31681240551588", "Jill Sheehan")</f>
        <v>Jill Sheehan</v>
      </c>
      <c r="E8058" t="s">
        <v>6103</v>
      </c>
      <c r="F8058" t="s">
        <v>4979</v>
      </c>
      <c r="G8058">
        <v>179</v>
      </c>
      <c r="H8058">
        <v>194.58</v>
      </c>
      <c r="I8058">
        <v>194.57</v>
      </c>
      <c r="J8058">
        <v>0.01</v>
      </c>
    </row>
    <row r="8059" spans="1:10" x14ac:dyDescent="0.3">
      <c r="A8059" t="str">
        <f>HYPERLINK("https://us2.cloudbeds.com/connect/10074733072513#/reservations/31678883451010?display=MHABTY3D3&amp;reservation_id=31678883451010", "MHABTY3D3")</f>
        <v>MHABTY3D3</v>
      </c>
      <c r="B8059" t="s">
        <v>10</v>
      </c>
      <c r="C8059" t="s">
        <v>42</v>
      </c>
      <c r="D8059" t="str">
        <f>HYPERLINK("https://us2.cloudbeds.com/connect/10074733072513#/reservations/31678883451010?display=Kris%20Pooch&amp;reservation_id=31678883451010&amp;guest_id=31678872862965", "Kris Pooch")</f>
        <v>Kris Pooch</v>
      </c>
      <c r="E8059" t="s">
        <v>6104</v>
      </c>
      <c r="F8059" t="s">
        <v>5831</v>
      </c>
      <c r="G8059">
        <v>139</v>
      </c>
      <c r="H8059">
        <v>151.1</v>
      </c>
      <c r="I8059">
        <v>151.09</v>
      </c>
      <c r="J8059">
        <v>0.01</v>
      </c>
    </row>
    <row r="8060" spans="1:10" x14ac:dyDescent="0.3">
      <c r="A8060" t="str">
        <f>HYPERLINK("https://us2.cloudbeds.com/connect/10074733072513#/reservations/31681264054453?display=MHC6Z0TQC&amp;reservation_id=31681264054453", "MHC6Z0TQC")</f>
        <v>MHC6Z0TQC</v>
      </c>
      <c r="B8060" t="s">
        <v>10</v>
      </c>
      <c r="C8060" t="s">
        <v>42</v>
      </c>
      <c r="D8060" t="str">
        <f>HYPERLINK("https://us2.cloudbeds.com/connect/10074733072513#/reservations/31681264054453?display=Kathy%20Willis&amp;reservation_id=31681264054453&amp;guest_id=31681264054448", "Kathy Willis")</f>
        <v>Kathy Willis</v>
      </c>
      <c r="E8060" t="s">
        <v>6105</v>
      </c>
      <c r="F8060" t="s">
        <v>5688</v>
      </c>
      <c r="G8060">
        <v>358</v>
      </c>
      <c r="H8060">
        <v>389.16</v>
      </c>
      <c r="I8060">
        <v>389.15</v>
      </c>
      <c r="J8060">
        <v>0.01</v>
      </c>
    </row>
    <row r="8061" spans="1:10" x14ac:dyDescent="0.3">
      <c r="A8061" t="str">
        <f>HYPERLINK("https://us2.cloudbeds.com/connect/10074733072513#/reservations/31678802223326?display=MHA9R4R54&amp;reservation_id=31678802223326", "MHA9R4R54")</f>
        <v>MHA9R4R54</v>
      </c>
      <c r="B8061" t="s">
        <v>10</v>
      </c>
      <c r="C8061" t="s">
        <v>121</v>
      </c>
      <c r="D8061" t="str">
        <f>HYPERLINK("https://us2.cloudbeds.com/connect/10074733072513#/reservations/31678802223326?display=Donald%20Hanser&amp;reservation_id=31678802223326&amp;guest_id=31678802223310", "Donald Hanser")</f>
        <v>Donald Hanser</v>
      </c>
      <c r="E8061" t="s">
        <v>6106</v>
      </c>
      <c r="F8061" t="s">
        <v>5831</v>
      </c>
      <c r="G8061">
        <v>149</v>
      </c>
      <c r="H8061">
        <v>161.97</v>
      </c>
      <c r="I8061">
        <v>161.96</v>
      </c>
      <c r="J8061">
        <v>0.01</v>
      </c>
    </row>
    <row r="8062" spans="1:10" x14ac:dyDescent="0.3">
      <c r="A8062" t="str">
        <f>HYPERLINK("https://us2.cloudbeds.com/connect/10074733072513#/reservations/31682540933334?display=MHD6BNV0Q&amp;reservation_id=31682540933334", "MHD6BNV0Q")</f>
        <v>MHD6BNV0Q</v>
      </c>
      <c r="B8062" t="s">
        <v>10</v>
      </c>
      <c r="C8062" t="s">
        <v>17</v>
      </c>
      <c r="D8062" t="str">
        <f>HYPERLINK("https://us2.cloudbeds.com/connect/10074733072513#/reservations/31682540933334?display=Lisa%20Spence&amp;reservation_id=31682540933334&amp;guest_id=31682540933332", "Lisa Spence")</f>
        <v>Lisa Spence</v>
      </c>
      <c r="E8062" t="s">
        <v>6108</v>
      </c>
      <c r="F8062" t="s">
        <v>4600</v>
      </c>
      <c r="G8062">
        <v>199</v>
      </c>
      <c r="H8062">
        <v>216.32</v>
      </c>
      <c r="I8062">
        <v>216.31</v>
      </c>
      <c r="J8062">
        <v>0.01</v>
      </c>
    </row>
    <row r="8063" spans="1:10" x14ac:dyDescent="0.3">
      <c r="A8063" t="str">
        <f>HYPERLINK("https://us2.cloudbeds.com/connect/10074733072513#/reservations/31681255141595?display=MHC6GGTBP&amp;reservation_id=31681255141595", "MHC6GGTBP")</f>
        <v>MHC6GGTBP</v>
      </c>
      <c r="B8063" t="s">
        <v>10</v>
      </c>
      <c r="C8063" t="s">
        <v>42</v>
      </c>
      <c r="D8063" t="str">
        <f>HYPERLINK("https://us2.cloudbeds.com/connect/10074733072513#/reservations/31681255141595?display=Hannah%20Willis&amp;reservation_id=31681255141595&amp;guest_id=31681247830145", "Hannah Willis")</f>
        <v>Hannah Willis</v>
      </c>
      <c r="E8063" t="s">
        <v>6109</v>
      </c>
      <c r="F8063" t="s">
        <v>5688</v>
      </c>
      <c r="G8063">
        <v>358</v>
      </c>
      <c r="H8063">
        <v>389.16</v>
      </c>
      <c r="I8063">
        <v>389.15</v>
      </c>
      <c r="J8063">
        <v>0.01</v>
      </c>
    </row>
    <row r="8064" spans="1:10" x14ac:dyDescent="0.3">
      <c r="A8064" t="str">
        <f>HYPERLINK("https://us2.cloudbeds.com/connect/10074733072513#/reservations/31678891950316?display=MHAC3QK2R&amp;reservation_id=31678891950316", "MHAC3QK2R")</f>
        <v>MHAC3QK2R</v>
      </c>
      <c r="B8064" t="s">
        <v>10</v>
      </c>
      <c r="C8064" t="s">
        <v>42</v>
      </c>
      <c r="D8064" t="str">
        <f>HYPERLINK("https://us2.cloudbeds.com/connect/10074733072513#/reservations/31678891950316?display=Veronica%20Rudolphi&amp;reservation_id=31678891950316&amp;guest_id=31678883455118", "Veronica Rudolphi")</f>
        <v>Veronica Rudolphi</v>
      </c>
      <c r="E8064" t="s">
        <v>6110</v>
      </c>
      <c r="F8064" t="s">
        <v>5831</v>
      </c>
      <c r="G8064">
        <v>278</v>
      </c>
      <c r="H8064">
        <v>302.2</v>
      </c>
      <c r="I8064">
        <v>302.19</v>
      </c>
      <c r="J8064">
        <v>0.01</v>
      </c>
    </row>
    <row r="8065" spans="1:10" x14ac:dyDescent="0.3">
      <c r="A8065" t="str">
        <f>HYPERLINK("https://us2.cloudbeds.com/connect/10074733072513#/reservations/31682589327584?display=MHD7JHJ67&amp;reservation_id=31682589327584", "MHD7JHJ67")</f>
        <v>MHD7JHJ67</v>
      </c>
      <c r="B8065" t="s">
        <v>10</v>
      </c>
      <c r="C8065" t="s">
        <v>20</v>
      </c>
      <c r="D8065" t="str">
        <f>HYPERLINK("https://us2.cloudbeds.com/connect/10074733072513#/reservations/31682589327584?display=Shawna%20Mcnally&amp;reservation_id=31682589327584&amp;guest_id=31682580312195", "Shawna Mcnally")</f>
        <v>Shawna Mcnally</v>
      </c>
      <c r="E8065" t="s">
        <v>6111</v>
      </c>
      <c r="F8065" t="s">
        <v>4600</v>
      </c>
      <c r="G8065">
        <v>591.6</v>
      </c>
      <c r="H8065">
        <v>643.08000000000004</v>
      </c>
      <c r="I8065">
        <v>643.07000000000005</v>
      </c>
      <c r="J8065">
        <v>0.01</v>
      </c>
    </row>
    <row r="8066" spans="1:10" x14ac:dyDescent="0.3">
      <c r="A8066" t="str">
        <f>HYPERLINK("https://us2.cloudbeds.com/connect/10074733072513#/reservations/31679263609046?display=MHAYK6XGJ&amp;reservation_id=31679263609046", "MHAYK6XGJ")</f>
        <v>MHAYK6XGJ</v>
      </c>
      <c r="B8066" t="s">
        <v>10</v>
      </c>
      <c r="C8066" t="s">
        <v>42</v>
      </c>
      <c r="D8066" t="str">
        <f>HYPERLINK("https://us2.cloudbeds.com/connect/10074733072513#/reservations/31679263609046?display=Stephanie%20Schentzel&amp;reservation_id=31679263609046&amp;guest_id=31679263609042", "Stephanie Schentzel")</f>
        <v>Stephanie Schentzel</v>
      </c>
      <c r="E8066" t="s">
        <v>6113</v>
      </c>
      <c r="F8066" t="s">
        <v>4530</v>
      </c>
      <c r="G8066">
        <v>169</v>
      </c>
      <c r="H8066">
        <v>183.71</v>
      </c>
      <c r="I8066">
        <v>183.7</v>
      </c>
      <c r="J8066">
        <v>0.01</v>
      </c>
    </row>
    <row r="8067" spans="1:10" x14ac:dyDescent="0.3">
      <c r="A8067" t="str">
        <f>HYPERLINK("https://us2.cloudbeds.com/connect/10074733072513#/reservations/31680641503360?display=MHBNJ3EM0&amp;reservation_id=31680641503360", "MHBNJ3EM0")</f>
        <v>MHBNJ3EM0</v>
      </c>
      <c r="B8067" t="s">
        <v>10</v>
      </c>
      <c r="C8067" t="s">
        <v>42</v>
      </c>
      <c r="D8067" t="str">
        <f>HYPERLINK("https://us2.cloudbeds.com/connect/10074733072513#/reservations/31680641503360?display=Scott%20Wood&amp;reservation_id=31680641503360&amp;guest_id=31680632045800", "Scott Wood")</f>
        <v>Scott Wood</v>
      </c>
      <c r="E8067" t="s">
        <v>6114</v>
      </c>
      <c r="F8067" t="s">
        <v>5366</v>
      </c>
      <c r="G8067">
        <v>149</v>
      </c>
      <c r="H8067">
        <v>161.97</v>
      </c>
      <c r="I8067">
        <v>161.96</v>
      </c>
      <c r="J8067">
        <v>0.01</v>
      </c>
    </row>
    <row r="8068" spans="1:10" x14ac:dyDescent="0.3">
      <c r="A8068" t="str">
        <f>HYPERLINK("https://us2.cloudbeds.com/connect/10074733072513#/reservations/31680648163535?display=MHBNWMRD7&amp;reservation_id=31680648163535", "MHBNWMRD7")</f>
        <v>MHBNWMRD7</v>
      </c>
      <c r="B8068" t="s">
        <v>10</v>
      </c>
      <c r="C8068" t="s">
        <v>42</v>
      </c>
      <c r="D8068" t="str">
        <f>HYPERLINK("https://us2.cloudbeds.com/connect/10074733072513#/reservations/31680648163535?display=Kris%20Hurst&amp;reservation_id=31680648163535&amp;guest_id=31680641503421", "Kris Hurst")</f>
        <v>Kris Hurst</v>
      </c>
      <c r="E8068" t="s">
        <v>6115</v>
      </c>
      <c r="F8068" t="s">
        <v>5366</v>
      </c>
      <c r="G8068">
        <v>149</v>
      </c>
      <c r="H8068">
        <v>161.97</v>
      </c>
      <c r="I8068">
        <v>161.96</v>
      </c>
      <c r="J8068">
        <v>0.01</v>
      </c>
    </row>
    <row r="8069" spans="1:10" x14ac:dyDescent="0.3">
      <c r="A8069" t="str">
        <f>HYPERLINK("https://us2.cloudbeds.com/connect/10074733072513#/reservations/31679642202255?display=MHAV9EFM2&amp;reservation_id=31679642202255", "MHAV9EFM2")</f>
        <v>MHAV9EFM2</v>
      </c>
      <c r="B8069" t="s">
        <v>10</v>
      </c>
      <c r="C8069" t="s">
        <v>42</v>
      </c>
      <c r="D8069" t="str">
        <f>HYPERLINK("https://us2.cloudbeds.com/connect/10074733072513#/reservations/31679642202255?display=Robert%20Horkheimer&amp;reservation_id=31679642202255&amp;guest_id=31679636320500", "Robert Horkheimer")</f>
        <v>Robert Horkheimer</v>
      </c>
      <c r="E8069" t="s">
        <v>6116</v>
      </c>
      <c r="F8069" t="s">
        <v>5569</v>
      </c>
      <c r="G8069">
        <v>189</v>
      </c>
      <c r="H8069">
        <v>205.45</v>
      </c>
      <c r="I8069">
        <v>205.44</v>
      </c>
      <c r="J8069">
        <v>0.01</v>
      </c>
    </row>
    <row r="8070" spans="1:10" x14ac:dyDescent="0.3">
      <c r="A8070" t="str">
        <f>HYPERLINK("https://us2.cloudbeds.com/connect/10074733072513#/reservations/31679957831866?display=MHB6BJB0Z&amp;reservation_id=31679957831866", "MHB6BJB0Z")</f>
        <v>MHB6BJB0Z</v>
      </c>
      <c r="B8070" t="s">
        <v>10</v>
      </c>
      <c r="C8070" t="s">
        <v>23</v>
      </c>
      <c r="D8070" t="str">
        <f>HYPERLINK("https://us2.cloudbeds.com/connect/10074733072513#/reservations/31679957831866?display=Cammie%20Sosa&amp;reservation_id=31679957831866&amp;guest_id=31679950418146", "Cammie Sosa")</f>
        <v>Cammie Sosa</v>
      </c>
      <c r="E8070" t="s">
        <v>6118</v>
      </c>
      <c r="F8070" t="s">
        <v>5895</v>
      </c>
      <c r="G8070">
        <v>149</v>
      </c>
      <c r="H8070">
        <v>161.97</v>
      </c>
      <c r="I8070">
        <v>161.96</v>
      </c>
      <c r="J8070">
        <v>0.01</v>
      </c>
    </row>
    <row r="8071" spans="1:10" x14ac:dyDescent="0.3">
      <c r="A8071" t="str">
        <f>HYPERLINK("https://us2.cloudbeds.com/connect/10074733072513#/reservations/31680027717849?display=MHB84H0FQ&amp;reservation_id=31680027717849", "MHB84H0FQ")</f>
        <v>MHB84H0FQ</v>
      </c>
      <c r="B8071" t="s">
        <v>10</v>
      </c>
      <c r="C8071" t="s">
        <v>42</v>
      </c>
      <c r="D8071" t="str">
        <f>HYPERLINK("https://us2.cloudbeds.com/connect/10074733072513#/reservations/31680027717849?display=Kevin%20Mortimer&amp;reservation_id=31680027717849&amp;guest_id=31680027717846", "Kevin Mortimer")</f>
        <v>Kevin Mortimer</v>
      </c>
      <c r="E8071" t="s">
        <v>6119</v>
      </c>
      <c r="F8071" t="s">
        <v>5895</v>
      </c>
      <c r="G8071">
        <v>79</v>
      </c>
      <c r="H8071">
        <v>85.88</v>
      </c>
      <c r="I8071">
        <v>85.87</v>
      </c>
      <c r="J8071">
        <v>0.01</v>
      </c>
    </row>
    <row r="8072" spans="1:10" x14ac:dyDescent="0.3">
      <c r="A8072" t="str">
        <f>HYPERLINK("https://us2.cloudbeds.com/connect/10074733072513#/reservations/31681045807315?display=MHC14WS6Z&amp;reservation_id=31681045807315", "MHC14WS6Z")</f>
        <v>MHC14WS6Z</v>
      </c>
      <c r="B8072" t="s">
        <v>10</v>
      </c>
      <c r="C8072" t="s">
        <v>42</v>
      </c>
      <c r="D8072" t="str">
        <f>HYPERLINK("https://us2.cloudbeds.com/connect/10074733072513#/reservations/31681045807315?display=Paul%20Grant&amp;reservation_id=31681045807315&amp;guest_id=31681037390006", "Paul Grant")</f>
        <v>Paul Grant</v>
      </c>
      <c r="E8072" t="s">
        <v>6120</v>
      </c>
      <c r="F8072" t="s">
        <v>4979</v>
      </c>
      <c r="G8072">
        <v>159</v>
      </c>
      <c r="H8072">
        <v>172.84</v>
      </c>
      <c r="I8072">
        <v>172.83</v>
      </c>
      <c r="J8072">
        <v>0.01</v>
      </c>
    </row>
    <row r="8073" spans="1:10" x14ac:dyDescent="0.3">
      <c r="A8073" t="str">
        <f>HYPERLINK("https://us2.cloudbeds.com/connect/10074733072513#/reservations/31679933632757?display=MHB5Z5VKD&amp;reservation_id=31679933632757", "MHB5Z5VKD")</f>
        <v>MHB5Z5VKD</v>
      </c>
      <c r="B8073" t="s">
        <v>10</v>
      </c>
      <c r="C8073" t="s">
        <v>121</v>
      </c>
      <c r="D8073" t="str">
        <f>HYPERLINK("https://us2.cloudbeds.com/connect/10074733072513#/reservations/31679933632757?display=Paul%20Testerman&amp;reservation_id=31679933632757&amp;guest_id=31679933632752", "Paul Testerman")</f>
        <v>Paul Testerman</v>
      </c>
      <c r="E8073" t="s">
        <v>6121</v>
      </c>
      <c r="F8073" t="s">
        <v>5895</v>
      </c>
      <c r="G8073">
        <v>338</v>
      </c>
      <c r="H8073">
        <v>367.42</v>
      </c>
      <c r="I8073">
        <v>367.41</v>
      </c>
      <c r="J8073">
        <v>0.01</v>
      </c>
    </row>
    <row r="8074" spans="1:10" x14ac:dyDescent="0.3">
      <c r="A8074" t="str">
        <f>HYPERLINK("https://us2.cloudbeds.com/connect/10074733072513#/reservations/31677864710350?display=MH9XSK4N0&amp;reservation_id=31677864710350", "MH9XSK4N0")</f>
        <v>MH9XSK4N0</v>
      </c>
      <c r="B8074" t="s">
        <v>10</v>
      </c>
      <c r="C8074" t="s">
        <v>17</v>
      </c>
      <c r="D8074" t="str">
        <f>HYPERLINK("https://us2.cloudbeds.com/connect/10074733072513#/reservations/31677864710350?display=Travis%20Lemer&amp;reservation_id=31677864710350&amp;guest_id=31677864710345", "Travis Lemer")</f>
        <v>Travis Lemer</v>
      </c>
      <c r="E8074" t="s">
        <v>6122</v>
      </c>
      <c r="F8074" t="s">
        <v>5581</v>
      </c>
      <c r="G8074">
        <v>139</v>
      </c>
      <c r="H8074">
        <v>151.1</v>
      </c>
      <c r="I8074">
        <v>151.09</v>
      </c>
      <c r="J8074">
        <v>0.01</v>
      </c>
    </row>
    <row r="8075" spans="1:10" x14ac:dyDescent="0.3">
      <c r="A8075" t="str">
        <f>HYPERLINK("https://us2.cloudbeds.com/connect/10074733072513#/reservations/31680355557588?display=MHBGGVY2B&amp;reservation_id=31680355557588", "MHBGGVY2B")</f>
        <v>MHBGGVY2B</v>
      </c>
      <c r="B8075" t="s">
        <v>10</v>
      </c>
      <c r="C8075" t="s">
        <v>42</v>
      </c>
      <c r="D8075" t="str">
        <f>HYPERLINK("https://us2.cloudbeds.com/connect/10074733072513#/reservations/31680355557588?display=Karen%20Lemay&amp;reservation_id=31680355557588&amp;guest_id=31680355557585", "Karen Lemay")</f>
        <v>Karen Lemay</v>
      </c>
      <c r="E8075" t="s">
        <v>6125</v>
      </c>
      <c r="F8075" t="s">
        <v>5581</v>
      </c>
      <c r="G8075">
        <v>483.3</v>
      </c>
      <c r="H8075">
        <v>525.36</v>
      </c>
      <c r="I8075">
        <v>525.35</v>
      </c>
      <c r="J8075">
        <v>0.01</v>
      </c>
    </row>
    <row r="8076" spans="1:10" x14ac:dyDescent="0.3">
      <c r="A8076" t="str">
        <f>HYPERLINK("https://us2.cloudbeds.com/connect/10074733072513#/reservations/31680022876292?display=MHB80E9JV&amp;reservation_id=31680022876292", "MHB80E9JV")</f>
        <v>MHB80E9JV</v>
      </c>
      <c r="B8076" t="s">
        <v>10</v>
      </c>
      <c r="C8076" t="s">
        <v>42</v>
      </c>
      <c r="D8076" t="str">
        <f>HYPERLINK("https://us2.cloudbeds.com/connect/10074733072513#/reservations/31680022876292?display=Kevin%20Mortimer&amp;reservation_id=31680022876292&amp;guest_id=31680022876289", "Kevin Mortimer")</f>
        <v>Kevin Mortimer</v>
      </c>
      <c r="E8076" t="s">
        <v>5244</v>
      </c>
      <c r="F8076" t="s">
        <v>5895</v>
      </c>
      <c r="G8076">
        <v>79</v>
      </c>
      <c r="H8076">
        <v>85.88</v>
      </c>
      <c r="I8076">
        <v>85.87</v>
      </c>
      <c r="J8076">
        <v>0.01</v>
      </c>
    </row>
    <row r="8077" spans="1:10" x14ac:dyDescent="0.3">
      <c r="A8077" t="str">
        <f>HYPERLINK("https://us2.cloudbeds.com/connect/10074733072513#/reservations/31681231843547?display=MHC5TSJCA&amp;reservation_id=31681231843547", "MHC5TSJCA")</f>
        <v>MHC5TSJCA</v>
      </c>
      <c r="B8077" t="s">
        <v>10</v>
      </c>
      <c r="C8077" t="s">
        <v>42</v>
      </c>
      <c r="D8077" t="str">
        <f>HYPERLINK("https://us2.cloudbeds.com/connect/10074733072513#/reservations/31681231843547?display=James%20David%20Bellchamber&amp;reservation_id=31681231843547&amp;guest_id=31681231843536", "James David Bellchamber")</f>
        <v>James David Bellchamber</v>
      </c>
      <c r="E8077" t="s">
        <v>6120</v>
      </c>
      <c r="F8077" t="s">
        <v>4979</v>
      </c>
      <c r="G8077">
        <v>159</v>
      </c>
      <c r="H8077">
        <v>172.84</v>
      </c>
      <c r="I8077">
        <v>172.83</v>
      </c>
      <c r="J8077">
        <v>0.01</v>
      </c>
    </row>
    <row r="8078" spans="1:10" x14ac:dyDescent="0.3">
      <c r="A8078" t="str">
        <f>HYPERLINK("https://us2.cloudbeds.com/connect/10074733072513#/reservations/31680019763422?display=MHB7UQM4H&amp;reservation_id=31680019763422", "MHB7UQM4H")</f>
        <v>MHB7UQM4H</v>
      </c>
      <c r="B8078" t="s">
        <v>10</v>
      </c>
      <c r="C8078" t="s">
        <v>11</v>
      </c>
      <c r="D8078" t="str">
        <f>HYPERLINK("https://us2.cloudbeds.com/connect/10074733072513#/reservations/31680019763422?display=Abel%20Barkon&amp;reservation_id=31680019763422&amp;guest_id=31680012210321", "Abel Barkon")</f>
        <v>Abel Barkon</v>
      </c>
      <c r="E8078" t="s">
        <v>6127</v>
      </c>
      <c r="F8078" t="s">
        <v>5895</v>
      </c>
      <c r="G8078">
        <v>87.84</v>
      </c>
      <c r="H8078">
        <v>95.49</v>
      </c>
      <c r="I8078">
        <v>95.48</v>
      </c>
      <c r="J8078">
        <v>0.01</v>
      </c>
    </row>
    <row r="8079" spans="1:10" x14ac:dyDescent="0.3">
      <c r="A8079" t="str">
        <f>HYPERLINK("https://us2.cloudbeds.com/connect/10074733072513#/reservations/31678896750795?display=MHAC7S67T&amp;reservation_id=31678896750795", "MHAC7S67T")</f>
        <v>MHAC7S67T</v>
      </c>
      <c r="B8079" t="s">
        <v>10</v>
      </c>
      <c r="C8079" t="s">
        <v>14</v>
      </c>
      <c r="D8079" t="str">
        <f>HYPERLINK("https://us2.cloudbeds.com/connect/10074733072513#/reservations/31678896750795?display=Charles%20Eckstein&amp;reservation_id=31678896750795&amp;guest_id=31678896746703", "Charles Eckstein")</f>
        <v>Charles Eckstein</v>
      </c>
      <c r="E8079" t="s">
        <v>6128</v>
      </c>
      <c r="F8079" t="s">
        <v>5831</v>
      </c>
      <c r="G8079">
        <v>87.84</v>
      </c>
      <c r="H8079">
        <v>95.49</v>
      </c>
      <c r="I8079">
        <v>95.48</v>
      </c>
      <c r="J8079">
        <v>0.01</v>
      </c>
    </row>
    <row r="8080" spans="1:10" x14ac:dyDescent="0.3">
      <c r="A8080" t="str">
        <f>HYPERLINK("https://us2.cloudbeds.com/connect/10074733072513#/reservations/31678911234302?display=MHACK2721&amp;reservation_id=31678911234302", "MHACK2721")</f>
        <v>MHACK2721</v>
      </c>
      <c r="B8080" t="s">
        <v>10</v>
      </c>
      <c r="C8080" t="s">
        <v>42</v>
      </c>
      <c r="D8080" t="str">
        <f>HYPERLINK("https://us2.cloudbeds.com/connect/10074733072513#/reservations/31678911234302?display=Aaron%20Kuhs&amp;reservation_id=31678911234302&amp;guest_id=31677314482394", "Aaron Kuhs")</f>
        <v>Aaron Kuhs</v>
      </c>
      <c r="E8080" t="s">
        <v>5919</v>
      </c>
      <c r="F8080" t="s">
        <v>5895</v>
      </c>
      <c r="G8080">
        <v>73</v>
      </c>
      <c r="H8080">
        <v>79.36</v>
      </c>
      <c r="I8080">
        <v>79.349999999999994</v>
      </c>
      <c r="J8080">
        <v>0.01</v>
      </c>
    </row>
    <row r="8081" spans="1:10" x14ac:dyDescent="0.3">
      <c r="A8081" t="str">
        <f>HYPERLINK("https://us2.cloudbeds.com/connect/10074733072513#/reservations/31678932820109?display=MHAD58SZC&amp;reservation_id=31678932820109", "MHAD58SZC")</f>
        <v>MHAD58SZC</v>
      </c>
      <c r="B8081" t="s">
        <v>10</v>
      </c>
      <c r="C8081" t="s">
        <v>42</v>
      </c>
      <c r="D8081" t="str">
        <f>HYPERLINK("https://us2.cloudbeds.com/connect/10074733072513#/reservations/31678932820109?display=Dale%20Bradway%20A.&amp;reservation_id=31678932820109&amp;guest_id=31678925287663", "Dale Bradway A.")</f>
        <v>Dale Bradway A.</v>
      </c>
      <c r="E8081" t="s">
        <v>6130</v>
      </c>
      <c r="F8081" t="s">
        <v>5895</v>
      </c>
      <c r="G8081">
        <v>198</v>
      </c>
      <c r="H8081">
        <v>215.24</v>
      </c>
      <c r="I8081">
        <v>215.23</v>
      </c>
      <c r="J8081">
        <v>0.01</v>
      </c>
    </row>
    <row r="8082" spans="1:10" x14ac:dyDescent="0.3">
      <c r="A8082" t="str">
        <f>HYPERLINK("https://us2.cloudbeds.com/connect/10074733072513#/reservations/31678957138074?display=MHADPPX9E&amp;reservation_id=31678957138074", "MHADPPX9E")</f>
        <v>MHADPPX9E</v>
      </c>
      <c r="B8082" t="s">
        <v>10</v>
      </c>
      <c r="C8082" t="s">
        <v>11</v>
      </c>
      <c r="D8082" t="str">
        <f>HYPERLINK("https://us2.cloudbeds.com/connect/10074733072513#/reservations/31678957138074?display=Margie%20Kainz&amp;reservation_id=31678957138074&amp;guest_id=31678957138056", "Margie Kainz")</f>
        <v>Margie Kainz</v>
      </c>
      <c r="E8082" t="s">
        <v>6133</v>
      </c>
      <c r="F8082" t="s">
        <v>5048</v>
      </c>
      <c r="G8082">
        <v>106.8</v>
      </c>
      <c r="H8082">
        <v>116.1</v>
      </c>
      <c r="I8082">
        <v>116.09</v>
      </c>
      <c r="J8082">
        <v>0.01</v>
      </c>
    </row>
    <row r="8083" spans="1:10" x14ac:dyDescent="0.3">
      <c r="A8083" t="str">
        <f>HYPERLINK("https://us2.cloudbeds.com/connect/10074733072513#/reservations/31678979276962?display=MHAEBEJRR&amp;reservation_id=31678979276962", "MHAEBEJRR")</f>
        <v>MHAEBEJRR</v>
      </c>
      <c r="B8083" t="s">
        <v>10</v>
      </c>
      <c r="C8083" t="s">
        <v>42</v>
      </c>
      <c r="D8083" t="str">
        <f>HYPERLINK("https://us2.cloudbeds.com/connect/10074733072513#/reservations/31678979276962?display=Dawn%20Matlock&amp;reservation_id=31678979276962&amp;guest_id=31678979276945", "Dawn Matlock")</f>
        <v>Dawn Matlock</v>
      </c>
      <c r="E8083" t="s">
        <v>2960</v>
      </c>
      <c r="F8083" t="s">
        <v>4530</v>
      </c>
      <c r="G8083">
        <v>331.2</v>
      </c>
      <c r="H8083">
        <v>360.02</v>
      </c>
      <c r="I8083">
        <v>360.01</v>
      </c>
      <c r="J8083">
        <v>0.01</v>
      </c>
    </row>
    <row r="8084" spans="1:10" x14ac:dyDescent="0.3">
      <c r="A8084" t="str">
        <f>HYPERLINK("https://us2.cloudbeds.com/connect/10074733072513#/reservations/31678041497767?display=MH9NCMGUF&amp;reservation_id=31678041497767", "MH9NCMGUF")</f>
        <v>MH9NCMGUF</v>
      </c>
      <c r="B8084" t="s">
        <v>10</v>
      </c>
      <c r="C8084" t="s">
        <v>20</v>
      </c>
      <c r="D8084" t="str">
        <f>HYPERLINK("https://us2.cloudbeds.com/connect/10074733072513#/reservations/31678041497767?display=Victoria%20Campbell&amp;reservation_id=31678041497767&amp;guest_id=31678028173510", "Victoria Campbell")</f>
        <v>Victoria Campbell</v>
      </c>
      <c r="E8084" t="s">
        <v>6134</v>
      </c>
      <c r="F8084" t="s">
        <v>5048</v>
      </c>
      <c r="G8084">
        <v>169</v>
      </c>
      <c r="H8084">
        <v>183.71</v>
      </c>
      <c r="I8084">
        <v>183.7</v>
      </c>
      <c r="J8084">
        <v>0.01</v>
      </c>
    </row>
    <row r="8085" spans="1:10" x14ac:dyDescent="0.3">
      <c r="A8085" t="str">
        <f>HYPERLINK("https://us2.cloudbeds.com/connect/10074733072513#/reservations/31677905408156?display=MH9JTUKDS&amp;reservation_id=31677905408156", "MH9JTUKDS")</f>
        <v>MH9JTUKDS</v>
      </c>
      <c r="B8085" t="s">
        <v>10</v>
      </c>
      <c r="C8085" t="s">
        <v>42</v>
      </c>
      <c r="D8085" t="str">
        <f>HYPERLINK("https://us2.cloudbeds.com/connect/10074733072513#/reservations/31677905408156?display=Dustin%20Gordon&amp;reservation_id=31677905408156&amp;guest_id=31677905408144", "Dustin Gordon")</f>
        <v>Dustin Gordon</v>
      </c>
      <c r="E8085" t="s">
        <v>6135</v>
      </c>
      <c r="F8085" t="s">
        <v>5581</v>
      </c>
      <c r="G8085">
        <v>139</v>
      </c>
      <c r="H8085">
        <v>151.1</v>
      </c>
      <c r="I8085">
        <v>151.09</v>
      </c>
      <c r="J8085">
        <v>0.01</v>
      </c>
    </row>
    <row r="8086" spans="1:10" x14ac:dyDescent="0.3">
      <c r="A8086" t="str">
        <f>HYPERLINK("https://us2.cloudbeds.com/connect/10074733072513#/reservations/31680293580953?display=MHBEUN1XG&amp;reservation_id=31680293580953", "MHBEUN1XG")</f>
        <v>MHBEUN1XG</v>
      </c>
      <c r="B8086" t="s">
        <v>10</v>
      </c>
      <c r="C8086" t="s">
        <v>121</v>
      </c>
      <c r="D8086" t="str">
        <f>HYPERLINK("https://us2.cloudbeds.com/connect/10074733072513#/reservations/31680293580953?display=Cody%20Weaver&amp;reservation_id=31680293580953&amp;guest_id=31680293580948", "Cody Weaver")</f>
        <v>Cody Weaver</v>
      </c>
      <c r="E8086" t="s">
        <v>6136</v>
      </c>
      <c r="F8086" t="s">
        <v>6137</v>
      </c>
      <c r="G8086">
        <v>129</v>
      </c>
      <c r="H8086">
        <v>140.22999999999999</v>
      </c>
      <c r="I8086">
        <v>140.22</v>
      </c>
      <c r="J8086">
        <v>0.01</v>
      </c>
    </row>
    <row r="8087" spans="1:10" x14ac:dyDescent="0.3">
      <c r="A8087" t="str">
        <f>HYPERLINK("https://us2.cloudbeds.com/connect/10074733072513#/reservations/31677850923219?display=MH9XGWGB5&amp;reservation_id=31677850923219", "MH9XGWGB5")</f>
        <v>MH9XGWGB5</v>
      </c>
      <c r="B8087" t="s">
        <v>10</v>
      </c>
      <c r="C8087" t="s">
        <v>17</v>
      </c>
      <c r="D8087" t="str">
        <f>HYPERLINK("https://us2.cloudbeds.com/connect/10074733072513#/reservations/31677850923219?display=Lonnie%20Zelinske&amp;reservation_id=31677850923219&amp;guest_id=31677850919138", "Lonnie Zelinske")</f>
        <v>Lonnie Zelinske</v>
      </c>
      <c r="E8087" t="s">
        <v>5770</v>
      </c>
      <c r="F8087" t="s">
        <v>5581</v>
      </c>
      <c r="G8087">
        <v>139</v>
      </c>
      <c r="H8087">
        <v>151.1</v>
      </c>
      <c r="I8087">
        <v>151.09</v>
      </c>
      <c r="J8087">
        <v>0.01</v>
      </c>
    </row>
    <row r="8088" spans="1:10" x14ac:dyDescent="0.3">
      <c r="A8088" t="str">
        <f>HYPERLINK("https://us2.cloudbeds.com/connect/10074733072513#/reservations/31680267317489?display=MHBE8X7GV&amp;reservation_id=31680267317489", "MHBE8X7GV")</f>
        <v>MHBE8X7GV</v>
      </c>
      <c r="B8088" t="s">
        <v>10</v>
      </c>
      <c r="C8088" t="s">
        <v>121</v>
      </c>
      <c r="D8088" t="str">
        <f>HYPERLINK("https://us2.cloudbeds.com/connect/10074733072513#/reservations/31680267317489?display=Anthony%20Joseph%20Ries&amp;reservation_id=31680267317489&amp;guest_id=31680267317484", "Anthony Joseph Ries")</f>
        <v>Anthony Joseph Ries</v>
      </c>
      <c r="E8088" t="s">
        <v>6138</v>
      </c>
      <c r="F8088" t="s">
        <v>6137</v>
      </c>
      <c r="G8088">
        <v>129</v>
      </c>
      <c r="H8088">
        <v>140.22999999999999</v>
      </c>
      <c r="I8088">
        <v>140.22</v>
      </c>
      <c r="J8088">
        <v>0.01</v>
      </c>
    </row>
    <row r="8089" spans="1:10" x14ac:dyDescent="0.3">
      <c r="A8089" t="str">
        <f>HYPERLINK("https://us2.cloudbeds.com/connect/10074733072513#/reservations/31680682102961?display=MHBZSA82M&amp;reservation_id=31680682102961", "MHBZSA82M")</f>
        <v>MHBZSA82M</v>
      </c>
      <c r="B8089" t="s">
        <v>10</v>
      </c>
      <c r="C8089" t="s">
        <v>20</v>
      </c>
      <c r="D8089" t="str">
        <f>HYPERLINK("https://us2.cloudbeds.com/connect/10074733072513#/reservations/31680682102961?display=Mark%20Scheepstra&amp;reservation_id=31680682102961&amp;guest_id=31680682102957", "Mark Scheepstra")</f>
        <v>Mark Scheepstra</v>
      </c>
      <c r="E8089" t="s">
        <v>6139</v>
      </c>
      <c r="F8089" t="s">
        <v>4600</v>
      </c>
      <c r="G8089">
        <v>199</v>
      </c>
      <c r="H8089">
        <v>216.32</v>
      </c>
      <c r="I8089">
        <v>216.31</v>
      </c>
      <c r="J8089">
        <v>0.01</v>
      </c>
    </row>
    <row r="8090" spans="1:10" x14ac:dyDescent="0.3">
      <c r="A8090" t="str">
        <f>HYPERLINK("https://us2.cloudbeds.com/connect/10074733072513#/reservations/31677835976944?display=MH9X4CJXZ&amp;reservation_id=31677835976944", "MH9X4CJXZ")</f>
        <v>MH9X4CJXZ</v>
      </c>
      <c r="B8090" t="s">
        <v>10</v>
      </c>
      <c r="C8090" t="s">
        <v>42</v>
      </c>
      <c r="D8090" t="str">
        <f>HYPERLINK("https://us2.cloudbeds.com/connect/10074733072513#/reservations/31677835976944?display=Brad%20Notestein&amp;reservation_id=31677835976944&amp;guest_id=31677835976939", "Brad Notestein")</f>
        <v>Brad Notestein</v>
      </c>
      <c r="E8090" t="s">
        <v>6033</v>
      </c>
      <c r="F8090" t="s">
        <v>6137</v>
      </c>
      <c r="G8090">
        <v>159</v>
      </c>
      <c r="H8090">
        <v>172.84</v>
      </c>
      <c r="I8090">
        <v>172.83</v>
      </c>
      <c r="J8090">
        <v>0.01</v>
      </c>
    </row>
    <row r="8091" spans="1:10" x14ac:dyDescent="0.3">
      <c r="A8091" t="str">
        <f>HYPERLINK("https://us2.cloudbeds.com/connect/10074733072513#/reservations/31689410166991?display=MHXGT1G8F&amp;reservation_id=31689410166991", "MHXGT1G8F")</f>
        <v>MHXGT1G8F</v>
      </c>
      <c r="B8091" t="s">
        <v>10</v>
      </c>
      <c r="C8091" t="s">
        <v>42</v>
      </c>
      <c r="D8091" t="str">
        <f>HYPERLINK("https://us2.cloudbeds.com/connect/10074733072513#/reservations/31689410166991?display=Katy%20Cox&amp;reservation_id=31689410166991&amp;guest_id=31689410166979", "Katy Cox")</f>
        <v>Katy Cox</v>
      </c>
      <c r="E8091" t="s">
        <v>6140</v>
      </c>
      <c r="F8091" t="s">
        <v>4868</v>
      </c>
      <c r="G8091">
        <v>278</v>
      </c>
      <c r="H8091">
        <v>302.2</v>
      </c>
      <c r="I8091">
        <v>302.19</v>
      </c>
      <c r="J8091">
        <v>0.01</v>
      </c>
    </row>
    <row r="8092" spans="1:10" x14ac:dyDescent="0.3">
      <c r="A8092" t="str">
        <f>HYPERLINK("https://us2.cloudbeds.com/connect/10074733072513#/reservations/31680671486102?display=MHBZJBQTM&amp;reservation_id=31680671486102", "MHBZJBQTM")</f>
        <v>MHBZJBQTM</v>
      </c>
      <c r="B8092" t="s">
        <v>10</v>
      </c>
      <c r="C8092" t="s">
        <v>20</v>
      </c>
      <c r="D8092" t="str">
        <f>HYPERLINK("https://us2.cloudbeds.com/connect/10074733072513#/reservations/31680671486102?display=Traci%20Scheepstra&amp;reservation_id=31680671486102&amp;guest_id=31680671481996", "Traci Scheepstra")</f>
        <v>Traci Scheepstra</v>
      </c>
      <c r="E8092" t="s">
        <v>6139</v>
      </c>
      <c r="F8092" t="s">
        <v>4600</v>
      </c>
      <c r="G8092">
        <v>199</v>
      </c>
      <c r="H8092">
        <v>216.32</v>
      </c>
      <c r="I8092">
        <v>216.31</v>
      </c>
      <c r="J8092">
        <v>0.01</v>
      </c>
    </row>
    <row r="8093" spans="1:10" x14ac:dyDescent="0.3">
      <c r="A8093" t="str">
        <f>HYPERLINK("https://us2.cloudbeds.com/connect/10074733072513#/reservations/31680305725618?display=MHBF7UWMY&amp;reservation_id=31680305725618", "MHBF7UWMY")</f>
        <v>MHBF7UWMY</v>
      </c>
      <c r="B8093" t="s">
        <v>10</v>
      </c>
      <c r="C8093" t="s">
        <v>17</v>
      </c>
      <c r="D8093" t="str">
        <f>HYPERLINK("https://us2.cloudbeds.com/connect/10074733072513#/reservations/31680305725618?display=Wade%20Thurber&amp;reservation_id=31680305725618&amp;guest_id=31680305725613", "Wade Thurber")</f>
        <v>Wade Thurber</v>
      </c>
      <c r="E8093" t="s">
        <v>6143</v>
      </c>
      <c r="F8093" t="s">
        <v>6137</v>
      </c>
      <c r="G8093">
        <v>139</v>
      </c>
      <c r="H8093">
        <v>151.1</v>
      </c>
      <c r="I8093">
        <v>151.09</v>
      </c>
      <c r="J8093">
        <v>0.01</v>
      </c>
    </row>
    <row r="8094" spans="1:10" x14ac:dyDescent="0.3">
      <c r="A8094" t="str">
        <f>HYPERLINK("https://us2.cloudbeds.com/connect/10074733072513#/reservations/31682615029936?display=MHD886PWC&amp;reservation_id=31682615029936", "MHD886PWC")</f>
        <v>MHD886PWC</v>
      </c>
      <c r="B8094" t="s">
        <v>10</v>
      </c>
      <c r="C8094" t="s">
        <v>42</v>
      </c>
      <c r="D8094" t="str">
        <f>HYPERLINK("https://us2.cloudbeds.com/connect/10074733072513#/reservations/31682615029936?display=Katie%20Hofer&amp;reservation_id=31682615029936&amp;guest_id=31682615029931", "Katie Hofer")</f>
        <v>Katie Hofer</v>
      </c>
      <c r="E8094" t="s">
        <v>6144</v>
      </c>
      <c r="F8094" t="s">
        <v>4600</v>
      </c>
      <c r="G8094">
        <v>298</v>
      </c>
      <c r="H8094">
        <v>323.94</v>
      </c>
      <c r="I8094">
        <v>323.93</v>
      </c>
      <c r="J8094">
        <v>0.01</v>
      </c>
    </row>
    <row r="8095" spans="1:10" x14ac:dyDescent="0.3">
      <c r="A8095" t="str">
        <f>HYPERLINK("https://us2.cloudbeds.com/connect/10074733072513#/reservations/31678055968915?display=MH9NZT6D3&amp;reservation_id=31678055968915", "MH9NZT6D3")</f>
        <v>MH9NZT6D3</v>
      </c>
      <c r="B8095" t="s">
        <v>10</v>
      </c>
      <c r="C8095" t="s">
        <v>20</v>
      </c>
      <c r="D8095" t="str">
        <f>HYPERLINK("https://us2.cloudbeds.com/connect/10074733072513#/reservations/31678055968915?display=Ben%20Schoen&amp;reservation_id=31678055968915&amp;guest_id=31678055964823", "Ben Schoen")</f>
        <v>Ben Schoen</v>
      </c>
      <c r="E8095" t="s">
        <v>6145</v>
      </c>
      <c r="F8095" t="s">
        <v>5048</v>
      </c>
      <c r="G8095">
        <v>199</v>
      </c>
      <c r="H8095">
        <v>216.32</v>
      </c>
      <c r="I8095">
        <v>216.31</v>
      </c>
      <c r="J8095">
        <v>0.01</v>
      </c>
    </row>
    <row r="8096" spans="1:10" x14ac:dyDescent="0.3">
      <c r="A8096" t="str">
        <f>HYPERLINK("https://us2.cloudbeds.com/connect/10074733072513#/reservations/31678048514301?display=MH9NXJP0N&amp;reservation_id=31678048514301", "MH9NXJP0N")</f>
        <v>MH9NXJP0N</v>
      </c>
      <c r="B8096" t="s">
        <v>10</v>
      </c>
      <c r="C8096" t="s">
        <v>23</v>
      </c>
      <c r="D8096" t="str">
        <f>HYPERLINK("https://us2.cloudbeds.com/connect/10074733072513#/reservations/31678048514301?display=Brenda%20Byrne&amp;reservation_id=31678048514301&amp;guest_id=31678048514241", "Brenda Byrne")</f>
        <v>Brenda Byrne</v>
      </c>
      <c r="E8096" t="s">
        <v>6146</v>
      </c>
      <c r="F8096" t="s">
        <v>5048</v>
      </c>
      <c r="G8096">
        <v>169</v>
      </c>
      <c r="H8096">
        <v>183.71</v>
      </c>
      <c r="I8096">
        <v>183.7</v>
      </c>
      <c r="J8096">
        <v>0.01</v>
      </c>
    </row>
    <row r="8097" spans="1:10" x14ac:dyDescent="0.3">
      <c r="A8097" t="str">
        <f>HYPERLINK("https://us2.cloudbeds.com/connect/10074733072513#/reservations/31680485064845?display=MHBJR5C5M&amp;reservation_id=31680485064845", "MHBJR5C5M")</f>
        <v>MHBJR5C5M</v>
      </c>
      <c r="B8097" t="s">
        <v>10</v>
      </c>
      <c r="C8097" t="s">
        <v>42</v>
      </c>
      <c r="D8097" t="str">
        <f>HYPERLINK("https://us2.cloudbeds.com/connect/10074733072513#/reservations/31680485064845?display=Liz%20Eggers&amp;reservation_id=31680485064845&amp;guest_id=31680485064834", "Liz Eggers")</f>
        <v>Liz Eggers</v>
      </c>
      <c r="E8097" t="s">
        <v>6147</v>
      </c>
      <c r="F8097" t="s">
        <v>6148</v>
      </c>
      <c r="G8097">
        <v>149</v>
      </c>
      <c r="H8097">
        <v>161.97</v>
      </c>
      <c r="I8097">
        <v>161.96</v>
      </c>
      <c r="J8097">
        <v>0.01</v>
      </c>
    </row>
    <row r="8098" spans="1:10" x14ac:dyDescent="0.3">
      <c r="A8098" t="str">
        <f>HYPERLINK("https://us2.cloudbeds.com/connect/10074733072513#/reservations/31678028169419?display=MH9N1EKS4&amp;reservation_id=31678028169419", "MH9N1EKS4")</f>
        <v>MH9N1EKS4</v>
      </c>
      <c r="B8098" t="s">
        <v>10</v>
      </c>
      <c r="C8098" t="s">
        <v>23</v>
      </c>
      <c r="D8098" t="str">
        <f>HYPERLINK("https://us2.cloudbeds.com/connect/10074733072513#/reservations/31678028169419?display=Chris%20Carlsen&amp;reservation_id=31678028169419&amp;guest_id=31678028169417", "Chris Carlsen")</f>
        <v>Chris Carlsen</v>
      </c>
      <c r="E8098" t="s">
        <v>6149</v>
      </c>
      <c r="F8098" t="s">
        <v>5048</v>
      </c>
      <c r="G8098">
        <v>179</v>
      </c>
      <c r="H8098">
        <v>194.58</v>
      </c>
      <c r="I8098">
        <v>194.57</v>
      </c>
      <c r="J8098">
        <v>0.01</v>
      </c>
    </row>
    <row r="8099" spans="1:10" x14ac:dyDescent="0.3">
      <c r="A8099" t="str">
        <f>HYPERLINK("https://us2.cloudbeds.com/connect/10074733072513#/reservations/31682607730893?display=MHD821MF8&amp;reservation_id=31682607730893", "MHD821MF8")</f>
        <v>MHD821MF8</v>
      </c>
      <c r="B8099" t="s">
        <v>10</v>
      </c>
      <c r="C8099" t="s">
        <v>42</v>
      </c>
      <c r="D8099" t="str">
        <f>HYPERLINK("https://us2.cloudbeds.com/connect/10074733072513#/reservations/31682607730893?display=Liz%20Wortmann&amp;reservation_id=31682607730893&amp;guest_id=31682607730888", "Liz Wortmann")</f>
        <v>Liz Wortmann</v>
      </c>
      <c r="E8099" t="s">
        <v>6150</v>
      </c>
      <c r="F8099" t="s">
        <v>4600</v>
      </c>
      <c r="G8099">
        <v>298</v>
      </c>
      <c r="H8099">
        <v>323.94</v>
      </c>
      <c r="I8099">
        <v>323.93</v>
      </c>
      <c r="J8099">
        <v>0.01</v>
      </c>
    </row>
    <row r="8100" spans="1:10" x14ac:dyDescent="0.3">
      <c r="A8100" t="str">
        <f>HYPERLINK("https://us2.cloudbeds.com/connect/10074733072513#/reservations/31688185340103?display=MHHXJ7T05&amp;reservation_id=31688185340103", "MHHXJ7T05")</f>
        <v>MHHXJ7T05</v>
      </c>
      <c r="B8100" t="s">
        <v>10</v>
      </c>
      <c r="C8100" t="s">
        <v>42</v>
      </c>
      <c r="D8100" t="str">
        <f>HYPERLINK("https://us2.cloudbeds.com/connect/10074733072513#/reservations/31688185340103?display=Suzette%20Collier&amp;reservation_id=31688185340103&amp;guest_id=31688185336018", "Suzette Collier")</f>
        <v>Suzette Collier</v>
      </c>
      <c r="E8100" t="s">
        <v>6151</v>
      </c>
      <c r="F8100" t="s">
        <v>4868</v>
      </c>
      <c r="G8100">
        <v>278</v>
      </c>
      <c r="H8100">
        <v>302.2</v>
      </c>
      <c r="I8100">
        <v>302.19</v>
      </c>
      <c r="J8100">
        <v>0.01</v>
      </c>
    </row>
    <row r="8101" spans="1:10" x14ac:dyDescent="0.3">
      <c r="A8101" t="str">
        <f>HYPERLINK("https://us2.cloudbeds.com/connect/10074733072513#/reservations/31682594025682?display=MHD7NGAAR&amp;reservation_id=31682594025682", "MHD7NGAAR")</f>
        <v>MHD7NGAAR</v>
      </c>
      <c r="B8101" t="s">
        <v>10</v>
      </c>
      <c r="C8101" t="s">
        <v>42</v>
      </c>
      <c r="D8101" t="str">
        <f>HYPERLINK("https://us2.cloudbeds.com/connect/10074733072513#/reservations/31682594025682?display=Randi%20Kindle&amp;reservation_id=31682594025682&amp;guest_id=31682594025677", "Randi Kindle")</f>
        <v>Randi Kindle</v>
      </c>
      <c r="E8101" t="s">
        <v>6153</v>
      </c>
      <c r="F8101" t="s">
        <v>4600</v>
      </c>
      <c r="G8101">
        <v>298</v>
      </c>
      <c r="H8101">
        <v>323.94</v>
      </c>
      <c r="I8101">
        <v>323.93</v>
      </c>
      <c r="J8101">
        <v>0.01</v>
      </c>
    </row>
    <row r="8102" spans="1:10" x14ac:dyDescent="0.3">
      <c r="A8102" t="str">
        <f>HYPERLINK("https://us2.cloudbeds.com/connect/10074733072513#/reservations/31680392851627?display=MHBHFDD6Z&amp;reservation_id=31680392851627", "MHBHFDD6Z")</f>
        <v>MHBHFDD6Z</v>
      </c>
      <c r="B8102" t="s">
        <v>10</v>
      </c>
      <c r="C8102" t="s">
        <v>42</v>
      </c>
      <c r="D8102" t="str">
        <f>HYPERLINK("https://us2.cloudbeds.com/connect/10074733072513#/reservations/31680392851627?display=Deborah%20Hubley&amp;reservation_id=31680392851627&amp;guest_id=31680387711194", "Deborah Hubley")</f>
        <v>Deborah Hubley</v>
      </c>
      <c r="E8102" t="s">
        <v>6155</v>
      </c>
      <c r="F8102" t="s">
        <v>5581</v>
      </c>
      <c r="G8102">
        <v>139</v>
      </c>
      <c r="H8102">
        <v>151.1</v>
      </c>
      <c r="I8102">
        <v>151.09</v>
      </c>
      <c r="J8102">
        <v>0.01</v>
      </c>
    </row>
    <row r="8103" spans="1:10" x14ac:dyDescent="0.3">
      <c r="A8103" t="str">
        <f>HYPERLINK("https://us2.cloudbeds.com/connect/10074733072513#/reservations/31680499826885?display=MHBK6K4P7&amp;reservation_id=31680499826885", "MHBK6K4P7")</f>
        <v>MHBK6K4P7</v>
      </c>
      <c r="B8103" t="s">
        <v>10</v>
      </c>
      <c r="C8103" t="s">
        <v>42</v>
      </c>
      <c r="D8103" t="str">
        <f>HYPERLINK("https://us2.cloudbeds.com/connect/10074733072513#/reservations/31680499826885?display=Karlie%20Mcnally&amp;reservation_id=31680499826885&amp;guest_id=31680494538966", "Karlie Mcnally")</f>
        <v>Karlie Mcnally</v>
      </c>
      <c r="E8103" t="s">
        <v>6156</v>
      </c>
      <c r="F8103" t="s">
        <v>6148</v>
      </c>
      <c r="G8103">
        <v>149</v>
      </c>
      <c r="H8103">
        <v>161.97</v>
      </c>
      <c r="I8103">
        <v>161.96</v>
      </c>
      <c r="J8103">
        <v>0.01</v>
      </c>
    </row>
    <row r="8104" spans="1:10" x14ac:dyDescent="0.3">
      <c r="A8104" t="str">
        <f>HYPERLINK("https://us2.cloudbeds.com/connect/10074733072513#/reservations/31677968900233?display=MH9YHFCH6&amp;reservation_id=31677968900233", "MH9YHFCH6")</f>
        <v>MH9YHFCH6</v>
      </c>
      <c r="B8104" t="s">
        <v>10</v>
      </c>
      <c r="C8104" t="s">
        <v>14</v>
      </c>
      <c r="D8104" t="str">
        <f>HYPERLINK("https://us2.cloudbeds.com/connect/10074733072513#/reservations/31677968900233?display=Justin%20Covyaw&amp;reservation_id=31677968900233&amp;guest_id=31677968896141", "Justin Covyaw")</f>
        <v>Justin Covyaw</v>
      </c>
      <c r="E8104" t="s">
        <v>6157</v>
      </c>
      <c r="F8104" t="s">
        <v>5581</v>
      </c>
      <c r="G8104">
        <v>87.84</v>
      </c>
      <c r="H8104">
        <v>95.49</v>
      </c>
      <c r="I8104">
        <v>95.48</v>
      </c>
      <c r="J8104">
        <v>0.01</v>
      </c>
    </row>
    <row r="8105" spans="1:10" x14ac:dyDescent="0.3">
      <c r="A8105" t="str">
        <f>HYPERLINK("https://us2.cloudbeds.com/connect/10074733072513#/reservations/31678965919983?display=MHAE05UFT&amp;reservation_id=31678965919983", "MHAE05UFT")</f>
        <v>MHAE05UFT</v>
      </c>
      <c r="B8105" t="s">
        <v>10</v>
      </c>
      <c r="C8105" t="s">
        <v>42</v>
      </c>
      <c r="D8105" t="str">
        <f>HYPERLINK("https://us2.cloudbeds.com/connect/10074733072513#/reservations/31678965919983?display=Samual%20Milone&amp;reservation_id=31678965919983&amp;guest_id=31678965919969", "Samual Milone")</f>
        <v>Samual Milone</v>
      </c>
      <c r="E8105" t="s">
        <v>6158</v>
      </c>
      <c r="F8105" t="s">
        <v>5048</v>
      </c>
      <c r="G8105">
        <v>169</v>
      </c>
      <c r="H8105">
        <v>183.71</v>
      </c>
      <c r="I8105">
        <v>183.7</v>
      </c>
      <c r="J8105">
        <v>0.01</v>
      </c>
    </row>
    <row r="8106" spans="1:10" x14ac:dyDescent="0.3">
      <c r="A8106" t="str">
        <f>HYPERLINK("https://us2.cloudbeds.com/connect/10074733072513#/reservations/31680457973915?display=MHBJ4AH9D&amp;reservation_id=31680457973915", "MHBJ4AH9D")</f>
        <v>MHBJ4AH9D</v>
      </c>
      <c r="B8106" t="s">
        <v>10</v>
      </c>
      <c r="C8106" t="s">
        <v>42</v>
      </c>
      <c r="D8106" t="str">
        <f>HYPERLINK("https://us2.cloudbeds.com/connect/10074733072513#/reservations/31680457973915?display=Whitney%20Devine&amp;reservation_id=31680457973915&amp;guest_id=31680457973913", "Whitney Devine")</f>
        <v>Whitney Devine</v>
      </c>
      <c r="E8106" t="s">
        <v>6159</v>
      </c>
      <c r="F8106" t="s">
        <v>6148</v>
      </c>
      <c r="G8106">
        <v>149</v>
      </c>
      <c r="H8106">
        <v>161.97</v>
      </c>
      <c r="I8106">
        <v>161.96</v>
      </c>
      <c r="J8106">
        <v>0.01</v>
      </c>
    </row>
    <row r="8107" spans="1:10" x14ac:dyDescent="0.3">
      <c r="A8107" t="str">
        <f>HYPERLINK("https://us2.cloudbeds.com/connect/10074733072513#/reservations/31677933527290?display=MH9KKY2FR&amp;reservation_id=31677933527290", "MH9KKY2FR")</f>
        <v>MH9KKY2FR</v>
      </c>
      <c r="B8107" t="s">
        <v>10</v>
      </c>
      <c r="C8107" t="s">
        <v>42</v>
      </c>
      <c r="D8107" t="str">
        <f>HYPERLINK("https://us2.cloudbeds.com/connect/10074733072513#/reservations/31677933527290?display=Great%20Plains%20Structure%20Devin%20Kruup&amp;reservation_id=31677933527290&amp;guest_id=31677933527288", "Great Plains Structure Devin Kruup")</f>
        <v>Great Plains Structure Devin Kruup</v>
      </c>
      <c r="E8107" t="s">
        <v>5244</v>
      </c>
      <c r="F8107" t="s">
        <v>5581</v>
      </c>
      <c r="G8107">
        <v>79</v>
      </c>
      <c r="H8107">
        <v>85.88</v>
      </c>
      <c r="I8107">
        <v>85.87</v>
      </c>
      <c r="J8107">
        <v>0.01</v>
      </c>
    </row>
    <row r="8108" spans="1:10" x14ac:dyDescent="0.3">
      <c r="A8108" t="str">
        <f>HYPERLINK("https://us2.cloudbeds.com/connect/10074733072513#/reservations/31677924946080?display=MH9KDD9J5&amp;reservation_id=31677924946080", "MH9KDD9J5")</f>
        <v>MH9KDD9J5</v>
      </c>
      <c r="B8108" t="s">
        <v>10</v>
      </c>
      <c r="C8108" t="s">
        <v>11</v>
      </c>
      <c r="D8108" t="str">
        <f>HYPERLINK("https://us2.cloudbeds.com/connect/10074733072513#/reservations/31677924946080?display=Joseph%20Danner&amp;reservation_id=31677924946080&amp;guest_id=31677924946074", "Joseph Danner")</f>
        <v>Joseph Danner</v>
      </c>
      <c r="E8108" t="s">
        <v>6160</v>
      </c>
      <c r="F8108" t="s">
        <v>5581</v>
      </c>
      <c r="G8108">
        <v>87.84</v>
      </c>
      <c r="H8108">
        <v>95.49</v>
      </c>
      <c r="I8108">
        <v>95.48</v>
      </c>
      <c r="J8108">
        <v>0.01</v>
      </c>
    </row>
    <row r="8109" spans="1:10" x14ac:dyDescent="0.3">
      <c r="A8109" t="str">
        <f>HYPERLINK("https://us2.cloudbeds.com/connect/10074733072513#/reservations/31677940985998?display=MH9KQUKK9&amp;reservation_id=31677940985998", "MH9KQUKK9")</f>
        <v>MH9KQUKK9</v>
      </c>
      <c r="B8109" t="s">
        <v>10</v>
      </c>
      <c r="C8109" t="s">
        <v>42</v>
      </c>
      <c r="D8109" t="str">
        <f>HYPERLINK("https://us2.cloudbeds.com/connect/10074733072513#/reservations/31677940985998?display=Great%20Plains%20Structure%20Joseph%20Steven%20Tewskbury&amp;reservation_id=31677940985998&amp;guest_id=31677940985993", "Great Plains Structure Joseph Steven Tewskbury")</f>
        <v>Great Plains Structure Joseph Steven Tewskbury</v>
      </c>
      <c r="E8109" t="s">
        <v>5244</v>
      </c>
      <c r="F8109" t="s">
        <v>5581</v>
      </c>
      <c r="G8109">
        <v>79</v>
      </c>
      <c r="H8109">
        <v>85.88</v>
      </c>
      <c r="I8109">
        <v>85.87</v>
      </c>
      <c r="J8109">
        <v>0.01</v>
      </c>
    </row>
    <row r="8110" spans="1:10" x14ac:dyDescent="0.3">
      <c r="A8110" t="str">
        <f>HYPERLINK("https://us2.cloudbeds.com/connect/10074733072513#/reservations/31680474165496?display=MHBJHW2JC&amp;reservation_id=31680474165496", "MHBJHW2JC")</f>
        <v>MHBJHW2JC</v>
      </c>
      <c r="B8110" t="s">
        <v>10</v>
      </c>
      <c r="C8110" t="s">
        <v>42</v>
      </c>
      <c r="D8110" t="str">
        <f>HYPERLINK("https://us2.cloudbeds.com/connect/10074733072513#/reservations/31680474165496?display=Casey%20Sloan&amp;reservation_id=31680474165496&amp;guest_id=31680474165493", "Casey Sloan")</f>
        <v>Casey Sloan</v>
      </c>
      <c r="E8110" t="s">
        <v>6163</v>
      </c>
      <c r="F8110" t="s">
        <v>6148</v>
      </c>
      <c r="G8110">
        <v>149</v>
      </c>
      <c r="H8110">
        <v>161.97</v>
      </c>
      <c r="I8110">
        <v>161.96</v>
      </c>
      <c r="J8110">
        <v>0.01</v>
      </c>
    </row>
    <row r="8111" spans="1:10" x14ac:dyDescent="0.3">
      <c r="A8111" t="str">
        <f>HYPERLINK("https://us2.cloudbeds.com/connect/10074733072513#/reservations/31677843251340?display=MH9XAH0EW&amp;reservation_id=31677843251340", "MH9XAH0EW")</f>
        <v>MH9XAH0EW</v>
      </c>
      <c r="B8111" t="s">
        <v>10</v>
      </c>
      <c r="C8111" t="s">
        <v>42</v>
      </c>
      <c r="D8111" t="str">
        <f>HYPERLINK("https://us2.cloudbeds.com/connect/10074733072513#/reservations/31677843251340?display=Margeret%20Decker&amp;reservation_id=31677843251340&amp;guest_id=31677843251334", "Margeret Decker")</f>
        <v>Margeret Decker</v>
      </c>
      <c r="E8111" t="s">
        <v>6164</v>
      </c>
      <c r="F8111" t="s">
        <v>6137</v>
      </c>
      <c r="G8111">
        <v>139</v>
      </c>
      <c r="H8111">
        <v>151.1</v>
      </c>
      <c r="I8111">
        <v>151.09</v>
      </c>
      <c r="J8111">
        <v>0.01</v>
      </c>
    </row>
    <row r="8112" spans="1:10" x14ac:dyDescent="0.3">
      <c r="A8112" t="str">
        <f>HYPERLINK("https://us2.cloudbeds.com/connect/10074733072513#/reservations/31682622787786?display=MHD8EZYQZ&amp;reservation_id=31682622787786", "MHD8EZYQZ")</f>
        <v>MHD8EZYQZ</v>
      </c>
      <c r="B8112" t="s">
        <v>10</v>
      </c>
      <c r="C8112" t="s">
        <v>42</v>
      </c>
      <c r="D8112" t="str">
        <f>HYPERLINK("https://us2.cloudbeds.com/connect/10074733072513#/reservations/31682622787786?display=Jen%20Johanneson&amp;reservation_id=31682622787786&amp;guest_id=31682622787781", "Jen Johanneson")</f>
        <v>Jen Johanneson</v>
      </c>
      <c r="E8112" t="s">
        <v>6165</v>
      </c>
      <c r="F8112" t="s">
        <v>4600</v>
      </c>
      <c r="G8112">
        <v>298</v>
      </c>
      <c r="H8112">
        <v>323.94</v>
      </c>
      <c r="I8112">
        <v>323.93</v>
      </c>
      <c r="J8112">
        <v>0.01</v>
      </c>
    </row>
    <row r="8113" spans="1:10" x14ac:dyDescent="0.3">
      <c r="A8113" t="str">
        <f>HYPERLINK("https://us2.cloudbeds.com/connect/10074733072513#/reservations/31677633560751?display=MH9CVN23N&amp;reservation_id=31677633560751", "MH9CVN23N")</f>
        <v>MH9CVN23N</v>
      </c>
      <c r="B8113" t="s">
        <v>10</v>
      </c>
      <c r="C8113" t="s">
        <v>42</v>
      </c>
      <c r="D8113" t="str">
        <f>HYPERLINK("https://us2.cloudbeds.com/connect/10074733072513#/reservations/31677633560751?display=Brian%20Jarveis&amp;reservation_id=31677633560751&amp;guest_id=31675152806049", "Brian Jarveis")</f>
        <v>Brian Jarveis</v>
      </c>
      <c r="E8113" t="s">
        <v>6167</v>
      </c>
      <c r="F8113" t="s">
        <v>5326</v>
      </c>
      <c r="G8113">
        <v>73</v>
      </c>
      <c r="H8113">
        <v>79.36</v>
      </c>
      <c r="I8113">
        <v>79.349999999999994</v>
      </c>
      <c r="J8113">
        <v>0.01</v>
      </c>
    </row>
    <row r="8114" spans="1:10" x14ac:dyDescent="0.3">
      <c r="A8114" t="str">
        <f>HYPERLINK("https://us2.cloudbeds.com/connect/10074733072513#/reservations/31677604335829?display=MH9C71RY0&amp;reservation_id=31677604335829", "MH9C71RY0")</f>
        <v>MH9C71RY0</v>
      </c>
      <c r="B8114" t="s">
        <v>10</v>
      </c>
      <c r="C8114" t="s">
        <v>121</v>
      </c>
      <c r="D8114" t="str">
        <f>HYPERLINK("https://us2.cloudbeds.com/connect/10074733072513#/reservations/31677604335829?display=Aaron%20Kuhs&amp;reservation_id=31677604335829&amp;guest_id=31676319297699", "Aaron Kuhs")</f>
        <v>Aaron Kuhs</v>
      </c>
      <c r="E8114" t="s">
        <v>5919</v>
      </c>
      <c r="F8114" t="s">
        <v>5326</v>
      </c>
      <c r="G8114">
        <v>73</v>
      </c>
      <c r="H8114">
        <v>79.36</v>
      </c>
      <c r="I8114">
        <v>79.349999999999994</v>
      </c>
      <c r="J8114">
        <v>0.01</v>
      </c>
    </row>
    <row r="8115" spans="1:10" x14ac:dyDescent="0.3">
      <c r="A8115" t="str">
        <f>HYPERLINK("https://us2.cloudbeds.com/connect/10074733072513#/reservations/31679325307112?display=MHAN67D6V&amp;reservation_id=31679325307112", "MHAN67D6V")</f>
        <v>MHAN67D6V</v>
      </c>
      <c r="B8115" t="s">
        <v>10</v>
      </c>
      <c r="C8115" t="s">
        <v>42</v>
      </c>
      <c r="D8115" t="str">
        <f>HYPERLINK("https://us2.cloudbeds.com/connect/10074733072513#/reservations/31679325307112?display=Lonnie%20Zelinske&amp;reservation_id=31679325307112&amp;guest_id=31677850919138", "Lonnie Zelinske")</f>
        <v>Lonnie Zelinske</v>
      </c>
      <c r="E8115" t="s">
        <v>5770</v>
      </c>
      <c r="F8115" t="s">
        <v>4676</v>
      </c>
      <c r="G8115">
        <v>139</v>
      </c>
      <c r="H8115">
        <v>151.1</v>
      </c>
      <c r="I8115">
        <v>151.09</v>
      </c>
      <c r="J8115">
        <v>0.01</v>
      </c>
    </row>
    <row r="8116" spans="1:10" x14ac:dyDescent="0.3">
      <c r="A8116" t="str">
        <f>HYPERLINK("https://us2.cloudbeds.com/connect/10074733072513#/reservations/31679334641854?display=MHANE351U&amp;reservation_id=31679334641854", "MHANE351U")</f>
        <v>MHANE351U</v>
      </c>
      <c r="B8116" t="s">
        <v>10</v>
      </c>
      <c r="C8116" t="s">
        <v>11</v>
      </c>
      <c r="D8116" t="str">
        <f>HYPERLINK("https://us2.cloudbeds.com/connect/10074733072513#/reservations/31679334641854?display=Robert%20Russell&amp;reservation_id=31679334641854&amp;guest_id=31679334641852", "Robert Russell")</f>
        <v>Robert Russell</v>
      </c>
      <c r="E8116" t="s">
        <v>6168</v>
      </c>
      <c r="F8116" t="s">
        <v>4676</v>
      </c>
      <c r="G8116">
        <v>87.84</v>
      </c>
      <c r="H8116">
        <v>95.49</v>
      </c>
      <c r="I8116">
        <v>95.48</v>
      </c>
      <c r="J8116">
        <v>0.01</v>
      </c>
    </row>
    <row r="8117" spans="1:10" x14ac:dyDescent="0.3">
      <c r="A8117" t="str">
        <f>HYPERLINK("https://us2.cloudbeds.com/connect/10074733072513#/reservations/31677524660423?display=MH9A5SZQP&amp;reservation_id=31677524660423", "MH9A5SZQP")</f>
        <v>MH9A5SZQP</v>
      </c>
      <c r="B8117" t="s">
        <v>10</v>
      </c>
      <c r="C8117" t="s">
        <v>14</v>
      </c>
      <c r="D8117" t="str">
        <f>HYPERLINK("https://us2.cloudbeds.com/connect/10074733072513#/reservations/31677524660423?display=Aiden%20Miller&amp;reservation_id=31677524660423&amp;guest_id=31677520617632", "Aiden Miller")</f>
        <v>Aiden Miller</v>
      </c>
      <c r="E8117" t="s">
        <v>6170</v>
      </c>
      <c r="F8117" t="s">
        <v>5326</v>
      </c>
      <c r="G8117">
        <v>87.84</v>
      </c>
      <c r="H8117">
        <v>95.49</v>
      </c>
      <c r="I8117">
        <v>95.48</v>
      </c>
      <c r="J8117">
        <v>0.01</v>
      </c>
    </row>
    <row r="8118" spans="1:10" x14ac:dyDescent="0.3">
      <c r="A8118" t="str">
        <f>HYPERLINK("https://us2.cloudbeds.com/connect/10074733072513#/reservations/31677509976216?display=MH99QG4MQ&amp;reservation_id=31677509976216", "MH99QG4MQ")</f>
        <v>MH99QG4MQ</v>
      </c>
      <c r="B8118" t="s">
        <v>10</v>
      </c>
      <c r="C8118" t="s">
        <v>42</v>
      </c>
      <c r="D8118" t="str">
        <f>HYPERLINK("https://us2.cloudbeds.com/connect/10074733072513#/reservations/31677509976216?display=Joe%20Mitchel&amp;reservation_id=31677509976216&amp;guest_id=31677509976202", "Joe Mitchel")</f>
        <v>Joe Mitchel</v>
      </c>
      <c r="E8118" t="s">
        <v>6171</v>
      </c>
      <c r="F8118" t="s">
        <v>5326</v>
      </c>
      <c r="G8118">
        <v>199</v>
      </c>
      <c r="H8118">
        <v>216.32</v>
      </c>
      <c r="I8118">
        <v>216.31</v>
      </c>
      <c r="J8118">
        <v>0.01</v>
      </c>
    </row>
    <row r="8119" spans="1:10" x14ac:dyDescent="0.3">
      <c r="A8119" t="str">
        <f>HYPERLINK("https://us2.cloudbeds.com/connect/10074733072513#/reservations/31677882019988?display=MH9JA6QMG&amp;reservation_id=31677882019988", "MH9JA6QMG")</f>
        <v>MH9JA6QMG</v>
      </c>
      <c r="B8119" t="s">
        <v>10</v>
      </c>
      <c r="C8119" t="s">
        <v>42</v>
      </c>
      <c r="D8119" t="str">
        <f>HYPERLINK("https://us2.cloudbeds.com/connect/10074733072513#/reservations/31677882019988?display=Robert%20Scott%20Spurgeon&amp;reservation_id=31677882019988&amp;guest_id=31677882019973", "Robert Scott Spurgeon")</f>
        <v>Robert Scott Spurgeon</v>
      </c>
      <c r="E8119" t="s">
        <v>6172</v>
      </c>
      <c r="F8119" t="s">
        <v>5581</v>
      </c>
      <c r="G8119">
        <v>278</v>
      </c>
      <c r="H8119">
        <v>302.2</v>
      </c>
      <c r="I8119">
        <v>302.19</v>
      </c>
      <c r="J8119">
        <v>0.01</v>
      </c>
    </row>
    <row r="8120" spans="1:10" x14ac:dyDescent="0.3">
      <c r="A8120" t="str">
        <f>HYPERLINK("https://us2.cloudbeds.com/connect/10074733072513#/reservations/31687115423904?display=MHGZ81T55&amp;reservation_id=31687115423904", "MHGZ81T55")</f>
        <v>MHGZ81T55</v>
      </c>
      <c r="B8120" t="s">
        <v>10</v>
      </c>
      <c r="C8120" t="s">
        <v>42</v>
      </c>
      <c r="D8120" t="str">
        <f>HYPERLINK("https://us2.cloudbeds.com/connect/10074733072513#/reservations/31687115423904?display=Jeff%20Black&amp;reservation_id=31687115423904&amp;guest_id=31687106134184", "Jeff Black")</f>
        <v>Jeff Black</v>
      </c>
      <c r="E8120" t="s">
        <v>6174</v>
      </c>
      <c r="F8120" t="s">
        <v>6175</v>
      </c>
      <c r="G8120">
        <v>258</v>
      </c>
      <c r="H8120">
        <v>280.45999999999998</v>
      </c>
      <c r="I8120">
        <v>280.45</v>
      </c>
      <c r="J8120">
        <v>0.01</v>
      </c>
    </row>
    <row r="8121" spans="1:10" x14ac:dyDescent="0.3">
      <c r="A8121" t="str">
        <f>HYPERLINK("https://us2.cloudbeds.com/connect/10074733072513#/reservations/31677897715847?display=MH9JNEXPJ&amp;reservation_id=31677897715847", "MH9JNEXPJ")</f>
        <v>MH9JNEXPJ</v>
      </c>
      <c r="B8121" t="s">
        <v>10</v>
      </c>
      <c r="C8121" t="s">
        <v>121</v>
      </c>
      <c r="D8121" t="str">
        <f>HYPERLINK("https://us2.cloudbeds.com/connect/10074733072513#/reservations/31677897715847?display=Corey%20Goodwin&amp;reservation_id=31677897715847&amp;guest_id=31677897715845", "Corey Goodwin")</f>
        <v>Corey Goodwin</v>
      </c>
      <c r="E8121" t="s">
        <v>6176</v>
      </c>
      <c r="F8121" t="s">
        <v>5581</v>
      </c>
      <c r="G8121">
        <v>139</v>
      </c>
      <c r="H8121">
        <v>151.1</v>
      </c>
      <c r="I8121">
        <v>151.09</v>
      </c>
      <c r="J8121">
        <v>0.01</v>
      </c>
    </row>
    <row r="8122" spans="1:10" x14ac:dyDescent="0.3">
      <c r="A8122" t="str">
        <f>HYPERLINK("https://us2.cloudbeds.com/connect/10074733072513#/reservations/31682040381666?display=MHCQXYBKE&amp;reservation_id=31682040381666", "MHCQXYBKE")</f>
        <v>MHCQXYBKE</v>
      </c>
      <c r="B8122" t="s">
        <v>10</v>
      </c>
      <c r="C8122" t="s">
        <v>20</v>
      </c>
      <c r="D8122" t="str">
        <f>HYPERLINK("https://us2.cloudbeds.com/connect/10074733072513#/reservations/31682040381666?display=Deana%20Pearson&amp;reservation_id=31682040381666&amp;guest_id=31682040381661", "Deana Pearson")</f>
        <v>Deana Pearson</v>
      </c>
      <c r="E8122" t="s">
        <v>6177</v>
      </c>
      <c r="F8122" t="s">
        <v>4916</v>
      </c>
      <c r="G8122">
        <v>169</v>
      </c>
      <c r="H8122">
        <v>183.71</v>
      </c>
      <c r="I8122">
        <v>183.7</v>
      </c>
      <c r="J8122">
        <v>0.01</v>
      </c>
    </row>
    <row r="8123" spans="1:10" x14ac:dyDescent="0.3">
      <c r="A8123" t="str">
        <f>HYPERLINK("https://us2.cloudbeds.com/connect/10074733072513#/reservations/31679838486696?display=MHB39VCGE&amp;reservation_id=31679838486696", "MHB39VCGE")</f>
        <v>MHB39VCGE</v>
      </c>
      <c r="B8123" t="s">
        <v>10</v>
      </c>
      <c r="C8123" t="s">
        <v>42</v>
      </c>
      <c r="D8123" t="str">
        <f>HYPERLINK("https://us2.cloudbeds.com/connect/10074733072513#/reservations/31679838486696?display=New%20Age%20Cryo%20New%20Age%20Cryo&amp;reservation_id=31679838486696&amp;guest_id=31679824466127", "New Age Cryo New Age Cryo")</f>
        <v>New Age Cryo New Age Cryo</v>
      </c>
      <c r="E8123" t="s">
        <v>3038</v>
      </c>
      <c r="F8123" t="s">
        <v>4982</v>
      </c>
      <c r="G8123">
        <v>370</v>
      </c>
      <c r="H8123">
        <v>402.2</v>
      </c>
      <c r="I8123">
        <v>402.19</v>
      </c>
      <c r="J8123">
        <v>0.01</v>
      </c>
    </row>
    <row r="8124" spans="1:10" x14ac:dyDescent="0.3">
      <c r="A8124" t="str">
        <f>HYPERLINK("https://us2.cloudbeds.com/connect/10074733072513#/reservations/31680424378503?display=MHBX8WMGK&amp;reservation_id=31680424378503", "MHBX8WMGK")</f>
        <v>MHBX8WMGK</v>
      </c>
      <c r="B8124" t="s">
        <v>10</v>
      </c>
      <c r="C8124" t="s">
        <v>121</v>
      </c>
      <c r="D8124" t="str">
        <f>HYPERLINK("https://us2.cloudbeds.com/connect/10074733072513#/reservations/31680424378503?display=Ned%20Jericho&amp;reservation_id=31680424378503&amp;guest_id=31680424378499", "Ned Jericho")</f>
        <v>Ned Jericho</v>
      </c>
      <c r="E8124" t="s">
        <v>6183</v>
      </c>
      <c r="F8124" t="s">
        <v>5326</v>
      </c>
      <c r="G8124">
        <v>139</v>
      </c>
      <c r="H8124">
        <v>151.1</v>
      </c>
      <c r="I8124">
        <v>151.09</v>
      </c>
      <c r="J8124">
        <v>0.01</v>
      </c>
    </row>
    <row r="8125" spans="1:10" x14ac:dyDescent="0.3">
      <c r="A8125" t="str">
        <f>HYPERLINK("https://us2.cloudbeds.com/connect/10074733072513#/reservations/31677965279477?display=MH9YEDKMA&amp;reservation_id=31677965279477", "MH9YEDKMA")</f>
        <v>MH9YEDKMA</v>
      </c>
      <c r="B8125" t="s">
        <v>10</v>
      </c>
      <c r="C8125" t="s">
        <v>121</v>
      </c>
      <c r="D8125" t="str">
        <f>HYPERLINK("https://us2.cloudbeds.com/connect/10074733072513#/reservations/31677965279477?display=Bonnie%20Roberts%20Randall&amp;reservation_id=31677965279477&amp;guest_id=31677957382296", "Bonnie Roberts Randall")</f>
        <v>Bonnie Roberts Randall</v>
      </c>
      <c r="E8125" t="s">
        <v>6184</v>
      </c>
      <c r="F8125" t="s">
        <v>5581</v>
      </c>
      <c r="G8125">
        <v>159</v>
      </c>
      <c r="H8125">
        <v>172.84</v>
      </c>
      <c r="I8125">
        <v>172.83</v>
      </c>
      <c r="J8125">
        <v>0.01</v>
      </c>
    </row>
    <row r="8126" spans="1:10" x14ac:dyDescent="0.3">
      <c r="A8126" t="str">
        <f>HYPERLINK("https://us2.cloudbeds.com/connect/10074733072513#/reservations/31677327995107?display=MH955187Z&amp;reservation_id=31677327995107", "MH955187Z")</f>
        <v>MH955187Z</v>
      </c>
      <c r="B8126" t="s">
        <v>10</v>
      </c>
      <c r="C8126" t="s">
        <v>42</v>
      </c>
      <c r="D8126" t="str">
        <f>HYPERLINK("https://us2.cloudbeds.com/connect/10074733072513#/reservations/31677327995107?display=Dave%20Mccandless&amp;reservation_id=31677327995107&amp;guest_id=31677327991015", "Dave Mccandless")</f>
        <v>Dave Mccandless</v>
      </c>
      <c r="E8126" t="s">
        <v>6185</v>
      </c>
      <c r="F8126" t="s">
        <v>6186</v>
      </c>
      <c r="G8126">
        <v>89</v>
      </c>
      <c r="H8126">
        <v>96.75</v>
      </c>
      <c r="I8126">
        <v>96.74</v>
      </c>
      <c r="J8126">
        <v>0.01</v>
      </c>
    </row>
    <row r="8127" spans="1:10" x14ac:dyDescent="0.3">
      <c r="A8127" t="str">
        <f>HYPERLINK("https://us2.cloudbeds.com/connect/10074733072513#/reservations/31677618983131?display=MH9CJDDSY&amp;reservation_id=31677618983131", "MH9CJDDSY")</f>
        <v>MH9CJDDSY</v>
      </c>
      <c r="B8127" t="s">
        <v>10</v>
      </c>
      <c r="C8127" t="s">
        <v>121</v>
      </c>
      <c r="D8127" t="str">
        <f>HYPERLINK("https://us2.cloudbeds.com/connect/10074733072513#/reservations/31677618983131?display=Jerrell%20Faulkner&amp;reservation_id=31677618983131&amp;guest_id=31677618983129", "Jerrell Faulkner")</f>
        <v>Jerrell Faulkner</v>
      </c>
      <c r="E8127" t="s">
        <v>6187</v>
      </c>
      <c r="F8127" t="s">
        <v>5326</v>
      </c>
      <c r="G8127">
        <v>73</v>
      </c>
      <c r="H8127">
        <v>79.36</v>
      </c>
      <c r="I8127">
        <v>79.349999999999994</v>
      </c>
      <c r="J8127">
        <v>0.01</v>
      </c>
    </row>
    <row r="8128" spans="1:10" x14ac:dyDescent="0.3">
      <c r="A8128" t="str">
        <f>HYPERLINK("https://us2.cloudbeds.com/connect/10074733072513#/reservations/31682805526760?display=MHDD3RY6D&amp;reservation_id=31682805526760", "MHDD3RY6D")</f>
        <v>MHDD3RY6D</v>
      </c>
      <c r="B8128" t="s">
        <v>10</v>
      </c>
      <c r="C8128" t="s">
        <v>42</v>
      </c>
      <c r="D8128" t="str">
        <f>HYPERLINK("https://us2.cloudbeds.com/connect/10074733072513#/reservations/31682805526760?display=Don%20Ryks&amp;reservation_id=31682805526760&amp;guest_id=31682805526755", "Don Ryks")</f>
        <v>Don Ryks</v>
      </c>
      <c r="E8128" t="s">
        <v>6189</v>
      </c>
      <c r="F8128" t="s">
        <v>5661</v>
      </c>
      <c r="G8128">
        <v>258</v>
      </c>
      <c r="H8128">
        <v>280.45999999999998</v>
      </c>
      <c r="I8128">
        <v>280.45</v>
      </c>
      <c r="J8128">
        <v>0.01</v>
      </c>
    </row>
    <row r="8129" spans="1:10" x14ac:dyDescent="0.3">
      <c r="A8129" t="str">
        <f>HYPERLINK("https://us2.cloudbeds.com/connect/10074733072513#/reservations/31687131427037?display=MHGZYX6DJ&amp;reservation_id=31687131427037", "MHGZYX6DJ")</f>
        <v>MHGZYX6DJ</v>
      </c>
      <c r="B8129" t="s">
        <v>10</v>
      </c>
      <c r="C8129" t="s">
        <v>42</v>
      </c>
      <c r="D8129" t="str">
        <f>HYPERLINK("https://us2.cloudbeds.com/connect/10074733072513#/reservations/31687131427037?display=Samantha%20Joecks&amp;reservation_id=31687131427037&amp;guest_id=31687131427023", "Samantha Joecks")</f>
        <v>Samantha Joecks</v>
      </c>
      <c r="E8129" t="s">
        <v>6190</v>
      </c>
      <c r="F8129" t="s">
        <v>6175</v>
      </c>
      <c r="G8129">
        <v>258</v>
      </c>
      <c r="H8129">
        <v>280.45999999999998</v>
      </c>
      <c r="I8129">
        <v>280.45</v>
      </c>
      <c r="J8129">
        <v>0.01</v>
      </c>
    </row>
    <row r="8130" spans="1:10" x14ac:dyDescent="0.3">
      <c r="A8130" t="str">
        <f>HYPERLINK("https://us2.cloudbeds.com/connect/10074733072513#/reservations/31678073290947?display=MH9Z6G6P5&amp;reservation_id=31678073290947", "MH9Z6G6P5")</f>
        <v>MH9Z6G6P5</v>
      </c>
      <c r="B8130" t="s">
        <v>10</v>
      </c>
      <c r="C8130" t="s">
        <v>42</v>
      </c>
      <c r="D8130" t="str">
        <f>HYPERLINK("https://us2.cloudbeds.com/connect/10074733072513#/reservations/31678073290947?display=Lindsay%20Mann&amp;reservation_id=31678073290947&amp;guest_id=31678065484012", "Lindsay Mann")</f>
        <v>Lindsay Mann</v>
      </c>
      <c r="E8130" t="s">
        <v>6191</v>
      </c>
      <c r="F8130" t="s">
        <v>5048</v>
      </c>
      <c r="G8130">
        <v>169</v>
      </c>
      <c r="H8130">
        <v>183.71</v>
      </c>
      <c r="I8130">
        <v>183.7</v>
      </c>
      <c r="J8130">
        <v>0.01</v>
      </c>
    </row>
    <row r="8131" spans="1:10" x14ac:dyDescent="0.3">
      <c r="A8131" t="str">
        <f>HYPERLINK("https://us2.cloudbeds.com/connect/10074733072513#/reservations/31680400298115?display=MHBHYMK3T&amp;reservation_id=31680400298115", "MHBHYMK3T")</f>
        <v>MHBHYMK3T</v>
      </c>
      <c r="B8131" t="s">
        <v>10</v>
      </c>
      <c r="C8131" t="s">
        <v>42</v>
      </c>
      <c r="D8131" t="str">
        <f>HYPERLINK("https://us2.cloudbeds.com/connect/10074733072513#/reservations/31680400298115?display=Chris%20Marthaler&amp;reservation_id=31680400298115&amp;guest_id=31680400298113", "Chris Marthaler")</f>
        <v>Chris Marthaler</v>
      </c>
      <c r="E8131" t="s">
        <v>6192</v>
      </c>
      <c r="F8131" t="s">
        <v>5326</v>
      </c>
      <c r="G8131">
        <v>119</v>
      </c>
      <c r="H8131">
        <v>129.36000000000001</v>
      </c>
      <c r="I8131">
        <v>129.35</v>
      </c>
      <c r="J8131">
        <v>0.01</v>
      </c>
    </row>
    <row r="8132" spans="1:10" x14ac:dyDescent="0.3">
      <c r="A8132" t="str">
        <f>HYPERLINK("https://us2.cloudbeds.com/connect/10074733072513#/reservations/31680631128274?display=MHBNXAQC6&amp;reservation_id=31680631128274", "MHBNXAQC6")</f>
        <v>MHBNXAQC6</v>
      </c>
      <c r="B8132" t="s">
        <v>10</v>
      </c>
      <c r="C8132" t="s">
        <v>42</v>
      </c>
      <c r="D8132" t="str">
        <f>HYPERLINK("https://us2.cloudbeds.com/connect/10074733072513#/reservations/31680631128274?display=Cameron%20Wyly&amp;reservation_id=31680631128274&amp;guest_id=31676340576486", "Cameron Wyly")</f>
        <v>Cameron Wyly</v>
      </c>
      <c r="E8132" t="s">
        <v>5570</v>
      </c>
      <c r="F8132" t="s">
        <v>4600</v>
      </c>
      <c r="G8132">
        <v>178</v>
      </c>
      <c r="H8132">
        <v>193.5</v>
      </c>
      <c r="I8132">
        <v>193.49</v>
      </c>
      <c r="J8132">
        <v>0.01</v>
      </c>
    </row>
    <row r="8133" spans="1:10" x14ac:dyDescent="0.3">
      <c r="A8133" t="str">
        <f>HYPERLINK("https://us2.cloudbeds.com/connect/10074733072513#/reservations/31689417330856?display=MHXH22RY9&amp;reservation_id=31689417330856", "MHXH22RY9")</f>
        <v>MHXH22RY9</v>
      </c>
      <c r="B8133" t="s">
        <v>10</v>
      </c>
      <c r="C8133" t="s">
        <v>42</v>
      </c>
      <c r="D8133" t="str">
        <f>HYPERLINK("https://us2.cloudbeds.com/connect/10074733072513#/reservations/31689417330856?display=Lee%20Gillespie&amp;reservation_id=31689417330856&amp;guest_id=31689417330852", "Lee Gillespie")</f>
        <v>Lee Gillespie</v>
      </c>
      <c r="E8133" t="s">
        <v>6193</v>
      </c>
      <c r="F8133" t="s">
        <v>4868</v>
      </c>
      <c r="G8133">
        <v>278</v>
      </c>
      <c r="H8133">
        <v>302.2</v>
      </c>
      <c r="I8133">
        <v>302.19</v>
      </c>
      <c r="J8133">
        <v>0.01</v>
      </c>
    </row>
    <row r="8134" spans="1:10" x14ac:dyDescent="0.3">
      <c r="A8134" t="str">
        <f>HYPERLINK("https://us2.cloudbeds.com/connect/10074733072513#/reservations/31677309747448?display=MH94MYFTC&amp;reservation_id=31677309747448", "MH94MYFTC")</f>
        <v>MH94MYFTC</v>
      </c>
      <c r="B8134" t="s">
        <v>10</v>
      </c>
      <c r="C8134" t="s">
        <v>42</v>
      </c>
      <c r="D8134" t="str">
        <f>HYPERLINK("https://us2.cloudbeds.com/connect/10074733072513#/reservations/31677309747448?display=Robert%20Lindell&amp;reservation_id=31677309747448&amp;guest_id=31677309747446", "Robert Lindell")</f>
        <v>Robert Lindell</v>
      </c>
      <c r="E8134" t="s">
        <v>6195</v>
      </c>
      <c r="F8134" t="s">
        <v>6186</v>
      </c>
      <c r="G8134">
        <v>190</v>
      </c>
      <c r="H8134">
        <v>206.54</v>
      </c>
      <c r="I8134">
        <v>206.53</v>
      </c>
      <c r="J8134">
        <v>0.01</v>
      </c>
    </row>
    <row r="8135" spans="1:10" x14ac:dyDescent="0.3">
      <c r="A8135" t="str">
        <f>HYPERLINK("https://us2.cloudbeds.com/connect/10074733072513#/reservations/31676566483151?display=MH8XMU1SS&amp;reservation_id=31676566483151", "MH8XMU1SS")</f>
        <v>MH8XMU1SS</v>
      </c>
      <c r="B8135" t="s">
        <v>10</v>
      </c>
      <c r="C8135" t="s">
        <v>121</v>
      </c>
      <c r="D8135" t="str">
        <f>HYPERLINK("https://us2.cloudbeds.com/connect/10074733072513#/reservations/31676566483151?display=Sylvia%20Ione%20Engle&amp;reservation_id=31676566483151&amp;guest_id=31676566483146", "Sylvia Ione Engle")</f>
        <v>Sylvia Ione Engle</v>
      </c>
      <c r="E8135" t="s">
        <v>6197</v>
      </c>
      <c r="F8135" t="s">
        <v>4530</v>
      </c>
      <c r="G8135">
        <v>331.2</v>
      </c>
      <c r="H8135">
        <v>360.02</v>
      </c>
      <c r="I8135">
        <v>360.01</v>
      </c>
      <c r="J8135">
        <v>0.01</v>
      </c>
    </row>
    <row r="8136" spans="1:10" x14ac:dyDescent="0.3">
      <c r="A8136" t="str">
        <f>HYPERLINK("https://us2.cloudbeds.com/connect/10074733072513#/reservations/31680508911826?display=MHBKE8V7F&amp;reservation_id=31680508911826", "MHBKE8V7F")</f>
        <v>MHBKE8V7F</v>
      </c>
      <c r="B8136" t="s">
        <v>10</v>
      </c>
      <c r="C8136" t="s">
        <v>17</v>
      </c>
      <c r="D8136" t="str">
        <f>HYPERLINK("https://us2.cloudbeds.com/connect/10074733072513#/reservations/31680508911826?display=Susan%20Erstad&amp;reservation_id=31680508911826&amp;guest_id=30663839170776", "Susan Erstad")</f>
        <v>Susan Erstad</v>
      </c>
      <c r="E8136" t="s">
        <v>6199</v>
      </c>
      <c r="F8136" t="s">
        <v>5274</v>
      </c>
      <c r="G8136">
        <v>318</v>
      </c>
      <c r="H8136">
        <v>345.68</v>
      </c>
      <c r="I8136">
        <v>345.67</v>
      </c>
      <c r="J8136">
        <v>0.01</v>
      </c>
    </row>
    <row r="8137" spans="1:10" x14ac:dyDescent="0.3">
      <c r="A8137" t="str">
        <f>HYPERLINK("https://us2.cloudbeds.com/connect/10074733072513#/reservations/31687126950016?display=MHGZ81WUD&amp;reservation_id=31687126950016", "MHGZ81WUD")</f>
        <v>MHGZ81WUD</v>
      </c>
      <c r="B8137" t="s">
        <v>10</v>
      </c>
      <c r="C8137" t="s">
        <v>42</v>
      </c>
      <c r="D8137" t="str">
        <f>HYPERLINK("https://us2.cloudbeds.com/connect/10074733072513#/reservations/31687126950016?display=Tom%20Sands&amp;reservation_id=31687126950016&amp;guest_id=31687115427999", "Tom Sands")</f>
        <v>Tom Sands</v>
      </c>
      <c r="E8137" t="s">
        <v>6200</v>
      </c>
      <c r="F8137" t="s">
        <v>6175</v>
      </c>
      <c r="G8137">
        <v>258</v>
      </c>
      <c r="H8137">
        <v>280.45999999999998</v>
      </c>
      <c r="I8137">
        <v>280.45</v>
      </c>
      <c r="J8137">
        <v>0.01</v>
      </c>
    </row>
    <row r="8138" spans="1:10" x14ac:dyDescent="0.3">
      <c r="A8138" t="str">
        <f>HYPERLINK("https://us2.cloudbeds.com/connect/10074733072513#/reservations/31678826623213?display=MHAAENPUY&amp;reservation_id=31678826623213", "MHAAENPUY")</f>
        <v>MHAAENPUY</v>
      </c>
      <c r="B8138" t="s">
        <v>10</v>
      </c>
      <c r="C8138" t="s">
        <v>23</v>
      </c>
      <c r="D8138" t="str">
        <f>HYPERLINK("https://us2.cloudbeds.com/connect/10074733072513#/reservations/31678826623213?display=Mike%20Mueller&amp;reservation_id=31678826623213&amp;guest_id=31678826623209", "Mike Mueller")</f>
        <v>Mike Mueller</v>
      </c>
      <c r="E8138" t="s">
        <v>6202</v>
      </c>
      <c r="F8138" t="s">
        <v>4645</v>
      </c>
      <c r="G8138">
        <v>378</v>
      </c>
      <c r="H8138">
        <v>410.9</v>
      </c>
      <c r="I8138">
        <v>410.89</v>
      </c>
      <c r="J8138">
        <v>0.01</v>
      </c>
    </row>
    <row r="8139" spans="1:10" x14ac:dyDescent="0.3">
      <c r="A8139" t="str">
        <f>HYPERLINK("https://us2.cloudbeds.com/connect/10074733072513#/reservations/31680578998513?display=MHBM7C6WF&amp;reservation_id=31680578998513", "MHBM7C6WF")</f>
        <v>MHBM7C6WF</v>
      </c>
      <c r="B8139" t="s">
        <v>10</v>
      </c>
      <c r="C8139" t="s">
        <v>42</v>
      </c>
      <c r="D8139" t="str">
        <f>HYPERLINK("https://us2.cloudbeds.com/connect/10074733072513#/reservations/31680578998513?display=Aaron%20Swanson&amp;reservation_id=31680578998513&amp;guest_id=31680578998511", "Aaron Swanson")</f>
        <v>Aaron Swanson</v>
      </c>
      <c r="E8139" t="s">
        <v>6203</v>
      </c>
      <c r="F8139" t="s">
        <v>5366</v>
      </c>
      <c r="G8139">
        <v>298</v>
      </c>
      <c r="H8139">
        <v>323.94</v>
      </c>
      <c r="I8139">
        <v>323.93</v>
      </c>
      <c r="J8139">
        <v>0.01</v>
      </c>
    </row>
    <row r="8140" spans="1:10" x14ac:dyDescent="0.3">
      <c r="A8140" t="str">
        <f>HYPERLINK("https://us2.cloudbeds.com/connect/10074733072513#/reservations/31684899012860?display=MHF0K3WA4&amp;reservation_id=31684899012860", "MHF0K3WA4")</f>
        <v>MHF0K3WA4</v>
      </c>
      <c r="B8140" t="s">
        <v>10</v>
      </c>
      <c r="C8140" t="s">
        <v>42</v>
      </c>
      <c r="D8140" t="str">
        <f>HYPERLINK("https://us2.cloudbeds.com/connect/10074733072513#/reservations/31684899012860?display=Mary%20Anderson&amp;reservation_id=31684899012860&amp;guest_id=31684899012846", "Mary Anderson")</f>
        <v>Mary Anderson</v>
      </c>
      <c r="E8140" t="s">
        <v>6205</v>
      </c>
      <c r="F8140" t="s">
        <v>6175</v>
      </c>
      <c r="G8140">
        <v>258</v>
      </c>
      <c r="H8140">
        <v>280.45999999999998</v>
      </c>
      <c r="I8140">
        <v>280.45</v>
      </c>
      <c r="J8140">
        <v>0.01</v>
      </c>
    </row>
    <row r="8141" spans="1:10" x14ac:dyDescent="0.3">
      <c r="A8141" t="str">
        <f>HYPERLINK("https://us2.cloudbeds.com/connect/10074733072513#/reservations/31677293752507?display=MH9495D56&amp;reservation_id=31677293752507", "MH9495D56")</f>
        <v>MH9495D56</v>
      </c>
      <c r="B8141" t="s">
        <v>10</v>
      </c>
      <c r="C8141" t="s">
        <v>11</v>
      </c>
      <c r="D8141" t="str">
        <f>HYPERLINK("https://us2.cloudbeds.com/connect/10074733072513#/reservations/31677293752507?display=Heath%20Rose&amp;reservation_id=31677293752507&amp;guest_id=31677293752489", "Heath Rose")</f>
        <v>Heath Rose</v>
      </c>
      <c r="E8141" t="s">
        <v>6206</v>
      </c>
      <c r="F8141" t="s">
        <v>6186</v>
      </c>
      <c r="G8141">
        <v>211.88</v>
      </c>
      <c r="H8141">
        <v>230.32</v>
      </c>
      <c r="I8141">
        <v>230.31</v>
      </c>
      <c r="J8141">
        <v>0.01</v>
      </c>
    </row>
    <row r="8142" spans="1:10" x14ac:dyDescent="0.3">
      <c r="A8142" t="str">
        <f>HYPERLINK("https://us2.cloudbeds.com/connect/10074733072513#/reservations/31682937241801?display=MHDGFTQY9&amp;reservation_id=31682937241801", "MHDGFTQY9")</f>
        <v>MHDGFTQY9</v>
      </c>
      <c r="B8142" t="s">
        <v>10</v>
      </c>
      <c r="C8142" t="s">
        <v>20</v>
      </c>
      <c r="D8142" t="str">
        <f>HYPERLINK("https://us2.cloudbeds.com/connect/10074733072513#/reservations/31682937241801?display=David%20Trower&amp;reservation_id=31682937241801&amp;guest_id=31682937241795", "David Trower")</f>
        <v>David Trower</v>
      </c>
      <c r="E8142" t="s">
        <v>6208</v>
      </c>
      <c r="F8142" t="s">
        <v>5140</v>
      </c>
      <c r="G8142">
        <v>199</v>
      </c>
      <c r="H8142">
        <v>216.32</v>
      </c>
      <c r="I8142">
        <v>216.31</v>
      </c>
      <c r="J8142">
        <v>0.01</v>
      </c>
    </row>
    <row r="8143" spans="1:10" x14ac:dyDescent="0.3">
      <c r="A8143" t="str">
        <f>HYPERLINK("https://us2.cloudbeds.com/connect/10074733072513#/reservations/31678835355790?display=MHAAM2PR6&amp;reservation_id=31678835355790", "MHAAM2PR6")</f>
        <v>MHAAM2PR6</v>
      </c>
      <c r="B8143" t="s">
        <v>10</v>
      </c>
      <c r="C8143" t="s">
        <v>20</v>
      </c>
      <c r="D8143" t="str">
        <f>HYPERLINK("https://us2.cloudbeds.com/connect/10074733072513#/reservations/31678835355790?display=Rebecca%20L%20Weberg&amp;reservation_id=31678835355790&amp;guest_id=31678829711543", "Rebecca L Weberg")</f>
        <v>Rebecca L Weberg</v>
      </c>
      <c r="E8143" t="s">
        <v>6209</v>
      </c>
      <c r="F8143" t="s">
        <v>6148</v>
      </c>
      <c r="G8143">
        <v>313.2</v>
      </c>
      <c r="H8143">
        <v>340.46</v>
      </c>
      <c r="I8143">
        <v>340.45</v>
      </c>
      <c r="J8143">
        <v>0.01</v>
      </c>
    </row>
    <row r="8144" spans="1:10" x14ac:dyDescent="0.3">
      <c r="A8144" t="str">
        <f>HYPERLINK("https://us2.cloudbeds.com/connect/10074733072513#/reservations/31679416631506?display=MHAPH7KWR&amp;reservation_id=31679416631506", "MHAPH7KWR")</f>
        <v>MHAPH7KWR</v>
      </c>
      <c r="B8144" t="s">
        <v>10</v>
      </c>
      <c r="C8144" t="s">
        <v>42</v>
      </c>
      <c r="D8144" t="str">
        <f>HYPERLINK("https://us2.cloudbeds.com/connect/10074733072513#/reservations/31679416631506?display=Larry%20Anderson&amp;reservation_id=31679416631506&amp;guest_id=31679416631501", "Larry Anderson")</f>
        <v>Larry Anderson</v>
      </c>
      <c r="E8144" t="s">
        <v>6211</v>
      </c>
      <c r="F8144" t="s">
        <v>5366</v>
      </c>
      <c r="G8144">
        <v>149</v>
      </c>
      <c r="H8144">
        <v>161.97</v>
      </c>
      <c r="I8144">
        <v>161.96</v>
      </c>
      <c r="J8144">
        <v>0.01</v>
      </c>
    </row>
    <row r="8145" spans="1:10" x14ac:dyDescent="0.3">
      <c r="A8145" t="str">
        <f>HYPERLINK("https://us2.cloudbeds.com/connect/10074733072513#/reservations/31679559065742?display=MHAT5B2JQ&amp;reservation_id=31679559065742", "MHAT5B2JQ")</f>
        <v>MHAT5B2JQ</v>
      </c>
      <c r="B8145" t="s">
        <v>10</v>
      </c>
      <c r="C8145" t="s">
        <v>42</v>
      </c>
      <c r="D8145" t="str">
        <f>HYPERLINK("https://us2.cloudbeds.com/connect/10074733072513#/reservations/31679559065742?display=Lori%20Vote,%20Jesse&amp;reservation_id=31679559065742&amp;guest_id=31679559061661", "Lori Vote, Jesse")</f>
        <v>Lori Vote, Jesse</v>
      </c>
      <c r="E8145" t="s">
        <v>6212</v>
      </c>
      <c r="F8145" t="s">
        <v>5569</v>
      </c>
      <c r="G8145">
        <v>109</v>
      </c>
      <c r="H8145">
        <v>118.49</v>
      </c>
      <c r="I8145">
        <v>118.48</v>
      </c>
      <c r="J8145">
        <v>0.01</v>
      </c>
    </row>
    <row r="8146" spans="1:10" x14ac:dyDescent="0.3">
      <c r="A8146" t="str">
        <f>HYPERLINK("https://us2.cloudbeds.com/connect/10074733072513#/reservations/31679557058803?display=MHAT3Y7MF&amp;reservation_id=31679557058803", "MHAT3Y7MF")</f>
        <v>MHAT3Y7MF</v>
      </c>
      <c r="B8146" t="s">
        <v>10</v>
      </c>
      <c r="C8146" t="s">
        <v>42</v>
      </c>
      <c r="D8146" t="str">
        <f>HYPERLINK("https://us2.cloudbeds.com/connect/10074733072513#/reservations/31679557058803?display=Renae%20Vote,%20Jessie&amp;reservation_id=31679557058803&amp;guest_id=31679542575265", "Renae Vote, Jessie")</f>
        <v>Renae Vote, Jessie</v>
      </c>
      <c r="E8146" t="s">
        <v>6214</v>
      </c>
      <c r="F8146" t="s">
        <v>5569</v>
      </c>
      <c r="G8146">
        <v>109</v>
      </c>
      <c r="H8146">
        <v>118.49</v>
      </c>
      <c r="I8146">
        <v>118.48</v>
      </c>
      <c r="J8146">
        <v>0.01</v>
      </c>
    </row>
    <row r="8147" spans="1:10" x14ac:dyDescent="0.3">
      <c r="A8147" t="str">
        <f>HYPERLINK("https://us2.cloudbeds.com/connect/10074733072513#/reservations/31679553212668?display=MHAT0D6SU&amp;reservation_id=31679553212668", "MHAT0D6SU")</f>
        <v>MHAT0D6SU</v>
      </c>
      <c r="B8147" t="s">
        <v>10</v>
      </c>
      <c r="C8147" t="s">
        <v>42</v>
      </c>
      <c r="D8147" t="str">
        <f>HYPERLINK("https://us2.cloudbeds.com/connect/10074733072513#/reservations/31679553212668?display=Natalie%20Vote,%20Jesse&amp;reservation_id=31679553212668&amp;guest_id=31679553212616", "Natalie Vote, Jesse")</f>
        <v>Natalie Vote, Jesse</v>
      </c>
      <c r="E8147" t="s">
        <v>6212</v>
      </c>
      <c r="F8147" t="s">
        <v>5569</v>
      </c>
      <c r="G8147">
        <v>109</v>
      </c>
      <c r="H8147">
        <v>118.49</v>
      </c>
      <c r="I8147">
        <v>118.48</v>
      </c>
      <c r="J8147">
        <v>0.01</v>
      </c>
    </row>
    <row r="8148" spans="1:10" x14ac:dyDescent="0.3">
      <c r="A8148" t="str">
        <f>HYPERLINK("https://us2.cloudbeds.com/connect/10074733072513#/reservations/31677850919140?display=MH9XGWCJX&amp;reservation_id=31677850919140", "MH9XGWCJX")</f>
        <v>MH9XGWCJX</v>
      </c>
      <c r="B8148" t="s">
        <v>10</v>
      </c>
      <c r="C8148" t="s">
        <v>42</v>
      </c>
      <c r="D8148" t="str">
        <f>HYPERLINK("https://us2.cloudbeds.com/connect/10074733072513#/reservations/31677850919140?display=Steve%20Walling&amp;reservation_id=31677850919140&amp;guest_id=30682045112563", "Steve Walling")</f>
        <v>Steve Walling</v>
      </c>
      <c r="E8148" t="s">
        <v>4038</v>
      </c>
      <c r="F8148" t="s">
        <v>6186</v>
      </c>
      <c r="G8148">
        <v>89</v>
      </c>
      <c r="H8148">
        <v>96.75</v>
      </c>
      <c r="I8148">
        <v>96.74</v>
      </c>
      <c r="J8148">
        <v>0.01</v>
      </c>
    </row>
    <row r="8149" spans="1:10" x14ac:dyDescent="0.3">
      <c r="A8149" t="str">
        <f>HYPERLINK("https://us2.cloudbeds.com/connect/10074733072513#/reservations/31679551209638?display=MHASVNFX0&amp;reservation_id=31679551209638", "MHASVNFX0")</f>
        <v>MHASVNFX0</v>
      </c>
      <c r="B8149" t="s">
        <v>10</v>
      </c>
      <c r="C8149" t="s">
        <v>42</v>
      </c>
      <c r="D8149" t="str">
        <f>HYPERLINK("https://us2.cloudbeds.com/connect/10074733072513#/reservations/31679551209638?display=Kristen%20Vote,Jesse&amp;reservation_id=31679551209638&amp;guest_id=31679543136471", "Kristen Vote,Jesse")</f>
        <v>Kristen Vote,Jesse</v>
      </c>
      <c r="E8149" t="s">
        <v>6212</v>
      </c>
      <c r="F8149" t="s">
        <v>5569</v>
      </c>
      <c r="G8149">
        <v>109</v>
      </c>
      <c r="H8149">
        <v>118.49</v>
      </c>
      <c r="I8149">
        <v>118.48</v>
      </c>
      <c r="J8149">
        <v>0.01</v>
      </c>
    </row>
    <row r="8150" spans="1:10" x14ac:dyDescent="0.3">
      <c r="A8150" t="str">
        <f>HYPERLINK("https://us2.cloudbeds.com/connect/10074733072513#/reservations/31679580975298?display=MHATNQZXZ&amp;reservation_id=31679580975298", "MHATNQZXZ")</f>
        <v>MHATNQZXZ</v>
      </c>
      <c r="B8150" t="s">
        <v>10</v>
      </c>
      <c r="C8150" t="s">
        <v>42</v>
      </c>
      <c r="D8150" t="str">
        <f>HYPERLINK("https://us2.cloudbeds.com/connect/10074733072513#/reservations/31679580975298?display=April%20Vote,%20Jesse&amp;reservation_id=31679580975298&amp;guest_id=31679568703655", "April Vote, Jesse")</f>
        <v>April Vote, Jesse</v>
      </c>
      <c r="E8150" t="s">
        <v>6216</v>
      </c>
      <c r="F8150" t="s">
        <v>5569</v>
      </c>
      <c r="G8150">
        <v>218</v>
      </c>
      <c r="H8150">
        <v>236.98</v>
      </c>
      <c r="I8150">
        <v>236.97</v>
      </c>
      <c r="J8150">
        <v>0.01</v>
      </c>
    </row>
    <row r="8151" spans="1:10" x14ac:dyDescent="0.3">
      <c r="A8151" t="str">
        <f>HYPERLINK("https://us2.cloudbeds.com/connect/10074733072513#/reservations/31685311668449?display=MHFB52Z1V&amp;reservation_id=31685311668449", "MHFB52Z1V")</f>
        <v>MHFB52Z1V</v>
      </c>
      <c r="B8151" t="s">
        <v>10</v>
      </c>
      <c r="C8151" t="s">
        <v>42</v>
      </c>
      <c r="D8151" t="str">
        <f>HYPERLINK("https://us2.cloudbeds.com/connect/10074733072513#/reservations/31685311668449?display=Deb%20Sayler&amp;reservation_id=31685311668449&amp;guest_id=31685311668438", "Deb Sayler")</f>
        <v>Deb Sayler</v>
      </c>
      <c r="E8151" t="s">
        <v>6217</v>
      </c>
      <c r="F8151" t="s">
        <v>5661</v>
      </c>
      <c r="G8151">
        <v>258</v>
      </c>
      <c r="H8151">
        <v>280.45999999999998</v>
      </c>
      <c r="I8151">
        <v>280.45</v>
      </c>
      <c r="J8151">
        <v>0.01</v>
      </c>
    </row>
    <row r="8152" spans="1:10" x14ac:dyDescent="0.3">
      <c r="A8152" t="str">
        <f>HYPERLINK("https://us2.cloudbeds.com/connect/10074733072513#/reservations/31679559430344?display=MHAT5Y7DA&amp;reservation_id=31679559430344", "MHAT5Y7DA")</f>
        <v>MHAT5Y7DA</v>
      </c>
      <c r="B8152" t="s">
        <v>10</v>
      </c>
      <c r="C8152" t="s">
        <v>42</v>
      </c>
      <c r="D8152" t="str">
        <f>HYPERLINK("https://us2.cloudbeds.com/connect/10074733072513#/reservations/31679559430344?display=Tammy%20Vote,%20Jesse&amp;reservation_id=31679559430344&amp;guest_id=31679559426258", "Tammy Vote, Jesse")</f>
        <v>Tammy Vote, Jesse</v>
      </c>
      <c r="E8152" t="s">
        <v>6218</v>
      </c>
      <c r="F8152" t="s">
        <v>5569</v>
      </c>
      <c r="G8152">
        <v>109</v>
      </c>
      <c r="H8152">
        <v>118.49</v>
      </c>
      <c r="I8152">
        <v>118.48</v>
      </c>
      <c r="J8152">
        <v>0.01</v>
      </c>
    </row>
    <row r="8153" spans="1:10" x14ac:dyDescent="0.3">
      <c r="A8153" t="str">
        <f>HYPERLINK("https://us2.cloudbeds.com/connect/10074733072513#/reservations/31679785341087?display=MHB1V4H9E&amp;reservation_id=31679785341087", "MHB1V4H9E")</f>
        <v>MHB1V4H9E</v>
      </c>
      <c r="B8153" t="s">
        <v>10</v>
      </c>
      <c r="C8153" t="s">
        <v>20</v>
      </c>
      <c r="D8153" t="str">
        <f>HYPERLINK("https://us2.cloudbeds.com/connect/10074733072513#/reservations/31679785341087?display=Heather%20Smith&amp;reservation_id=31679785341087&amp;guest_id=31679785336998", "Heather Smith")</f>
        <v>Heather Smith</v>
      </c>
      <c r="E8153" t="s">
        <v>6219</v>
      </c>
      <c r="F8153" t="s">
        <v>5688</v>
      </c>
      <c r="G8153">
        <v>378</v>
      </c>
      <c r="H8153">
        <v>410.9</v>
      </c>
      <c r="I8153">
        <v>410.89</v>
      </c>
      <c r="J8153">
        <v>0.01</v>
      </c>
    </row>
    <row r="8154" spans="1:10" x14ac:dyDescent="0.3">
      <c r="A8154" t="str">
        <f>HYPERLINK("https://us2.cloudbeds.com/connect/10074733072513#/reservations/31677081694365?display=MH8VSBXZS&amp;reservation_id=31677081694365", "MH8VSBXZS")</f>
        <v>MH8VSBXZS</v>
      </c>
      <c r="B8154" t="s">
        <v>10</v>
      </c>
      <c r="C8154" t="s">
        <v>23</v>
      </c>
      <c r="D8154" t="str">
        <f>HYPERLINK("https://us2.cloudbeds.com/connect/10074733072513#/reservations/31677081694365?display=Jennifer%20Egger&amp;reservation_id=31677081694365&amp;guest_id=31677074432207", "Jennifer Egger")</f>
        <v>Jennifer Egger</v>
      </c>
      <c r="E8154" t="s">
        <v>6220</v>
      </c>
      <c r="F8154" t="s">
        <v>4676</v>
      </c>
      <c r="G8154">
        <v>159</v>
      </c>
      <c r="H8154">
        <v>172.84</v>
      </c>
      <c r="I8154">
        <v>172.83</v>
      </c>
      <c r="J8154">
        <v>0.01</v>
      </c>
    </row>
    <row r="8155" spans="1:10" x14ac:dyDescent="0.3">
      <c r="A8155" t="str">
        <f>HYPERLINK("https://us2.cloudbeds.com/connect/10074733072513#/reservations/31679803658456?display=MHB2DJ7Y7&amp;reservation_id=31679803658456", "MHB2DJ7Y7")</f>
        <v>MHB2DJ7Y7</v>
      </c>
      <c r="B8155" t="s">
        <v>10</v>
      </c>
      <c r="C8155" t="s">
        <v>20</v>
      </c>
      <c r="D8155" t="str">
        <f>HYPERLINK("https://us2.cloudbeds.com/connect/10074733072513#/reservations/31679803658456?display=Andrea%20Lowe&amp;reservation_id=31679803658456&amp;guest_id=31679797469374", "Andrea Lowe")</f>
        <v>Andrea Lowe</v>
      </c>
      <c r="E8155" t="s">
        <v>6219</v>
      </c>
      <c r="F8155" t="s">
        <v>5688</v>
      </c>
      <c r="G8155">
        <v>378</v>
      </c>
      <c r="H8155">
        <v>410.9</v>
      </c>
      <c r="I8155">
        <v>410.89</v>
      </c>
      <c r="J8155">
        <v>0.01</v>
      </c>
    </row>
    <row r="8156" spans="1:10" x14ac:dyDescent="0.3">
      <c r="A8156" t="str">
        <f>HYPERLINK("https://us2.cloudbeds.com/connect/10074733072513#/reservations/31682580308101?display=MHD7BUJRX&amp;reservation_id=31682580308101", "MHD7BUJRX")</f>
        <v>MHD7BUJRX</v>
      </c>
      <c r="B8156" t="s">
        <v>10</v>
      </c>
      <c r="C8156" t="s">
        <v>23</v>
      </c>
      <c r="D8156" t="str">
        <f>HYPERLINK("https://us2.cloudbeds.com/connect/10074733072513#/reservations/31682580308101?display=Stephanie%20Howes&amp;reservation_id=31682580308101&amp;guest_id=31682571722985", "Stephanie Howes")</f>
        <v>Stephanie Howes</v>
      </c>
      <c r="E8156" t="s">
        <v>6222</v>
      </c>
      <c r="F8156" t="s">
        <v>4600</v>
      </c>
      <c r="G8156">
        <v>229</v>
      </c>
      <c r="H8156">
        <v>248.93</v>
      </c>
      <c r="I8156">
        <v>248.92</v>
      </c>
      <c r="J8156">
        <v>0.01</v>
      </c>
    </row>
    <row r="8157" spans="1:10" x14ac:dyDescent="0.3">
      <c r="A8157" t="str">
        <f>HYPERLINK("https://us2.cloudbeds.com/connect/10074733072513#/reservations/31683433795737?display=MHDT5K518&amp;reservation_id=31683433795737", "MHDT5K518")</f>
        <v>MHDT5K518</v>
      </c>
      <c r="B8157" t="s">
        <v>10</v>
      </c>
      <c r="C8157" t="s">
        <v>42</v>
      </c>
      <c r="D8157" t="str">
        <f>HYPERLINK("https://us2.cloudbeds.com/connect/10074733072513#/reservations/31683433795737?display=Diane%20Ackerson&amp;reservation_id=31683433795737&amp;guest_id=31683433795734", "Diane Ackerson")</f>
        <v>Diane Ackerson</v>
      </c>
      <c r="E8157" t="s">
        <v>6225</v>
      </c>
      <c r="F8157" t="s">
        <v>5661</v>
      </c>
      <c r="G8157">
        <v>258</v>
      </c>
      <c r="H8157">
        <v>280.45999999999998</v>
      </c>
      <c r="I8157">
        <v>280.45</v>
      </c>
      <c r="J8157">
        <v>0.01</v>
      </c>
    </row>
    <row r="8158" spans="1:10" x14ac:dyDescent="0.3">
      <c r="A8158" t="str">
        <f>HYPERLINK("https://us2.cloudbeds.com/connect/10074733072513#/reservations/31677630091481?display=MH9CSPHCA&amp;reservation_id=31677630091481", "MH9CSPHCA")</f>
        <v>MH9CSPHCA</v>
      </c>
      <c r="B8158" t="s">
        <v>10</v>
      </c>
      <c r="C8158" t="s">
        <v>42</v>
      </c>
      <c r="D8158" t="str">
        <f>HYPERLINK("https://us2.cloudbeds.com/connect/10074733072513#/reservations/31677630091481?display=Paula%20Freiberg&amp;reservation_id=31677630091481&amp;guest_id=31677630091475", "Paula Freiberg")</f>
        <v>Paula Freiberg</v>
      </c>
      <c r="E8158" t="s">
        <v>6227</v>
      </c>
      <c r="F8158" t="s">
        <v>6186</v>
      </c>
      <c r="G8158">
        <v>119</v>
      </c>
      <c r="H8158">
        <v>129.36000000000001</v>
      </c>
      <c r="I8158">
        <v>129.35</v>
      </c>
      <c r="J8158">
        <v>0.01</v>
      </c>
    </row>
    <row r="8159" spans="1:10" x14ac:dyDescent="0.3">
      <c r="A8159" t="str">
        <f>HYPERLINK("https://us2.cloudbeds.com/connect/10074733072513#/reservations/31677299302619?display=MH94DRRMD&amp;reservation_id=31677299302619", "MH94DRRMD")</f>
        <v>MH94DRRMD</v>
      </c>
      <c r="B8159" t="s">
        <v>10</v>
      </c>
      <c r="C8159" t="s">
        <v>23</v>
      </c>
      <c r="D8159" t="str">
        <f>HYPERLINK("https://us2.cloudbeds.com/connect/10074733072513#/reservations/31677299302619?display=Jessica%20Williams&amp;reservation_id=31677299302619&amp;guest_id=31677299298522", "Jessica Williams")</f>
        <v>Jessica Williams</v>
      </c>
      <c r="E8159" t="s">
        <v>6229</v>
      </c>
      <c r="F8159" t="s">
        <v>6186</v>
      </c>
      <c r="G8159">
        <v>169</v>
      </c>
      <c r="H8159">
        <v>183.71</v>
      </c>
      <c r="I8159">
        <v>183.7</v>
      </c>
      <c r="J8159">
        <v>0.01</v>
      </c>
    </row>
    <row r="8160" spans="1:10" x14ac:dyDescent="0.3">
      <c r="A8160" t="str">
        <f>HYPERLINK("https://us2.cloudbeds.com/connect/10074733072513#/reservations/31677882020031?display=MH9JA6QMJ&amp;reservation_id=31677882020031", "MH9JA6QMJ")</f>
        <v>MH9JA6QMJ</v>
      </c>
      <c r="B8160" t="s">
        <v>10</v>
      </c>
      <c r="C8160" t="s">
        <v>42</v>
      </c>
      <c r="D8160" t="str">
        <f>HYPERLINK("https://us2.cloudbeds.com/connect/10074733072513#/reservations/31677882020031?display=Davion%20Hurst&amp;reservation_id=31677882020031&amp;guest_id=31677882019986", "Davion Hurst")</f>
        <v>Davion Hurst</v>
      </c>
      <c r="E8160" t="s">
        <v>6230</v>
      </c>
      <c r="F8160" t="s">
        <v>6186</v>
      </c>
      <c r="G8160">
        <v>73</v>
      </c>
      <c r="H8160">
        <v>79.36</v>
      </c>
      <c r="I8160">
        <v>79.349999999999994</v>
      </c>
      <c r="J8160">
        <v>0.01</v>
      </c>
    </row>
    <row r="8161" spans="1:10" x14ac:dyDescent="0.3">
      <c r="A8161" t="str">
        <f>HYPERLINK("https://us2.cloudbeds.com/connect/10074733072513#/reservations/31680807837907?display=MHBS2B05X&amp;reservation_id=31680807837907", "MHBS2B05X")</f>
        <v>MHBS2B05X</v>
      </c>
      <c r="B8161" t="s">
        <v>10</v>
      </c>
      <c r="C8161" t="s">
        <v>42</v>
      </c>
      <c r="D8161" t="str">
        <f>HYPERLINK("https://us2.cloudbeds.com/connect/10074733072513#/reservations/31680807837907?display=Jetty%20Steelman&amp;reservation_id=31680807837907&amp;guest_id=30670156488918", "Jetty Steelman")</f>
        <v>Jetty Steelman</v>
      </c>
      <c r="E8161" t="s">
        <v>5528</v>
      </c>
      <c r="F8161" t="s">
        <v>5569</v>
      </c>
      <c r="G8161">
        <v>73</v>
      </c>
      <c r="H8161">
        <v>79.36</v>
      </c>
      <c r="I8161">
        <v>79.349999999999994</v>
      </c>
      <c r="J8161">
        <v>0.01</v>
      </c>
    </row>
    <row r="8162" spans="1:10" x14ac:dyDescent="0.3">
      <c r="A8162" t="str">
        <f>HYPERLINK("https://us2.cloudbeds.com/connect/10074733072513#/reservations/31678226022528?display=MH9S392EN&amp;reservation_id=31678226022528", "MH9S392EN")</f>
        <v>MH9S392EN</v>
      </c>
      <c r="B8162" t="s">
        <v>10</v>
      </c>
      <c r="C8162" t="s">
        <v>42</v>
      </c>
      <c r="D8162" t="str">
        <f>HYPERLINK("https://us2.cloudbeds.com/connect/10074733072513#/reservations/31678226022528?display=Peter%20Van%20Wyhe&amp;reservation_id=31678226022528&amp;guest_id=31678226018436", "Peter Van Wyhe")</f>
        <v>Peter Van Wyhe</v>
      </c>
      <c r="E8162" t="s">
        <v>6231</v>
      </c>
      <c r="F8162" t="s">
        <v>5789</v>
      </c>
      <c r="G8162">
        <v>139</v>
      </c>
      <c r="H8162">
        <v>151.1</v>
      </c>
      <c r="I8162">
        <v>151.09</v>
      </c>
      <c r="J8162">
        <v>0.01</v>
      </c>
    </row>
    <row r="8163" spans="1:10" x14ac:dyDescent="0.3">
      <c r="A8163" t="str">
        <f>HYPERLINK("https://us2.cloudbeds.com/connect/10074733072513#/reservations/31677318381710?display=MH94TUZGM&amp;reservation_id=31677318381710", "MH94TUZGM")</f>
        <v>MH94TUZGM</v>
      </c>
      <c r="B8163" t="s">
        <v>10</v>
      </c>
      <c r="C8163" t="s">
        <v>42</v>
      </c>
      <c r="D8163" t="str">
        <f>HYPERLINK("https://us2.cloudbeds.com/connect/10074733072513#/reservations/31677318381710?display=Jetty%20Steelman&amp;reservation_id=31677318381710&amp;guest_id=30670156488918", "Jetty Steelman")</f>
        <v>Jetty Steelman</v>
      </c>
      <c r="E8163" t="s">
        <v>5528</v>
      </c>
      <c r="F8163" t="s">
        <v>6186</v>
      </c>
      <c r="G8163">
        <v>73</v>
      </c>
      <c r="H8163">
        <v>79.36</v>
      </c>
      <c r="I8163">
        <v>79.349999999999994</v>
      </c>
      <c r="J8163">
        <v>0.01</v>
      </c>
    </row>
    <row r="8164" spans="1:10" x14ac:dyDescent="0.3">
      <c r="A8164" t="str">
        <f>HYPERLINK("https://us2.cloudbeds.com/connect/10074733072513#/reservations/31678493868242?display=MHA1V4CQJ&amp;reservation_id=31678493868242", "MHA1V4CQJ")</f>
        <v>MHA1V4CQJ</v>
      </c>
      <c r="B8164" t="s">
        <v>10</v>
      </c>
      <c r="C8164" t="s">
        <v>11</v>
      </c>
      <c r="D8164" t="str">
        <f>HYPERLINK("https://us2.cloudbeds.com/connect/10074733072513#/reservations/31678493868242?display=Brian%20Anstine&amp;reservation_id=31678493868242&amp;guest_id=31678483447997", "Brian Anstine")</f>
        <v>Brian Anstine</v>
      </c>
      <c r="E8164" t="s">
        <v>6236</v>
      </c>
      <c r="F8164" t="s">
        <v>4600</v>
      </c>
      <c r="G8164">
        <v>219</v>
      </c>
      <c r="H8164">
        <v>238.06</v>
      </c>
      <c r="I8164">
        <v>238.05</v>
      </c>
      <c r="J8164">
        <v>0.01</v>
      </c>
    </row>
    <row r="8165" spans="1:10" x14ac:dyDescent="0.3">
      <c r="A8165" t="str">
        <f>HYPERLINK("https://us2.cloudbeds.com/connect/10074733072513#/reservations/31679235502254?display=MHAKTGEPK&amp;reservation_id=31679235502254", "MHAKTGEPK")</f>
        <v>MHAKTGEPK</v>
      </c>
      <c r="B8165" t="s">
        <v>10</v>
      </c>
      <c r="C8165" t="s">
        <v>11</v>
      </c>
      <c r="D8165" t="str">
        <f>HYPERLINK("https://us2.cloudbeds.com/connect/10074733072513#/reservations/31679235502254?display=Latrice%20Williams&amp;reservation_id=31679235502254&amp;guest_id=31679219228893", "Latrice Williams")</f>
        <v>Latrice Williams</v>
      </c>
      <c r="E8165" t="s">
        <v>6237</v>
      </c>
      <c r="F8165" t="s">
        <v>6224</v>
      </c>
      <c r="G8165">
        <v>204.77</v>
      </c>
      <c r="H8165">
        <v>222.59</v>
      </c>
      <c r="I8165">
        <v>222.58</v>
      </c>
      <c r="J8165">
        <v>0.01</v>
      </c>
    </row>
    <row r="8166" spans="1:10" x14ac:dyDescent="0.3">
      <c r="A8166" t="str">
        <f>HYPERLINK("https://us2.cloudbeds.com/connect/10074733072513#/reservations/31682454122696?display=MHD44HA3D&amp;reservation_id=31682454122696", "MHD44HA3D")</f>
        <v>MHD44HA3D</v>
      </c>
      <c r="B8166" t="s">
        <v>10</v>
      </c>
      <c r="C8166" t="s">
        <v>42</v>
      </c>
      <c r="D8166" t="str">
        <f>HYPERLINK("https://us2.cloudbeds.com/connect/10074733072513#/reservations/31682454122696?display=Aaron%20Koupal&amp;reservation_id=31682454122696&amp;guest_id=31682454118645", "Aaron Koupal")</f>
        <v>Aaron Koupal</v>
      </c>
      <c r="E8166" t="s">
        <v>6238</v>
      </c>
      <c r="F8166" t="s">
        <v>5283</v>
      </c>
      <c r="G8166">
        <v>218</v>
      </c>
      <c r="H8166">
        <v>236.98</v>
      </c>
      <c r="I8166">
        <v>236.97</v>
      </c>
      <c r="J8166">
        <v>0.01</v>
      </c>
    </row>
    <row r="8167" spans="1:10" x14ac:dyDescent="0.3">
      <c r="A8167" t="str">
        <f>HYPERLINK("https://us2.cloudbeds.com/connect/10074733072513#/reservations/31677085671604?display=MH8VVN7V8&amp;reservation_id=31677085671604", "MH8VVN7V8")</f>
        <v>MH8VVN7V8</v>
      </c>
      <c r="B8167" t="s">
        <v>10</v>
      </c>
      <c r="C8167" t="s">
        <v>121</v>
      </c>
      <c r="D8167" t="str">
        <f>HYPERLINK("https://us2.cloudbeds.com/connect/10074733072513#/reservations/31677085671604?display=Kevin%20Hurst&amp;reservation_id=31677085671604&amp;guest_id=31677085671552", "Kevin Hurst")</f>
        <v>Kevin Hurst</v>
      </c>
      <c r="E8167" t="s">
        <v>6239</v>
      </c>
      <c r="F8167" t="s">
        <v>4676</v>
      </c>
      <c r="G8167">
        <v>139</v>
      </c>
      <c r="H8167">
        <v>151.1</v>
      </c>
      <c r="I8167">
        <v>151.09</v>
      </c>
      <c r="J8167">
        <v>0.01</v>
      </c>
    </row>
    <row r="8168" spans="1:10" x14ac:dyDescent="0.3">
      <c r="A8168" t="str">
        <f>HYPERLINK("https://us2.cloudbeds.com/connect/10074733072513#/reservations/31677275365627?display=MH93QYZVW&amp;reservation_id=31677275365627", "MH93QYZVW")</f>
        <v>MH93QYZVW</v>
      </c>
      <c r="B8168" t="s">
        <v>10</v>
      </c>
      <c r="C8168" t="s">
        <v>42</v>
      </c>
      <c r="D8168" t="str">
        <f>HYPERLINK("https://us2.cloudbeds.com/connect/10074733072513#/reservations/31677275365627?display=Kevin%20Campbell&amp;reservation_id=31677275365627&amp;guest_id=31671815106813", "Kevin Campbell")</f>
        <v>Kevin Campbell</v>
      </c>
      <c r="E8168" t="s">
        <v>5765</v>
      </c>
      <c r="F8168" t="s">
        <v>6186</v>
      </c>
      <c r="G8168">
        <v>89</v>
      </c>
      <c r="H8168">
        <v>96.75</v>
      </c>
      <c r="I8168">
        <v>96.74</v>
      </c>
      <c r="J8168">
        <v>0.01</v>
      </c>
    </row>
    <row r="8169" spans="1:10" x14ac:dyDescent="0.3">
      <c r="A8169" t="str">
        <f>HYPERLINK("https://us2.cloudbeds.com/connect/10074733072513#/reservations/31677864706248?display=MH9XSK0UN&amp;reservation_id=31677864706248", "MH9XSK0UN")</f>
        <v>MH9XSK0UN</v>
      </c>
      <c r="B8169" t="s">
        <v>10</v>
      </c>
      <c r="C8169" t="s">
        <v>11</v>
      </c>
      <c r="D8169" t="str">
        <f>HYPERLINK("https://us2.cloudbeds.com/connect/10074733072513#/reservations/31677864706248?display=Wendy%20Dalsing&amp;reservation_id=31677864706248&amp;guest_id=31677857476791", "Wendy Dalsing")</f>
        <v>Wendy Dalsing</v>
      </c>
      <c r="E8169" t="s">
        <v>6240</v>
      </c>
      <c r="F8169" t="s">
        <v>6186</v>
      </c>
      <c r="G8169">
        <v>87.84</v>
      </c>
      <c r="H8169">
        <v>95.49</v>
      </c>
      <c r="I8169">
        <v>95.48</v>
      </c>
      <c r="J8169">
        <v>0.01</v>
      </c>
    </row>
    <row r="8170" spans="1:10" x14ac:dyDescent="0.3">
      <c r="A8170" t="str">
        <f>HYPERLINK("https://us2.cloudbeds.com/connect/10074733072513#/reservations/31679290867946?display=MHAMA62KS&amp;reservation_id=31679290867946", "MHAMA62KS")</f>
        <v>MHAMA62KS</v>
      </c>
      <c r="B8170" t="s">
        <v>10</v>
      </c>
      <c r="C8170" t="s">
        <v>11</v>
      </c>
      <c r="D8170" t="str">
        <f>HYPERLINK("https://us2.cloudbeds.com/connect/10074733072513#/reservations/31679290867946?display=Chad%20Aldrich&amp;reservation_id=31679290867946&amp;guest_id=31679290867931", "Chad Aldrich")</f>
        <v>Chad Aldrich</v>
      </c>
      <c r="E8170" t="s">
        <v>6246</v>
      </c>
      <c r="F8170" t="s">
        <v>6224</v>
      </c>
      <c r="G8170">
        <v>87.84</v>
      </c>
      <c r="H8170">
        <v>95.49</v>
      </c>
      <c r="I8170">
        <v>95.48</v>
      </c>
      <c r="J8170">
        <v>0.01</v>
      </c>
    </row>
    <row r="8171" spans="1:10" x14ac:dyDescent="0.3">
      <c r="A8171" t="str">
        <f>HYPERLINK("https://us2.cloudbeds.com/connect/10074733072513#/reservations/31678787969165?display=MHA9F45US&amp;reservation_id=31678787969165", "MHA9F45US")</f>
        <v>MHA9F45US</v>
      </c>
      <c r="B8171" t="s">
        <v>10</v>
      </c>
      <c r="C8171" t="s">
        <v>20</v>
      </c>
      <c r="D8171" t="str">
        <f>HYPERLINK("https://us2.cloudbeds.com/connect/10074733072513#/reservations/31678787969165?display=Scott%20Tice&amp;reservation_id=31678787969165&amp;guest_id=31678787965074", "Scott Tice")</f>
        <v>Scott Tice</v>
      </c>
      <c r="E8171" t="s">
        <v>6247</v>
      </c>
      <c r="F8171" t="s">
        <v>4633</v>
      </c>
      <c r="G8171">
        <v>209</v>
      </c>
      <c r="H8171">
        <v>227.19</v>
      </c>
      <c r="I8171">
        <v>227.18</v>
      </c>
      <c r="J8171">
        <v>0.01</v>
      </c>
    </row>
    <row r="8172" spans="1:10" x14ac:dyDescent="0.3">
      <c r="A8172" t="str">
        <f>HYPERLINK("https://us2.cloudbeds.com/connect/10074733072513#/reservations/31679280611476?display=MHAM1HMCZ&amp;reservation_id=31679280611476", "MHAM1HMCZ")</f>
        <v>MHAM1HMCZ</v>
      </c>
      <c r="B8172" t="s">
        <v>10</v>
      </c>
      <c r="C8172" t="s">
        <v>11</v>
      </c>
      <c r="D8172" t="str">
        <f>HYPERLINK("https://us2.cloudbeds.com/connect/10074733072513#/reservations/31679280611476?display=Luis%20Ramirez&amp;reservation_id=31679280611476&amp;guest_id=31679280611463", "Luis Ramirez")</f>
        <v>Luis Ramirez</v>
      </c>
      <c r="E8172" t="s">
        <v>6249</v>
      </c>
      <c r="F8172" t="s">
        <v>6224</v>
      </c>
      <c r="G8172">
        <v>97.74</v>
      </c>
      <c r="H8172">
        <v>106.25</v>
      </c>
      <c r="I8172">
        <v>106.24</v>
      </c>
      <c r="J8172">
        <v>0.01</v>
      </c>
    </row>
    <row r="8173" spans="1:10" x14ac:dyDescent="0.3">
      <c r="A8173" t="str">
        <f>HYPERLINK("https://us2.cloudbeds.com/connect/10074733072513#/reservations/31679260876963?display=MHAYHTHN6&amp;reservation_id=31679260876963", "MHAYHTHN6")</f>
        <v>MHAYHTHN6</v>
      </c>
      <c r="B8173" t="s">
        <v>10</v>
      </c>
      <c r="C8173" t="s">
        <v>14</v>
      </c>
      <c r="D8173" t="str">
        <f>HYPERLINK("https://us2.cloudbeds.com/connect/10074733072513#/reservations/31679260876963?display=Pamela%20Countouris&amp;reservation_id=31679260876963&amp;guest_id=31679260876960", "Pamela Countouris")</f>
        <v>Pamela Countouris</v>
      </c>
      <c r="E8173" t="s">
        <v>6250</v>
      </c>
      <c r="F8173" t="s">
        <v>6224</v>
      </c>
      <c r="G8173">
        <v>87.84</v>
      </c>
      <c r="H8173">
        <v>95.49</v>
      </c>
      <c r="I8173">
        <v>95.48</v>
      </c>
      <c r="J8173">
        <v>0.01</v>
      </c>
    </row>
    <row r="8174" spans="1:10" x14ac:dyDescent="0.3">
      <c r="A8174" t="str">
        <f>HYPERLINK("https://us2.cloudbeds.com/connect/10074733072513#/reservations/31678984265955?display=MHAEFYE3E&amp;reservation_id=31678984265955", "MHAEFYE3E")</f>
        <v>MHAEFYE3E</v>
      </c>
      <c r="B8174" t="s">
        <v>10</v>
      </c>
      <c r="C8174" t="s">
        <v>42</v>
      </c>
      <c r="D8174" t="str">
        <f>HYPERLINK("https://us2.cloudbeds.com/connect/10074733072513#/reservations/31678984265955?display=Adrian%20Fishburn&amp;reservation_id=31678984265955&amp;guest_id=31678984261853", "Adrian Fishburn")</f>
        <v>Adrian Fishburn</v>
      </c>
      <c r="E8174" t="s">
        <v>5890</v>
      </c>
      <c r="F8174" t="s">
        <v>6224</v>
      </c>
      <c r="G8174">
        <v>139</v>
      </c>
      <c r="H8174">
        <v>151.1</v>
      </c>
      <c r="I8174">
        <v>151.09</v>
      </c>
      <c r="J8174">
        <v>0.01</v>
      </c>
    </row>
    <row r="8175" spans="1:10" x14ac:dyDescent="0.3">
      <c r="A8175" t="str">
        <f>HYPERLINK("https://us2.cloudbeds.com/connect/10074733072513#/reservations/31681293095122?display=MHC7FH02Y&amp;reservation_id=31681293095122", "MHC7FH02Y")</f>
        <v>MHC7FH02Y</v>
      </c>
      <c r="B8175" t="s">
        <v>10</v>
      </c>
      <c r="C8175" t="s">
        <v>23</v>
      </c>
      <c r="D8175" t="str">
        <f>HYPERLINK("https://us2.cloudbeds.com/connect/10074733072513#/reservations/31681293095122?display=Meagan%20Burkhart&amp;reservation_id=31681293095122&amp;guest_id=31681293091031", "Meagan Burkhart")</f>
        <v>Meagan Burkhart</v>
      </c>
      <c r="E8175" t="s">
        <v>6251</v>
      </c>
      <c r="F8175" t="s">
        <v>5688</v>
      </c>
      <c r="G8175">
        <v>398</v>
      </c>
      <c r="H8175">
        <v>432.64</v>
      </c>
      <c r="I8175">
        <v>432.63</v>
      </c>
      <c r="J8175">
        <v>0.01</v>
      </c>
    </row>
    <row r="8176" spans="1:10" x14ac:dyDescent="0.3">
      <c r="A8176" t="str">
        <f>HYPERLINK("https://us2.cloudbeds.com/connect/10074733072513#/reservations/31680600195290?display=MHBMP81E1&amp;reservation_id=31680600195290", "MHBMP81E1")</f>
        <v>MHBMP81E1</v>
      </c>
      <c r="B8176" t="s">
        <v>10</v>
      </c>
      <c r="C8176" t="s">
        <v>42</v>
      </c>
      <c r="D8176" t="str">
        <f>HYPERLINK("https://us2.cloudbeds.com/connect/10074733072513#/reservations/31680600195290?display=Chris%20Wold&amp;reservation_id=31680600195290&amp;guest_id=31680592650377", "Chris Wold")</f>
        <v>Chris Wold</v>
      </c>
      <c r="E8176" t="s">
        <v>6253</v>
      </c>
      <c r="F8176" t="s">
        <v>5366</v>
      </c>
      <c r="G8176">
        <v>298</v>
      </c>
      <c r="H8176">
        <v>323.94</v>
      </c>
      <c r="I8176">
        <v>323.93</v>
      </c>
      <c r="J8176">
        <v>0.01</v>
      </c>
    </row>
    <row r="8177" spans="1:10" x14ac:dyDescent="0.3">
      <c r="A8177" t="str">
        <f>HYPERLINK("https://us2.cloudbeds.com/connect/10074733072513#/reservations/31680643145927?display=MHBNSF6SG&amp;reservation_id=31680643145927", "MHBNSF6SG")</f>
        <v>MHBNSF6SG</v>
      </c>
      <c r="B8177" t="s">
        <v>10</v>
      </c>
      <c r="C8177" t="s">
        <v>23</v>
      </c>
      <c r="D8177" t="str">
        <f>HYPERLINK("https://us2.cloudbeds.com/connect/10074733072513#/reservations/31680643145927?display=Gerald%20Fernow&amp;reservation_id=31680643145927&amp;guest_id=31680638873759", "Gerald Fernow")</f>
        <v>Gerald Fernow</v>
      </c>
      <c r="E8177" t="s">
        <v>6254</v>
      </c>
      <c r="F8177" t="s">
        <v>6224</v>
      </c>
      <c r="G8177">
        <v>149</v>
      </c>
      <c r="H8177">
        <v>161.97</v>
      </c>
      <c r="I8177">
        <v>161.96</v>
      </c>
      <c r="J8177">
        <v>0.01</v>
      </c>
    </row>
    <row r="8178" spans="1:10" x14ac:dyDescent="0.3">
      <c r="A8178" t="str">
        <f>HYPERLINK("https://us2.cloudbeds.com/connect/10074733072513#/reservations/31677915680975?display=MH9K5JFMD&amp;reservation_id=31677915680975", "MH9K5JFMD")</f>
        <v>MH9K5JFMD</v>
      </c>
      <c r="B8178" t="s">
        <v>10</v>
      </c>
      <c r="C8178" t="s">
        <v>121</v>
      </c>
      <c r="D8178" t="str">
        <f>HYPERLINK("https://us2.cloudbeds.com/connect/10074733072513#/reservations/31677915680975?display=Roberts%20Taylor&amp;reservation_id=31677915680975&amp;guest_id=31677915680972", "Roberts Taylor")</f>
        <v>Roberts Taylor</v>
      </c>
      <c r="E8178" t="s">
        <v>6255</v>
      </c>
      <c r="F8178" t="s">
        <v>6186</v>
      </c>
      <c r="G8178">
        <v>149</v>
      </c>
      <c r="H8178">
        <v>161.97</v>
      </c>
      <c r="I8178">
        <v>161.96</v>
      </c>
      <c r="J8178">
        <v>0.01</v>
      </c>
    </row>
    <row r="8179" spans="1:10" x14ac:dyDescent="0.3">
      <c r="A8179" t="str">
        <f>HYPERLINK("https://us2.cloudbeds.com/connect/10074733072513#/reservations/31678872862967?display=MHABKNFMA&amp;reservation_id=31678872862967", "MHABKNFMA")</f>
        <v>MHABKNFMA</v>
      </c>
      <c r="B8179" t="s">
        <v>10</v>
      </c>
      <c r="C8179" t="s">
        <v>20</v>
      </c>
      <c r="D8179" t="str">
        <f>HYPERLINK("https://us2.cloudbeds.com/connect/10074733072513#/reservations/31678872862967?display=Ethan%20Chase&amp;reservation_id=31678872862967&amp;guest_id=31678872862964", "Ethan Chase")</f>
        <v>Ethan Chase</v>
      </c>
      <c r="E8179" t="s">
        <v>6256</v>
      </c>
      <c r="F8179" t="s">
        <v>6148</v>
      </c>
      <c r="G8179">
        <v>313.2</v>
      </c>
      <c r="H8179">
        <v>340.46</v>
      </c>
      <c r="I8179">
        <v>340.45</v>
      </c>
      <c r="J8179">
        <v>0.01</v>
      </c>
    </row>
    <row r="8180" spans="1:10" x14ac:dyDescent="0.3">
      <c r="A8180" t="str">
        <f>HYPERLINK("https://us2.cloudbeds.com/connect/10074733072513#/reservations/31678431367387?display=MHA0BE6UB&amp;reservation_id=31678431367387", "MHA0BE6UB")</f>
        <v>MHA0BE6UB</v>
      </c>
      <c r="B8180" t="s">
        <v>10</v>
      </c>
      <c r="C8180" t="s">
        <v>42</v>
      </c>
      <c r="D8180" t="str">
        <f>HYPERLINK("https://us2.cloudbeds.com/connect/10074733072513#/reservations/31678431367387?display=Janet%20Ringstmeyer&amp;reservation_id=31678431367387&amp;guest_id=30678113292427", "Janet Ringstmeyer")</f>
        <v>Janet Ringstmeyer</v>
      </c>
      <c r="E8180" t="s">
        <v>3078</v>
      </c>
      <c r="F8180" t="s">
        <v>5789</v>
      </c>
      <c r="G8180">
        <v>278</v>
      </c>
      <c r="H8180">
        <v>302.2</v>
      </c>
      <c r="I8180">
        <v>302.19</v>
      </c>
      <c r="J8180">
        <v>0.01</v>
      </c>
    </row>
    <row r="8181" spans="1:10" x14ac:dyDescent="0.3">
      <c r="A8181" t="str">
        <f>HYPERLINK("https://us2.cloudbeds.com/connect/10074733072513#/reservations/31677342834841?display=MH95HX65Y&amp;reservation_id=31677342834841", "MH95HX65Y")</f>
        <v>MH95HX65Y</v>
      </c>
      <c r="B8181" t="s">
        <v>10</v>
      </c>
      <c r="C8181" t="s">
        <v>11</v>
      </c>
      <c r="D8181" t="str">
        <f>HYPERLINK("https://us2.cloudbeds.com/connect/10074733072513#/reservations/31677342834841?display=Douglas%20Balcom&amp;reservation_id=31677342834841&amp;guest_id=31677342834830", "Douglas Balcom")</f>
        <v>Douglas Balcom</v>
      </c>
      <c r="E8181" t="s">
        <v>6258</v>
      </c>
      <c r="F8181" t="s">
        <v>5938</v>
      </c>
      <c r="G8181">
        <v>87.84</v>
      </c>
      <c r="H8181">
        <v>95.49</v>
      </c>
      <c r="I8181">
        <v>95.48</v>
      </c>
      <c r="J8181">
        <v>0.01</v>
      </c>
    </row>
    <row r="8182" spans="1:10" x14ac:dyDescent="0.3">
      <c r="A8182" t="str">
        <f>HYPERLINK("https://us2.cloudbeds.com/connect/10074733072513#/reservations/31679526883562?display=MHASB6XX7&amp;reservation_id=31679526883562", "MHASB6XX7")</f>
        <v>MHASB6XX7</v>
      </c>
      <c r="B8182" t="s">
        <v>10</v>
      </c>
      <c r="C8182" t="s">
        <v>42</v>
      </c>
      <c r="D8182" t="str">
        <f>HYPERLINK("https://us2.cloudbeds.com/connect/10074733072513#/reservations/31679526883562?display=Craig%20Miller&amp;reservation_id=31679526883562&amp;guest_id=31679517380815", "Craig Miller")</f>
        <v>Craig Miller</v>
      </c>
      <c r="E8182" t="s">
        <v>5622</v>
      </c>
      <c r="F8182" t="s">
        <v>3061</v>
      </c>
      <c r="G8182">
        <v>209</v>
      </c>
      <c r="H8182">
        <v>227.19</v>
      </c>
      <c r="I8182">
        <v>227.18</v>
      </c>
      <c r="J8182">
        <v>0.01</v>
      </c>
    </row>
    <row r="8183" spans="1:10" x14ac:dyDescent="0.3">
      <c r="A8183" t="str">
        <f>HYPERLINK("https://us2.cloudbeds.com/connect/10074733072513#/reservations/31679608053963?display=MHAUDY86B&amp;reservation_id=31679608053963", "MHAUDY86B")</f>
        <v>MHAUDY86B</v>
      </c>
      <c r="B8183" t="s">
        <v>10</v>
      </c>
      <c r="C8183" t="s">
        <v>121</v>
      </c>
      <c r="D8183" t="str">
        <f>HYPERLINK("https://us2.cloudbeds.com/connect/10074733072513#/reservations/31679608053963?display=Douglas%20Burn&amp;reservation_id=31679608053963&amp;guest_id=31679598481585", "Douglas Burn")</f>
        <v>Douglas Burn</v>
      </c>
      <c r="E8183" t="s">
        <v>6260</v>
      </c>
      <c r="F8183" t="s">
        <v>5569</v>
      </c>
      <c r="G8183">
        <v>89</v>
      </c>
      <c r="H8183">
        <v>96.75</v>
      </c>
      <c r="I8183">
        <v>96.74</v>
      </c>
      <c r="J8183">
        <v>0.01</v>
      </c>
    </row>
    <row r="8184" spans="1:10" x14ac:dyDescent="0.3">
      <c r="A8184" t="str">
        <f>HYPERLINK("https://us2.cloudbeds.com/connect/10074733072513#/reservations/31679000424668?display=MHAET927D&amp;reservation_id=31679000424668", "MHAET927D")</f>
        <v>MHAET927D</v>
      </c>
      <c r="B8184" t="s">
        <v>10</v>
      </c>
      <c r="C8184" t="s">
        <v>42</v>
      </c>
      <c r="D8184" t="str">
        <f>HYPERLINK("https://us2.cloudbeds.com/connect/10074733072513#/reservations/31679000424668?display=Triston%20Mendenhall&amp;reservation_id=31679000424668&amp;guest_id=31679000424664", "Triston Mendenhall")</f>
        <v>Triston Mendenhall</v>
      </c>
      <c r="E8184" t="s">
        <v>4257</v>
      </c>
      <c r="F8184" t="s">
        <v>6224</v>
      </c>
      <c r="G8184">
        <v>73</v>
      </c>
      <c r="H8184">
        <v>79.36</v>
      </c>
      <c r="I8184">
        <v>79.349999999999994</v>
      </c>
      <c r="J8184">
        <v>0.01</v>
      </c>
    </row>
    <row r="8185" spans="1:10" x14ac:dyDescent="0.3">
      <c r="A8185" t="str">
        <f>HYPERLINK("https://us2.cloudbeds.com/connect/10074733072513#/reservations/31678976536715?display=MHAE94BX1&amp;reservation_id=31678976536715", "MHAE94BX1")</f>
        <v>MHAE94BX1</v>
      </c>
      <c r="B8185" t="s">
        <v>10</v>
      </c>
      <c r="C8185" t="s">
        <v>42</v>
      </c>
      <c r="D8185" t="str">
        <f>HYPERLINK("https://us2.cloudbeds.com/connect/10074733072513#/reservations/31678976536715?display=Anthony%20Hundley&amp;reservation_id=31678976536715&amp;guest_id=30683363897548", "Anthony Hundley")</f>
        <v>Anthony Hundley</v>
      </c>
      <c r="E8185" t="s">
        <v>4053</v>
      </c>
      <c r="F8185" t="s">
        <v>6224</v>
      </c>
      <c r="G8185">
        <v>73</v>
      </c>
      <c r="H8185">
        <v>79.36</v>
      </c>
      <c r="I8185">
        <v>79.349999999999994</v>
      </c>
      <c r="J8185">
        <v>0.01</v>
      </c>
    </row>
    <row r="8186" spans="1:10" x14ac:dyDescent="0.3">
      <c r="A8186" t="str">
        <f>HYPERLINK("https://us2.cloudbeds.com/connect/10074733072513#/reservations/31679007641783?display=MHAF2BTGS&amp;reservation_id=31679007641783", "MHAF2BTGS")</f>
        <v>MHAF2BTGS</v>
      </c>
      <c r="B8186" t="s">
        <v>10</v>
      </c>
      <c r="C8186" t="s">
        <v>121</v>
      </c>
      <c r="D8186" t="str">
        <f>HYPERLINK("https://us2.cloudbeds.com/connect/10074733072513#/reservations/31679007641783?display=Joanna%20Bodman&amp;reservation_id=31679007641783&amp;guest_id=31679007641780", "Joanna Bodman")</f>
        <v>Joanna Bodman</v>
      </c>
      <c r="E8186" t="s">
        <v>6267</v>
      </c>
      <c r="F8186" t="s">
        <v>6224</v>
      </c>
      <c r="G8186">
        <v>149</v>
      </c>
      <c r="H8186">
        <v>161.97</v>
      </c>
      <c r="I8186">
        <v>161.96</v>
      </c>
      <c r="J8186">
        <v>0.01</v>
      </c>
    </row>
    <row r="8187" spans="1:10" x14ac:dyDescent="0.3">
      <c r="A8187" t="str">
        <f>HYPERLINK("https://us2.cloudbeds.com/connect/10074733072513#/reservations/31677559529691?display=MH9B291B8&amp;reservation_id=31677559529691", "MH9B291B8")</f>
        <v>MH9B291B8</v>
      </c>
      <c r="B8187" t="s">
        <v>10</v>
      </c>
      <c r="C8187" t="s">
        <v>121</v>
      </c>
      <c r="D8187" t="str">
        <f>HYPERLINK("https://us2.cloudbeds.com/connect/10074733072513#/reservations/31677559529691?display=Faulkner%20Jerrell&amp;reservation_id=31677559529691&amp;guest_id=31677559529689", "Faulkner Jerrell")</f>
        <v>Faulkner Jerrell</v>
      </c>
      <c r="E8187" t="s">
        <v>6271</v>
      </c>
      <c r="F8187" t="s">
        <v>6079</v>
      </c>
      <c r="G8187">
        <v>73</v>
      </c>
      <c r="H8187">
        <v>79.36</v>
      </c>
      <c r="I8187">
        <v>79.349999999999994</v>
      </c>
      <c r="J8187">
        <v>0.01</v>
      </c>
    </row>
    <row r="8188" spans="1:10" x14ac:dyDescent="0.3">
      <c r="A8188" t="str">
        <f>HYPERLINK("https://us2.cloudbeds.com/connect/10074733072513#/reservations/31678932824209?display=MHAD58WGY&amp;reservation_id=31678932824209", "MHAD58WGY")</f>
        <v>MHAD58WGY</v>
      </c>
      <c r="B8188" t="s">
        <v>10</v>
      </c>
      <c r="C8188" t="s">
        <v>23</v>
      </c>
      <c r="D8188" t="str">
        <f>HYPERLINK("https://us2.cloudbeds.com/connect/10074733072513#/reservations/31678932824209?display=Tiffany%20Redman&amp;reservation_id=31678932824209&amp;guest_id=31678932820158", "Tiffany Redman")</f>
        <v>Tiffany Redman</v>
      </c>
      <c r="E8188" t="s">
        <v>6277</v>
      </c>
      <c r="F8188" t="s">
        <v>4645</v>
      </c>
      <c r="G8188">
        <v>418</v>
      </c>
      <c r="H8188">
        <v>454.38</v>
      </c>
      <c r="I8188">
        <v>454.37</v>
      </c>
      <c r="J8188">
        <v>0.01</v>
      </c>
    </row>
    <row r="8189" spans="1:10" x14ac:dyDescent="0.3">
      <c r="A8189" t="str">
        <f>HYPERLINK("https://us2.cloudbeds.com/connect/10074733072513#/reservations/31680649261212?display=MHBZ0KCC5&amp;reservation_id=31680649261212", "MHBZ0KCC5")</f>
        <v>MHBZ0KCC5</v>
      </c>
      <c r="B8189" t="s">
        <v>10</v>
      </c>
      <c r="C8189" t="s">
        <v>20</v>
      </c>
      <c r="D8189" t="str">
        <f>HYPERLINK("https://us2.cloudbeds.com/connect/10074733072513#/reservations/31680649261212?display=Travis%20Austin&amp;reservation_id=31680649261212&amp;guest_id=31680649261200", "Travis Austin")</f>
        <v>Travis Austin</v>
      </c>
      <c r="E8189" t="s">
        <v>6279</v>
      </c>
      <c r="F8189" t="s">
        <v>5569</v>
      </c>
      <c r="G8189">
        <v>189</v>
      </c>
      <c r="H8189">
        <v>205.45</v>
      </c>
      <c r="I8189">
        <v>205.44</v>
      </c>
      <c r="J8189">
        <v>0.01</v>
      </c>
    </row>
    <row r="8190" spans="1:10" x14ac:dyDescent="0.3">
      <c r="A8190" t="str">
        <f>HYPERLINK("https://us2.cloudbeds.com/connect/10074733072513#/reservations/31680700461219?display=MHBPAQ2WH&amp;reservation_id=31680700461219", "MHBPAQ2WH")</f>
        <v>MHBPAQ2WH</v>
      </c>
      <c r="B8190" t="s">
        <v>10</v>
      </c>
      <c r="C8190" t="s">
        <v>42</v>
      </c>
      <c r="D8190" t="str">
        <f>HYPERLINK("https://us2.cloudbeds.com/connect/10074733072513#/reservations/31680700461219?display=Cindy%20Reinhart&amp;reservation_id=31680700461219&amp;guest_id=31678678904973", "Cindy Reinhart")</f>
        <v>Cindy Reinhart</v>
      </c>
      <c r="E8190" t="s">
        <v>6094</v>
      </c>
      <c r="F8190" t="s">
        <v>4600</v>
      </c>
      <c r="G8190">
        <v>358</v>
      </c>
      <c r="H8190">
        <v>389.16</v>
      </c>
      <c r="I8190">
        <v>389.15</v>
      </c>
      <c r="J8190">
        <v>0.01</v>
      </c>
    </row>
    <row r="8191" spans="1:10" x14ac:dyDescent="0.3">
      <c r="A8191" t="str">
        <f>HYPERLINK("https://us2.cloudbeds.com/connect/10074733072513#/reservations/31680733708435?display=MHBQ5R80U&amp;reservation_id=31680733708435", "MHBQ5R80U")</f>
        <v>MHBQ5R80U</v>
      </c>
      <c r="B8191" t="s">
        <v>10</v>
      </c>
      <c r="C8191" t="s">
        <v>121</v>
      </c>
      <c r="D8191" t="str">
        <f>HYPERLINK("https://us2.cloudbeds.com/connect/10074733072513#/reservations/31680733708435?display=Janet%20Eileen%20Joyce&amp;reservation_id=31680733708435&amp;guest_id=31680721637624", "Janet Eileen Joyce")</f>
        <v>Janet Eileen Joyce</v>
      </c>
      <c r="E8191" t="s">
        <v>6282</v>
      </c>
      <c r="F8191" t="s">
        <v>5569</v>
      </c>
      <c r="G8191">
        <v>179</v>
      </c>
      <c r="H8191">
        <v>194.58</v>
      </c>
      <c r="I8191">
        <v>194.57</v>
      </c>
      <c r="J8191">
        <v>0.01</v>
      </c>
    </row>
    <row r="8192" spans="1:10" x14ac:dyDescent="0.3">
      <c r="A8192" t="str">
        <f>HYPERLINK("https://us2.cloudbeds.com/connect/10074733072513#/reservations/31680743018727?display=MHBQDMADW&amp;reservation_id=31680743018727", "MHBQDMADW")</f>
        <v>MHBQDMADW</v>
      </c>
      <c r="B8192" t="s">
        <v>10</v>
      </c>
      <c r="C8192" t="s">
        <v>14</v>
      </c>
      <c r="D8192" t="str">
        <f>HYPERLINK("https://us2.cloudbeds.com/connect/10074733072513#/reservations/31680743018727?display=Calvin%20Sievers&amp;reservation_id=31680743018727&amp;guest_id=31680743018722", "Calvin Sievers")</f>
        <v>Calvin Sievers</v>
      </c>
      <c r="E8192" t="s">
        <v>6283</v>
      </c>
      <c r="F8192" t="s">
        <v>5569</v>
      </c>
      <c r="G8192">
        <v>106.8</v>
      </c>
      <c r="H8192">
        <v>116.1</v>
      </c>
      <c r="I8192">
        <v>116.09</v>
      </c>
      <c r="J8192">
        <v>0.01</v>
      </c>
    </row>
    <row r="8193" spans="1:10" x14ac:dyDescent="0.3">
      <c r="A8193" t="str">
        <f>HYPERLINK("https://us2.cloudbeds.com/connect/10074733072513#/reservations/31680752443581?display=MHBQYKJ0K&amp;reservation_id=31680752443581", "MHBQYKJ0K")</f>
        <v>MHBQYKJ0K</v>
      </c>
      <c r="B8193" t="s">
        <v>10</v>
      </c>
      <c r="C8193" t="s">
        <v>23</v>
      </c>
      <c r="D8193" t="str">
        <f>HYPERLINK("https://us2.cloudbeds.com/connect/10074733072513#/reservations/31680752443581?display=Charles%20W%20Hansen&amp;reservation_id=31680752443581&amp;guest_id=31680752443576", "Charles W Hansen")</f>
        <v>Charles W Hansen</v>
      </c>
      <c r="E8193" t="s">
        <v>5198</v>
      </c>
      <c r="F8193" t="s">
        <v>5569</v>
      </c>
      <c r="G8193">
        <v>169</v>
      </c>
      <c r="H8193">
        <v>183.71</v>
      </c>
      <c r="I8193">
        <v>183.7</v>
      </c>
      <c r="J8193">
        <v>0.01</v>
      </c>
    </row>
    <row r="8194" spans="1:10" x14ac:dyDescent="0.3">
      <c r="A8194" t="str">
        <f>HYPERLINK("https://us2.cloudbeds.com/connect/10074733072513#/reservations/31681152659682?display=MHC3T35U8&amp;reservation_id=31681152659682", "MHC3T35U8")</f>
        <v>MHC3T35U8</v>
      </c>
      <c r="B8194" t="s">
        <v>10</v>
      </c>
      <c r="C8194" t="s">
        <v>42</v>
      </c>
      <c r="D8194" t="str">
        <f>HYPERLINK("https://us2.cloudbeds.com/connect/10074733072513#/reservations/31681152659682?display=Edwin%20Hoffman&amp;reservation_id=31681152659682&amp;guest_id=31681152659680", "Edwin Hoffman")</f>
        <v>Edwin Hoffman</v>
      </c>
      <c r="E8194" t="s">
        <v>6285</v>
      </c>
      <c r="F8194" t="s">
        <v>4979</v>
      </c>
      <c r="G8194">
        <v>159</v>
      </c>
      <c r="H8194">
        <v>172.84</v>
      </c>
      <c r="I8194">
        <v>172.83</v>
      </c>
      <c r="J8194">
        <v>0.01</v>
      </c>
    </row>
    <row r="8195" spans="1:10" x14ac:dyDescent="0.3">
      <c r="A8195" t="str">
        <f>HYPERLINK("https://us2.cloudbeds.com/connect/10074733072513#/reservations/31679580979400?display=MHATNQSB1&amp;reservation_id=31679580979400", "MHATNQSB1")</f>
        <v>MHATNQSB1</v>
      </c>
      <c r="B8195" t="s">
        <v>10</v>
      </c>
      <c r="C8195" t="s">
        <v>20</v>
      </c>
      <c r="D8195" t="str">
        <f>HYPERLINK("https://us2.cloudbeds.com/connect/10074733072513#/reservations/31679580979400?display=Michael%20Tode&amp;reservation_id=31679580979400&amp;guest_id=31679580975296", "Michael Tode")</f>
        <v>Michael Tode</v>
      </c>
      <c r="E8195" t="s">
        <v>6286</v>
      </c>
      <c r="F8195" t="s">
        <v>4684</v>
      </c>
      <c r="G8195">
        <v>295.8</v>
      </c>
      <c r="H8195">
        <v>321.54000000000002</v>
      </c>
      <c r="I8195">
        <v>321.52999999999997</v>
      </c>
      <c r="J8195">
        <v>0.01</v>
      </c>
    </row>
    <row r="8196" spans="1:10" x14ac:dyDescent="0.3">
      <c r="A8196" t="str">
        <f>HYPERLINK("https://us2.cloudbeds.com/connect/10074733072513#/reservations/31684456943748?display=MHEMABZTE&amp;reservation_id=31684456943748", "MHEMABZTE")</f>
        <v>MHEMABZTE</v>
      </c>
      <c r="B8196" t="s">
        <v>10</v>
      </c>
      <c r="C8196" t="s">
        <v>20</v>
      </c>
      <c r="D8196" t="str">
        <f>HYPERLINK("https://us2.cloudbeds.com/connect/10074733072513#/reservations/31684456943748?display=Paul%20Marble&amp;reservation_id=31684456943748&amp;guest_id=31684445421799", "Paul Marble")</f>
        <v>Paul Marble</v>
      </c>
      <c r="E8196" t="s">
        <v>6287</v>
      </c>
      <c r="F8196" t="s">
        <v>5559</v>
      </c>
      <c r="G8196">
        <v>238</v>
      </c>
      <c r="H8196">
        <v>258.72000000000003</v>
      </c>
      <c r="I8196">
        <v>258.70999999999998</v>
      </c>
      <c r="J8196">
        <v>0.01</v>
      </c>
    </row>
    <row r="8197" spans="1:10" x14ac:dyDescent="0.3">
      <c r="A8197" t="str">
        <f>HYPERLINK("https://us2.cloudbeds.com/connect/10074733072513#/reservations/31682836385928?display=MHDDTSBBN&amp;reservation_id=31682836385928", "MHDDTSBBN")</f>
        <v>MHDDTSBBN</v>
      </c>
      <c r="B8197" t="s">
        <v>10</v>
      </c>
      <c r="C8197" t="s">
        <v>42</v>
      </c>
      <c r="D8197" t="str">
        <f>HYPERLINK("https://us2.cloudbeds.com/connect/10074733072513#/reservations/31682836385928?display=Paul%20Cornelison&amp;reservation_id=31682836385928&amp;guest_id=31682836385926", "Paul Cornelison")</f>
        <v>Paul Cornelison</v>
      </c>
      <c r="E8197" t="s">
        <v>6288</v>
      </c>
      <c r="F8197" t="s">
        <v>4645</v>
      </c>
      <c r="G8197">
        <v>298</v>
      </c>
      <c r="H8197">
        <v>323.94</v>
      </c>
      <c r="I8197">
        <v>323.93</v>
      </c>
      <c r="J8197">
        <v>0.01</v>
      </c>
    </row>
    <row r="8198" spans="1:10" x14ac:dyDescent="0.3">
      <c r="A8198" t="str">
        <f>HYPERLINK("https://us2.cloudbeds.com/connect/10074733072513#/reservations/31679512117378?display=MHARVZM52&amp;reservation_id=31679512117378", "MHARVZM52")</f>
        <v>MHARVZM52</v>
      </c>
      <c r="B8198" t="s">
        <v>10</v>
      </c>
      <c r="C8198" t="s">
        <v>42</v>
      </c>
      <c r="D8198" t="str">
        <f>HYPERLINK("https://us2.cloudbeds.com/connect/10074733072513#/reservations/31679512117378?display=Laurie%20Maibaum&amp;reservation_id=31679512117378&amp;guest_id=31679502094568", "Laurie Maibaum")</f>
        <v>Laurie Maibaum</v>
      </c>
      <c r="E8198" t="s">
        <v>6290</v>
      </c>
      <c r="F8198" t="s">
        <v>3061</v>
      </c>
      <c r="G8198">
        <v>209</v>
      </c>
      <c r="H8198">
        <v>227.19</v>
      </c>
      <c r="I8198">
        <v>227.18</v>
      </c>
      <c r="J8198">
        <v>0.01</v>
      </c>
    </row>
    <row r="8199" spans="1:10" x14ac:dyDescent="0.3">
      <c r="A8199" t="str">
        <f>HYPERLINK("https://us2.cloudbeds.com/connect/10074733072513#/reservations/31679861481663?display=MHB3TB85K&amp;reservation_id=31679861481663", "MHB3TB85K")</f>
        <v>MHB3TB85K</v>
      </c>
      <c r="B8199" t="s">
        <v>10</v>
      </c>
      <c r="C8199" t="s">
        <v>42</v>
      </c>
      <c r="D8199" t="str">
        <f>HYPERLINK("https://us2.cloudbeds.com/connect/10074733072513#/reservations/31679861481663?display=Lamar%20Whittemore&amp;reservation_id=31679861481663&amp;guest_id=31679861481603", "Lamar Whittemore")</f>
        <v>Lamar Whittemore</v>
      </c>
      <c r="E8199" t="s">
        <v>6293</v>
      </c>
      <c r="F8199" t="s">
        <v>4982</v>
      </c>
      <c r="G8199">
        <v>209</v>
      </c>
      <c r="H8199">
        <v>227.19</v>
      </c>
      <c r="I8199">
        <v>227.18</v>
      </c>
      <c r="J8199">
        <v>0.01</v>
      </c>
    </row>
    <row r="8200" spans="1:10" x14ac:dyDescent="0.3">
      <c r="A8200" t="str">
        <f>HYPERLINK("https://us2.cloudbeds.com/connect/10074733072513#/reservations/31679490085007?display=MHARD5JDG&amp;reservation_id=31679490085007", "MHARD5JDG")</f>
        <v>MHARD5JDG</v>
      </c>
      <c r="B8200" t="s">
        <v>10</v>
      </c>
      <c r="C8200" t="s">
        <v>42</v>
      </c>
      <c r="D8200" t="str">
        <f>HYPERLINK("https://us2.cloudbeds.com/connect/10074733072513#/reservations/31679490085007?display=Molly%20Byer&amp;reservation_id=31679490085007&amp;guest_id=31679490080916", "Molly Byer")</f>
        <v>Molly Byer</v>
      </c>
      <c r="E8200" t="s">
        <v>6294</v>
      </c>
      <c r="F8200" t="s">
        <v>3061</v>
      </c>
      <c r="G8200">
        <v>209</v>
      </c>
      <c r="H8200">
        <v>227.19</v>
      </c>
      <c r="I8200">
        <v>227.18</v>
      </c>
      <c r="J8200">
        <v>0.01</v>
      </c>
    </row>
    <row r="8201" spans="1:10" x14ac:dyDescent="0.3">
      <c r="A8201" t="str">
        <f>HYPERLINK("https://us2.cloudbeds.com/connect/10074733072513#/reservations/31679637090441?display=MHAV547KK&amp;reservation_id=31679637090441", "MHAV547KK")</f>
        <v>MHAV547KK</v>
      </c>
      <c r="B8201" t="s">
        <v>10</v>
      </c>
      <c r="C8201" t="s">
        <v>121</v>
      </c>
      <c r="D8201" t="str">
        <f>HYPERLINK("https://us2.cloudbeds.com/connect/10074733072513#/reservations/31679637090441?display=Elke%20King&amp;reservation_id=31679637090441&amp;guest_id=31679631999198", "Elke King")</f>
        <v>Elke King</v>
      </c>
      <c r="E8201" t="s">
        <v>6295</v>
      </c>
      <c r="F8201" t="s">
        <v>6079</v>
      </c>
      <c r="G8201">
        <v>139</v>
      </c>
      <c r="H8201">
        <v>151.1</v>
      </c>
      <c r="I8201">
        <v>151.09</v>
      </c>
      <c r="J8201">
        <v>0.01</v>
      </c>
    </row>
    <row r="8202" spans="1:10" x14ac:dyDescent="0.3">
      <c r="A8202" t="str">
        <f>HYPERLINK("https://us2.cloudbeds.com/connect/10074733072513#/reservations/31681038778593?display=MHC0W28U5&amp;reservation_id=31681038778593", "MHC0W28U5")</f>
        <v>MHC0W28U5</v>
      </c>
      <c r="B8202" t="s">
        <v>10</v>
      </c>
      <c r="C8202" t="s">
        <v>11</v>
      </c>
      <c r="D8202" t="str">
        <f>HYPERLINK("https://us2.cloudbeds.com/connect/10074733072513#/reservations/31681038778593?display=Kitie%20Hollenbeck&amp;reservation_id=31681038778593&amp;guest_id=31681038778588", "Kitie Hollenbeck")</f>
        <v>Kitie Hollenbeck</v>
      </c>
      <c r="E8202" t="s">
        <v>6296</v>
      </c>
      <c r="F8202" t="s">
        <v>4684</v>
      </c>
      <c r="G8202">
        <v>87.84</v>
      </c>
      <c r="H8202">
        <v>95.49</v>
      </c>
      <c r="I8202">
        <v>95.48</v>
      </c>
      <c r="J8202">
        <v>0.01</v>
      </c>
    </row>
    <row r="8203" spans="1:10" x14ac:dyDescent="0.3">
      <c r="A8203" t="str">
        <f>HYPERLINK("https://us2.cloudbeds.com/connect/10074733072513#/reservations/31677712810150?display=MH9EWH9ZY&amp;reservation_id=31677712810150", "MH9EWH9ZY")</f>
        <v>MH9EWH9ZY</v>
      </c>
      <c r="B8203" t="s">
        <v>10</v>
      </c>
      <c r="C8203" t="s">
        <v>42</v>
      </c>
      <c r="D8203" t="str">
        <f>HYPERLINK("https://us2.cloudbeds.com/connect/10074733072513#/reservations/31677712810150?display=Justin%20Borman&amp;reservation_id=31677712810150&amp;guest_id=31677703864526", "Justin Borman")</f>
        <v>Justin Borman</v>
      </c>
      <c r="E8203" t="s">
        <v>6298</v>
      </c>
      <c r="F8203" t="s">
        <v>5869</v>
      </c>
      <c r="G8203">
        <v>209</v>
      </c>
      <c r="H8203">
        <v>227.19</v>
      </c>
      <c r="I8203">
        <v>227.18</v>
      </c>
      <c r="J8203">
        <v>0.01</v>
      </c>
    </row>
    <row r="8204" spans="1:10" x14ac:dyDescent="0.3">
      <c r="A8204" t="str">
        <f>HYPERLINK("https://us2.cloudbeds.com/connect/10074733072513#/reservations/31680524554441?display=MHBKRF7E3&amp;reservation_id=31680524554441", "MHBKRF7E3")</f>
        <v>MHBKRF7E3</v>
      </c>
      <c r="B8204" t="s">
        <v>10</v>
      </c>
      <c r="C8204" t="s">
        <v>23</v>
      </c>
      <c r="D8204" t="str">
        <f>HYPERLINK("https://us2.cloudbeds.com/connect/10074733072513#/reservations/31680524554441?display=Dan%20Duncan&amp;reservation_id=31680524554441&amp;guest_id=31680524550347", "Dan Duncan")</f>
        <v>Dan Duncan</v>
      </c>
      <c r="E8204" t="s">
        <v>6299</v>
      </c>
      <c r="F8204" t="s">
        <v>5274</v>
      </c>
      <c r="G8204">
        <v>696</v>
      </c>
      <c r="H8204">
        <v>756.56</v>
      </c>
      <c r="I8204">
        <v>756.55</v>
      </c>
      <c r="J8204">
        <v>0.01</v>
      </c>
    </row>
    <row r="8205" spans="1:10" x14ac:dyDescent="0.3">
      <c r="A8205" t="str">
        <f>HYPERLINK("https://us2.cloudbeds.com/connect/10074733072513#/reservations/31679397351580?display=MHAP0W4ZY&amp;reservation_id=31679397351580", "MHAP0W4ZY")</f>
        <v>MHAP0W4ZY</v>
      </c>
      <c r="B8205" t="s">
        <v>10</v>
      </c>
      <c r="C8205" t="s">
        <v>42</v>
      </c>
      <c r="D8205" t="str">
        <f>HYPERLINK("https://us2.cloudbeds.com/connect/10074733072513#/reservations/31679397351580?display=Landen%20Thorsen&amp;reservation_id=31679397351580&amp;guest_id=31679397347484", "Landen Thorsen")</f>
        <v>Landen Thorsen</v>
      </c>
      <c r="E8205" t="s">
        <v>6300</v>
      </c>
      <c r="F8205" t="s">
        <v>5366</v>
      </c>
      <c r="G8205">
        <v>149</v>
      </c>
      <c r="H8205">
        <v>161.97</v>
      </c>
      <c r="I8205">
        <v>161.96</v>
      </c>
      <c r="J8205">
        <v>0.01</v>
      </c>
    </row>
    <row r="8206" spans="1:10" x14ac:dyDescent="0.3">
      <c r="A8206" t="str">
        <f>HYPERLINK("https://us2.cloudbeds.com/connect/10074733072513#/reservations/31688843014336?display=MHX1VTYBD&amp;reservation_id=31688843014336", "MHX1VTYBD")</f>
        <v>MHX1VTYBD</v>
      </c>
      <c r="B8206" t="s">
        <v>10</v>
      </c>
      <c r="C8206" t="s">
        <v>42</v>
      </c>
      <c r="D8206" t="str">
        <f>HYPERLINK("https://us2.cloudbeds.com/connect/10074733072513#/reservations/31688843014336?display=Ed%20Vlaminck&amp;reservation_id=31688843014336&amp;guest_id=31688826519714", "Ed Vlaminck")</f>
        <v>Ed Vlaminck</v>
      </c>
      <c r="E8206" t="s">
        <v>6301</v>
      </c>
      <c r="F8206" t="s">
        <v>3785</v>
      </c>
      <c r="G8206">
        <v>338</v>
      </c>
      <c r="H8206">
        <v>367.42</v>
      </c>
      <c r="I8206">
        <v>367.41</v>
      </c>
      <c r="J8206">
        <v>0.01</v>
      </c>
    </row>
    <row r="8207" spans="1:10" x14ac:dyDescent="0.3">
      <c r="A8207" t="str">
        <f>HYPERLINK("https://us2.cloudbeds.com/connect/10074733072513#/reservations/31677982515385?display=MH9YSV7VX&amp;reservation_id=31677982515385", "MH9YSV7VX")</f>
        <v>MH9YSV7VX</v>
      </c>
      <c r="B8207" t="s">
        <v>10</v>
      </c>
      <c r="C8207" t="s">
        <v>11</v>
      </c>
      <c r="D8207" t="str">
        <f>HYPERLINK("https://us2.cloudbeds.com/connect/10074733072513#/reservations/31677982515385?display=Andrew%20Williams&amp;reservation_id=31677982515385&amp;guest_id=31677982515381", "Andrew Williams")</f>
        <v>Andrew Williams</v>
      </c>
      <c r="E8207" t="s">
        <v>6302</v>
      </c>
      <c r="F8207" t="s">
        <v>6235</v>
      </c>
      <c r="G8207">
        <v>87.84</v>
      </c>
      <c r="H8207">
        <v>95.49</v>
      </c>
      <c r="I8207">
        <v>95.48</v>
      </c>
      <c r="J8207">
        <v>0.01</v>
      </c>
    </row>
    <row r="8208" spans="1:10" x14ac:dyDescent="0.3">
      <c r="A8208" t="str">
        <f>HYPERLINK("https://us2.cloudbeds.com/connect/10074733072513#/reservations/31679533773008?display=MHASH08VA&amp;reservation_id=31679533773008", "MHASH08VA")</f>
        <v>MHASH08VA</v>
      </c>
      <c r="B8208" t="s">
        <v>10</v>
      </c>
      <c r="C8208" t="s">
        <v>42</v>
      </c>
      <c r="D8208" t="str">
        <f>HYPERLINK("https://us2.cloudbeds.com/connect/10074733072513#/reservations/31679533773008?display=Andy%20Wuebker&amp;reservation_id=31679533773008&amp;guest_id=31679533773003", "Andy Wuebker")</f>
        <v>Andy Wuebker</v>
      </c>
      <c r="E8208" t="s">
        <v>6305</v>
      </c>
      <c r="F8208" t="s">
        <v>3061</v>
      </c>
      <c r="G8208">
        <v>239</v>
      </c>
      <c r="H8208">
        <v>259.8</v>
      </c>
      <c r="I8208">
        <v>259.79000000000002</v>
      </c>
      <c r="J8208">
        <v>0.01</v>
      </c>
    </row>
    <row r="8209" spans="1:10" x14ac:dyDescent="0.3">
      <c r="A8209" t="str">
        <f>HYPERLINK("https://us2.cloudbeds.com/connect/10074733072513#/reservations/31682807091338?display=MHDD555TS&amp;reservation_id=31682807091338", "MHDD555TS")</f>
        <v>MHDD555TS</v>
      </c>
      <c r="B8209" t="s">
        <v>10</v>
      </c>
      <c r="C8209" t="s">
        <v>42</v>
      </c>
      <c r="D8209" t="str">
        <f>HYPERLINK("https://us2.cloudbeds.com/connect/10074733072513#/reservations/31682807091338?display=Randy%20Weischedel&amp;reservation_id=31682807091338&amp;guest_id=31682765832342", "Randy Weischedel")</f>
        <v>Randy Weischedel</v>
      </c>
      <c r="E8209" t="s">
        <v>6310</v>
      </c>
      <c r="F8209" t="s">
        <v>4645</v>
      </c>
      <c r="G8209">
        <v>199</v>
      </c>
      <c r="H8209">
        <v>216.32</v>
      </c>
      <c r="I8209">
        <v>216.31</v>
      </c>
      <c r="J8209">
        <v>0.01</v>
      </c>
    </row>
    <row r="8210" spans="1:10" x14ac:dyDescent="0.3">
      <c r="A8210" t="str">
        <f>HYPERLINK("https://us2.cloudbeds.com/connect/10074733072513#/reservations/31681059045552?display=MHC1G57HE&amp;reservation_id=31681059045552", "MHC1G57HE")</f>
        <v>MHC1G57HE</v>
      </c>
      <c r="B8210" t="s">
        <v>10</v>
      </c>
      <c r="C8210" t="s">
        <v>20</v>
      </c>
      <c r="D8210" t="str">
        <f>HYPERLINK("https://us2.cloudbeds.com/connect/10074733072513#/reservations/31681059045552?display=Kristina%20Zarate&amp;reservation_id=31681059045552&amp;guest_id=31681048305880", "Kristina Zarate")</f>
        <v>Kristina Zarate</v>
      </c>
      <c r="E8210" t="s">
        <v>6313</v>
      </c>
      <c r="F8210" t="s">
        <v>4684</v>
      </c>
      <c r="G8210">
        <v>139</v>
      </c>
      <c r="H8210">
        <v>151.1</v>
      </c>
      <c r="I8210">
        <v>151.09</v>
      </c>
      <c r="J8210">
        <v>0.01</v>
      </c>
    </row>
    <row r="8211" spans="1:10" x14ac:dyDescent="0.3">
      <c r="A8211" t="str">
        <f>HYPERLINK("https://us2.cloudbeds.com/connect/10074733072513#/reservations/31678861590707?display=MHABB6QYM&amp;reservation_id=31678861590707", "MHABB6QYM")</f>
        <v>MHABB6QYM</v>
      </c>
      <c r="B8211" t="s">
        <v>10</v>
      </c>
      <c r="C8211" t="s">
        <v>20</v>
      </c>
      <c r="D8211" t="str">
        <f>HYPERLINK("https://us2.cloudbeds.com/connect/10074733072513#/reservations/31678861590707?display=Avijit%20Das&amp;reservation_id=31678861590707&amp;guest_id=31678861590703", "Avijit Das")</f>
        <v>Avijit Das</v>
      </c>
      <c r="E8211" t="s">
        <v>6315</v>
      </c>
      <c r="F8211" t="s">
        <v>6148</v>
      </c>
      <c r="G8211">
        <v>313.2</v>
      </c>
      <c r="H8211">
        <v>340.46</v>
      </c>
      <c r="I8211">
        <v>340.45</v>
      </c>
      <c r="J8211">
        <v>0.01</v>
      </c>
    </row>
    <row r="8212" spans="1:10" x14ac:dyDescent="0.3">
      <c r="A8212" t="str">
        <f>HYPERLINK("https://us2.cloudbeds.com/connect/10074733072513#/reservations/31681491607758?display=MHCCHTU02&amp;reservation_id=31681491607758", "MHCCHTU02")</f>
        <v>MHCCHTU02</v>
      </c>
      <c r="B8212" t="s">
        <v>10</v>
      </c>
      <c r="C8212" t="s">
        <v>11</v>
      </c>
      <c r="D8212" t="str">
        <f>HYPERLINK("https://us2.cloudbeds.com/connect/10074733072513#/reservations/31681491607758?display=Jerry%20Mcmackin&amp;reservation_id=31681491607758&amp;guest_id=31681491607745", "Jerry Mcmackin")</f>
        <v>Jerry Mcmackin</v>
      </c>
      <c r="E8212" t="s">
        <v>6316</v>
      </c>
      <c r="F8212" t="s">
        <v>4684</v>
      </c>
      <c r="G8212">
        <v>87.84</v>
      </c>
      <c r="H8212">
        <v>95.49</v>
      </c>
      <c r="I8212">
        <v>95.48</v>
      </c>
      <c r="J8212">
        <v>0.01</v>
      </c>
    </row>
    <row r="8213" spans="1:10" x14ac:dyDescent="0.3">
      <c r="A8213" t="str">
        <f>HYPERLINK("https://us2.cloudbeds.com/connect/10074733072513#/reservations/31681517207680?display=MHCCUTJ2K&amp;reservation_id=31681517207680", "MHCCUTJ2K")</f>
        <v>MHCCUTJ2K</v>
      </c>
      <c r="B8213" t="s">
        <v>10</v>
      </c>
      <c r="C8213" t="s">
        <v>11</v>
      </c>
      <c r="D8213" t="str">
        <f>HYPERLINK("https://us2.cloudbeds.com/connect/10074733072513#/reservations/31681517207680?display=Emrey%20Tureson&amp;reservation_id=31681517207680&amp;guest_id=31681507012825", "Emrey Tureson")</f>
        <v>Emrey Tureson</v>
      </c>
      <c r="E8213" t="s">
        <v>6317</v>
      </c>
      <c r="F8213" t="s">
        <v>4684</v>
      </c>
      <c r="G8213">
        <v>87.84</v>
      </c>
      <c r="H8213">
        <v>95.49</v>
      </c>
      <c r="I8213">
        <v>95.48</v>
      </c>
      <c r="J8213">
        <v>0.01</v>
      </c>
    </row>
    <row r="8214" spans="1:10" x14ac:dyDescent="0.3">
      <c r="A8214" t="str">
        <f>HYPERLINK("https://us2.cloudbeds.com/connect/10074733072513#/reservations/31678003261631?display=MH9MDEHMM&amp;reservation_id=31678003261631", "MH9MDEHMM")</f>
        <v>MH9MDEHMM</v>
      </c>
      <c r="B8214" t="s">
        <v>10</v>
      </c>
      <c r="C8214" t="s">
        <v>14</v>
      </c>
      <c r="D8214" t="str">
        <f>HYPERLINK("https://us2.cloudbeds.com/connect/10074733072513#/reservations/31678003261631?display=Sean%20Mcdannel&amp;reservation_id=31678003261631&amp;guest_id=31678003261626", "Sean Mcdannel")</f>
        <v>Sean Mcdannel</v>
      </c>
      <c r="E8214" t="s">
        <v>6318</v>
      </c>
      <c r="F8214" t="s">
        <v>6235</v>
      </c>
      <c r="G8214">
        <v>87.84</v>
      </c>
      <c r="H8214">
        <v>95.49</v>
      </c>
      <c r="I8214">
        <v>95.48</v>
      </c>
      <c r="J8214">
        <v>0.01</v>
      </c>
    </row>
    <row r="8215" spans="1:10" x14ac:dyDescent="0.3">
      <c r="A8215" t="str">
        <f>HYPERLINK("https://us2.cloudbeds.com/connect/10074733072513#/reservations/31681864012000?display=MHCM1UK03&amp;reservation_id=31681864012000", "MHCM1UK03")</f>
        <v>MHCM1UK03</v>
      </c>
      <c r="B8215" t="s">
        <v>10</v>
      </c>
      <c r="C8215" t="s">
        <v>20</v>
      </c>
      <c r="D8215" t="str">
        <f>HYPERLINK("https://us2.cloudbeds.com/connect/10074733072513#/reservations/31681864012000?display=Dena%20Degnan&amp;reservation_id=31681864012000&amp;guest_id=31681856700549", "Dena Degnan")</f>
        <v>Dena Degnan</v>
      </c>
      <c r="E8215" t="s">
        <v>6320</v>
      </c>
      <c r="F8215" t="s">
        <v>6321</v>
      </c>
      <c r="G8215">
        <v>481.95</v>
      </c>
      <c r="H8215">
        <v>523.89</v>
      </c>
      <c r="I8215">
        <v>523.88</v>
      </c>
      <c r="J8215">
        <v>0.01</v>
      </c>
    </row>
    <row r="8216" spans="1:10" x14ac:dyDescent="0.3">
      <c r="A8216" t="str">
        <f>HYPERLINK("https://us2.cloudbeds.com/connect/10074733072513#/reservations/31678178320606?display=MH9QT1QZ3&amp;reservation_id=31678178320606", "MH9QT1QZ3")</f>
        <v>MH9QT1QZ3</v>
      </c>
      <c r="B8216" t="s">
        <v>10</v>
      </c>
      <c r="C8216" t="s">
        <v>11</v>
      </c>
      <c r="D8216" t="str">
        <f>HYPERLINK("https://us2.cloudbeds.com/connect/10074733072513#/reservations/31678178320606?display=Casse%20Buckner&amp;reservation_id=31678178320606&amp;guest_id=31678178320601", "Casse Buckner")</f>
        <v>Casse Buckner</v>
      </c>
      <c r="E8216" t="s">
        <v>6322</v>
      </c>
      <c r="F8216" t="s">
        <v>6235</v>
      </c>
      <c r="G8216">
        <v>87.84</v>
      </c>
      <c r="H8216">
        <v>95.49</v>
      </c>
      <c r="I8216">
        <v>95.48</v>
      </c>
      <c r="J8216">
        <v>0.01</v>
      </c>
    </row>
    <row r="8217" spans="1:10" x14ac:dyDescent="0.3">
      <c r="A8217" t="str">
        <f>HYPERLINK("https://us2.cloudbeds.com/connect/10074733072513#/reservations/31681577414847?display=MHCEZ8KCT&amp;reservation_id=31681577414847", "MHCEZ8KCT")</f>
        <v>MHCEZ8KCT</v>
      </c>
      <c r="B8217" t="s">
        <v>10</v>
      </c>
      <c r="C8217" t="s">
        <v>42</v>
      </c>
      <c r="D8217" t="str">
        <f>HYPERLINK("https://us2.cloudbeds.com/connect/10074733072513#/reservations/31681577414847?display=Jerrell%20Faulkner&amp;reservation_id=31681577414847&amp;guest_id=31681577414842", "Jerrell Faulkner")</f>
        <v>Jerrell Faulkner</v>
      </c>
      <c r="E8217" t="s">
        <v>6187</v>
      </c>
      <c r="F8217" t="s">
        <v>6235</v>
      </c>
      <c r="G8217">
        <v>73</v>
      </c>
      <c r="H8217">
        <v>79.36</v>
      </c>
      <c r="I8217">
        <v>79.349999999999994</v>
      </c>
      <c r="J8217">
        <v>0.01</v>
      </c>
    </row>
    <row r="8218" spans="1:10" x14ac:dyDescent="0.3">
      <c r="A8218" t="str">
        <f>HYPERLINK("https://us2.cloudbeds.com/connect/10074733072513#/reservations/31679542571174?display=MHASZE32D&amp;reservation_id=31679542571174", "MHASZE32D")</f>
        <v>MHASZE32D</v>
      </c>
      <c r="B8218" t="s">
        <v>10</v>
      </c>
      <c r="C8218" t="s">
        <v>121</v>
      </c>
      <c r="D8218" t="str">
        <f>HYPERLINK("https://us2.cloudbeds.com/connect/10074733072513#/reservations/31679542571174?display=Kenneth%20Haynes&amp;reservation_id=31679542571174&amp;guest_id=31679542571161", "Kenneth Haynes")</f>
        <v>Kenneth Haynes</v>
      </c>
      <c r="E8218" t="s">
        <v>6326</v>
      </c>
      <c r="F8218" t="s">
        <v>4684</v>
      </c>
      <c r="G8218">
        <v>139</v>
      </c>
      <c r="H8218">
        <v>151.1</v>
      </c>
      <c r="I8218">
        <v>151.09</v>
      </c>
      <c r="J8218">
        <v>0.01</v>
      </c>
    </row>
    <row r="8219" spans="1:10" x14ac:dyDescent="0.3">
      <c r="A8219" t="str">
        <f>HYPERLINK("https://us2.cloudbeds.com/connect/10074733072513#/reservations/31678201536684?display=MH9RFKREK&amp;reservation_id=31678201536684", "MH9RFKREK")</f>
        <v>MH9RFKREK</v>
      </c>
      <c r="B8219" t="s">
        <v>10</v>
      </c>
      <c r="C8219" t="s">
        <v>42</v>
      </c>
      <c r="D8219" t="str">
        <f>HYPERLINK("https://us2.cloudbeds.com/connect/10074733072513#/reservations/31678201536684?display=Davion%20Hurst&amp;reservation_id=31678201536684&amp;guest_id=31677882019986", "Davion Hurst")</f>
        <v>Davion Hurst</v>
      </c>
      <c r="E8219" t="s">
        <v>6230</v>
      </c>
      <c r="F8219" t="s">
        <v>6235</v>
      </c>
      <c r="G8219">
        <v>73</v>
      </c>
      <c r="H8219">
        <v>79.36</v>
      </c>
      <c r="I8219">
        <v>79.349999999999994</v>
      </c>
      <c r="J8219">
        <v>0.01</v>
      </c>
    </row>
    <row r="8220" spans="1:10" x14ac:dyDescent="0.3">
      <c r="A8220" t="str">
        <f>HYPERLINK("https://us2.cloudbeds.com/connect/10074733072513#/reservations/31678601191576?display=MHA4MKQWU&amp;reservation_id=31678601191576", "MHA4MKQWU")</f>
        <v>MHA4MKQWU</v>
      </c>
      <c r="B8220" t="s">
        <v>10</v>
      </c>
      <c r="C8220" t="s">
        <v>17</v>
      </c>
      <c r="D8220" t="str">
        <f>HYPERLINK("https://us2.cloudbeds.com/connect/10074733072513#/reservations/31678601191576?display=Chad%20Ulvestad&amp;reservation_id=31678601191576&amp;guest_id=31678601187482", "Chad Ulvestad")</f>
        <v>Chad Ulvestad</v>
      </c>
      <c r="E8220" t="s">
        <v>6330</v>
      </c>
      <c r="F8220" t="s">
        <v>5990</v>
      </c>
      <c r="G8220">
        <v>298</v>
      </c>
      <c r="H8220">
        <v>323.94</v>
      </c>
      <c r="I8220">
        <v>323.93</v>
      </c>
      <c r="J8220">
        <v>0.01</v>
      </c>
    </row>
    <row r="8221" spans="1:10" x14ac:dyDescent="0.3">
      <c r="A8221" t="str">
        <f>HYPERLINK("https://us2.cloudbeds.com/connect/10074733072513#/reservations/31678194569428?display=MH9R9ZVJY&amp;reservation_id=31678194569428", "MH9R9ZVJY")</f>
        <v>MH9R9ZVJY</v>
      </c>
      <c r="B8221" t="s">
        <v>10</v>
      </c>
      <c r="C8221" t="s">
        <v>42</v>
      </c>
      <c r="D8221" t="str">
        <f>HYPERLINK("https://us2.cloudbeds.com/connect/10074733072513#/reservations/31678194569428?display=Everett%20Moran&amp;reservation_id=31678194569428&amp;guest_id=31678194569422", "Everett Moran")</f>
        <v>Everett Moran</v>
      </c>
      <c r="E8221" t="s">
        <v>6331</v>
      </c>
      <c r="F8221" t="s">
        <v>6235</v>
      </c>
      <c r="G8221">
        <v>169</v>
      </c>
      <c r="H8221">
        <v>183.71</v>
      </c>
      <c r="I8221">
        <v>183.7</v>
      </c>
      <c r="J8221">
        <v>0.01</v>
      </c>
    </row>
    <row r="8222" spans="1:10" x14ac:dyDescent="0.3">
      <c r="A8222" t="str">
        <f>HYPERLINK("https://us2.cloudbeds.com/connect/10074733072513#/reservations/31689442902144?display=MHXHNY9CK&amp;reservation_id=31689442902144", "MHXHNY9CK")</f>
        <v>MHXHNY9CK</v>
      </c>
      <c r="B8222" t="s">
        <v>10</v>
      </c>
      <c r="C8222" t="s">
        <v>42</v>
      </c>
      <c r="D8222" t="str">
        <f>HYPERLINK("https://us2.cloudbeds.com/connect/10074733072513#/reservations/31689442902144?display=James%20Wood&amp;reservation_id=31689442902144&amp;guest_id=31689442898060", "James Wood")</f>
        <v>James Wood</v>
      </c>
      <c r="E8222" t="s">
        <v>6333</v>
      </c>
      <c r="F8222" t="s">
        <v>4868</v>
      </c>
      <c r="G8222">
        <v>139</v>
      </c>
      <c r="H8222">
        <v>151.1</v>
      </c>
      <c r="I8222">
        <v>151.09</v>
      </c>
      <c r="J8222">
        <v>0.01</v>
      </c>
    </row>
    <row r="8223" spans="1:10" x14ac:dyDescent="0.3">
      <c r="A8223" t="str">
        <f>HYPERLINK("https://us2.cloudbeds.com/connect/10074733072513#/reservations/31678226018438?display=MH9S392CV&amp;reservation_id=31678226018438", "MH9S392CV")</f>
        <v>MH9S392CV</v>
      </c>
      <c r="B8223" t="s">
        <v>10</v>
      </c>
      <c r="C8223" t="s">
        <v>14</v>
      </c>
      <c r="D8223" t="str">
        <f>HYPERLINK("https://us2.cloudbeds.com/connect/10074733072513#/reservations/31678226018438?display=John%20Holden&amp;reservation_id=31678226018438&amp;guest_id=31678222270623", "John Holden")</f>
        <v>John Holden</v>
      </c>
      <c r="E8223" t="s">
        <v>6335</v>
      </c>
      <c r="F8223" t="s">
        <v>6235</v>
      </c>
      <c r="G8223">
        <v>87.84</v>
      </c>
      <c r="H8223">
        <v>95.49</v>
      </c>
      <c r="I8223">
        <v>95.48</v>
      </c>
      <c r="J8223">
        <v>0.01</v>
      </c>
    </row>
    <row r="8224" spans="1:10" x14ac:dyDescent="0.3">
      <c r="A8224" t="str">
        <f>HYPERLINK("https://us2.cloudbeds.com/connect/10074733072513#/reservations/31678265806982?display=MH9T3R85D&amp;reservation_id=31678265806982", "MH9T3R85D")</f>
        <v>MH9T3R85D</v>
      </c>
      <c r="B8224" t="s">
        <v>10</v>
      </c>
      <c r="C8224" t="s">
        <v>20</v>
      </c>
      <c r="D8224" t="str">
        <f>HYPERLINK("https://us2.cloudbeds.com/connect/10074733072513#/reservations/31678265806982?display=Terry%20Larkin&amp;reservation_id=31678265806982&amp;guest_id=31678260060406", "Terry Larkin")</f>
        <v>Terry Larkin</v>
      </c>
      <c r="E8224" t="s">
        <v>6337</v>
      </c>
      <c r="F8224" t="s">
        <v>5789</v>
      </c>
      <c r="G8224">
        <v>149</v>
      </c>
      <c r="H8224">
        <v>161.97</v>
      </c>
      <c r="I8224">
        <v>161.96</v>
      </c>
      <c r="J8224">
        <v>0.01</v>
      </c>
    </row>
    <row r="8225" spans="1:10" x14ac:dyDescent="0.3">
      <c r="A8225" t="str">
        <f>HYPERLINK("https://us2.cloudbeds.com/connect/10074733072513#/reservations/31681585516691?display=MHCEV323A&amp;reservation_id=31681585516691", "MHCEV323A")</f>
        <v>MHCEV323A</v>
      </c>
      <c r="B8225" t="s">
        <v>10</v>
      </c>
      <c r="C8225" t="s">
        <v>42</v>
      </c>
      <c r="D8225" t="str">
        <f>HYPERLINK("https://us2.cloudbeds.com/connect/10074733072513#/reservations/31681585516691?display=Robert%20Troyer&amp;reservation_id=31681585516691&amp;guest_id=31681585516680", "Robert Troyer")</f>
        <v>Robert Troyer</v>
      </c>
      <c r="E8225" t="s">
        <v>6339</v>
      </c>
      <c r="F8225" t="s">
        <v>6235</v>
      </c>
      <c r="G8225">
        <v>139</v>
      </c>
      <c r="H8225">
        <v>151.1</v>
      </c>
      <c r="I8225">
        <v>151.09</v>
      </c>
      <c r="J8225">
        <v>0.01</v>
      </c>
    </row>
    <row r="8226" spans="1:10" x14ac:dyDescent="0.3">
      <c r="A8226" t="str">
        <f>HYPERLINK("https://us2.cloudbeds.com/connect/10074733072513#/reservations/31678410477793?display=MH9WQQUXC&amp;reservation_id=31678410477793", "MH9WQQUXC")</f>
        <v>MH9WQQUXC</v>
      </c>
      <c r="B8226" t="s">
        <v>10</v>
      </c>
      <c r="C8226" t="s">
        <v>121</v>
      </c>
      <c r="D8226" t="str">
        <f>HYPERLINK("https://us2.cloudbeds.com/connect/10074733072513#/reservations/31678410477793?display=Edward%20Hagmann&amp;reservation_id=31678410477793&amp;guest_id=31678410477789", "Edward Hagmann")</f>
        <v>Edward Hagmann</v>
      </c>
      <c r="E8226" t="s">
        <v>6340</v>
      </c>
      <c r="F8226" t="s">
        <v>5789</v>
      </c>
      <c r="G8226">
        <v>149</v>
      </c>
      <c r="H8226">
        <v>161.97</v>
      </c>
      <c r="I8226">
        <v>161.96</v>
      </c>
      <c r="J8226">
        <v>0.01</v>
      </c>
    </row>
    <row r="8227" spans="1:10" x14ac:dyDescent="0.3">
      <c r="A8227" t="str">
        <f>HYPERLINK("https://us2.cloudbeds.com/connect/10074733072513#/reservations/31680992346309?display=MHBWPU7C8&amp;reservation_id=31680992346309", "MHBWPU7C8")</f>
        <v>MHBWPU7C8</v>
      </c>
      <c r="B8227" t="s">
        <v>10</v>
      </c>
      <c r="C8227" t="s">
        <v>23</v>
      </c>
      <c r="D8227" t="str">
        <f>HYPERLINK("https://us2.cloudbeds.com/connect/10074733072513#/reservations/31680992346309?display=Angela%20Svoboda&amp;reservation_id=31680992346309&amp;guest_id=31680992346304", "Angela Svoboda")</f>
        <v>Angela Svoboda</v>
      </c>
      <c r="E8227" t="s">
        <v>6341</v>
      </c>
      <c r="F8227" t="s">
        <v>5274</v>
      </c>
      <c r="G8227">
        <v>149</v>
      </c>
      <c r="H8227">
        <v>161.97</v>
      </c>
      <c r="I8227">
        <v>161.96</v>
      </c>
      <c r="J8227">
        <v>0.01</v>
      </c>
    </row>
    <row r="8228" spans="1:10" x14ac:dyDescent="0.3">
      <c r="A8228" t="str">
        <f>HYPERLINK("https://us2.cloudbeds.com/connect/10074733072513#/reservations/31681224618176?display=MHC5NPDQG&amp;reservation_id=31681224618176", "MHC5NPDQG")</f>
        <v>MHC5NPDQG</v>
      </c>
      <c r="B8228" t="s">
        <v>10</v>
      </c>
      <c r="C8228" t="s">
        <v>42</v>
      </c>
      <c r="D8228" t="str">
        <f>HYPERLINK("https://us2.cloudbeds.com/connect/10074733072513#/reservations/31681224618176?display=Olivia%20Willis&amp;reservation_id=31681224618176&amp;guest_id=31681224614084", "Olivia Willis")</f>
        <v>Olivia Willis</v>
      </c>
      <c r="E8228" t="s">
        <v>6342</v>
      </c>
      <c r="F8228" t="s">
        <v>5688</v>
      </c>
      <c r="G8228">
        <v>169</v>
      </c>
      <c r="H8228">
        <v>183.71</v>
      </c>
      <c r="I8228">
        <v>183.7</v>
      </c>
      <c r="J8228">
        <v>0.01</v>
      </c>
    </row>
    <row r="8229" spans="1:10" x14ac:dyDescent="0.3">
      <c r="A8229" t="str">
        <f>HYPERLINK("https://us2.cloudbeds.com/connect/10074733072513#/reservations/31681532321974?display=MHCDJ7RQ6&amp;reservation_id=31681532321974", "MHCDJ7RQ6")</f>
        <v>MHCDJ7RQ6</v>
      </c>
      <c r="B8229" t="s">
        <v>10</v>
      </c>
      <c r="C8229" t="s">
        <v>121</v>
      </c>
      <c r="D8229" t="str">
        <f>HYPERLINK("https://us2.cloudbeds.com/connect/10074733072513#/reservations/31681532321974?display=Claire%20Anderson&amp;reservation_id=31681532321974&amp;guest_id=31674983661716", "Claire Anderson")</f>
        <v>Claire Anderson</v>
      </c>
      <c r="E8229" t="s">
        <v>5437</v>
      </c>
      <c r="F8229" t="s">
        <v>6235</v>
      </c>
      <c r="G8229">
        <v>179</v>
      </c>
      <c r="H8229">
        <v>194.58</v>
      </c>
      <c r="I8229">
        <v>194.57</v>
      </c>
      <c r="J8229">
        <v>0.01</v>
      </c>
    </row>
    <row r="8230" spans="1:10" x14ac:dyDescent="0.3">
      <c r="A8230" t="str">
        <f>HYPERLINK("https://us2.cloudbeds.com/connect/10074733072513#/reservations/31678238490801?display=MH9SDQ4EB&amp;reservation_id=31678238490801", "MH9SDQ4EB")</f>
        <v>MH9SDQ4EB</v>
      </c>
      <c r="B8230" t="s">
        <v>10</v>
      </c>
      <c r="C8230" t="s">
        <v>11</v>
      </c>
      <c r="D8230" t="str">
        <f>HYPERLINK("https://us2.cloudbeds.com/connect/10074733072513#/reservations/31678238490801?display=Megan%20Leys&amp;reservation_id=31678238490801&amp;guest_id=31678238490796", "Megan Leys")</f>
        <v>Megan Leys</v>
      </c>
      <c r="E8230" t="s">
        <v>6345</v>
      </c>
      <c r="F8230" t="s">
        <v>6235</v>
      </c>
      <c r="G8230">
        <v>87.84</v>
      </c>
      <c r="H8230">
        <v>95.49</v>
      </c>
      <c r="I8230">
        <v>95.48</v>
      </c>
      <c r="J8230">
        <v>0.01</v>
      </c>
    </row>
    <row r="8231" spans="1:10" x14ac:dyDescent="0.3">
      <c r="A8231" t="str">
        <f>HYPERLINK("https://us2.cloudbeds.com/connect/10074733072513#/reservations/31678461698192?display=MHA1406TM&amp;reservation_id=31678461698192", "MHA1406TM")</f>
        <v>MHA1406TM</v>
      </c>
      <c r="B8231" t="s">
        <v>10</v>
      </c>
      <c r="C8231" t="s">
        <v>11</v>
      </c>
      <c r="D8231" t="str">
        <f>HYPERLINK("https://us2.cloudbeds.com/connect/10074733072513#/reservations/31678461698192?display=Caroline%20Kosciusko&amp;reservation_id=31678461698192&amp;guest_id=31678461698190", "Caroline Kosciusko")</f>
        <v>Caroline Kosciusko</v>
      </c>
      <c r="E8231" t="s">
        <v>6350</v>
      </c>
      <c r="F8231" t="s">
        <v>5789</v>
      </c>
      <c r="G8231">
        <v>87.84</v>
      </c>
      <c r="H8231">
        <v>95.49</v>
      </c>
      <c r="I8231">
        <v>95.48</v>
      </c>
      <c r="J8231">
        <v>0.01</v>
      </c>
    </row>
    <row r="8232" spans="1:10" x14ac:dyDescent="0.3">
      <c r="A8232" t="str">
        <f>HYPERLINK("https://us2.cloudbeds.com/connect/10074733072513#/reservations/31678473662692?display=MHA1E34J9&amp;reservation_id=31678473662692", "MHA1E34J9")</f>
        <v>MHA1E34J9</v>
      </c>
      <c r="B8232" t="s">
        <v>10</v>
      </c>
      <c r="C8232" t="s">
        <v>42</v>
      </c>
      <c r="D8232" t="str">
        <f>HYPERLINK("https://us2.cloudbeds.com/connect/10074733072513#/reservations/31678473662692?display=Adrian%20Fishburn&amp;reservation_id=31678473662692&amp;guest_id=31678473662679", "Adrian Fishburn")</f>
        <v>Adrian Fishburn</v>
      </c>
      <c r="E8232" t="s">
        <v>5890</v>
      </c>
      <c r="F8232" t="s">
        <v>5789</v>
      </c>
      <c r="G8232">
        <v>149</v>
      </c>
      <c r="H8232">
        <v>161.97</v>
      </c>
      <c r="I8232">
        <v>161.96</v>
      </c>
      <c r="J8232">
        <v>0.01</v>
      </c>
    </row>
    <row r="8233" spans="1:10" x14ac:dyDescent="0.3">
      <c r="A8233" t="str">
        <f>HYPERLINK("https://us2.cloudbeds.com/connect/10074733072513#/reservations/31682630262948?display=MHD8Y1M1Q&amp;reservation_id=31682630262948", "MHD8Y1M1Q")</f>
        <v>MHD8Y1M1Q</v>
      </c>
      <c r="B8233" t="s">
        <v>10</v>
      </c>
      <c r="C8233" t="s">
        <v>20</v>
      </c>
      <c r="D8233" t="str">
        <f>HYPERLINK("https://us2.cloudbeds.com/connect/10074733072513#/reservations/31682630262948?display=Amanda%20Story&amp;reservation_id=31682630262948&amp;guest_id=31682622787784", "Amanda Story")</f>
        <v>Amanda Story</v>
      </c>
      <c r="E8233" t="s">
        <v>6351</v>
      </c>
      <c r="F8233" t="s">
        <v>4974</v>
      </c>
      <c r="G8233">
        <v>418</v>
      </c>
      <c r="H8233">
        <v>454.38</v>
      </c>
      <c r="I8233">
        <v>454.37</v>
      </c>
      <c r="J8233">
        <v>0.01</v>
      </c>
    </row>
    <row r="8234" spans="1:10" x14ac:dyDescent="0.3">
      <c r="A8234" t="str">
        <f>HYPERLINK("https://us2.cloudbeds.com/connect/10074733072513#/reservations/31683603140838?display=MHE0GDE5W&amp;reservation_id=31683603140838", "MHE0GDE5W")</f>
        <v>MHE0GDE5W</v>
      </c>
      <c r="B8234" t="s">
        <v>10</v>
      </c>
      <c r="C8234" t="s">
        <v>42</v>
      </c>
      <c r="D8234" t="str">
        <f>HYPERLINK("https://us2.cloudbeds.com/connect/10074733072513#/reservations/31683603140838?display=Don%20Leclere&amp;reservation_id=31683603140838&amp;guest_id=31683603140822", "Don Leclere")</f>
        <v>Don Leclere</v>
      </c>
      <c r="E8234" t="s">
        <v>6352</v>
      </c>
      <c r="F8234" t="s">
        <v>6353</v>
      </c>
      <c r="G8234">
        <v>149</v>
      </c>
      <c r="H8234">
        <v>161.97</v>
      </c>
      <c r="I8234">
        <v>161.96</v>
      </c>
      <c r="J8234">
        <v>0.01</v>
      </c>
    </row>
    <row r="8235" spans="1:10" x14ac:dyDescent="0.3">
      <c r="A8235" t="str">
        <f>HYPERLINK("https://us2.cloudbeds.com/connect/10074733072513#/reservations/31679078596756?display=MHAGT6AJX&amp;reservation_id=31679078596756", "MHAGT6AJX")</f>
        <v>MHAGT6AJX</v>
      </c>
      <c r="B8235" t="s">
        <v>10</v>
      </c>
      <c r="C8235" t="s">
        <v>42</v>
      </c>
      <c r="D8235" t="str">
        <f>HYPERLINK("https://us2.cloudbeds.com/connect/10074733072513#/reservations/31679078596756?display=Mike%20Beavers&amp;reservation_id=31679078596756&amp;guest_id=31679078596754", "Mike Beavers")</f>
        <v>Mike Beavers</v>
      </c>
      <c r="E8235" t="s">
        <v>6354</v>
      </c>
      <c r="F8235" t="s">
        <v>6355</v>
      </c>
      <c r="G8235">
        <v>298</v>
      </c>
      <c r="H8235">
        <v>323.94</v>
      </c>
      <c r="I8235">
        <v>323.93</v>
      </c>
      <c r="J8235">
        <v>0.01</v>
      </c>
    </row>
    <row r="8236" spans="1:10" x14ac:dyDescent="0.3">
      <c r="A8236" t="str">
        <f>HYPERLINK("https://us2.cloudbeds.com/connect/10074733072513#/reservations/31680148132011?display=MHBB71NKQ&amp;reservation_id=31680148132011", "MHBB71NKQ")</f>
        <v>MHBB71NKQ</v>
      </c>
      <c r="B8236" t="s">
        <v>10</v>
      </c>
      <c r="C8236" t="s">
        <v>14</v>
      </c>
      <c r="D8236" t="str">
        <f>HYPERLINK("https://us2.cloudbeds.com/connect/10074733072513#/reservations/31680148132011?display=Stephanie%20Dannenberg&amp;reservation_id=31680148132011&amp;guest_id=31680148132009", "Stephanie Dannenberg")</f>
        <v>Stephanie Dannenberg</v>
      </c>
      <c r="E8236" t="s">
        <v>6357</v>
      </c>
      <c r="F8236" t="s">
        <v>6006</v>
      </c>
      <c r="G8236">
        <v>106.8</v>
      </c>
      <c r="H8236">
        <v>116.1</v>
      </c>
      <c r="I8236">
        <v>116.09</v>
      </c>
      <c r="J8236">
        <v>0.01</v>
      </c>
    </row>
    <row r="8237" spans="1:10" x14ac:dyDescent="0.3">
      <c r="A8237" t="str">
        <f>HYPERLINK("https://us2.cloudbeds.com/connect/10074733072513#/reservations/31677741670535?display=MH9FNSCFP&amp;reservation_id=31677741670535", "MH9FNSCFP")</f>
        <v>MH9FNSCFP</v>
      </c>
      <c r="B8237" t="s">
        <v>10</v>
      </c>
      <c r="C8237" t="s">
        <v>42</v>
      </c>
      <c r="D8237" t="str">
        <f>HYPERLINK("https://us2.cloudbeds.com/connect/10074733072513#/reservations/31677741670535?display=Dustin%20Pepper&amp;reservation_id=31677741670535&amp;guest_id=31677741670530", "Dustin Pepper")</f>
        <v>Dustin Pepper</v>
      </c>
      <c r="E8237" t="s">
        <v>6365</v>
      </c>
      <c r="F8237" t="s">
        <v>5869</v>
      </c>
      <c r="G8237">
        <v>289.10000000000002</v>
      </c>
      <c r="H8237">
        <v>314.26</v>
      </c>
      <c r="I8237">
        <v>314.25</v>
      </c>
      <c r="J8237">
        <v>0.01</v>
      </c>
    </row>
    <row r="8238" spans="1:10" x14ac:dyDescent="0.3">
      <c r="A8238" t="str">
        <f>HYPERLINK("https://us2.cloudbeds.com/connect/10074733072513#/reservations/31677721878715?display=MH9F75Y5Y&amp;reservation_id=31677721878715", "MH9F75Y5Y")</f>
        <v>MH9F75Y5Y</v>
      </c>
      <c r="B8238" t="s">
        <v>10</v>
      </c>
      <c r="C8238" t="s">
        <v>42</v>
      </c>
      <c r="D8238" t="str">
        <f>HYPERLINK("https://us2.cloudbeds.com/connect/10074733072513#/reservations/31677721878715?display=Linda%20Heiman&amp;reservation_id=31677721878715&amp;guest_id=31677712814243", "Linda Heiman")</f>
        <v>Linda Heiman</v>
      </c>
      <c r="E8238" t="s">
        <v>6366</v>
      </c>
      <c r="F8238" t="s">
        <v>5869</v>
      </c>
      <c r="G8238">
        <v>169</v>
      </c>
      <c r="H8238">
        <v>183.71</v>
      </c>
      <c r="I8238">
        <v>183.7</v>
      </c>
      <c r="J8238">
        <v>0.01</v>
      </c>
    </row>
    <row r="8239" spans="1:10" x14ac:dyDescent="0.3">
      <c r="A8239" t="str">
        <f>HYPERLINK("https://us2.cloudbeds.com/connect/10074733072513#/reservations/31682509815937?display=MHD5XG1ZC&amp;reservation_id=31682509815937", "MHD5XG1ZC")</f>
        <v>MHD5XG1ZC</v>
      </c>
      <c r="B8239" t="s">
        <v>10</v>
      </c>
      <c r="C8239" t="s">
        <v>42</v>
      </c>
      <c r="D8239" t="str">
        <f>HYPERLINK("https://us2.cloudbeds.com/connect/10074733072513#/reservations/31682509815937?display=Melissa%20Krapf&amp;reservation_id=31682509815937&amp;guest_id=31682509811900", "Melissa Krapf")</f>
        <v>Melissa Krapf</v>
      </c>
      <c r="E8239" t="s">
        <v>6370</v>
      </c>
      <c r="F8239" t="s">
        <v>5283</v>
      </c>
      <c r="G8239">
        <v>109</v>
      </c>
      <c r="H8239">
        <v>118.49</v>
      </c>
      <c r="I8239">
        <v>118.48</v>
      </c>
      <c r="J8239">
        <v>0.01</v>
      </c>
    </row>
    <row r="8240" spans="1:10" x14ac:dyDescent="0.3">
      <c r="A8240" t="str">
        <f>HYPERLINK("https://us2.cloudbeds.com/connect/10074733072513#/reservations/31688852050142?display=MHX2KE28M&amp;reservation_id=31688852050142", "MHX2KE28M")</f>
        <v>MHX2KE28M</v>
      </c>
      <c r="B8240" t="s">
        <v>10</v>
      </c>
      <c r="C8240" t="s">
        <v>20</v>
      </c>
      <c r="D8240" t="str">
        <f>HYPERLINK("https://us2.cloudbeds.com/connect/10074733072513#/reservations/31688852050142?display=Keri%20Francl&amp;reservation_id=31688852050142&amp;guest_id=31688852050140", "Keri Francl")</f>
        <v>Keri Francl</v>
      </c>
      <c r="E8240" t="s">
        <v>6371</v>
      </c>
      <c r="F8240" t="s">
        <v>3785</v>
      </c>
      <c r="G8240">
        <v>149</v>
      </c>
      <c r="H8240">
        <v>161.97</v>
      </c>
      <c r="I8240">
        <v>161.96</v>
      </c>
      <c r="J8240">
        <v>0.01</v>
      </c>
    </row>
    <row r="8241" spans="1:10" x14ac:dyDescent="0.3">
      <c r="A8241" t="str">
        <f>HYPERLINK("https://us2.cloudbeds.com/connect/10074733072513#/reservations/31680080851086?display=MHB9GAHAT&amp;reservation_id=31680080851086", "MHB9GAHAT")</f>
        <v>MHB9GAHAT</v>
      </c>
      <c r="B8241" t="s">
        <v>10</v>
      </c>
      <c r="C8241" t="s">
        <v>17</v>
      </c>
      <c r="D8241" t="str">
        <f>HYPERLINK("https://us2.cloudbeds.com/connect/10074733072513#/reservations/31680080851086?display=Lonnie%20Zelinske&amp;reservation_id=31680080851086&amp;guest_id=31677850919138", "Lonnie Zelinske")</f>
        <v>Lonnie Zelinske</v>
      </c>
      <c r="E8241" t="s">
        <v>5770</v>
      </c>
      <c r="F8241" t="s">
        <v>6006</v>
      </c>
      <c r="G8241">
        <v>169</v>
      </c>
      <c r="H8241">
        <v>183.71</v>
      </c>
      <c r="I8241">
        <v>183.7</v>
      </c>
      <c r="J8241">
        <v>0.01</v>
      </c>
    </row>
    <row r="8242" spans="1:10" x14ac:dyDescent="0.3">
      <c r="A8242" t="str">
        <f>HYPERLINK("https://us2.cloudbeds.com/connect/10074733072513#/reservations/31677699830010?display=MH9EYJ3E2&amp;reservation_id=31677699830010", "MH9EYJ3E2")</f>
        <v>MH9EYJ3E2</v>
      </c>
      <c r="B8242" t="s">
        <v>10</v>
      </c>
      <c r="C8242" t="s">
        <v>14</v>
      </c>
      <c r="D8242" t="str">
        <f>HYPERLINK("https://us2.cloudbeds.com/connect/10074733072513#/reservations/31677699830010?display=Jeffrey%20Johnson&amp;reservation_id=31677699830010&amp;guest_id=31677690261664", "Jeffrey Johnson")</f>
        <v>Jeffrey Johnson</v>
      </c>
      <c r="E8242" t="s">
        <v>6377</v>
      </c>
      <c r="F8242" t="s">
        <v>5938</v>
      </c>
      <c r="G8242">
        <v>106.8</v>
      </c>
      <c r="H8242">
        <v>116.1</v>
      </c>
      <c r="I8242">
        <v>116.09</v>
      </c>
      <c r="J8242">
        <v>0.01</v>
      </c>
    </row>
    <row r="8243" spans="1:10" x14ac:dyDescent="0.3">
      <c r="A8243" t="str">
        <f>HYPERLINK("https://us2.cloudbeds.com/connect/10074733072513#/reservations/31677406802058?display=MH975G5J5&amp;reservation_id=31677406802058", "MH975G5J5")</f>
        <v>MH975G5J5</v>
      </c>
      <c r="B8243" t="s">
        <v>10</v>
      </c>
      <c r="C8243" t="s">
        <v>14</v>
      </c>
      <c r="D8243" t="str">
        <f>HYPERLINK("https://us2.cloudbeds.com/connect/10074733072513#/reservations/31677406802058?display=Melissa%20Mohr&amp;reservation_id=31677406802058&amp;guest_id=31677406802055", "Melissa Mohr")</f>
        <v>Melissa Mohr</v>
      </c>
      <c r="E8243" t="s">
        <v>6378</v>
      </c>
      <c r="F8243" t="s">
        <v>5938</v>
      </c>
      <c r="G8243">
        <v>106.8</v>
      </c>
      <c r="H8243">
        <v>116.1</v>
      </c>
      <c r="I8243">
        <v>116.09</v>
      </c>
      <c r="J8243">
        <v>0.01</v>
      </c>
    </row>
    <row r="8244" spans="1:10" x14ac:dyDescent="0.3">
      <c r="A8244" t="str">
        <f>HYPERLINK("https://us2.cloudbeds.com/connect/10074733072513#/reservations/31680415391955?display=MHBX1DKCW&amp;reservation_id=31680415391955", "MHBX1DKCW")</f>
        <v>MHBX1DKCW</v>
      </c>
      <c r="B8244" t="s">
        <v>10</v>
      </c>
      <c r="C8244" t="s">
        <v>42</v>
      </c>
      <c r="D8244" t="str">
        <f>HYPERLINK("https://us2.cloudbeds.com/connect/10074733072513#/reservations/31680415391955?display=Brian%20Jarvis&amp;reservation_id=31680415391955&amp;guest_id=31673044766864", "Brian Jarvis")</f>
        <v>Brian Jarvis</v>
      </c>
      <c r="E8244" t="s">
        <v>3802</v>
      </c>
      <c r="F8244" t="s">
        <v>5871</v>
      </c>
      <c r="G8244">
        <v>336</v>
      </c>
      <c r="H8244">
        <v>365.24</v>
      </c>
      <c r="I8244">
        <v>365.23</v>
      </c>
      <c r="J8244">
        <v>0.01</v>
      </c>
    </row>
    <row r="8245" spans="1:10" x14ac:dyDescent="0.3">
      <c r="A8245" t="str">
        <f>HYPERLINK("https://us2.cloudbeds.com/connect/10074733072513#/reservations/31677418586245?display=MH97FE2MZ&amp;reservation_id=31677418586245", "MH97FE2MZ")</f>
        <v>MH97FE2MZ</v>
      </c>
      <c r="B8245" t="s">
        <v>10</v>
      </c>
      <c r="C8245" t="s">
        <v>11</v>
      </c>
      <c r="D8245" t="str">
        <f>HYPERLINK("https://us2.cloudbeds.com/connect/10074733072513#/reservations/31677418586245?display=Pamela%20Stillman-Rokusek&amp;reservation_id=31677418586245&amp;guest_id=31677418586240", "Pamela Stillman-Rokusek")</f>
        <v>Pamela Stillman-Rokusek</v>
      </c>
      <c r="E8245" t="s">
        <v>6383</v>
      </c>
      <c r="F8245" t="s">
        <v>5938</v>
      </c>
      <c r="G8245">
        <v>106.8</v>
      </c>
      <c r="H8245">
        <v>116.1</v>
      </c>
      <c r="I8245">
        <v>116.09</v>
      </c>
      <c r="J8245">
        <v>0.01</v>
      </c>
    </row>
    <row r="8246" spans="1:10" x14ac:dyDescent="0.3">
      <c r="A8246" t="str">
        <f>HYPERLINK("https://us2.cloudbeds.com/connect/10074733072513#/reservations/31680311484610?display=MHBFCQ80X&amp;reservation_id=31680311484610", "MHBFCQ80X")</f>
        <v>MHBFCQ80X</v>
      </c>
      <c r="B8246" t="s">
        <v>10</v>
      </c>
      <c r="C8246" t="s">
        <v>11</v>
      </c>
      <c r="D8246" t="str">
        <f>HYPERLINK("https://us2.cloudbeds.com/connect/10074733072513#/reservations/31680311484610?display=Carrol%20Mccracken&amp;reservation_id=31680311484610&amp;guest_id=31680311480573", "Carrol Mccracken")</f>
        <v>Carrol Mccracken</v>
      </c>
      <c r="E8246" t="s">
        <v>6384</v>
      </c>
      <c r="F8246" t="s">
        <v>5938</v>
      </c>
      <c r="G8246">
        <v>106.8</v>
      </c>
      <c r="H8246">
        <v>116.1</v>
      </c>
      <c r="I8246">
        <v>116.09</v>
      </c>
      <c r="J8246">
        <v>0.01</v>
      </c>
    </row>
    <row r="8247" spans="1:10" x14ac:dyDescent="0.3">
      <c r="A8247" t="str">
        <f>HYPERLINK("https://us2.cloudbeds.com/connect/10074733072513#/reservations/31680188911747?display=MHBC8EFJB&amp;reservation_id=31680188911747", "MHBC8EFJB")</f>
        <v>MHBC8EFJB</v>
      </c>
      <c r="B8247" t="s">
        <v>10</v>
      </c>
      <c r="C8247" t="s">
        <v>11</v>
      </c>
      <c r="D8247" t="str">
        <f>HYPERLINK("https://us2.cloudbeds.com/connect/10074733072513#/reservations/31680188911747?display=Hal%20Pedersen&amp;reservation_id=31680188911747&amp;guest_id=31680179962104", "Hal Pedersen")</f>
        <v>Hal Pedersen</v>
      </c>
      <c r="E8247" t="s">
        <v>6388</v>
      </c>
      <c r="F8247" t="s">
        <v>6006</v>
      </c>
      <c r="G8247">
        <v>106.8</v>
      </c>
      <c r="H8247">
        <v>116.1</v>
      </c>
      <c r="I8247">
        <v>116.09</v>
      </c>
      <c r="J8247">
        <v>0.01</v>
      </c>
    </row>
    <row r="8248" spans="1:10" x14ac:dyDescent="0.3">
      <c r="A8248" t="str">
        <f>HYPERLINK("https://us2.cloudbeds.com/connect/10074733072513#/reservations/31677703864528?display=MH9EZWC76&amp;reservation_id=31677703864528", "MH9EZWC76")</f>
        <v>MH9EZWC76</v>
      </c>
      <c r="B8248" t="s">
        <v>10</v>
      </c>
      <c r="C8248" t="s">
        <v>11</v>
      </c>
      <c r="D8248" t="str">
        <f>HYPERLINK("https://us2.cloudbeds.com/connect/10074733072513#/reservations/31677703864528?display=Tonya%20Bollin&amp;reservation_id=31677703864528&amp;guest_id=31677703860479", "Tonya Bollin")</f>
        <v>Tonya Bollin</v>
      </c>
      <c r="E8248" t="s">
        <v>6392</v>
      </c>
      <c r="F8248" t="s">
        <v>5938</v>
      </c>
      <c r="G8248">
        <v>106.8</v>
      </c>
      <c r="H8248">
        <v>116.1</v>
      </c>
      <c r="I8248">
        <v>116.09</v>
      </c>
      <c r="J8248">
        <v>0.01</v>
      </c>
    </row>
    <row r="8249" spans="1:10" x14ac:dyDescent="0.3">
      <c r="A8249" t="str">
        <f>HYPERLINK("https://us2.cloudbeds.com/connect/10074733072513#/reservations/31678961188998?display=MHADT694N&amp;reservation_id=31678961188998", "MHADT694N")</f>
        <v>MHADT694N</v>
      </c>
      <c r="B8249" t="s">
        <v>10</v>
      </c>
      <c r="C8249" t="s">
        <v>20</v>
      </c>
      <c r="D8249" t="str">
        <f>HYPERLINK("https://us2.cloudbeds.com/connect/10074733072513#/reservations/31678961188998?display=Katherine%20Ferraro&amp;reservation_id=31678961188998&amp;guest_id=31678961184905", "Katherine Ferraro")</f>
        <v>Katherine Ferraro</v>
      </c>
      <c r="E8249" t="s">
        <v>6393</v>
      </c>
      <c r="F8249" t="s">
        <v>4645</v>
      </c>
      <c r="G8249">
        <v>199</v>
      </c>
      <c r="H8249">
        <v>216.32</v>
      </c>
      <c r="I8249">
        <v>216.31</v>
      </c>
      <c r="J8249">
        <v>0.01</v>
      </c>
    </row>
    <row r="8250" spans="1:10" x14ac:dyDescent="0.3">
      <c r="A8250" t="str">
        <f>HYPERLINK("https://us2.cloudbeds.com/connect/10074733072513#/reservations/31680987291791?display=MHBWYYXV1&amp;reservation_id=31680987291791", "MHBWYYXV1")</f>
        <v>MHBWYYXV1</v>
      </c>
      <c r="B8250" t="s">
        <v>10</v>
      </c>
      <c r="C8250" t="s">
        <v>42</v>
      </c>
      <c r="D8250" t="str">
        <f>HYPERLINK("https://us2.cloudbeds.com/connect/10074733072513#/reservations/31680987291791?display=Larry%20Hasche&amp;reservation_id=31680987291791&amp;guest_id=31680987287699", "Larry Hasche")</f>
        <v>Larry Hasche</v>
      </c>
      <c r="E8250" t="s">
        <v>6395</v>
      </c>
      <c r="F8250" t="s">
        <v>5688</v>
      </c>
      <c r="G8250">
        <v>179</v>
      </c>
      <c r="H8250">
        <v>194.58</v>
      </c>
      <c r="I8250">
        <v>194.57</v>
      </c>
      <c r="J8250">
        <v>0.01</v>
      </c>
    </row>
    <row r="8251" spans="1:10" x14ac:dyDescent="0.3">
      <c r="A8251" t="str">
        <f>HYPERLINK("https://us2.cloudbeds.com/connect/10074733072513#/reservations/31678268186824?display=MH9T5RFGR&amp;reservation_id=31678268186824", "MH9T5RFGR")</f>
        <v>MH9T5RFGR</v>
      </c>
      <c r="B8251" t="s">
        <v>10</v>
      </c>
      <c r="C8251" t="s">
        <v>42</v>
      </c>
      <c r="D8251" t="str">
        <f>HYPERLINK("https://us2.cloudbeds.com/connect/10074733072513#/reservations/31678268186824?display=Jeff%20Wood&amp;reservation_id=31678268186824&amp;guest_id=31678259069115", "Jeff Wood")</f>
        <v>Jeff Wood</v>
      </c>
      <c r="E8251" t="s">
        <v>6396</v>
      </c>
      <c r="F8251" t="s">
        <v>5990</v>
      </c>
      <c r="G8251">
        <v>149</v>
      </c>
      <c r="H8251">
        <v>161.97</v>
      </c>
      <c r="I8251">
        <v>161.96</v>
      </c>
      <c r="J8251">
        <v>0.01</v>
      </c>
    </row>
    <row r="8252" spans="1:10" x14ac:dyDescent="0.3">
      <c r="A8252" t="str">
        <f>HYPERLINK("https://us2.cloudbeds.com/connect/10074733072513#/reservations/31682124087426?display=MHCSN7JDK&amp;reservation_id=31682124087426", "MHCSN7JDK")</f>
        <v>MHCSN7JDK</v>
      </c>
      <c r="B8252" t="s">
        <v>10</v>
      </c>
      <c r="C8252" t="s">
        <v>20</v>
      </c>
      <c r="D8252" t="str">
        <f>HYPERLINK("https://us2.cloudbeds.com/connect/10074733072513#/reservations/31682124087426?display=Justin%20Klinghagen&amp;reservation_id=31682124087426&amp;guest_id=31682124083382", "Justin Klinghagen")</f>
        <v>Justin Klinghagen</v>
      </c>
      <c r="E8252" t="s">
        <v>6397</v>
      </c>
      <c r="F8252" t="s">
        <v>5916</v>
      </c>
      <c r="G8252">
        <v>169</v>
      </c>
      <c r="H8252">
        <v>183.71</v>
      </c>
      <c r="I8252">
        <v>183.7</v>
      </c>
      <c r="J8252">
        <v>0.01</v>
      </c>
    </row>
    <row r="8253" spans="1:10" x14ac:dyDescent="0.3">
      <c r="A8253" t="str">
        <f>HYPERLINK("https://us2.cloudbeds.com/connect/10074733072513#/reservations/31680551350475?display=MHBYH1SH4&amp;reservation_id=31680551350475", "MHBYH1SH4")</f>
        <v>MHBYH1SH4</v>
      </c>
      <c r="B8253" t="s">
        <v>10</v>
      </c>
      <c r="C8253" t="s">
        <v>42</v>
      </c>
      <c r="D8253" t="str">
        <f>HYPERLINK("https://us2.cloudbeds.com/connect/10074733072513#/reservations/31680551350475?display=Cammy%20Gould&amp;reservation_id=31680551350475&amp;guest_id=31680542392574", "Cammy Gould")</f>
        <v>Cammy Gould</v>
      </c>
      <c r="E8253" t="s">
        <v>6398</v>
      </c>
      <c r="F8253" t="s">
        <v>6148</v>
      </c>
      <c r="G8253">
        <v>219</v>
      </c>
      <c r="H8253">
        <v>238.06</v>
      </c>
      <c r="I8253">
        <v>238.05</v>
      </c>
      <c r="J8253">
        <v>0.01</v>
      </c>
    </row>
    <row r="8254" spans="1:10" x14ac:dyDescent="0.3">
      <c r="A8254" t="str">
        <f>HYPERLINK("https://us2.cloudbeds.com/connect/10074733072513#/reservations/31680600199387?display=MHBMP8566&amp;reservation_id=31680600199387", "MHBMP8566")</f>
        <v>MHBMP8566</v>
      </c>
      <c r="B8254" t="s">
        <v>10</v>
      </c>
      <c r="C8254" t="s">
        <v>42</v>
      </c>
      <c r="D8254" t="str">
        <f>HYPERLINK("https://us2.cloudbeds.com/connect/10074733072513#/reservations/31680600199387?display=Jenni%20Konda&amp;reservation_id=31680600199387&amp;guest_id=31680600199385", "Jenni Konda")</f>
        <v>Jenni Konda</v>
      </c>
      <c r="E8254" t="s">
        <v>6399</v>
      </c>
      <c r="F8254" t="s">
        <v>5366</v>
      </c>
      <c r="G8254">
        <v>298</v>
      </c>
      <c r="H8254">
        <v>323.94</v>
      </c>
      <c r="I8254">
        <v>323.93</v>
      </c>
      <c r="J8254">
        <v>0.01</v>
      </c>
    </row>
    <row r="8255" spans="1:10" x14ac:dyDescent="0.3">
      <c r="A8255" t="str">
        <f>HYPERLINK("https://us2.cloudbeds.com/connect/10074733072513#/reservations/31678174187724?display=MH9QPXQK8&amp;reservation_id=31678174187724", "MH9QPXQK8")</f>
        <v>MH9QPXQK8</v>
      </c>
      <c r="B8255" t="s">
        <v>10</v>
      </c>
      <c r="C8255" t="s">
        <v>20</v>
      </c>
      <c r="D8255" t="str">
        <f>HYPERLINK("https://us2.cloudbeds.com/connect/10074733072513#/reservations/31678174187724?display=Nancy%20Rieck&amp;reservation_id=31678174187724&amp;guest_id=31678169735393", "Nancy Rieck")</f>
        <v>Nancy Rieck</v>
      </c>
      <c r="E8255" t="s">
        <v>6400</v>
      </c>
      <c r="F8255" t="s">
        <v>5871</v>
      </c>
      <c r="G8255">
        <v>149</v>
      </c>
      <c r="H8255">
        <v>161.97</v>
      </c>
      <c r="I8255">
        <v>161.96</v>
      </c>
      <c r="J8255">
        <v>0.01</v>
      </c>
    </row>
    <row r="8256" spans="1:10" x14ac:dyDescent="0.3">
      <c r="A8256" t="str">
        <f>HYPERLINK("https://us2.cloudbeds.com/connect/10074733072513#/reservations/31681682002148?display=MHCHDEU51&amp;reservation_id=31681682002148", "MHCHDEU51")</f>
        <v>MHCHDEU51</v>
      </c>
      <c r="B8256" t="s">
        <v>10</v>
      </c>
      <c r="C8256" t="s">
        <v>23</v>
      </c>
      <c r="D8256" t="str">
        <f>HYPERLINK("https://us2.cloudbeds.com/connect/10074733072513#/reservations/31681682002148?display=Tyler%20Mann&amp;reservation_id=31681682002148&amp;guest_id=31681682002145", "Tyler Mann")</f>
        <v>Tyler Mann</v>
      </c>
      <c r="E8256" t="s">
        <v>6401</v>
      </c>
      <c r="F8256" t="s">
        <v>5587</v>
      </c>
      <c r="G8256">
        <v>149</v>
      </c>
      <c r="H8256">
        <v>161.97</v>
      </c>
      <c r="I8256">
        <v>161.96</v>
      </c>
      <c r="J8256">
        <v>0.01</v>
      </c>
    </row>
    <row r="8257" spans="1:10" x14ac:dyDescent="0.3">
      <c r="A8257" t="str">
        <f>HYPERLINK("https://us2.cloudbeds.com/connect/10074733072513#/reservations/31678342197499?display=MH9V27UXX&amp;reservation_id=31678342197499", "MH9V27UXX")</f>
        <v>MH9V27UXX</v>
      </c>
      <c r="B8257" t="s">
        <v>10</v>
      </c>
      <c r="C8257" t="s">
        <v>42</v>
      </c>
      <c r="D8257" t="str">
        <f>HYPERLINK("https://us2.cloudbeds.com/connect/10074733072513#/reservations/31678342197499?display=Kathy%20Atwell&amp;reservation_id=31678342197499&amp;guest_id=31678342197497", "Kathy Atwell")</f>
        <v>Kathy Atwell</v>
      </c>
      <c r="E8257" t="s">
        <v>2814</v>
      </c>
      <c r="F8257" t="s">
        <v>5562</v>
      </c>
      <c r="G8257">
        <v>109</v>
      </c>
      <c r="H8257">
        <v>118.49</v>
      </c>
      <c r="I8257">
        <v>118.48</v>
      </c>
      <c r="J8257">
        <v>0.01</v>
      </c>
    </row>
    <row r="8258" spans="1:10" x14ac:dyDescent="0.3">
      <c r="A8258" t="str">
        <f>HYPERLINK("https://us2.cloudbeds.com/connect/10074733072513#/reservations/31683304464600?display=MHDPSXAYT&amp;reservation_id=31683304464600", "MHDPSXAYT")</f>
        <v>MHDPSXAYT</v>
      </c>
      <c r="B8258" t="s">
        <v>10</v>
      </c>
      <c r="C8258" t="s">
        <v>20</v>
      </c>
      <c r="D8258" t="str">
        <f>HYPERLINK("https://us2.cloudbeds.com/connect/10074733072513#/reservations/31683304464600?display=Bruce%20Hapeman&amp;reservation_id=31683304464600&amp;guest_id=31683304464595", "Bruce Hapeman")</f>
        <v>Bruce Hapeman</v>
      </c>
      <c r="E8258" t="s">
        <v>6404</v>
      </c>
      <c r="F8258" t="s">
        <v>5140</v>
      </c>
      <c r="G8258">
        <v>189</v>
      </c>
      <c r="H8258">
        <v>205.45</v>
      </c>
      <c r="I8258">
        <v>205.44</v>
      </c>
      <c r="J8258">
        <v>0.01</v>
      </c>
    </row>
    <row r="8259" spans="1:10" x14ac:dyDescent="0.3">
      <c r="A8259" t="str">
        <f>HYPERLINK("https://us2.cloudbeds.com/connect/10074733072513#/reservations/31677801443549?display=MH9H88YF7&amp;reservation_id=31677801443549", "MH9H88YF7")</f>
        <v>MH9H88YF7</v>
      </c>
      <c r="B8259" t="s">
        <v>10</v>
      </c>
      <c r="C8259" t="s">
        <v>42</v>
      </c>
      <c r="D8259" t="str">
        <f>HYPERLINK("https://us2.cloudbeds.com/connect/10074733072513#/reservations/31677801443549?display=Nancy%20Aho&amp;reservation_id=31677801443549&amp;guest_id=31677801443544", "Nancy Aho")</f>
        <v>Nancy Aho</v>
      </c>
      <c r="E8259" t="s">
        <v>6407</v>
      </c>
      <c r="F8259" t="s">
        <v>5562</v>
      </c>
      <c r="G8259">
        <v>358</v>
      </c>
      <c r="H8259">
        <v>389.16</v>
      </c>
      <c r="I8259">
        <v>389.15</v>
      </c>
      <c r="J8259">
        <v>0.01</v>
      </c>
    </row>
    <row r="8260" spans="1:10" x14ac:dyDescent="0.3">
      <c r="A8260" t="str">
        <f>HYPERLINK("https://us2.cloudbeds.com/connect/10074733072513#/reservations/31678623633604?display=MHA58X9UC&amp;reservation_id=31678623633604", "MHA58X9UC")</f>
        <v>MHA58X9UC</v>
      </c>
      <c r="B8260" t="s">
        <v>10</v>
      </c>
      <c r="C8260" t="s">
        <v>17</v>
      </c>
      <c r="D8260" t="str">
        <f>HYPERLINK("https://us2.cloudbeds.com/connect/10074733072513#/reservations/31678623633604?display=Lonnie%20Zelinske&amp;reservation_id=31678623633604&amp;guest_id=31678557139168", "Lonnie Zelinske")</f>
        <v>Lonnie Zelinske</v>
      </c>
      <c r="E8260" t="s">
        <v>6410</v>
      </c>
      <c r="F8260" t="s">
        <v>5990</v>
      </c>
      <c r="G8260">
        <v>338</v>
      </c>
      <c r="H8260">
        <v>367.42</v>
      </c>
      <c r="I8260">
        <v>367.41</v>
      </c>
      <c r="J8260">
        <v>0.01</v>
      </c>
    </row>
    <row r="8261" spans="1:10" x14ac:dyDescent="0.3">
      <c r="A8261" t="str">
        <f>HYPERLINK("https://us2.cloudbeds.com/connect/10074733072513#/reservations/31679790321802?display=MHB22B3V6&amp;reservation_id=31679790321802", "MHB22B3V6")</f>
        <v>MHB22B3V6</v>
      </c>
      <c r="B8261" t="s">
        <v>10</v>
      </c>
      <c r="C8261" t="s">
        <v>23</v>
      </c>
      <c r="D8261" t="str">
        <f>HYPERLINK("https://us2.cloudbeds.com/connect/10074733072513#/reservations/31679790321802?display=Caleb%20Linn&amp;reservation_id=31679790321802&amp;guest_id=31679790317710", "Caleb Linn")</f>
        <v>Caleb Linn</v>
      </c>
      <c r="E8261" t="s">
        <v>6411</v>
      </c>
      <c r="F8261" t="s">
        <v>5688</v>
      </c>
      <c r="G8261">
        <v>219</v>
      </c>
      <c r="H8261">
        <v>238.06</v>
      </c>
      <c r="I8261">
        <v>238.05</v>
      </c>
      <c r="J8261">
        <v>0.01</v>
      </c>
    </row>
    <row r="8262" spans="1:10" x14ac:dyDescent="0.3">
      <c r="A8262" t="str">
        <f>HYPERLINK("https://us2.cloudbeds.com/connect/10074733072513#/reservations/31682199875736?display=MHCUY4GR2&amp;reservation_id=31682199875736", "MHCUY4GR2")</f>
        <v>MHCUY4GR2</v>
      </c>
      <c r="B8262" t="s">
        <v>10</v>
      </c>
      <c r="C8262" t="s">
        <v>20</v>
      </c>
      <c r="D8262" t="str">
        <f>HYPERLINK("https://us2.cloudbeds.com/connect/10074733072513#/reservations/31682199875736?display=Britni%20Greenfield&amp;reservation_id=31682199875736&amp;guest_id=31682199875733", "Britni Greenfield")</f>
        <v>Britni Greenfield</v>
      </c>
      <c r="E8262" t="s">
        <v>6412</v>
      </c>
      <c r="F8262" t="s">
        <v>6413</v>
      </c>
      <c r="G8262">
        <v>149</v>
      </c>
      <c r="H8262">
        <v>161.97</v>
      </c>
      <c r="I8262">
        <v>161.96</v>
      </c>
      <c r="J8262">
        <v>0.01</v>
      </c>
    </row>
    <row r="8263" spans="1:10" x14ac:dyDescent="0.3">
      <c r="A8263" t="str">
        <f>HYPERLINK("https://us2.cloudbeds.com/connect/10074733072513#/reservations/31678599413993?display=MHA4Y4BMP&amp;reservation_id=31678599413993", "MHA4Y4BMP")</f>
        <v>MHA4Y4BMP</v>
      </c>
      <c r="B8263" t="s">
        <v>10</v>
      </c>
      <c r="C8263" t="s">
        <v>121</v>
      </c>
      <c r="D8263" t="str">
        <f>HYPERLINK("https://us2.cloudbeds.com/connect/10074733072513#/reservations/31678599413993?display=Jerrell%20Faulkner&amp;reservation_id=31678599413993&amp;guest_id=31677618983129", "Jerrell Faulkner")</f>
        <v>Jerrell Faulkner</v>
      </c>
      <c r="E8263" t="s">
        <v>6187</v>
      </c>
      <c r="F8263" t="s">
        <v>5762</v>
      </c>
      <c r="G8263">
        <v>73</v>
      </c>
      <c r="H8263">
        <v>79.36</v>
      </c>
      <c r="I8263">
        <v>79.349999999999994</v>
      </c>
      <c r="J8263">
        <v>0.01</v>
      </c>
    </row>
    <row r="8264" spans="1:10" x14ac:dyDescent="0.3">
      <c r="A8264" t="str">
        <f>HYPERLINK("https://us2.cloudbeds.com/connect/10074733072513#/reservations/31678633595071?display=MHA5GVG90&amp;reservation_id=31678633595071", "MHA5GVG90")</f>
        <v>MHA5GVG90</v>
      </c>
      <c r="B8264" t="s">
        <v>10</v>
      </c>
      <c r="C8264" t="s">
        <v>23</v>
      </c>
      <c r="D8264" t="str">
        <f>HYPERLINK("https://us2.cloudbeds.com/connect/10074733072513#/reservations/31678633595071?display=Jamie%20Rogers&amp;reservation_id=31678633595071&amp;guest_id=31678633595059", "Jamie Rogers")</f>
        <v>Jamie Rogers</v>
      </c>
      <c r="E8264" t="s">
        <v>6414</v>
      </c>
      <c r="F8264" t="s">
        <v>5990</v>
      </c>
      <c r="G8264">
        <v>149</v>
      </c>
      <c r="H8264">
        <v>161.97</v>
      </c>
      <c r="I8264">
        <v>161.96</v>
      </c>
      <c r="J8264">
        <v>0.01</v>
      </c>
    </row>
    <row r="8265" spans="1:10" x14ac:dyDescent="0.3">
      <c r="A8265" t="str">
        <f>HYPERLINK("https://us2.cloudbeds.com/connect/10074733072513#/reservations/31678199468162?display=MH9RDT8W4&amp;reservation_id=31678199468162", "MH9RDT8W4")</f>
        <v>MH9RDT8W4</v>
      </c>
      <c r="B8265" t="s">
        <v>10</v>
      </c>
      <c r="C8265" t="s">
        <v>20</v>
      </c>
      <c r="D8265" t="str">
        <f>HYPERLINK("https://us2.cloudbeds.com/connect/10074733072513#/reservations/31678199468162?display=Jonathan%20Beaver&amp;reservation_id=31678199468162&amp;guest_id=31678199468160", "Jonathan Beaver")</f>
        <v>Jonathan Beaver</v>
      </c>
      <c r="E8265" t="s">
        <v>6415</v>
      </c>
      <c r="F8265" t="s">
        <v>5871</v>
      </c>
      <c r="G8265">
        <v>298</v>
      </c>
      <c r="H8265">
        <v>323.94</v>
      </c>
      <c r="I8265">
        <v>323.93</v>
      </c>
      <c r="J8265">
        <v>0.01</v>
      </c>
    </row>
    <row r="8266" spans="1:10" x14ac:dyDescent="0.3">
      <c r="A8266" t="str">
        <f>HYPERLINK("https://us2.cloudbeds.com/connect/10074733072513#/reservations/31678610546900?display=MHA4UH4ZJ&amp;reservation_id=31678610546900", "MHA4UH4ZJ")</f>
        <v>MHA4UH4ZJ</v>
      </c>
      <c r="B8266" t="s">
        <v>10</v>
      </c>
      <c r="C8266" t="s">
        <v>42</v>
      </c>
      <c r="D8266" t="str">
        <f>HYPERLINK("https://us2.cloudbeds.com/connect/10074733072513#/reservations/31678610546900?display=Mitch%20Blocker&amp;reservation_id=31678610546900&amp;guest_id=31678610542808", "Mitch Blocker")</f>
        <v>Mitch Blocker</v>
      </c>
      <c r="E8266" t="s">
        <v>6417</v>
      </c>
      <c r="F8266" t="s">
        <v>5762</v>
      </c>
      <c r="G8266">
        <v>169</v>
      </c>
      <c r="H8266">
        <v>183.71</v>
      </c>
      <c r="I8266">
        <v>183.7</v>
      </c>
      <c r="J8266">
        <v>0.01</v>
      </c>
    </row>
    <row r="8267" spans="1:10" x14ac:dyDescent="0.3">
      <c r="A8267" t="str">
        <f>HYPERLINK("https://us2.cloudbeds.com/connect/10074733072513#/reservations/31678574330053?display=MHA3WWBPC&amp;reservation_id=31678574330053", "MHA3WWBPC")</f>
        <v>MHA3WWBPC</v>
      </c>
      <c r="B8267" t="s">
        <v>10</v>
      </c>
      <c r="C8267" t="s">
        <v>42</v>
      </c>
      <c r="D8267" t="str">
        <f>HYPERLINK("https://us2.cloudbeds.com/connect/10074733072513#/reservations/31678574330053?display=Lonnie%20Zelinske&amp;reservation_id=31678574330053&amp;guest_id=31678557139168", "Lonnie Zelinske")</f>
        <v>Lonnie Zelinske</v>
      </c>
      <c r="E8267" t="s">
        <v>6410</v>
      </c>
      <c r="F8267" t="s">
        <v>5990</v>
      </c>
      <c r="G8267">
        <v>298</v>
      </c>
      <c r="H8267">
        <v>323.94</v>
      </c>
      <c r="I8267">
        <v>323.93</v>
      </c>
      <c r="J8267">
        <v>0.01</v>
      </c>
    </row>
    <row r="8268" spans="1:10" x14ac:dyDescent="0.3">
      <c r="A8268" t="str">
        <f>HYPERLINK("https://us2.cloudbeds.com/connect/10074733072513#/reservations/31678280872134?display=MH9TGHF35&amp;reservation_id=31678280872134", "MH9TGHF35")</f>
        <v>MH9TGHF35</v>
      </c>
      <c r="B8268" t="s">
        <v>10</v>
      </c>
      <c r="C8268" t="s">
        <v>42</v>
      </c>
      <c r="D8268" t="str">
        <f>HYPERLINK("https://us2.cloudbeds.com/connect/10074733072513#/reservations/31678280872134?display=Cory%20Glick&amp;reservation_id=31678280872134&amp;guest_id=31672877940869", "Cory Glick")</f>
        <v>Cory Glick</v>
      </c>
      <c r="E8268" t="s">
        <v>5004</v>
      </c>
      <c r="F8268" t="s">
        <v>5990</v>
      </c>
      <c r="G8268">
        <v>79</v>
      </c>
      <c r="H8268">
        <v>85.88</v>
      </c>
      <c r="I8268">
        <v>85.87</v>
      </c>
      <c r="J8268">
        <v>0.01</v>
      </c>
    </row>
    <row r="8269" spans="1:10" x14ac:dyDescent="0.3">
      <c r="A8269" t="str">
        <f>HYPERLINK("https://us2.cloudbeds.com/connect/10074733072513#/reservations/31678287167624?display=MH9TYRY2J&amp;reservation_id=31678287167624", "MH9TYRY2J")</f>
        <v>MH9TYRY2J</v>
      </c>
      <c r="B8269" t="s">
        <v>10</v>
      </c>
      <c r="C8269" t="s">
        <v>42</v>
      </c>
      <c r="D8269" t="str">
        <f>HYPERLINK("https://us2.cloudbeds.com/connect/10074733072513#/reservations/31678287167624?display=Bill%20Worman&amp;reservation_id=31678287167624&amp;guest_id=31678287163544", "Bill Worman")</f>
        <v>Bill Worman</v>
      </c>
      <c r="E8269" t="s">
        <v>6423</v>
      </c>
      <c r="F8269" t="s">
        <v>5990</v>
      </c>
      <c r="G8269">
        <v>159</v>
      </c>
      <c r="H8269">
        <v>172.84</v>
      </c>
      <c r="I8269">
        <v>172.83</v>
      </c>
      <c r="J8269">
        <v>0.01</v>
      </c>
    </row>
    <row r="8270" spans="1:10" x14ac:dyDescent="0.3">
      <c r="A8270" t="str">
        <f>HYPERLINK("https://us2.cloudbeds.com/connect/10074733072513#/reservations/31678296117449?display=MH9TTCMFD&amp;reservation_id=31678296117449", "MH9TTCMFD")</f>
        <v>MH9TTCMFD</v>
      </c>
      <c r="B8270" t="s">
        <v>10</v>
      </c>
      <c r="C8270" t="s">
        <v>42</v>
      </c>
      <c r="D8270" t="str">
        <f>HYPERLINK("https://us2.cloudbeds.com/connect/10074733072513#/reservations/31678296117449?display=Greg%20Brusven&amp;reservation_id=31678296117449&amp;guest_id=17963408818374", "Greg Brusven")</f>
        <v>Greg Brusven</v>
      </c>
      <c r="E8270" t="s">
        <v>2398</v>
      </c>
      <c r="F8270" t="s">
        <v>5562</v>
      </c>
      <c r="G8270">
        <v>178</v>
      </c>
      <c r="H8270">
        <v>193.5</v>
      </c>
      <c r="I8270">
        <v>193.49</v>
      </c>
      <c r="J8270">
        <v>0.01</v>
      </c>
    </row>
    <row r="8271" spans="1:10" x14ac:dyDescent="0.3">
      <c r="A8271" t="str">
        <f>HYPERLINK("https://us2.cloudbeds.com/connect/10074733072513#/reservations/31681998807183?display=MHCPGJFSK&amp;reservation_id=31681998807183", "MHCPGJFSK")</f>
        <v>MHCPGJFSK</v>
      </c>
      <c r="B8271" t="s">
        <v>10</v>
      </c>
      <c r="C8271" t="s">
        <v>121</v>
      </c>
      <c r="D8271" t="str">
        <f>HYPERLINK("https://us2.cloudbeds.com/connect/10074733072513#/reservations/31681998807183?display=Cindy%20Chaplin&amp;reservation_id=31681998807183&amp;guest_id=31681992515773", "Cindy Chaplin")</f>
        <v>Cindy Chaplin</v>
      </c>
      <c r="E8271" t="s">
        <v>4510</v>
      </c>
      <c r="F8271" t="s">
        <v>5762</v>
      </c>
      <c r="G8271">
        <v>189</v>
      </c>
      <c r="H8271">
        <v>205.45</v>
      </c>
      <c r="I8271">
        <v>205.44</v>
      </c>
      <c r="J8271">
        <v>0.01</v>
      </c>
    </row>
    <row r="8272" spans="1:10" x14ac:dyDescent="0.3">
      <c r="A8272" t="str">
        <f>HYPERLINK("https://us2.cloudbeds.com/connect/10074733072513#/reservations/31678766194882?display=MHA8TP963&amp;reservation_id=31678766194882", "MHA8TP963")</f>
        <v>MHA8TP963</v>
      </c>
      <c r="B8272" t="s">
        <v>10</v>
      </c>
      <c r="C8272" t="s">
        <v>23</v>
      </c>
      <c r="D8272" t="str">
        <f>HYPERLINK("https://us2.cloudbeds.com/connect/10074733072513#/reservations/31678766194882?display=Jasmine%20Nordstrom&amp;reservation_id=31678766194882&amp;guest_id=31678757249194", "Jasmine Nordstrom")</f>
        <v>Jasmine Nordstrom</v>
      </c>
      <c r="E8272" t="s">
        <v>6426</v>
      </c>
      <c r="F8272" t="s">
        <v>4916</v>
      </c>
      <c r="G8272">
        <v>398</v>
      </c>
      <c r="H8272">
        <v>432.64</v>
      </c>
      <c r="I8272">
        <v>432.63</v>
      </c>
      <c r="J8272">
        <v>0.01</v>
      </c>
    </row>
    <row r="8273" spans="1:10" x14ac:dyDescent="0.3">
      <c r="A8273" t="str">
        <f>HYPERLINK("https://us2.cloudbeds.com/connect/10074733072513#/reservations/31678418366629?display=MHA00FEM0&amp;reservation_id=31678418366629", "MHA00FEM0")</f>
        <v>MHA00FEM0</v>
      </c>
      <c r="B8273" t="s">
        <v>10</v>
      </c>
      <c r="C8273" t="s">
        <v>20</v>
      </c>
      <c r="D8273" t="str">
        <f>HYPERLINK("https://us2.cloudbeds.com/connect/10074733072513#/reservations/31678418366629?display=Carolyn%20Starkey&amp;reservation_id=31678418366629&amp;guest_id=31678411296970", "Carolyn Starkey")</f>
        <v>Carolyn Starkey</v>
      </c>
      <c r="E8273" t="s">
        <v>6427</v>
      </c>
      <c r="F8273" t="s">
        <v>5562</v>
      </c>
      <c r="G8273">
        <v>308</v>
      </c>
      <c r="H8273">
        <v>334.81</v>
      </c>
      <c r="I8273">
        <v>334.8</v>
      </c>
      <c r="J8273">
        <v>0.01</v>
      </c>
    </row>
    <row r="8274" spans="1:10" x14ac:dyDescent="0.3">
      <c r="A8274" t="str">
        <f>HYPERLINK("https://us2.cloudbeds.com/connect/10074733072513#/reservations/31678152696060?display=MH9Q7EPCN&amp;reservation_id=31678152696060", "MH9Q7EPCN")</f>
        <v>MH9Q7EPCN</v>
      </c>
      <c r="B8274" t="s">
        <v>10</v>
      </c>
      <c r="C8274" t="s">
        <v>42</v>
      </c>
      <c r="D8274" t="str">
        <f>HYPERLINK("https://us2.cloudbeds.com/connect/10074733072513#/reservations/31678152696060?display=Marcus%20Vaughn&amp;reservation_id=31678152696060&amp;guest_id=31678152696055", "Marcus Vaughn")</f>
        <v>Marcus Vaughn</v>
      </c>
      <c r="E8274" t="s">
        <v>6437</v>
      </c>
      <c r="F8274" t="s">
        <v>5871</v>
      </c>
      <c r="G8274">
        <v>73</v>
      </c>
      <c r="H8274">
        <v>79.36</v>
      </c>
      <c r="I8274">
        <v>79.349999999999994</v>
      </c>
      <c r="J8274">
        <v>0.01</v>
      </c>
    </row>
    <row r="8275" spans="1:10" x14ac:dyDescent="0.3">
      <c r="A8275" t="str">
        <f>HYPERLINK("https://us2.cloudbeds.com/connect/10074733072513#/reservations/31678812917962?display=MHAA35DP0&amp;reservation_id=31678812917962", "MHAA35DP0")</f>
        <v>MHAA35DP0</v>
      </c>
      <c r="B8275" t="s">
        <v>10</v>
      </c>
      <c r="C8275" t="s">
        <v>23</v>
      </c>
      <c r="D8275" t="str">
        <f>HYPERLINK("https://us2.cloudbeds.com/connect/10074733072513#/reservations/31678812917962?display=Sarah%20Carda&amp;reservation_id=31678812917962&amp;guest_id=31678812913870", "Sarah Carda")</f>
        <v>Sarah Carda</v>
      </c>
      <c r="E8275" t="s">
        <v>6439</v>
      </c>
      <c r="F8275" t="s">
        <v>6148</v>
      </c>
      <c r="G8275">
        <v>219</v>
      </c>
      <c r="H8275">
        <v>238.06</v>
      </c>
      <c r="I8275">
        <v>238.05</v>
      </c>
      <c r="J8275">
        <v>0.01</v>
      </c>
    </row>
    <row r="8276" spans="1:10" x14ac:dyDescent="0.3">
      <c r="A8276" t="str">
        <f>HYPERLINK("https://us2.cloudbeds.com/connect/10074733072513#/reservations/31677850239227?display=MH9XGDF84&amp;reservation_id=31677850239227", "MH9XGDF84")</f>
        <v>MH9XGDF84</v>
      </c>
      <c r="B8276" t="s">
        <v>10</v>
      </c>
      <c r="C8276" t="s">
        <v>121</v>
      </c>
      <c r="D8276" t="str">
        <f>HYPERLINK("https://us2.cloudbeds.com/connect/10074733072513#/reservations/31677850239227?display=Michell%20Brentlinger&amp;reservation_id=31677850239227&amp;guest_id=31677842116762", "Michell Brentlinger")</f>
        <v>Michell Brentlinger</v>
      </c>
      <c r="E8276" t="s">
        <v>6441</v>
      </c>
      <c r="F8276" t="s">
        <v>5871</v>
      </c>
      <c r="G8276">
        <v>159</v>
      </c>
      <c r="H8276">
        <v>172.84</v>
      </c>
      <c r="I8276">
        <v>172.83</v>
      </c>
      <c r="J8276">
        <v>0.01</v>
      </c>
    </row>
    <row r="8277" spans="1:10" x14ac:dyDescent="0.3">
      <c r="A8277" t="str">
        <f>HYPERLINK("https://us2.cloudbeds.com/connect/10074733072513#/reservations/31677863583966?display=MH9XRYQC4&amp;reservation_id=31677863583966", "MH9XRYQC4")</f>
        <v>MH9XRYQC4</v>
      </c>
      <c r="B8277" t="s">
        <v>10</v>
      </c>
      <c r="C8277" t="s">
        <v>42</v>
      </c>
      <c r="D8277" t="str">
        <f>HYPERLINK("https://us2.cloudbeds.com/connect/10074733072513#/reservations/31677863583966?display=Erik%20Burce&amp;reservation_id=31677863583966&amp;guest_id=31677863579881", "Erik Burce")</f>
        <v>Erik Burce</v>
      </c>
      <c r="E8277" t="s">
        <v>6444</v>
      </c>
      <c r="F8277" t="s">
        <v>5871</v>
      </c>
      <c r="G8277">
        <v>73</v>
      </c>
      <c r="H8277">
        <v>79.36</v>
      </c>
      <c r="I8277">
        <v>79.349999999999994</v>
      </c>
      <c r="J8277">
        <v>0.01</v>
      </c>
    </row>
    <row r="8278" spans="1:10" x14ac:dyDescent="0.3">
      <c r="A8278" t="str">
        <f>HYPERLINK("https://us2.cloudbeds.com/connect/10074733072513#/reservations/31679659221247?display=MHAVNQ1P3&amp;reservation_id=31679659221247", "MHAVNQ1P3")</f>
        <v>MHAVNQ1P3</v>
      </c>
      <c r="B8278" t="s">
        <v>10</v>
      </c>
      <c r="C8278" t="s">
        <v>42</v>
      </c>
      <c r="D8278" t="str">
        <f>HYPERLINK("https://us2.cloudbeds.com/connect/10074733072513#/reservations/31679659221247?display=Paul%20Stevenson&amp;reservation_id=31679659221247&amp;guest_id=31679659221242", "Paul Stevenson")</f>
        <v>Paul Stevenson</v>
      </c>
      <c r="E8278" t="s">
        <v>6445</v>
      </c>
      <c r="F8278" t="s">
        <v>6446</v>
      </c>
      <c r="G8278">
        <v>225</v>
      </c>
      <c r="H8278">
        <v>244.59</v>
      </c>
      <c r="I8278">
        <v>244.58</v>
      </c>
      <c r="J8278">
        <v>0.01</v>
      </c>
    </row>
    <row r="8279" spans="1:10" x14ac:dyDescent="0.3">
      <c r="A8279" t="str">
        <f>HYPERLINK("https://us2.cloudbeds.com/connect/10074733072513#/reservations/31678129766602?display=MH9PY3NSK&amp;reservation_id=31678129766602", "MH9PY3NSK")</f>
        <v>MH9PY3NSK</v>
      </c>
      <c r="B8279" t="s">
        <v>10</v>
      </c>
      <c r="C8279" t="s">
        <v>42</v>
      </c>
      <c r="D8279" t="str">
        <f>HYPERLINK("https://us2.cloudbeds.com/connect/10074733072513#/reservations/31678129766602?display=Nicholas%20Hill&amp;reservation_id=31678129766602&amp;guest_id=31678113456256", "Nicholas Hill")</f>
        <v>Nicholas Hill</v>
      </c>
      <c r="E8279" t="s">
        <v>4748</v>
      </c>
      <c r="F8279" t="s">
        <v>5871</v>
      </c>
      <c r="G8279">
        <v>73</v>
      </c>
      <c r="H8279">
        <v>79.36</v>
      </c>
      <c r="I8279">
        <v>79.349999999999994</v>
      </c>
      <c r="J8279">
        <v>0.01</v>
      </c>
    </row>
    <row r="8280" spans="1:10" x14ac:dyDescent="0.3">
      <c r="A8280" t="str">
        <f>HYPERLINK("https://us2.cloudbeds.com/connect/10074733072513#/reservations/31678847525057?display=MHAAWBDHS&amp;reservation_id=31678847525057", "MHAAWBDHS")</f>
        <v>MHAAWBDHS</v>
      </c>
      <c r="B8280" t="s">
        <v>10</v>
      </c>
      <c r="C8280" t="s">
        <v>42</v>
      </c>
      <c r="D8280" t="str">
        <f>HYPERLINK("https://us2.cloudbeds.com/connect/10074733072513#/reservations/31678847525057?display=Billy%20Patterson&amp;reservation_id=31678847525057&amp;guest_id=31676531609818", "Billy Patterson")</f>
        <v>Billy Patterson</v>
      </c>
      <c r="E8280" t="s">
        <v>5792</v>
      </c>
      <c r="F8280" t="s">
        <v>6148</v>
      </c>
      <c r="G8280">
        <v>504</v>
      </c>
      <c r="H8280">
        <v>547.86</v>
      </c>
      <c r="I8280">
        <v>547.85</v>
      </c>
      <c r="J8280">
        <v>0.01</v>
      </c>
    </row>
    <row r="8281" spans="1:10" x14ac:dyDescent="0.3">
      <c r="A8281" t="str">
        <f>HYPERLINK("https://us2.cloudbeds.com/connect/10074733072513#/reservations/31678186655905?display=MH9R32ZQU&amp;reservation_id=31678186655905", "MH9R32ZQU")</f>
        <v>MH9R32ZQU</v>
      </c>
      <c r="B8281" t="s">
        <v>10</v>
      </c>
      <c r="C8281" t="s">
        <v>121</v>
      </c>
      <c r="D8281" t="str">
        <f>HYPERLINK("https://us2.cloudbeds.com/connect/10074733072513#/reservations/31678186655905?display=Kent%20Lee%20Vollstedt&amp;reservation_id=31678186655905&amp;guest_id=31678186651809", "Kent Lee Vollstedt")</f>
        <v>Kent Lee Vollstedt</v>
      </c>
      <c r="E8281" t="s">
        <v>6452</v>
      </c>
      <c r="F8281" t="s">
        <v>5871</v>
      </c>
      <c r="G8281">
        <v>159</v>
      </c>
      <c r="H8281">
        <v>172.84</v>
      </c>
      <c r="I8281">
        <v>172.83</v>
      </c>
      <c r="J8281">
        <v>0.01</v>
      </c>
    </row>
    <row r="8282" spans="1:10" x14ac:dyDescent="0.3">
      <c r="A8282" t="str">
        <f>HYPERLINK("https://us2.cloudbeds.com/connect/10074733072513#/reservations/31681218744562?display=MHC5XR2UC&amp;reservation_id=31681218744562", "MHC5XR2UC")</f>
        <v>MHC5XR2UC</v>
      </c>
      <c r="B8282" t="s">
        <v>10</v>
      </c>
      <c r="C8282" t="s">
        <v>42</v>
      </c>
      <c r="D8282" t="str">
        <f>HYPERLINK("https://us2.cloudbeds.com/connect/10074733072513#/reservations/31681218744562?display=Brian%20Jarvis&amp;reservation_id=31681218744562&amp;guest_id=31673044766864", "Brian Jarvis")</f>
        <v>Brian Jarvis</v>
      </c>
      <c r="E8282" t="s">
        <v>3802</v>
      </c>
      <c r="F8282" t="s">
        <v>5840</v>
      </c>
      <c r="G8282">
        <v>252</v>
      </c>
      <c r="H8282">
        <v>273.93</v>
      </c>
      <c r="I8282">
        <v>273.92</v>
      </c>
      <c r="J8282">
        <v>0.01</v>
      </c>
    </row>
    <row r="8283" spans="1:10" x14ac:dyDescent="0.3">
      <c r="A8283" t="str">
        <f>HYPERLINK("https://us2.cloudbeds.com/connect/10074733072513#/reservations/31681199280266?display=MHC52DFC7&amp;reservation_id=31681199280266", "MHC52DFC7")</f>
        <v>MHC52DFC7</v>
      </c>
      <c r="B8283" t="s">
        <v>10</v>
      </c>
      <c r="C8283" t="s">
        <v>17</v>
      </c>
      <c r="D8283" t="str">
        <f>HYPERLINK("https://us2.cloudbeds.com/connect/10074733072513#/reservations/31681199280266?display=April%20Molyneux&amp;reservation_id=31681199280266&amp;guest_id=31681199276164", "April Molyneux")</f>
        <v>April Molyneux</v>
      </c>
      <c r="E8283" t="s">
        <v>6453</v>
      </c>
      <c r="F8283" t="s">
        <v>5688</v>
      </c>
      <c r="G8283">
        <v>458</v>
      </c>
      <c r="H8283">
        <v>497.86</v>
      </c>
      <c r="I8283">
        <v>497.85</v>
      </c>
      <c r="J8283">
        <v>0.01</v>
      </c>
    </row>
    <row r="8284" spans="1:10" x14ac:dyDescent="0.3">
      <c r="A8284" t="str">
        <f>HYPERLINK("https://us2.cloudbeds.com/connect/10074733072513#/reservations/31684159189199?display=MHEEN99ZA&amp;reservation_id=31684159189199", "MHEEN99ZA")</f>
        <v>MHEEN99ZA</v>
      </c>
      <c r="B8284" t="s">
        <v>10</v>
      </c>
      <c r="C8284" t="s">
        <v>42</v>
      </c>
      <c r="D8284" t="str">
        <f>HYPERLINK("https://us2.cloudbeds.com/connect/10074733072513#/reservations/31684159189199?display=Paulena%20Hanten&amp;reservation_id=31684159189199&amp;guest_id=31684151705787", "Paulena Hanten")</f>
        <v>Paulena Hanten</v>
      </c>
      <c r="E8284" t="s">
        <v>6454</v>
      </c>
      <c r="F8284" t="s">
        <v>5017</v>
      </c>
      <c r="G8284">
        <v>258</v>
      </c>
      <c r="H8284">
        <v>280.45999999999998</v>
      </c>
      <c r="I8284">
        <v>280.45</v>
      </c>
      <c r="J8284">
        <v>0.01</v>
      </c>
    </row>
    <row r="8285" spans="1:10" x14ac:dyDescent="0.3">
      <c r="A8285" t="str">
        <f>HYPERLINK("https://us2.cloudbeds.com/connect/10074733072513#/reservations/31680400302210?display=MHBHYMNSW&amp;reservation_id=31680400302210", "MHBHYMNSW")</f>
        <v>MHBHYMNSW</v>
      </c>
      <c r="B8285" t="s">
        <v>10</v>
      </c>
      <c r="C8285" t="s">
        <v>121</v>
      </c>
      <c r="D8285" t="str">
        <f>HYPERLINK("https://us2.cloudbeds.com/connect/10074733072513#/reservations/31680400302210?display=Tara%20Ann%20Bass&amp;reservation_id=31680400302210&amp;guest_id=31680400302208", "Tara Ann Bass")</f>
        <v>Tara Ann Bass</v>
      </c>
      <c r="E8285" t="s">
        <v>6455</v>
      </c>
      <c r="F8285" t="s">
        <v>5871</v>
      </c>
      <c r="G8285">
        <v>159</v>
      </c>
      <c r="H8285">
        <v>172.84</v>
      </c>
      <c r="I8285">
        <v>172.83</v>
      </c>
      <c r="J8285">
        <v>0.01</v>
      </c>
    </row>
    <row r="8286" spans="1:10" x14ac:dyDescent="0.3">
      <c r="A8286" t="str">
        <f>HYPERLINK("https://us2.cloudbeds.com/connect/10074733072513#/reservations/31682070167805?display=MHCRAP6EN&amp;reservation_id=31682070167805", "MHCRAP6EN")</f>
        <v>MHCRAP6EN</v>
      </c>
      <c r="B8286" t="s">
        <v>10</v>
      </c>
      <c r="C8286" t="s">
        <v>11</v>
      </c>
      <c r="D8286" t="str">
        <f>HYPERLINK("https://us2.cloudbeds.com/connect/10074733072513#/reservations/31682070167805?display=Nyla%20Antonsen&amp;reservation_id=31682070167805&amp;guest_id=31682070167746", "Nyla Antonsen")</f>
        <v>Nyla Antonsen</v>
      </c>
      <c r="E8286" t="s">
        <v>6456</v>
      </c>
      <c r="F8286" t="s">
        <v>4916</v>
      </c>
      <c r="G8286">
        <v>125.76</v>
      </c>
      <c r="H8286">
        <v>136.71</v>
      </c>
      <c r="I8286">
        <v>136.69999999999999</v>
      </c>
      <c r="J8286">
        <v>0.01</v>
      </c>
    </row>
    <row r="8287" spans="1:10" x14ac:dyDescent="0.3">
      <c r="A8287" t="str">
        <f>HYPERLINK("https://us2.cloudbeds.com/connect/10074733072513#/reservations/31678847520964?display=MHAAWB9PR&amp;reservation_id=31678847520964", "MHAAWB9PR")</f>
        <v>MHAAWB9PR</v>
      </c>
      <c r="B8287" t="s">
        <v>10</v>
      </c>
      <c r="C8287" t="s">
        <v>23</v>
      </c>
      <c r="D8287" t="str">
        <f>HYPERLINK("https://us2.cloudbeds.com/connect/10074733072513#/reservations/31678847520964?display=Justin%20Struckman&amp;reservation_id=31678847520964&amp;guest_id=31678842204380", "Justin Struckman")</f>
        <v>Justin Struckman</v>
      </c>
      <c r="E8287" t="s">
        <v>6457</v>
      </c>
      <c r="F8287" t="s">
        <v>6148</v>
      </c>
      <c r="G8287">
        <v>239</v>
      </c>
      <c r="H8287">
        <v>259.8</v>
      </c>
      <c r="I8287">
        <v>259.79000000000002</v>
      </c>
      <c r="J8287">
        <v>0.01</v>
      </c>
    </row>
    <row r="8288" spans="1:10" x14ac:dyDescent="0.3">
      <c r="A8288" t="str">
        <f>HYPERLINK("https://us2.cloudbeds.com/connect/10074733072513#/reservations/31679662264557?display=MHAVQBZBK&amp;reservation_id=31679662264557", "MHAVQBZBK")</f>
        <v>MHAVQBZBK</v>
      </c>
      <c r="B8288" t="s">
        <v>10</v>
      </c>
      <c r="C8288" t="s">
        <v>23</v>
      </c>
      <c r="D8288" t="str">
        <f>HYPERLINK("https://us2.cloudbeds.com/connect/10074733072513#/reservations/31679662264557?display=Brad%20Pedersen&amp;reservation_id=31679662264557&amp;guest_id=31679662264555", "Brad Pedersen")</f>
        <v>Brad Pedersen</v>
      </c>
      <c r="E8288" t="s">
        <v>6458</v>
      </c>
      <c r="F8288" t="s">
        <v>5546</v>
      </c>
      <c r="G8288">
        <v>149</v>
      </c>
      <c r="H8288">
        <v>161.97</v>
      </c>
      <c r="I8288">
        <v>161.96</v>
      </c>
      <c r="J8288">
        <v>0.01</v>
      </c>
    </row>
    <row r="8289" spans="1:10" x14ac:dyDescent="0.3">
      <c r="A8289" t="str">
        <f>HYPERLINK("https://us2.cloudbeds.com/connect/10074733072513#/reservations/31678757249196?display=MHA8M7BJN&amp;reservation_id=31678757249196", "MHA8M7BJN")</f>
        <v>MHA8M7BJN</v>
      </c>
      <c r="B8289" t="s">
        <v>10</v>
      </c>
      <c r="C8289" t="s">
        <v>11</v>
      </c>
      <c r="D8289" t="str">
        <f>HYPERLINK("https://us2.cloudbeds.com/connect/10074733072513#/reservations/31678757249196?display=Bill%20Larson&amp;reservation_id=31678757249196&amp;guest_id=31678757249191", "Bill Larson")</f>
        <v>Bill Larson</v>
      </c>
      <c r="E8289" t="s">
        <v>6460</v>
      </c>
      <c r="F8289" t="s">
        <v>6093</v>
      </c>
      <c r="G8289">
        <v>106.8</v>
      </c>
      <c r="H8289">
        <v>116.1</v>
      </c>
      <c r="I8289">
        <v>116.09</v>
      </c>
      <c r="J8289">
        <v>0.01</v>
      </c>
    </row>
    <row r="8290" spans="1:10" x14ac:dyDescent="0.3">
      <c r="A8290" t="str">
        <f>HYPERLINK("https://us2.cloudbeds.com/connect/10074733072513#/reservations/31680663552142?display=MHBZCM1BY&amp;reservation_id=31680663552142", "MHBZCM1BY")</f>
        <v>MHBZCM1BY</v>
      </c>
      <c r="B8290" t="s">
        <v>10</v>
      </c>
      <c r="C8290" t="s">
        <v>23</v>
      </c>
      <c r="D8290" t="str">
        <f>HYPERLINK("https://us2.cloudbeds.com/connect/10074733072513#/reservations/31680663552142?display=Dain%20Larock&amp;reservation_id=31680663552142&amp;guest_id=31680663552138", "Dain Larock")</f>
        <v>Dain Larock</v>
      </c>
      <c r="E8290" t="s">
        <v>6461</v>
      </c>
      <c r="F8290" t="s">
        <v>5366</v>
      </c>
      <c r="G8290">
        <v>209</v>
      </c>
      <c r="H8290">
        <v>227.19</v>
      </c>
      <c r="I8290">
        <v>227.18</v>
      </c>
      <c r="J8290">
        <v>0.01</v>
      </c>
    </row>
    <row r="8291" spans="1:10" x14ac:dyDescent="0.3">
      <c r="A8291" t="str">
        <f>HYPERLINK("https://us2.cloudbeds.com/connect/10074733072513#/reservations/31678497480860?display=MHA215U5V&amp;reservation_id=31678497480860", "MHA215U5V")</f>
        <v>MHA215U5V</v>
      </c>
      <c r="B8291" t="s">
        <v>10</v>
      </c>
      <c r="C8291" t="s">
        <v>42</v>
      </c>
      <c r="D8291" t="str">
        <f>HYPERLINK("https://us2.cloudbeds.com/connect/10074733072513#/reservations/31678497480860?display=Samuel%20Tipton&amp;reservation_id=31678497480860&amp;guest_id=31678497476749", "Samuel Tipton")</f>
        <v>Samuel Tipton</v>
      </c>
      <c r="E8291" t="s">
        <v>6465</v>
      </c>
      <c r="F8291" t="s">
        <v>5636</v>
      </c>
      <c r="G8291">
        <v>73</v>
      </c>
      <c r="H8291">
        <v>79.36</v>
      </c>
      <c r="I8291">
        <v>79.349999999999994</v>
      </c>
      <c r="J8291">
        <v>0.01</v>
      </c>
    </row>
    <row r="8292" spans="1:10" x14ac:dyDescent="0.3">
      <c r="A8292" t="str">
        <f>HYPERLINK("https://us2.cloudbeds.com/connect/10074733072513#/reservations/31681664987352?display=MHCGW3EU5&amp;reservation_id=31681664987352", "MHCGW3EU5")</f>
        <v>MHCGW3EU5</v>
      </c>
      <c r="B8292" t="s">
        <v>10</v>
      </c>
      <c r="C8292" t="s">
        <v>42</v>
      </c>
      <c r="D8292" t="str">
        <f>HYPERLINK("https://us2.cloudbeds.com/connect/10074733072513#/reservations/31681664987352?display=Michael%20Stiefel&amp;reservation_id=31681664987352&amp;guest_id=31681664983260", "Michael Stiefel")</f>
        <v>Michael Stiefel</v>
      </c>
      <c r="E8292" t="s">
        <v>6466</v>
      </c>
      <c r="F8292" t="s">
        <v>6467</v>
      </c>
      <c r="G8292">
        <v>478</v>
      </c>
      <c r="H8292">
        <v>519.6</v>
      </c>
      <c r="I8292">
        <v>519.59</v>
      </c>
      <c r="J8292">
        <v>0.01</v>
      </c>
    </row>
    <row r="8293" spans="1:10" x14ac:dyDescent="0.3">
      <c r="A8293" t="str">
        <f>HYPERLINK("https://us2.cloudbeds.com/connect/10074733072513#/reservations/31678278332544?display=MH9TECMBN&amp;reservation_id=31678278332544", "MH9TECMBN")</f>
        <v>MH9TECMBN</v>
      </c>
      <c r="B8293" t="s">
        <v>10</v>
      </c>
      <c r="C8293" t="s">
        <v>42</v>
      </c>
      <c r="D8293" t="str">
        <f>HYPERLINK("https://us2.cloudbeds.com/connect/10074733072513#/reservations/31678278332544?display=Brian%20Erchinger%20Norther%20Lights%20Diesel&amp;reservation_id=31678278332544&amp;guest_id=31678278328508", "Brian Erchinger Norther Lights Diesel")</f>
        <v>Brian Erchinger Norther Lights Diesel</v>
      </c>
      <c r="E8293" t="s">
        <v>6468</v>
      </c>
      <c r="F8293" t="s">
        <v>5550</v>
      </c>
      <c r="G8293">
        <v>336</v>
      </c>
      <c r="H8293">
        <v>365.24</v>
      </c>
      <c r="I8293">
        <v>365.23</v>
      </c>
      <c r="J8293">
        <v>0.01</v>
      </c>
    </row>
    <row r="8294" spans="1:10" x14ac:dyDescent="0.3">
      <c r="A8294" t="str">
        <f>HYPERLINK("https://us2.cloudbeds.com/connect/10074733072513#/reservations/31682235298013?display=MHCVX065D&amp;reservation_id=31682235298013", "MHCVX065D")</f>
        <v>MHCVX065D</v>
      </c>
      <c r="B8294" t="s">
        <v>10</v>
      </c>
      <c r="C8294" t="s">
        <v>42</v>
      </c>
      <c r="D8294" t="str">
        <f>HYPERLINK("https://us2.cloudbeds.com/connect/10074733072513#/reservations/31682235298013?display=Dennis%20Reese&amp;reservation_id=31682235298013&amp;guest_id=31682235298011", "Dennis Reese")</f>
        <v>Dennis Reese</v>
      </c>
      <c r="E8294" t="s">
        <v>4771</v>
      </c>
      <c r="F8294" t="s">
        <v>4772</v>
      </c>
      <c r="G8294">
        <v>139</v>
      </c>
      <c r="H8294">
        <v>151.1</v>
      </c>
      <c r="I8294">
        <v>151.09</v>
      </c>
      <c r="J8294">
        <v>0.01</v>
      </c>
    </row>
    <row r="8295" spans="1:10" x14ac:dyDescent="0.3">
      <c r="A8295" t="str">
        <f>HYPERLINK("https://us2.cloudbeds.com/connect/10074733072513#/reservations/31678513864844?display=MHA2EWR5A&amp;reservation_id=31678513864844", "MHA2EWR5A")</f>
        <v>MHA2EWR5A</v>
      </c>
      <c r="B8295" t="s">
        <v>10</v>
      </c>
      <c r="C8295" t="s">
        <v>14</v>
      </c>
      <c r="D8295" t="str">
        <f>HYPERLINK("https://us2.cloudbeds.com/connect/10074733072513#/reservations/31678513864844?display=Celia%20Wagner&amp;reservation_id=31678513864844&amp;guest_id=31678513860796", "Celia Wagner")</f>
        <v>Celia Wagner</v>
      </c>
      <c r="E8295" t="s">
        <v>6471</v>
      </c>
      <c r="F8295" t="s">
        <v>5636</v>
      </c>
      <c r="G8295">
        <v>87.84</v>
      </c>
      <c r="H8295">
        <v>95.49</v>
      </c>
      <c r="I8295">
        <v>95.48</v>
      </c>
      <c r="J8295">
        <v>0.01</v>
      </c>
    </row>
    <row r="8296" spans="1:10" x14ac:dyDescent="0.3">
      <c r="A8296" t="str">
        <f>HYPERLINK("https://us2.cloudbeds.com/connect/10074733072513#/reservations/31678564823208?display=MHA3ZVQT5&amp;reservation_id=31678564823208", "MHA3ZVQT5")</f>
        <v>MHA3ZVQT5</v>
      </c>
      <c r="B8296" t="s">
        <v>10</v>
      </c>
      <c r="C8296" t="s">
        <v>42</v>
      </c>
      <c r="D8296" t="str">
        <f>HYPERLINK("https://us2.cloudbeds.com/connect/10074733072513#/reservations/31678564823208?display=Adam%20Hull&amp;reservation_id=31678564823208&amp;guest_id=31678564823206", "Adam Hull")</f>
        <v>Adam Hull</v>
      </c>
      <c r="E8296" t="s">
        <v>6474</v>
      </c>
      <c r="F8296" t="s">
        <v>5636</v>
      </c>
      <c r="G8296">
        <v>73</v>
      </c>
      <c r="H8296">
        <v>79.36</v>
      </c>
      <c r="I8296">
        <v>79.349999999999994</v>
      </c>
      <c r="J8296">
        <v>0.01</v>
      </c>
    </row>
    <row r="8297" spans="1:10" x14ac:dyDescent="0.3">
      <c r="A8297" t="str">
        <f>HYPERLINK("https://us2.cloudbeds.com/connect/10074733072513#/reservations/31678490222837?display=MHA1S1VAS&amp;reservation_id=31678490222837", "MHA1S1VAS")</f>
        <v>MHA1S1VAS</v>
      </c>
      <c r="B8297" t="s">
        <v>10</v>
      </c>
      <c r="C8297" t="s">
        <v>11</v>
      </c>
      <c r="D8297" t="str">
        <f>HYPERLINK("https://us2.cloudbeds.com/connect/10074733072513#/reservations/31678490222837?display=Ivonne%20Bellew&amp;reservation_id=31678490222837&amp;guest_id=31678490222831", "Ivonne Bellew")</f>
        <v>Ivonne Bellew</v>
      </c>
      <c r="E8297" t="s">
        <v>6476</v>
      </c>
      <c r="F8297" t="s">
        <v>5636</v>
      </c>
      <c r="G8297">
        <v>87.84</v>
      </c>
      <c r="H8297">
        <v>95.49</v>
      </c>
      <c r="I8297">
        <v>95.48</v>
      </c>
      <c r="J8297">
        <v>0.01</v>
      </c>
    </row>
    <row r="8298" spans="1:10" x14ac:dyDescent="0.3">
      <c r="A8298" t="str">
        <f>HYPERLINK("https://us2.cloudbeds.com/connect/10074733072513#/reservations/31678483439768?display=MHA1MB6KA&amp;reservation_id=31678483439768", "MHA1MB6KA")</f>
        <v>MHA1MB6KA</v>
      </c>
      <c r="B8298" t="s">
        <v>10</v>
      </c>
      <c r="C8298" t="s">
        <v>11</v>
      </c>
      <c r="D8298" t="str">
        <f>HYPERLINK("https://us2.cloudbeds.com/connect/10074733072513#/reservations/31678483439768?display=Ivonne%20Bellew&amp;reservation_id=31678483439768&amp;guest_id=31678483435662", "Ivonne Bellew")</f>
        <v>Ivonne Bellew</v>
      </c>
      <c r="E8298" t="s">
        <v>6477</v>
      </c>
      <c r="F8298" t="s">
        <v>5636</v>
      </c>
      <c r="G8298">
        <v>87.84</v>
      </c>
      <c r="H8298">
        <v>95.49</v>
      </c>
      <c r="I8298">
        <v>95.48</v>
      </c>
      <c r="J8298">
        <v>0.01</v>
      </c>
    </row>
    <row r="8299" spans="1:10" x14ac:dyDescent="0.3">
      <c r="A8299" t="str">
        <f>HYPERLINK("https://us2.cloudbeds.com/connect/10074733072513#/reservations/31678480470261?display=MHA1JRXQ8&amp;reservation_id=31678480470261", "MHA1JRXQ8")</f>
        <v>MHA1JRXQ8</v>
      </c>
      <c r="B8299" t="s">
        <v>10</v>
      </c>
      <c r="C8299" t="s">
        <v>11</v>
      </c>
      <c r="D8299" t="str">
        <f>HYPERLINK("https://us2.cloudbeds.com/connect/10074733072513#/reservations/31678480470261?display=Naomi%20Falcochio&amp;reservation_id=31678480470261&amp;guest_id=31678471286942", "Naomi Falcochio")</f>
        <v>Naomi Falcochio</v>
      </c>
      <c r="E8299" t="s">
        <v>6478</v>
      </c>
      <c r="F8299" t="s">
        <v>5636</v>
      </c>
      <c r="G8299">
        <v>87.84</v>
      </c>
      <c r="H8299">
        <v>95.49</v>
      </c>
      <c r="I8299">
        <v>95.48</v>
      </c>
      <c r="J8299">
        <v>0.01</v>
      </c>
    </row>
    <row r="8300" spans="1:10" x14ac:dyDescent="0.3">
      <c r="A8300" t="str">
        <f>HYPERLINK("https://us2.cloudbeds.com/connect/10074733072513#/reservations/31678346150125?display=MH9V5XU53&amp;reservation_id=31678346150125", "MH9V5XU53")</f>
        <v>MH9V5XU53</v>
      </c>
      <c r="B8300" t="s">
        <v>10</v>
      </c>
      <c r="C8300" t="s">
        <v>42</v>
      </c>
      <c r="D8300" t="str">
        <f>HYPERLINK("https://us2.cloudbeds.com/connect/10074733072513#/reservations/31678346150125?display=Don%20Sonneson&amp;reservation_id=31678346150125&amp;guest_id=31678346150121", "Don Sonneson")</f>
        <v>Don Sonneson</v>
      </c>
      <c r="E8300" t="s">
        <v>6480</v>
      </c>
      <c r="F8300" t="s">
        <v>5550</v>
      </c>
      <c r="G8300">
        <v>119</v>
      </c>
      <c r="H8300">
        <v>129.36000000000001</v>
      </c>
      <c r="I8300">
        <v>129.35</v>
      </c>
      <c r="J8300">
        <v>0.01</v>
      </c>
    </row>
    <row r="8301" spans="1:10" x14ac:dyDescent="0.3">
      <c r="A8301" t="str">
        <f>HYPERLINK("https://us2.cloudbeds.com/connect/10074733072513#/reservations/31678507475135?display=MHA29K0YP&amp;reservation_id=31678507475135", "MHA29K0YP")</f>
        <v>MHA29K0YP</v>
      </c>
      <c r="B8301" t="s">
        <v>10</v>
      </c>
      <c r="C8301" t="s">
        <v>14</v>
      </c>
      <c r="D8301" t="str">
        <f>HYPERLINK("https://us2.cloudbeds.com/connect/10074733072513#/reservations/31678507475135?display=Arlyn%20Reyes&amp;reservation_id=31678507475135&amp;guest_id=31678507475075", "Arlyn Reyes")</f>
        <v>Arlyn Reyes</v>
      </c>
      <c r="E8301" t="s">
        <v>6483</v>
      </c>
      <c r="F8301" t="s">
        <v>4600</v>
      </c>
      <c r="G8301">
        <v>209</v>
      </c>
      <c r="H8301">
        <v>227.19</v>
      </c>
      <c r="I8301">
        <v>227.18</v>
      </c>
      <c r="J8301">
        <v>0.01</v>
      </c>
    </row>
    <row r="8302" spans="1:10" x14ac:dyDescent="0.3">
      <c r="A8302" t="str">
        <f>HYPERLINK("https://us2.cloudbeds.com/connect/10074733072513#/reservations/31678353920141?display=MH9VC4454&amp;reservation_id=31678353920141", "MH9VC4454")</f>
        <v>MH9VC4454</v>
      </c>
      <c r="B8302" t="s">
        <v>10</v>
      </c>
      <c r="C8302" t="s">
        <v>42</v>
      </c>
      <c r="D8302" t="str">
        <f>HYPERLINK("https://us2.cloudbeds.com/connect/10074733072513#/reservations/31678353920141?display=Ronald%20Rubsam&amp;reservation_id=31678353920141&amp;guest_id=31678353916086", "Ronald Rubsam")</f>
        <v>Ronald Rubsam</v>
      </c>
      <c r="E8302" t="s">
        <v>6484</v>
      </c>
      <c r="F8302" t="s">
        <v>5550</v>
      </c>
      <c r="G8302">
        <v>119</v>
      </c>
      <c r="H8302">
        <v>129.36000000000001</v>
      </c>
      <c r="I8302">
        <v>129.35</v>
      </c>
      <c r="J8302">
        <v>0.01</v>
      </c>
    </row>
    <row r="8303" spans="1:10" x14ac:dyDescent="0.3">
      <c r="A8303" t="str">
        <f>HYPERLINK("https://us2.cloudbeds.com/connect/10074733072513#/reservations/31681253195971?display=MHC6ESZZF&amp;reservation_id=31681253195971", "MHC6ESZZF")</f>
        <v>MHC6ESZZF</v>
      </c>
      <c r="B8303" t="s">
        <v>10</v>
      </c>
      <c r="C8303" t="s">
        <v>42</v>
      </c>
      <c r="D8303" t="str">
        <f>HYPERLINK("https://us2.cloudbeds.com/connect/10074733072513#/reservations/31681253195971?display=Jose%20Martinez&amp;reservation_id=31681253195971&amp;guest_id=31679371477189", "Jose Martinez")</f>
        <v>Jose Martinez</v>
      </c>
      <c r="E8303" t="s">
        <v>6485</v>
      </c>
      <c r="F8303" t="s">
        <v>5840</v>
      </c>
      <c r="G8303">
        <v>225</v>
      </c>
      <c r="H8303">
        <v>244.59</v>
      </c>
      <c r="I8303">
        <v>244.58</v>
      </c>
      <c r="J8303">
        <v>0.01</v>
      </c>
    </row>
    <row r="8304" spans="1:10" x14ac:dyDescent="0.3">
      <c r="A8304" t="str">
        <f>HYPERLINK("https://us2.cloudbeds.com/connect/10074733072513#/reservations/31678572609736?display=MHA3VHG1X&amp;reservation_id=31678572609736", "MHA3VHG1X")</f>
        <v>MHA3VHG1X</v>
      </c>
      <c r="B8304" t="s">
        <v>10</v>
      </c>
      <c r="C8304" t="s">
        <v>17</v>
      </c>
      <c r="D8304" t="str">
        <f>HYPERLINK("https://us2.cloudbeds.com/connect/10074733072513#/reservations/31678572609736?display=Nathan%20Dick&amp;reservation_id=31678572609736&amp;guest_id=31678572609731", "Nathan Dick")</f>
        <v>Nathan Dick</v>
      </c>
      <c r="E8304" t="s">
        <v>437</v>
      </c>
      <c r="F8304" t="s">
        <v>5916</v>
      </c>
      <c r="G8304">
        <v>149</v>
      </c>
      <c r="H8304">
        <v>161.97</v>
      </c>
      <c r="I8304">
        <v>161.96</v>
      </c>
      <c r="J8304">
        <v>0.01</v>
      </c>
    </row>
    <row r="8305" spans="1:10" x14ac:dyDescent="0.3">
      <c r="A8305" t="str">
        <f>HYPERLINK("https://us2.cloudbeds.com/connect/10074733072513#/reservations/31679374881013?display=MHAZF0SKC&amp;reservation_id=31679374881013", "MHAZF0SKC")</f>
        <v>MHAZF0SKC</v>
      </c>
      <c r="B8305" t="s">
        <v>10</v>
      </c>
      <c r="C8305" t="s">
        <v>14</v>
      </c>
      <c r="D8305" t="str">
        <f>HYPERLINK("https://us2.cloudbeds.com/connect/10074733072513#/reservations/31679374881013?display=Michelle%20S%20Kalin&amp;reservation_id=31679374881013&amp;guest_id=31679361577177", "Michelle S Kalin")</f>
        <v>Michelle S Kalin</v>
      </c>
      <c r="E8305" t="s">
        <v>6487</v>
      </c>
      <c r="F8305" t="s">
        <v>5366</v>
      </c>
      <c r="G8305">
        <v>374.7</v>
      </c>
      <c r="H8305">
        <v>407.31</v>
      </c>
      <c r="I8305">
        <v>407.3</v>
      </c>
      <c r="J8305">
        <v>0.01</v>
      </c>
    </row>
    <row r="8306" spans="1:10" x14ac:dyDescent="0.3">
      <c r="A8306" t="str">
        <f>HYPERLINK("https://us2.cloudbeds.com/connect/10074733072513#/reservations/31681303957688?display=MHC7ZM8TA&amp;reservation_id=31681303957688", "MHC7ZM8TA")</f>
        <v>MHC7ZM8TA</v>
      </c>
      <c r="B8306" t="s">
        <v>10</v>
      </c>
      <c r="C8306" t="s">
        <v>20</v>
      </c>
      <c r="D8306" t="str">
        <f>HYPERLINK("https://us2.cloudbeds.com/connect/10074733072513#/reservations/31681303957688?display=Deborah%20Muellnet&amp;reservation_id=31681303957688&amp;guest_id=31681296609502", "Deborah Muellnet")</f>
        <v>Deborah Muellnet</v>
      </c>
      <c r="E8306" t="s">
        <v>6488</v>
      </c>
      <c r="F8306" t="s">
        <v>5840</v>
      </c>
      <c r="G8306">
        <v>149</v>
      </c>
      <c r="H8306">
        <v>161.97</v>
      </c>
      <c r="I8306">
        <v>161.96</v>
      </c>
      <c r="J8306">
        <v>0.01</v>
      </c>
    </row>
    <row r="8307" spans="1:10" x14ac:dyDescent="0.3">
      <c r="A8307" t="str">
        <f>HYPERLINK("https://us2.cloudbeds.com/connect/10074733072513#/reservations/31682507403396?display=MHD5GEUC2&amp;reservation_id=31682507403396", "MHD5GEUC2")</f>
        <v>MHD5GEUC2</v>
      </c>
      <c r="B8307" t="s">
        <v>10</v>
      </c>
      <c r="C8307" t="s">
        <v>42</v>
      </c>
      <c r="D8307" t="str">
        <f>HYPERLINK("https://us2.cloudbeds.com/connect/10074733072513#/reservations/31682507403396?display=Angela%20Hanten&amp;reservation_id=31682507403396&amp;guest_id=31682507403393", "Angela Hanten")</f>
        <v>Angela Hanten</v>
      </c>
      <c r="E8307" t="s">
        <v>6493</v>
      </c>
      <c r="F8307" t="s">
        <v>5017</v>
      </c>
      <c r="G8307">
        <v>278</v>
      </c>
      <c r="H8307">
        <v>302.2</v>
      </c>
      <c r="I8307">
        <v>302.19</v>
      </c>
      <c r="J8307">
        <v>0.01</v>
      </c>
    </row>
    <row r="8308" spans="1:10" x14ac:dyDescent="0.3">
      <c r="A8308" t="str">
        <f>HYPERLINK("https://us2.cloudbeds.com/connect/10074733072513#/reservations/31678359580886?display=MH9VGTY8S&amp;reservation_id=31678359580886", "MH9VGTY8S")</f>
        <v>MH9VGTY8S</v>
      </c>
      <c r="B8308" t="s">
        <v>10</v>
      </c>
      <c r="C8308" t="s">
        <v>42</v>
      </c>
      <c r="D8308" t="str">
        <f>HYPERLINK("https://us2.cloudbeds.com/connect/10074733072513#/reservations/31678359580886?display=Jeff%20Thompson&amp;reservation_id=31678359580886&amp;guest_id=31678359576805", "Jeff Thompson")</f>
        <v>Jeff Thompson</v>
      </c>
      <c r="E8308" t="s">
        <v>6494</v>
      </c>
      <c r="F8308" t="s">
        <v>5550</v>
      </c>
      <c r="G8308">
        <v>159</v>
      </c>
      <c r="H8308">
        <v>172.84</v>
      </c>
      <c r="I8308">
        <v>172.83</v>
      </c>
      <c r="J8308">
        <v>0.01</v>
      </c>
    </row>
    <row r="8309" spans="1:10" x14ac:dyDescent="0.3">
      <c r="A8309" t="str">
        <f>HYPERLINK("https://us2.cloudbeds.com/connect/10074733072513#/reservations/31682658603263?display=MHD9BV977&amp;reservation_id=31682658603263", "MHD9BV977")</f>
        <v>MHD9BV977</v>
      </c>
      <c r="B8309" t="s">
        <v>10</v>
      </c>
      <c r="C8309" t="s">
        <v>42</v>
      </c>
      <c r="D8309" t="str">
        <f>HYPERLINK("https://us2.cloudbeds.com/connect/10074733072513#/reservations/31682658603263?display=Ken%20Meister&amp;reservation_id=31682658603263&amp;guest_id=31682642137310", "Ken Meister")</f>
        <v>Ken Meister</v>
      </c>
      <c r="E8309" t="s">
        <v>6495</v>
      </c>
      <c r="F8309" t="s">
        <v>4868</v>
      </c>
      <c r="G8309">
        <v>139</v>
      </c>
      <c r="H8309">
        <v>151.1</v>
      </c>
      <c r="I8309">
        <v>151.09</v>
      </c>
      <c r="J8309">
        <v>0.01</v>
      </c>
    </row>
    <row r="8310" spans="1:10" x14ac:dyDescent="0.3">
      <c r="A8310" t="str">
        <f>HYPERLINK("https://us2.cloudbeds.com/connect/10074733072513#/reservations/31686364315800?display=MHG51N6CH&amp;reservation_id=31686364315800", "MHG51N6CH")</f>
        <v>MHG51N6CH</v>
      </c>
      <c r="B8310" t="s">
        <v>10</v>
      </c>
      <c r="C8310" t="s">
        <v>42</v>
      </c>
      <c r="D8310" t="str">
        <f>HYPERLINK("https://us2.cloudbeds.com/connect/10074733072513#/reservations/31686364315800?display=Diago%20Schoenrock&amp;reservation_id=31686364315800&amp;guest_id=31686364315777", "Diago Schoenrock")</f>
        <v>Diago Schoenrock</v>
      </c>
      <c r="E8310" t="s">
        <v>6497</v>
      </c>
      <c r="F8310" t="s">
        <v>5745</v>
      </c>
      <c r="G8310">
        <v>298</v>
      </c>
      <c r="H8310">
        <v>323.94</v>
      </c>
      <c r="I8310">
        <v>323.93</v>
      </c>
      <c r="J8310">
        <v>0.01</v>
      </c>
    </row>
    <row r="8311" spans="1:10" x14ac:dyDescent="0.3">
      <c r="A8311" t="str">
        <f>HYPERLINK("https://us2.cloudbeds.com/connect/10074733072513#/reservations/31679399338146?display=MHAP2YDVK&amp;reservation_id=31679399338146", "MHAP2YDVK")</f>
        <v>MHAP2YDVK</v>
      </c>
      <c r="B8311" t="s">
        <v>10</v>
      </c>
      <c r="C8311" t="s">
        <v>20</v>
      </c>
      <c r="D8311" t="str">
        <f>HYPERLINK("https://us2.cloudbeds.com/connect/10074733072513#/reservations/31679399338146?display=Dennis%20Schnell&amp;reservation_id=31679399338146&amp;guest_id=31679399338141", "Dennis Schnell")</f>
        <v>Dennis Schnell</v>
      </c>
      <c r="E8311" t="s">
        <v>6498</v>
      </c>
      <c r="F8311" t="s">
        <v>5544</v>
      </c>
      <c r="G8311">
        <v>149</v>
      </c>
      <c r="H8311">
        <v>161.97</v>
      </c>
      <c r="I8311">
        <v>161.96</v>
      </c>
      <c r="J8311">
        <v>0.01</v>
      </c>
    </row>
    <row r="8312" spans="1:10" x14ac:dyDescent="0.3">
      <c r="A8312" t="str">
        <f>HYPERLINK("https://us2.cloudbeds.com/connect/10074733072513#/reservations/31678374904022?display=MH9VTR13A&amp;reservation_id=31678374904022", "MH9VTR13A")</f>
        <v>MH9VTR13A</v>
      </c>
      <c r="B8312" t="s">
        <v>10</v>
      </c>
      <c r="C8312" t="s">
        <v>20</v>
      </c>
      <c r="D8312" t="str">
        <f>HYPERLINK("https://us2.cloudbeds.com/connect/10074733072513#/reservations/31678374904022?display=Manuel%20Marque&amp;reservation_id=31678374904022&amp;guest_id=31678374904011", "Manuel Marque")</f>
        <v>Manuel Marque</v>
      </c>
      <c r="E8312" t="s">
        <v>6500</v>
      </c>
      <c r="F8312" t="s">
        <v>5550</v>
      </c>
      <c r="G8312">
        <v>159</v>
      </c>
      <c r="H8312">
        <v>172.84</v>
      </c>
      <c r="I8312">
        <v>172.83</v>
      </c>
      <c r="J8312">
        <v>0.01</v>
      </c>
    </row>
    <row r="8313" spans="1:10" x14ac:dyDescent="0.3">
      <c r="A8313" t="str">
        <f>HYPERLINK("https://us2.cloudbeds.com/connect/10074733072513#/reservations/31686396199043?display=MHG5SJCUD&amp;reservation_id=31686396199043", "MHG5SJCUD")</f>
        <v>MHG5SJCUD</v>
      </c>
      <c r="B8313" t="s">
        <v>10</v>
      </c>
      <c r="C8313" t="s">
        <v>42</v>
      </c>
      <c r="D8313" t="str">
        <f>HYPERLINK("https://us2.cloudbeds.com/connect/10074733072513#/reservations/31686396199043?display=Shauna%20Wilde&amp;reservation_id=31686396199043&amp;guest_id=31686396199041", "Shauna Wilde")</f>
        <v>Shauna Wilde</v>
      </c>
      <c r="E8313" t="s">
        <v>6501</v>
      </c>
      <c r="F8313" t="s">
        <v>5745</v>
      </c>
      <c r="G8313">
        <v>149</v>
      </c>
      <c r="H8313">
        <v>161.97</v>
      </c>
      <c r="I8313">
        <v>161.96</v>
      </c>
      <c r="J8313">
        <v>0.01</v>
      </c>
    </row>
    <row r="8314" spans="1:10" x14ac:dyDescent="0.3">
      <c r="A8314" t="str">
        <f>HYPERLINK("https://us2.cloudbeds.com/connect/10074733072513#/reservations/31678821515492?display=MHAAADYY7&amp;reservation_id=31678821515492", "MHAAADYY7")</f>
        <v>MHAAADYY7</v>
      </c>
      <c r="B8314" t="s">
        <v>10</v>
      </c>
      <c r="C8314" t="s">
        <v>121</v>
      </c>
      <c r="D8314" t="str">
        <f>HYPERLINK("https://us2.cloudbeds.com/connect/10074733072513#/reservations/31678821515492?display=Jerrell%20Faulkner&amp;reservation_id=31678821515492&amp;guest_id=31677618983129", "Jerrell Faulkner")</f>
        <v>Jerrell Faulkner</v>
      </c>
      <c r="E8314" t="s">
        <v>6187</v>
      </c>
      <c r="F8314" t="s">
        <v>5840</v>
      </c>
      <c r="G8314">
        <v>73</v>
      </c>
      <c r="H8314">
        <v>79.36</v>
      </c>
      <c r="I8314">
        <v>79.349999999999994</v>
      </c>
      <c r="J8314">
        <v>0.01</v>
      </c>
    </row>
    <row r="8315" spans="1:10" x14ac:dyDescent="0.3">
      <c r="A8315" t="str">
        <f>HYPERLINK("https://us2.cloudbeds.com/connect/10074733072513#/reservations/31678829711545?display=MHAAHANSF&amp;reservation_id=31678829711545", "MHAAHANSF")</f>
        <v>MHAAHANSF</v>
      </c>
      <c r="B8315" t="s">
        <v>10</v>
      </c>
      <c r="C8315" t="s">
        <v>42</v>
      </c>
      <c r="D8315" t="str">
        <f>HYPERLINK("https://us2.cloudbeds.com/connect/10074733072513#/reservations/31678829711545?display=Jeane%20Simly&amp;reservation_id=31678829711545&amp;guest_id=30671726137476", "Jeane Simly")</f>
        <v>Jeane Simly</v>
      </c>
      <c r="E8315" t="s">
        <v>6508</v>
      </c>
      <c r="F8315" t="s">
        <v>5840</v>
      </c>
      <c r="G8315">
        <v>119</v>
      </c>
      <c r="H8315">
        <v>129.36000000000001</v>
      </c>
      <c r="I8315">
        <v>129.35</v>
      </c>
      <c r="J8315">
        <v>0.01</v>
      </c>
    </row>
    <row r="8316" spans="1:10" x14ac:dyDescent="0.3">
      <c r="A8316" t="str">
        <f>HYPERLINK("https://us2.cloudbeds.com/connect/10074733072513#/reservations/31678809235637?display=MHAA01VCD&amp;reservation_id=31678809235637", "MHAA01VCD")</f>
        <v>MHAA01VCD</v>
      </c>
      <c r="B8316" t="s">
        <v>10</v>
      </c>
      <c r="C8316" t="s">
        <v>42</v>
      </c>
      <c r="D8316" t="str">
        <f>HYPERLINK("https://us2.cloudbeds.com/connect/10074733072513#/reservations/31678809235637?display=Craig%20Hall&amp;reservation_id=31678809235637&amp;guest_id=31678802223324", "Craig Hall")</f>
        <v>Craig Hall</v>
      </c>
      <c r="E8316" t="s">
        <v>6512</v>
      </c>
      <c r="F8316" t="s">
        <v>5840</v>
      </c>
      <c r="G8316">
        <v>179</v>
      </c>
      <c r="H8316">
        <v>194.58</v>
      </c>
      <c r="I8316">
        <v>194.57</v>
      </c>
      <c r="J8316">
        <v>0.01</v>
      </c>
    </row>
    <row r="8317" spans="1:10" x14ac:dyDescent="0.3">
      <c r="A8317" t="str">
        <f>HYPERLINK("https://us2.cloudbeds.com/connect/10074733072513#/reservations/31678425972933?display=MHA06T3B2&amp;reservation_id=31678425972933", "MHA06T3B2")</f>
        <v>MHA06T3B2</v>
      </c>
      <c r="B8317" t="s">
        <v>10</v>
      </c>
      <c r="C8317" t="s">
        <v>23</v>
      </c>
      <c r="D8317" t="str">
        <f>HYPERLINK("https://us2.cloudbeds.com/connect/10074733072513#/reservations/31678425972933?display=Jessica%20Allen&amp;reservation_id=31678425972933&amp;guest_id=31678425972928", "Jessica Allen")</f>
        <v>Jessica Allen</v>
      </c>
      <c r="E8317" t="s">
        <v>6513</v>
      </c>
      <c r="F8317" t="s">
        <v>5840</v>
      </c>
      <c r="G8317">
        <v>179</v>
      </c>
      <c r="H8317">
        <v>194.58</v>
      </c>
      <c r="I8317">
        <v>194.57</v>
      </c>
      <c r="J8317">
        <v>0.01</v>
      </c>
    </row>
    <row r="8318" spans="1:10" x14ac:dyDescent="0.3">
      <c r="A8318" t="str">
        <f>HYPERLINK("https://us2.cloudbeds.com/connect/10074733072513#/reservations/31686396203136?display=MHG5SJCW8&amp;reservation_id=31686396203136", "MHG5SJCW8")</f>
        <v>MHG5SJCW8</v>
      </c>
      <c r="B8318" t="s">
        <v>10</v>
      </c>
      <c r="C8318" t="s">
        <v>42</v>
      </c>
      <c r="D8318" t="str">
        <f>HYPERLINK("https://us2.cloudbeds.com/connect/10074733072513#/reservations/31686396203136?display=Thomas%20Kiley&amp;reservation_id=31686396203136&amp;guest_id=31686396199102", "Thomas Kiley")</f>
        <v>Thomas Kiley</v>
      </c>
      <c r="E8318" t="s">
        <v>6516</v>
      </c>
      <c r="F8318" t="s">
        <v>5745</v>
      </c>
      <c r="G8318">
        <v>149</v>
      </c>
      <c r="H8318">
        <v>161.97</v>
      </c>
      <c r="I8318">
        <v>161.96</v>
      </c>
      <c r="J8318">
        <v>0.01</v>
      </c>
    </row>
    <row r="8319" spans="1:10" x14ac:dyDescent="0.3">
      <c r="A8319" t="str">
        <f>HYPERLINK("https://us2.cloudbeds.com/connect/10074733072513#/reservations/31678877712535?display=MHABZQDTU&amp;reservation_id=31678877712535", "MHABZQDTU")</f>
        <v>MHABZQDTU</v>
      </c>
      <c r="B8319" t="s">
        <v>10</v>
      </c>
      <c r="C8319" t="s">
        <v>42</v>
      </c>
      <c r="D8319" t="str">
        <f>HYPERLINK("https://us2.cloudbeds.com/connect/10074733072513#/reservations/31678877712535?display=Lowry%20Harvey&amp;reservation_id=31678877712535&amp;guest_id=31678877712530", "Lowry Harvey")</f>
        <v>Lowry Harvey</v>
      </c>
      <c r="E8319" t="s">
        <v>6518</v>
      </c>
      <c r="F8319" t="s">
        <v>3531</v>
      </c>
      <c r="G8319">
        <v>159</v>
      </c>
      <c r="H8319">
        <v>172.84</v>
      </c>
      <c r="I8319">
        <v>172.83</v>
      </c>
      <c r="J8319">
        <v>0.01</v>
      </c>
    </row>
    <row r="8320" spans="1:10" x14ac:dyDescent="0.3">
      <c r="A8320" t="str">
        <f>HYPERLINK("https://us2.cloudbeds.com/connect/10074733072513#/reservations/31683417563295?display=MHDSZUF72&amp;reservation_id=31683417563295", "MHDSZUF72")</f>
        <v>MHDSZUF72</v>
      </c>
      <c r="B8320" t="s">
        <v>10</v>
      </c>
      <c r="C8320" t="s">
        <v>42</v>
      </c>
      <c r="D8320" t="str">
        <f>HYPERLINK("https://us2.cloudbeds.com/connect/10074733072513#/reservations/31683417563295?display=Madi%20Wagaman&amp;reservation_id=31683417563295&amp;guest_id=31683417563293", "Madi Wagaman")</f>
        <v>Madi Wagaman</v>
      </c>
      <c r="E8320" t="s">
        <v>6519</v>
      </c>
      <c r="F8320" t="s">
        <v>5140</v>
      </c>
      <c r="G8320">
        <v>139</v>
      </c>
      <c r="H8320">
        <v>151.1</v>
      </c>
      <c r="I8320">
        <v>151.09</v>
      </c>
      <c r="J8320">
        <v>0.01</v>
      </c>
    </row>
    <row r="8321" spans="1:10" x14ac:dyDescent="0.3">
      <c r="A8321" t="str">
        <f>HYPERLINK("https://us2.cloudbeds.com/connect/10074733072513#/reservations/31683443638419?display=MHDTDU1AB&amp;reservation_id=31683443638419", "MHDTDU1AB")</f>
        <v>MHDTDU1AB</v>
      </c>
      <c r="B8321" t="s">
        <v>10</v>
      </c>
      <c r="C8321" t="s">
        <v>42</v>
      </c>
      <c r="D8321" t="str">
        <f>HYPERLINK("https://us2.cloudbeds.com/connect/10074733072513#/reservations/31683443638419?display=Brooklyn%20Tolliver&amp;reservation_id=31683443638419&amp;guest_id=31683443638416", "Brooklyn Tolliver")</f>
        <v>Brooklyn Tolliver</v>
      </c>
      <c r="E8321" t="s">
        <v>6521</v>
      </c>
      <c r="F8321" t="s">
        <v>5140</v>
      </c>
      <c r="G8321">
        <v>278</v>
      </c>
      <c r="H8321">
        <v>302.2</v>
      </c>
      <c r="I8321">
        <v>302.19</v>
      </c>
      <c r="J8321">
        <v>0.01</v>
      </c>
    </row>
    <row r="8322" spans="1:10" x14ac:dyDescent="0.3">
      <c r="A8322" t="str">
        <f>HYPERLINK("https://us2.cloudbeds.com/connect/10074733072513#/reservations/31678538784981?display=MHA3308YW&amp;reservation_id=31678538784981", "MHA3308YW")</f>
        <v>MHA3308YW</v>
      </c>
      <c r="B8322" t="s">
        <v>10</v>
      </c>
      <c r="C8322" t="s">
        <v>20</v>
      </c>
      <c r="D8322" t="str">
        <f>HYPERLINK("https://us2.cloudbeds.com/connect/10074733072513#/reservations/31678538784981?display=Wendy%20Doll&amp;reservation_id=31678538784981&amp;guest_id=31678531022980", "Wendy Doll")</f>
        <v>Wendy Doll</v>
      </c>
      <c r="E8322" t="s">
        <v>6525</v>
      </c>
      <c r="F8322" t="s">
        <v>4600</v>
      </c>
      <c r="G8322">
        <v>269</v>
      </c>
      <c r="H8322">
        <v>292.41000000000003</v>
      </c>
      <c r="I8322">
        <v>292.39999999999998</v>
      </c>
      <c r="J8322">
        <v>0.01</v>
      </c>
    </row>
    <row r="8323" spans="1:10" x14ac:dyDescent="0.3">
      <c r="A8323" t="str">
        <f>HYPERLINK("https://us2.cloudbeds.com/connect/10074733072513#/reservations/31678531018880?display=MHA2M7CFZ&amp;reservation_id=31678531018880", "MHA2M7CFZ")</f>
        <v>MHA2M7CFZ</v>
      </c>
      <c r="B8323" t="s">
        <v>10</v>
      </c>
      <c r="C8323" t="s">
        <v>14</v>
      </c>
      <c r="D8323" t="str">
        <f>HYPERLINK("https://us2.cloudbeds.com/connect/10074733072513#/reservations/31678531018880?display=Jorge%20Jimenez&amp;reservation_id=31678531018880&amp;guest_id=31678522433710", "Jorge Jimenez")</f>
        <v>Jorge Jimenez</v>
      </c>
      <c r="E8323" t="s">
        <v>6527</v>
      </c>
      <c r="F8323" t="s">
        <v>4600</v>
      </c>
      <c r="G8323">
        <v>177.04</v>
      </c>
      <c r="H8323">
        <v>192.45</v>
      </c>
      <c r="I8323">
        <v>192.44</v>
      </c>
      <c r="J8323">
        <v>0.01</v>
      </c>
    </row>
    <row r="8324" spans="1:10" x14ac:dyDescent="0.3">
      <c r="A8324" t="str">
        <f>HYPERLINK("https://us2.cloudbeds.com/connect/10074733072513#/reservations/31684470947975?display=MHEMM5EJV&amp;reservation_id=31684470947975", "MHEMM5EJV")</f>
        <v>MHEMM5EJV</v>
      </c>
      <c r="B8324" t="s">
        <v>10</v>
      </c>
      <c r="C8324" t="s">
        <v>20</v>
      </c>
      <c r="D8324" t="str">
        <f>HYPERLINK("https://us2.cloudbeds.com/connect/10074733072513#/reservations/31684470947975?display=Buvinghausen%20Michael&amp;reservation_id=31684470947975&amp;guest_id=31684470947973", "Buvinghausen Michael")</f>
        <v>Buvinghausen Michael</v>
      </c>
      <c r="E8324" t="s">
        <v>6530</v>
      </c>
      <c r="F8324" t="s">
        <v>5559</v>
      </c>
      <c r="G8324">
        <v>321.3</v>
      </c>
      <c r="H8324">
        <v>349.26</v>
      </c>
      <c r="I8324">
        <v>349.25</v>
      </c>
      <c r="J8324">
        <v>0.01</v>
      </c>
    </row>
    <row r="8325" spans="1:10" x14ac:dyDescent="0.3">
      <c r="A8325" t="str">
        <f>HYPERLINK("https://us2.cloudbeds.com/connect/10074733072513#/reservations/31678707925240?display=MHA7DKRNC&amp;reservation_id=31678707925240", "MHA7DKRNC")</f>
        <v>MHA7DKRNC</v>
      </c>
      <c r="B8325" t="s">
        <v>10</v>
      </c>
      <c r="C8325" t="s">
        <v>23</v>
      </c>
      <c r="D8325" t="str">
        <f>HYPERLINK("https://us2.cloudbeds.com/connect/10074733072513#/reservations/31678707925240?display=Marnie%20Berger&amp;reservation_id=31678707925240&amp;guest_id=31678707925235", "Marnie Berger")</f>
        <v>Marnie Berger</v>
      </c>
      <c r="E8325" t="s">
        <v>6532</v>
      </c>
      <c r="F8325" t="s">
        <v>6093</v>
      </c>
      <c r="G8325">
        <v>149</v>
      </c>
      <c r="H8325">
        <v>161.97</v>
      </c>
      <c r="I8325">
        <v>161.96</v>
      </c>
      <c r="J8325">
        <v>0.01</v>
      </c>
    </row>
    <row r="8326" spans="1:10" x14ac:dyDescent="0.3">
      <c r="A8326" t="str">
        <f>HYPERLINK("https://us2.cloudbeds.com/connect/10074733072513#/reservations/31680775381188?display=MHBR7VS0K&amp;reservation_id=31680775381188", "MHBR7VS0K")</f>
        <v>MHBR7VS0K</v>
      </c>
      <c r="B8326" t="s">
        <v>10</v>
      </c>
      <c r="C8326" t="s">
        <v>42</v>
      </c>
      <c r="D8326" t="str">
        <f>HYPERLINK("https://us2.cloudbeds.com/connect/10074733072513#/reservations/31680775381188?display=Derik%20Vap&amp;reservation_id=31680775381188&amp;guest_id=31680775381186", "Derik Vap")</f>
        <v>Derik Vap</v>
      </c>
      <c r="E8326" t="s">
        <v>6534</v>
      </c>
      <c r="F8326" t="s">
        <v>6535</v>
      </c>
      <c r="G8326">
        <v>358</v>
      </c>
      <c r="H8326">
        <v>389.16</v>
      </c>
      <c r="I8326">
        <v>389.15</v>
      </c>
      <c r="J8326">
        <v>0.01</v>
      </c>
    </row>
    <row r="8327" spans="1:10" x14ac:dyDescent="0.3">
      <c r="A8327" t="str">
        <f>HYPERLINK("https://us2.cloudbeds.com/connect/10074733072513#/reservations/31682267082900?display=MHCWBQYCQ&amp;reservation_id=31682267082900", "MHCWBQYCQ")</f>
        <v>MHCWBQYCQ</v>
      </c>
      <c r="B8327" t="s">
        <v>10</v>
      </c>
      <c r="C8327" t="s">
        <v>20</v>
      </c>
      <c r="D8327" t="str">
        <f>HYPERLINK("https://us2.cloudbeds.com/connect/10074733072513#/reservations/31682267082900?display=Kyler%20Cody&amp;reservation_id=31682267082900&amp;guest_id=31682267082895", "Kyler Cody")</f>
        <v>Kyler Cody</v>
      </c>
      <c r="E8327" t="s">
        <v>6537</v>
      </c>
      <c r="F8327" t="s">
        <v>3531</v>
      </c>
      <c r="G8327">
        <v>179</v>
      </c>
      <c r="H8327">
        <v>194.58</v>
      </c>
      <c r="I8327">
        <v>194.57</v>
      </c>
      <c r="J8327">
        <v>0.01</v>
      </c>
    </row>
    <row r="8328" spans="1:10" x14ac:dyDescent="0.3">
      <c r="A8328" t="str">
        <f>HYPERLINK("https://us2.cloudbeds.com/connect/10074733072513#/reservations/31683336425629?display=MHDQMGMKU&amp;reservation_id=31683336425629", "MHDQMGMKU")</f>
        <v>MHDQMGMKU</v>
      </c>
      <c r="B8328" t="s">
        <v>10</v>
      </c>
      <c r="C8328" t="s">
        <v>23</v>
      </c>
      <c r="D8328" t="str">
        <f>HYPERLINK("https://us2.cloudbeds.com/connect/10074733072513#/reservations/31683336425629?display=Jody%20Kotab&amp;reservation_id=31683336425629&amp;guest_id=31683336425624", "Jody Kotab")</f>
        <v>Jody Kotab</v>
      </c>
      <c r="E8328" t="s">
        <v>6539</v>
      </c>
      <c r="F8328" t="s">
        <v>5140</v>
      </c>
      <c r="G8328">
        <v>239</v>
      </c>
      <c r="H8328">
        <v>259.8</v>
      </c>
      <c r="I8328">
        <v>259.79000000000002</v>
      </c>
      <c r="J8328">
        <v>0.01</v>
      </c>
    </row>
    <row r="8329" spans="1:10" x14ac:dyDescent="0.3">
      <c r="A8329" t="str">
        <f>HYPERLINK("https://us2.cloudbeds.com/connect/10074733072513#/reservations/31678762152128?display=MHA8KGBVS&amp;reservation_id=31678762152128", "MHA8KGBVS")</f>
        <v>MHA8KGBVS</v>
      </c>
      <c r="B8329" t="s">
        <v>10</v>
      </c>
      <c r="C8329" t="s">
        <v>42</v>
      </c>
      <c r="D8329" t="str">
        <f>HYPERLINK("https://us2.cloudbeds.com/connect/10074733072513#/reservations/31678762152128?display=David%20Great%20Plains&amp;reservation_id=31678762152128&amp;guest_id=31678755201165", "David Great Plains")</f>
        <v>David Great Plains</v>
      </c>
      <c r="E8329" t="s">
        <v>5244</v>
      </c>
      <c r="F8329" t="s">
        <v>5584</v>
      </c>
      <c r="G8329">
        <v>79</v>
      </c>
      <c r="H8329">
        <v>85.88</v>
      </c>
      <c r="I8329">
        <v>85.87</v>
      </c>
      <c r="J8329">
        <v>0.01</v>
      </c>
    </row>
    <row r="8330" spans="1:10" x14ac:dyDescent="0.3">
      <c r="A8330" t="str">
        <f>HYPERLINK("https://us2.cloudbeds.com/connect/10074733072513#/reservations/31682288038101?display=MHCWTFZWT&amp;reservation_id=31682288038101", "MHCWTFZWT")</f>
        <v>MHCWTFZWT</v>
      </c>
      <c r="B8330" t="s">
        <v>10</v>
      </c>
      <c r="C8330" t="s">
        <v>42</v>
      </c>
      <c r="D8330" t="str">
        <f>HYPERLINK("https://us2.cloudbeds.com/connect/10074733072513#/reservations/31682288038101?display=Renee%20Peters&amp;reservation_id=31682288038101&amp;guest_id=31682288033999", "Renee Peters")</f>
        <v>Renee Peters</v>
      </c>
      <c r="E8330" t="s">
        <v>6545</v>
      </c>
      <c r="F8330" t="s">
        <v>5017</v>
      </c>
      <c r="G8330">
        <v>258</v>
      </c>
      <c r="H8330">
        <v>280.45999999999998</v>
      </c>
      <c r="I8330">
        <v>280.45</v>
      </c>
      <c r="J8330">
        <v>0.01</v>
      </c>
    </row>
    <row r="8331" spans="1:10" x14ac:dyDescent="0.3">
      <c r="A8331" t="str">
        <f>HYPERLINK("https://us2.cloudbeds.com/connect/10074733072513#/reservations/31682543165592?display=MHD6DK1RW&amp;reservation_id=31682543165592", "MHD6DK1RW")</f>
        <v>MHD6DK1RW</v>
      </c>
      <c r="B8331" t="s">
        <v>10</v>
      </c>
      <c r="C8331" t="s">
        <v>42</v>
      </c>
      <c r="D8331" t="str">
        <f>HYPERLINK("https://us2.cloudbeds.com/connect/10074733072513#/reservations/31682543165592?display=Renee%20Peters&amp;reservation_id=31682543165592&amp;guest_id=31682543165587", "Renee Peters")</f>
        <v>Renee Peters</v>
      </c>
      <c r="E8331" t="s">
        <v>6545</v>
      </c>
      <c r="F8331" t="s">
        <v>5017</v>
      </c>
      <c r="G8331">
        <v>258</v>
      </c>
      <c r="H8331">
        <v>280.45999999999998</v>
      </c>
      <c r="I8331">
        <v>280.45</v>
      </c>
      <c r="J8331">
        <v>0.01</v>
      </c>
    </row>
    <row r="8332" spans="1:10" x14ac:dyDescent="0.3">
      <c r="A8332" t="str">
        <f>HYPERLINK("https://us2.cloudbeds.com/connect/10074733072513#/reservations/31681417474245?display=MHCAYD14T&amp;reservation_id=31681417474245", "MHCAYD14T")</f>
        <v>MHCAYD14T</v>
      </c>
      <c r="B8332" t="s">
        <v>10</v>
      </c>
      <c r="C8332" t="s">
        <v>11</v>
      </c>
      <c r="D8332" t="str">
        <f>HYPERLINK("https://us2.cloudbeds.com/connect/10074733072513#/reservations/31681417474245?display=Brian%20Clay&amp;reservation_id=31681417474245&amp;guest_id=31681409695995", "Brian Clay")</f>
        <v>Brian Clay</v>
      </c>
      <c r="E8332" t="s">
        <v>6556</v>
      </c>
      <c r="F8332" t="s">
        <v>6557</v>
      </c>
      <c r="G8332">
        <v>87.84</v>
      </c>
      <c r="H8332">
        <v>95.49</v>
      </c>
      <c r="I8332">
        <v>95.48</v>
      </c>
      <c r="J8332">
        <v>0.01</v>
      </c>
    </row>
    <row r="8333" spans="1:10" x14ac:dyDescent="0.3">
      <c r="A8333" t="str">
        <f>HYPERLINK("https://us2.cloudbeds.com/connect/10074733072513#/reservations/31681402110113?display=MHCA8EGM7&amp;reservation_id=31681402110113", "MHCA8EGM7")</f>
        <v>MHCA8EGM7</v>
      </c>
      <c r="B8333" t="s">
        <v>10</v>
      </c>
      <c r="C8333" t="s">
        <v>20</v>
      </c>
      <c r="D8333" t="str">
        <f>HYPERLINK("https://us2.cloudbeds.com/connect/10074733072513#/reservations/31681402110113?display=Rebecca%20Hopkins&amp;reservation_id=31681402110113&amp;guest_id=31681402106016", "Rebecca Hopkins")</f>
        <v>Rebecca Hopkins</v>
      </c>
      <c r="E8333" t="s">
        <v>6558</v>
      </c>
      <c r="F8333" t="s">
        <v>6557</v>
      </c>
      <c r="G8333">
        <v>169</v>
      </c>
      <c r="H8333">
        <v>183.71</v>
      </c>
      <c r="I8333">
        <v>183.7</v>
      </c>
      <c r="J8333">
        <v>0.01</v>
      </c>
    </row>
    <row r="8334" spans="1:10" x14ac:dyDescent="0.3">
      <c r="A8334" t="str">
        <f>HYPERLINK("https://us2.cloudbeds.com/connect/10074733072513#/reservations/31681388286182?display=MHC9TPRH7&amp;reservation_id=31681388286182", "MHC9TPRH7")</f>
        <v>MHC9TPRH7</v>
      </c>
      <c r="B8334" t="s">
        <v>10</v>
      </c>
      <c r="C8334" t="s">
        <v>42</v>
      </c>
      <c r="D8334" t="str">
        <f>HYPERLINK("https://us2.cloudbeds.com/connect/10074733072513#/reservations/31681388286182?display=Brian%20Ingram&amp;reservation_id=31681388286182&amp;guest_id=30681418887376", "Brian Ingram")</f>
        <v>Brian Ingram</v>
      </c>
      <c r="E8334" t="s">
        <v>6559</v>
      </c>
      <c r="F8334" t="s">
        <v>6557</v>
      </c>
      <c r="G8334">
        <v>73</v>
      </c>
      <c r="H8334">
        <v>79.36</v>
      </c>
      <c r="I8334">
        <v>79.349999999999994</v>
      </c>
      <c r="J8334">
        <v>0.01</v>
      </c>
    </row>
    <row r="8335" spans="1:10" x14ac:dyDescent="0.3">
      <c r="A8335" t="str">
        <f>HYPERLINK("https://us2.cloudbeds.com/connect/10074733072513#/reservations/31680978313404?display=MHBWE2ZAN&amp;reservation_id=31680978313404", "MHBWE2ZAN")</f>
        <v>MHBWE2ZAN</v>
      </c>
      <c r="B8335" t="s">
        <v>10</v>
      </c>
      <c r="C8335" t="s">
        <v>11</v>
      </c>
      <c r="D8335" t="str">
        <f>HYPERLINK("https://us2.cloudbeds.com/connect/10074733072513#/reservations/31680978313404?display=Kristin%20Vega&amp;reservation_id=31680978313404&amp;guest_id=31680978313402", "Kristin Vega")</f>
        <v>Kristin Vega</v>
      </c>
      <c r="E8335" t="s">
        <v>6560</v>
      </c>
      <c r="F8335" t="s">
        <v>5688</v>
      </c>
      <c r="G8335">
        <v>125.76</v>
      </c>
      <c r="H8335">
        <v>136.71</v>
      </c>
      <c r="I8335">
        <v>136.69999999999999</v>
      </c>
      <c r="J8335">
        <v>0.01</v>
      </c>
    </row>
    <row r="8336" spans="1:10" x14ac:dyDescent="0.3">
      <c r="A8336" t="str">
        <f>HYPERLINK("https://us2.cloudbeds.com/connect/10074733072513#/reservations/31681319039205?display=MHC84CURW&amp;reservation_id=31681319039205", "MHC84CURW")</f>
        <v>MHC84CURW</v>
      </c>
      <c r="B8336" t="s">
        <v>10</v>
      </c>
      <c r="C8336" t="s">
        <v>42</v>
      </c>
      <c r="D8336" t="str">
        <f>HYPERLINK("https://us2.cloudbeds.com/connect/10074733072513#/reservations/31681319039205?display=Daniel%20Kahlstorf&amp;reservation_id=31681319039205&amp;guest_id=31675447382154", "Daniel Kahlstorf")</f>
        <v>Daniel Kahlstorf</v>
      </c>
      <c r="E8336" t="s">
        <v>5683</v>
      </c>
      <c r="F8336" t="s">
        <v>6557</v>
      </c>
      <c r="G8336">
        <v>73</v>
      </c>
      <c r="H8336">
        <v>79.36</v>
      </c>
      <c r="I8336">
        <v>79.349999999999994</v>
      </c>
      <c r="J8336">
        <v>0.01</v>
      </c>
    </row>
    <row r="8337" spans="1:10" x14ac:dyDescent="0.3">
      <c r="A8337" t="str">
        <f>HYPERLINK("https://us2.cloudbeds.com/connect/10074733072513#/reservations/31681893122271?display=MHCMQFY6H&amp;reservation_id=31681893122271", "MHCMQFY6H")</f>
        <v>MHCMQFY6H</v>
      </c>
      <c r="B8337" t="s">
        <v>10</v>
      </c>
      <c r="C8337" t="s">
        <v>20</v>
      </c>
      <c r="D8337" t="str">
        <f>HYPERLINK("https://us2.cloudbeds.com/connect/10074733072513#/reservations/31681893122271?display=Sharon%20Fogerty&amp;reservation_id=31681893122271&amp;guest_id=31681893122251", "Sharon Fogerty")</f>
        <v>Sharon Fogerty</v>
      </c>
      <c r="E8337" t="s">
        <v>6561</v>
      </c>
      <c r="F8337" t="s">
        <v>6557</v>
      </c>
      <c r="G8337">
        <v>139</v>
      </c>
      <c r="H8337">
        <v>151.1</v>
      </c>
      <c r="I8337">
        <v>151.09</v>
      </c>
      <c r="J8337">
        <v>0.01</v>
      </c>
    </row>
    <row r="8338" spans="1:10" x14ac:dyDescent="0.3">
      <c r="A8338" t="str">
        <f>HYPERLINK("https://us2.cloudbeds.com/connect/10074733072513#/reservations/31689425186946?display=MHXH8NEMK&amp;reservation_id=31689425186946", "MHXH8NEMK")</f>
        <v>MHXH8NEMK</v>
      </c>
      <c r="B8338" t="s">
        <v>10</v>
      </c>
      <c r="C8338" t="s">
        <v>42</v>
      </c>
      <c r="D8338" t="str">
        <f>HYPERLINK("https://us2.cloudbeds.com/connect/10074733072513#/reservations/31689425186946?display=Angela%20Bot&amp;reservation_id=31689425186946&amp;guest_id=31689425182911", "Angela Bot")</f>
        <v>Angela Bot</v>
      </c>
      <c r="E8338" t="s">
        <v>6563</v>
      </c>
      <c r="F8338" t="s">
        <v>4868</v>
      </c>
      <c r="G8338">
        <v>258</v>
      </c>
      <c r="H8338">
        <v>280.45999999999998</v>
      </c>
      <c r="I8338">
        <v>280.45</v>
      </c>
      <c r="J8338">
        <v>0.01</v>
      </c>
    </row>
    <row r="8339" spans="1:10" x14ac:dyDescent="0.3">
      <c r="A8339" t="str">
        <f>HYPERLINK("https://us2.cloudbeds.com/connect/10074733072513#/reservations/31679406854391?display=MHAP8WXUK&amp;reservation_id=31679406854391", "MHAP8WXUK")</f>
        <v>MHAP8WXUK</v>
      </c>
      <c r="B8339" t="s">
        <v>10</v>
      </c>
      <c r="C8339" t="s">
        <v>121</v>
      </c>
      <c r="D8339" t="str">
        <f>HYPERLINK("https://us2.cloudbeds.com/connect/10074733072513#/reservations/31679406854391?display=Michael%20Terry&amp;reservation_id=31679406854391&amp;guest_id=31679406854389", "Michael Terry")</f>
        <v>Michael Terry</v>
      </c>
      <c r="E8339" t="s">
        <v>6564</v>
      </c>
      <c r="F8339" t="s">
        <v>6355</v>
      </c>
      <c r="G8339">
        <v>149</v>
      </c>
      <c r="H8339">
        <v>161.97</v>
      </c>
      <c r="I8339">
        <v>161.96</v>
      </c>
      <c r="J8339">
        <v>0.01</v>
      </c>
    </row>
    <row r="8340" spans="1:10" x14ac:dyDescent="0.3">
      <c r="A8340" t="str">
        <f>HYPERLINK("https://us2.cloudbeds.com/connect/10074733072513#/reservations/31678748758216?display=MHA8F22X9&amp;reservation_id=31678748758216", "MHA8F22X9")</f>
        <v>MHA8F22X9</v>
      </c>
      <c r="B8340" t="s">
        <v>10</v>
      </c>
      <c r="C8340" t="s">
        <v>42</v>
      </c>
      <c r="D8340" t="str">
        <f>HYPERLINK("https://us2.cloudbeds.com/connect/10074733072513#/reservations/31678748758216?display=Denise%20Duffy&amp;reservation_id=31678748758216&amp;guest_id=31678748758211", "Denise Duffy")</f>
        <v>Denise Duffy</v>
      </c>
      <c r="E8340" t="s">
        <v>6566</v>
      </c>
      <c r="F8340" t="s">
        <v>5584</v>
      </c>
      <c r="G8340">
        <v>89</v>
      </c>
      <c r="H8340">
        <v>96.75</v>
      </c>
      <c r="I8340">
        <v>96.74</v>
      </c>
      <c r="J8340">
        <v>0.01</v>
      </c>
    </row>
    <row r="8341" spans="1:10" x14ac:dyDescent="0.3">
      <c r="A8341" t="str">
        <f>HYPERLINK("https://us2.cloudbeds.com/connect/10074733072513#/reservations/31686634107093?display=MHGBV6HK8&amp;reservation_id=31686634107093", "MHGBV6HK8")</f>
        <v>MHGBV6HK8</v>
      </c>
      <c r="B8341" t="s">
        <v>10</v>
      </c>
      <c r="C8341" t="s">
        <v>42</v>
      </c>
      <c r="D8341" t="str">
        <f>HYPERLINK("https://us2.cloudbeds.com/connect/10074733072513#/reservations/31686634107093?display=Roger%20Lamfers&amp;reservation_id=31686634107093&amp;guest_id=31686634107088", "Roger Lamfers")</f>
        <v>Roger Lamfers</v>
      </c>
      <c r="E8341" t="s">
        <v>6569</v>
      </c>
      <c r="F8341" t="s">
        <v>6570</v>
      </c>
      <c r="G8341">
        <v>198</v>
      </c>
      <c r="H8341">
        <v>215.24</v>
      </c>
      <c r="I8341">
        <v>215.23</v>
      </c>
      <c r="J8341">
        <v>0.01</v>
      </c>
    </row>
    <row r="8342" spans="1:10" x14ac:dyDescent="0.3">
      <c r="A8342" t="str">
        <f>HYPERLINK("https://us2.cloudbeds.com/connect/10074733072513#/reservations/31690422767783?display=MHJ9ZTJSV&amp;reservation_id=31690422767783", "MHJ9ZTJSV")</f>
        <v>MHJ9ZTJSV</v>
      </c>
      <c r="B8342" t="s">
        <v>10</v>
      </c>
      <c r="C8342" t="s">
        <v>42</v>
      </c>
      <c r="D8342" t="str">
        <f>HYPERLINK("https://us2.cloudbeds.com/connect/10074733072513#/reservations/31690422767783?display=Morgan%20Sherer&amp;reservation_id=31690422767783&amp;guest_id=31690422767781", "Morgan Sherer")</f>
        <v>Morgan Sherer</v>
      </c>
      <c r="E8342" t="s">
        <v>6571</v>
      </c>
      <c r="F8342" t="s">
        <v>5247</v>
      </c>
      <c r="G8342">
        <v>119</v>
      </c>
      <c r="H8342">
        <v>129.36000000000001</v>
      </c>
      <c r="I8342">
        <v>129.35</v>
      </c>
      <c r="J8342">
        <v>0.01</v>
      </c>
    </row>
    <row r="8343" spans="1:10" x14ac:dyDescent="0.3">
      <c r="A8343" t="str">
        <f>HYPERLINK("https://us2.cloudbeds.com/connect/10074733072513#/reservations/31678814294265?display=MHAA4ANJ5&amp;reservation_id=31678814294265", "MHAA4ANJ5")</f>
        <v>MHAA4ANJ5</v>
      </c>
      <c r="B8343" t="s">
        <v>10</v>
      </c>
      <c r="C8343" t="s">
        <v>42</v>
      </c>
      <c r="D8343" t="str">
        <f>HYPERLINK("https://us2.cloudbeds.com/connect/10074733072513#/reservations/31678814294265?display=Paul%20Stevenson&amp;reservation_id=31678814294265&amp;guest_id=31674849677472", "Paul Stevenson")</f>
        <v>Paul Stevenson</v>
      </c>
      <c r="E8343" t="s">
        <v>6445</v>
      </c>
      <c r="F8343" t="s">
        <v>5584</v>
      </c>
      <c r="G8343">
        <v>150</v>
      </c>
      <c r="H8343">
        <v>163.06</v>
      </c>
      <c r="I8343">
        <v>163.05000000000001</v>
      </c>
      <c r="J8343">
        <v>0.01</v>
      </c>
    </row>
    <row r="8344" spans="1:10" x14ac:dyDescent="0.3">
      <c r="A8344" t="str">
        <f>HYPERLINK("https://us2.cloudbeds.com/connect/10074733072513#/reservations/31679729811658?display=MHB0HAB2F&amp;reservation_id=31679729811658", "MHB0HAB2F")</f>
        <v>MHB0HAB2F</v>
      </c>
      <c r="B8344" t="s">
        <v>10</v>
      </c>
      <c r="C8344" t="s">
        <v>20</v>
      </c>
      <c r="D8344" t="str">
        <f>HYPERLINK("https://us2.cloudbeds.com/connect/10074733072513#/reservations/31679729811658?display=Steven%20Ingram&amp;reservation_id=31679729811658&amp;guest_id=31679729811653", "Steven Ingram")</f>
        <v>Steven Ingram</v>
      </c>
      <c r="E8344" t="s">
        <v>6572</v>
      </c>
      <c r="F8344" t="s">
        <v>5546</v>
      </c>
      <c r="G8344">
        <v>149</v>
      </c>
      <c r="H8344">
        <v>161.97</v>
      </c>
      <c r="I8344">
        <v>161.96</v>
      </c>
      <c r="J8344">
        <v>0.01</v>
      </c>
    </row>
    <row r="8345" spans="1:10" x14ac:dyDescent="0.3">
      <c r="A8345" t="str">
        <f>HYPERLINK("https://us2.cloudbeds.com/connect/10074733072513#/reservations/31681327018172?display=MHC8B3VNS&amp;reservation_id=31681327018172", "MHC8B3VNS")</f>
        <v>MHC8B3VNS</v>
      </c>
      <c r="B8345" t="s">
        <v>10</v>
      </c>
      <c r="C8345" t="s">
        <v>20</v>
      </c>
      <c r="D8345" t="str">
        <f>HYPERLINK("https://us2.cloudbeds.com/connect/10074733072513#/reservations/31681327018172?display=Robert%20Briggs&amp;reservation_id=31681327018172&amp;guest_id=31681319043298", "Robert Briggs")</f>
        <v>Robert Briggs</v>
      </c>
      <c r="E8345" t="s">
        <v>6574</v>
      </c>
      <c r="F8345" t="s">
        <v>6557</v>
      </c>
      <c r="G8345">
        <v>139</v>
      </c>
      <c r="H8345">
        <v>151.1</v>
      </c>
      <c r="I8345">
        <v>151.09</v>
      </c>
      <c r="J8345">
        <v>0.01</v>
      </c>
    </row>
    <row r="8346" spans="1:10" x14ac:dyDescent="0.3">
      <c r="A8346" t="str">
        <f>HYPERLINK("https://us2.cloudbeds.com/connect/10074733072513#/reservations/31681935683716?display=MHCNTBW89&amp;reservation_id=31681935683716", "MHCNTBW89")</f>
        <v>MHCNTBW89</v>
      </c>
      <c r="B8346" t="s">
        <v>10</v>
      </c>
      <c r="C8346" t="s">
        <v>42</v>
      </c>
      <c r="D8346" t="str">
        <f>HYPERLINK("https://us2.cloudbeds.com/connect/10074733072513#/reservations/31681935683716?display=Paul%20Sulzen&amp;reservation_id=31681935683716&amp;guest_id=31681935679679", "Paul Sulzen")</f>
        <v>Paul Sulzen</v>
      </c>
      <c r="E8346" t="s">
        <v>6575</v>
      </c>
      <c r="F8346" t="s">
        <v>5584</v>
      </c>
      <c r="G8346">
        <v>73</v>
      </c>
      <c r="H8346">
        <v>79.36</v>
      </c>
      <c r="I8346">
        <v>79.349999999999994</v>
      </c>
      <c r="J8346">
        <v>0.01</v>
      </c>
    </row>
    <row r="8347" spans="1:10" x14ac:dyDescent="0.3">
      <c r="A8347" t="str">
        <f>HYPERLINK("https://us2.cloudbeds.com/connect/10074733072513#/reservations/31681928331476?display=MHCNN5CT4&amp;reservation_id=31681928331476", "MHCNN5CT4")</f>
        <v>MHCNN5CT4</v>
      </c>
      <c r="B8347" t="s">
        <v>10</v>
      </c>
      <c r="C8347" t="s">
        <v>14</v>
      </c>
      <c r="D8347" t="str">
        <f>HYPERLINK("https://us2.cloudbeds.com/connect/10074733072513#/reservations/31681928331476?display=Jerry%20Payne&amp;reservation_id=31681928331476&amp;guest_id=31681928327389", "Jerry Payne")</f>
        <v>Jerry Payne</v>
      </c>
      <c r="E8347" t="s">
        <v>6576</v>
      </c>
      <c r="F8347" t="s">
        <v>5584</v>
      </c>
      <c r="G8347">
        <v>106.8</v>
      </c>
      <c r="H8347">
        <v>116.1</v>
      </c>
      <c r="I8347">
        <v>116.09</v>
      </c>
      <c r="J8347">
        <v>0.01</v>
      </c>
    </row>
    <row r="8348" spans="1:10" x14ac:dyDescent="0.3">
      <c r="A8348" t="str">
        <f>HYPERLINK("https://us2.cloudbeds.com/connect/10074733072513#/reservations/31681901416636?display=MHCN0FEMU&amp;reservation_id=31681901416636", "MHCN0FEMU")</f>
        <v>MHCN0FEMU</v>
      </c>
      <c r="B8348" t="s">
        <v>10</v>
      </c>
      <c r="C8348" t="s">
        <v>11</v>
      </c>
      <c r="D8348" t="str">
        <f>HYPERLINK("https://us2.cloudbeds.com/connect/10074733072513#/reservations/31681901416636?display=John%20Nelson&amp;reservation_id=31681901416636&amp;guest_id=31681901416616", "John Nelson")</f>
        <v>John Nelson</v>
      </c>
      <c r="E8348" t="s">
        <v>6577</v>
      </c>
      <c r="F8348" t="s">
        <v>6557</v>
      </c>
      <c r="G8348">
        <v>87.84</v>
      </c>
      <c r="H8348">
        <v>95.49</v>
      </c>
      <c r="I8348">
        <v>95.48</v>
      </c>
      <c r="J8348">
        <v>0.01</v>
      </c>
    </row>
    <row r="8349" spans="1:10" x14ac:dyDescent="0.3">
      <c r="A8349" t="str">
        <f>HYPERLINK("https://us2.cloudbeds.com/connect/10074733072513#/reservations/31682242281656?display=MHCVNTH1V&amp;reservation_id=31682242281656", "MHCVNTH1V")</f>
        <v>MHCVNTH1V</v>
      </c>
      <c r="B8349" t="s">
        <v>10</v>
      </c>
      <c r="C8349" t="s">
        <v>23</v>
      </c>
      <c r="D8349" t="str">
        <f>HYPERLINK("https://us2.cloudbeds.com/connect/10074733072513#/reservations/31682242281656?display=Bethany%20Loncorich&amp;reservation_id=31682242281656&amp;guest_id=31682242281653", "Bethany Loncorich")</f>
        <v>Bethany Loncorich</v>
      </c>
      <c r="E8349" t="s">
        <v>6578</v>
      </c>
      <c r="F8349" t="s">
        <v>3531</v>
      </c>
      <c r="G8349">
        <v>149</v>
      </c>
      <c r="H8349">
        <v>161.97</v>
      </c>
      <c r="I8349">
        <v>161.96</v>
      </c>
      <c r="J8349">
        <v>0.01</v>
      </c>
    </row>
    <row r="8350" spans="1:10" x14ac:dyDescent="0.3">
      <c r="A8350" t="str">
        <f>HYPERLINK("https://us2.cloudbeds.com/connect/10074733072513#/reservations/31687702507726?display=MHH683BP0&amp;reservation_id=31687702507726", "MHH683BP0")</f>
        <v>MHH683BP0</v>
      </c>
      <c r="B8350" t="s">
        <v>10</v>
      </c>
      <c r="C8350" t="s">
        <v>42</v>
      </c>
      <c r="D8350" t="str">
        <f>HYPERLINK("https://us2.cloudbeds.com/connect/10074733072513#/reservations/31687702507726?display=Karen%20Claeys&amp;reservation_id=31687702507726&amp;guest_id=31687702507723", "Karen Claeys")</f>
        <v>Karen Claeys</v>
      </c>
      <c r="E8350" t="s">
        <v>6580</v>
      </c>
      <c r="F8350" t="s">
        <v>5745</v>
      </c>
      <c r="G8350">
        <v>149</v>
      </c>
      <c r="H8350">
        <v>161.97</v>
      </c>
      <c r="I8350">
        <v>161.96</v>
      </c>
      <c r="J8350">
        <v>0.01</v>
      </c>
    </row>
    <row r="8351" spans="1:10" x14ac:dyDescent="0.3">
      <c r="A8351" t="str">
        <f>HYPERLINK("https://us2.cloudbeds.com/connect/10074733072513#/reservations/31690414325967?display=MHJ9HPMWB&amp;reservation_id=31690414325967", "MHJ9HPMWB")</f>
        <v>MHJ9HPMWB</v>
      </c>
      <c r="B8351" t="s">
        <v>10</v>
      </c>
      <c r="C8351" t="s">
        <v>42</v>
      </c>
      <c r="D8351" t="str">
        <f>HYPERLINK("https://us2.cloudbeds.com/connect/10074733072513#/reservations/31690414325967?display=Morgan%20Sherer&amp;reservation_id=31690414325967&amp;guest_id=31690414325955", "Morgan Sherer")</f>
        <v>Morgan Sherer</v>
      </c>
      <c r="E8351" t="s">
        <v>6582</v>
      </c>
      <c r="F8351" t="s">
        <v>5247</v>
      </c>
      <c r="G8351">
        <v>119</v>
      </c>
      <c r="H8351">
        <v>129.36000000000001</v>
      </c>
      <c r="I8351">
        <v>129.35</v>
      </c>
      <c r="J8351">
        <v>0.01</v>
      </c>
    </row>
    <row r="8352" spans="1:10" x14ac:dyDescent="0.3">
      <c r="A8352" t="str">
        <f>HYPERLINK("https://us2.cloudbeds.com/connect/10074733072513#/reservations/31678768603274?display=MHA8VQ9ZM&amp;reservation_id=31678768603274", "MHA8VQ9ZM")</f>
        <v>MHA8VQ9ZM</v>
      </c>
      <c r="B8352" t="s">
        <v>10</v>
      </c>
      <c r="C8352" t="s">
        <v>17</v>
      </c>
      <c r="D8352" t="str">
        <f>HYPERLINK("https://us2.cloudbeds.com/connect/10074733072513#/reservations/31678768603274?display=Isaac%20Devries&amp;reservation_id=31678768603274&amp;guest_id=31678762152189", "Isaac Devries")</f>
        <v>Isaac Devries</v>
      </c>
      <c r="E8352" t="s">
        <v>6583</v>
      </c>
      <c r="F8352" t="s">
        <v>5584</v>
      </c>
      <c r="G8352">
        <v>149</v>
      </c>
      <c r="H8352">
        <v>161.97</v>
      </c>
      <c r="I8352">
        <v>161.96</v>
      </c>
      <c r="J8352">
        <v>0.01</v>
      </c>
    </row>
    <row r="8353" spans="1:10" x14ac:dyDescent="0.3">
      <c r="A8353" t="str">
        <f>HYPERLINK("https://us2.cloudbeds.com/connect/10074733072513#/reservations/31682274328808?display=MHCWHU93P&amp;reservation_id=31682274328808", "MHCWHU93P")</f>
        <v>MHCWHU93P</v>
      </c>
      <c r="B8353" t="s">
        <v>10</v>
      </c>
      <c r="C8353" t="s">
        <v>42</v>
      </c>
      <c r="D8353" t="str">
        <f>HYPERLINK("https://us2.cloudbeds.com/connect/10074733072513#/reservations/31682274328808?display=Arlyn%20Jons&amp;reservation_id=31682274328808&amp;guest_id=30668970557667", "Arlyn Jons")</f>
        <v>Arlyn Jons</v>
      </c>
      <c r="E8353" t="s">
        <v>3948</v>
      </c>
      <c r="F8353" t="s">
        <v>3531</v>
      </c>
      <c r="G8353">
        <v>169</v>
      </c>
      <c r="H8353">
        <v>183.71</v>
      </c>
      <c r="I8353">
        <v>183.7</v>
      </c>
      <c r="J8353">
        <v>0.01</v>
      </c>
    </row>
    <row r="8354" spans="1:10" x14ac:dyDescent="0.3">
      <c r="A8354" t="str">
        <f>HYPERLINK("https://us2.cloudbeds.com/connect/10074733072513#/reservations/31682369917062?display=MHD1WH59H&amp;reservation_id=31682369917062", "MHD1WH59H")</f>
        <v>MHD1WH59H</v>
      </c>
      <c r="B8354" t="s">
        <v>10</v>
      </c>
      <c r="C8354" t="s">
        <v>11</v>
      </c>
      <c r="D8354" t="str">
        <f>HYPERLINK("https://us2.cloudbeds.com/connect/10074733072513#/reservations/31682369917062?display=Janet%20Hill&amp;reservation_id=31682369917062&amp;guest_id=31682367074547", "Janet Hill")</f>
        <v>Janet Hill</v>
      </c>
      <c r="E8354" t="s">
        <v>6592</v>
      </c>
      <c r="F8354" t="s">
        <v>4772</v>
      </c>
      <c r="G8354">
        <v>211.88</v>
      </c>
      <c r="H8354">
        <v>230.32</v>
      </c>
      <c r="I8354">
        <v>230.31</v>
      </c>
      <c r="J8354">
        <v>0.01</v>
      </c>
    </row>
    <row r="8355" spans="1:10" x14ac:dyDescent="0.3">
      <c r="A8355" t="str">
        <f>HYPERLINK("https://us2.cloudbeds.com/connect/10074733072513#/reservations/31682257260706?display=MHCW3HAUX&amp;reservation_id=31682257260706", "MHCW3HAUX")</f>
        <v>MHCW3HAUX</v>
      </c>
      <c r="B8355" t="s">
        <v>10</v>
      </c>
      <c r="C8355" t="s">
        <v>20</v>
      </c>
      <c r="D8355" t="str">
        <f>HYPERLINK("https://us2.cloudbeds.com/connect/10074733072513#/reservations/31682257260706?display=Steve%20Williams&amp;reservation_id=31682257260706&amp;guest_id=31682257260701", "Steve Williams")</f>
        <v>Steve Williams</v>
      </c>
      <c r="E8355" t="s">
        <v>6593</v>
      </c>
      <c r="F8355" t="s">
        <v>3531</v>
      </c>
      <c r="G8355">
        <v>149</v>
      </c>
      <c r="H8355">
        <v>161.97</v>
      </c>
      <c r="I8355">
        <v>161.96</v>
      </c>
      <c r="J8355">
        <v>0.01</v>
      </c>
    </row>
    <row r="8356" spans="1:10" x14ac:dyDescent="0.3">
      <c r="A8356" t="str">
        <f>HYPERLINK("https://us2.cloudbeds.com/connect/10074733072513#/reservations/31682392727747?display=MHD2XZTZD&amp;reservation_id=31682392727747", "MHD2XZTZD")</f>
        <v>MHD2XZTZD</v>
      </c>
      <c r="B8356" t="s">
        <v>10</v>
      </c>
      <c r="C8356" t="s">
        <v>42</v>
      </c>
      <c r="D8356" t="str">
        <f>HYPERLINK("https://us2.cloudbeds.com/connect/10074733072513#/reservations/31682392727747?display=Jerrell%20Faulkner&amp;reservation_id=31682392727747&amp;guest_id=31677618983129", "Jerrell Faulkner")</f>
        <v>Jerrell Faulkner</v>
      </c>
      <c r="E8356" t="s">
        <v>6187</v>
      </c>
      <c r="F8356" t="s">
        <v>3531</v>
      </c>
      <c r="G8356">
        <v>73</v>
      </c>
      <c r="H8356">
        <v>79.36</v>
      </c>
      <c r="I8356">
        <v>79.349999999999994</v>
      </c>
      <c r="J8356">
        <v>0.01</v>
      </c>
    </row>
    <row r="8357" spans="1:10" x14ac:dyDescent="0.3">
      <c r="A8357" t="str">
        <f>HYPERLINK("https://us2.cloudbeds.com/connect/10074733072513#/reservations/31680914456717?display=MHBUQ7RDJ&amp;reservation_id=31680914456717", "MHBUQ7RDJ")</f>
        <v>MHBUQ7RDJ</v>
      </c>
      <c r="B8357" t="s">
        <v>10</v>
      </c>
      <c r="C8357" t="s">
        <v>42</v>
      </c>
      <c r="D8357" t="str">
        <f>HYPERLINK("https://us2.cloudbeds.com/connect/10074733072513#/reservations/31680914456717?display=Paul%20Wason&amp;reservation_id=31680914456717&amp;guest_id=31679615242395", "Paul Wason")</f>
        <v>Paul Wason</v>
      </c>
      <c r="E8357" t="s">
        <v>6600</v>
      </c>
      <c r="F8357" t="s">
        <v>6601</v>
      </c>
      <c r="G8357">
        <v>150</v>
      </c>
      <c r="H8357">
        <v>163.06</v>
      </c>
      <c r="I8357">
        <v>163.05000000000001</v>
      </c>
      <c r="J8357">
        <v>0.01</v>
      </c>
    </row>
    <row r="8358" spans="1:10" x14ac:dyDescent="0.3">
      <c r="A8358" t="str">
        <f>HYPERLINK("https://us2.cloudbeds.com/connect/10074733072513#/reservations/31680663556235?display=MHBZCM53M&amp;reservation_id=31680663556235", "MHBZCM53M")</f>
        <v>MHBZCM53M</v>
      </c>
      <c r="B8358" t="s">
        <v>10</v>
      </c>
      <c r="C8358" t="s">
        <v>42</v>
      </c>
      <c r="D8358" t="str">
        <f>HYPERLINK("https://us2.cloudbeds.com/connect/10074733072513#/reservations/31680663556235?display=Dave%20Cady%20Sv-1630%20Great%20Plains%20Structure&amp;reservation_id=31680663556235&amp;guest_id=31680663552188", "Dave Cady Sv-1630 Great Plains Structure")</f>
        <v>Dave Cady Sv-1630 Great Plains Structure</v>
      </c>
      <c r="E8358" t="s">
        <v>5244</v>
      </c>
      <c r="F8358" t="s">
        <v>6473</v>
      </c>
      <c r="G8358">
        <v>79</v>
      </c>
      <c r="H8358">
        <v>85.88</v>
      </c>
      <c r="I8358">
        <v>85.87</v>
      </c>
      <c r="J8358">
        <v>0.01</v>
      </c>
    </row>
    <row r="8359" spans="1:10" x14ac:dyDescent="0.3">
      <c r="A8359" t="str">
        <f>HYPERLINK("https://us2.cloudbeds.com/connect/10074733072513#/reservations/31683386163377?display=MHDRVENGD&amp;reservation_id=31683386163377", "MHDRVENGD")</f>
        <v>MHDRVENGD</v>
      </c>
      <c r="B8359" t="s">
        <v>10</v>
      </c>
      <c r="C8359" t="s">
        <v>23</v>
      </c>
      <c r="D8359" t="str">
        <f>HYPERLINK("https://us2.cloudbeds.com/connect/10074733072513#/reservations/31683386163377?display=Angela%20Siefkin&amp;reservation_id=31683386163377&amp;guest_id=30670226436310", "Angela Siefkin")</f>
        <v>Angela Siefkin</v>
      </c>
      <c r="E8359" t="s">
        <v>6602</v>
      </c>
      <c r="F8359" t="s">
        <v>5140</v>
      </c>
      <c r="G8359">
        <v>249</v>
      </c>
      <c r="H8359">
        <v>270.67</v>
      </c>
      <c r="I8359">
        <v>270.66000000000003</v>
      </c>
      <c r="J8359">
        <v>0.01</v>
      </c>
    </row>
    <row r="8360" spans="1:10" x14ac:dyDescent="0.3">
      <c r="A8360" t="str">
        <f>HYPERLINK("https://us2.cloudbeds.com/connect/10074733072513#/reservations/31695772233928?display=MHNEENCYY&amp;reservation_id=31695772233928", "MHNEENCYY")</f>
        <v>MHNEENCYY</v>
      </c>
      <c r="B8360" t="s">
        <v>10</v>
      </c>
      <c r="C8360" t="s">
        <v>42</v>
      </c>
      <c r="D8360" t="str">
        <f>HYPERLINK("https://us2.cloudbeds.com/connect/10074733072513#/reservations/31695772233928?display=Mindy%20Kemper&amp;reservation_id=31695772233928&amp;guest_id=31695772233925", "Mindy Kemper")</f>
        <v>Mindy Kemper</v>
      </c>
      <c r="E8360" t="s">
        <v>6603</v>
      </c>
      <c r="F8360" t="s">
        <v>6604</v>
      </c>
      <c r="G8360">
        <v>298</v>
      </c>
      <c r="H8360">
        <v>323.94</v>
      </c>
      <c r="I8360">
        <v>323.93</v>
      </c>
      <c r="J8360">
        <v>0.01</v>
      </c>
    </row>
    <row r="8361" spans="1:10" x14ac:dyDescent="0.3">
      <c r="A8361" t="str">
        <f>HYPERLINK("https://us2.cloudbeds.com/connect/10074733072513#/reservations/31680055451812?display=MHB8RTZRU&amp;reservation_id=31680055451812", "MHB8RTZRU")</f>
        <v>MHB8RTZRU</v>
      </c>
      <c r="B8361" t="s">
        <v>10</v>
      </c>
      <c r="C8361" t="s">
        <v>20</v>
      </c>
      <c r="D8361" t="str">
        <f>HYPERLINK("https://us2.cloudbeds.com/connect/10074733072513#/reservations/31680055451812?display=Benjamin%20Hoag&amp;reservation_id=31680055451812&amp;guest_id=31680055451795", "Benjamin Hoag")</f>
        <v>Benjamin Hoag</v>
      </c>
      <c r="E8361" t="s">
        <v>6606</v>
      </c>
      <c r="F8361" t="s">
        <v>6607</v>
      </c>
      <c r="G8361">
        <v>189</v>
      </c>
      <c r="H8361">
        <v>205.45</v>
      </c>
      <c r="I8361">
        <v>205.44</v>
      </c>
      <c r="J8361">
        <v>0.01</v>
      </c>
    </row>
    <row r="8362" spans="1:10" x14ac:dyDescent="0.3">
      <c r="A8362" t="str">
        <f>HYPERLINK("https://us2.cloudbeds.com/connect/10074733072513#/reservations/31682735042755?display=MHDBADAJF&amp;reservation_id=31682735042755", "MHDBADAJF")</f>
        <v>MHDBADAJF</v>
      </c>
      <c r="B8362" t="s">
        <v>10</v>
      </c>
      <c r="C8362" t="s">
        <v>14</v>
      </c>
      <c r="D8362" t="str">
        <f>HYPERLINK("https://us2.cloudbeds.com/connect/10074733072513#/reservations/31682735042755?display=Billy%20Slater&amp;reservation_id=31682735042755&amp;guest_id=31682735042752", "Billy Slater")</f>
        <v>Billy Slater</v>
      </c>
      <c r="E8362" t="s">
        <v>6608</v>
      </c>
      <c r="F8362" t="s">
        <v>4645</v>
      </c>
      <c r="G8362">
        <v>249</v>
      </c>
      <c r="H8362">
        <v>270.67</v>
      </c>
      <c r="I8362">
        <v>270.66000000000003</v>
      </c>
      <c r="J8362">
        <v>0.01</v>
      </c>
    </row>
    <row r="8363" spans="1:10" x14ac:dyDescent="0.3">
      <c r="A8363" t="str">
        <f>HYPERLINK("https://us2.cloudbeds.com/connect/10074733072513#/reservations/31679651532951?display=MHAVHA3QE&amp;reservation_id=31679651532951", "MHAVHA3QE")</f>
        <v>MHAVHA3QE</v>
      </c>
      <c r="B8363" t="s">
        <v>10</v>
      </c>
      <c r="C8363" t="s">
        <v>11</v>
      </c>
      <c r="D8363" t="str">
        <f>HYPERLINK("https://us2.cloudbeds.com/connect/10074733072513#/reservations/31679651532951?display=Xiaolu%20Sun&amp;reservation_id=31679651532951&amp;guest_id=31679651532948", "Xiaolu Sun")</f>
        <v>Xiaolu Sun</v>
      </c>
      <c r="E8363" t="s">
        <v>6609</v>
      </c>
      <c r="F8363" t="s">
        <v>5546</v>
      </c>
      <c r="G8363">
        <v>106.8</v>
      </c>
      <c r="H8363">
        <v>116.1</v>
      </c>
      <c r="I8363">
        <v>116.09</v>
      </c>
      <c r="J8363">
        <v>0.01</v>
      </c>
    </row>
    <row r="8364" spans="1:10" x14ac:dyDescent="0.3">
      <c r="A8364" t="str">
        <f>HYPERLINK("https://us2.cloudbeds.com/connect/10074733072513#/reservations/31679620333775?display=MHAUNWVDS&amp;reservation_id=31679620333775", "MHAUNWVDS")</f>
        <v>MHAUNWVDS</v>
      </c>
      <c r="B8364" t="s">
        <v>10</v>
      </c>
      <c r="C8364" t="s">
        <v>42</v>
      </c>
      <c r="D8364" t="str">
        <f>HYPERLINK("https://us2.cloudbeds.com/connect/10074733072513#/reservations/31679620333775?display=Paul%20Wason&amp;reservation_id=31679620333775&amp;guest_id=31679615242395", "Paul Wason")</f>
        <v>Paul Wason</v>
      </c>
      <c r="E8364" t="s">
        <v>6600</v>
      </c>
      <c r="F8364" t="s">
        <v>6449</v>
      </c>
      <c r="G8364">
        <v>150</v>
      </c>
      <c r="H8364">
        <v>163.06</v>
      </c>
      <c r="I8364">
        <v>163.05000000000001</v>
      </c>
      <c r="J8364">
        <v>0.01</v>
      </c>
    </row>
    <row r="8365" spans="1:10" x14ac:dyDescent="0.3">
      <c r="A8365" t="str">
        <f>HYPERLINK("https://us2.cloudbeds.com/connect/10074733072513#/reservations/31682303344834?display=MHD09CMP9&amp;reservation_id=31682303344834", "MHD09CMP9")</f>
        <v>MHD09CMP9</v>
      </c>
      <c r="B8365" t="s">
        <v>10</v>
      </c>
      <c r="C8365" t="s">
        <v>121</v>
      </c>
      <c r="D8365" t="str">
        <f>HYPERLINK("https://us2.cloudbeds.com/connect/10074733072513#/reservations/31682303344834?display=Eric%20Zavala&amp;reservation_id=31682303344834&amp;guest_id=31682303340797", "Eric Zavala")</f>
        <v>Eric Zavala</v>
      </c>
      <c r="E8365" t="s">
        <v>6610</v>
      </c>
      <c r="F8365" t="s">
        <v>3531</v>
      </c>
      <c r="G8365">
        <v>149</v>
      </c>
      <c r="H8365">
        <v>161.97</v>
      </c>
      <c r="I8365">
        <v>161.96</v>
      </c>
      <c r="J8365">
        <v>0.01</v>
      </c>
    </row>
    <row r="8366" spans="1:10" x14ac:dyDescent="0.3">
      <c r="A8366" t="str">
        <f>HYPERLINK("https://us2.cloudbeds.com/connect/10074733072513#/reservations/31686305714391?display=MHG3X9H88&amp;reservation_id=31686305714391", "MHG3X9H88")</f>
        <v>MHG3X9H88</v>
      </c>
      <c r="B8366" t="s">
        <v>10</v>
      </c>
      <c r="C8366" t="s">
        <v>42</v>
      </c>
      <c r="D8366" t="str">
        <f>HYPERLINK("https://us2.cloudbeds.com/connect/10074733072513#/reservations/31686305714391?display=Chuck%20Daugherty&amp;reservation_id=31686305714391&amp;guest_id=31686305714385", "Chuck Daugherty")</f>
        <v>Chuck Daugherty</v>
      </c>
      <c r="E8366" t="s">
        <v>6611</v>
      </c>
      <c r="F8366" t="s">
        <v>5745</v>
      </c>
      <c r="G8366">
        <v>159</v>
      </c>
      <c r="H8366">
        <v>172.84</v>
      </c>
      <c r="I8366">
        <v>172.83</v>
      </c>
      <c r="J8366">
        <v>0.01</v>
      </c>
    </row>
    <row r="8367" spans="1:10" x14ac:dyDescent="0.3">
      <c r="A8367" t="str">
        <f>HYPERLINK("https://us2.cloudbeds.com/connect/10074733072513#/reservations/31689449967843?display=MHXHTK0AT&amp;reservation_id=31689449967843", "MHXHTK0AT")</f>
        <v>MHXHTK0AT</v>
      </c>
      <c r="B8367" t="s">
        <v>10</v>
      </c>
      <c r="C8367" t="s">
        <v>42</v>
      </c>
      <c r="D8367" t="str">
        <f>HYPERLINK("https://us2.cloudbeds.com/connect/10074733072513#/reservations/31689449967843?display=Leah%20Pesch&amp;reservation_id=31689449967843&amp;guest_id=31689449967841", "Leah Pesch")</f>
        <v>Leah Pesch</v>
      </c>
      <c r="E8367" t="s">
        <v>6613</v>
      </c>
      <c r="F8367" t="s">
        <v>4868</v>
      </c>
      <c r="G8367">
        <v>129</v>
      </c>
      <c r="H8367">
        <v>140.22999999999999</v>
      </c>
      <c r="I8367">
        <v>140.22</v>
      </c>
      <c r="J8367">
        <v>0.01</v>
      </c>
    </row>
    <row r="8368" spans="1:10" x14ac:dyDescent="0.3">
      <c r="A8368" t="str">
        <f>HYPERLINK("https://us2.cloudbeds.com/connect/10074733072513#/reservations/31683521474775?display=MHDVDHVCQ&amp;reservation_id=31683521474775", "MHDVDHVCQ")</f>
        <v>MHDVDHVCQ</v>
      </c>
      <c r="B8368" t="s">
        <v>10</v>
      </c>
      <c r="C8368" t="s">
        <v>20</v>
      </c>
      <c r="D8368" t="str">
        <f>HYPERLINK("https://us2.cloudbeds.com/connect/10074733072513#/reservations/31683521474775?display=Robert%20Asbell&amp;reservation_id=31683521474775&amp;guest_id=31683521474770", "Robert Asbell")</f>
        <v>Robert Asbell</v>
      </c>
      <c r="E8368" t="s">
        <v>6614</v>
      </c>
      <c r="F8368" t="s">
        <v>6353</v>
      </c>
      <c r="G8368">
        <v>338</v>
      </c>
      <c r="H8368">
        <v>367.42</v>
      </c>
      <c r="I8368">
        <v>367.41</v>
      </c>
      <c r="J8368">
        <v>0.01</v>
      </c>
    </row>
    <row r="8369" spans="1:10" x14ac:dyDescent="0.3">
      <c r="A8369" t="str">
        <f>HYPERLINK("https://us2.cloudbeds.com/connect/10074733072513#/reservations/31681476300939?display=MHCC4WW52&amp;reservation_id=31681476300939", "MHCC4WW52")</f>
        <v>MHCC4WW52</v>
      </c>
      <c r="B8369" t="s">
        <v>10</v>
      </c>
      <c r="C8369" t="s">
        <v>42</v>
      </c>
      <c r="D8369" t="str">
        <f>HYPERLINK("https://us2.cloudbeds.com/connect/10074733072513#/reservations/31681476300939?display=Jessica%20Grause&amp;reservation_id=31681476300939&amp;guest_id=31681468199156", "Jessica Grause")</f>
        <v>Jessica Grause</v>
      </c>
      <c r="E8369" t="s">
        <v>6616</v>
      </c>
      <c r="F8369" t="s">
        <v>5537</v>
      </c>
      <c r="G8369">
        <v>129</v>
      </c>
      <c r="H8369">
        <v>140.22999999999999</v>
      </c>
      <c r="I8369">
        <v>140.22</v>
      </c>
      <c r="J8369">
        <v>0.01</v>
      </c>
    </row>
    <row r="8370" spans="1:10" x14ac:dyDescent="0.3">
      <c r="A8370" t="str">
        <f>HYPERLINK("https://us2.cloudbeds.com/connect/10074733072513#/reservations/31684496589025?display=MHENAPV3F&amp;reservation_id=31684496589025", "MHENAPV3F")</f>
        <v>MHENAPV3F</v>
      </c>
      <c r="B8370" t="s">
        <v>10</v>
      </c>
      <c r="C8370" t="s">
        <v>11</v>
      </c>
      <c r="D8370" t="str">
        <f>HYPERLINK("https://us2.cloudbeds.com/connect/10074733072513#/reservations/31684496589025?display=James%20Liston&amp;reservation_id=31684496589025&amp;guest_id=31684496589021", "James Liston")</f>
        <v>James Liston</v>
      </c>
      <c r="E8370" t="s">
        <v>6617</v>
      </c>
      <c r="F8370" t="s">
        <v>6618</v>
      </c>
      <c r="G8370">
        <v>524</v>
      </c>
      <c r="H8370">
        <v>569.6</v>
      </c>
      <c r="I8370">
        <v>569.59</v>
      </c>
      <c r="J8370">
        <v>0.01</v>
      </c>
    </row>
    <row r="8371" spans="1:10" x14ac:dyDescent="0.3">
      <c r="A8371" t="str">
        <f>HYPERLINK("https://us2.cloudbeds.com/connect/10074733072513#/reservations/31682459762838?display=MHD49989Q&amp;reservation_id=31682459762838", "MHD49989Q")</f>
        <v>MHD49989Q</v>
      </c>
      <c r="B8371" t="s">
        <v>10</v>
      </c>
      <c r="C8371" t="s">
        <v>17</v>
      </c>
      <c r="D8371" t="str">
        <f>HYPERLINK("https://us2.cloudbeds.com/connect/10074733072513#/reservations/31682459762838?display=Brady%20Van%20Dusen&amp;reservation_id=31682459762838&amp;guest_id=31682459762826", "Brady Van Dusen")</f>
        <v>Brady Van Dusen</v>
      </c>
      <c r="E8371" t="s">
        <v>6619</v>
      </c>
      <c r="F8371" t="s">
        <v>6368</v>
      </c>
      <c r="G8371">
        <v>169</v>
      </c>
      <c r="H8371">
        <v>183.71</v>
      </c>
      <c r="I8371">
        <v>183.7</v>
      </c>
      <c r="J8371">
        <v>0.01</v>
      </c>
    </row>
    <row r="8372" spans="1:10" x14ac:dyDescent="0.3">
      <c r="A8372" t="str">
        <f>HYPERLINK("https://us2.cloudbeds.com/connect/10074733072513#/reservations/31683532951794?display=MHDVN7AE8&amp;reservation_id=31683532951794", "MHDVN7AE8")</f>
        <v>MHDVN7AE8</v>
      </c>
      <c r="B8372" t="s">
        <v>10</v>
      </c>
      <c r="C8372" t="s">
        <v>20</v>
      </c>
      <c r="D8372" t="str">
        <f>HYPERLINK("https://us2.cloudbeds.com/connect/10074733072513#/reservations/31683532951794?display=Lesley%20Pierson&amp;reservation_id=31683532951794&amp;guest_id=31683532951789", "Lesley Pierson")</f>
        <v>Lesley Pierson</v>
      </c>
      <c r="E8372" t="s">
        <v>6620</v>
      </c>
      <c r="F8372" t="s">
        <v>6353</v>
      </c>
      <c r="G8372">
        <v>218</v>
      </c>
      <c r="H8372">
        <v>236.98</v>
      </c>
      <c r="I8372">
        <v>236.97</v>
      </c>
      <c r="J8372">
        <v>0.01</v>
      </c>
    </row>
    <row r="8373" spans="1:10" x14ac:dyDescent="0.3">
      <c r="A8373" t="str">
        <f>HYPERLINK("https://us2.cloudbeds.com/connect/10074733072513#/reservations/31679130427591?display=MHAX6TJFU&amp;reservation_id=31679130427591", "MHAX6TJFU")</f>
        <v>MHAX6TJFU</v>
      </c>
      <c r="B8373" t="s">
        <v>10</v>
      </c>
      <c r="C8373" t="s">
        <v>17</v>
      </c>
      <c r="D8373" t="str">
        <f>HYPERLINK("https://us2.cloudbeds.com/connect/10074733072513#/reservations/31679130427591?display=Lonnie%20Zelinske&amp;reservation_id=31679130427591&amp;guest_id=31679130427589", "Lonnie Zelinske")</f>
        <v>Lonnie Zelinske</v>
      </c>
      <c r="E8373" t="s">
        <v>6410</v>
      </c>
      <c r="F8373" t="s">
        <v>6601</v>
      </c>
      <c r="G8373">
        <v>298</v>
      </c>
      <c r="H8373">
        <v>323.94</v>
      </c>
      <c r="I8373">
        <v>323.93</v>
      </c>
      <c r="J8373">
        <v>0.01</v>
      </c>
    </row>
    <row r="8374" spans="1:10" x14ac:dyDescent="0.3">
      <c r="A8374" t="str">
        <f>HYPERLINK("https://us2.cloudbeds.com/connect/10074733072513#/reservations/31681712570584?display=MHCX67HB9&amp;reservation_id=31681712570584", "MHCX67HB9")</f>
        <v>MHCX67HB9</v>
      </c>
      <c r="B8374" t="s">
        <v>10</v>
      </c>
      <c r="C8374" t="s">
        <v>42</v>
      </c>
      <c r="D8374" t="str">
        <f>HYPERLINK("https://us2.cloudbeds.com/connect/10074733072513#/reservations/31681712570584?display=Katelyn%20Howick&amp;reservation_id=31681712570584&amp;guest_id=31681712570582", "Katelyn Howick")</f>
        <v>Katelyn Howick</v>
      </c>
      <c r="E8374" t="s">
        <v>6621</v>
      </c>
      <c r="F8374" t="s">
        <v>5537</v>
      </c>
      <c r="G8374">
        <v>129</v>
      </c>
      <c r="H8374">
        <v>140.22999999999999</v>
      </c>
      <c r="I8374">
        <v>140.22</v>
      </c>
      <c r="J8374">
        <v>0.01</v>
      </c>
    </row>
    <row r="8375" spans="1:10" x14ac:dyDescent="0.3">
      <c r="A8375" t="str">
        <f>HYPERLINK("https://us2.cloudbeds.com/connect/10074733072513#/reservations/31679021187242?display=MHAFDPQVA&amp;reservation_id=31679021187242", "MHAFDPQVA")</f>
        <v>MHAFDPQVA</v>
      </c>
      <c r="B8375" t="s">
        <v>10</v>
      </c>
      <c r="C8375" t="s">
        <v>20</v>
      </c>
      <c r="D8375" t="str">
        <f>HYPERLINK("https://us2.cloudbeds.com/connect/10074733072513#/reservations/31679021187242?display=Jaclyn%20Mcmillen&amp;reservation_id=31679021187242&amp;guest_id=31679021187226", "Jaclyn Mcmillen")</f>
        <v>Jaclyn Mcmillen</v>
      </c>
      <c r="E8375" t="s">
        <v>6622</v>
      </c>
      <c r="F8375" t="s">
        <v>6535</v>
      </c>
      <c r="G8375">
        <v>179</v>
      </c>
      <c r="H8375">
        <v>194.58</v>
      </c>
      <c r="I8375">
        <v>194.57</v>
      </c>
      <c r="J8375">
        <v>0.01</v>
      </c>
    </row>
    <row r="8376" spans="1:10" x14ac:dyDescent="0.3">
      <c r="A8376" t="str">
        <f>HYPERLINK("https://us2.cloudbeds.com/connect/10074733072513#/reservations/31679773069451?display=MHB1KQ1XM&amp;reservation_id=31679773069451", "MHB1KQ1XM")</f>
        <v>MHB1KQ1XM</v>
      </c>
      <c r="B8376" t="s">
        <v>10</v>
      </c>
      <c r="C8376" t="s">
        <v>14</v>
      </c>
      <c r="D8376" t="str">
        <f>HYPERLINK("https://us2.cloudbeds.com/connect/10074733072513#/reservations/31679773069451?display=Chris%20Blum&amp;reservation_id=31679773069451&amp;guest_id=31679773069448", "Chris Blum")</f>
        <v>Chris Blum</v>
      </c>
      <c r="E8376" t="s">
        <v>6625</v>
      </c>
      <c r="F8376" t="s">
        <v>5688</v>
      </c>
      <c r="G8376">
        <v>209</v>
      </c>
      <c r="H8376">
        <v>227.19</v>
      </c>
      <c r="I8376">
        <v>227.18</v>
      </c>
      <c r="J8376">
        <v>0.01</v>
      </c>
    </row>
    <row r="8377" spans="1:10" x14ac:dyDescent="0.3">
      <c r="A8377" t="str">
        <f>HYPERLINK("https://us2.cloudbeds.com/connect/10074733072513#/reservations/31680721637626?display=MHBPSYBNR&amp;reservation_id=31680721637626", "MHBPSYBNR")</f>
        <v>MHBPSYBNR</v>
      </c>
      <c r="B8377" t="s">
        <v>10</v>
      </c>
      <c r="C8377" t="s">
        <v>17</v>
      </c>
      <c r="D8377" t="str">
        <f>HYPERLINK("https://us2.cloudbeds.com/connect/10074733072513#/reservations/31680721637626?display=Joel%20Alberts&amp;reservation_id=31680721637626&amp;guest_id=31680721637623", "Joel Alberts")</f>
        <v>Joel Alberts</v>
      </c>
      <c r="E8377" t="s">
        <v>6626</v>
      </c>
      <c r="F8377" t="s">
        <v>6535</v>
      </c>
      <c r="G8377">
        <v>149</v>
      </c>
      <c r="H8377">
        <v>161.97</v>
      </c>
      <c r="I8377">
        <v>161.96</v>
      </c>
      <c r="J8377">
        <v>0.01</v>
      </c>
    </row>
    <row r="8378" spans="1:10" x14ac:dyDescent="0.3">
      <c r="A8378" t="str">
        <f>HYPERLINK("https://us2.cloudbeds.com/connect/10074733072513#/reservations/31679920939234?display=MHB5DFZG6&amp;reservation_id=31679920939234", "MHB5DFZG6")</f>
        <v>MHB5DFZG6</v>
      </c>
      <c r="B8378" t="s">
        <v>10</v>
      </c>
      <c r="C8378" t="s">
        <v>20</v>
      </c>
      <c r="D8378" t="str">
        <f>HYPERLINK("https://us2.cloudbeds.com/connect/10074733072513#/reservations/31679920939234?display=Brittney%20Parker&amp;reservation_id=31679920939234&amp;guest_id=31679911051404", "Brittney Parker")</f>
        <v>Brittney Parker</v>
      </c>
      <c r="E8378" t="s">
        <v>6631</v>
      </c>
      <c r="F8378" t="s">
        <v>5556</v>
      </c>
      <c r="G8378">
        <v>149</v>
      </c>
      <c r="H8378">
        <v>161.97</v>
      </c>
      <c r="I8378">
        <v>161.96</v>
      </c>
      <c r="J8378">
        <v>0.01</v>
      </c>
    </row>
    <row r="8379" spans="1:10" x14ac:dyDescent="0.3">
      <c r="A8379" t="str">
        <f>HYPERLINK("https://us2.cloudbeds.com/connect/10074733072513#/reservations/31679042756790?display=MHAFVW0MW&amp;reservation_id=31679042756790", "MHAFVW0MW")</f>
        <v>MHAFVW0MW</v>
      </c>
      <c r="B8379" t="s">
        <v>10</v>
      </c>
      <c r="C8379" t="s">
        <v>23</v>
      </c>
      <c r="D8379" t="str">
        <f>HYPERLINK("https://us2.cloudbeds.com/connect/10074733072513#/reservations/31679042756790?display=Keith%20Frink&amp;reservation_id=31679042756790&amp;guest_id=31674179440851", "Keith Frink")</f>
        <v>Keith Frink</v>
      </c>
      <c r="E8379" t="s">
        <v>5052</v>
      </c>
      <c r="F8379" t="s">
        <v>6535</v>
      </c>
      <c r="G8379">
        <v>169</v>
      </c>
      <c r="H8379">
        <v>183.71</v>
      </c>
      <c r="I8379">
        <v>183.7</v>
      </c>
      <c r="J8379">
        <v>0.01</v>
      </c>
    </row>
    <row r="8380" spans="1:10" x14ac:dyDescent="0.3">
      <c r="A8380" t="str">
        <f>HYPERLINK("https://us2.cloudbeds.com/connect/10074733072513#/reservations/31680172523676?display=MHBBRKES5&amp;reservation_id=31680172523676", "MHBBRKES5")</f>
        <v>MHBBRKES5</v>
      </c>
      <c r="B8380" t="s">
        <v>10</v>
      </c>
      <c r="C8380" t="s">
        <v>17</v>
      </c>
      <c r="D8380" t="str">
        <f>HYPERLINK("https://us2.cloudbeds.com/connect/10074733072513#/reservations/31680172523676?display=Wayne%20Semerad&amp;reservation_id=31680172523676&amp;guest_id=31680172523672", "Wayne Semerad")</f>
        <v>Wayne Semerad</v>
      </c>
      <c r="E8380" t="s">
        <v>6636</v>
      </c>
      <c r="F8380" t="s">
        <v>5556</v>
      </c>
      <c r="G8380">
        <v>298</v>
      </c>
      <c r="H8380">
        <v>323.94</v>
      </c>
      <c r="I8380">
        <v>323.93</v>
      </c>
      <c r="J8380">
        <v>0.01</v>
      </c>
    </row>
    <row r="8381" spans="1:10" x14ac:dyDescent="0.3">
      <c r="A8381" t="str">
        <f>HYPERLINK("https://us2.cloudbeds.com/connect/10074733072513#/reservations/31680179962107?display=MHBC0TEC5&amp;reservation_id=31680179962107", "MHBC0TEC5")</f>
        <v>MHBC0TEC5</v>
      </c>
      <c r="B8381" t="s">
        <v>10</v>
      </c>
      <c r="C8381" t="s">
        <v>17</v>
      </c>
      <c r="D8381" t="str">
        <f>HYPERLINK("https://us2.cloudbeds.com/connect/10074733072513#/reservations/31680179962107?display=Trent%20Herman&amp;reservation_id=31680179962107&amp;guest_id=31680179962105", "Trent Herman")</f>
        <v>Trent Herman</v>
      </c>
      <c r="E8381" t="s">
        <v>6636</v>
      </c>
      <c r="F8381" t="s">
        <v>5556</v>
      </c>
      <c r="G8381">
        <v>298</v>
      </c>
      <c r="H8381">
        <v>323.94</v>
      </c>
      <c r="I8381">
        <v>323.93</v>
      </c>
      <c r="J8381">
        <v>0.01</v>
      </c>
    </row>
    <row r="8382" spans="1:10" x14ac:dyDescent="0.3">
      <c r="A8382" t="str">
        <f>HYPERLINK("https://us2.cloudbeds.com/connect/10074733072513#/reservations/31683847241932?display=MHE6Z7TPR&amp;reservation_id=31683847241932", "MHE6Z7TPR")</f>
        <v>MHE6Z7TPR</v>
      </c>
      <c r="B8382" t="s">
        <v>10</v>
      </c>
      <c r="C8382" t="s">
        <v>14</v>
      </c>
      <c r="D8382" t="str">
        <f>HYPERLINK("https://us2.cloudbeds.com/connect/10074733072513#/reservations/31683847241932?display=Matt%20Goodermont&amp;reservation_id=31683847241932&amp;guest_id=31683847241928", "Matt Goodermont")</f>
        <v>Matt Goodermont</v>
      </c>
      <c r="E8382" t="s">
        <v>6637</v>
      </c>
      <c r="F8382" t="s">
        <v>6638</v>
      </c>
      <c r="G8382">
        <v>229</v>
      </c>
      <c r="H8382">
        <v>248.93</v>
      </c>
      <c r="I8382">
        <v>248.92</v>
      </c>
      <c r="J8382">
        <v>0.01</v>
      </c>
    </row>
    <row r="8383" spans="1:10" x14ac:dyDescent="0.3">
      <c r="A8383" t="str">
        <f>HYPERLINK("https://us2.cloudbeds.com/connect/10074733072513#/reservations/31680702910710?display=MHBPCS89H&amp;reservation_id=31680702910710", "MHBPCS89H")</f>
        <v>MHBPCS89H</v>
      </c>
      <c r="B8383" t="s">
        <v>10</v>
      </c>
      <c r="C8383" t="s">
        <v>20</v>
      </c>
      <c r="D8383" t="str">
        <f>HYPERLINK("https://us2.cloudbeds.com/connect/10074733072513#/reservations/31680702910710?display=Cody%20Wheatley&amp;reservation_id=31680702910710&amp;guest_id=31680702910708", "Cody Wheatley")</f>
        <v>Cody Wheatley</v>
      </c>
      <c r="E8383" t="s">
        <v>6640</v>
      </c>
      <c r="F8383" t="s">
        <v>6473</v>
      </c>
      <c r="G8383">
        <v>149</v>
      </c>
      <c r="H8383">
        <v>161.97</v>
      </c>
      <c r="I8383">
        <v>161.96</v>
      </c>
      <c r="J8383">
        <v>0.01</v>
      </c>
    </row>
    <row r="8384" spans="1:10" x14ac:dyDescent="0.3">
      <c r="A8384" t="str">
        <f>HYPERLINK("https://us2.cloudbeds.com/connect/10074733072513#/reservations/31680733712524?display=MHBQ5RBPR&amp;reservation_id=31680733712524", "MHBQ5RBPR")</f>
        <v>MHBQ5RBPR</v>
      </c>
      <c r="B8384" t="s">
        <v>10</v>
      </c>
      <c r="C8384" t="s">
        <v>42</v>
      </c>
      <c r="D8384" t="str">
        <f>HYPERLINK("https://us2.cloudbeds.com/connect/10074733072513#/reservations/31680733712524?display=Josh%20Byers&amp;reservation_id=31680733712524&amp;guest_id=31680733708433", "Josh Byers")</f>
        <v>Josh Byers</v>
      </c>
      <c r="E8384" t="s">
        <v>6642</v>
      </c>
      <c r="F8384" t="s">
        <v>6535</v>
      </c>
      <c r="G8384">
        <v>149</v>
      </c>
      <c r="H8384">
        <v>161.97</v>
      </c>
      <c r="I8384">
        <v>161.96</v>
      </c>
      <c r="J8384">
        <v>0.01</v>
      </c>
    </row>
    <row r="8385" spans="1:10" x14ac:dyDescent="0.3">
      <c r="A8385" t="str">
        <f>HYPERLINK("https://us2.cloudbeds.com/connect/10074733072513#/reservations/31683451633841?display=MHDTKYH9S&amp;reservation_id=31683451633841", "MHDTKYH9S")</f>
        <v>MHDTKYH9S</v>
      </c>
      <c r="B8385" t="s">
        <v>10</v>
      </c>
      <c r="C8385" t="s">
        <v>42</v>
      </c>
      <c r="D8385" t="str">
        <f>HYPERLINK("https://us2.cloudbeds.com/connect/10074733072513#/reservations/31683451633841?display=Cory%20Glick&amp;reservation_id=31683451633841&amp;guest_id=31672877940869", "Cory Glick")</f>
        <v>Cory Glick</v>
      </c>
      <c r="E8385" t="s">
        <v>5004</v>
      </c>
      <c r="F8385" t="s">
        <v>5140</v>
      </c>
      <c r="G8385">
        <v>158</v>
      </c>
      <c r="H8385">
        <v>171.76</v>
      </c>
      <c r="I8385">
        <v>171.75</v>
      </c>
      <c r="J8385">
        <v>0.01</v>
      </c>
    </row>
    <row r="8386" spans="1:10" x14ac:dyDescent="0.3">
      <c r="A8386" t="str">
        <f>HYPERLINK("https://us2.cloudbeds.com/connect/10074733072513#/reservations/31679720411297?display=MHB09CZW1&amp;reservation_id=31679720411297", "MHB09CZW1")</f>
        <v>MHB09CZW1</v>
      </c>
      <c r="B8386" t="s">
        <v>10</v>
      </c>
      <c r="C8386" t="s">
        <v>42</v>
      </c>
      <c r="D8386" t="str">
        <f>HYPERLINK("https://us2.cloudbeds.com/connect/10074733072513#/reservations/31679720411297?display=Shane%20Egge&amp;reservation_id=31679720411297&amp;guest_id=31678314627207", "Shane Egge")</f>
        <v>Shane Egge</v>
      </c>
      <c r="E8386" t="s">
        <v>6362</v>
      </c>
      <c r="F8386" t="s">
        <v>5546</v>
      </c>
      <c r="G8386">
        <v>282</v>
      </c>
      <c r="H8386">
        <v>306.54000000000002</v>
      </c>
      <c r="I8386">
        <v>306.52999999999997</v>
      </c>
      <c r="J8386">
        <v>0.01</v>
      </c>
    </row>
    <row r="8387" spans="1:10" x14ac:dyDescent="0.3">
      <c r="A8387" t="str">
        <f>HYPERLINK("https://us2.cloudbeds.com/connect/10074733072513#/reservations/31680758984851?display=MHBQR4JMU&amp;reservation_id=31680758984851", "MHBQR4JMU")</f>
        <v>MHBQR4JMU</v>
      </c>
      <c r="B8387" t="s">
        <v>10</v>
      </c>
      <c r="C8387" t="s">
        <v>42</v>
      </c>
      <c r="D8387" t="str">
        <f>HYPERLINK("https://us2.cloudbeds.com/connect/10074733072513#/reservations/31680758984851?display=Jonathan%20Sanz&amp;reservation_id=31680758984851&amp;guest_id=31680752443579", "Jonathan Sanz")</f>
        <v>Jonathan Sanz</v>
      </c>
      <c r="E8387" t="s">
        <v>6643</v>
      </c>
      <c r="F8387" t="s">
        <v>6535</v>
      </c>
      <c r="G8387">
        <v>149</v>
      </c>
      <c r="H8387">
        <v>161.97</v>
      </c>
      <c r="I8387">
        <v>161.96</v>
      </c>
      <c r="J8387">
        <v>0.01</v>
      </c>
    </row>
    <row r="8388" spans="1:10" x14ac:dyDescent="0.3">
      <c r="A8388" t="str">
        <f>HYPERLINK("https://us2.cloudbeds.com/connect/10074733072513#/reservations/31680768491752?display=MHBR254KR&amp;reservation_id=31680768491752", "MHBR254KR")</f>
        <v>MHBR254KR</v>
      </c>
      <c r="B8388" t="s">
        <v>10</v>
      </c>
      <c r="C8388" t="s">
        <v>42</v>
      </c>
      <c r="D8388" t="str">
        <f>HYPERLINK("https://us2.cloudbeds.com/connect/10074733072513#/reservations/31680768491752?display=Cody%20Wheatley&amp;reservation_id=31680768491752&amp;guest_id=31680758988944", "Cody Wheatley")</f>
        <v>Cody Wheatley</v>
      </c>
      <c r="E8388" t="s">
        <v>6644</v>
      </c>
      <c r="F8388" t="s">
        <v>6535</v>
      </c>
      <c r="G8388">
        <v>149</v>
      </c>
      <c r="H8388">
        <v>161.97</v>
      </c>
      <c r="I8388">
        <v>161.96</v>
      </c>
      <c r="J8388">
        <v>0.01</v>
      </c>
    </row>
    <row r="8389" spans="1:10" x14ac:dyDescent="0.3">
      <c r="A8389" t="str">
        <f>HYPERLINK("https://us2.cloudbeds.com/connect/10074733072513#/reservations/31679062249671?display=MHAGFDEGB&amp;reservation_id=31679062249671", "MHAGFDEGB")</f>
        <v>MHAGFDEGB</v>
      </c>
      <c r="B8389" t="s">
        <v>10</v>
      </c>
      <c r="C8389" t="s">
        <v>14</v>
      </c>
      <c r="D8389" t="str">
        <f>HYPERLINK("https://us2.cloudbeds.com/connect/10074733072513#/reservations/31679062249671?display=Chris%20Carpenter&amp;reservation_id=31679062249671&amp;guest_id=31679062249665", "Chris Carpenter")</f>
        <v>Chris Carpenter</v>
      </c>
      <c r="E8389" t="s">
        <v>6647</v>
      </c>
      <c r="F8389" t="s">
        <v>6535</v>
      </c>
      <c r="G8389">
        <v>106.8</v>
      </c>
      <c r="H8389">
        <v>116.1</v>
      </c>
      <c r="I8389">
        <v>116.09</v>
      </c>
      <c r="J8389">
        <v>0.01</v>
      </c>
    </row>
    <row r="8390" spans="1:10" x14ac:dyDescent="0.3">
      <c r="A8390" t="str">
        <f>HYPERLINK("https://us2.cloudbeds.com/connect/10074733072513#/reservations/31679062253765?display=MHAGFDX8D&amp;reservation_id=31679062253765", "MHAGFDX8D")</f>
        <v>MHAGFDX8D</v>
      </c>
      <c r="B8390" t="s">
        <v>10</v>
      </c>
      <c r="C8390" t="s">
        <v>42</v>
      </c>
      <c r="D8390" t="str">
        <f>HYPERLINK("https://us2.cloudbeds.com/connect/10074733072513#/reservations/31679062253765?display=Jennifer%20Boomsma-Kelsey&amp;reservation_id=31679062253765&amp;guest_id=31679062253762", "Jennifer Boomsma-Kelsey")</f>
        <v>Jennifer Boomsma-Kelsey</v>
      </c>
      <c r="E8390" t="s">
        <v>6648</v>
      </c>
      <c r="F8390" t="s">
        <v>6535</v>
      </c>
      <c r="G8390">
        <v>169</v>
      </c>
      <c r="H8390">
        <v>183.71</v>
      </c>
      <c r="I8390">
        <v>183.7</v>
      </c>
      <c r="J8390">
        <v>0.01</v>
      </c>
    </row>
    <row r="8391" spans="1:10" x14ac:dyDescent="0.3">
      <c r="A8391" t="str">
        <f>HYPERLINK("https://us2.cloudbeds.com/connect/10074733072513#/reservations/31679073697943?display=MHAGP204M&amp;reservation_id=31679073697943", "MHAGP204M")</f>
        <v>MHAGP204M</v>
      </c>
      <c r="B8391" t="s">
        <v>10</v>
      </c>
      <c r="C8391" t="s">
        <v>20</v>
      </c>
      <c r="D8391" t="str">
        <f>HYPERLINK("https://us2.cloudbeds.com/connect/10074733072513#/reservations/31679073697943?display=Mark%20Dulaney&amp;reservation_id=31679073697943&amp;guest_id=31679073697930", "Mark Dulaney")</f>
        <v>Mark Dulaney</v>
      </c>
      <c r="E8391" t="s">
        <v>6649</v>
      </c>
      <c r="F8391" t="s">
        <v>6535</v>
      </c>
      <c r="G8391">
        <v>149</v>
      </c>
      <c r="H8391">
        <v>161.97</v>
      </c>
      <c r="I8391">
        <v>161.96</v>
      </c>
      <c r="J8391">
        <v>0.01</v>
      </c>
    </row>
    <row r="8392" spans="1:10" x14ac:dyDescent="0.3">
      <c r="A8392" t="str">
        <f>HYPERLINK("https://us2.cloudbeds.com/connect/10074733072513#/reservations/31680818766071?display=MHBSBX371&amp;reservation_id=31680818766071", "MHBSBX371")</f>
        <v>MHBSBX371</v>
      </c>
      <c r="B8392" t="s">
        <v>10</v>
      </c>
      <c r="C8392" t="s">
        <v>20</v>
      </c>
      <c r="D8392" t="str">
        <f>HYPERLINK("https://us2.cloudbeds.com/connect/10074733072513#/reservations/31680818766071?display=Josh%20Janousek&amp;reservation_id=31680818766071&amp;guest_id=31680818766060", "Josh Janousek")</f>
        <v>Josh Janousek</v>
      </c>
      <c r="E8392" t="s">
        <v>6651</v>
      </c>
      <c r="F8392" t="s">
        <v>6601</v>
      </c>
      <c r="G8392">
        <v>149</v>
      </c>
      <c r="H8392">
        <v>161.97</v>
      </c>
      <c r="I8392">
        <v>161.96</v>
      </c>
      <c r="J8392">
        <v>0.01</v>
      </c>
    </row>
    <row r="8393" spans="1:10" x14ac:dyDescent="0.3">
      <c r="A8393" t="str">
        <f>HYPERLINK("https://us2.cloudbeds.com/connect/10074733072513#/reservations/31679111028952?display=MHAHNHQ7C&amp;reservation_id=31679111028952", "MHAHNHQ7C")</f>
        <v>MHAHNHQ7C</v>
      </c>
      <c r="B8393" t="s">
        <v>10</v>
      </c>
      <c r="C8393" t="s">
        <v>14</v>
      </c>
      <c r="D8393" t="str">
        <f>HYPERLINK("https://us2.cloudbeds.com/connect/10074733072513#/reservations/31679111028952?display=Kendra%20Gonzalez&amp;reservation_id=31679111028952&amp;guest_id=31679111028944", "Kendra Gonzalez")</f>
        <v>Kendra Gonzalez</v>
      </c>
      <c r="E8393" t="s">
        <v>6652</v>
      </c>
      <c r="F8393" t="s">
        <v>6535</v>
      </c>
      <c r="G8393">
        <v>106.8</v>
      </c>
      <c r="H8393">
        <v>116.1</v>
      </c>
      <c r="I8393">
        <v>116.09</v>
      </c>
      <c r="J8393">
        <v>0.01</v>
      </c>
    </row>
    <row r="8394" spans="1:10" x14ac:dyDescent="0.3">
      <c r="A8394" t="str">
        <f>HYPERLINK("https://us2.cloudbeds.com/connect/10074733072513#/reservations/31682475901077?display=MHD4MTAKB&amp;reservation_id=31682475901077", "MHD4MTAKB")</f>
        <v>MHD4MTAKB</v>
      </c>
      <c r="B8394" t="s">
        <v>10</v>
      </c>
      <c r="C8394" t="s">
        <v>20</v>
      </c>
      <c r="D8394" t="str">
        <f>HYPERLINK("https://us2.cloudbeds.com/connect/10074733072513#/reservations/31682475901077?display=Jarid%20Leto&amp;reservation_id=31682475901077&amp;guest_id=31682475896966", "Jarid Leto")</f>
        <v>Jarid Leto</v>
      </c>
      <c r="E8394" t="s">
        <v>6654</v>
      </c>
      <c r="F8394" t="s">
        <v>6368</v>
      </c>
      <c r="G8394">
        <v>149</v>
      </c>
      <c r="H8394">
        <v>161.97</v>
      </c>
      <c r="I8394">
        <v>161.96</v>
      </c>
      <c r="J8394">
        <v>0.01</v>
      </c>
    </row>
    <row r="8395" spans="1:10" x14ac:dyDescent="0.3">
      <c r="A8395" t="str">
        <f>HYPERLINK("https://us2.cloudbeds.com/connect/10074733072513#/reservations/31682467004655?display=MHD4FCP8Q&amp;reservation_id=31682467004655", "MHD4FCP8Q")</f>
        <v>MHD4FCP8Q</v>
      </c>
      <c r="B8395" t="s">
        <v>10</v>
      </c>
      <c r="C8395" t="s">
        <v>20</v>
      </c>
      <c r="D8395" t="str">
        <f>HYPERLINK("https://us2.cloudbeds.com/connect/10074733072513#/reservations/31682467004655?display=Caleb%20Bangs&amp;reservation_id=31682467004655&amp;guest_id=31682467004653", "Caleb Bangs")</f>
        <v>Caleb Bangs</v>
      </c>
      <c r="E8395" t="s">
        <v>6654</v>
      </c>
      <c r="F8395" t="s">
        <v>6368</v>
      </c>
      <c r="G8395">
        <v>149</v>
      </c>
      <c r="H8395">
        <v>161.97</v>
      </c>
      <c r="I8395">
        <v>161.96</v>
      </c>
      <c r="J8395">
        <v>0.01</v>
      </c>
    </row>
    <row r="8396" spans="1:10" x14ac:dyDescent="0.3">
      <c r="A8396" t="str">
        <f>HYPERLINK("https://us2.cloudbeds.com/connect/10074733072513#/reservations/31685808881817?display=MHFNSBDWN&amp;reservation_id=31685808881817", "MHFNSBDWN")</f>
        <v>MHFNSBDWN</v>
      </c>
      <c r="B8396" t="s">
        <v>10</v>
      </c>
      <c r="C8396" t="s">
        <v>42</v>
      </c>
      <c r="D8396" t="str">
        <f>HYPERLINK("https://us2.cloudbeds.com/connect/10074733072513#/reservations/31685808881817?display=Russ%20Uttecht&amp;reservation_id=31685808881817&amp;guest_id=31685808877736", "Russ Uttecht")</f>
        <v>Russ Uttecht</v>
      </c>
      <c r="E8396" t="s">
        <v>6658</v>
      </c>
      <c r="F8396" t="s">
        <v>4974</v>
      </c>
      <c r="G8396">
        <v>169</v>
      </c>
      <c r="H8396">
        <v>183.71</v>
      </c>
      <c r="I8396">
        <v>183.7</v>
      </c>
      <c r="J8396">
        <v>0.01</v>
      </c>
    </row>
    <row r="8397" spans="1:10" x14ac:dyDescent="0.3">
      <c r="A8397" t="str">
        <f>HYPERLINK("https://us2.cloudbeds.com/connect/10074733072513#/reservations/31682674159784?display=MHD9P25BV&amp;reservation_id=31682674159784", "MHD9P25BV")</f>
        <v>MHD9P25BV</v>
      </c>
      <c r="B8397" t="s">
        <v>10</v>
      </c>
      <c r="C8397" t="s">
        <v>42</v>
      </c>
      <c r="D8397" t="str">
        <f>HYPERLINK("https://us2.cloudbeds.com/connect/10074733072513#/reservations/31682674159784?display=Rebecca%20Knighton&amp;reservation_id=31682674159784&amp;guest_id=31682674159780", "Rebecca Knighton")</f>
        <v>Rebecca Knighton</v>
      </c>
      <c r="E8397" t="s">
        <v>6659</v>
      </c>
      <c r="F8397" t="s">
        <v>4868</v>
      </c>
      <c r="G8397">
        <v>139</v>
      </c>
      <c r="H8397">
        <v>151.1</v>
      </c>
      <c r="I8397">
        <v>151.09</v>
      </c>
      <c r="J8397">
        <v>0.01</v>
      </c>
    </row>
    <row r="8398" spans="1:10" x14ac:dyDescent="0.3">
      <c r="A8398" t="str">
        <f>HYPERLINK("https://us2.cloudbeds.com/connect/10074733072513#/reservations/31689010110608?display=MHX6YNB0P&amp;reservation_id=31689010110608", "MHX6YNB0P")</f>
        <v>MHX6YNB0P</v>
      </c>
      <c r="B8398" t="s">
        <v>10</v>
      </c>
      <c r="C8398" t="s">
        <v>23</v>
      </c>
      <c r="D8398" t="str">
        <f>HYPERLINK("https://us2.cloudbeds.com/connect/10074733072513#/reservations/31689010110608?display=Leonard%20Pagano&amp;reservation_id=31689010110608&amp;guest_id=31689002397945", "Leonard Pagano")</f>
        <v>Leonard Pagano</v>
      </c>
      <c r="E8398" t="s">
        <v>6660</v>
      </c>
      <c r="F8398" t="s">
        <v>3785</v>
      </c>
      <c r="G8398">
        <v>219</v>
      </c>
      <c r="H8398">
        <v>238.06</v>
      </c>
      <c r="I8398">
        <v>238.05</v>
      </c>
      <c r="J8398">
        <v>0.01</v>
      </c>
    </row>
    <row r="8399" spans="1:10" x14ac:dyDescent="0.3">
      <c r="A8399" t="str">
        <f>HYPERLINK("https://us2.cloudbeds.com/connect/10074733072513#/reservations/31680827039947?display=MHBSXHATX&amp;reservation_id=31680827039947", "MHBSXHATX")</f>
        <v>MHBSXHATX</v>
      </c>
      <c r="B8399" t="s">
        <v>10</v>
      </c>
      <c r="C8399" t="s">
        <v>121</v>
      </c>
      <c r="D8399" t="str">
        <f>HYPERLINK("https://us2.cloudbeds.com/connect/10074733072513#/reservations/31680827039947?display=Cody%20Wheatley&amp;reservation_id=31680827039947&amp;guest_id=31680758988944", "Cody Wheatley")</f>
        <v>Cody Wheatley</v>
      </c>
      <c r="E8399" t="s">
        <v>6644</v>
      </c>
      <c r="F8399" t="s">
        <v>6601</v>
      </c>
      <c r="G8399">
        <v>149</v>
      </c>
      <c r="H8399">
        <v>161.97</v>
      </c>
      <c r="I8399">
        <v>161.96</v>
      </c>
      <c r="J8399">
        <v>0.01</v>
      </c>
    </row>
    <row r="8400" spans="1:10" x14ac:dyDescent="0.3">
      <c r="A8400" t="str">
        <f>HYPERLINK("https://us2.cloudbeds.com/connect/10074733072513#/reservations/31680834162849?display=MHBSZHHM2&amp;reservation_id=31680834162849", "MHBSZHHM2")</f>
        <v>MHBSZHHM2</v>
      </c>
      <c r="B8400" t="s">
        <v>10</v>
      </c>
      <c r="C8400" t="s">
        <v>23</v>
      </c>
      <c r="D8400" t="str">
        <f>HYPERLINK("https://us2.cloudbeds.com/connect/10074733072513#/reservations/31680834162849?display=Travis%20Butler&amp;reservation_id=31680834162849&amp;guest_id=31680827039945", "Travis Butler")</f>
        <v>Travis Butler</v>
      </c>
      <c r="E8400" t="s">
        <v>6661</v>
      </c>
      <c r="F8400" t="s">
        <v>5781</v>
      </c>
      <c r="G8400">
        <v>398</v>
      </c>
      <c r="H8400">
        <v>432.64</v>
      </c>
      <c r="I8400">
        <v>432.63</v>
      </c>
      <c r="J8400">
        <v>0.01</v>
      </c>
    </row>
    <row r="8401" spans="1:10" x14ac:dyDescent="0.3">
      <c r="A8401" t="str">
        <f>HYPERLINK("https://us2.cloudbeds.com/connect/10074733072513#/reservations/31679232548995?display=MHAKR08SU&amp;reservation_id=31679232548995", "MHAKR08SU")</f>
        <v>MHAKR08SU</v>
      </c>
      <c r="B8401" t="s">
        <v>10</v>
      </c>
      <c r="C8401" t="s">
        <v>42</v>
      </c>
      <c r="D8401" t="str">
        <f>HYPERLINK("https://us2.cloudbeds.com/connect/10074733072513#/reservations/31679232548995?display=Guenthner%20Jeff&amp;reservation_id=31679232548995&amp;guest_id=31679232544958", "Guenthner Jeff")</f>
        <v>Guenthner Jeff</v>
      </c>
      <c r="E8401" t="s">
        <v>6662</v>
      </c>
      <c r="F8401" t="s">
        <v>6449</v>
      </c>
      <c r="G8401">
        <v>298</v>
      </c>
      <c r="H8401">
        <v>323.94</v>
      </c>
      <c r="I8401">
        <v>323.93</v>
      </c>
      <c r="J8401">
        <v>0.01</v>
      </c>
    </row>
    <row r="8402" spans="1:10" x14ac:dyDescent="0.3">
      <c r="A8402" t="str">
        <f>HYPERLINK("https://us2.cloudbeds.com/connect/10074733072513#/reservations/31681168683140?display=MHC49K1RJ&amp;reservation_id=31681168683140", "MHC49K1RJ")</f>
        <v>MHC49K1RJ</v>
      </c>
      <c r="B8402" t="s">
        <v>10</v>
      </c>
      <c r="C8402" t="s">
        <v>23</v>
      </c>
      <c r="D8402" t="str">
        <f>HYPERLINK("https://us2.cloudbeds.com/connect/10074733072513#/reservations/31681168683140?display=Kristen%20Lee&amp;reservation_id=31681168683140&amp;guest_id=31681168679044", "Kristen Lee")</f>
        <v>Kristen Lee</v>
      </c>
      <c r="E8402" t="s">
        <v>6663</v>
      </c>
      <c r="F8402" t="s">
        <v>4974</v>
      </c>
      <c r="G8402">
        <v>438</v>
      </c>
      <c r="H8402">
        <v>476.12</v>
      </c>
      <c r="I8402">
        <v>476.11</v>
      </c>
      <c r="J8402">
        <v>0.01</v>
      </c>
    </row>
    <row r="8403" spans="1:10" x14ac:dyDescent="0.3">
      <c r="A8403" t="str">
        <f>HYPERLINK("https://us2.cloudbeds.com/connect/10074733072513#/reservations/31680854327536?display=MHBT8HYC6&amp;reservation_id=31680854327536", "MHBT8HYC6")</f>
        <v>MHBT8HYC6</v>
      </c>
      <c r="B8403" t="s">
        <v>10</v>
      </c>
      <c r="C8403" t="s">
        <v>17</v>
      </c>
      <c r="D8403" t="str">
        <f>HYPERLINK("https://us2.cloudbeds.com/connect/10074733072513#/reservations/31680854327536?display=Travis%20Hoversten&amp;reservation_id=31680854327536&amp;guest_id=31680844939478", "Travis Hoversten")</f>
        <v>Travis Hoversten</v>
      </c>
      <c r="E8403" t="s">
        <v>6666</v>
      </c>
      <c r="F8403" t="s">
        <v>6601</v>
      </c>
      <c r="G8403">
        <v>159</v>
      </c>
      <c r="H8403">
        <v>172.84</v>
      </c>
      <c r="I8403">
        <v>172.83</v>
      </c>
      <c r="J8403">
        <v>0.01</v>
      </c>
    </row>
    <row r="8404" spans="1:10" x14ac:dyDescent="0.3">
      <c r="A8404" t="str">
        <f>HYPERLINK("https://us2.cloudbeds.com/connect/10074733072513#/reservations/31680859263173?display=MHBTCMWKV&amp;reservation_id=31680859263173", "MHBTCMWKV")</f>
        <v>MHBTCMWKV</v>
      </c>
      <c r="B8404" t="s">
        <v>10</v>
      </c>
      <c r="C8404" t="s">
        <v>17</v>
      </c>
      <c r="D8404" t="str">
        <f>HYPERLINK("https://us2.cloudbeds.com/connect/10074733072513#/reservations/31680859263173?display=Ryan%20Albeck&amp;reservation_id=31680859263173&amp;guest_id=31680859259126", "Ryan Albeck")</f>
        <v>Ryan Albeck</v>
      </c>
      <c r="E8404" t="s">
        <v>6667</v>
      </c>
      <c r="F8404" t="s">
        <v>6601</v>
      </c>
      <c r="G8404">
        <v>159</v>
      </c>
      <c r="H8404">
        <v>172.84</v>
      </c>
      <c r="I8404">
        <v>172.83</v>
      </c>
      <c r="J8404">
        <v>0.01</v>
      </c>
    </row>
    <row r="8405" spans="1:10" x14ac:dyDescent="0.3">
      <c r="A8405" t="str">
        <f>HYPERLINK("https://us2.cloudbeds.com/connect/10074733072513#/reservations/31680897929372?display=MHBUC9UPV&amp;reservation_id=31680897929372", "MHBUC9UPV")</f>
        <v>MHBUC9UPV</v>
      </c>
      <c r="B8405" t="s">
        <v>10</v>
      </c>
      <c r="C8405" t="s">
        <v>17</v>
      </c>
      <c r="D8405" t="str">
        <f>HYPERLINK("https://us2.cloudbeds.com/connect/10074733072513#/reservations/31680897929372?display=Brittany%20Bosshardt&amp;reservation_id=31680897929372&amp;guest_id=31680897929360", "Brittany Bosshardt")</f>
        <v>Brittany Bosshardt</v>
      </c>
      <c r="E8405" t="s">
        <v>6668</v>
      </c>
      <c r="F8405" t="s">
        <v>5781</v>
      </c>
      <c r="G8405">
        <v>229</v>
      </c>
      <c r="H8405">
        <v>248.93</v>
      </c>
      <c r="I8405">
        <v>248.92</v>
      </c>
      <c r="J8405">
        <v>0.01</v>
      </c>
    </row>
    <row r="8406" spans="1:10" x14ac:dyDescent="0.3">
      <c r="A8406" t="str">
        <f>HYPERLINK("https://us2.cloudbeds.com/connect/10074733072513#/reservations/31680929448124?display=MHBV5SWKY&amp;reservation_id=31680929448124", "MHBV5SWKY")</f>
        <v>MHBV5SWKY</v>
      </c>
      <c r="B8406" t="s">
        <v>10</v>
      </c>
      <c r="C8406" t="s">
        <v>121</v>
      </c>
      <c r="D8406" t="str">
        <f>HYPERLINK("https://us2.cloudbeds.com/connect/10074733072513#/reservations/31680929448124?display=Carolyn%20Muthoni%20Muirari&amp;reservation_id=31680929448124&amp;guest_id=31680929448065", "Carolyn Muthoni Muirari")</f>
        <v>Carolyn Muthoni Muirari</v>
      </c>
      <c r="E8406" t="s">
        <v>6670</v>
      </c>
      <c r="F8406" t="s">
        <v>6601</v>
      </c>
      <c r="G8406">
        <v>159</v>
      </c>
      <c r="H8406">
        <v>172.84</v>
      </c>
      <c r="I8406">
        <v>172.83</v>
      </c>
      <c r="J8406">
        <v>0.01</v>
      </c>
    </row>
    <row r="8407" spans="1:10" x14ac:dyDescent="0.3">
      <c r="A8407" t="str">
        <f>HYPERLINK("https://us2.cloudbeds.com/connect/10074733072513#/reservations/31680805462177?display=MHBS0ATJZ&amp;reservation_id=31680805462177", "MHBS0ATJZ")</f>
        <v>MHBS0ATJZ</v>
      </c>
      <c r="B8407" t="s">
        <v>10</v>
      </c>
      <c r="C8407" t="s">
        <v>11</v>
      </c>
      <c r="D8407" t="str">
        <f>HYPERLINK("https://us2.cloudbeds.com/connect/10074733072513#/reservations/31680805462177?display=Tracy%20Dehning&amp;reservation_id=31680805462177&amp;guest_id=31680805462174", "Tracy Dehning")</f>
        <v>Tracy Dehning</v>
      </c>
      <c r="E8407" t="s">
        <v>6671</v>
      </c>
      <c r="F8407" t="s">
        <v>6601</v>
      </c>
      <c r="G8407">
        <v>106.8</v>
      </c>
      <c r="H8407">
        <v>116.1</v>
      </c>
      <c r="I8407">
        <v>116.09</v>
      </c>
      <c r="J8407">
        <v>0.01</v>
      </c>
    </row>
    <row r="8408" spans="1:10" x14ac:dyDescent="0.3">
      <c r="A8408" t="str">
        <f>HYPERLINK("https://us2.cloudbeds.com/connect/10074733072513#/reservations/31681174880423?display=MHC4ERGY1&amp;reservation_id=31681174880423", "MHC4ERGY1")</f>
        <v>MHC4ERGY1</v>
      </c>
      <c r="B8408" t="s">
        <v>10</v>
      </c>
      <c r="C8408" t="s">
        <v>23</v>
      </c>
      <c r="D8408" t="str">
        <f>HYPERLINK("https://us2.cloudbeds.com/connect/10074733072513#/reservations/31681174880423?display=Sue%20Wendte&amp;reservation_id=31681174880423&amp;guest_id=31681174880420", "Sue Wendte")</f>
        <v>Sue Wendte</v>
      </c>
      <c r="E8408" t="s">
        <v>6663</v>
      </c>
      <c r="F8408" t="s">
        <v>4974</v>
      </c>
      <c r="G8408">
        <v>199</v>
      </c>
      <c r="H8408">
        <v>216.32</v>
      </c>
      <c r="I8408">
        <v>216.31</v>
      </c>
      <c r="J8408">
        <v>0.01</v>
      </c>
    </row>
    <row r="8409" spans="1:10" x14ac:dyDescent="0.3">
      <c r="A8409" t="str">
        <f>HYPERLINK("https://us2.cloudbeds.com/connect/10074733072513#/reservations/31679698632849?display=MHAWZ0ZD2&amp;reservation_id=31679698632849", "MHAWZ0ZD2")</f>
        <v>MHAWZ0ZD2</v>
      </c>
      <c r="B8409" t="s">
        <v>10</v>
      </c>
      <c r="C8409" t="s">
        <v>42</v>
      </c>
      <c r="D8409" t="str">
        <f>HYPERLINK("https://us2.cloudbeds.com/connect/10074733072513#/reservations/31679698632849?display=Ryan%20Dewitte&amp;reservation_id=31679698632849&amp;guest_id=31679698632844", "Ryan Dewitte")</f>
        <v>Ryan Dewitte</v>
      </c>
      <c r="E8409" t="s">
        <v>6672</v>
      </c>
      <c r="F8409" t="s">
        <v>5546</v>
      </c>
      <c r="G8409">
        <v>358</v>
      </c>
      <c r="H8409">
        <v>389.16</v>
      </c>
      <c r="I8409">
        <v>389.15</v>
      </c>
      <c r="J8409">
        <v>0.01</v>
      </c>
    </row>
    <row r="8410" spans="1:10" x14ac:dyDescent="0.3">
      <c r="A8410" t="str">
        <f>HYPERLINK("https://us2.cloudbeds.com/connect/10074733072513#/reservations/31679150141569?display=MHAXNH5A6&amp;reservation_id=31679150141569", "MHAXNH5A6")</f>
        <v>MHAXNH5A6</v>
      </c>
      <c r="B8410" t="s">
        <v>10</v>
      </c>
      <c r="C8410" t="s">
        <v>23</v>
      </c>
      <c r="D8410" t="str">
        <f>HYPERLINK("https://us2.cloudbeds.com/connect/10074733072513#/reservations/31679150141569?display=Rene%20Ramon&amp;reservation_id=31679150141569&amp;guest_id=31679150137533", "Rene Ramon")</f>
        <v>Rene Ramon</v>
      </c>
      <c r="E8410" t="s">
        <v>6673</v>
      </c>
      <c r="F8410" t="s">
        <v>6601</v>
      </c>
      <c r="G8410">
        <v>159</v>
      </c>
      <c r="H8410">
        <v>172.84</v>
      </c>
      <c r="I8410">
        <v>172.83</v>
      </c>
      <c r="J8410">
        <v>0.01</v>
      </c>
    </row>
    <row r="8411" spans="1:10" x14ac:dyDescent="0.3">
      <c r="A8411" t="str">
        <f>HYPERLINK("https://us2.cloudbeds.com/connect/10074733072513#/reservations/31680934158539?display=MHBV9S22G&amp;reservation_id=31680934158539", "MHBV9S22G")</f>
        <v>MHBV9S22G</v>
      </c>
      <c r="B8411" t="s">
        <v>10</v>
      </c>
      <c r="C8411" t="s">
        <v>14</v>
      </c>
      <c r="D8411" t="str">
        <f>HYPERLINK("https://us2.cloudbeds.com/connect/10074733072513#/reservations/31680934158539?display=Aylee%20Hunter&amp;reservation_id=31680934158539&amp;guest_id=31680934154453", "Aylee Hunter")</f>
        <v>Aylee Hunter</v>
      </c>
      <c r="E8411" t="s">
        <v>6674</v>
      </c>
      <c r="F8411" t="s">
        <v>6601</v>
      </c>
      <c r="G8411">
        <v>106.8</v>
      </c>
      <c r="H8411">
        <v>116.1</v>
      </c>
      <c r="I8411">
        <v>116.09</v>
      </c>
      <c r="J8411">
        <v>0.01</v>
      </c>
    </row>
    <row r="8412" spans="1:10" x14ac:dyDescent="0.3">
      <c r="A8412" t="str">
        <f>HYPERLINK("https://us2.cloudbeds.com/connect/10074733072513#/reservations/31681142939852?display=MHC3KTNEV&amp;reservation_id=31681142939852", "MHC3KTNEV")</f>
        <v>MHC3KTNEV</v>
      </c>
      <c r="B8412" t="s">
        <v>10</v>
      </c>
      <c r="C8412" t="s">
        <v>17</v>
      </c>
      <c r="D8412" t="str">
        <f>HYPERLINK("https://us2.cloudbeds.com/connect/10074733072513#/reservations/31681142939852?display=Sandi%20Wernke&amp;reservation_id=31681142939852&amp;guest_id=31681136914611", "Sandi Wernke")</f>
        <v>Sandi Wernke</v>
      </c>
      <c r="E8412" t="s">
        <v>6675</v>
      </c>
      <c r="F8412" t="s">
        <v>5283</v>
      </c>
      <c r="G8412">
        <v>199</v>
      </c>
      <c r="H8412">
        <v>216.32</v>
      </c>
      <c r="I8412">
        <v>216.31</v>
      </c>
      <c r="J8412">
        <v>0.01</v>
      </c>
    </row>
    <row r="8413" spans="1:10" x14ac:dyDescent="0.3">
      <c r="A8413" t="str">
        <f>HYPERLINK("https://us2.cloudbeds.com/connect/10074733072513#/reservations/31681942700256?display=MHCZ297BN&amp;reservation_id=31681942700256", "MHCZ297BN")</f>
        <v>MHCZ297BN</v>
      </c>
      <c r="B8413" t="s">
        <v>10</v>
      </c>
      <c r="C8413" t="s">
        <v>17</v>
      </c>
      <c r="D8413" t="str">
        <f>HYPERLINK("https://us2.cloudbeds.com/connect/10074733072513#/reservations/31681942700256?display=Joyce%20Glynn&amp;reservation_id=31681942700256&amp;guest_id=30683381072097", "Joyce Glynn")</f>
        <v>Joyce Glynn</v>
      </c>
      <c r="E8413" t="s">
        <v>4064</v>
      </c>
      <c r="F8413" t="s">
        <v>5544</v>
      </c>
      <c r="G8413">
        <v>149</v>
      </c>
      <c r="H8413">
        <v>161.97</v>
      </c>
      <c r="I8413">
        <v>161.96</v>
      </c>
      <c r="J8413">
        <v>0.01</v>
      </c>
    </row>
    <row r="8414" spans="1:10" x14ac:dyDescent="0.3">
      <c r="A8414" t="str">
        <f>HYPERLINK("https://us2.cloudbeds.com/connect/10074733072513#/reservations/31680743022817?display=MHBQDME5U&amp;reservation_id=31680743022817", "MHBQDME5U")</f>
        <v>MHBQDME5U</v>
      </c>
      <c r="B8414" t="s">
        <v>10</v>
      </c>
      <c r="C8414" t="s">
        <v>23</v>
      </c>
      <c r="D8414" t="str">
        <f>HYPERLINK("https://us2.cloudbeds.com/connect/10074733072513#/reservations/31680743022817?display=Jason%20Deaton&amp;reservation_id=31680743022817&amp;guest_id=31680743018725", "Jason Deaton")</f>
        <v>Jason Deaton</v>
      </c>
      <c r="E8414" t="s">
        <v>6679</v>
      </c>
      <c r="F8414" t="s">
        <v>6535</v>
      </c>
      <c r="G8414">
        <v>149</v>
      </c>
      <c r="H8414">
        <v>161.97</v>
      </c>
      <c r="I8414">
        <v>161.96</v>
      </c>
      <c r="J8414">
        <v>0.01</v>
      </c>
    </row>
    <row r="8415" spans="1:10" x14ac:dyDescent="0.3">
      <c r="A8415" t="str">
        <f>HYPERLINK("https://us2.cloudbeds.com/connect/10074733072513#/reservations/31682687516859?display=MHDA3ARQQ&amp;reservation_id=31682687516859", "MHDA3ARQQ")</f>
        <v>MHDA3ARQQ</v>
      </c>
      <c r="B8415" t="s">
        <v>10</v>
      </c>
      <c r="C8415" t="s">
        <v>42</v>
      </c>
      <c r="D8415" t="str">
        <f>HYPERLINK("https://us2.cloudbeds.com/connect/10074733072513#/reservations/31682687516859?display=Djuana%20Wambold&amp;reservation_id=31682687516859&amp;guest_id=31682674163875", "Djuana Wambold")</f>
        <v>Djuana Wambold</v>
      </c>
      <c r="E8415" t="s">
        <v>6685</v>
      </c>
      <c r="F8415" t="s">
        <v>4868</v>
      </c>
      <c r="G8415">
        <v>179</v>
      </c>
      <c r="H8415">
        <v>194.58</v>
      </c>
      <c r="I8415">
        <v>194.57</v>
      </c>
      <c r="J8415">
        <v>0.01</v>
      </c>
    </row>
    <row r="8416" spans="1:10" x14ac:dyDescent="0.3">
      <c r="A8416" t="str">
        <f>HYPERLINK("https://us2.cloudbeds.com/connect/10074733072513#/reservations/31680004325629?display=MHB7HQ30Y&amp;reservation_id=31680004325629", "MHB7HQ30Y")</f>
        <v>MHB7HQ30Y</v>
      </c>
      <c r="B8416" t="s">
        <v>10</v>
      </c>
      <c r="C8416" t="s">
        <v>17</v>
      </c>
      <c r="D8416" t="str">
        <f>HYPERLINK("https://us2.cloudbeds.com/connect/10074733072513#/reservations/31680004325629?display=Brian%20Shabto&amp;reservation_id=31680004325629&amp;guest_id=31680004325626", "Brian Shabto")</f>
        <v>Brian Shabto</v>
      </c>
      <c r="E8416" t="s">
        <v>6690</v>
      </c>
      <c r="F8416" t="s">
        <v>6607</v>
      </c>
      <c r="G8416">
        <v>149</v>
      </c>
      <c r="H8416">
        <v>161.97</v>
      </c>
      <c r="I8416">
        <v>161.96</v>
      </c>
      <c r="J8416">
        <v>0.01</v>
      </c>
    </row>
    <row r="8417" spans="1:10" x14ac:dyDescent="0.3">
      <c r="A8417" t="str">
        <f>HYPERLINK("https://us2.cloudbeds.com/connect/10074733072513#/reservations/31683193086127?display=MHDN0Y1ZY&amp;reservation_id=31683193086127", "MHDN0Y1ZY")</f>
        <v>MHDN0Y1ZY</v>
      </c>
      <c r="B8417" t="s">
        <v>10</v>
      </c>
      <c r="C8417" t="s">
        <v>23</v>
      </c>
      <c r="D8417" t="str">
        <f>HYPERLINK("https://us2.cloudbeds.com/connect/10074733072513#/reservations/31683193086127?display=Jenna%20Gobel&amp;reservation_id=31683193086127&amp;guest_id=31683193086122", "Jenna Gobel")</f>
        <v>Jenna Gobel</v>
      </c>
      <c r="E8417" t="s">
        <v>6693</v>
      </c>
      <c r="F8417" t="s">
        <v>6368</v>
      </c>
      <c r="G8417">
        <v>199</v>
      </c>
      <c r="H8417">
        <v>216.32</v>
      </c>
      <c r="I8417">
        <v>216.31</v>
      </c>
      <c r="J8417">
        <v>0.01</v>
      </c>
    </row>
    <row r="8418" spans="1:10" x14ac:dyDescent="0.3">
      <c r="A8418" t="str">
        <f>HYPERLINK("https://us2.cloudbeds.com/connect/10074733072513#/reservations/31682540937424?display=MHD6BZ1PZ&amp;reservation_id=31682540937424", "MHD6BZ1PZ")</f>
        <v>MHD6BZ1PZ</v>
      </c>
      <c r="B8418" t="s">
        <v>10</v>
      </c>
      <c r="C8418" t="s">
        <v>42</v>
      </c>
      <c r="D8418" t="str">
        <f>HYPERLINK("https://us2.cloudbeds.com/connect/10074733072513#/reservations/31682540937424?display=Young%20Ring&amp;reservation_id=31682540937424&amp;guest_id=31682522030293", "Young Ring")</f>
        <v>Young Ring</v>
      </c>
      <c r="E8418" t="s">
        <v>6694</v>
      </c>
      <c r="F8418" t="s">
        <v>5283</v>
      </c>
      <c r="G8418">
        <v>428</v>
      </c>
      <c r="H8418">
        <v>465.25</v>
      </c>
      <c r="I8418">
        <v>465.24</v>
      </c>
      <c r="J8418">
        <v>0.01</v>
      </c>
    </row>
    <row r="8419" spans="1:10" x14ac:dyDescent="0.3">
      <c r="A8419" t="str">
        <f>HYPERLINK("https://us2.cloudbeds.com/connect/10074733072513#/reservations/31682522030296?display=MHD5SPUSF&amp;reservation_id=31682522030296", "MHD5SPUSF")</f>
        <v>MHD5SPUSF</v>
      </c>
      <c r="B8419" t="s">
        <v>10</v>
      </c>
      <c r="C8419" t="s">
        <v>42</v>
      </c>
      <c r="D8419" t="str">
        <f>HYPERLINK("https://us2.cloudbeds.com/connect/10074733072513#/reservations/31682522030296?display=Young%20Ring&amp;reservation_id=31682522030296&amp;guest_id=31682522030293", "Young Ring")</f>
        <v>Young Ring</v>
      </c>
      <c r="E8419" t="s">
        <v>6694</v>
      </c>
      <c r="F8419" t="s">
        <v>5283</v>
      </c>
      <c r="G8419">
        <v>428</v>
      </c>
      <c r="H8419">
        <v>465.25</v>
      </c>
      <c r="I8419">
        <v>465.24</v>
      </c>
      <c r="J8419">
        <v>0.01</v>
      </c>
    </row>
    <row r="8420" spans="1:10" x14ac:dyDescent="0.3">
      <c r="A8420" t="str">
        <f>HYPERLINK("https://us2.cloudbeds.com/connect/10074733072513#/reservations/31681338429610?display=MHC8KZGX0&amp;reservation_id=31681338429610", "MHC8KZGX0")</f>
        <v>MHC8KZGX0</v>
      </c>
      <c r="B8420" t="s">
        <v>10</v>
      </c>
      <c r="C8420" t="s">
        <v>20</v>
      </c>
      <c r="D8420" t="str">
        <f>HYPERLINK("https://us2.cloudbeds.com/connect/10074733072513#/reservations/31681338429610?display=Jennifer%20Pagonis&amp;reservation_id=31681338429610&amp;guest_id=31681338429592", "Jennifer Pagonis")</f>
        <v>Jennifer Pagonis</v>
      </c>
      <c r="E8420" t="s">
        <v>6697</v>
      </c>
      <c r="F8420" t="s">
        <v>6698</v>
      </c>
      <c r="G8420">
        <v>149</v>
      </c>
      <c r="H8420">
        <v>161.97</v>
      </c>
      <c r="I8420">
        <v>161.96</v>
      </c>
      <c r="J8420">
        <v>0.01</v>
      </c>
    </row>
    <row r="8421" spans="1:10" x14ac:dyDescent="0.3">
      <c r="A8421" t="str">
        <f>HYPERLINK("https://us2.cloudbeds.com/connect/10074733072513#/reservations/31680065978618?display=MHB93PMB1&amp;reservation_id=31680065978618", "MHB93PMB1")</f>
        <v>MHB93PMB1</v>
      </c>
      <c r="B8421" t="s">
        <v>10</v>
      </c>
      <c r="C8421" t="s">
        <v>42</v>
      </c>
      <c r="D8421" t="str">
        <f>HYPERLINK("https://us2.cloudbeds.com/connect/10074733072513#/reservations/31680065978618?display=Karen%20Hjelmeland&amp;reservation_id=31680065978618&amp;guest_id=31680055455906", "Karen Hjelmeland")</f>
        <v>Karen Hjelmeland</v>
      </c>
      <c r="E8421" t="s">
        <v>6699</v>
      </c>
      <c r="F8421" t="s">
        <v>6607</v>
      </c>
      <c r="G8421">
        <v>129</v>
      </c>
      <c r="H8421">
        <v>140.22999999999999</v>
      </c>
      <c r="I8421">
        <v>140.22</v>
      </c>
      <c r="J8421">
        <v>0.01</v>
      </c>
    </row>
    <row r="8422" spans="1:10" x14ac:dyDescent="0.3">
      <c r="A8422" t="str">
        <f>HYPERLINK("https://us2.cloudbeds.com/connect/10074733072513#/reservations/31683085783185?display=MHDK9569B&amp;reservation_id=31683085783185", "MHDK9569B")</f>
        <v>MHDK9569B</v>
      </c>
      <c r="B8422" t="s">
        <v>10</v>
      </c>
      <c r="C8422" t="s">
        <v>42</v>
      </c>
      <c r="D8422" t="str">
        <f>HYPERLINK("https://us2.cloudbeds.com/connect/10074733072513#/reservations/31683085783185?display=Shelley%20Ferguson&amp;reservation_id=31683085783185&amp;guest_id=31683085783181", "Shelley Ferguson")</f>
        <v>Shelley Ferguson</v>
      </c>
      <c r="E8422" t="s">
        <v>6700</v>
      </c>
      <c r="F8422" t="s">
        <v>5798</v>
      </c>
      <c r="G8422">
        <v>199</v>
      </c>
      <c r="H8422">
        <v>216.32</v>
      </c>
      <c r="I8422">
        <v>216.31</v>
      </c>
      <c r="J8422">
        <v>0.01</v>
      </c>
    </row>
    <row r="8423" spans="1:10" x14ac:dyDescent="0.3">
      <c r="A8423" t="str">
        <f>HYPERLINK("https://us2.cloudbeds.com/connect/10074733072513#/reservations/31681453514881?display=MHCBXPUAF&amp;reservation_id=31681453514881", "MHCBXPUAF")</f>
        <v>MHCBXPUAF</v>
      </c>
      <c r="B8423" t="s">
        <v>10</v>
      </c>
      <c r="C8423" t="s">
        <v>42</v>
      </c>
      <c r="D8423" t="str">
        <f>HYPERLINK("https://us2.cloudbeds.com/connect/10074733072513#/reservations/31681453514881?display=Jerrell%20Faulkner&amp;reservation_id=31681453514881&amp;guest_id=31677618983129", "Jerrell Faulkner")</f>
        <v>Jerrell Faulkner</v>
      </c>
      <c r="E8423" t="s">
        <v>6187</v>
      </c>
      <c r="F8423" t="s">
        <v>6692</v>
      </c>
      <c r="G8423">
        <v>73</v>
      </c>
      <c r="H8423">
        <v>79.36</v>
      </c>
      <c r="I8423">
        <v>79.349999999999994</v>
      </c>
      <c r="J8423">
        <v>0.01</v>
      </c>
    </row>
    <row r="8424" spans="1:10" x14ac:dyDescent="0.3">
      <c r="A8424" t="str">
        <f>HYPERLINK("https://us2.cloudbeds.com/connect/10074733072513#/reservations/31681456173278?display=MHCBY0TEV&amp;reservation_id=31681456173278", "MHCBY0TEV")</f>
        <v>MHCBY0TEV</v>
      </c>
      <c r="B8424" t="s">
        <v>10</v>
      </c>
      <c r="C8424" t="s">
        <v>42</v>
      </c>
      <c r="D8424" t="str">
        <f>HYPERLINK("https://us2.cloudbeds.com/connect/10074733072513#/reservations/31681456173278?display=Deborah%20Hoercher&amp;reservation_id=31681456173278&amp;guest_id=31681456173276", "Deborah Hoercher")</f>
        <v>Deborah Hoercher</v>
      </c>
      <c r="E8424" t="s">
        <v>6701</v>
      </c>
      <c r="F8424" t="s">
        <v>6692</v>
      </c>
      <c r="G8424">
        <v>149</v>
      </c>
      <c r="H8424">
        <v>161.97</v>
      </c>
      <c r="I8424">
        <v>161.96</v>
      </c>
      <c r="J8424">
        <v>0.01</v>
      </c>
    </row>
    <row r="8425" spans="1:10" x14ac:dyDescent="0.3">
      <c r="A8425" t="str">
        <f>HYPERLINK("https://us2.cloudbeds.com/connect/10074733072513#/reservations/31679442591946?display=MHAQ640PR&amp;reservation_id=31679442591946", "MHAQ640PR")</f>
        <v>MHAQ640PR</v>
      </c>
      <c r="B8425" t="s">
        <v>10</v>
      </c>
      <c r="C8425" t="s">
        <v>20</v>
      </c>
      <c r="D8425" t="str">
        <f>HYPERLINK("https://us2.cloudbeds.com/connect/10074733072513#/reservations/31679442591946?display=Dawn%20Painter&amp;reservation_id=31679442591946&amp;guest_id=31679442591944", "Dawn Painter")</f>
        <v>Dawn Painter</v>
      </c>
      <c r="E8425" t="s">
        <v>6705</v>
      </c>
      <c r="F8425" t="s">
        <v>5544</v>
      </c>
      <c r="G8425">
        <v>483.3</v>
      </c>
      <c r="H8425">
        <v>525.36</v>
      </c>
      <c r="I8425">
        <v>525.35</v>
      </c>
      <c r="J8425">
        <v>0.01</v>
      </c>
    </row>
    <row r="8426" spans="1:10" x14ac:dyDescent="0.3">
      <c r="A8426" t="str">
        <f>HYPERLINK("https://us2.cloudbeds.com/connect/10074733072513#/reservations/31680196075755?display=MHBCEFR3H&amp;reservation_id=31680196075755", "MHBCEFR3H")</f>
        <v>MHBCEFR3H</v>
      </c>
      <c r="B8426" t="s">
        <v>10</v>
      </c>
      <c r="C8426" t="s">
        <v>20</v>
      </c>
      <c r="D8426" t="str">
        <f>HYPERLINK("https://us2.cloudbeds.com/connect/10074733072513#/reservations/31680196075755?display=Steven%20Lane&amp;reservation_id=31680196075755&amp;guest_id=31680188915860", "Steven Lane")</f>
        <v>Steven Lane</v>
      </c>
      <c r="E8426" t="s">
        <v>6708</v>
      </c>
      <c r="F8426" t="s">
        <v>5556</v>
      </c>
      <c r="G8426">
        <v>149</v>
      </c>
      <c r="H8426">
        <v>161.97</v>
      </c>
      <c r="I8426">
        <v>161.96</v>
      </c>
      <c r="J8426">
        <v>0.01</v>
      </c>
    </row>
    <row r="8427" spans="1:10" x14ac:dyDescent="0.3">
      <c r="A8427" t="str">
        <f>HYPERLINK("https://us2.cloudbeds.com/connect/10074733072513#/reservations/31684167262379?display=MHEEU2V43&amp;reservation_id=31684167262379", "MHEEU2V43")</f>
        <v>MHEEU2V43</v>
      </c>
      <c r="B8427" t="s">
        <v>10</v>
      </c>
      <c r="C8427" t="s">
        <v>42</v>
      </c>
      <c r="D8427" t="str">
        <f>HYPERLINK("https://us2.cloudbeds.com/connect/10074733072513#/reservations/31684167262379?display=Rich%20Peters&amp;reservation_id=31684167262379&amp;guest_id=31684159193304", "Rich Peters")</f>
        <v>Rich Peters</v>
      </c>
      <c r="E8427" t="s">
        <v>6711</v>
      </c>
      <c r="F8427" t="s">
        <v>5017</v>
      </c>
      <c r="G8427">
        <v>129</v>
      </c>
      <c r="H8427">
        <v>140.22999999999999</v>
      </c>
      <c r="I8427">
        <v>140.22</v>
      </c>
      <c r="J8427">
        <v>0.01</v>
      </c>
    </row>
    <row r="8428" spans="1:10" x14ac:dyDescent="0.3">
      <c r="A8428" t="str">
        <f>HYPERLINK("https://us2.cloudbeds.com/connect/10074733072513#/reservations/31683613839544?display=MHE0PE4H6&amp;reservation_id=31683613839544", "MHE0PE4H6")</f>
        <v>MHE0PE4H6</v>
      </c>
      <c r="B8428" t="s">
        <v>10</v>
      </c>
      <c r="C8428" t="s">
        <v>42</v>
      </c>
      <c r="D8428" t="str">
        <f>HYPERLINK("https://us2.cloudbeds.com/connect/10074733072513#/reservations/31683613839544?display=Lucas%20Ericson&amp;reservation_id=31683613839544&amp;guest_id=31683603144929", "Lucas Ericson")</f>
        <v>Lucas Ericson</v>
      </c>
      <c r="E8428" t="s">
        <v>6713</v>
      </c>
      <c r="F8428" t="s">
        <v>6353</v>
      </c>
      <c r="G8428">
        <v>189</v>
      </c>
      <c r="H8428">
        <v>205.45</v>
      </c>
      <c r="I8428">
        <v>205.44</v>
      </c>
      <c r="J8428">
        <v>0.01</v>
      </c>
    </row>
    <row r="8429" spans="1:10" x14ac:dyDescent="0.3">
      <c r="A8429" t="str">
        <f>HYPERLINK("https://us2.cloudbeds.com/connect/10074733072513#/reservations/31683556974804?display=MHDWAFQ48&amp;reservation_id=31683556974804", "MHDWAFQ48")</f>
        <v>MHDWAFQ48</v>
      </c>
      <c r="B8429" t="s">
        <v>10</v>
      </c>
      <c r="C8429" t="s">
        <v>42</v>
      </c>
      <c r="D8429" t="str">
        <f>HYPERLINK("https://us2.cloudbeds.com/connect/10074733072513#/reservations/31683556974804?display=Ronald%20Brant&amp;reservation_id=31683556974804&amp;guest_id=31683551871223", "Ronald Brant")</f>
        <v>Ronald Brant</v>
      </c>
      <c r="E8429" t="s">
        <v>1740</v>
      </c>
      <c r="F8429" t="s">
        <v>6353</v>
      </c>
      <c r="G8429">
        <v>1004</v>
      </c>
      <c r="H8429">
        <v>1091.3599999999999</v>
      </c>
      <c r="I8429">
        <v>1091.3499999999999</v>
      </c>
      <c r="J8429">
        <v>0.01</v>
      </c>
    </row>
    <row r="8430" spans="1:10" x14ac:dyDescent="0.3">
      <c r="A8430" t="str">
        <f>HYPERLINK("https://us2.cloudbeds.com/connect/10074733072513#/reservations/31679086919822?display=MHAH36UEM&amp;reservation_id=31679086919822", "MHAH36UEM")</f>
        <v>MHAH36UEM</v>
      </c>
      <c r="B8430" t="s">
        <v>10</v>
      </c>
      <c r="C8430" t="s">
        <v>42</v>
      </c>
      <c r="D8430" t="str">
        <f>HYPERLINK("https://us2.cloudbeds.com/connect/10074733072513#/reservations/31679086919822?display=David%20Hildebrandt&amp;reservation_id=31679086919822&amp;guest_id=31679086919818", "David Hildebrandt")</f>
        <v>David Hildebrandt</v>
      </c>
      <c r="E8430" t="s">
        <v>6719</v>
      </c>
      <c r="F8430" t="s">
        <v>6446</v>
      </c>
      <c r="G8430">
        <v>178</v>
      </c>
      <c r="H8430">
        <v>193.5</v>
      </c>
      <c r="I8430">
        <v>193.49</v>
      </c>
      <c r="J8430">
        <v>0.01</v>
      </c>
    </row>
    <row r="8431" spans="1:10" x14ac:dyDescent="0.3">
      <c r="A8431" t="str">
        <f>HYPERLINK("https://us2.cloudbeds.com/connect/10074733072513#/reservations/31679080378611?display=MHAGUMTR5&amp;reservation_id=31679080378611", "MHAGUMTR5")</f>
        <v>MHAGUMTR5</v>
      </c>
      <c r="B8431" t="s">
        <v>10</v>
      </c>
      <c r="C8431" t="s">
        <v>42</v>
      </c>
      <c r="D8431" t="str">
        <f>HYPERLINK("https://us2.cloudbeds.com/connect/10074733072513#/reservations/31679080378611?display=Jae%20Dejong&amp;reservation_id=31679080378611&amp;guest_id=31679080378606", "Jae Dejong")</f>
        <v>Jae Dejong</v>
      </c>
      <c r="E8431" t="s">
        <v>6721</v>
      </c>
      <c r="F8431" t="s">
        <v>6446</v>
      </c>
      <c r="G8431">
        <v>158</v>
      </c>
      <c r="H8431">
        <v>171.76</v>
      </c>
      <c r="I8431">
        <v>171.75</v>
      </c>
      <c r="J8431">
        <v>0.01</v>
      </c>
    </row>
    <row r="8432" spans="1:10" x14ac:dyDescent="0.3">
      <c r="A8432" t="str">
        <f>HYPERLINK("https://us2.cloudbeds.com/connect/10074733072513#/reservations/31679289082019?display=MHAM8MCYS&amp;reservation_id=31679289082019", "MHAM8MCYS")</f>
        <v>MHAM8MCYS</v>
      </c>
      <c r="B8432" t="s">
        <v>10</v>
      </c>
      <c r="C8432" t="s">
        <v>121</v>
      </c>
      <c r="D8432" t="str">
        <f>HYPERLINK("https://us2.cloudbeds.com/connect/10074733072513#/reservations/31679289082019?display=Richard%20Mark%20Hennigan&amp;reservation_id=31679289082019&amp;guest_id=31679281352838", "Richard Mark Hennigan")</f>
        <v>Richard Mark Hennigan</v>
      </c>
      <c r="E8432" t="s">
        <v>6724</v>
      </c>
      <c r="F8432" t="s">
        <v>6710</v>
      </c>
      <c r="G8432">
        <v>149</v>
      </c>
      <c r="H8432">
        <v>161.97</v>
      </c>
      <c r="I8432">
        <v>161.96</v>
      </c>
      <c r="J8432">
        <v>0.01</v>
      </c>
    </row>
    <row r="8433" spans="1:10" x14ac:dyDescent="0.3">
      <c r="A8433" t="str">
        <f>HYPERLINK("https://us2.cloudbeds.com/connect/10074733072513#/reservations/31679105884291?display=MHAHJ6Y0X&amp;reservation_id=31679105884291", "MHAHJ6Y0X")</f>
        <v>MHAHJ6Y0X</v>
      </c>
      <c r="B8433" t="s">
        <v>10</v>
      </c>
      <c r="C8433" t="s">
        <v>42</v>
      </c>
      <c r="D8433" t="str">
        <f>HYPERLINK("https://us2.cloudbeds.com/connect/10074733072513#/reservations/31679105884291?display=Jeff%20Potts&amp;reservation_id=31679105884291&amp;guest_id=30665228038373", "Jeff Potts")</f>
        <v>Jeff Potts</v>
      </c>
      <c r="E8433" t="s">
        <v>3400</v>
      </c>
      <c r="F8433" t="s">
        <v>6446</v>
      </c>
      <c r="G8433">
        <v>225</v>
      </c>
      <c r="H8433">
        <v>244.59</v>
      </c>
      <c r="I8433">
        <v>244.58</v>
      </c>
      <c r="J8433">
        <v>0.01</v>
      </c>
    </row>
    <row r="8434" spans="1:10" x14ac:dyDescent="0.3">
      <c r="A8434" t="str">
        <f>HYPERLINK("https://us2.cloudbeds.com/connect/10074733072513#/reservations/31679113679092?display=MHAHPPHPY&amp;reservation_id=31679113679092", "MHAHPPHPY")</f>
        <v>MHAHPPHPY</v>
      </c>
      <c r="B8434" t="s">
        <v>10</v>
      </c>
      <c r="C8434" t="s">
        <v>121</v>
      </c>
      <c r="D8434" t="str">
        <f>HYPERLINK("https://us2.cloudbeds.com/connect/10074733072513#/reservations/31679113679092?display=Jerrell%20Faulkner&amp;reservation_id=31679113679092&amp;guest_id=31677618983129", "Jerrell Faulkner")</f>
        <v>Jerrell Faulkner</v>
      </c>
      <c r="E8434" t="s">
        <v>6187</v>
      </c>
      <c r="F8434" t="s">
        <v>6446</v>
      </c>
      <c r="G8434">
        <v>73</v>
      </c>
      <c r="H8434">
        <v>79.36</v>
      </c>
      <c r="I8434">
        <v>79.349999999999994</v>
      </c>
      <c r="J8434">
        <v>0.01</v>
      </c>
    </row>
    <row r="8435" spans="1:10" x14ac:dyDescent="0.3">
      <c r="A8435" t="str">
        <f>HYPERLINK("https://us2.cloudbeds.com/connect/10074733072513#/reservations/31679207944352?display=MHAK68K2M&amp;reservation_id=31679207944352", "MHAK68K2M")</f>
        <v>MHAK68K2M</v>
      </c>
      <c r="B8435" t="s">
        <v>10</v>
      </c>
      <c r="C8435" t="s">
        <v>20</v>
      </c>
      <c r="D8435" t="str">
        <f>HYPERLINK("https://us2.cloudbeds.com/connect/10074733072513#/reservations/31679207944352?display=Edward%20Dunn&amp;reservation_id=31679207944352&amp;guest_id=31679201603721", "Edward Dunn")</f>
        <v>Edward Dunn</v>
      </c>
      <c r="E8435" t="s">
        <v>6726</v>
      </c>
      <c r="F8435" t="s">
        <v>6449</v>
      </c>
      <c r="G8435">
        <v>149</v>
      </c>
      <c r="H8435">
        <v>161.97</v>
      </c>
      <c r="I8435">
        <v>161.96</v>
      </c>
      <c r="J8435">
        <v>0.01</v>
      </c>
    </row>
    <row r="8436" spans="1:10" x14ac:dyDescent="0.3">
      <c r="A8436" t="str">
        <f>HYPERLINK("https://us2.cloudbeds.com/connect/10074733072513#/reservations/31679256469751?display=MHAYE5TMA&amp;reservation_id=31679256469751", "MHAYE5TMA")</f>
        <v>MHAYE5TMA</v>
      </c>
      <c r="B8436" t="s">
        <v>10</v>
      </c>
      <c r="C8436" t="s">
        <v>42</v>
      </c>
      <c r="D8436" t="str">
        <f>HYPERLINK("https://us2.cloudbeds.com/connect/10074733072513#/reservations/31679256469751?display=Crystal%20Gardno&amp;reservation_id=31679256469751&amp;guest_id=31679256469745", "Crystal Gardno")</f>
        <v>Crystal Gardno</v>
      </c>
      <c r="E8436" t="s">
        <v>6728</v>
      </c>
      <c r="F8436" t="s">
        <v>6449</v>
      </c>
      <c r="G8436">
        <v>218</v>
      </c>
      <c r="H8436">
        <v>236.98</v>
      </c>
      <c r="I8436">
        <v>236.97</v>
      </c>
      <c r="J8436">
        <v>0.01</v>
      </c>
    </row>
    <row r="8437" spans="1:10" x14ac:dyDescent="0.3">
      <c r="A8437" t="str">
        <f>HYPERLINK("https://us2.cloudbeds.com/connect/10074733072513#/reservations/31679281348747?display=MHAM256D9&amp;reservation_id=31679281348747", "MHAM256D9")</f>
        <v>MHAM256D9</v>
      </c>
      <c r="B8437" t="s">
        <v>10</v>
      </c>
      <c r="C8437" t="s">
        <v>14</v>
      </c>
      <c r="D8437" t="str">
        <f>HYPERLINK("https://us2.cloudbeds.com/connect/10074733072513#/reservations/31679281348747?display=Ryan%20Wilfahrt&amp;reservation_id=31679281348747&amp;guest_id=31679281348742", "Ryan Wilfahrt")</f>
        <v>Ryan Wilfahrt</v>
      </c>
      <c r="E8437" t="s">
        <v>6729</v>
      </c>
      <c r="F8437" t="s">
        <v>6710</v>
      </c>
      <c r="G8437">
        <v>127.27</v>
      </c>
      <c r="H8437">
        <v>138.35</v>
      </c>
      <c r="I8437">
        <v>138.34</v>
      </c>
      <c r="J8437">
        <v>0.01</v>
      </c>
    </row>
    <row r="8438" spans="1:10" x14ac:dyDescent="0.3">
      <c r="A8438" t="str">
        <f>HYPERLINK("https://us2.cloudbeds.com/connect/10074733072513#/reservations/31679869612184?display=MHB436G71&amp;reservation_id=31679869612184", "MHB436G71")</f>
        <v>MHB436G71</v>
      </c>
      <c r="B8438" t="s">
        <v>10</v>
      </c>
      <c r="C8438" t="s">
        <v>42</v>
      </c>
      <c r="D8438" t="str">
        <f>HYPERLINK("https://us2.cloudbeds.com/connect/10074733072513#/reservations/31679869612184?display=Chad%20Spier&amp;reservation_id=31679869612184&amp;guest_id=31679869608090", "Chad Spier")</f>
        <v>Chad Spier</v>
      </c>
      <c r="E8438" t="s">
        <v>6731</v>
      </c>
      <c r="F8438" t="s">
        <v>5556</v>
      </c>
      <c r="G8438">
        <v>312</v>
      </c>
      <c r="H8438">
        <v>339.15</v>
      </c>
      <c r="I8438">
        <v>339.14</v>
      </c>
      <c r="J8438">
        <v>0.01</v>
      </c>
    </row>
    <row r="8439" spans="1:10" x14ac:dyDescent="0.3">
      <c r="A8439" t="str">
        <f>HYPERLINK("https://us2.cloudbeds.com/connect/10074733072513#/reservations/31679953014920?display=MHB67H9ZM&amp;reservation_id=31679953014920", "MHB67H9ZM")</f>
        <v>MHB67H9ZM</v>
      </c>
      <c r="B8439" t="s">
        <v>10</v>
      </c>
      <c r="C8439" t="s">
        <v>42</v>
      </c>
      <c r="D8439" t="str">
        <f>HYPERLINK("https://us2.cloudbeds.com/connect/10074733072513#/reservations/31679953014920?display=David%20Caty%20Great%20Planes%20Structures&amp;reservation_id=31679953014920&amp;guest_id=31679942246640", "David Caty Great Planes Structures")</f>
        <v>David Caty Great Planes Structures</v>
      </c>
      <c r="E8439" t="s">
        <v>6732</v>
      </c>
      <c r="F8439" t="s">
        <v>5556</v>
      </c>
      <c r="G8439">
        <v>79</v>
      </c>
      <c r="H8439">
        <v>85.88</v>
      </c>
      <c r="I8439">
        <v>85.87</v>
      </c>
      <c r="J8439">
        <v>0.01</v>
      </c>
    </row>
    <row r="8440" spans="1:10" x14ac:dyDescent="0.3">
      <c r="A8440" t="str">
        <f>HYPERLINK("https://us2.cloudbeds.com/connect/10074733072513#/reservations/31679960522972?display=MHB6DS76D&amp;reservation_id=31679960522972", "MHB6DS76D")</f>
        <v>MHB6DS76D</v>
      </c>
      <c r="B8440" t="s">
        <v>10</v>
      </c>
      <c r="C8440" t="s">
        <v>42</v>
      </c>
      <c r="D8440" t="str">
        <f>HYPERLINK("https://us2.cloudbeds.com/connect/10074733072513#/reservations/31679960522972?display=Structures%20Great%20Plains&amp;reservation_id=31679960522972&amp;guest_id=31679960518867", "Structures Great Plains")</f>
        <v>Structures Great Plains</v>
      </c>
      <c r="E8440" t="s">
        <v>6733</v>
      </c>
      <c r="F8440" t="s">
        <v>5556</v>
      </c>
      <c r="G8440">
        <v>158</v>
      </c>
      <c r="H8440">
        <v>171.76</v>
      </c>
      <c r="I8440">
        <v>171.75</v>
      </c>
      <c r="J8440">
        <v>0.01</v>
      </c>
    </row>
    <row r="8441" spans="1:10" x14ac:dyDescent="0.3">
      <c r="A8441" t="str">
        <f>HYPERLINK("https://us2.cloudbeds.com/connect/10074733072513#/reservations/31680199143553?display=MHBCH2663&amp;reservation_id=31680199143553", "MHBCH2663")</f>
        <v>MHBCH2663</v>
      </c>
      <c r="B8441" t="s">
        <v>10</v>
      </c>
      <c r="C8441" t="s">
        <v>23</v>
      </c>
      <c r="D8441" t="str">
        <f>HYPERLINK("https://us2.cloudbeds.com/connect/10074733072513#/reservations/31680199143553?display=Clint%20Schendzielos&amp;reservation_id=31680199143553&amp;guest_id=31680199139461", "Clint Schendzielos")</f>
        <v>Clint Schendzielos</v>
      </c>
      <c r="E8441" t="s">
        <v>6734</v>
      </c>
      <c r="F8441" t="s">
        <v>5556</v>
      </c>
      <c r="G8441">
        <v>149</v>
      </c>
      <c r="H8441">
        <v>161.97</v>
      </c>
      <c r="I8441">
        <v>161.96</v>
      </c>
      <c r="J8441">
        <v>0.01</v>
      </c>
    </row>
    <row r="8442" spans="1:10" x14ac:dyDescent="0.3">
      <c r="A8442" t="str">
        <f>HYPERLINK("https://us2.cloudbeds.com/connect/10074733072513#/reservations/31683100147840?display=MHDKF991P&amp;reservation_id=31683100147840", "MHDKF991P")</f>
        <v>MHDKF991P</v>
      </c>
      <c r="B8442" t="s">
        <v>10</v>
      </c>
      <c r="C8442" t="s">
        <v>20</v>
      </c>
      <c r="D8442" t="str">
        <f>HYPERLINK("https://us2.cloudbeds.com/connect/10074733072513#/reservations/31683100147840?display=Tyler%20Burton&amp;reservation_id=31683100147840&amp;guest_id=31683093045467", "Tyler Burton")</f>
        <v>Tyler Burton</v>
      </c>
      <c r="E8442" t="s">
        <v>6737</v>
      </c>
      <c r="F8442" t="s">
        <v>5798</v>
      </c>
      <c r="G8442">
        <v>229</v>
      </c>
      <c r="H8442">
        <v>248.93</v>
      </c>
      <c r="I8442">
        <v>248.92</v>
      </c>
      <c r="J8442">
        <v>0.01</v>
      </c>
    </row>
    <row r="8443" spans="1:10" x14ac:dyDescent="0.3">
      <c r="A8443" t="str">
        <f>HYPERLINK("https://us2.cloudbeds.com/connect/10074733072513#/reservations/31679655039156?display=MHAVK8MF2&amp;reservation_id=31679655039156", "MHAVK8MF2")</f>
        <v>MHAVK8MF2</v>
      </c>
      <c r="B8443" t="s">
        <v>10</v>
      </c>
      <c r="C8443" t="s">
        <v>42</v>
      </c>
      <c r="D8443" t="str">
        <f>HYPERLINK("https://us2.cloudbeds.com/connect/10074733072513#/reservations/31679655039156?display=Jim%20Brady&amp;reservation_id=31679655039156&amp;guest_id=31679655039154", "Jim Brady")</f>
        <v>Jim Brady</v>
      </c>
      <c r="E8443" t="s">
        <v>6740</v>
      </c>
      <c r="F8443" t="s">
        <v>6449</v>
      </c>
      <c r="G8443">
        <v>149</v>
      </c>
      <c r="H8443">
        <v>161.97</v>
      </c>
      <c r="I8443">
        <v>161.96</v>
      </c>
      <c r="J8443">
        <v>0.01</v>
      </c>
    </row>
    <row r="8444" spans="1:10" x14ac:dyDescent="0.3">
      <c r="A8444" t="str">
        <f>HYPERLINK("https://us2.cloudbeds.com/connect/10074733072513#/reservations/31693745979537?display=MHYSM3SYE&amp;reservation_id=31693745979537", "MHYSM3SYE")</f>
        <v>MHYSM3SYE</v>
      </c>
      <c r="B8444" t="s">
        <v>10</v>
      </c>
      <c r="C8444" t="s">
        <v>42</v>
      </c>
      <c r="D8444" t="str">
        <f>HYPERLINK("https://us2.cloudbeds.com/connect/10074733072513#/reservations/31693745979537?display=Allison%20Harris%20Makeup%20Space&amp;reservation_id=31693745979537&amp;guest_id=31693740626145", "Allison Harris Makeup Space")</f>
        <v>Allison Harris Makeup Space</v>
      </c>
      <c r="E8444" t="s">
        <v>6741</v>
      </c>
      <c r="F8444" t="s">
        <v>6742</v>
      </c>
      <c r="G8444">
        <v>338</v>
      </c>
      <c r="H8444">
        <v>367.42</v>
      </c>
      <c r="I8444">
        <v>367.41</v>
      </c>
      <c r="J8444">
        <v>0.01</v>
      </c>
    </row>
    <row r="8445" spans="1:10" x14ac:dyDescent="0.3">
      <c r="A8445" t="str">
        <f>HYPERLINK("https://us2.cloudbeds.com/connect/10074733072513#/reservations/31679887270100?display=MHB4X2S0D&amp;reservation_id=31679887270100", "MHB4X2S0D")</f>
        <v>MHB4X2S0D</v>
      </c>
      <c r="B8445" t="s">
        <v>10</v>
      </c>
      <c r="C8445" t="s">
        <v>11</v>
      </c>
      <c r="D8445" t="str">
        <f>HYPERLINK("https://us2.cloudbeds.com/connect/10074733072513#/reservations/31679887270100?display=Brad%20Flayton&amp;reservation_id=31679887270100&amp;guest_id=31679887270094", "Brad Flayton")</f>
        <v>Brad Flayton</v>
      </c>
      <c r="E8445" t="s">
        <v>6743</v>
      </c>
      <c r="F8445" t="s">
        <v>5556</v>
      </c>
      <c r="G8445">
        <v>244.76</v>
      </c>
      <c r="H8445">
        <v>266.06</v>
      </c>
      <c r="I8445">
        <v>266.05</v>
      </c>
      <c r="J8445">
        <v>0.01</v>
      </c>
    </row>
    <row r="8446" spans="1:10" x14ac:dyDescent="0.3">
      <c r="A8446" t="str">
        <f>HYPERLINK("https://us2.cloudbeds.com/connect/10074733072513#/reservations/31681450602690?display=MHCBGAT48&amp;reservation_id=31681450602690", "MHCBGAT48")</f>
        <v>MHCBGAT48</v>
      </c>
      <c r="B8446" t="s">
        <v>10</v>
      </c>
      <c r="C8446" t="s">
        <v>42</v>
      </c>
      <c r="D8446" t="str">
        <f>HYPERLINK("https://us2.cloudbeds.com/connect/10074733072513#/reservations/31681450602690?display=Brandon%20Cooper&amp;reservation_id=31681450602690&amp;guest_id=31681441022196", "Brandon Cooper")</f>
        <v>Brandon Cooper</v>
      </c>
      <c r="E8446" t="s">
        <v>6745</v>
      </c>
      <c r="F8446" t="s">
        <v>5537</v>
      </c>
      <c r="G8446">
        <v>129</v>
      </c>
      <c r="H8446">
        <v>140.22999999999999</v>
      </c>
      <c r="I8446">
        <v>140.22</v>
      </c>
      <c r="J8446">
        <v>0.01</v>
      </c>
    </row>
    <row r="8447" spans="1:10" x14ac:dyDescent="0.3">
      <c r="A8447" t="str">
        <f>HYPERLINK("https://us2.cloudbeds.com/connect/10074733072513#/reservations/31694225739950?display=MHM7UYTWX&amp;reservation_id=31694225739950", "MHM7UYTWX")</f>
        <v>MHM7UYTWX</v>
      </c>
      <c r="B8447" t="s">
        <v>10</v>
      </c>
      <c r="C8447" t="s">
        <v>42</v>
      </c>
      <c r="D8447" t="str">
        <f>HYPERLINK("https://us2.cloudbeds.com/connect/10074733072513#/reservations/31694225739950?display=Mr%20&amp;%20Mrs%20Willson%20Bride%20And%20Groom&amp;reservation_id=31694225739950&amp;guest_id=31694213271758", "Mr &amp; Mrs Willson Bride And Groom")</f>
        <v>Mr &amp; Mrs Willson Bride And Groom</v>
      </c>
      <c r="E8447" t="s">
        <v>6741</v>
      </c>
      <c r="F8447" t="s">
        <v>6746</v>
      </c>
      <c r="G8447">
        <v>189</v>
      </c>
      <c r="H8447">
        <v>205.45</v>
      </c>
      <c r="I8447">
        <v>205.44</v>
      </c>
      <c r="J8447">
        <v>0.01</v>
      </c>
    </row>
    <row r="8448" spans="1:10" x14ac:dyDescent="0.3">
      <c r="A8448" t="str">
        <f>HYPERLINK("https://us2.cloudbeds.com/connect/10074733072513#/reservations/31679600357566?display=MHAU752Q6&amp;reservation_id=31679600357566", "MHAU752Q6")</f>
        <v>MHAU752Q6</v>
      </c>
      <c r="B8448" t="s">
        <v>10</v>
      </c>
      <c r="C8448" t="s">
        <v>42</v>
      </c>
      <c r="D8448" t="str">
        <f>HYPERLINK("https://us2.cloudbeds.com/connect/10074733072513#/reservations/31679600357566?display=Jae%20De%20Jong&amp;reservation_id=31679600357566&amp;guest_id=31679600357549", "Jae De Jong")</f>
        <v>Jae De Jong</v>
      </c>
      <c r="E8448" t="s">
        <v>6747</v>
      </c>
      <c r="F8448" t="s">
        <v>6449</v>
      </c>
      <c r="G8448">
        <v>189</v>
      </c>
      <c r="H8448">
        <v>205.45</v>
      </c>
      <c r="I8448">
        <v>205.44</v>
      </c>
      <c r="J8448">
        <v>0.01</v>
      </c>
    </row>
    <row r="8449" spans="1:10" x14ac:dyDescent="0.3">
      <c r="A8449" t="str">
        <f>HYPERLINK("https://us2.cloudbeds.com/connect/10074733072513#/reservations/31680242192615?display=MHBDKC304&amp;reservation_id=31680242192615", "MHBDKC304")</f>
        <v>MHBDKC304</v>
      </c>
      <c r="B8449" t="s">
        <v>10</v>
      </c>
      <c r="C8449" t="s">
        <v>42</v>
      </c>
      <c r="D8449" t="str">
        <f>HYPERLINK("https://us2.cloudbeds.com/connect/10074733072513#/reservations/31680242192615?display=Greg%20Joines&amp;reservation_id=31680242192615&amp;guest_id=31680233836682", "Greg Joines")</f>
        <v>Greg Joines</v>
      </c>
      <c r="E8449" t="s">
        <v>6749</v>
      </c>
      <c r="F8449" t="s">
        <v>5556</v>
      </c>
      <c r="G8449">
        <v>150</v>
      </c>
      <c r="H8449">
        <v>163.06</v>
      </c>
      <c r="I8449">
        <v>163.05000000000001</v>
      </c>
      <c r="J8449">
        <v>0.01</v>
      </c>
    </row>
    <row r="8450" spans="1:10" x14ac:dyDescent="0.3">
      <c r="A8450" t="str">
        <f>HYPERLINK("https://us2.cloudbeds.com/connect/10074733072513#/reservations/31680957304989?display=MHBVTC4S2&amp;reservation_id=31680957304989", "MHBVTC4S2")</f>
        <v>MHBVTC4S2</v>
      </c>
      <c r="B8450" t="s">
        <v>10</v>
      </c>
      <c r="C8450" t="s">
        <v>42</v>
      </c>
      <c r="D8450" t="str">
        <f>HYPERLINK("https://us2.cloudbeds.com/connect/10074733072513#/reservations/31680957304989?display=John%20And%20Patricia%20Gerberding&amp;reservation_id=31680957304989&amp;guest_id=31680949424331", "John And Patricia Gerberding")</f>
        <v>John And Patricia Gerberding</v>
      </c>
      <c r="E8450" t="s">
        <v>6752</v>
      </c>
      <c r="F8450" t="s">
        <v>5781</v>
      </c>
      <c r="G8450">
        <v>378</v>
      </c>
      <c r="H8450">
        <v>410.9</v>
      </c>
      <c r="I8450">
        <v>410.89</v>
      </c>
      <c r="J8450">
        <v>0.01</v>
      </c>
    </row>
    <row r="8451" spans="1:10" x14ac:dyDescent="0.3">
      <c r="A8451" t="str">
        <f>HYPERLINK("https://us2.cloudbeds.com/connect/10074733072513#/reservations/31679136018560?display=MHAX5PX3D&amp;reservation_id=31679136018560", "MHAX5PX3D")</f>
        <v>MHAX5PX3D</v>
      </c>
      <c r="B8451" t="s">
        <v>10</v>
      </c>
      <c r="C8451" t="s">
        <v>42</v>
      </c>
      <c r="D8451" t="str">
        <f>HYPERLINK("https://us2.cloudbeds.com/connect/10074733072513#/reservations/31679136018560?display=Ricky%20Wood&amp;reservation_id=31679136018560&amp;guest_id=31679129096415", "Ricky Wood")</f>
        <v>Ricky Wood</v>
      </c>
      <c r="E8451" t="s">
        <v>6753</v>
      </c>
      <c r="F8451" t="s">
        <v>6449</v>
      </c>
      <c r="G8451">
        <v>149</v>
      </c>
      <c r="H8451">
        <v>161.97</v>
      </c>
      <c r="I8451">
        <v>161.96</v>
      </c>
      <c r="J8451">
        <v>0.01</v>
      </c>
    </row>
    <row r="8452" spans="1:10" x14ac:dyDescent="0.3">
      <c r="A8452" t="str">
        <f>HYPERLINK("https://us2.cloudbeds.com/connect/10074733072513#/reservations/31694058115261?display=MHM3YAGYZ&amp;reservation_id=31694058115261", "MHM3YAGYZ")</f>
        <v>MHM3YAGYZ</v>
      </c>
      <c r="B8452" t="s">
        <v>10</v>
      </c>
      <c r="C8452" t="s">
        <v>42</v>
      </c>
      <c r="D8452" t="str">
        <f>HYPERLINK("https://us2.cloudbeds.com/connect/10074733072513#/reservations/31694058115261?display=Allison%20Harris%20Makeup%20Space&amp;reservation_id=31694058115261&amp;guest_id=31694053847267", "Allison Harris Makeup Space")</f>
        <v>Allison Harris Makeup Space</v>
      </c>
      <c r="E8452" t="s">
        <v>6741</v>
      </c>
      <c r="F8452" t="s">
        <v>6742</v>
      </c>
      <c r="G8452">
        <v>338</v>
      </c>
      <c r="H8452">
        <v>367.42</v>
      </c>
      <c r="I8452">
        <v>367.41</v>
      </c>
      <c r="J8452">
        <v>0.01</v>
      </c>
    </row>
    <row r="8453" spans="1:10" x14ac:dyDescent="0.3">
      <c r="A8453" t="str">
        <f>HYPERLINK("https://us2.cloudbeds.com/connect/10074733072513#/reservations/31680474542303?display=MHBJX9XJP&amp;reservation_id=31680474542303", "MHBJX9XJP")</f>
        <v>MHBJX9XJP</v>
      </c>
      <c r="B8453" t="s">
        <v>10</v>
      </c>
      <c r="C8453" t="s">
        <v>23</v>
      </c>
      <c r="D8453" t="str">
        <f>HYPERLINK("https://us2.cloudbeds.com/connect/10074733072513#/reservations/31680474542303?display=Lori%20Kinney&amp;reservation_id=31680474542303&amp;guest_id=31680461795538", "Lori Kinney")</f>
        <v>Lori Kinney</v>
      </c>
      <c r="E8453" t="s">
        <v>6755</v>
      </c>
      <c r="F8453" t="s">
        <v>6692</v>
      </c>
      <c r="G8453">
        <v>169</v>
      </c>
      <c r="H8453">
        <v>183.71</v>
      </c>
      <c r="I8453">
        <v>183.7</v>
      </c>
      <c r="J8453">
        <v>0.01</v>
      </c>
    </row>
    <row r="8454" spans="1:10" x14ac:dyDescent="0.3">
      <c r="A8454" t="str">
        <f>HYPERLINK("https://us2.cloudbeds.com/connect/10074733072513#/reservations/31682535428351?display=MHD672ZV4&amp;reservation_id=31682535428351", "MHD672ZV4")</f>
        <v>MHD672ZV4</v>
      </c>
      <c r="B8454" t="s">
        <v>10</v>
      </c>
      <c r="C8454" t="s">
        <v>42</v>
      </c>
      <c r="D8454" t="str">
        <f>HYPERLINK("https://us2.cloudbeds.com/connect/10074733072513#/reservations/31682535428351?display=Connie%20Bearry&amp;reservation_id=31682535428351&amp;guest_id=31682535428346", "Connie Bearry")</f>
        <v>Connie Bearry</v>
      </c>
      <c r="E8454" t="s">
        <v>6757</v>
      </c>
      <c r="F8454" t="s">
        <v>5017</v>
      </c>
      <c r="G8454">
        <v>129</v>
      </c>
      <c r="H8454">
        <v>140.22999999999999</v>
      </c>
      <c r="I8454">
        <v>140.22</v>
      </c>
      <c r="J8454">
        <v>0.01</v>
      </c>
    </row>
    <row r="8455" spans="1:10" x14ac:dyDescent="0.3">
      <c r="A8455" t="str">
        <f>HYPERLINK("https://us2.cloudbeds.com/connect/10074733072513#/reservations/31685825736904?display=MHFZ9XEXS&amp;reservation_id=31685825736904", "MHFZ9XEXS")</f>
        <v>MHFZ9XEXS</v>
      </c>
      <c r="B8455" t="s">
        <v>10</v>
      </c>
      <c r="C8455" t="s">
        <v>11</v>
      </c>
      <c r="D8455" t="str">
        <f>HYPERLINK("https://us2.cloudbeds.com/connect/10074733072513#/reservations/31685825736904?display=Amanda%20Sparks&amp;reservation_id=31685825736904&amp;guest_id=31685818228988", "Amanda Sparks")</f>
        <v>Amanda Sparks</v>
      </c>
      <c r="E8455" t="s">
        <v>6758</v>
      </c>
      <c r="F8455" t="s">
        <v>4974</v>
      </c>
      <c r="G8455">
        <v>198.52</v>
      </c>
      <c r="H8455">
        <v>215.8</v>
      </c>
      <c r="I8455">
        <v>215.79</v>
      </c>
      <c r="J8455">
        <v>0.01</v>
      </c>
    </row>
    <row r="8456" spans="1:10" x14ac:dyDescent="0.3">
      <c r="A8456" t="str">
        <f>HYPERLINK("https://us2.cloudbeds.com/connect/10074733072513#/reservations/31679459913939?display=MHAQKZ13N&amp;reservation_id=31679459913939", "MHAQKZ13N")</f>
        <v>MHAQKZ13N</v>
      </c>
      <c r="B8456" t="s">
        <v>10</v>
      </c>
      <c r="C8456" t="s">
        <v>42</v>
      </c>
      <c r="D8456" t="str">
        <f>HYPERLINK("https://us2.cloudbeds.com/connect/10074733072513#/reservations/31679459913939?display=Marlyn%20Poppens&amp;reservation_id=31679459913939&amp;guest_id=17963556163748", "Marlyn Poppens")</f>
        <v>Marlyn Poppens</v>
      </c>
      <c r="E8456" t="s">
        <v>2954</v>
      </c>
      <c r="F8456" t="s">
        <v>5544</v>
      </c>
      <c r="G8456">
        <v>238</v>
      </c>
      <c r="H8456">
        <v>258.72000000000003</v>
      </c>
      <c r="I8456">
        <v>258.70999999999998</v>
      </c>
      <c r="J8456">
        <v>0.01</v>
      </c>
    </row>
    <row r="8457" spans="1:10" x14ac:dyDescent="0.3">
      <c r="A8457" t="str">
        <f>HYPERLINK("https://us2.cloudbeds.com/connect/10074733072513#/reservations/31680444358789?display=MHBXPRYSR&amp;reservation_id=31680444358789", "MHBXPRYSR")</f>
        <v>MHBXPRYSR</v>
      </c>
      <c r="B8457" t="s">
        <v>10</v>
      </c>
      <c r="C8457" t="s">
        <v>42</v>
      </c>
      <c r="D8457" t="str">
        <f>HYPERLINK("https://us2.cloudbeds.com/connect/10074733072513#/reservations/31680444358789?display=John%20Scott&amp;reservation_id=31680444358789&amp;guest_id=31680444354695", "John Scott")</f>
        <v>John Scott</v>
      </c>
      <c r="E8457" t="s">
        <v>6761</v>
      </c>
      <c r="F8457" t="s">
        <v>5556</v>
      </c>
      <c r="G8457">
        <v>209</v>
      </c>
      <c r="H8457">
        <v>227.19</v>
      </c>
      <c r="I8457">
        <v>227.18</v>
      </c>
      <c r="J8457">
        <v>0.01</v>
      </c>
    </row>
    <row r="8458" spans="1:10" x14ac:dyDescent="0.3">
      <c r="A8458" t="str">
        <f>HYPERLINK("https://us2.cloudbeds.com/connect/10074733072513#/reservations/31685384986758?display=MHFD0TUAT&amp;reservation_id=31685384986758", "MHFD0TUAT")</f>
        <v>MHFD0TUAT</v>
      </c>
      <c r="B8458" t="s">
        <v>10</v>
      </c>
      <c r="C8458" t="s">
        <v>42</v>
      </c>
      <c r="D8458" t="str">
        <f>HYPERLINK("https://us2.cloudbeds.com/connect/10074733072513#/reservations/31685384986758?display=Robert%20Machetta&amp;reservation_id=31685384986758&amp;guest_id=31685374890233", "Robert Machetta")</f>
        <v>Robert Machetta</v>
      </c>
      <c r="E8458" t="s">
        <v>6762</v>
      </c>
      <c r="F8458" t="s">
        <v>5745</v>
      </c>
      <c r="G8458">
        <v>119</v>
      </c>
      <c r="H8458">
        <v>129.36000000000001</v>
      </c>
      <c r="I8458">
        <v>129.35</v>
      </c>
      <c r="J8458">
        <v>0.01</v>
      </c>
    </row>
    <row r="8459" spans="1:10" x14ac:dyDescent="0.3">
      <c r="A8459" t="str">
        <f>HYPERLINK("https://us2.cloudbeds.com/connect/10074733072513#/reservations/31681977766048?display=MHCZVRWBF&amp;reservation_id=31681977766048", "MHCZVRWBF")</f>
        <v>MHCZVRWBF</v>
      </c>
      <c r="B8459" t="s">
        <v>10</v>
      </c>
      <c r="C8459" t="s">
        <v>20</v>
      </c>
      <c r="D8459" t="str">
        <f>HYPERLINK("https://us2.cloudbeds.com/connect/10074733072513#/reservations/31681977766048?display=Susan%20Griepenstroh&amp;reservation_id=31681977766048&amp;guest_id=31681964576967", "Susan Griepenstroh")</f>
        <v>Susan Griepenstroh</v>
      </c>
      <c r="E8459" t="s">
        <v>6763</v>
      </c>
      <c r="F8459" t="s">
        <v>5544</v>
      </c>
      <c r="G8459">
        <v>209</v>
      </c>
      <c r="H8459">
        <v>227.19</v>
      </c>
      <c r="I8459">
        <v>227.18</v>
      </c>
      <c r="J8459">
        <v>0.01</v>
      </c>
    </row>
    <row r="8460" spans="1:10" x14ac:dyDescent="0.3">
      <c r="A8460" t="str">
        <f>HYPERLINK("https://us2.cloudbeds.com/connect/10074733072513#/reservations/31681450606795?display=MHCBGAWTY&amp;reservation_id=31681450606795", "MHCBGAWTY")</f>
        <v>MHCBGAWTY</v>
      </c>
      <c r="B8460" t="s">
        <v>10</v>
      </c>
      <c r="C8460" t="s">
        <v>42</v>
      </c>
      <c r="D8460" t="str">
        <f>HYPERLINK("https://us2.cloudbeds.com/connect/10074733072513#/reservations/31681450606795?display=Daniel%20Kahlstorf&amp;reservation_id=31681450606795&amp;guest_id=31675447382154", "Daniel Kahlstorf")</f>
        <v>Daniel Kahlstorf</v>
      </c>
      <c r="E8460" t="s">
        <v>5683</v>
      </c>
      <c r="F8460" t="s">
        <v>6692</v>
      </c>
      <c r="G8460">
        <v>73</v>
      </c>
      <c r="H8460">
        <v>79.36</v>
      </c>
      <c r="I8460">
        <v>79.349999999999994</v>
      </c>
      <c r="J8460">
        <v>0.01</v>
      </c>
    </row>
    <row r="8461" spans="1:10" x14ac:dyDescent="0.3">
      <c r="A8461" t="str">
        <f>HYPERLINK("https://us2.cloudbeds.com/connect/10074733072513#/reservations/31681476305033?display=MHCC502U4&amp;reservation_id=31681476305033", "MHCC502U4")</f>
        <v>MHCC502U4</v>
      </c>
      <c r="B8461" t="s">
        <v>10</v>
      </c>
      <c r="C8461" t="s">
        <v>42</v>
      </c>
      <c r="D8461" t="str">
        <f>HYPERLINK("https://us2.cloudbeds.com/connect/10074733072513#/reservations/31681476305033?display=Chris%20Soderquist&amp;reservation_id=31681476305033&amp;guest_id=31672447602893", "Chris Soderquist")</f>
        <v>Chris Soderquist</v>
      </c>
      <c r="E8461" t="s">
        <v>6764</v>
      </c>
      <c r="F8461" t="s">
        <v>6692</v>
      </c>
      <c r="G8461">
        <v>119</v>
      </c>
      <c r="H8461">
        <v>129.36000000000001</v>
      </c>
      <c r="I8461">
        <v>129.35</v>
      </c>
      <c r="J8461">
        <v>0.01</v>
      </c>
    </row>
    <row r="8462" spans="1:10" x14ac:dyDescent="0.3">
      <c r="A8462" t="str">
        <f>HYPERLINK("https://us2.cloudbeds.com/connect/10074733072513#/reservations/31684255273190?display=MHEH59W4D&amp;reservation_id=31684255273190", "MHEH59W4D")</f>
        <v>MHEH59W4D</v>
      </c>
      <c r="B8462" t="s">
        <v>10</v>
      </c>
      <c r="C8462" t="s">
        <v>42</v>
      </c>
      <c r="D8462" t="str">
        <f>HYPERLINK("https://us2.cloudbeds.com/connect/10074733072513#/reservations/31684255273190?display=Tyler%20Fulkerth&amp;reservation_id=31684255273190&amp;guest_id=31684255273185", "Tyler Fulkerth")</f>
        <v>Tyler Fulkerth</v>
      </c>
      <c r="E8462" t="s">
        <v>6765</v>
      </c>
      <c r="F8462" t="s">
        <v>6353</v>
      </c>
      <c r="G8462">
        <v>239</v>
      </c>
      <c r="H8462">
        <v>259.8</v>
      </c>
      <c r="I8462">
        <v>259.79000000000002</v>
      </c>
      <c r="J8462">
        <v>0.01</v>
      </c>
    </row>
    <row r="8463" spans="1:10" x14ac:dyDescent="0.3">
      <c r="A8463" t="str">
        <f>HYPERLINK("https://us2.cloudbeds.com/connect/10074733072513#/reservations/31679380336856?display=MHAZJKMXV&amp;reservation_id=31679380336856", "MHAZJKMXV")</f>
        <v>MHAZJKMXV</v>
      </c>
      <c r="B8463" t="s">
        <v>10</v>
      </c>
      <c r="C8463" t="s">
        <v>42</v>
      </c>
      <c r="D8463" t="str">
        <f>HYPERLINK("https://us2.cloudbeds.com/connect/10074733072513#/reservations/31679380336856?display=Payton%20Hardin&amp;reservation_id=31679380336856&amp;guest_id=31679380336833", "Payton Hardin")</f>
        <v>Payton Hardin</v>
      </c>
      <c r="E8463" t="s">
        <v>6767</v>
      </c>
      <c r="F8463" t="s">
        <v>5366</v>
      </c>
      <c r="G8463">
        <v>298</v>
      </c>
      <c r="H8463">
        <v>323.94</v>
      </c>
      <c r="I8463">
        <v>323.93</v>
      </c>
      <c r="J8463">
        <v>0.01</v>
      </c>
    </row>
    <row r="8464" spans="1:10" x14ac:dyDescent="0.3">
      <c r="A8464" t="str">
        <f>HYPERLINK("https://us2.cloudbeds.com/connect/10074733072513#/reservations/31682628464802?display=MHD8JHKSH&amp;reservation_id=31682628464802", "MHD8JHKSH")</f>
        <v>MHD8JHKSH</v>
      </c>
      <c r="B8464" t="s">
        <v>10</v>
      </c>
      <c r="C8464" t="s">
        <v>42</v>
      </c>
      <c r="D8464" t="str">
        <f>HYPERLINK("https://us2.cloudbeds.com/connect/10074733072513#/reservations/31682628464802?display=Kirt%20Cooper&amp;reservation_id=31682628464802&amp;guest_id=31682619797706", "Kirt Cooper")</f>
        <v>Kirt Cooper</v>
      </c>
      <c r="E8464" t="s">
        <v>6768</v>
      </c>
      <c r="F8464" t="s">
        <v>4868</v>
      </c>
      <c r="G8464">
        <v>278</v>
      </c>
      <c r="H8464">
        <v>302.2</v>
      </c>
      <c r="I8464">
        <v>302.19</v>
      </c>
      <c r="J8464">
        <v>0.01</v>
      </c>
    </row>
    <row r="8465" spans="1:10" x14ac:dyDescent="0.3">
      <c r="A8465" t="str">
        <f>HYPERLINK("https://us2.cloudbeds.com/connect/10074733072513#/reservations/31680461791446?display=MHBJ7HZR5&amp;reservation_id=31680461791446", "MHBJ7HZR5")</f>
        <v>MHBJ7HZR5</v>
      </c>
      <c r="B8465" t="s">
        <v>10</v>
      </c>
      <c r="C8465" t="s">
        <v>11</v>
      </c>
      <c r="D8465" t="str">
        <f>HYPERLINK("https://us2.cloudbeds.com/connect/10074733072513#/reservations/31680461791446?display=Matthew%20Smith&amp;reservation_id=31680461791446&amp;guest_id=31680461791440", "Matthew Smith")</f>
        <v>Matthew Smith</v>
      </c>
      <c r="E8465" t="s">
        <v>6769</v>
      </c>
      <c r="F8465" t="s">
        <v>6692</v>
      </c>
      <c r="G8465">
        <v>110.86</v>
      </c>
      <c r="H8465">
        <v>120.51</v>
      </c>
      <c r="I8465">
        <v>120.5</v>
      </c>
      <c r="J8465">
        <v>0.01</v>
      </c>
    </row>
    <row r="8466" spans="1:10" x14ac:dyDescent="0.3">
      <c r="A8466" t="str">
        <f>HYPERLINK("https://us2.cloudbeds.com/connect/10074733072513#/reservations/31681108480133?display=MHC2ZRR01&amp;reservation_id=31681108480133", "MHC2ZRR01")</f>
        <v>MHC2ZRR01</v>
      </c>
      <c r="B8466" t="s">
        <v>10</v>
      </c>
      <c r="C8466" t="s">
        <v>42</v>
      </c>
      <c r="D8466" t="str">
        <f>HYPERLINK("https://us2.cloudbeds.com/connect/10074733072513#/reservations/31681108480133?display=Chris%20Kroll&amp;reservation_id=31681108480133&amp;guest_id=31681108480131", "Chris Kroll")</f>
        <v>Chris Kroll</v>
      </c>
      <c r="E8466" t="s">
        <v>6770</v>
      </c>
      <c r="F8466" t="s">
        <v>5283</v>
      </c>
      <c r="G8466">
        <v>278</v>
      </c>
      <c r="H8466">
        <v>302.2</v>
      </c>
      <c r="I8466">
        <v>302.19</v>
      </c>
      <c r="J8466">
        <v>0.01</v>
      </c>
    </row>
    <row r="8467" spans="1:10" x14ac:dyDescent="0.3">
      <c r="A8467" t="str">
        <f>HYPERLINK("https://us2.cloudbeds.com/connect/10074733072513#/reservations/31681722593409?display=MHCXEME18&amp;reservation_id=31681722593409", "MHCXEME18")</f>
        <v>MHCXEME18</v>
      </c>
      <c r="B8467" t="s">
        <v>10</v>
      </c>
      <c r="C8467" t="s">
        <v>42</v>
      </c>
      <c r="D8467" t="str">
        <f>HYPERLINK("https://us2.cloudbeds.com/connect/10074733072513#/reservations/31681722593409?display=Traci%20Booe&amp;reservation_id=31681722593409&amp;guest_id=31681722589371", "Traci Booe")</f>
        <v>Traci Booe</v>
      </c>
      <c r="E8467" t="s">
        <v>6772</v>
      </c>
      <c r="F8467" t="s">
        <v>5537</v>
      </c>
      <c r="G8467">
        <v>258</v>
      </c>
      <c r="H8467">
        <v>280.45999999999998</v>
      </c>
      <c r="I8467">
        <v>280.45</v>
      </c>
      <c r="J8467">
        <v>0.01</v>
      </c>
    </row>
    <row r="8468" spans="1:10" x14ac:dyDescent="0.3">
      <c r="A8468" t="str">
        <f>HYPERLINK("https://us2.cloudbeds.com/connect/10074733072513#/reservations/31681311113363?display=MHC7UNCZV&amp;reservation_id=31681311113363", "MHC7UNCZV")</f>
        <v>MHC7UNCZV</v>
      </c>
      <c r="B8468" t="s">
        <v>10</v>
      </c>
      <c r="C8468" t="s">
        <v>42</v>
      </c>
      <c r="D8468" t="str">
        <f>HYPERLINK("https://us2.cloudbeds.com/connect/10074733072513#/reservations/31681311113363?display=Paul%20Stevenson&amp;reservation_id=31681311113363&amp;guest_id=31679659221242", "Paul Stevenson")</f>
        <v>Paul Stevenson</v>
      </c>
      <c r="E8468" t="s">
        <v>6445</v>
      </c>
      <c r="F8468" t="s">
        <v>6736</v>
      </c>
      <c r="G8468">
        <v>150</v>
      </c>
      <c r="H8468">
        <v>163.06</v>
      </c>
      <c r="I8468">
        <v>163.05000000000001</v>
      </c>
      <c r="J8468">
        <v>0.01</v>
      </c>
    </row>
    <row r="8469" spans="1:10" x14ac:dyDescent="0.3">
      <c r="A8469" t="str">
        <f>HYPERLINK("https://us2.cloudbeds.com/connect/10074733072513#/reservations/31681986638070?display=MHCP6AS9K&amp;reservation_id=31681986638070", "MHCP6AS9K")</f>
        <v>MHCP6AS9K</v>
      </c>
      <c r="B8469" t="s">
        <v>10</v>
      </c>
      <c r="C8469" t="s">
        <v>20</v>
      </c>
      <c r="D8469" t="str">
        <f>HYPERLINK("https://us2.cloudbeds.com/connect/10074733072513#/reservations/31681986638070?display=Jean%20Vetter&amp;reservation_id=31681986638070&amp;guest_id=31681977770140", "Jean Vetter")</f>
        <v>Jean Vetter</v>
      </c>
      <c r="E8469" t="s">
        <v>6773</v>
      </c>
      <c r="F8469" t="s">
        <v>5544</v>
      </c>
      <c r="G8469">
        <v>159</v>
      </c>
      <c r="H8469">
        <v>172.84</v>
      </c>
      <c r="I8469">
        <v>172.83</v>
      </c>
      <c r="J8469">
        <v>0.01</v>
      </c>
    </row>
    <row r="8470" spans="1:10" x14ac:dyDescent="0.3">
      <c r="A8470" t="str">
        <f>HYPERLINK("https://us2.cloudbeds.com/connect/10074733072513#/reservations/31681766703261?display=MHCJXSRVE&amp;reservation_id=31681766703261", "MHCJXSRVE")</f>
        <v>MHCJXSRVE</v>
      </c>
      <c r="B8470" t="s">
        <v>10</v>
      </c>
      <c r="C8470" t="s">
        <v>42</v>
      </c>
      <c r="D8470" t="str">
        <f>HYPERLINK("https://us2.cloudbeds.com/connect/10074733072513#/reservations/31681766703261?display=Cassandra%20Lansdowne&amp;reservation_id=31681766703261&amp;guest_id=31681766699169", "Cassandra Lansdowne")</f>
        <v>Cassandra Lansdowne</v>
      </c>
      <c r="E8470" t="s">
        <v>6621</v>
      </c>
      <c r="F8470" t="s">
        <v>6467</v>
      </c>
      <c r="G8470">
        <v>258</v>
      </c>
      <c r="H8470">
        <v>280.45999999999998</v>
      </c>
      <c r="I8470">
        <v>280.45</v>
      </c>
      <c r="J8470">
        <v>0.01</v>
      </c>
    </row>
    <row r="8471" spans="1:10" x14ac:dyDescent="0.3">
      <c r="A8471" t="str">
        <f>HYPERLINK("https://us2.cloudbeds.com/connect/10074733072513#/reservations/31681077911760?display=MHC1W26SN&amp;reservation_id=31681077911760", "MHC1W26SN")</f>
        <v>MHC1W26SN</v>
      </c>
      <c r="B8471" t="s">
        <v>10</v>
      </c>
      <c r="C8471" t="s">
        <v>17</v>
      </c>
      <c r="D8471" t="str">
        <f>HYPERLINK("https://us2.cloudbeds.com/connect/10074733072513#/reservations/31681077911760?display=Astie%20Yovo-Kpela&amp;reservation_id=31681077911760&amp;guest_id=31681077911758", "Astie Yovo-Kpela")</f>
        <v>Astie Yovo-Kpela</v>
      </c>
      <c r="E8471" t="s">
        <v>6776</v>
      </c>
      <c r="F8471" t="s">
        <v>5283</v>
      </c>
      <c r="G8471">
        <v>239</v>
      </c>
      <c r="H8471">
        <v>259.8</v>
      </c>
      <c r="I8471">
        <v>259.79000000000002</v>
      </c>
      <c r="J8471">
        <v>0.01</v>
      </c>
    </row>
    <row r="8472" spans="1:10" x14ac:dyDescent="0.3">
      <c r="A8472" t="str">
        <f>HYPERLINK("https://us2.cloudbeds.com/connect/10074733072513#/reservations/31680848326849?display=MHBT3FM36&amp;reservation_id=31680848326849", "MHBT3FM36")</f>
        <v>MHBT3FM36</v>
      </c>
      <c r="B8472" t="s">
        <v>10</v>
      </c>
      <c r="C8472" t="s">
        <v>42</v>
      </c>
      <c r="D8472" t="str">
        <f>HYPERLINK("https://us2.cloudbeds.com/connect/10074733072513#/reservations/31680848326849?display=Cameron%20Wyly&amp;reservation_id=31680848326849&amp;guest_id=31676340576486", "Cameron Wyly")</f>
        <v>Cameron Wyly</v>
      </c>
      <c r="E8472" t="s">
        <v>5570</v>
      </c>
      <c r="F8472" t="s">
        <v>6430</v>
      </c>
      <c r="G8472">
        <v>89</v>
      </c>
      <c r="H8472">
        <v>96.75</v>
      </c>
      <c r="I8472">
        <v>96.74</v>
      </c>
      <c r="J8472">
        <v>0.01</v>
      </c>
    </row>
    <row r="8473" spans="1:10" x14ac:dyDescent="0.3">
      <c r="A8473" t="str">
        <f>HYPERLINK("https://us2.cloudbeds.com/connect/10074733072513#/reservations/31686689747165?display=MHGDC3QE1&amp;reservation_id=31686689747165", "MHGDC3QE1")</f>
        <v>MHGDC3QE1</v>
      </c>
      <c r="B8473" t="s">
        <v>10</v>
      </c>
      <c r="C8473" t="s">
        <v>42</v>
      </c>
      <c r="D8473" t="str">
        <f>HYPERLINK("https://us2.cloudbeds.com/connect/10074733072513#/reservations/31686689747165?display=Scott%20Vogel&amp;reservation_id=31686689747165&amp;guest_id=31686682034308", "Scott Vogel")</f>
        <v>Scott Vogel</v>
      </c>
      <c r="E8473" t="s">
        <v>6777</v>
      </c>
      <c r="F8473" t="s">
        <v>4181</v>
      </c>
      <c r="G8473">
        <v>258</v>
      </c>
      <c r="H8473">
        <v>280.45999999999998</v>
      </c>
      <c r="I8473">
        <v>280.45</v>
      </c>
      <c r="J8473">
        <v>0.01</v>
      </c>
    </row>
    <row r="8474" spans="1:10" x14ac:dyDescent="0.3">
      <c r="A8474" t="str">
        <f>HYPERLINK("https://us2.cloudbeds.com/connect/10074733072513#/reservations/31684899922160?display=MHF0KT99M&amp;reservation_id=31684899922160", "MHF0KT99M")</f>
        <v>MHF0KT99M</v>
      </c>
      <c r="B8474" t="s">
        <v>10</v>
      </c>
      <c r="C8474" t="s">
        <v>20</v>
      </c>
      <c r="D8474" t="str">
        <f>HYPERLINK("https://us2.cloudbeds.com/connect/10074733072513#/reservations/31684899922160?display=Robert%20Asbell&amp;reservation_id=31684899922160&amp;guest_id=31684890665113", "Robert Asbell")</f>
        <v>Robert Asbell</v>
      </c>
      <c r="E8474" t="s">
        <v>6779</v>
      </c>
      <c r="F8474" t="s">
        <v>6550</v>
      </c>
      <c r="G8474">
        <v>358</v>
      </c>
      <c r="H8474">
        <v>389.16</v>
      </c>
      <c r="I8474">
        <v>389.15</v>
      </c>
      <c r="J8474">
        <v>0.01</v>
      </c>
    </row>
    <row r="8475" spans="1:10" x14ac:dyDescent="0.3">
      <c r="A8475" t="str">
        <f>HYPERLINK("https://us2.cloudbeds.com/connect/10074733072513#/reservations/31683057086705?display=MHDJHVM21&amp;reservation_id=31683057086705", "MHDJHVM21")</f>
        <v>MHDJHVM21</v>
      </c>
      <c r="B8475" t="s">
        <v>10</v>
      </c>
      <c r="C8475" t="s">
        <v>42</v>
      </c>
      <c r="D8475" t="str">
        <f>HYPERLINK("https://us2.cloudbeds.com/connect/10074733072513#/reservations/31683057086705?display=Cory%20Glick&amp;reservation_id=31683057086705&amp;guest_id=31672877940869", "Cory Glick")</f>
        <v>Cory Glick</v>
      </c>
      <c r="E8475" t="s">
        <v>5004</v>
      </c>
      <c r="F8475" t="s">
        <v>5798</v>
      </c>
      <c r="G8475">
        <v>158</v>
      </c>
      <c r="H8475">
        <v>171.76</v>
      </c>
      <c r="I8475">
        <v>171.75</v>
      </c>
      <c r="J8475">
        <v>0.01</v>
      </c>
    </row>
    <row r="8476" spans="1:10" x14ac:dyDescent="0.3">
      <c r="A8476" t="str">
        <f>HYPERLINK("https://us2.cloudbeds.com/connect/10074733072513#/reservations/31680089051338?display=MHB9N7NDC&amp;reservation_id=31680089051338", "MHB9N7NDC")</f>
        <v>MHB9N7NDC</v>
      </c>
      <c r="B8476" t="s">
        <v>10</v>
      </c>
      <c r="C8476" t="s">
        <v>42</v>
      </c>
      <c r="D8476" t="str">
        <f>HYPERLINK("https://us2.cloudbeds.com/connect/10074733072513#/reservations/31680089051338?display=High%20Plains%20Vermeer&amp;reservation_id=31680089051338&amp;guest_id=31680078991534", "High Plains Vermeer")</f>
        <v>High Plains Vermeer</v>
      </c>
      <c r="E8476" t="s">
        <v>6783</v>
      </c>
      <c r="F8476" t="s">
        <v>6607</v>
      </c>
      <c r="G8476">
        <v>158</v>
      </c>
      <c r="H8476">
        <v>171.76</v>
      </c>
      <c r="I8476">
        <v>171.75</v>
      </c>
      <c r="J8476">
        <v>0.01</v>
      </c>
    </row>
    <row r="8477" spans="1:10" x14ac:dyDescent="0.3">
      <c r="A8477" t="str">
        <f>HYPERLINK("https://us2.cloudbeds.com/connect/10074733072513#/reservations/31684536819912?display=MHEZBNE28&amp;reservation_id=31684536819912", "MHEZBNE28")</f>
        <v>MHEZBNE28</v>
      </c>
      <c r="B8477" t="s">
        <v>10</v>
      </c>
      <c r="C8477" t="s">
        <v>42</v>
      </c>
      <c r="D8477" t="str">
        <f>HYPERLINK("https://us2.cloudbeds.com/connect/10074733072513#/reservations/31684536819912?display=Dave%20Bult&amp;reservation_id=31684536819912&amp;guest_id=17963631702241", "Dave Bult")</f>
        <v>Dave Bult</v>
      </c>
      <c r="E8477" t="s">
        <v>6784</v>
      </c>
      <c r="F8477" t="s">
        <v>6607</v>
      </c>
      <c r="G8477">
        <v>159</v>
      </c>
      <c r="H8477">
        <v>172.84</v>
      </c>
      <c r="I8477">
        <v>172.83</v>
      </c>
      <c r="J8477">
        <v>0.01</v>
      </c>
    </row>
    <row r="8478" spans="1:10" x14ac:dyDescent="0.3">
      <c r="A8478" t="str">
        <f>HYPERLINK("https://us2.cloudbeds.com/connect/10074733072513#/reservations/31684552425717?display=MHEZZSMFE&amp;reservation_id=31684552425717", "MHEZZSMFE")</f>
        <v>MHEZZSMFE</v>
      </c>
      <c r="B8478" t="s">
        <v>10</v>
      </c>
      <c r="C8478" t="s">
        <v>121</v>
      </c>
      <c r="D8478" t="str">
        <f>HYPERLINK("https://us2.cloudbeds.com/connect/10074733072513#/reservations/31684552425717?display=Jerrell%20Faulkner&amp;reservation_id=31684552425717&amp;guest_id=31677618983129", "Jerrell Faulkner")</f>
        <v>Jerrell Faulkner</v>
      </c>
      <c r="E8478" t="s">
        <v>6187</v>
      </c>
      <c r="F8478" t="s">
        <v>6607</v>
      </c>
      <c r="G8478">
        <v>73</v>
      </c>
      <c r="H8478">
        <v>79.36</v>
      </c>
      <c r="I8478">
        <v>79.349999999999994</v>
      </c>
      <c r="J8478">
        <v>0.01</v>
      </c>
    </row>
    <row r="8479" spans="1:10" x14ac:dyDescent="0.3">
      <c r="A8479" t="str">
        <f>HYPERLINK("https://us2.cloudbeds.com/connect/10074733072513#/reservations/31682318442673?display=MHD0M3QNX&amp;reservation_id=31682318442673", "MHD0M3QNX")</f>
        <v>MHD0M3QNX</v>
      </c>
      <c r="B8479" t="s">
        <v>10</v>
      </c>
      <c r="C8479" t="s">
        <v>23</v>
      </c>
      <c r="D8479" t="str">
        <f>HYPERLINK("https://us2.cloudbeds.com/connect/10074733072513#/reservations/31682318442673?display=Karla%20Joy%20Senne&amp;reservation_id=31682318442673&amp;guest_id=31682309521558", "Karla Joy Senne")</f>
        <v>Karla Joy Senne</v>
      </c>
      <c r="E8479" t="s">
        <v>6786</v>
      </c>
      <c r="F8479" t="s">
        <v>6435</v>
      </c>
      <c r="G8479">
        <v>169</v>
      </c>
      <c r="H8479">
        <v>183.71</v>
      </c>
      <c r="I8479">
        <v>183.7</v>
      </c>
      <c r="J8479">
        <v>0.01</v>
      </c>
    </row>
    <row r="8480" spans="1:10" x14ac:dyDescent="0.3">
      <c r="A8480" t="str">
        <f>HYPERLINK("https://us2.cloudbeds.com/connect/10074733072513#/reservations/31679991849100?display=MHB778U50&amp;reservation_id=31679991849100", "MHB778U50")</f>
        <v>MHB778U50</v>
      </c>
      <c r="B8480" t="s">
        <v>10</v>
      </c>
      <c r="C8480" t="s">
        <v>121</v>
      </c>
      <c r="D8480" t="str">
        <f>HYPERLINK("https://us2.cloudbeds.com/connect/10074733072513#/reservations/31679991849100?display=Lomen%20Bradley&amp;reservation_id=31679991849100&amp;guest_id=31679991845044", "Lomen Bradley")</f>
        <v>Lomen Bradley</v>
      </c>
      <c r="E8480" t="s">
        <v>6787</v>
      </c>
      <c r="F8480" t="s">
        <v>6430</v>
      </c>
      <c r="G8480">
        <v>149</v>
      </c>
      <c r="H8480">
        <v>161.97</v>
      </c>
      <c r="I8480">
        <v>161.96</v>
      </c>
      <c r="J8480">
        <v>0.01</v>
      </c>
    </row>
    <row r="8481" spans="1:10" x14ac:dyDescent="0.3">
      <c r="A8481" t="str">
        <f>HYPERLINK("https://us2.cloudbeds.com/connect/10074733072513#/reservations/31681516736763?display=MHCD635A1&amp;reservation_id=31681516736763", "MHCD635A1")</f>
        <v>MHCD635A1</v>
      </c>
      <c r="B8481" t="s">
        <v>10</v>
      </c>
      <c r="C8481" t="s">
        <v>20</v>
      </c>
      <c r="D8481" t="str">
        <f>HYPERLINK("https://us2.cloudbeds.com/connect/10074733072513#/reservations/31681516736763?display=Susan%20Mcginley&amp;reservation_id=31681516736763&amp;guest_id=31681516736708", "Susan Mcginley")</f>
        <v>Susan Mcginley</v>
      </c>
      <c r="E8481" t="s">
        <v>6788</v>
      </c>
      <c r="F8481" t="s">
        <v>6550</v>
      </c>
      <c r="G8481">
        <v>149</v>
      </c>
      <c r="H8481">
        <v>161.97</v>
      </c>
      <c r="I8481">
        <v>161.96</v>
      </c>
      <c r="J8481">
        <v>0.01</v>
      </c>
    </row>
    <row r="8482" spans="1:10" x14ac:dyDescent="0.3">
      <c r="A8482" t="str">
        <f>HYPERLINK("https://us2.cloudbeds.com/connect/10074733072513#/reservations/31680027721928?display=MHB84H47D&amp;reservation_id=31680027721928", "MHB84H47D")</f>
        <v>MHB84H47D</v>
      </c>
      <c r="B8482" t="s">
        <v>10</v>
      </c>
      <c r="C8482" t="s">
        <v>17</v>
      </c>
      <c r="D8482" t="str">
        <f>HYPERLINK("https://us2.cloudbeds.com/connect/10074733072513#/reservations/31680027721928?display=Tracey%20Maynard&amp;reservation_id=31680027721928&amp;guest_id=31680027717847", "Tracey Maynard")</f>
        <v>Tracey Maynard</v>
      </c>
      <c r="E8482" t="s">
        <v>6789</v>
      </c>
      <c r="F8482" t="s">
        <v>6607</v>
      </c>
      <c r="G8482">
        <v>149</v>
      </c>
      <c r="H8482">
        <v>161.97</v>
      </c>
      <c r="I8482">
        <v>161.96</v>
      </c>
      <c r="J8482">
        <v>0.01</v>
      </c>
    </row>
    <row r="8483" spans="1:10" x14ac:dyDescent="0.3">
      <c r="A8483" t="str">
        <f>HYPERLINK("https://us2.cloudbeds.com/connect/10074733072513#/reservations/31680025583750?display=MHB82NKQ4&amp;reservation_id=31680025583750", "MHB82NKQ4")</f>
        <v>MHB82NKQ4</v>
      </c>
      <c r="B8483" t="s">
        <v>10</v>
      </c>
      <c r="C8483" t="s">
        <v>42</v>
      </c>
      <c r="D8483" t="str">
        <f>HYPERLINK("https://us2.cloudbeds.com/connect/10074733072513#/reservations/31680025583750?display=Lane%20Carpenter&amp;reservation_id=31680025583750&amp;guest_id=31680025579657", "Lane Carpenter")</f>
        <v>Lane Carpenter</v>
      </c>
      <c r="E8483" t="s">
        <v>6790</v>
      </c>
      <c r="F8483" t="s">
        <v>6607</v>
      </c>
      <c r="G8483">
        <v>149</v>
      </c>
      <c r="H8483">
        <v>161.97</v>
      </c>
      <c r="I8483">
        <v>161.96</v>
      </c>
      <c r="J8483">
        <v>0.01</v>
      </c>
    </row>
    <row r="8484" spans="1:10" x14ac:dyDescent="0.3">
      <c r="A8484" t="str">
        <f>HYPERLINK("https://us2.cloudbeds.com/connect/10074733072513#/reservations/31682205925602?display=MHCUQ7S8B&amp;reservation_id=31682205925602", "MHCUQ7S8B")</f>
        <v>MHCUQ7S8B</v>
      </c>
      <c r="B8484" t="s">
        <v>10</v>
      </c>
      <c r="C8484" t="s">
        <v>42</v>
      </c>
      <c r="D8484" t="str">
        <f>HYPERLINK("https://us2.cloudbeds.com/connect/10074733072513#/reservations/31682205925602?display=Brooke%20Koeck&amp;reservation_id=31682205925602&amp;guest_id=31682197496008", "Brooke Koeck")</f>
        <v>Brooke Koeck</v>
      </c>
      <c r="E8484" t="s">
        <v>6791</v>
      </c>
      <c r="F8484" t="s">
        <v>4772</v>
      </c>
      <c r="G8484">
        <v>278</v>
      </c>
      <c r="H8484">
        <v>302.2</v>
      </c>
      <c r="I8484">
        <v>302.19</v>
      </c>
      <c r="J8484">
        <v>0.01</v>
      </c>
    </row>
    <row r="8485" spans="1:10" x14ac:dyDescent="0.3">
      <c r="A8485" t="str">
        <f>HYPERLINK("https://us2.cloudbeds.com/connect/10074733072513#/reservations/31685832630467?display=MHFZFC8ZP&amp;reservation_id=31685832630467", "MHFZFC8ZP")</f>
        <v>MHFZFC8ZP</v>
      </c>
      <c r="B8485" t="s">
        <v>10</v>
      </c>
      <c r="C8485" t="s">
        <v>42</v>
      </c>
      <c r="D8485" t="str">
        <f>HYPERLINK("https://us2.cloudbeds.com/connect/10074733072513#/reservations/31685832630467?display=Desirae%20Tielbur&amp;reservation_id=31685832630467&amp;guest_id=31675586904271", "Desirae Tielbur")</f>
        <v>Desirae Tielbur</v>
      </c>
      <c r="E8485" t="s">
        <v>6792</v>
      </c>
      <c r="F8485" t="s">
        <v>5875</v>
      </c>
      <c r="G8485">
        <v>138</v>
      </c>
      <c r="H8485">
        <v>150.02000000000001</v>
      </c>
      <c r="I8485">
        <v>150.01</v>
      </c>
      <c r="J8485">
        <v>0.01</v>
      </c>
    </row>
    <row r="8486" spans="1:10" x14ac:dyDescent="0.3">
      <c r="A8486" t="str">
        <f>HYPERLINK("https://us2.cloudbeds.com/connect/10074733072513#/reservations/31683239977101?display=MHDZ75SG8&amp;reservation_id=31683239977101", "MHDZ75SG8")</f>
        <v>MHDZ75SG8</v>
      </c>
      <c r="B8486" t="s">
        <v>10</v>
      </c>
      <c r="C8486" t="s">
        <v>17</v>
      </c>
      <c r="D8486" t="str">
        <f>HYPERLINK("https://us2.cloudbeds.com/connect/10074733072513#/reservations/31683239977101?display=Tori%20Russenberger&amp;reservation_id=31683239977101&amp;guest_id=31683239977096", "Tori Russenberger")</f>
        <v>Tori Russenberger</v>
      </c>
      <c r="E8486" t="s">
        <v>6794</v>
      </c>
      <c r="F8486" t="s">
        <v>4772</v>
      </c>
      <c r="G8486">
        <v>199</v>
      </c>
      <c r="H8486">
        <v>216.32</v>
      </c>
      <c r="I8486">
        <v>216.31</v>
      </c>
      <c r="J8486">
        <v>0.01</v>
      </c>
    </row>
    <row r="8487" spans="1:10" x14ac:dyDescent="0.3">
      <c r="A8487" t="str">
        <f>HYPERLINK("https://us2.cloudbeds.com/connect/10074733072513#/reservations/31679921078418?display=MHB5DJK9T&amp;reservation_id=31679921078418", "MHB5DJK9T")</f>
        <v>MHB5DJK9T</v>
      </c>
      <c r="B8487" t="s">
        <v>10</v>
      </c>
      <c r="C8487" t="s">
        <v>42</v>
      </c>
      <c r="D8487" t="str">
        <f>HYPERLINK("https://us2.cloudbeds.com/connect/10074733072513#/reservations/31679921078418?display=Kevin%20Kimes&amp;reservation_id=31679921078418&amp;guest_id=31679921074320", "Kevin Kimes")</f>
        <v>Kevin Kimes</v>
      </c>
      <c r="E8487" t="s">
        <v>6796</v>
      </c>
      <c r="F8487" t="s">
        <v>6629</v>
      </c>
      <c r="G8487">
        <v>298</v>
      </c>
      <c r="H8487">
        <v>323.94</v>
      </c>
      <c r="I8487">
        <v>323.93</v>
      </c>
      <c r="J8487">
        <v>0.01</v>
      </c>
    </row>
    <row r="8488" spans="1:10" x14ac:dyDescent="0.3">
      <c r="A8488" t="str">
        <f>HYPERLINK("https://us2.cloudbeds.com/connect/10074733072513#/reservations/31680022876336?display=MHB80E9Y8&amp;reservation_id=31680022876336", "MHB80E9Y8")</f>
        <v>MHB80E9Y8</v>
      </c>
      <c r="B8488" t="s">
        <v>10</v>
      </c>
      <c r="C8488" t="s">
        <v>17</v>
      </c>
      <c r="D8488" t="str">
        <f>HYPERLINK("https://us2.cloudbeds.com/connect/10074733072513#/reservations/31680022876336?display=Tami%20Adams&amp;reservation_id=31680022876336&amp;guest_id=31680022876290", "Tami Adams")</f>
        <v>Tami Adams</v>
      </c>
      <c r="E8488" t="s">
        <v>6789</v>
      </c>
      <c r="F8488" t="s">
        <v>6607</v>
      </c>
      <c r="G8488">
        <v>149</v>
      </c>
      <c r="H8488">
        <v>161.97</v>
      </c>
      <c r="I8488">
        <v>161.96</v>
      </c>
      <c r="J8488">
        <v>0.01</v>
      </c>
    </row>
    <row r="8489" spans="1:10" x14ac:dyDescent="0.3">
      <c r="A8489" t="str">
        <f>HYPERLINK("https://us2.cloudbeds.com/connect/10074733072513#/reservations/31684637409414?display=MHEQUHFZW&amp;reservation_id=31684637409414", "MHEQUHFZW")</f>
        <v>MHEQUHFZW</v>
      </c>
      <c r="B8489" t="s">
        <v>10</v>
      </c>
      <c r="C8489" t="s">
        <v>42</v>
      </c>
      <c r="D8489" t="str">
        <f>HYPERLINK("https://us2.cloudbeds.com/connect/10074733072513#/reservations/31684637409414?display=Greg%20Brusven&amp;reservation_id=31684637409414&amp;guest_id=17963408818374", "Greg Brusven")</f>
        <v>Greg Brusven</v>
      </c>
      <c r="E8489" t="s">
        <v>2398</v>
      </c>
      <c r="F8489" t="s">
        <v>6550</v>
      </c>
      <c r="G8489">
        <v>178</v>
      </c>
      <c r="H8489">
        <v>193.5</v>
      </c>
      <c r="I8489">
        <v>193.49</v>
      </c>
      <c r="J8489">
        <v>0.01</v>
      </c>
    </row>
    <row r="8490" spans="1:10" x14ac:dyDescent="0.3">
      <c r="A8490" t="str">
        <f>HYPERLINK("https://us2.cloudbeds.com/connect/10074733072513#/reservations/31684952031470?display=MHF1VR9TM&amp;reservation_id=31684952031470", "MHF1VR9TM")</f>
        <v>MHF1VR9TM</v>
      </c>
      <c r="B8490" t="s">
        <v>10</v>
      </c>
      <c r="C8490" t="s">
        <v>42</v>
      </c>
      <c r="D8490" t="str">
        <f>HYPERLINK("https://us2.cloudbeds.com/connect/10074733072513#/reservations/31684952031470?display=Monique%20Ortiz&amp;reservation_id=31684952031470&amp;guest_id=31684941512852", "Monique Ortiz")</f>
        <v>Monique Ortiz</v>
      </c>
      <c r="E8490" t="s">
        <v>6798</v>
      </c>
      <c r="F8490" t="s">
        <v>5741</v>
      </c>
      <c r="G8490">
        <v>298</v>
      </c>
      <c r="H8490">
        <v>323.94</v>
      </c>
      <c r="I8490">
        <v>323.93</v>
      </c>
      <c r="J8490">
        <v>0.01</v>
      </c>
    </row>
    <row r="8491" spans="1:10" x14ac:dyDescent="0.3">
      <c r="A8491" t="str">
        <f>HYPERLINK("https://us2.cloudbeds.com/connect/10074733072513#/reservations/31679457644712?display=MHAQXQTB7&amp;reservation_id=31679457644712", "MHAQXQTB7")</f>
        <v>MHAQXQTB7</v>
      </c>
      <c r="B8491" t="s">
        <v>10</v>
      </c>
      <c r="C8491" t="s">
        <v>23</v>
      </c>
      <c r="D8491" t="str">
        <f>HYPERLINK("https://us2.cloudbeds.com/connect/10074733072513#/reservations/31679457644712?display=Keith%20Frink&amp;reservation_id=31679457644712&amp;guest_id=31674179440851", "Keith Frink")</f>
        <v>Keith Frink</v>
      </c>
      <c r="E8491" t="s">
        <v>5052</v>
      </c>
      <c r="F8491" t="s">
        <v>5544</v>
      </c>
      <c r="G8491">
        <v>358</v>
      </c>
      <c r="H8491">
        <v>389.16</v>
      </c>
      <c r="I8491">
        <v>389.15</v>
      </c>
      <c r="J8491">
        <v>0.01</v>
      </c>
    </row>
    <row r="8492" spans="1:10" x14ac:dyDescent="0.3">
      <c r="A8492" t="str">
        <f>HYPERLINK("https://us2.cloudbeds.com/connect/10074733072513#/reservations/31681525936276?display=MHCDDS4W6&amp;reservation_id=31681525936276", "MHCDDS4W6")</f>
        <v>MHCDDS4W6</v>
      </c>
      <c r="B8492" t="s">
        <v>10</v>
      </c>
      <c r="C8492" t="s">
        <v>11</v>
      </c>
      <c r="D8492" t="str">
        <f>HYPERLINK("https://us2.cloudbeds.com/connect/10074733072513#/reservations/31681525936276?display=Gregg%20Dunnihoo&amp;reservation_id=31681525936276&amp;guest_id=31681525932185", "Gregg Dunnihoo")</f>
        <v>Gregg Dunnihoo</v>
      </c>
      <c r="E8492" t="s">
        <v>6801</v>
      </c>
      <c r="F8492" t="s">
        <v>6550</v>
      </c>
      <c r="G8492">
        <v>97.74</v>
      </c>
      <c r="H8492">
        <v>106.25</v>
      </c>
      <c r="I8492">
        <v>106.24</v>
      </c>
      <c r="J8492">
        <v>0.01</v>
      </c>
    </row>
    <row r="8493" spans="1:10" x14ac:dyDescent="0.3">
      <c r="A8493" t="str">
        <f>HYPERLINK("https://us2.cloudbeds.com/connect/10074733072513#/reservations/31682563440780?display=MHD6UN80K&amp;reservation_id=31682563440780", "MHD6UN80K")</f>
        <v>MHD6UN80K</v>
      </c>
      <c r="B8493" t="s">
        <v>10</v>
      </c>
      <c r="C8493" t="s">
        <v>42</v>
      </c>
      <c r="D8493" t="str">
        <f>HYPERLINK("https://us2.cloudbeds.com/connect/10074733072513#/reservations/31682563440780?display=Brielle%20Breaw&amp;reservation_id=31682563440780&amp;guest_id=31682556186784", "Brielle Breaw")</f>
        <v>Brielle Breaw</v>
      </c>
      <c r="E8493" t="s">
        <v>4641</v>
      </c>
      <c r="F8493" t="s">
        <v>5283</v>
      </c>
      <c r="G8493">
        <v>150</v>
      </c>
      <c r="H8493">
        <v>163.06</v>
      </c>
      <c r="I8493">
        <v>163.05000000000001</v>
      </c>
      <c r="J8493">
        <v>0.01</v>
      </c>
    </row>
    <row r="8494" spans="1:10" x14ac:dyDescent="0.3">
      <c r="A8494" t="str">
        <f>HYPERLINK("https://us2.cloudbeds.com/connect/10074733072513#/reservations/31687986987147?display=MHHDGWDNH&amp;reservation_id=31687986987147", "MHHDGWDNH")</f>
        <v>MHHDGWDNH</v>
      </c>
      <c r="B8494" t="s">
        <v>10</v>
      </c>
      <c r="C8494" t="s">
        <v>11</v>
      </c>
      <c r="D8494" t="str">
        <f>HYPERLINK("https://us2.cloudbeds.com/connect/10074733072513#/reservations/31687986987147?display=Jaclyn%20Ann%20Mittman&amp;reservation_id=31687986987147&amp;guest_id=31687976263854", "Jaclyn Ann Mittman")</f>
        <v>Jaclyn Ann Mittman</v>
      </c>
      <c r="E8494" t="s">
        <v>6803</v>
      </c>
      <c r="F8494" t="s">
        <v>6490</v>
      </c>
      <c r="G8494">
        <v>221.72</v>
      </c>
      <c r="H8494">
        <v>241.02</v>
      </c>
      <c r="I8494">
        <v>241.01</v>
      </c>
      <c r="J8494">
        <v>0.01</v>
      </c>
    </row>
    <row r="8495" spans="1:10" x14ac:dyDescent="0.3">
      <c r="A8495" t="str">
        <f>HYPERLINK("https://us2.cloudbeds.com/connect/10074733072513#/reservations/31682741231762?display=MHDBFKHQ4&amp;reservation_id=31682741231762", "MHDBFKHQ4")</f>
        <v>MHDBFKHQ4</v>
      </c>
      <c r="B8495" t="s">
        <v>10</v>
      </c>
      <c r="C8495" t="s">
        <v>42</v>
      </c>
      <c r="D8495" t="str">
        <f>HYPERLINK("https://us2.cloudbeds.com/connect/10074733072513#/reservations/31682741231762?display=Monique%20Ortiz&amp;reservation_id=31682741231762&amp;guest_id=31682741227669", "Monique Ortiz")</f>
        <v>Monique Ortiz</v>
      </c>
      <c r="E8495" t="s">
        <v>6798</v>
      </c>
      <c r="F8495" t="s">
        <v>5741</v>
      </c>
      <c r="G8495">
        <v>298</v>
      </c>
      <c r="H8495">
        <v>323.94</v>
      </c>
      <c r="I8495">
        <v>323.93</v>
      </c>
      <c r="J8495">
        <v>0.01</v>
      </c>
    </row>
    <row r="8496" spans="1:10" x14ac:dyDescent="0.3">
      <c r="A8496" t="str">
        <f>HYPERLINK("https://us2.cloudbeds.com/connect/10074733072513#/reservations/31681569697957?display=MHCEHZT5Z&amp;reservation_id=31681569697957", "MHCEHZT5Z")</f>
        <v>MHCEHZT5Z</v>
      </c>
      <c r="B8496" t="s">
        <v>10</v>
      </c>
      <c r="C8496" t="s">
        <v>14</v>
      </c>
      <c r="D8496" t="str">
        <f>HYPERLINK("https://us2.cloudbeds.com/connect/10074733072513#/reservations/31681569697957?display=Sean%20Mcdannel&amp;reservation_id=31681569697957&amp;guest_id=31681562902730", "Sean Mcdannel")</f>
        <v>Sean Mcdannel</v>
      </c>
      <c r="E8496" t="s">
        <v>6804</v>
      </c>
      <c r="F8496" t="s">
        <v>6550</v>
      </c>
      <c r="G8496">
        <v>97.74</v>
      </c>
      <c r="H8496">
        <v>106.25</v>
      </c>
      <c r="I8496">
        <v>106.24</v>
      </c>
      <c r="J8496">
        <v>0.01</v>
      </c>
    </row>
    <row r="8497" spans="1:10" x14ac:dyDescent="0.3">
      <c r="A8497" t="str">
        <f>HYPERLINK("https://us2.cloudbeds.com/connect/10074733072513#/reservations/31687714967717?display=MHH6XK2EG&amp;reservation_id=31687714967717", "MHH6XK2EG")</f>
        <v>MHH6XK2EG</v>
      </c>
      <c r="B8497" t="s">
        <v>10</v>
      </c>
      <c r="C8497" t="s">
        <v>42</v>
      </c>
      <c r="D8497" t="str">
        <f>HYPERLINK("https://us2.cloudbeds.com/connect/10074733072513#/reservations/31687714967717?display=Judy%20Toelle&amp;reservation_id=31687714967717&amp;guest_id=31677453549779", "Judy Toelle")</f>
        <v>Judy Toelle</v>
      </c>
      <c r="E8497" t="s">
        <v>5275</v>
      </c>
      <c r="F8497" t="s">
        <v>5745</v>
      </c>
      <c r="G8497">
        <v>119</v>
      </c>
      <c r="H8497">
        <v>129.36000000000001</v>
      </c>
      <c r="I8497">
        <v>129.35</v>
      </c>
      <c r="J8497">
        <v>0.01</v>
      </c>
    </row>
    <row r="8498" spans="1:10" x14ac:dyDescent="0.3">
      <c r="A8498" t="str">
        <f>HYPERLINK("https://us2.cloudbeds.com/connect/10074733072513#/reservations/31683731861731?display=MHE3PV963&amp;reservation_id=31683731861731", "MHE3PV963")</f>
        <v>MHE3PV963</v>
      </c>
      <c r="B8498" t="s">
        <v>10</v>
      </c>
      <c r="C8498" t="s">
        <v>23</v>
      </c>
      <c r="D8498" t="str">
        <f>HYPERLINK("https://us2.cloudbeds.com/connect/10074733072513#/reservations/31683731861731?display=Joel%20Porch&amp;reservation_id=31683731861731&amp;guest_id=31683725406409", "Joel Porch")</f>
        <v>Joel Porch</v>
      </c>
      <c r="E8498" t="s">
        <v>6806</v>
      </c>
      <c r="F8498" t="s">
        <v>5560</v>
      </c>
      <c r="G8498">
        <v>179</v>
      </c>
      <c r="H8498">
        <v>194.58</v>
      </c>
      <c r="I8498">
        <v>194.57</v>
      </c>
      <c r="J8498">
        <v>0.01</v>
      </c>
    </row>
    <row r="8499" spans="1:10" x14ac:dyDescent="0.3">
      <c r="A8499" t="str">
        <f>HYPERLINK("https://us2.cloudbeds.com/connect/10074733072513#/reservations/31682680987858?display=MHD9UR5D9&amp;reservation_id=31682680987858", "MHD9UR5D9")</f>
        <v>MHD9UR5D9</v>
      </c>
      <c r="B8499" t="s">
        <v>10</v>
      </c>
      <c r="C8499" t="s">
        <v>23</v>
      </c>
      <c r="D8499" t="str">
        <f>HYPERLINK("https://us2.cloudbeds.com/connect/10074733072513#/reservations/31682680987858?display=Samantha%20Smith&amp;reservation_id=31682680987858&amp;guest_id=31682680987853", "Samantha Smith")</f>
        <v>Samantha Smith</v>
      </c>
      <c r="E8499" t="s">
        <v>6807</v>
      </c>
      <c r="F8499" t="s">
        <v>4868</v>
      </c>
      <c r="G8499">
        <v>199</v>
      </c>
      <c r="H8499">
        <v>216.32</v>
      </c>
      <c r="I8499">
        <v>216.31</v>
      </c>
      <c r="J8499">
        <v>0.01</v>
      </c>
    </row>
    <row r="8500" spans="1:10" x14ac:dyDescent="0.3">
      <c r="A8500" t="str">
        <f>HYPERLINK("https://us2.cloudbeds.com/connect/10074733072513#/reservations/31684890661019?display=MHF0D2J11&amp;reservation_id=31684890661019", "MHF0D2J11")</f>
        <v>MHF0D2J11</v>
      </c>
      <c r="B8500" t="s">
        <v>10</v>
      </c>
      <c r="C8500" t="s">
        <v>20</v>
      </c>
      <c r="D8500" t="str">
        <f>HYPERLINK("https://us2.cloudbeds.com/connect/10074733072513#/reservations/31684890661019?display=Justin%20Withers&amp;reservation_id=31684890661019&amp;guest_id=31684883292414", "Justin Withers")</f>
        <v>Justin Withers</v>
      </c>
      <c r="E8500" t="s">
        <v>6808</v>
      </c>
      <c r="F8500" t="s">
        <v>6550</v>
      </c>
      <c r="G8500">
        <v>149</v>
      </c>
      <c r="H8500">
        <v>161.97</v>
      </c>
      <c r="I8500">
        <v>161.96</v>
      </c>
      <c r="J8500">
        <v>0.01</v>
      </c>
    </row>
    <row r="8501" spans="1:10" x14ac:dyDescent="0.3">
      <c r="A8501" t="str">
        <f>HYPERLINK("https://us2.cloudbeds.com/connect/10074733072513#/reservations/31683048661135?display=MHDJAS72Z&amp;reservation_id=31683048661135", "MHDJAS72Z")</f>
        <v>MHDJAS72Z</v>
      </c>
      <c r="B8501" t="s">
        <v>10</v>
      </c>
      <c r="C8501" t="s">
        <v>42</v>
      </c>
      <c r="D8501" t="str">
        <f>HYPERLINK("https://us2.cloudbeds.com/connect/10074733072513#/reservations/31683048661135?display=Danielle%20Ramirez&amp;reservation_id=31683048661135&amp;guest_id=31683039555826", "Danielle Ramirez")</f>
        <v>Danielle Ramirez</v>
      </c>
      <c r="E8501" t="s">
        <v>6809</v>
      </c>
      <c r="F8501" t="s">
        <v>5798</v>
      </c>
      <c r="G8501">
        <v>617</v>
      </c>
      <c r="H8501">
        <v>670.69</v>
      </c>
      <c r="I8501">
        <v>670.68</v>
      </c>
      <c r="J8501">
        <v>0.01</v>
      </c>
    </row>
    <row r="8502" spans="1:10" x14ac:dyDescent="0.3">
      <c r="A8502" t="str">
        <f>HYPERLINK("https://us2.cloudbeds.com/connect/10074733072513#/reservations/31685219168385?display=MHF8X898X&amp;reservation_id=31685219168385", "MHF8X898X")</f>
        <v>MHF8X898X</v>
      </c>
      <c r="B8502" t="s">
        <v>10</v>
      </c>
      <c r="C8502" t="s">
        <v>11</v>
      </c>
      <c r="D8502" t="str">
        <f>HYPERLINK("https://us2.cloudbeds.com/connect/10074733072513#/reservations/31685219168385?display=Ronald%20Baumgart&amp;reservation_id=31685219168385&amp;guest_id=31685209874682", "Ronald Baumgart")</f>
        <v>Ronald Baumgart</v>
      </c>
      <c r="E8502" t="s">
        <v>6811</v>
      </c>
      <c r="F8502" t="s">
        <v>4772</v>
      </c>
      <c r="G8502">
        <v>398</v>
      </c>
      <c r="H8502">
        <v>432.64</v>
      </c>
      <c r="I8502">
        <v>432.63</v>
      </c>
      <c r="J8502">
        <v>0.01</v>
      </c>
    </row>
    <row r="8503" spans="1:10" x14ac:dyDescent="0.3">
      <c r="A8503" t="str">
        <f>HYPERLINK("https://us2.cloudbeds.com/connect/10074733072513#/reservations/31682503237853?display=MHD5CV08G&amp;reservation_id=31682503237853", "MHD5CV08G")</f>
        <v>MHD5CV08G</v>
      </c>
      <c r="B8503" t="s">
        <v>10</v>
      </c>
      <c r="C8503" t="s">
        <v>23</v>
      </c>
      <c r="D8503" t="str">
        <f>HYPERLINK("https://us2.cloudbeds.com/connect/10074733072513#/reservations/31682503237853?display=Pam%20O'Neill&amp;reservation_id=31682503237853&amp;guest_id=31682491134096", "Pam O'Neill")</f>
        <v>Pam O'Neill</v>
      </c>
      <c r="E8503" t="s">
        <v>6812</v>
      </c>
      <c r="F8503" t="s">
        <v>4974</v>
      </c>
      <c r="G8503">
        <v>239</v>
      </c>
      <c r="H8503">
        <v>259.8</v>
      </c>
      <c r="I8503">
        <v>259.79000000000002</v>
      </c>
      <c r="J8503">
        <v>0.01</v>
      </c>
    </row>
    <row r="8504" spans="1:10" x14ac:dyDescent="0.3">
      <c r="A8504" t="str">
        <f>HYPERLINK("https://us2.cloudbeds.com/connect/10074733072513#/reservations/31681459327136?display=MHCBNMYXD&amp;reservation_id=31681459327136", "MHCBNMYXD")</f>
        <v>MHCBNMYXD</v>
      </c>
      <c r="B8504" t="s">
        <v>10</v>
      </c>
      <c r="C8504" t="s">
        <v>42</v>
      </c>
      <c r="D8504" t="str">
        <f>HYPERLINK("https://us2.cloudbeds.com/connect/10074733072513#/reservations/31681459327136?display=Beach/%20Patratz%20Wedding%20Bride%20And%20Groom&amp;reservation_id=31681459327136&amp;guest_id=31681450606793", "Beach/ Patratz Wedding Bride And Groom")</f>
        <v>Beach/ Patratz Wedding Bride And Groom</v>
      </c>
      <c r="E8504" t="s">
        <v>6813</v>
      </c>
      <c r="F8504" t="s">
        <v>5537</v>
      </c>
      <c r="G8504">
        <v>199</v>
      </c>
      <c r="H8504">
        <v>216.32</v>
      </c>
      <c r="I8504">
        <v>216.31</v>
      </c>
      <c r="J8504">
        <v>0.01</v>
      </c>
    </row>
    <row r="8505" spans="1:10" x14ac:dyDescent="0.3">
      <c r="A8505" t="str">
        <f>HYPERLINK("https://us2.cloudbeds.com/connect/10074733072513#/reservations/31679904706797?display=MHB4WQ1M5&amp;reservation_id=31679904706797", "MHB4WQ1M5")</f>
        <v>MHB4WQ1M5</v>
      </c>
      <c r="B8505" t="s">
        <v>10</v>
      </c>
      <c r="C8505" t="s">
        <v>42</v>
      </c>
      <c r="D8505" t="str">
        <f>HYPERLINK("https://us2.cloudbeds.com/connect/10074733072513#/reservations/31679904706797?display=Josh%20Gortemaker&amp;reservation_id=31679904706797&amp;guest_id=31679887274194", "Josh Gortemaker")</f>
        <v>Josh Gortemaker</v>
      </c>
      <c r="E8505" t="s">
        <v>6814</v>
      </c>
      <c r="F8505" t="s">
        <v>6629</v>
      </c>
      <c r="G8505">
        <v>298</v>
      </c>
      <c r="H8505">
        <v>323.94</v>
      </c>
      <c r="I8505">
        <v>323.93</v>
      </c>
      <c r="J8505">
        <v>0.01</v>
      </c>
    </row>
    <row r="8506" spans="1:10" x14ac:dyDescent="0.3">
      <c r="A8506" t="str">
        <f>HYPERLINK("https://us2.cloudbeds.com/connect/10074733072513#/reservations/31682249695438?display=MHCVU4QV0&amp;reservation_id=31682249695438", "MHCVU4QV0")</f>
        <v>MHCVU4QV0</v>
      </c>
      <c r="B8506" t="s">
        <v>10</v>
      </c>
      <c r="C8506" t="s">
        <v>42</v>
      </c>
      <c r="D8506" t="str">
        <f>HYPERLINK("https://us2.cloudbeds.com/connect/10074733072513#/reservations/31682249695438?display=Trish%20Rowden&amp;reservation_id=31682249695438&amp;guest_id=31682242281654", "Trish Rowden")</f>
        <v>Trish Rowden</v>
      </c>
      <c r="E8506" t="s">
        <v>4771</v>
      </c>
      <c r="F8506" t="s">
        <v>4772</v>
      </c>
      <c r="G8506">
        <v>139</v>
      </c>
      <c r="H8506">
        <v>151.1</v>
      </c>
      <c r="I8506">
        <v>151.09</v>
      </c>
      <c r="J8506">
        <v>0.01</v>
      </c>
    </row>
    <row r="8507" spans="1:10" x14ac:dyDescent="0.3">
      <c r="A8507" t="str">
        <f>HYPERLINK("https://us2.cloudbeds.com/connect/10074733072513#/reservations/31682580312197?display=MHD7BUNJM&amp;reservation_id=31682580312197", "MHD7BUNJM")</f>
        <v>MHD7BUNJM</v>
      </c>
      <c r="B8507" t="s">
        <v>10</v>
      </c>
      <c r="C8507" t="s">
        <v>17</v>
      </c>
      <c r="D8507" t="str">
        <f>HYPERLINK("https://us2.cloudbeds.com/connect/10074733072513#/reservations/31682580312197?display=Khalil%20Islaam&amp;reservation_id=31682580312197&amp;guest_id=31682580308154", "Khalil Islaam")</f>
        <v>Khalil Islaam</v>
      </c>
      <c r="E8507" t="s">
        <v>6815</v>
      </c>
      <c r="F8507" t="s">
        <v>5283</v>
      </c>
      <c r="G8507">
        <v>538</v>
      </c>
      <c r="H8507">
        <v>584.82000000000005</v>
      </c>
      <c r="I8507">
        <v>584.80999999999995</v>
      </c>
      <c r="J8507">
        <v>0.01</v>
      </c>
    </row>
    <row r="8508" spans="1:10" x14ac:dyDescent="0.3">
      <c r="A8508" t="str">
        <f>HYPERLINK("https://us2.cloudbeds.com/connect/10074733072513#/reservations/31682089357455?display=MHCRQV5Q8&amp;reservation_id=31682089357455", "MHCRQV5Q8")</f>
        <v>MHCRQV5Q8</v>
      </c>
      <c r="B8508" t="s">
        <v>10</v>
      </c>
      <c r="C8508" t="s">
        <v>121</v>
      </c>
      <c r="D8508" t="str">
        <f>HYPERLINK("https://us2.cloudbeds.com/connect/10074733072513#/reservations/31682089357455?display=Louella%20May%20Mcfall&amp;reservation_id=31682089357455&amp;guest_id=31682089353404", "Louella May Mcfall")</f>
        <v>Louella May Mcfall</v>
      </c>
      <c r="E8508" t="s">
        <v>6816</v>
      </c>
      <c r="F8508" t="s">
        <v>6629</v>
      </c>
      <c r="G8508">
        <v>149</v>
      </c>
      <c r="H8508">
        <v>161.97</v>
      </c>
      <c r="I8508">
        <v>161.96</v>
      </c>
      <c r="J8508">
        <v>0.01</v>
      </c>
    </row>
    <row r="8509" spans="1:10" x14ac:dyDescent="0.3">
      <c r="A8509" t="str">
        <f>HYPERLINK("https://us2.cloudbeds.com/connect/10074733072513#/reservations/31679957831808?display=MHB65B16K&amp;reservation_id=31679957831808", "MHB65B16K")</f>
        <v>MHB65B16K</v>
      </c>
      <c r="B8509" t="s">
        <v>10</v>
      </c>
      <c r="C8509" t="s">
        <v>14</v>
      </c>
      <c r="D8509" t="str">
        <f>HYPERLINK("https://us2.cloudbeds.com/connect/10074733072513#/reservations/31679957831808?display=Abdoulaye%20Kallo&amp;reservation_id=31679957831808&amp;guest_id=31679950418143", "Abdoulaye Kallo")</f>
        <v>Abdoulaye Kallo</v>
      </c>
      <c r="E8509" t="s">
        <v>6818</v>
      </c>
      <c r="F8509" t="s">
        <v>6629</v>
      </c>
      <c r="G8509">
        <v>97.74</v>
      </c>
      <c r="H8509">
        <v>106.25</v>
      </c>
      <c r="I8509">
        <v>106.24</v>
      </c>
      <c r="J8509">
        <v>0.01</v>
      </c>
    </row>
    <row r="8510" spans="1:10" x14ac:dyDescent="0.3">
      <c r="A8510" t="str">
        <f>HYPERLINK("https://us2.cloudbeds.com/connect/10074733072513#/reservations/31682212737211?display=MHCUVWD5Z&amp;reservation_id=31682212737211", "MHCUVWD5Z")</f>
        <v>MHCUVWD5Z</v>
      </c>
      <c r="B8510" t="s">
        <v>10</v>
      </c>
      <c r="C8510" t="s">
        <v>42</v>
      </c>
      <c r="D8510" t="str">
        <f>HYPERLINK("https://us2.cloudbeds.com/connect/10074733072513#/reservations/31682212737211?display=Jess%20Odis%20Harkins&amp;reservation_id=31682212737211&amp;guest_id=31682212737208", "Jess Odis Harkins")</f>
        <v>Jess Odis Harkins</v>
      </c>
      <c r="E8510" t="s">
        <v>4771</v>
      </c>
      <c r="F8510" t="s">
        <v>4772</v>
      </c>
      <c r="G8510">
        <v>278</v>
      </c>
      <c r="H8510">
        <v>302.2</v>
      </c>
      <c r="I8510">
        <v>302.19</v>
      </c>
      <c r="J8510">
        <v>0.01</v>
      </c>
    </row>
    <row r="8511" spans="1:10" x14ac:dyDescent="0.3">
      <c r="A8511" t="str">
        <f>HYPERLINK("https://us2.cloudbeds.com/connect/10074733072513#/reservations/31682103251072?display=MHCS5YM7P&amp;reservation_id=31682103251072", "MHCS5YM7P")</f>
        <v>MHCS5YM7P</v>
      </c>
      <c r="B8511" t="s">
        <v>10</v>
      </c>
      <c r="C8511" t="s">
        <v>20</v>
      </c>
      <c r="D8511" t="str">
        <f>HYPERLINK("https://us2.cloudbeds.com/connect/10074733072513#/reservations/31682103251072?display=Keith%20Loker&amp;reservation_id=31682103251072&amp;guest_id=31682103247038", "Keith Loker")</f>
        <v>Keith Loker</v>
      </c>
      <c r="E8511" t="s">
        <v>6819</v>
      </c>
      <c r="F8511" t="s">
        <v>6629</v>
      </c>
      <c r="G8511">
        <v>149</v>
      </c>
      <c r="H8511">
        <v>161.97</v>
      </c>
      <c r="I8511">
        <v>161.96</v>
      </c>
      <c r="J8511">
        <v>0.01</v>
      </c>
    </row>
    <row r="8512" spans="1:10" x14ac:dyDescent="0.3">
      <c r="A8512" t="str">
        <f>HYPERLINK("https://us2.cloudbeds.com/connect/10074733072513#/reservations/31685327302867?display=MHFBX8PZ6&amp;reservation_id=31685327302867", "MHFBX8PZ6")</f>
        <v>MHFBX8PZ6</v>
      </c>
      <c r="B8512" t="s">
        <v>10</v>
      </c>
      <c r="C8512" t="s">
        <v>42</v>
      </c>
      <c r="D8512" t="str">
        <f>HYPERLINK("https://us2.cloudbeds.com/connect/10074733072513#/reservations/31685327302867?display=David%20Pakiesser&amp;reservation_id=31685327302867&amp;guest_id=31685327302862", "David Pakiesser")</f>
        <v>David Pakiesser</v>
      </c>
      <c r="E8512" t="s">
        <v>6820</v>
      </c>
      <c r="F8512" t="s">
        <v>5745</v>
      </c>
      <c r="G8512">
        <v>238</v>
      </c>
      <c r="H8512">
        <v>258.72000000000003</v>
      </c>
      <c r="I8512">
        <v>258.70999999999998</v>
      </c>
      <c r="J8512">
        <v>0.01</v>
      </c>
    </row>
    <row r="8513" spans="1:10" x14ac:dyDescent="0.3">
      <c r="A8513" t="str">
        <f>HYPERLINK("https://us2.cloudbeds.com/connect/10074733072513#/reservations/31687498997972?display=MHH11GD3P&amp;reservation_id=31687498997972", "MHH11GD3P")</f>
        <v>MHH11GD3P</v>
      </c>
      <c r="B8513" t="s">
        <v>10</v>
      </c>
      <c r="C8513" t="s">
        <v>42</v>
      </c>
      <c r="D8513" t="str">
        <f>HYPERLINK("https://us2.cloudbeds.com/connect/10074733072513#/reservations/31687498997972?display=Rebecca%20Burton&amp;reservation_id=31687498997972&amp;guest_id=31687498997957", "Rebecca Burton")</f>
        <v>Rebecca Burton</v>
      </c>
      <c r="E8513" t="s">
        <v>4641</v>
      </c>
      <c r="F8513" t="s">
        <v>5875</v>
      </c>
      <c r="G8513">
        <v>178</v>
      </c>
      <c r="H8513">
        <v>193.5</v>
      </c>
      <c r="I8513">
        <v>193.49</v>
      </c>
      <c r="J8513">
        <v>0.01</v>
      </c>
    </row>
    <row r="8514" spans="1:10" x14ac:dyDescent="0.3">
      <c r="A8514" t="str">
        <f>HYPERLINK("https://us2.cloudbeds.com/connect/10074733072513#/reservations/31680971317420?display=MHBW86236&amp;reservation_id=31680971317420", "MHBW86236")</f>
        <v>MHBW86236</v>
      </c>
      <c r="B8514" t="s">
        <v>10</v>
      </c>
      <c r="C8514" t="s">
        <v>42</v>
      </c>
      <c r="D8514" t="str">
        <f>HYPERLINK("https://us2.cloudbeds.com/connect/10074733072513#/reservations/31680971317420?display=Cameron%20Wyly&amp;reservation_id=31680971317420&amp;guest_id=31680958845138", "Cameron Wyly")</f>
        <v>Cameron Wyly</v>
      </c>
      <c r="E8514" t="s">
        <v>5570</v>
      </c>
      <c r="F8514" t="s">
        <v>5781</v>
      </c>
      <c r="G8514">
        <v>89</v>
      </c>
      <c r="H8514">
        <v>96.75</v>
      </c>
      <c r="I8514">
        <v>96.74</v>
      </c>
      <c r="J8514">
        <v>0.01</v>
      </c>
    </row>
    <row r="8515" spans="1:10" x14ac:dyDescent="0.3">
      <c r="A8515" t="str">
        <f>HYPERLINK("https://us2.cloudbeds.com/connect/10074733072513#/reservations/31685441802424?display=MHFEFQTYZ&amp;reservation_id=31685441802424", "MHFEFQTYZ")</f>
        <v>MHFEFQTYZ</v>
      </c>
      <c r="B8515" t="s">
        <v>10</v>
      </c>
      <c r="C8515" t="s">
        <v>42</v>
      </c>
      <c r="D8515" t="str">
        <f>HYPERLINK("https://us2.cloudbeds.com/connect/10074733072513#/reservations/31685441802424?display=Carisa%20Van%20Horn&amp;reservation_id=31685441802424&amp;guest_id=31685431177369", "Carisa Van Horn")</f>
        <v>Carisa Van Horn</v>
      </c>
      <c r="E8515" t="s">
        <v>6825</v>
      </c>
      <c r="F8515" t="s">
        <v>5745</v>
      </c>
      <c r="G8515">
        <v>238</v>
      </c>
      <c r="H8515">
        <v>258.72000000000003</v>
      </c>
      <c r="I8515">
        <v>258.70999999999998</v>
      </c>
      <c r="J8515">
        <v>0.01</v>
      </c>
    </row>
    <row r="8516" spans="1:10" x14ac:dyDescent="0.3">
      <c r="A8516" t="str">
        <f>HYPERLINK("https://us2.cloudbeds.com/connect/10074733072513#/reservations/31682030411914?display=MHCQA7UYZ&amp;reservation_id=31682030411914", "MHCQA7UYZ")</f>
        <v>MHCQA7UYZ</v>
      </c>
      <c r="B8516" t="s">
        <v>10</v>
      </c>
      <c r="C8516" t="s">
        <v>121</v>
      </c>
      <c r="D8516" t="str">
        <f>HYPERLINK("https://us2.cloudbeds.com/connect/10074733072513#/reservations/31682030411914?display=Pamela%20Kunert&amp;reservation_id=31682030411914&amp;guest_id=31682030411911", "Pamela Kunert")</f>
        <v>Pamela Kunert</v>
      </c>
      <c r="E8516" t="s">
        <v>6827</v>
      </c>
      <c r="F8516" t="s">
        <v>6629</v>
      </c>
      <c r="G8516">
        <v>149</v>
      </c>
      <c r="H8516">
        <v>161.97</v>
      </c>
      <c r="I8516">
        <v>161.96</v>
      </c>
      <c r="J8516">
        <v>0.01</v>
      </c>
    </row>
    <row r="8517" spans="1:10" x14ac:dyDescent="0.3">
      <c r="A8517" t="str">
        <f>HYPERLINK("https://us2.cloudbeds.com/connect/10074733072513#/reservations/31679878013120?display=MHB42STE4&amp;reservation_id=31679878013120", "MHB42STE4")</f>
        <v>MHB42STE4</v>
      </c>
      <c r="B8517" t="s">
        <v>10</v>
      </c>
      <c r="C8517" t="s">
        <v>11</v>
      </c>
      <c r="D8517" t="str">
        <f>HYPERLINK("https://us2.cloudbeds.com/connect/10074733072513#/reservations/31679878013120?display=Sarah%20Christison&amp;reservation_id=31679878013120&amp;guest_id=31679869227176", "Sarah Christison")</f>
        <v>Sarah Christison</v>
      </c>
      <c r="E8517" t="s">
        <v>6828</v>
      </c>
      <c r="F8517" t="s">
        <v>6629</v>
      </c>
      <c r="G8517">
        <v>110.86</v>
      </c>
      <c r="H8517">
        <v>120.51</v>
      </c>
      <c r="I8517">
        <v>120.5</v>
      </c>
      <c r="J8517">
        <v>0.01</v>
      </c>
    </row>
    <row r="8518" spans="1:10" x14ac:dyDescent="0.3">
      <c r="A8518" t="str">
        <f>HYPERLINK("https://us2.cloudbeds.com/connect/10074733072513#/reservations/31682082595058?display=MHCRY8024&amp;reservation_id=31682082595058", "MHCRY8024")</f>
        <v>MHCRY8024</v>
      </c>
      <c r="B8518" t="s">
        <v>10</v>
      </c>
      <c r="C8518" t="s">
        <v>11</v>
      </c>
      <c r="D8518" t="str">
        <f>HYPERLINK("https://us2.cloudbeds.com/connect/10074733072513#/reservations/31682082595058?display=David%20Trump&amp;reservation_id=31682082595058&amp;guest_id=31682082595053", "David Trump")</f>
        <v>David Trump</v>
      </c>
      <c r="E8518" t="s">
        <v>6830</v>
      </c>
      <c r="F8518" t="s">
        <v>6629</v>
      </c>
      <c r="G8518">
        <v>97.74</v>
      </c>
      <c r="H8518">
        <v>106.25</v>
      </c>
      <c r="I8518">
        <v>106.24</v>
      </c>
      <c r="J8518">
        <v>0.01</v>
      </c>
    </row>
    <row r="8519" spans="1:10" x14ac:dyDescent="0.3">
      <c r="A8519" t="str">
        <f>HYPERLINK("https://us2.cloudbeds.com/connect/10074733072513#/reservations/31682049913011?display=MHCQQMJ02&amp;reservation_id=31682049913011", "MHCQQMJ02")</f>
        <v>MHCQQMJ02</v>
      </c>
      <c r="B8519" t="s">
        <v>10</v>
      </c>
      <c r="C8519" t="s">
        <v>14</v>
      </c>
      <c r="D8519" t="str">
        <f>HYPERLINK("https://us2.cloudbeds.com/connect/10074733072513#/reservations/31682049913011?display=Cody%20Haiar&amp;reservation_id=31682049913011&amp;guest_id=31682040381664", "Cody Haiar")</f>
        <v>Cody Haiar</v>
      </c>
      <c r="E8519" t="s">
        <v>6834</v>
      </c>
      <c r="F8519" t="s">
        <v>6629</v>
      </c>
      <c r="G8519">
        <v>97.74</v>
      </c>
      <c r="H8519">
        <v>106.25</v>
      </c>
      <c r="I8519">
        <v>106.24</v>
      </c>
      <c r="J8519">
        <v>0.01</v>
      </c>
    </row>
    <row r="8520" spans="1:10" x14ac:dyDescent="0.3">
      <c r="A8520" t="str">
        <f>HYPERLINK("https://us2.cloudbeds.com/connect/10074733072513#/reservations/31682040377571?display=MHCQXY7SB&amp;reservation_id=31682040377571", "MHCQXY7SB")</f>
        <v>MHCQXY7SB</v>
      </c>
      <c r="B8520" t="s">
        <v>10</v>
      </c>
      <c r="C8520" t="s">
        <v>121</v>
      </c>
      <c r="D8520" t="str">
        <f>HYPERLINK("https://us2.cloudbeds.com/connect/10074733072513#/reservations/31682040377571?display=Lucas%20Trotter&amp;reservation_id=31682040377571&amp;guest_id=31682030416004", "Lucas Trotter")</f>
        <v>Lucas Trotter</v>
      </c>
      <c r="E8520" t="s">
        <v>6835</v>
      </c>
      <c r="F8520" t="s">
        <v>6629</v>
      </c>
      <c r="G8520">
        <v>179</v>
      </c>
      <c r="H8520">
        <v>194.58</v>
      </c>
      <c r="I8520">
        <v>194.57</v>
      </c>
      <c r="J8520">
        <v>0.01</v>
      </c>
    </row>
    <row r="8521" spans="1:10" x14ac:dyDescent="0.3">
      <c r="A8521" t="str">
        <f>HYPERLINK("https://us2.cloudbeds.com/connect/10074733072513#/reservations/31682110652626?display=MHCSBTZJF&amp;reservation_id=31682110652626", "MHCSBTZJF")</f>
        <v>MHCSBTZJF</v>
      </c>
      <c r="B8521" t="s">
        <v>10</v>
      </c>
      <c r="C8521" t="s">
        <v>14</v>
      </c>
      <c r="D8521" t="str">
        <f>HYPERLINK("https://us2.cloudbeds.com/connect/10074733072513#/reservations/31682110652626?display=Joey%20Helland&amp;reservation_id=31682110652626&amp;guest_id=31682110652613", "Joey Helland")</f>
        <v>Joey Helland</v>
      </c>
      <c r="E8521" t="s">
        <v>6836</v>
      </c>
      <c r="F8521" t="s">
        <v>6629</v>
      </c>
      <c r="G8521">
        <v>97.74</v>
      </c>
      <c r="H8521">
        <v>106.25</v>
      </c>
      <c r="I8521">
        <v>106.24</v>
      </c>
      <c r="J8521">
        <v>0.01</v>
      </c>
    </row>
    <row r="8522" spans="1:10" x14ac:dyDescent="0.3">
      <c r="A8522" t="str">
        <f>HYPERLINK("https://us2.cloudbeds.com/connect/10074733072513#/reservations/31679934013573?display=MHB5ZGXA9&amp;reservation_id=31679934013573", "MHB5ZGXA9")</f>
        <v>MHB5ZGXA9</v>
      </c>
      <c r="B8522" t="s">
        <v>10</v>
      </c>
      <c r="C8522" t="s">
        <v>23</v>
      </c>
      <c r="D8522" t="str">
        <f>HYPERLINK("https://us2.cloudbeds.com/connect/10074733072513#/reservations/31679934013573?display=Terris%20Settje&amp;reservation_id=31679934013573&amp;guest_id=30670129975509", "Terris Settje")</f>
        <v>Terris Settje</v>
      </c>
      <c r="E8522" t="s">
        <v>6843</v>
      </c>
      <c r="F8522" t="s">
        <v>5798</v>
      </c>
      <c r="G8522">
        <v>209</v>
      </c>
      <c r="H8522">
        <v>227.19</v>
      </c>
      <c r="I8522">
        <v>227.18</v>
      </c>
      <c r="J8522">
        <v>0.01</v>
      </c>
    </row>
    <row r="8523" spans="1:10" x14ac:dyDescent="0.3">
      <c r="A8523" t="str">
        <f>HYPERLINK("https://us2.cloudbeds.com/connect/10074733072513#/reservations/31679960518880?display=MHB6DS3ED&amp;reservation_id=31679960518880", "MHB6DS3ED")</f>
        <v>MHB6DS3ED</v>
      </c>
      <c r="B8523" t="s">
        <v>10</v>
      </c>
      <c r="C8523" t="s">
        <v>20</v>
      </c>
      <c r="D8523" t="str">
        <f>HYPERLINK("https://us2.cloudbeds.com/connect/10074733072513#/reservations/31679960518880?display=Justin%20Sorensen&amp;reservation_id=31679960518880&amp;guest_id=31679960518878", "Justin Sorensen")</f>
        <v>Justin Sorensen</v>
      </c>
      <c r="E8523" t="s">
        <v>6844</v>
      </c>
      <c r="F8523" t="s">
        <v>5798</v>
      </c>
      <c r="G8523">
        <v>199</v>
      </c>
      <c r="H8523">
        <v>216.32</v>
      </c>
      <c r="I8523">
        <v>216.31</v>
      </c>
      <c r="J8523">
        <v>0.01</v>
      </c>
    </row>
    <row r="8524" spans="1:10" x14ac:dyDescent="0.3">
      <c r="A8524" t="str">
        <f>HYPERLINK("https://us2.cloudbeds.com/connect/10074733072513#/reservations/31683016315084?display=MHDXGJ4XC&amp;reservation_id=31683016315084", "MHDXGJ4XC")</f>
        <v>MHDXGJ4XC</v>
      </c>
      <c r="B8524" t="s">
        <v>10</v>
      </c>
      <c r="C8524" t="s">
        <v>23</v>
      </c>
      <c r="D8524" t="str">
        <f>HYPERLINK("https://us2.cloudbeds.com/connect/10074733072513#/reservations/31683016315084?display=Cody%20Wheatley&amp;reservation_id=31683016315084&amp;guest_id=31683010506932", "Cody Wheatley")</f>
        <v>Cody Wheatley</v>
      </c>
      <c r="E8524" t="s">
        <v>6846</v>
      </c>
      <c r="F8524" t="s">
        <v>5798</v>
      </c>
      <c r="G8524">
        <v>199</v>
      </c>
      <c r="H8524">
        <v>216.32</v>
      </c>
      <c r="I8524">
        <v>216.31</v>
      </c>
      <c r="J8524">
        <v>0.01</v>
      </c>
    </row>
    <row r="8525" spans="1:10" x14ac:dyDescent="0.3">
      <c r="A8525" t="str">
        <f>HYPERLINK("https://us2.cloudbeds.com/connect/10074733072513#/reservations/31683096612999?display=MHDKX9X0H&amp;reservation_id=31683096612999", "MHDKX9X0H")</f>
        <v>MHDKX9X0H</v>
      </c>
      <c r="B8525" t="s">
        <v>10</v>
      </c>
      <c r="C8525" t="s">
        <v>20</v>
      </c>
      <c r="D8525" t="str">
        <f>HYPERLINK("https://us2.cloudbeds.com/connect/10074733072513#/reservations/31683096612999?display=Jacob%20Welsing&amp;reservation_id=31683096612999&amp;guest_id=31683096612995", "Jacob Welsing")</f>
        <v>Jacob Welsing</v>
      </c>
      <c r="E8525" t="s">
        <v>6848</v>
      </c>
      <c r="F8525" t="s">
        <v>5798</v>
      </c>
      <c r="G8525">
        <v>199</v>
      </c>
      <c r="H8525">
        <v>216.32</v>
      </c>
      <c r="I8525">
        <v>216.31</v>
      </c>
      <c r="J8525">
        <v>0.01</v>
      </c>
    </row>
    <row r="8526" spans="1:10" x14ac:dyDescent="0.3">
      <c r="A8526" t="str">
        <f>HYPERLINK("https://us2.cloudbeds.com/connect/10074733072513#/reservations/31686029074640?display=MHFTG0K8G&amp;reservation_id=31686029074640", "MHFTG0K8G")</f>
        <v>MHFTG0K8G</v>
      </c>
      <c r="B8526" t="s">
        <v>10</v>
      </c>
      <c r="C8526" t="s">
        <v>42</v>
      </c>
      <c r="D8526" t="str">
        <f>HYPERLINK("https://us2.cloudbeds.com/connect/10074733072513#/reservations/31686029074640?display=Tammy%20Brockmoller&amp;reservation_id=31686029074640&amp;guest_id=31686024184055", "Tammy Brockmoller")</f>
        <v>Tammy Brockmoller</v>
      </c>
      <c r="E8526" t="s">
        <v>6849</v>
      </c>
      <c r="F8526" t="s">
        <v>5745</v>
      </c>
      <c r="G8526">
        <v>119</v>
      </c>
      <c r="H8526">
        <v>129.36000000000001</v>
      </c>
      <c r="I8526">
        <v>129.35</v>
      </c>
      <c r="J8526">
        <v>0.01</v>
      </c>
    </row>
    <row r="8527" spans="1:10" x14ac:dyDescent="0.3">
      <c r="A8527" t="str">
        <f>HYPERLINK("https://us2.cloudbeds.com/connect/10074733072513#/reservations/31683132154017?display=MHDYF8HD2&amp;reservation_id=31683132154017", "MHDYF8HD2")</f>
        <v>MHDYF8HD2</v>
      </c>
      <c r="B8527" t="s">
        <v>10</v>
      </c>
      <c r="C8527" t="s">
        <v>20</v>
      </c>
      <c r="D8527" t="str">
        <f>HYPERLINK("https://us2.cloudbeds.com/connect/10074733072513#/reservations/31683132154017?display=Michele%20Pollman&amp;reservation_id=31683132154017&amp;guest_id=31683132149924", "Michele Pollman")</f>
        <v>Michele Pollman</v>
      </c>
      <c r="E8527" t="s">
        <v>6850</v>
      </c>
      <c r="F8527" t="s">
        <v>5798</v>
      </c>
      <c r="G8527">
        <v>199</v>
      </c>
      <c r="H8527">
        <v>216.32</v>
      </c>
      <c r="I8527">
        <v>216.31</v>
      </c>
      <c r="J8527">
        <v>0.01</v>
      </c>
    </row>
    <row r="8528" spans="1:10" x14ac:dyDescent="0.3">
      <c r="A8528" t="str">
        <f>HYPERLINK("https://us2.cloudbeds.com/connect/10074733072513#/reservations/31683150643419?display=MHDYUS0NW&amp;reservation_id=31683150643419", "MHDYUS0NW")</f>
        <v>MHDYUS0NW</v>
      </c>
      <c r="B8528" t="s">
        <v>10</v>
      </c>
      <c r="C8528" t="s">
        <v>20</v>
      </c>
      <c r="D8528" t="str">
        <f>HYPERLINK("https://us2.cloudbeds.com/connect/10074733072513#/reservations/31683150643419?display=Trevor%20Hannasch&amp;reservation_id=31683150643419&amp;guest_id=31683150643414", "Trevor Hannasch")</f>
        <v>Trevor Hannasch</v>
      </c>
      <c r="E8528" t="s">
        <v>6851</v>
      </c>
      <c r="F8528" t="s">
        <v>5798</v>
      </c>
      <c r="G8528">
        <v>229</v>
      </c>
      <c r="H8528">
        <v>248.93</v>
      </c>
      <c r="I8528">
        <v>248.92</v>
      </c>
      <c r="J8528">
        <v>0.01</v>
      </c>
    </row>
    <row r="8529" spans="1:10" x14ac:dyDescent="0.3">
      <c r="A8529" t="str">
        <f>HYPERLINK("https://us2.cloudbeds.com/connect/10074733072513#/reservations/31686048338061?display=MHFTW8YBH&amp;reservation_id=31686048338061", "MHFTW8YBH")</f>
        <v>MHFTW8YBH</v>
      </c>
      <c r="B8529" t="s">
        <v>10</v>
      </c>
      <c r="C8529" t="s">
        <v>11</v>
      </c>
      <c r="D8529" t="str">
        <f>HYPERLINK("https://us2.cloudbeds.com/connect/10074733072513#/reservations/31686048338061?display=Brian%20Webb&amp;reservation_id=31686048338061&amp;guest_id=31686048338056", "Brian Webb")</f>
        <v>Brian Webb</v>
      </c>
      <c r="E8529" t="s">
        <v>6852</v>
      </c>
      <c r="F8529" t="s">
        <v>6805</v>
      </c>
      <c r="G8529">
        <v>662.4</v>
      </c>
      <c r="H8529">
        <v>720.04</v>
      </c>
      <c r="I8529">
        <v>720.03</v>
      </c>
      <c r="J8529">
        <v>0.01</v>
      </c>
    </row>
    <row r="8530" spans="1:10" x14ac:dyDescent="0.3">
      <c r="A8530" t="str">
        <f>HYPERLINK("https://us2.cloudbeds.com/connect/10074733072513#/reservations/31686064398474?display=MHFUCQX6N&amp;reservation_id=31686064398474", "MHFUCQX6N")</f>
        <v>MHFUCQX6N</v>
      </c>
      <c r="B8530" t="s">
        <v>10</v>
      </c>
      <c r="C8530" t="s">
        <v>11</v>
      </c>
      <c r="D8530" t="str">
        <f>HYPERLINK("https://us2.cloudbeds.com/connect/10074733072513#/reservations/31686064398474?display=Sally%20Webb&amp;reservation_id=31686064398474&amp;guest_id=31686056030448", "Sally Webb")</f>
        <v>Sally Webb</v>
      </c>
      <c r="E8530" t="s">
        <v>6853</v>
      </c>
      <c r="F8530" t="s">
        <v>6805</v>
      </c>
      <c r="G8530">
        <v>662.4</v>
      </c>
      <c r="H8530">
        <v>720.04</v>
      </c>
      <c r="I8530">
        <v>720.03</v>
      </c>
      <c r="J8530">
        <v>0.01</v>
      </c>
    </row>
    <row r="8531" spans="1:10" x14ac:dyDescent="0.3">
      <c r="A8531" t="str">
        <f>HYPERLINK("https://us2.cloudbeds.com/connect/10074733072513#/reservations/31681168679046?display=MHC49JV2H&amp;reservation_id=31681168679046", "MHC49JV2H")</f>
        <v>MHC49JV2H</v>
      </c>
      <c r="B8531" t="s">
        <v>10</v>
      </c>
      <c r="C8531" t="s">
        <v>42</v>
      </c>
      <c r="D8531" t="str">
        <f>HYPERLINK("https://us2.cloudbeds.com/connect/10074733072513#/reservations/31681168679046?display=Cory%20Glick&amp;reservation_id=31681168679046&amp;guest_id=31672877940869", "Cory Glick")</f>
        <v>Cory Glick</v>
      </c>
      <c r="E8531" t="s">
        <v>5004</v>
      </c>
      <c r="F8531" t="s">
        <v>5283</v>
      </c>
      <c r="G8531">
        <v>158</v>
      </c>
      <c r="H8531">
        <v>171.76</v>
      </c>
      <c r="I8531">
        <v>171.75</v>
      </c>
      <c r="J8531">
        <v>0.01</v>
      </c>
    </row>
    <row r="8532" spans="1:10" x14ac:dyDescent="0.3">
      <c r="A8532" t="str">
        <f>HYPERLINK("https://us2.cloudbeds.com/connect/10074733072513#/reservations/31686081122434?display=MHFUQTUCC&amp;reservation_id=31686081122434", "MHFUQTUCC")</f>
        <v>MHFUQTUCC</v>
      </c>
      <c r="B8532" t="s">
        <v>10</v>
      </c>
      <c r="C8532" t="s">
        <v>42</v>
      </c>
      <c r="D8532" t="str">
        <f>HYPERLINK("https://us2.cloudbeds.com/connect/10074733072513#/reservations/31686081122434?display=Cameron%20Wyly&amp;reservation_id=31686081122434&amp;guest_id=31680958845138", "Cameron Wyly")</f>
        <v>Cameron Wyly</v>
      </c>
      <c r="E8532" t="s">
        <v>5570</v>
      </c>
      <c r="F8532" t="s">
        <v>6805</v>
      </c>
      <c r="G8532">
        <v>89</v>
      </c>
      <c r="H8532">
        <v>96.75</v>
      </c>
      <c r="I8532">
        <v>96.74</v>
      </c>
      <c r="J8532">
        <v>0.01</v>
      </c>
    </row>
    <row r="8533" spans="1:10" x14ac:dyDescent="0.3">
      <c r="A8533" t="str">
        <f>HYPERLINK("https://us2.cloudbeds.com/connect/10074733072513#/reservations/31680865976539?display=MHBTXBQB9&amp;reservation_id=31680865976539", "MHBTXBQB9")</f>
        <v>MHBTXBQB9</v>
      </c>
      <c r="B8533" t="s">
        <v>10</v>
      </c>
      <c r="C8533" t="s">
        <v>121</v>
      </c>
      <c r="D8533" t="str">
        <f>HYPERLINK("https://us2.cloudbeds.com/connect/10074733072513#/reservations/31680865976539?display=James%20Willard&amp;reservation_id=31680865976539&amp;guest_id=31680859263171", "James Willard")</f>
        <v>James Willard</v>
      </c>
      <c r="E8533" t="s">
        <v>6858</v>
      </c>
      <c r="F8533" t="s">
        <v>5781</v>
      </c>
      <c r="G8533">
        <v>239</v>
      </c>
      <c r="H8533">
        <v>259.8</v>
      </c>
      <c r="I8533">
        <v>259.79000000000002</v>
      </c>
      <c r="J8533">
        <v>0.01</v>
      </c>
    </row>
    <row r="8534" spans="1:10" x14ac:dyDescent="0.3">
      <c r="A8534" t="str">
        <f>HYPERLINK("https://us2.cloudbeds.com/connect/10074733072513#/reservations/31682571460802?display=MHD74FDJJ&amp;reservation_id=31682571460802", "MHD74FDJJ")</f>
        <v>MHD74FDJJ</v>
      </c>
      <c r="B8534" t="s">
        <v>10</v>
      </c>
      <c r="C8534" t="s">
        <v>42</v>
      </c>
      <c r="D8534" t="str">
        <f>HYPERLINK("https://us2.cloudbeds.com/connect/10074733072513#/reservations/31682571460802?display=Patti%20Stapleton&amp;reservation_id=31682571460802&amp;guest_id=31682563846305", "Patti Stapleton")</f>
        <v>Patti Stapleton</v>
      </c>
      <c r="E8534" t="s">
        <v>6859</v>
      </c>
      <c r="F8534" t="s">
        <v>5017</v>
      </c>
      <c r="G8534">
        <v>149</v>
      </c>
      <c r="H8534">
        <v>161.97</v>
      </c>
      <c r="I8534">
        <v>161.96</v>
      </c>
      <c r="J8534">
        <v>0.01</v>
      </c>
    </row>
    <row r="8535" spans="1:10" x14ac:dyDescent="0.3">
      <c r="A8535" t="str">
        <f>HYPERLINK("https://us2.cloudbeds.com/connect/10074733072513#/reservations/31683164012750?display=MHDM941E7&amp;reservation_id=31683164012750", "MHDM941E7")</f>
        <v>MHDM941E7</v>
      </c>
      <c r="B8535" t="s">
        <v>10</v>
      </c>
      <c r="C8535" t="s">
        <v>20</v>
      </c>
      <c r="D8535" t="str">
        <f>HYPERLINK("https://us2.cloudbeds.com/connect/10074733072513#/reservations/31683164012750?display=Cole%20Fishback&amp;reservation_id=31683164012750&amp;guest_id=31683164012739", "Cole Fishback")</f>
        <v>Cole Fishback</v>
      </c>
      <c r="E8535" t="s">
        <v>6861</v>
      </c>
      <c r="F8535" t="s">
        <v>5798</v>
      </c>
      <c r="G8535">
        <v>209</v>
      </c>
      <c r="H8535">
        <v>227.19</v>
      </c>
      <c r="I8535">
        <v>227.18</v>
      </c>
      <c r="J8535">
        <v>0.01</v>
      </c>
    </row>
    <row r="8536" spans="1:10" x14ac:dyDescent="0.3">
      <c r="A8536" t="str">
        <f>HYPERLINK("https://us2.cloudbeds.com/connect/10074733072513#/reservations/31683164016844?display=MHDM94569&amp;reservation_id=31683164016844", "MHDM94569")</f>
        <v>MHDM94569</v>
      </c>
      <c r="B8536" t="s">
        <v>10</v>
      </c>
      <c r="C8536" t="s">
        <v>20</v>
      </c>
      <c r="D8536" t="str">
        <f>HYPERLINK("https://us2.cloudbeds.com/connect/10074733072513#/reservations/31683164016844?display=Michael%20Keene&amp;reservation_id=31683164016844&amp;guest_id=31683164016841", "Michael Keene")</f>
        <v>Michael Keene</v>
      </c>
      <c r="E8536" t="s">
        <v>6861</v>
      </c>
      <c r="F8536" t="s">
        <v>5798</v>
      </c>
      <c r="G8536">
        <v>219</v>
      </c>
      <c r="H8536">
        <v>238.06</v>
      </c>
      <c r="I8536">
        <v>238.05</v>
      </c>
      <c r="J8536">
        <v>0.01</v>
      </c>
    </row>
    <row r="8537" spans="1:10" x14ac:dyDescent="0.3">
      <c r="A8537" t="str">
        <f>HYPERLINK("https://us2.cloudbeds.com/connect/10074733072513#/reservations/31684705742984?display=MHESM4VM7&amp;reservation_id=31684705742984", "MHESM4VM7")</f>
        <v>MHESM4VM7</v>
      </c>
      <c r="B8537" t="s">
        <v>10</v>
      </c>
      <c r="C8537" t="s">
        <v>42</v>
      </c>
      <c r="D8537" t="str">
        <f>HYPERLINK("https://us2.cloudbeds.com/connect/10074733072513#/reservations/31684705742984?display=Church%20Cornerstone%20Baptist&amp;reservation_id=31684705742984&amp;guest_id=31684705742982", "Church Cornerstone Baptist")</f>
        <v>Church Cornerstone Baptist</v>
      </c>
      <c r="E8537" t="s">
        <v>6862</v>
      </c>
      <c r="F8537" t="s">
        <v>5781</v>
      </c>
      <c r="G8537">
        <v>239</v>
      </c>
      <c r="H8537">
        <v>259.8</v>
      </c>
      <c r="I8537">
        <v>259.79000000000002</v>
      </c>
      <c r="J8537">
        <v>0.01</v>
      </c>
    </row>
    <row r="8538" spans="1:10" x14ac:dyDescent="0.3">
      <c r="A8538" t="str">
        <f>HYPERLINK("https://us2.cloudbeds.com/connect/10074733072513#/reservations/31680929448067?display=MHBV5SWXU&amp;reservation_id=31680929448067", "MHBV5SWXU")</f>
        <v>MHBV5SWXU</v>
      </c>
      <c r="B8538" t="s">
        <v>10</v>
      </c>
      <c r="C8538" t="s">
        <v>121</v>
      </c>
      <c r="D8538" t="str">
        <f>HYPERLINK("https://us2.cloudbeds.com/connect/10074733072513#/reservations/31680929448067?display=Kathryn%20Nunn&amp;reservation_id=31680929448067&amp;guest_id=31680924893410", "Kathryn Nunn")</f>
        <v>Kathryn Nunn</v>
      </c>
      <c r="E8538" t="s">
        <v>6863</v>
      </c>
      <c r="F8538" t="s">
        <v>5781</v>
      </c>
      <c r="G8538">
        <v>239</v>
      </c>
      <c r="H8538">
        <v>259.8</v>
      </c>
      <c r="I8538">
        <v>259.79000000000002</v>
      </c>
      <c r="J8538">
        <v>0.01</v>
      </c>
    </row>
    <row r="8539" spans="1:10" x14ac:dyDescent="0.3">
      <c r="A8539" t="str">
        <f>HYPERLINK("https://us2.cloudbeds.com/connect/10074733072513#/reservations/31680914452623?display=MHBUQ7NYH&amp;reservation_id=31680914452623", "MHBUQ7NYH")</f>
        <v>MHBUQ7NYH</v>
      </c>
      <c r="B8539" t="s">
        <v>10</v>
      </c>
      <c r="C8539" t="s">
        <v>42</v>
      </c>
      <c r="D8539" t="str">
        <f>HYPERLINK("https://us2.cloudbeds.com/connect/10074733072513#/reservations/31680914452623?display=Katrina%20Murray&amp;reservation_id=31680914452623&amp;guest_id=31680906326258", "Katrina Murray")</f>
        <v>Katrina Murray</v>
      </c>
      <c r="E8539" t="s">
        <v>6869</v>
      </c>
      <c r="F8539" t="s">
        <v>5781</v>
      </c>
      <c r="G8539">
        <v>239</v>
      </c>
      <c r="H8539">
        <v>259.8</v>
      </c>
      <c r="I8539">
        <v>259.79000000000002</v>
      </c>
      <c r="J8539">
        <v>0.01</v>
      </c>
    </row>
    <row r="8540" spans="1:10" x14ac:dyDescent="0.3">
      <c r="A8540" t="str">
        <f>HYPERLINK("https://us2.cloudbeds.com/connect/10074733072513#/reservations/31684755583126?display=MHETV5RXX&amp;reservation_id=31684755583126", "MHETV5RXX")</f>
        <v>MHETV5RXX</v>
      </c>
      <c r="B8540" t="s">
        <v>10</v>
      </c>
      <c r="C8540" t="s">
        <v>121</v>
      </c>
      <c r="D8540" t="str">
        <f>HYPERLINK("https://us2.cloudbeds.com/connect/10074733072513#/reservations/31684755583126?display=Nikolaos%20D%20Renesis&amp;reservation_id=31684755583126&amp;guest_id=31684755583124", "Nikolaos D Renesis")</f>
        <v>Nikolaos D Renesis</v>
      </c>
      <c r="E8540" t="s">
        <v>6870</v>
      </c>
      <c r="F8540" t="s">
        <v>6492</v>
      </c>
      <c r="G8540">
        <v>139</v>
      </c>
      <c r="H8540">
        <v>151.1</v>
      </c>
      <c r="I8540">
        <v>151.09</v>
      </c>
      <c r="J8540">
        <v>0.01</v>
      </c>
    </row>
    <row r="8541" spans="1:10" x14ac:dyDescent="0.3">
      <c r="A8541" t="str">
        <f>HYPERLINK("https://us2.cloudbeds.com/connect/10074733072513#/reservations/31684817277120?display=MHEV5XQCX&amp;reservation_id=31684817277120", "MHEV5XQCX")</f>
        <v>MHEV5XQCX</v>
      </c>
      <c r="B8541" t="s">
        <v>10</v>
      </c>
      <c r="C8541" t="s">
        <v>42</v>
      </c>
      <c r="D8541" t="str">
        <f>HYPERLINK("https://us2.cloudbeds.com/connect/10074733072513#/reservations/31684817277120?display=Patrick%20Waller&amp;reservation_id=31684817277120&amp;guest_id=31684803481773", "Patrick Waller")</f>
        <v>Patrick Waller</v>
      </c>
      <c r="E8541" t="s">
        <v>6871</v>
      </c>
      <c r="F8541" t="s">
        <v>6492</v>
      </c>
      <c r="G8541">
        <v>278</v>
      </c>
      <c r="H8541">
        <v>302.2</v>
      </c>
      <c r="I8541">
        <v>302.19</v>
      </c>
      <c r="J8541">
        <v>0.01</v>
      </c>
    </row>
    <row r="8542" spans="1:10" x14ac:dyDescent="0.3">
      <c r="A8542" t="str">
        <f>HYPERLINK("https://us2.cloudbeds.com/connect/10074733072513#/reservations/31680844939480?display=MHBT0KDXY&amp;reservation_id=31680844939480", "MHBT0KDXY")</f>
        <v>MHBT0KDXY</v>
      </c>
      <c r="B8542" t="s">
        <v>10</v>
      </c>
      <c r="C8542" t="s">
        <v>121</v>
      </c>
      <c r="D8542" t="str">
        <f>HYPERLINK("https://us2.cloudbeds.com/connect/10074733072513#/reservations/31680844939480?display=Francois%20Demange&amp;reservation_id=31680844939480&amp;guest_id=31680844939463", "Francois Demange")</f>
        <v>Francois Demange</v>
      </c>
      <c r="E8542" t="s">
        <v>6873</v>
      </c>
      <c r="F8542" t="s">
        <v>5781</v>
      </c>
      <c r="G8542">
        <v>239</v>
      </c>
      <c r="H8542">
        <v>259.8</v>
      </c>
      <c r="I8542">
        <v>259.79000000000002</v>
      </c>
      <c r="J8542">
        <v>0.01</v>
      </c>
    </row>
    <row r="8543" spans="1:10" x14ac:dyDescent="0.3">
      <c r="A8543" t="str">
        <f>HYPERLINK("https://us2.cloudbeds.com/connect/10074733072513#/reservations/31684724981985?display=MHET5CAB8&amp;reservation_id=31684724981985", "MHET5CAB8")</f>
        <v>MHET5CAB8</v>
      </c>
      <c r="B8543" t="s">
        <v>10</v>
      </c>
      <c r="C8543" t="s">
        <v>121</v>
      </c>
      <c r="D8543" t="str">
        <f>HYPERLINK("https://us2.cloudbeds.com/connect/10074733072513#/reservations/31684724981985?display=Larry%20Roesel&amp;reservation_id=31684724981985&amp;guest_id=31684724981983", "Larry Roesel")</f>
        <v>Larry Roesel</v>
      </c>
      <c r="E8543" t="s">
        <v>6874</v>
      </c>
      <c r="F8543" t="s">
        <v>5781</v>
      </c>
      <c r="G8543">
        <v>259</v>
      </c>
      <c r="H8543">
        <v>281.54000000000002</v>
      </c>
      <c r="I8543">
        <v>281.52999999999997</v>
      </c>
      <c r="J8543">
        <v>0.01</v>
      </c>
    </row>
    <row r="8544" spans="1:10" x14ac:dyDescent="0.3">
      <c r="A8544" t="str">
        <f>HYPERLINK("https://us2.cloudbeds.com/connect/10074733072513#/reservations/31685293457642?display=MHFAMNWXA&amp;reservation_id=31685293457642", "MHFAMNWXA")</f>
        <v>MHFAMNWXA</v>
      </c>
      <c r="B8544" t="s">
        <v>10</v>
      </c>
      <c r="C8544" t="s">
        <v>42</v>
      </c>
      <c r="D8544" t="str">
        <f>HYPERLINK("https://us2.cloudbeds.com/connect/10074733072513#/reservations/31685293457642?display=Aaron%20Desersa&amp;reservation_id=31685293457642&amp;guest_id=31679998111875", "Aaron Desersa")</f>
        <v>Aaron Desersa</v>
      </c>
      <c r="E8544" t="s">
        <v>6875</v>
      </c>
      <c r="F8544" t="s">
        <v>6492</v>
      </c>
      <c r="G8544">
        <v>119</v>
      </c>
      <c r="H8544">
        <v>129.36000000000001</v>
      </c>
      <c r="I8544">
        <v>129.35</v>
      </c>
      <c r="J8544">
        <v>0.01</v>
      </c>
    </row>
    <row r="8545" spans="1:10" x14ac:dyDescent="0.3">
      <c r="A8545" t="str">
        <f>HYPERLINK("https://us2.cloudbeds.com/connect/10074733072513#/reservations/31680192569552?display=MHBCBH8EV&amp;reservation_id=31680192569552", "MHBCBH8EV")</f>
        <v>MHBCBH8EV</v>
      </c>
      <c r="B8545" t="s">
        <v>10</v>
      </c>
      <c r="C8545" t="s">
        <v>23</v>
      </c>
      <c r="D8545" t="str">
        <f>HYPERLINK("https://us2.cloudbeds.com/connect/10074733072513#/reservations/31680192569552?display=Christopher%20Steven%20Grapentin&amp;reservation_id=31680192569552&amp;guest_id=31680192569549", "Christopher Steven Grapentin")</f>
        <v>Christopher Steven Grapentin</v>
      </c>
      <c r="E8545" t="s">
        <v>6877</v>
      </c>
      <c r="F8545" t="s">
        <v>6568</v>
      </c>
      <c r="G8545">
        <v>139</v>
      </c>
      <c r="H8545">
        <v>151.1</v>
      </c>
      <c r="I8545">
        <v>151.09</v>
      </c>
      <c r="J8545">
        <v>0.01</v>
      </c>
    </row>
    <row r="8546" spans="1:10" x14ac:dyDescent="0.3">
      <c r="A8546" t="str">
        <f>HYPERLINK("https://us2.cloudbeds.com/connect/10074733072513#/reservations/31686037700755?display=MHFTN9YCU&amp;reservation_id=31686037700755", "MHFTN9YCU")</f>
        <v>MHFTN9YCU</v>
      </c>
      <c r="B8546" t="s">
        <v>10</v>
      </c>
      <c r="C8546" t="s">
        <v>121</v>
      </c>
      <c r="D8546" t="str">
        <f>HYPERLINK("https://us2.cloudbeds.com/connect/10074733072513#/reservations/31686037700755?display=Eric%20Stuck%20Dct&amp;reservation_id=31686037700755&amp;guest_id=31686028267770", "Eric Stuck Dct")</f>
        <v>Eric Stuck Dct</v>
      </c>
      <c r="E8546" t="s">
        <v>6878</v>
      </c>
      <c r="F8546" t="s">
        <v>6805</v>
      </c>
      <c r="G8546">
        <v>109</v>
      </c>
      <c r="H8546">
        <v>118.49</v>
      </c>
      <c r="I8546">
        <v>118.48</v>
      </c>
      <c r="J8546">
        <v>0.01</v>
      </c>
    </row>
    <row r="8547" spans="1:10" x14ac:dyDescent="0.3">
      <c r="A8547" t="str">
        <f>HYPERLINK("https://us2.cloudbeds.com/connect/10074733072513#/reservations/31688877203667?display=MHX38Y02N&amp;reservation_id=31688877203667", "MHX38Y02N")</f>
        <v>MHX38Y02N</v>
      </c>
      <c r="B8547" t="s">
        <v>10</v>
      </c>
      <c r="C8547" t="s">
        <v>42</v>
      </c>
      <c r="D8547" t="str">
        <f>HYPERLINK("https://us2.cloudbeds.com/connect/10074733072513#/reservations/31688877203667?display=Joann%20Comes&amp;reservation_id=31688877203667&amp;guest_id=31688877203663", "Joann Comes")</f>
        <v>Joann Comes</v>
      </c>
      <c r="E8547" t="s">
        <v>6880</v>
      </c>
      <c r="F8547" t="s">
        <v>3785</v>
      </c>
      <c r="G8547">
        <v>149</v>
      </c>
      <c r="H8547">
        <v>161.97</v>
      </c>
      <c r="I8547">
        <v>161.96</v>
      </c>
      <c r="J8547">
        <v>0.01</v>
      </c>
    </row>
    <row r="8548" spans="1:10" x14ac:dyDescent="0.3">
      <c r="A8548" t="str">
        <f>HYPERLINK("https://us2.cloudbeds.com/connect/10074733072513#/reservations/31682363351217?display=MHD1QWF1H&amp;reservation_id=31682363351217", "MHD1QWF1H")</f>
        <v>MHD1QWF1H</v>
      </c>
      <c r="B8548" t="s">
        <v>10</v>
      </c>
      <c r="C8548" t="s">
        <v>42</v>
      </c>
      <c r="D8548" t="str">
        <f>HYPERLINK("https://us2.cloudbeds.com/connect/10074733072513#/reservations/31682363351217?display=William%20Porter%20Billy%20Patterson&amp;reservation_id=31682363351217&amp;guest_id=31682363351212", "William Porter Billy Patterson")</f>
        <v>William Porter Billy Patterson</v>
      </c>
      <c r="E8548" t="s">
        <v>5792</v>
      </c>
      <c r="F8548" t="s">
        <v>6435</v>
      </c>
      <c r="G8548">
        <v>336</v>
      </c>
      <c r="H8548">
        <v>365.24</v>
      </c>
      <c r="I8548">
        <v>365.23</v>
      </c>
      <c r="J8548">
        <v>0.01</v>
      </c>
    </row>
    <row r="8549" spans="1:10" x14ac:dyDescent="0.3">
      <c r="A8549" t="str">
        <f>HYPERLINK("https://us2.cloudbeds.com/connect/10074733072513#/reservations/31683605770440?display=MHE0XKJST&amp;reservation_id=31683605770440", "MHE0XKJST")</f>
        <v>MHE0XKJST</v>
      </c>
      <c r="B8549" t="s">
        <v>10</v>
      </c>
      <c r="C8549" t="s">
        <v>23</v>
      </c>
      <c r="D8549" t="str">
        <f>HYPERLINK("https://us2.cloudbeds.com/connect/10074733072513#/reservations/31683605770440?display=Keith%20Frink&amp;reservation_id=31683605770440&amp;guest_id=31683605770435", "Keith Frink")</f>
        <v>Keith Frink</v>
      </c>
      <c r="E8549" t="s">
        <v>5052</v>
      </c>
      <c r="F8549" t="s">
        <v>6568</v>
      </c>
      <c r="G8549">
        <v>149</v>
      </c>
      <c r="H8549">
        <v>161.97</v>
      </c>
      <c r="I8549">
        <v>161.96</v>
      </c>
      <c r="J8549">
        <v>0.01</v>
      </c>
    </row>
    <row r="8550" spans="1:10" x14ac:dyDescent="0.3">
      <c r="A8550" t="str">
        <f>HYPERLINK("https://us2.cloudbeds.com/connect/10074733072513#/reservations/31688826515624?display=MHX1VTHJD&amp;reservation_id=31688826515624", "MHX1VTHJD")</f>
        <v>MHX1VTHJD</v>
      </c>
      <c r="B8550" t="s">
        <v>10</v>
      </c>
      <c r="C8550" t="s">
        <v>42</v>
      </c>
      <c r="D8550" t="str">
        <f>HYPERLINK("https://us2.cloudbeds.com/connect/10074733072513#/reservations/31688826515624?display=Duane%20Comes&amp;reservation_id=31688826515624&amp;guest_id=31688826515622", "Duane Comes")</f>
        <v>Duane Comes</v>
      </c>
      <c r="E8550" t="s">
        <v>6885</v>
      </c>
      <c r="F8550" t="s">
        <v>3785</v>
      </c>
      <c r="G8550">
        <v>149</v>
      </c>
      <c r="H8550">
        <v>161.97</v>
      </c>
      <c r="I8550">
        <v>161.96</v>
      </c>
      <c r="J8550">
        <v>0.01</v>
      </c>
    </row>
    <row r="8551" spans="1:10" x14ac:dyDescent="0.3">
      <c r="A8551" t="str">
        <f>HYPERLINK("https://us2.cloudbeds.com/connect/10074733072513#/reservations/31683613266078?display=MHE0ZV5UE&amp;reservation_id=31683613266078", "MHE0ZV5UE")</f>
        <v>MHE0ZV5UE</v>
      </c>
      <c r="B8551" t="s">
        <v>10</v>
      </c>
      <c r="C8551" t="s">
        <v>11</v>
      </c>
      <c r="D8551" t="str">
        <f>HYPERLINK("https://us2.cloudbeds.com/connect/10074733072513#/reservations/31683613266078?display=Catherine%20Rogers&amp;reservation_id=31683613266078&amp;guest_id=31683613266073", "Catherine Rogers")</f>
        <v>Catherine Rogers</v>
      </c>
      <c r="E8551" t="s">
        <v>6886</v>
      </c>
      <c r="F8551" t="s">
        <v>6568</v>
      </c>
      <c r="G8551">
        <v>102.58</v>
      </c>
      <c r="H8551">
        <v>111.51</v>
      </c>
      <c r="I8551">
        <v>111.5</v>
      </c>
      <c r="J8551">
        <v>0.01</v>
      </c>
    </row>
    <row r="8552" spans="1:10" x14ac:dyDescent="0.3">
      <c r="A8552" t="str">
        <f>HYPERLINK("https://us2.cloudbeds.com/connect/10074733072513#/reservations/31685368291494?display=MHFCJRBGQ&amp;reservation_id=31685368291494", "MHFCJRBGQ")</f>
        <v>MHFCJRBGQ</v>
      </c>
      <c r="B8552" t="s">
        <v>10</v>
      </c>
      <c r="C8552" t="s">
        <v>42</v>
      </c>
      <c r="D8552" t="str">
        <f>HYPERLINK("https://us2.cloudbeds.com/connect/10074733072513#/reservations/31685368291494?display=Robert%20Osterhoudt&amp;reservation_id=31685368291494&amp;guest_id=31685368291478", "Robert Osterhoudt")</f>
        <v>Robert Osterhoudt</v>
      </c>
      <c r="E8552" t="s">
        <v>6887</v>
      </c>
      <c r="F8552" t="s">
        <v>6805</v>
      </c>
      <c r="G8552">
        <v>73</v>
      </c>
      <c r="H8552">
        <v>79.36</v>
      </c>
      <c r="I8552">
        <v>79.349999999999994</v>
      </c>
      <c r="J8552">
        <v>0.01</v>
      </c>
    </row>
    <row r="8553" spans="1:10" x14ac:dyDescent="0.3">
      <c r="A8553" t="str">
        <f>HYPERLINK("https://us2.cloudbeds.com/connect/10074733072513#/reservations/31680047161545?display=MHB8KU23N&amp;reservation_id=31680047161545", "MHB8KU23N")</f>
        <v>MHB8KU23N</v>
      </c>
      <c r="B8553" t="s">
        <v>10</v>
      </c>
      <c r="C8553" t="s">
        <v>42</v>
      </c>
      <c r="D8553" t="str">
        <f>HYPERLINK("https://us2.cloudbeds.com/connect/10074733072513#/reservations/31680047161545?display=Tyler%20.&amp;reservation_id=31680047161545&amp;guest_id=31680047157451", "Tyler .")</f>
        <v>Tyler .</v>
      </c>
      <c r="E8553" t="s">
        <v>6888</v>
      </c>
      <c r="F8553" t="s">
        <v>6568</v>
      </c>
      <c r="G8553">
        <v>258</v>
      </c>
      <c r="H8553">
        <v>280.45999999999998</v>
      </c>
      <c r="I8553">
        <v>280.45</v>
      </c>
      <c r="J8553">
        <v>0.01</v>
      </c>
    </row>
    <row r="8554" spans="1:10" x14ac:dyDescent="0.3">
      <c r="A8554" t="str">
        <f>HYPERLINK("https://us2.cloudbeds.com/connect/10074733072513#/reservations/31685984911583?display=MHFSBPNG1&amp;reservation_id=31685984911583", "MHFSBPNG1")</f>
        <v>MHFSBPNG1</v>
      </c>
      <c r="B8554" t="s">
        <v>10</v>
      </c>
      <c r="C8554" t="s">
        <v>23</v>
      </c>
      <c r="D8554" t="str">
        <f>HYPERLINK("https://us2.cloudbeds.com/connect/10074733072513#/reservations/31685984911583?display=Angela%20Kranz&amp;reservation_id=31685984911583&amp;guest_id=31685984911580", "Angela Kranz")</f>
        <v>Angela Kranz</v>
      </c>
      <c r="E8554" t="s">
        <v>6889</v>
      </c>
      <c r="F8554" t="s">
        <v>6805</v>
      </c>
      <c r="G8554">
        <v>139</v>
      </c>
      <c r="H8554">
        <v>151.1</v>
      </c>
      <c r="I8554">
        <v>151.09</v>
      </c>
      <c r="J8554">
        <v>0.01</v>
      </c>
    </row>
    <row r="8555" spans="1:10" x14ac:dyDescent="0.3">
      <c r="A8555" t="str">
        <f>HYPERLINK("https://us2.cloudbeds.com/connect/10074733072513#/reservations/31683725402311?display=MHE3KGHM3&amp;reservation_id=31683725402311", "MHE3KGHM3")</f>
        <v>MHE3KGHM3</v>
      </c>
      <c r="B8555" t="s">
        <v>10</v>
      </c>
      <c r="C8555" t="s">
        <v>42</v>
      </c>
      <c r="D8555" t="str">
        <f>HYPERLINK("https://us2.cloudbeds.com/connect/10074733072513#/reservations/31683725402311?display=James%20Braun&amp;reservation_id=31683725402311&amp;guest_id=30667431293087", "James Braun")</f>
        <v>James Braun</v>
      </c>
      <c r="E8555" t="s">
        <v>2763</v>
      </c>
      <c r="F8555" t="s">
        <v>5560</v>
      </c>
      <c r="G8555">
        <v>250</v>
      </c>
      <c r="H8555">
        <v>271.76</v>
      </c>
      <c r="I8555">
        <v>271.75</v>
      </c>
      <c r="J8555">
        <v>0.01</v>
      </c>
    </row>
    <row r="8556" spans="1:10" x14ac:dyDescent="0.3">
      <c r="A8556" t="str">
        <f>HYPERLINK("https://us2.cloudbeds.com/connect/10074733072513#/reservations/31682642133214?display=MHD8V1W6R&amp;reservation_id=31682642133214", "MHD8V1W6R")</f>
        <v>MHD8V1W6R</v>
      </c>
      <c r="B8556" t="s">
        <v>10</v>
      </c>
      <c r="C8556" t="s">
        <v>23</v>
      </c>
      <c r="D8556" t="str">
        <f>HYPERLINK("https://us2.cloudbeds.com/connect/10074733072513#/reservations/31682642133214?display=Jaci%20Smilden&amp;reservation_id=31682642133214&amp;guest_id=31682642133210", "Jaci Smilden")</f>
        <v>Jaci Smilden</v>
      </c>
      <c r="E8556" t="s">
        <v>6891</v>
      </c>
      <c r="F8556" t="s">
        <v>4868</v>
      </c>
      <c r="G8556">
        <v>331.2</v>
      </c>
      <c r="H8556">
        <v>360.02</v>
      </c>
      <c r="I8556">
        <v>360.01</v>
      </c>
      <c r="J8556">
        <v>0.01</v>
      </c>
    </row>
    <row r="8557" spans="1:10" x14ac:dyDescent="0.3">
      <c r="A8557" t="str">
        <f>HYPERLINK("https://us2.cloudbeds.com/connect/10074733072513#/reservations/31682372153494?display=MHD21DCV6&amp;reservation_id=31682372153494", "MHD21DCV6")</f>
        <v>MHD21DCV6</v>
      </c>
      <c r="B8557" t="s">
        <v>10</v>
      </c>
      <c r="C8557" t="s">
        <v>42</v>
      </c>
      <c r="D8557" t="str">
        <f>HYPERLINK("https://us2.cloudbeds.com/connect/10074733072513#/reservations/31682372153494?display=Alvin%20Walters%20Billy%20Patterson&amp;reservation_id=31682372153494&amp;guest_id=31682372153491", "Alvin Walters Billy Patterson")</f>
        <v>Alvin Walters Billy Patterson</v>
      </c>
      <c r="E8557" t="s">
        <v>5792</v>
      </c>
      <c r="F8557" t="s">
        <v>6435</v>
      </c>
      <c r="G8557">
        <v>336</v>
      </c>
      <c r="H8557">
        <v>365.24</v>
      </c>
      <c r="I8557">
        <v>365.23</v>
      </c>
      <c r="J8557">
        <v>0.01</v>
      </c>
    </row>
    <row r="8558" spans="1:10" x14ac:dyDescent="0.3">
      <c r="A8558" t="str">
        <f>HYPERLINK("https://us2.cloudbeds.com/connect/10074733072513#/reservations/31685333450913?display=MHFBNESAK&amp;reservation_id=31685333450913", "MHFBNESAK")</f>
        <v>MHFBNESAK</v>
      </c>
      <c r="B8558" t="s">
        <v>10</v>
      </c>
      <c r="C8558" t="s">
        <v>42</v>
      </c>
      <c r="D8558" t="str">
        <f>HYPERLINK("https://us2.cloudbeds.com/connect/10074733072513#/reservations/31685333450913?display=Tyler%20Nagel&amp;reservation_id=31685333450913&amp;guest_id=31685325734095", "Tyler Nagel")</f>
        <v>Tyler Nagel</v>
      </c>
      <c r="E8558" t="s">
        <v>6892</v>
      </c>
      <c r="F8558" t="s">
        <v>6805</v>
      </c>
      <c r="G8558">
        <v>139</v>
      </c>
      <c r="H8558">
        <v>151.1</v>
      </c>
      <c r="I8558">
        <v>151.09</v>
      </c>
      <c r="J8558">
        <v>0.01</v>
      </c>
    </row>
    <row r="8559" spans="1:10" x14ac:dyDescent="0.3">
      <c r="A8559" t="str">
        <f>HYPERLINK("https://us2.cloudbeds.com/connect/10074733072513#/reservations/31689167949993?display=MHXAMQEPE&amp;reservation_id=31689167949993", "MHXAMQEPE")</f>
        <v>MHXAMQEPE</v>
      </c>
      <c r="B8559" t="s">
        <v>10</v>
      </c>
      <c r="C8559" t="s">
        <v>42</v>
      </c>
      <c r="D8559" t="str">
        <f>HYPERLINK("https://us2.cloudbeds.com/connect/10074733072513#/reservations/31689167949993?display=Dianne%20Stark&amp;reservation_id=31689167949993&amp;guest_id=31689159065809", "Dianne Stark")</f>
        <v>Dianne Stark</v>
      </c>
      <c r="E8559" t="s">
        <v>6893</v>
      </c>
      <c r="F8559" t="s">
        <v>3785</v>
      </c>
      <c r="G8559">
        <v>149</v>
      </c>
      <c r="H8559">
        <v>161.97</v>
      </c>
      <c r="I8559">
        <v>161.96</v>
      </c>
      <c r="J8559">
        <v>0.01</v>
      </c>
    </row>
    <row r="8560" spans="1:10" x14ac:dyDescent="0.3">
      <c r="A8560" t="str">
        <f>HYPERLINK("https://us2.cloudbeds.com/connect/10074733072513#/reservations/31683635912847?display=MHE1B1BS5&amp;reservation_id=31683635912847", "MHE1B1BS5")</f>
        <v>MHE1B1BS5</v>
      </c>
      <c r="B8560" t="s">
        <v>10</v>
      </c>
      <c r="C8560" t="s">
        <v>42</v>
      </c>
      <c r="D8560" t="str">
        <f>HYPERLINK("https://us2.cloudbeds.com/connect/10074733072513#/reservations/31683635912847?display=Jae%20Dejong&amp;reservation_id=31683635912847&amp;guest_id=31679080378606", "Jae Dejong")</f>
        <v>Jae Dejong</v>
      </c>
      <c r="E8560" t="s">
        <v>6721</v>
      </c>
      <c r="F8560" t="s">
        <v>6568</v>
      </c>
      <c r="G8560">
        <v>158</v>
      </c>
      <c r="H8560">
        <v>171.76</v>
      </c>
      <c r="I8560">
        <v>171.75</v>
      </c>
      <c r="J8560">
        <v>0.01</v>
      </c>
    </row>
    <row r="8561" spans="1:10" x14ac:dyDescent="0.3">
      <c r="A8561" t="str">
        <f>HYPERLINK("https://us2.cloudbeds.com/connect/10074733072513#/reservations/31681682006238?display=MHCHDF0TW&amp;reservation_id=31681682006238", "MHCHDF0TW")</f>
        <v>MHCHDF0TW</v>
      </c>
      <c r="B8561" t="s">
        <v>10</v>
      </c>
      <c r="C8561" t="s">
        <v>42</v>
      </c>
      <c r="D8561" t="str">
        <f>HYPERLINK("https://us2.cloudbeds.com/connect/10074733072513#/reservations/31681682006238?display=Kevin%20Tenkley&amp;reservation_id=31681682006238&amp;guest_id=31681682002146", "Kevin Tenkley")</f>
        <v>Kevin Tenkley</v>
      </c>
      <c r="E8561" t="s">
        <v>4250</v>
      </c>
      <c r="F8561" t="s">
        <v>5537</v>
      </c>
      <c r="G8561">
        <v>129</v>
      </c>
      <c r="H8561">
        <v>140.22999999999999</v>
      </c>
      <c r="I8561">
        <v>140.22</v>
      </c>
      <c r="J8561">
        <v>0.01</v>
      </c>
    </row>
    <row r="8562" spans="1:10" x14ac:dyDescent="0.3">
      <c r="A8562" t="str">
        <f>HYPERLINK("https://us2.cloudbeds.com/connect/10074733072513#/reservations/31689046876301?display=MHX7JNCWY&amp;reservation_id=31689046876301", "MHX7JNCWY")</f>
        <v>MHX7JNCWY</v>
      </c>
      <c r="B8562" t="s">
        <v>10</v>
      </c>
      <c r="C8562" t="s">
        <v>42</v>
      </c>
      <c r="D8562" t="str">
        <f>HYPERLINK("https://us2.cloudbeds.com/connect/10074733072513#/reservations/31689046876301?display=Rich%20/%20Vergene%20Comes&amp;reservation_id=31689046876301&amp;guest_id=31689040077035", "Rich / Vergene Comes")</f>
        <v>Rich / Vergene Comes</v>
      </c>
      <c r="E8562" t="s">
        <v>6894</v>
      </c>
      <c r="F8562" t="s">
        <v>3785</v>
      </c>
      <c r="G8562">
        <v>149</v>
      </c>
      <c r="H8562">
        <v>161.97</v>
      </c>
      <c r="I8562">
        <v>161.96</v>
      </c>
      <c r="J8562">
        <v>0.01</v>
      </c>
    </row>
    <row r="8563" spans="1:10" x14ac:dyDescent="0.3">
      <c r="A8563" t="str">
        <f>HYPERLINK("https://us2.cloudbeds.com/connect/10074733072513#/reservations/31679998107783?display=MHB7CX2B2&amp;reservation_id=31679998107783", "MHB7CX2B2")</f>
        <v>MHB7CX2B2</v>
      </c>
      <c r="B8563" t="s">
        <v>10</v>
      </c>
      <c r="C8563" t="s">
        <v>42</v>
      </c>
      <c r="D8563" t="str">
        <f>HYPERLINK("https://us2.cloudbeds.com/connect/10074733072513#/reservations/31679998107783?display=Paul%20Sulven&amp;reservation_id=31679998107783&amp;guest_id=31679987732717", "Paul Sulven")</f>
        <v>Paul Sulven</v>
      </c>
      <c r="E8563" t="s">
        <v>6895</v>
      </c>
      <c r="F8563" t="s">
        <v>6805</v>
      </c>
      <c r="G8563">
        <v>73</v>
      </c>
      <c r="H8563">
        <v>79.36</v>
      </c>
      <c r="I8563">
        <v>79.349999999999994</v>
      </c>
      <c r="J8563">
        <v>0.01</v>
      </c>
    </row>
    <row r="8564" spans="1:10" x14ac:dyDescent="0.3">
      <c r="A8564" t="str">
        <f>HYPERLINK("https://us2.cloudbeds.com/connect/10074733072513#/reservations/31679998111878?display=MHB7CX635&amp;reservation_id=31679998111878", "MHB7CX635")</f>
        <v>MHB7CX635</v>
      </c>
      <c r="B8564" t="s">
        <v>10</v>
      </c>
      <c r="C8564" t="s">
        <v>42</v>
      </c>
      <c r="D8564" t="str">
        <f>HYPERLINK("https://us2.cloudbeds.com/connect/10074733072513#/reservations/31679998111878?display=Aaron%20Desersa&amp;reservation_id=31679998111878&amp;guest_id=31679998111875", "Aaron Desersa")</f>
        <v>Aaron Desersa</v>
      </c>
      <c r="E8564" t="s">
        <v>6875</v>
      </c>
      <c r="F8564" t="s">
        <v>6805</v>
      </c>
      <c r="G8564">
        <v>119</v>
      </c>
      <c r="H8564">
        <v>129.36000000000001</v>
      </c>
      <c r="I8564">
        <v>129.35</v>
      </c>
      <c r="J8564">
        <v>0.01</v>
      </c>
    </row>
    <row r="8565" spans="1:10" x14ac:dyDescent="0.3">
      <c r="A8565" t="str">
        <f>HYPERLINK("https://us2.cloudbeds.com/connect/10074733072513#/reservations/31680779120870?display=MHBRB3U2A&amp;reservation_id=31680779120870", "MHBRB3U2A")</f>
        <v>MHBRB3U2A</v>
      </c>
      <c r="B8565" t="s">
        <v>10</v>
      </c>
      <c r="C8565" t="s">
        <v>20</v>
      </c>
      <c r="D8565" t="str">
        <f>HYPERLINK("https://us2.cloudbeds.com/connect/10074733072513#/reservations/31680779120870?display=Marc%20Lopes&amp;reservation_id=31680779120870&amp;guest_id=31680771596437", "Marc Lopes")</f>
        <v>Marc Lopes</v>
      </c>
      <c r="E8565" t="s">
        <v>6896</v>
      </c>
      <c r="F8565" t="s">
        <v>6435</v>
      </c>
      <c r="G8565">
        <v>149</v>
      </c>
      <c r="H8565">
        <v>161.97</v>
      </c>
      <c r="I8565">
        <v>161.96</v>
      </c>
      <c r="J8565">
        <v>0.01</v>
      </c>
    </row>
    <row r="8566" spans="1:10" x14ac:dyDescent="0.3">
      <c r="A8566" t="str">
        <f>HYPERLINK("https://us2.cloudbeds.com/connect/10074733072513#/reservations/31688163053764?display=MHHX0EZ1X&amp;reservation_id=31688163053764", "MHHX0EZ1X")</f>
        <v>MHHX0EZ1X</v>
      </c>
      <c r="B8566" t="s">
        <v>10</v>
      </c>
      <c r="C8566" t="s">
        <v>42</v>
      </c>
      <c r="D8566" t="str">
        <f>HYPERLINK("https://us2.cloudbeds.com/connect/10074733072513#/reservations/31688163053764?display=James%20Reese&amp;reservation_id=31688163053764&amp;guest_id=31688163053761", "James Reese")</f>
        <v>James Reese</v>
      </c>
      <c r="E8566" t="s">
        <v>6897</v>
      </c>
      <c r="F8566" t="s">
        <v>4868</v>
      </c>
      <c r="G8566">
        <v>278</v>
      </c>
      <c r="H8566">
        <v>302.2</v>
      </c>
      <c r="I8566">
        <v>302.19</v>
      </c>
      <c r="J8566">
        <v>0.01</v>
      </c>
    </row>
    <row r="8567" spans="1:10" x14ac:dyDescent="0.3">
      <c r="A8567" t="str">
        <f>HYPERLINK("https://us2.cloudbeds.com/connect/10074733072513#/reservations/31684534329515?display=MHEZ9K46M&amp;reservation_id=31684534329515", "MHEZ9K46M")</f>
        <v>MHEZ9K46M</v>
      </c>
      <c r="B8567" t="s">
        <v>10</v>
      </c>
      <c r="C8567" t="s">
        <v>23</v>
      </c>
      <c r="D8567" t="str">
        <f>HYPERLINK("https://us2.cloudbeds.com/connect/10074733072513#/reservations/31684534329515?display=Linda%20Frey&amp;reservation_id=31684534329515&amp;guest_id=31684523786393", "Linda Frey")</f>
        <v>Linda Frey</v>
      </c>
      <c r="E8567" t="s">
        <v>6900</v>
      </c>
      <c r="F8567" t="s">
        <v>6901</v>
      </c>
      <c r="G8567">
        <v>209</v>
      </c>
      <c r="H8567">
        <v>227.19</v>
      </c>
      <c r="I8567">
        <v>227.18</v>
      </c>
      <c r="J8567">
        <v>0.01</v>
      </c>
    </row>
    <row r="8568" spans="1:10" x14ac:dyDescent="0.3">
      <c r="A8568" t="str">
        <f>HYPERLINK("https://us2.cloudbeds.com/connect/10074733072513#/reservations/31680121561310?display=MHBAHYBF1&amp;reservation_id=31680121561310", "MHBAHYBF1")</f>
        <v>MHBAHYBF1</v>
      </c>
      <c r="B8568" t="s">
        <v>10</v>
      </c>
      <c r="C8568" t="s">
        <v>42</v>
      </c>
      <c r="D8568" t="str">
        <f>HYPERLINK("https://us2.cloudbeds.com/connect/10074733072513#/reservations/31680121561310?display=Greg%20Joines&amp;reservation_id=31680121561310&amp;guest_id=31679674007740", "Greg Joines")</f>
        <v>Greg Joines</v>
      </c>
      <c r="E8568" t="s">
        <v>6749</v>
      </c>
      <c r="F8568" t="s">
        <v>5560</v>
      </c>
      <c r="G8568">
        <v>150</v>
      </c>
      <c r="H8568">
        <v>163.06</v>
      </c>
      <c r="I8568">
        <v>163.05000000000001</v>
      </c>
      <c r="J8568">
        <v>0.01</v>
      </c>
    </row>
    <row r="8569" spans="1:10" x14ac:dyDescent="0.3">
      <c r="A8569" t="str">
        <f>HYPERLINK("https://us2.cloudbeds.com/connect/10074733072513#/reservations/31682355560593?display=MHD1KDM40&amp;reservation_id=31682355560593", "MHD1KDM40")</f>
        <v>MHD1KDM40</v>
      </c>
      <c r="B8569" t="s">
        <v>10</v>
      </c>
      <c r="C8569" t="s">
        <v>23</v>
      </c>
      <c r="D8569" t="str">
        <f>HYPERLINK("https://us2.cloudbeds.com/connect/10074733072513#/reservations/31682355560593?display=Wanda%20Moranti&amp;reservation_id=31682355560593&amp;guest_id=31682355560588", "Wanda Moranti")</f>
        <v>Wanda Moranti</v>
      </c>
      <c r="E8569" t="s">
        <v>6903</v>
      </c>
      <c r="F8569" t="s">
        <v>6435</v>
      </c>
      <c r="G8569">
        <v>278</v>
      </c>
      <c r="H8569">
        <v>302.2</v>
      </c>
      <c r="I8569">
        <v>302.19</v>
      </c>
      <c r="J8569">
        <v>0.01</v>
      </c>
    </row>
    <row r="8570" spans="1:10" x14ac:dyDescent="0.3">
      <c r="A8570" t="str">
        <f>HYPERLINK("https://us2.cloudbeds.com/connect/10074733072513#/reservations/31683248234726?display=MHDZE4Y8A&amp;reservation_id=31683248234726", "MHDZE4Y8A")</f>
        <v>MHDZE4Y8A</v>
      </c>
      <c r="B8570" t="s">
        <v>10</v>
      </c>
      <c r="C8570" t="s">
        <v>20</v>
      </c>
      <c r="D8570" t="str">
        <f>HYPERLINK("https://us2.cloudbeds.com/connect/10074733072513#/reservations/31683248234726?display=Kristen%20Colton&amp;reservation_id=31683248234726&amp;guest_id=31683239977099", "Kristen Colton")</f>
        <v>Kristen Colton</v>
      </c>
      <c r="E8570" t="s">
        <v>6905</v>
      </c>
      <c r="F8570" t="s">
        <v>5548</v>
      </c>
      <c r="G8570">
        <v>348</v>
      </c>
      <c r="H8570">
        <v>378.29</v>
      </c>
      <c r="I8570">
        <v>378.28</v>
      </c>
      <c r="J8570">
        <v>0.01</v>
      </c>
    </row>
    <row r="8571" spans="1:10" x14ac:dyDescent="0.3">
      <c r="A8571" t="str">
        <f>HYPERLINK("https://us2.cloudbeds.com/connect/10074733072513#/reservations/31690410066099?display=MHJ9E658E&amp;reservation_id=31690410066099", "MHJ9E658E")</f>
        <v>MHJ9E658E</v>
      </c>
      <c r="B8571" t="s">
        <v>10</v>
      </c>
      <c r="C8571" t="s">
        <v>42</v>
      </c>
      <c r="D8571" t="str">
        <f>HYPERLINK("https://us2.cloudbeds.com/connect/10074733072513#/reservations/31690410066099?display=Jose%20Perez&amp;reservation_id=31690410066099&amp;guest_id=31690402476249", "Jose Perez")</f>
        <v>Jose Perez</v>
      </c>
      <c r="E8571" t="s">
        <v>6906</v>
      </c>
      <c r="F8571" t="s">
        <v>5247</v>
      </c>
      <c r="G8571">
        <v>238</v>
      </c>
      <c r="H8571">
        <v>258.72000000000003</v>
      </c>
      <c r="I8571">
        <v>258.70999999999998</v>
      </c>
      <c r="J8571">
        <v>0.01</v>
      </c>
    </row>
    <row r="8572" spans="1:10" x14ac:dyDescent="0.3">
      <c r="A8572" t="str">
        <f>HYPERLINK("https://us2.cloudbeds.com/connect/10074733072513#/reservations/31680065978560?display=MHB8RTSK1&amp;reservation_id=31680065978560", "MHB8RTSK1")</f>
        <v>MHB8RTSK1</v>
      </c>
      <c r="B8572" t="s">
        <v>10</v>
      </c>
      <c r="C8572" t="s">
        <v>14</v>
      </c>
      <c r="D8572" t="str">
        <f>HYPERLINK("https://us2.cloudbeds.com/connect/10074733072513#/reservations/31680065978560?display=Danielle%20Oleson&amp;reservation_id=31680065978560&amp;guest_id=31680055455895", "Danielle Oleson")</f>
        <v>Danielle Oleson</v>
      </c>
      <c r="E8572" t="s">
        <v>6907</v>
      </c>
      <c r="F8572" t="s">
        <v>6568</v>
      </c>
      <c r="G8572">
        <v>97.74</v>
      </c>
      <c r="H8572">
        <v>106.25</v>
      </c>
      <c r="I8572">
        <v>106.24</v>
      </c>
      <c r="J8572">
        <v>0.01</v>
      </c>
    </row>
    <row r="8573" spans="1:10" x14ac:dyDescent="0.3">
      <c r="A8573" t="str">
        <f>HYPERLINK("https://us2.cloudbeds.com/connect/10074733072513#/reservations/31680041889971?display=MHB8GFCC1&amp;reservation_id=31680041889971", "MHB8GFCC1")</f>
        <v>MHB8GFCC1</v>
      </c>
      <c r="B8573" t="s">
        <v>10</v>
      </c>
      <c r="C8573" t="s">
        <v>11</v>
      </c>
      <c r="D8573" t="str">
        <f>HYPERLINK("https://us2.cloudbeds.com/connect/10074733072513#/reservations/31680041889971?display=Ryan%20Mitchell&amp;reservation_id=31680041889971&amp;guest_id=31680033231068", "Ryan Mitchell")</f>
        <v>Ryan Mitchell</v>
      </c>
      <c r="E8573" t="s">
        <v>6908</v>
      </c>
      <c r="F8573" t="s">
        <v>6805</v>
      </c>
      <c r="G8573">
        <v>97.74</v>
      </c>
      <c r="H8573">
        <v>106.25</v>
      </c>
      <c r="I8573">
        <v>106.24</v>
      </c>
      <c r="J8573">
        <v>0.01</v>
      </c>
    </row>
    <row r="8574" spans="1:10" x14ac:dyDescent="0.3">
      <c r="A8574" t="str">
        <f>HYPERLINK("https://us2.cloudbeds.com/connect/10074733072513#/reservations/31680025579659?display=MHB82NH15&amp;reservation_id=31680025579659", "MHB82NH15")</f>
        <v>MHB82NH15</v>
      </c>
      <c r="B8574" t="s">
        <v>10</v>
      </c>
      <c r="C8574" t="s">
        <v>121</v>
      </c>
      <c r="D8574" t="str">
        <f>HYPERLINK("https://us2.cloudbeds.com/connect/10074733072513#/reservations/31680025579659?display=Melvin%20Mendez%20Cruz&amp;reservation_id=31680025579659&amp;guest_id=31680020324576", "Melvin Mendez Cruz")</f>
        <v>Melvin Mendez Cruz</v>
      </c>
      <c r="E8574" t="s">
        <v>6909</v>
      </c>
      <c r="F8574" t="s">
        <v>6805</v>
      </c>
      <c r="G8574">
        <v>109</v>
      </c>
      <c r="H8574">
        <v>118.49</v>
      </c>
      <c r="I8574">
        <v>118.48</v>
      </c>
      <c r="J8574">
        <v>0.01</v>
      </c>
    </row>
    <row r="8575" spans="1:10" x14ac:dyDescent="0.3">
      <c r="A8575" t="str">
        <f>HYPERLINK("https://us2.cloudbeds.com/connect/10074733072513#/reservations/31681289609355?display=MHC7CJ06B&amp;reservation_id=31681289609355", "MHC7CJ06B")</f>
        <v>MHC7CJ06B</v>
      </c>
      <c r="B8575" t="s">
        <v>10</v>
      </c>
      <c r="C8575" t="s">
        <v>42</v>
      </c>
      <c r="D8575" t="str">
        <f>HYPERLINK("https://us2.cloudbeds.com/connect/10074733072513#/reservations/31681289609355?display=Nicole%20Kroll&amp;reservation_id=31681289609355&amp;guest_id=31681289605308", "Nicole Kroll")</f>
        <v>Nicole Kroll</v>
      </c>
      <c r="E8575" t="s">
        <v>6910</v>
      </c>
      <c r="F8575" t="s">
        <v>5283</v>
      </c>
      <c r="G8575">
        <v>189</v>
      </c>
      <c r="H8575">
        <v>205.45</v>
      </c>
      <c r="I8575">
        <v>205.44</v>
      </c>
      <c r="J8575">
        <v>0.01</v>
      </c>
    </row>
    <row r="8576" spans="1:10" x14ac:dyDescent="0.3">
      <c r="A8576" t="str">
        <f>HYPERLINK("https://us2.cloudbeds.com/connect/10074733072513#/reservations/31689155551361?display=MHXACBEEA&amp;reservation_id=31689155551361", "MHXACBEEA")</f>
        <v>MHXACBEEA</v>
      </c>
      <c r="B8576" t="s">
        <v>10</v>
      </c>
      <c r="C8576" t="s">
        <v>42</v>
      </c>
      <c r="D8576" t="str">
        <f>HYPERLINK("https://us2.cloudbeds.com/connect/10074733072513#/reservations/31689155551361?display=Bride%20Kayla%20Jones&amp;reservation_id=31689155551361&amp;guest_id=31689143677155", "Bride Kayla Jones")</f>
        <v>Bride Kayla Jones</v>
      </c>
      <c r="E8576" t="s">
        <v>6911</v>
      </c>
      <c r="F8576" t="s">
        <v>3785</v>
      </c>
      <c r="G8576">
        <v>159</v>
      </c>
      <c r="H8576">
        <v>172.84</v>
      </c>
      <c r="I8576">
        <v>172.83</v>
      </c>
      <c r="J8576">
        <v>0.01</v>
      </c>
    </row>
    <row r="8577" spans="1:10" x14ac:dyDescent="0.3">
      <c r="A8577" t="str">
        <f>HYPERLINK("https://us2.cloudbeds.com/connect/10074733072513#/reservations/31683687878837?display=MHE2YSCS4&amp;reservation_id=31683687878837", "MHE2YSCS4")</f>
        <v>MHE2YSCS4</v>
      </c>
      <c r="B8577" t="s">
        <v>10</v>
      </c>
      <c r="C8577" t="s">
        <v>121</v>
      </c>
      <c r="D8577" t="str">
        <f>HYPERLINK("https://us2.cloudbeds.com/connect/10074733072513#/reservations/31683687878837?display=Robert%20Osterhoudt&amp;reservation_id=31683687878837&amp;guest_id=31683677208798", "Robert Osterhoudt")</f>
        <v>Robert Osterhoudt</v>
      </c>
      <c r="E8577" t="s">
        <v>6887</v>
      </c>
      <c r="F8577" t="s">
        <v>6568</v>
      </c>
      <c r="G8577">
        <v>73</v>
      </c>
      <c r="H8577">
        <v>79.36</v>
      </c>
      <c r="I8577">
        <v>79.349999999999994</v>
      </c>
      <c r="J8577">
        <v>0.01</v>
      </c>
    </row>
    <row r="8578" spans="1:10" x14ac:dyDescent="0.3">
      <c r="A8578" t="str">
        <f>HYPERLINK("https://us2.cloudbeds.com/connect/10074733072513#/reservations/31683704172738?display=MHE32JQ3N&amp;reservation_id=31683704172738", "MHE32JQ3N")</f>
        <v>MHE32JQ3N</v>
      </c>
      <c r="B8578" t="s">
        <v>10</v>
      </c>
      <c r="C8578" t="s">
        <v>42</v>
      </c>
      <c r="D8578" t="str">
        <f>HYPERLINK("https://us2.cloudbeds.com/connect/10074733072513#/reservations/31683704172738?display=Paul%20Sulzen&amp;reservation_id=31683704172738&amp;guest_id=31681935679679", "Paul Sulzen")</f>
        <v>Paul Sulzen</v>
      </c>
      <c r="E8578" t="s">
        <v>6575</v>
      </c>
      <c r="F8578" t="s">
        <v>6568</v>
      </c>
      <c r="G8578">
        <v>73</v>
      </c>
      <c r="H8578">
        <v>79.36</v>
      </c>
      <c r="I8578">
        <v>79.349999999999994</v>
      </c>
      <c r="J8578">
        <v>0.01</v>
      </c>
    </row>
    <row r="8579" spans="1:10" x14ac:dyDescent="0.3">
      <c r="A8579" t="str">
        <f>HYPERLINK("https://us2.cloudbeds.com/connect/10074733072513#/reservations/31680595529947?display=MHBMYA7C0&amp;reservation_id=31680595529947", "MHBMYA7C0")</f>
        <v>MHBMYA7C0</v>
      </c>
      <c r="B8579" t="s">
        <v>10</v>
      </c>
      <c r="C8579" t="s">
        <v>11</v>
      </c>
      <c r="D8579" t="str">
        <f>HYPERLINK("https://us2.cloudbeds.com/connect/10074733072513#/reservations/31680595529947?display=Brian%20Cameron&amp;reservation_id=31680595529947&amp;guest_id=31680595525855", "Brian Cameron")</f>
        <v>Brian Cameron</v>
      </c>
      <c r="E8579" t="s">
        <v>6913</v>
      </c>
      <c r="F8579" t="s">
        <v>5560</v>
      </c>
      <c r="G8579">
        <v>110.86</v>
      </c>
      <c r="H8579">
        <v>120.51</v>
      </c>
      <c r="I8579">
        <v>120.5</v>
      </c>
      <c r="J8579">
        <v>0.01</v>
      </c>
    </row>
    <row r="8580" spans="1:10" x14ac:dyDescent="0.3">
      <c r="A8580" t="str">
        <f>HYPERLINK("https://us2.cloudbeds.com/connect/10074733072513#/reservations/31680154775744?display=MHBB57YGY&amp;reservation_id=31680154775744", "MHBB57YGY")</f>
        <v>MHBB57YGY</v>
      </c>
      <c r="B8580" t="s">
        <v>10</v>
      </c>
      <c r="C8580" t="s">
        <v>11</v>
      </c>
      <c r="D8580" t="str">
        <f>HYPERLINK("https://us2.cloudbeds.com/connect/10074733072513#/reservations/31680154775744?display=Authur%20Mack&amp;reservation_id=31680154775744&amp;guest_id=31680145973461", "Authur Mack")</f>
        <v>Authur Mack</v>
      </c>
      <c r="E8580" t="s">
        <v>6914</v>
      </c>
      <c r="F8580" t="s">
        <v>5560</v>
      </c>
      <c r="G8580">
        <v>97.74</v>
      </c>
      <c r="H8580">
        <v>106.25</v>
      </c>
      <c r="I8580">
        <v>106.24</v>
      </c>
      <c r="J8580">
        <v>0.01</v>
      </c>
    </row>
    <row r="8581" spans="1:10" x14ac:dyDescent="0.3">
      <c r="A8581" t="str">
        <f>HYPERLINK("https://us2.cloudbeds.com/connect/10074733072513#/reservations/31728194212059?display=MXFHTPNNE&amp;reservation_id=31728194212059", "MXFHTPNNE")</f>
        <v>MXFHTPNNE</v>
      </c>
      <c r="B8581" t="s">
        <v>10</v>
      </c>
      <c r="C8581" t="s">
        <v>42</v>
      </c>
      <c r="D8581" t="str">
        <f>HYPERLINK("https://us2.cloudbeds.com/connect/10074733072513#/reservations/31728194212059?display=Colleen%20Carroll&amp;reservation_id=31728194212059&amp;guest_id=31728194212054", "Colleen Carroll")</f>
        <v>Colleen Carroll</v>
      </c>
      <c r="E8581" t="s">
        <v>6915</v>
      </c>
      <c r="F8581" t="s">
        <v>6916</v>
      </c>
      <c r="G8581">
        <v>318</v>
      </c>
      <c r="H8581">
        <v>345.68</v>
      </c>
      <c r="I8581">
        <v>345.67</v>
      </c>
      <c r="J8581">
        <v>0.01</v>
      </c>
    </row>
    <row r="8582" spans="1:10" x14ac:dyDescent="0.3">
      <c r="A8582" t="str">
        <f>HYPERLINK("https://us2.cloudbeds.com/connect/10074733072513#/reservations/31680107245773?display=MHBA5XWST&amp;reservation_id=31680107245773", "MHBA5XWST")</f>
        <v>MHBA5XWST</v>
      </c>
      <c r="B8582" t="s">
        <v>10</v>
      </c>
      <c r="C8582" t="s">
        <v>42</v>
      </c>
      <c r="D8582" t="str">
        <f>HYPERLINK("https://us2.cloudbeds.com/connect/10074733072513#/reservations/31680107245773?display=Denise%20Duffy&amp;reservation_id=31680107245773&amp;guest_id=31678748758211", "Denise Duffy")</f>
        <v>Denise Duffy</v>
      </c>
      <c r="E8582" t="s">
        <v>6566</v>
      </c>
      <c r="F8582" t="s">
        <v>5560</v>
      </c>
      <c r="G8582">
        <v>89</v>
      </c>
      <c r="H8582">
        <v>96.75</v>
      </c>
      <c r="I8582">
        <v>96.74</v>
      </c>
      <c r="J8582">
        <v>0.01</v>
      </c>
    </row>
    <row r="8583" spans="1:10" x14ac:dyDescent="0.3">
      <c r="A8583" t="str">
        <f>HYPERLINK("https://us2.cloudbeds.com/connect/10074733072513#/reservations/31682466795683?display=MHD4F6VCA&amp;reservation_id=31682466795683", "MHD4F6VCA")</f>
        <v>MHD4F6VCA</v>
      </c>
      <c r="B8583" t="s">
        <v>10</v>
      </c>
      <c r="C8583" t="s">
        <v>42</v>
      </c>
      <c r="D8583" t="str">
        <f>HYPERLINK("https://us2.cloudbeds.com/connect/10074733072513#/reservations/31682466795683?display=Dustan%20Harless&amp;reservation_id=31682466795683&amp;guest_id=31682466795649", "Dustan Harless")</f>
        <v>Dustan Harless</v>
      </c>
      <c r="E8583" t="s">
        <v>6917</v>
      </c>
      <c r="F8583" t="s">
        <v>5283</v>
      </c>
      <c r="G8583">
        <v>398</v>
      </c>
      <c r="H8583">
        <v>432.64</v>
      </c>
      <c r="I8583">
        <v>432.63</v>
      </c>
      <c r="J8583">
        <v>0.01</v>
      </c>
    </row>
    <row r="8584" spans="1:10" x14ac:dyDescent="0.3">
      <c r="A8584" t="str">
        <f>HYPERLINK("https://us2.cloudbeds.com/connect/10074733072513#/reservations/31683597762781?display=MHE0BSPYX&amp;reservation_id=31683597762781", "MHE0BSPYX")</f>
        <v>MHE0BSPYX</v>
      </c>
      <c r="B8584" t="s">
        <v>10</v>
      </c>
      <c r="C8584" t="s">
        <v>42</v>
      </c>
      <c r="D8584" t="str">
        <f>HYPERLINK("https://us2.cloudbeds.com/connect/10074733072513#/reservations/31683597762781?display=Dan%20Bogusz&amp;reservation_id=31683597762781&amp;guest_id=31683597758700", "Dan Bogusz")</f>
        <v>Dan Bogusz</v>
      </c>
      <c r="E8584" t="s">
        <v>6918</v>
      </c>
      <c r="F8584" t="s">
        <v>6568</v>
      </c>
      <c r="G8584">
        <v>169</v>
      </c>
      <c r="H8584">
        <v>183.71</v>
      </c>
      <c r="I8584">
        <v>183.7</v>
      </c>
      <c r="J8584">
        <v>0.01</v>
      </c>
    </row>
    <row r="8585" spans="1:10" x14ac:dyDescent="0.3">
      <c r="A8585" t="str">
        <f>HYPERLINK("https://us2.cloudbeds.com/connect/10074733072513#/reservations/31688805408979?display=MHX1E36U3&amp;reservation_id=31688805408979", "MHX1E36U3")</f>
        <v>MHX1E36U3</v>
      </c>
      <c r="B8585" t="s">
        <v>10</v>
      </c>
      <c r="C8585" t="s">
        <v>20</v>
      </c>
      <c r="D8585" t="str">
        <f>HYPERLINK("https://us2.cloudbeds.com/connect/10074733072513#/reservations/31688805408979?display=Kayla%20Berberich&amp;reservation_id=31688805408979&amp;guest_id=31688805408977", "Kayla Berberich")</f>
        <v>Kayla Berberich</v>
      </c>
      <c r="E8585" t="s">
        <v>6919</v>
      </c>
      <c r="F8585" t="s">
        <v>3785</v>
      </c>
      <c r="G8585">
        <v>149</v>
      </c>
      <c r="H8585">
        <v>161.97</v>
      </c>
      <c r="I8585">
        <v>161.96</v>
      </c>
      <c r="J8585">
        <v>0.01</v>
      </c>
    </row>
    <row r="8586" spans="1:10" x14ac:dyDescent="0.3">
      <c r="A8586" t="str">
        <f>HYPERLINK("https://us2.cloudbeds.com/connect/10074733072513#/reservations/31680192565459?display=MHBCBH4MU&amp;reservation_id=31680192565459", "MHBCBH4MU")</f>
        <v>MHBCBH4MU</v>
      </c>
      <c r="B8586" t="s">
        <v>10</v>
      </c>
      <c r="C8586" t="s">
        <v>42</v>
      </c>
      <c r="D8586" t="str">
        <f>HYPERLINK("https://us2.cloudbeds.com/connect/10074733072513#/reservations/31680192565459?display=Jeffrey%20Jay%20Harper&amp;reservation_id=31680192565459&amp;guest_id=31680192565447", "Jeffrey Jay Harper")</f>
        <v>Jeffrey Jay Harper</v>
      </c>
      <c r="E8586" t="s">
        <v>6920</v>
      </c>
      <c r="F8586" t="s">
        <v>6568</v>
      </c>
      <c r="G8586">
        <v>169</v>
      </c>
      <c r="H8586">
        <v>183.71</v>
      </c>
      <c r="I8586">
        <v>183.7</v>
      </c>
      <c r="J8586">
        <v>0.01</v>
      </c>
    </row>
    <row r="8587" spans="1:10" x14ac:dyDescent="0.3">
      <c r="A8587" t="str">
        <f>HYPERLINK("https://us2.cloudbeds.com/connect/10074733072513#/reservations/31680608207053?display=MHBMVWWDZ&amp;reservation_id=31680608207053", "MHBMVWWDZ")</f>
        <v>MHBMVWWDZ</v>
      </c>
      <c r="B8587" t="s">
        <v>10</v>
      </c>
      <c r="C8587" t="s">
        <v>121</v>
      </c>
      <c r="D8587" t="str">
        <f>HYPERLINK("https://us2.cloudbeds.com/connect/10074733072513#/reservations/31680608207053?display=Nathaniel%20Reid&amp;reservation_id=31680608207053&amp;guest_id=31680603476213", "Nathaniel Reid")</f>
        <v>Nathaniel Reid</v>
      </c>
      <c r="E8587" t="s">
        <v>6921</v>
      </c>
      <c r="F8587" t="s">
        <v>5560</v>
      </c>
      <c r="G8587">
        <v>139</v>
      </c>
      <c r="H8587">
        <v>151.1</v>
      </c>
      <c r="I8587">
        <v>151.09</v>
      </c>
      <c r="J8587">
        <v>0.01</v>
      </c>
    </row>
    <row r="8588" spans="1:10" x14ac:dyDescent="0.3">
      <c r="A8588" t="str">
        <f>HYPERLINK("https://us2.cloudbeds.com/connect/10074733072513#/reservations/31680548794535?display=MHBYETZFD&amp;reservation_id=31680548794535", "MHBYETZFD")</f>
        <v>MHBYETZFD</v>
      </c>
      <c r="B8588" t="s">
        <v>10</v>
      </c>
      <c r="C8588" t="s">
        <v>23</v>
      </c>
      <c r="D8588" t="str">
        <f>HYPERLINK("https://us2.cloudbeds.com/connect/10074733072513#/reservations/31680548794535?display=Brittany%20Samuelson&amp;reservation_id=31680548794535&amp;guest_id=31680548794530", "Brittany Samuelson")</f>
        <v>Brittany Samuelson</v>
      </c>
      <c r="E8588" t="s">
        <v>6922</v>
      </c>
      <c r="F8588" t="s">
        <v>5560</v>
      </c>
      <c r="G8588">
        <v>139</v>
      </c>
      <c r="H8588">
        <v>151.1</v>
      </c>
      <c r="I8588">
        <v>151.09</v>
      </c>
      <c r="J8588">
        <v>0.01</v>
      </c>
    </row>
    <row r="8589" spans="1:10" x14ac:dyDescent="0.3">
      <c r="A8589" t="str">
        <f>HYPERLINK("https://us2.cloudbeds.com/connect/10074733072513#/reservations/31736079687835?display=MXYYD0N9R&amp;reservation_id=31736079687835", "MXYYD0N9R")</f>
        <v>MXYYD0N9R</v>
      </c>
      <c r="B8589" t="s">
        <v>10</v>
      </c>
      <c r="C8589" t="s">
        <v>42</v>
      </c>
      <c r="D8589" t="str">
        <f>HYPERLINK("https://us2.cloudbeds.com/connect/10074733072513#/reservations/31736079687835?display=Mr%20&amp;%20Mrswallen%20.&amp;reservation_id=31736079687835&amp;guest_id=31736072982709", "Mr &amp; Mrswallen .")</f>
        <v>Mr &amp; Mrswallen .</v>
      </c>
      <c r="E8589" t="s">
        <v>6923</v>
      </c>
      <c r="F8589" t="s">
        <v>6916</v>
      </c>
      <c r="G8589">
        <v>159</v>
      </c>
      <c r="H8589">
        <v>172.84</v>
      </c>
      <c r="I8589">
        <v>172.83</v>
      </c>
      <c r="J8589">
        <v>0.01</v>
      </c>
    </row>
    <row r="8590" spans="1:10" x14ac:dyDescent="0.3">
      <c r="A8590" t="str">
        <f>HYPERLINK("https://us2.cloudbeds.com/connect/10074733072513#/reservations/31680585965701?display=MHBMD82PC&amp;reservation_id=31680585965701", "MHBMD82PC")</f>
        <v>MHBMD82PC</v>
      </c>
      <c r="B8590" t="s">
        <v>10</v>
      </c>
      <c r="C8590" t="s">
        <v>11</v>
      </c>
      <c r="D8590" t="str">
        <f>HYPERLINK("https://us2.cloudbeds.com/connect/10074733072513#/reservations/31680585965701?display=Brian%20Cameron&amp;reservation_id=31680585965701&amp;guest_id=31680585961609", "Brian Cameron")</f>
        <v>Brian Cameron</v>
      </c>
      <c r="E8590" t="s">
        <v>6924</v>
      </c>
      <c r="F8590" t="s">
        <v>5560</v>
      </c>
      <c r="G8590">
        <v>110.86</v>
      </c>
      <c r="H8590">
        <v>120.51</v>
      </c>
      <c r="I8590">
        <v>120.5</v>
      </c>
      <c r="J8590">
        <v>0.01</v>
      </c>
    </row>
    <row r="8591" spans="1:10" x14ac:dyDescent="0.3">
      <c r="A8591" t="str">
        <f>HYPERLINK("https://us2.cloudbeds.com/connect/10074733072513#/reservations/31680169226476?display=MHBBZRN40&amp;reservation_id=31680169226476", "MHBBZRN40")</f>
        <v>MHBBZRN40</v>
      </c>
      <c r="B8591" t="s">
        <v>10</v>
      </c>
      <c r="C8591" t="s">
        <v>121</v>
      </c>
      <c r="D8591" t="str">
        <f>HYPERLINK("https://us2.cloudbeds.com/connect/10074733072513#/reservations/31680169226476?display=Terry%20L%20Gaudette&amp;reservation_id=31680169226476&amp;guest_id=31680159793298", "Terry L Gaudette")</f>
        <v>Terry L Gaudette</v>
      </c>
      <c r="E8591" t="s">
        <v>6925</v>
      </c>
      <c r="F8591" t="s">
        <v>5560</v>
      </c>
      <c r="G8591">
        <v>139</v>
      </c>
      <c r="H8591">
        <v>151.1</v>
      </c>
      <c r="I8591">
        <v>151.09</v>
      </c>
      <c r="J8591">
        <v>0.01</v>
      </c>
    </row>
    <row r="8592" spans="1:10" x14ac:dyDescent="0.3">
      <c r="A8592" t="str">
        <f>HYPERLINK("https://us2.cloudbeds.com/connect/10074733072513#/reservations/31682372149397?display=MHD21D961&amp;reservation_id=31682372149397", "MHD21D961")</f>
        <v>MHD21D961</v>
      </c>
      <c r="B8592" t="s">
        <v>10</v>
      </c>
      <c r="C8592" t="s">
        <v>42</v>
      </c>
      <c r="D8592" t="str">
        <f>HYPERLINK("https://us2.cloudbeds.com/connect/10074733072513#/reservations/31682372149397?display=Brandon%20Hincks&amp;reservation_id=31682372149397&amp;guest_id=31682363351215", "Brandon Hincks")</f>
        <v>Brandon Hincks</v>
      </c>
      <c r="E8592" t="s">
        <v>6926</v>
      </c>
      <c r="F8592" t="s">
        <v>6435</v>
      </c>
      <c r="G8592">
        <v>159</v>
      </c>
      <c r="H8592">
        <v>172.84</v>
      </c>
      <c r="I8592">
        <v>172.83</v>
      </c>
      <c r="J8592">
        <v>0.01</v>
      </c>
    </row>
    <row r="8593" spans="1:10" x14ac:dyDescent="0.3">
      <c r="A8593" t="str">
        <f>HYPERLINK("https://us2.cloudbeds.com/connect/10074733072513#/reservations/31680182702326?display=MHBC36MY3&amp;reservation_id=31680182702326", "MHBC36MY3")</f>
        <v>MHBC36MY3</v>
      </c>
      <c r="B8593" t="s">
        <v>10</v>
      </c>
      <c r="C8593" t="s">
        <v>14</v>
      </c>
      <c r="D8593" t="str">
        <f>HYPERLINK("https://us2.cloudbeds.com/connect/10074733072513#/reservations/31680182702326?display=Joe%20Wendt&amp;reservation_id=31680182702326&amp;guest_id=31680182702324", "Joe Wendt")</f>
        <v>Joe Wendt</v>
      </c>
      <c r="E8593" t="s">
        <v>6931</v>
      </c>
      <c r="F8593" t="s">
        <v>5560</v>
      </c>
      <c r="G8593">
        <v>102.58</v>
      </c>
      <c r="H8593">
        <v>111.51</v>
      </c>
      <c r="I8593">
        <v>111.5</v>
      </c>
      <c r="J8593">
        <v>0.01</v>
      </c>
    </row>
    <row r="8594" spans="1:10" x14ac:dyDescent="0.3">
      <c r="A8594" t="str">
        <f>HYPERLINK("https://us2.cloudbeds.com/connect/10074733072513#/reservations/31688868290745?display=MHX313WJ5&amp;reservation_id=31688868290745", "MHX313WJ5")</f>
        <v>MHX313WJ5</v>
      </c>
      <c r="B8594" t="s">
        <v>10</v>
      </c>
      <c r="C8594" t="s">
        <v>42</v>
      </c>
      <c r="D8594" t="str">
        <f>HYPERLINK("https://us2.cloudbeds.com/connect/10074733072513#/reservations/31688868290745?display=Will%20Barrett&amp;reservation_id=31688868290745&amp;guest_id=31688868290743", "Will Barrett")</f>
        <v>Will Barrett</v>
      </c>
      <c r="E8594" t="s">
        <v>6934</v>
      </c>
      <c r="F8594" t="s">
        <v>3785</v>
      </c>
      <c r="G8594">
        <v>119</v>
      </c>
      <c r="H8594">
        <v>129.36000000000001</v>
      </c>
      <c r="I8594">
        <v>129.35</v>
      </c>
      <c r="J8594">
        <v>0.01</v>
      </c>
    </row>
    <row r="8595" spans="1:10" x14ac:dyDescent="0.3">
      <c r="A8595" t="str">
        <f>HYPERLINK("https://us2.cloudbeds.com/connect/10074733072513#/reservations/31684541726947?display=MHEZFRW29&amp;reservation_id=31684541726947", "MHEZFRW29")</f>
        <v>MHEZFRW29</v>
      </c>
      <c r="B8595" t="s">
        <v>10</v>
      </c>
      <c r="C8595" t="s">
        <v>42</v>
      </c>
      <c r="D8595" t="str">
        <f>HYPERLINK("https://us2.cloudbeds.com/connect/10074733072513#/reservations/31684541726947?display=James%20Maxwell&amp;reservation_id=31684541726947&amp;guest_id=31684541726942", "James Maxwell")</f>
        <v>James Maxwell</v>
      </c>
      <c r="E8595" t="s">
        <v>6935</v>
      </c>
      <c r="F8595" t="s">
        <v>5568</v>
      </c>
      <c r="G8595">
        <v>225</v>
      </c>
      <c r="H8595">
        <v>244.59</v>
      </c>
      <c r="I8595">
        <v>244.58</v>
      </c>
      <c r="J8595">
        <v>0.01</v>
      </c>
    </row>
    <row r="8596" spans="1:10" x14ac:dyDescent="0.3">
      <c r="A8596" t="str">
        <f>HYPERLINK("https://us2.cloudbeds.com/connect/10074733072513#/reservations/31683742322901?display=MHE41PCD8&amp;reservation_id=31683742322901", "MHE41PCD8")</f>
        <v>MHE41PCD8</v>
      </c>
      <c r="B8596" t="s">
        <v>10</v>
      </c>
      <c r="C8596" t="s">
        <v>14</v>
      </c>
      <c r="D8596" t="str">
        <f>HYPERLINK("https://us2.cloudbeds.com/connect/10074733072513#/reservations/31683742322901?display=Jennifer%20Holdsworth&amp;reservation_id=31683742322901&amp;guest_id=31683742322898", "Jennifer Holdsworth")</f>
        <v>Jennifer Holdsworth</v>
      </c>
      <c r="E8596" t="s">
        <v>6936</v>
      </c>
      <c r="F8596" t="s">
        <v>5560</v>
      </c>
      <c r="G8596">
        <v>102.58</v>
      </c>
      <c r="H8596">
        <v>111.51</v>
      </c>
      <c r="I8596">
        <v>111.5</v>
      </c>
      <c r="J8596">
        <v>0.01</v>
      </c>
    </row>
    <row r="8597" spans="1:10" x14ac:dyDescent="0.3">
      <c r="A8597" t="str">
        <f>HYPERLINK("https://us2.cloudbeds.com/connect/10074733072513#/reservations/31682303340738?display=MHD09CJ05&amp;reservation_id=31682303340738", "MHD09CJ05")</f>
        <v>MHD09CJ05</v>
      </c>
      <c r="B8597" t="s">
        <v>10</v>
      </c>
      <c r="C8597" t="s">
        <v>14</v>
      </c>
      <c r="D8597" t="str">
        <f>HYPERLINK("https://us2.cloudbeds.com/connect/10074733072513#/reservations/31682303340738?display=Ali%20Ahmed&amp;reservation_id=31682303340738&amp;guest_id=31682294857962", "Ali Ahmed")</f>
        <v>Ali Ahmed</v>
      </c>
      <c r="E8597" t="s">
        <v>6937</v>
      </c>
      <c r="F8597" t="s">
        <v>5560</v>
      </c>
      <c r="G8597">
        <v>110.86</v>
      </c>
      <c r="H8597">
        <v>120.51</v>
      </c>
      <c r="I8597">
        <v>120.5</v>
      </c>
      <c r="J8597">
        <v>0.01</v>
      </c>
    </row>
    <row r="8598" spans="1:10" x14ac:dyDescent="0.3">
      <c r="A8598" t="str">
        <f>HYPERLINK("https://us2.cloudbeds.com/connect/10074733072513#/reservations/31682309521560?display=MHD0EJXMQ&amp;reservation_id=31682309521560", "MHD0EJXMQ")</f>
        <v>MHD0EJXMQ</v>
      </c>
      <c r="B8598" t="s">
        <v>10</v>
      </c>
      <c r="C8598" t="s">
        <v>11</v>
      </c>
      <c r="D8598" t="str">
        <f>HYPERLINK("https://us2.cloudbeds.com/connect/10074733072513#/reservations/31682309521560?display=Arthor%20Paredes&amp;reservation_id=31682309521560&amp;guest_id=31682309521557", "Arthor Paredes")</f>
        <v>Arthor Paredes</v>
      </c>
      <c r="E8598" t="s">
        <v>6940</v>
      </c>
      <c r="F8598" t="s">
        <v>6435</v>
      </c>
      <c r="G8598">
        <v>97.74</v>
      </c>
      <c r="H8598">
        <v>106.25</v>
      </c>
      <c r="I8598">
        <v>106.24</v>
      </c>
      <c r="J8598">
        <v>0.01</v>
      </c>
    </row>
    <row r="8599" spans="1:10" x14ac:dyDescent="0.3">
      <c r="A8599" t="str">
        <f>HYPERLINK("https://us2.cloudbeds.com/connect/10074733072513#/reservations/31682355564688?display=MHD1KDPT3&amp;reservation_id=31682355564688", "MHD1KDPT3")</f>
        <v>MHD1KDPT3</v>
      </c>
      <c r="B8599" t="s">
        <v>10</v>
      </c>
      <c r="C8599" t="s">
        <v>14</v>
      </c>
      <c r="D8599" t="str">
        <f>HYPERLINK("https://us2.cloudbeds.com/connect/10074733072513#/reservations/31682355564688?display=Daniel%20Miernicki&amp;reservation_id=31682355564688&amp;guest_id=31682355560591", "Daniel Miernicki")</f>
        <v>Daniel Miernicki</v>
      </c>
      <c r="E8599" t="s">
        <v>6942</v>
      </c>
      <c r="F8599" t="s">
        <v>6435</v>
      </c>
      <c r="G8599">
        <v>205.16</v>
      </c>
      <c r="H8599">
        <v>223.02</v>
      </c>
      <c r="I8599">
        <v>223.01</v>
      </c>
      <c r="J8599">
        <v>0.01</v>
      </c>
    </row>
    <row r="8600" spans="1:10" x14ac:dyDescent="0.3">
      <c r="A8600" t="str">
        <f>HYPERLINK("https://us2.cloudbeds.com/connect/10074733072513#/reservations/31684068475010?display=MHECCQ19G&amp;reservation_id=31684068475010", "MHECCQ19G")</f>
        <v>MHECCQ19G</v>
      </c>
      <c r="B8600" t="s">
        <v>10</v>
      </c>
      <c r="C8600" t="s">
        <v>42</v>
      </c>
      <c r="D8600" t="str">
        <f>HYPERLINK("https://us2.cloudbeds.com/connect/10074733072513#/reservations/31684068475010?display=Carl%20Peterson&amp;reservation_id=31684068475010&amp;guest_id=31683231355111", "Carl Peterson")</f>
        <v>Carl Peterson</v>
      </c>
      <c r="E8600" t="s">
        <v>6943</v>
      </c>
      <c r="F8600" t="s">
        <v>5568</v>
      </c>
      <c r="G8600">
        <v>225</v>
      </c>
      <c r="H8600">
        <v>244.59</v>
      </c>
      <c r="I8600">
        <v>244.58</v>
      </c>
      <c r="J8600">
        <v>0.01</v>
      </c>
    </row>
    <row r="8601" spans="1:10" x14ac:dyDescent="0.3">
      <c r="A8601" t="str">
        <f>HYPERLINK("https://us2.cloudbeds.com/connect/10074733072513#/reservations/31684050636997?display=MHEBUZM3Y&amp;reservation_id=31684050636997", "MHEBUZM3Y")</f>
        <v>MHEBUZM3Y</v>
      </c>
      <c r="B8601" t="s">
        <v>10</v>
      </c>
      <c r="C8601" t="s">
        <v>42</v>
      </c>
      <c r="D8601" t="str">
        <f>HYPERLINK("https://us2.cloudbeds.com/connect/10074733072513#/reservations/31684050636997?display=Nate%20Stellricht&amp;reservation_id=31684050636997&amp;guest_id=31684050632906", "Nate Stellricht")</f>
        <v>Nate Stellricht</v>
      </c>
      <c r="E8601" t="s">
        <v>6944</v>
      </c>
      <c r="F8601" t="s">
        <v>5568</v>
      </c>
      <c r="G8601">
        <v>225</v>
      </c>
      <c r="H8601">
        <v>244.59</v>
      </c>
      <c r="I8601">
        <v>244.58</v>
      </c>
      <c r="J8601">
        <v>0.01</v>
      </c>
    </row>
    <row r="8602" spans="1:10" x14ac:dyDescent="0.3">
      <c r="A8602" t="str">
        <f>HYPERLINK("https://us2.cloudbeds.com/connect/10074733072513#/reservations/31687823986851?display=MHH9BHMRJ&amp;reservation_id=31687823986851", "MHH9BHMRJ")</f>
        <v>MHH9BHMRJ</v>
      </c>
      <c r="B8602" t="s">
        <v>10</v>
      </c>
      <c r="C8602" t="s">
        <v>20</v>
      </c>
      <c r="D8602" t="str">
        <f>HYPERLINK("https://us2.cloudbeds.com/connect/10074733072513#/reservations/31687823986851?display=Kelly%20Meyers&amp;reservation_id=31687823986851&amp;guest_id=31687813349585", "Kelly Meyers")</f>
        <v>Kelly Meyers</v>
      </c>
      <c r="E8602" t="s">
        <v>6945</v>
      </c>
      <c r="F8602" t="s">
        <v>6698</v>
      </c>
      <c r="G8602">
        <v>149</v>
      </c>
      <c r="H8602">
        <v>161.97</v>
      </c>
      <c r="I8602">
        <v>161.96</v>
      </c>
      <c r="J8602">
        <v>0.01</v>
      </c>
    </row>
    <row r="8603" spans="1:10" x14ac:dyDescent="0.3">
      <c r="A8603" t="str">
        <f>HYPERLINK("https://us2.cloudbeds.com/connect/10074733072513#/reservations/31682286923974?display=MHCWSHZUE&amp;reservation_id=31682286923974", "MHCWSHZUE")</f>
        <v>MHCWSHZUE</v>
      </c>
      <c r="B8603" t="s">
        <v>10</v>
      </c>
      <c r="C8603" t="s">
        <v>121</v>
      </c>
      <c r="D8603" t="str">
        <f>HYPERLINK("https://us2.cloudbeds.com/connect/10074733072513#/reservations/31682286923974?display=William%20Brunick&amp;reservation_id=31682286923974&amp;guest_id=31682286919893", "William Brunick")</f>
        <v>William Brunick</v>
      </c>
      <c r="E8603" t="s">
        <v>6948</v>
      </c>
      <c r="F8603" t="s">
        <v>5560</v>
      </c>
      <c r="G8603">
        <v>159</v>
      </c>
      <c r="H8603">
        <v>172.84</v>
      </c>
      <c r="I8603">
        <v>172.83</v>
      </c>
      <c r="J8603">
        <v>0.01</v>
      </c>
    </row>
    <row r="8604" spans="1:10" x14ac:dyDescent="0.3">
      <c r="A8604" t="str">
        <f>HYPERLINK("https://us2.cloudbeds.com/connect/10074733072513#/reservations/31680738291937?display=MHBQ9MPUU&amp;reservation_id=31680738291937", "MHBQ9MPUU")</f>
        <v>MHBQ9MPUU</v>
      </c>
      <c r="B8604" t="s">
        <v>10</v>
      </c>
      <c r="C8604" t="s">
        <v>42</v>
      </c>
      <c r="D8604" t="str">
        <f>HYPERLINK("https://us2.cloudbeds.com/connect/10074733072513#/reservations/31680738291937?display=Clint%20Thomsen&amp;reservation_id=31680738291937&amp;guest_id=31677981233289", "Clint Thomsen")</f>
        <v>Clint Thomsen</v>
      </c>
      <c r="E8604" t="s">
        <v>6949</v>
      </c>
      <c r="F8604" t="s">
        <v>6928</v>
      </c>
      <c r="G8604">
        <v>150</v>
      </c>
      <c r="H8604">
        <v>163.06</v>
      </c>
      <c r="I8604">
        <v>163.05000000000001</v>
      </c>
      <c r="J8604">
        <v>0.01</v>
      </c>
    </row>
    <row r="8605" spans="1:10" x14ac:dyDescent="0.3">
      <c r="A8605" t="str">
        <f>HYPERLINK("https://us2.cloudbeds.com/connect/10074733072513#/reservations/31681257869475?display=MHC6XQQ9Q&amp;reservation_id=31681257869475", "MHC6XQQ9Q")</f>
        <v>MHC6XQQ9Q</v>
      </c>
      <c r="B8605" t="s">
        <v>10</v>
      </c>
      <c r="C8605" t="s">
        <v>42</v>
      </c>
      <c r="D8605" t="str">
        <f>HYPERLINK("https://us2.cloudbeds.com/connect/10074733072513#/reservations/31681257869475?display=Kris%20Savary&amp;reservation_id=31681257869475&amp;guest_id=31681142943944", "Kris Savary")</f>
        <v>Kris Savary</v>
      </c>
      <c r="E8605" t="s">
        <v>6951</v>
      </c>
      <c r="F8605" t="s">
        <v>5283</v>
      </c>
      <c r="G8605">
        <v>218</v>
      </c>
      <c r="H8605">
        <v>236.98</v>
      </c>
      <c r="I8605">
        <v>236.97</v>
      </c>
      <c r="J8605">
        <v>0.01</v>
      </c>
    </row>
    <row r="8606" spans="1:10" x14ac:dyDescent="0.3">
      <c r="A8606" t="str">
        <f>HYPERLINK("https://us2.cloudbeds.com/connect/10074733072513#/reservations/31682346119392?display=MHD1CEVH0&amp;reservation_id=31682346119392", "MHD1CEVH0")</f>
        <v>MHD1CEVH0</v>
      </c>
      <c r="B8606" t="s">
        <v>10</v>
      </c>
      <c r="C8606" t="s">
        <v>121</v>
      </c>
      <c r="D8606" t="str">
        <f>HYPERLINK("https://us2.cloudbeds.com/connect/10074733072513#/reservations/31682346119392?display=Marilyn%20Eagleman&amp;reservation_id=31682346119392&amp;guest_id=31682346119387", "Marilyn Eagleman")</f>
        <v>Marilyn Eagleman</v>
      </c>
      <c r="E8606" t="s">
        <v>6955</v>
      </c>
      <c r="F8606" t="s">
        <v>6435</v>
      </c>
      <c r="G8606">
        <v>179</v>
      </c>
      <c r="H8606">
        <v>194.58</v>
      </c>
      <c r="I8606">
        <v>194.57</v>
      </c>
      <c r="J8606">
        <v>0.01</v>
      </c>
    </row>
    <row r="8607" spans="1:10" x14ac:dyDescent="0.3">
      <c r="A8607" t="str">
        <f>HYPERLINK("https://us2.cloudbeds.com/connect/10074733072513#/reservations/31681296609504?display=MHC7XFQ82&amp;reservation_id=31681296609504", "MHC7XFQ82")</f>
        <v>MHC7XFQ82</v>
      </c>
      <c r="B8607" t="s">
        <v>10</v>
      </c>
      <c r="C8607" t="s">
        <v>42</v>
      </c>
      <c r="D8607" t="str">
        <f>HYPERLINK("https://us2.cloudbeds.com/connect/10074733072513#/reservations/31681296609504?display=Kelly%20Hennrich&amp;reservation_id=31681296609504&amp;guest_id=31681296609484", "Kelly Hennrich")</f>
        <v>Kelly Hennrich</v>
      </c>
      <c r="E8607" t="s">
        <v>6956</v>
      </c>
      <c r="F8607" t="s">
        <v>5283</v>
      </c>
      <c r="G8607">
        <v>139</v>
      </c>
      <c r="H8607">
        <v>151.1</v>
      </c>
      <c r="I8607">
        <v>151.09</v>
      </c>
      <c r="J8607">
        <v>0.01</v>
      </c>
    </row>
    <row r="8608" spans="1:10" x14ac:dyDescent="0.3">
      <c r="A8608" t="str">
        <f>HYPERLINK("https://us2.cloudbeds.com/connect/10074733072513#/reservations/31689588621443?display=MHXYEH894&amp;reservation_id=31689588621443", "MHXYEH894")</f>
        <v>MHXYEH894</v>
      </c>
      <c r="B8608" t="s">
        <v>10</v>
      </c>
      <c r="C8608" t="s">
        <v>42</v>
      </c>
      <c r="D8608" t="str">
        <f>HYPERLINK("https://us2.cloudbeds.com/connect/10074733072513#/reservations/31689588621443?display=Casey%20Cox&amp;reservation_id=31689588621443&amp;guest_id=31689581981858", "Casey Cox")</f>
        <v>Casey Cox</v>
      </c>
      <c r="E8608" t="s">
        <v>6961</v>
      </c>
      <c r="F8608" t="s">
        <v>3785</v>
      </c>
      <c r="G8608">
        <v>119</v>
      </c>
      <c r="H8608">
        <v>129.36000000000001</v>
      </c>
      <c r="I8608">
        <v>129.35</v>
      </c>
      <c r="J8608">
        <v>0.01</v>
      </c>
    </row>
    <row r="8609" spans="1:10" x14ac:dyDescent="0.3">
      <c r="A8609" t="str">
        <f>HYPERLINK("https://us2.cloudbeds.com/connect/10074733072513#/reservations/31682509811842?display=MHD5XFUW9&amp;reservation_id=31682509811842", "MHD5XFUW9")</f>
        <v>MHD5XFUW9</v>
      </c>
      <c r="B8609" t="s">
        <v>10</v>
      </c>
      <c r="C8609" t="s">
        <v>42</v>
      </c>
      <c r="D8609" t="str">
        <f>HYPERLINK("https://us2.cloudbeds.com/connect/10074733072513#/reservations/31682509811842?display=Luke%20Ronsiek&amp;reservation_id=31682509811842&amp;guest_id=31682502926477", "Luke Ronsiek")</f>
        <v>Luke Ronsiek</v>
      </c>
      <c r="E8609" t="s">
        <v>6962</v>
      </c>
      <c r="F8609" t="s">
        <v>5283</v>
      </c>
      <c r="G8609">
        <v>109</v>
      </c>
      <c r="H8609">
        <v>118.49</v>
      </c>
      <c r="I8609">
        <v>118.48</v>
      </c>
      <c r="J8609">
        <v>0.01</v>
      </c>
    </row>
    <row r="8610" spans="1:10" x14ac:dyDescent="0.3">
      <c r="A8610" t="str">
        <f>HYPERLINK("https://us2.cloudbeds.com/connect/10074733072513#/reservations/31681025073303?display=MHC0KGTNB&amp;reservation_id=31681025073303", "MHC0KGTNB")</f>
        <v>MHC0KGTNB</v>
      </c>
      <c r="B8610" t="s">
        <v>10</v>
      </c>
      <c r="C8610" t="s">
        <v>20</v>
      </c>
      <c r="D8610" t="str">
        <f>HYPERLINK("https://us2.cloudbeds.com/connect/10074733072513#/reservations/31681025073303?display=Chelsea%20Wagner&amp;reservation_id=31681025073303&amp;guest_id=31681025069200", "Chelsea Wagner")</f>
        <v>Chelsea Wagner</v>
      </c>
      <c r="E8610" t="s">
        <v>6964</v>
      </c>
      <c r="F8610" t="s">
        <v>6953</v>
      </c>
      <c r="G8610">
        <v>298</v>
      </c>
      <c r="H8610">
        <v>323.94</v>
      </c>
      <c r="I8610">
        <v>323.93</v>
      </c>
      <c r="J8610">
        <v>0.01</v>
      </c>
    </row>
    <row r="8611" spans="1:10" x14ac:dyDescent="0.3">
      <c r="A8611" t="str">
        <f>HYPERLINK("https://us2.cloudbeds.com/connect/10074733072513#/reservations/31688307052779?display=MHHYMSNX2&amp;reservation_id=31688307052779", "MHHYMSNX2")</f>
        <v>MHHYMSNX2</v>
      </c>
      <c r="B8611" t="s">
        <v>10</v>
      </c>
      <c r="C8611" t="s">
        <v>42</v>
      </c>
      <c r="D8611" t="str">
        <f>HYPERLINK("https://us2.cloudbeds.com/connect/10074733072513#/reservations/31688307052779?display=Dan%20Perseke&amp;reservation_id=31688307052779&amp;guest_id=31688292216983", "Dan Perseke")</f>
        <v>Dan Perseke</v>
      </c>
      <c r="E8611" t="s">
        <v>6965</v>
      </c>
      <c r="F8611" t="s">
        <v>5568</v>
      </c>
      <c r="G8611">
        <v>225</v>
      </c>
      <c r="H8611">
        <v>244.59</v>
      </c>
      <c r="I8611">
        <v>244.58</v>
      </c>
      <c r="J8611">
        <v>0.01</v>
      </c>
    </row>
    <row r="8612" spans="1:10" x14ac:dyDescent="0.3">
      <c r="A8612" t="str">
        <f>HYPERLINK("https://us2.cloudbeds.com/connect/10074733072513#/reservations/31687835517081?display=MHH9Y8HZH&amp;reservation_id=31687835517081", "MHH9Y8HZH")</f>
        <v>MHH9Y8HZH</v>
      </c>
      <c r="B8612" t="s">
        <v>10</v>
      </c>
      <c r="C8612" t="s">
        <v>14</v>
      </c>
      <c r="D8612" t="str">
        <f>HYPERLINK("https://us2.cloudbeds.com/connect/10074733072513#/reservations/31687835517081?display=Barb%20Vandrisse&amp;reservation_id=31687835517081&amp;guest_id=31687835517079", "Barb Vandrisse")</f>
        <v>Barb Vandrisse</v>
      </c>
      <c r="E8612" t="s">
        <v>6967</v>
      </c>
      <c r="F8612" t="s">
        <v>6698</v>
      </c>
      <c r="G8612">
        <v>97.74</v>
      </c>
      <c r="H8612">
        <v>106.25</v>
      </c>
      <c r="I8612">
        <v>106.24</v>
      </c>
      <c r="J8612">
        <v>0.01</v>
      </c>
    </row>
    <row r="8613" spans="1:10" x14ac:dyDescent="0.3">
      <c r="A8613" t="str">
        <f>HYPERLINK("https://us2.cloudbeds.com/connect/10074733072513#/reservations/31687466262746?display=MHH06TG77&amp;reservation_id=31687466262746", "MHH06TG77")</f>
        <v>MHH06TG77</v>
      </c>
      <c r="B8613" t="s">
        <v>10</v>
      </c>
      <c r="C8613" t="s">
        <v>17</v>
      </c>
      <c r="D8613" t="str">
        <f>HYPERLINK("https://us2.cloudbeds.com/connect/10074733072513#/reservations/31687466262746?display=Cathy%20Kreeger&amp;reservation_id=31687466262746&amp;guest_id=31687459147913", "Cathy Kreeger")</f>
        <v>Cathy Kreeger</v>
      </c>
      <c r="E8613" t="s">
        <v>6968</v>
      </c>
      <c r="F8613" t="s">
        <v>6698</v>
      </c>
      <c r="G8613">
        <v>149</v>
      </c>
      <c r="H8613">
        <v>161.97</v>
      </c>
      <c r="I8613">
        <v>161.96</v>
      </c>
      <c r="J8613">
        <v>0.01</v>
      </c>
    </row>
    <row r="8614" spans="1:10" x14ac:dyDescent="0.3">
      <c r="A8614" t="str">
        <f>HYPERLINK("https://us2.cloudbeds.com/connect/10074733072513#/reservations/31687444234394?display=MHGWYAH5D&amp;reservation_id=31687444234394", "MHGWYAH5D")</f>
        <v>MHGWYAH5D</v>
      </c>
      <c r="B8614" t="s">
        <v>10</v>
      </c>
      <c r="C8614" t="s">
        <v>14</v>
      </c>
      <c r="D8614" t="str">
        <f>HYPERLINK("https://us2.cloudbeds.com/connect/10074733072513#/reservations/31687444234394?display=Tara%20Granius&amp;reservation_id=31687444234394&amp;guest_id=31687444230303", "Tara Granius")</f>
        <v>Tara Granius</v>
      </c>
      <c r="E8614" t="s">
        <v>6971</v>
      </c>
      <c r="F8614" t="s">
        <v>6698</v>
      </c>
      <c r="G8614">
        <v>97.74</v>
      </c>
      <c r="H8614">
        <v>106.25</v>
      </c>
      <c r="I8614">
        <v>106.24</v>
      </c>
      <c r="J8614">
        <v>0.01</v>
      </c>
    </row>
    <row r="8615" spans="1:10" x14ac:dyDescent="0.3">
      <c r="A8615" t="str">
        <f>HYPERLINK("https://us2.cloudbeds.com/connect/10074733072513#/reservations/31685841694873?display=MHFZN0GBZ&amp;reservation_id=31685841694873", "MHFZN0GBZ")</f>
        <v>MHFZN0GBZ</v>
      </c>
      <c r="B8615" t="s">
        <v>10</v>
      </c>
      <c r="C8615" t="s">
        <v>20</v>
      </c>
      <c r="D8615" t="str">
        <f>HYPERLINK("https://us2.cloudbeds.com/connect/10074733072513#/reservations/31685841694873?display=Angela%20Prissel&amp;reservation_id=31685841694873&amp;guest_id=31685841694871", "Angela Prissel")</f>
        <v>Angela Prissel</v>
      </c>
      <c r="E8615" t="s">
        <v>6972</v>
      </c>
      <c r="F8615" t="s">
        <v>6973</v>
      </c>
      <c r="G8615">
        <v>149</v>
      </c>
      <c r="H8615">
        <v>161.97</v>
      </c>
      <c r="I8615">
        <v>161.96</v>
      </c>
      <c r="J8615">
        <v>0.01</v>
      </c>
    </row>
    <row r="8616" spans="1:10" x14ac:dyDescent="0.3">
      <c r="A8616" t="str">
        <f>HYPERLINK("https://us2.cloudbeds.com/connect/10074733072513#/reservations/31687847776511?display=MHH9VJM8D&amp;reservation_id=31687847776511", "MHH9VJM8D")</f>
        <v>MHH9VJM8D</v>
      </c>
      <c r="B8616" t="s">
        <v>10</v>
      </c>
      <c r="C8616" t="s">
        <v>14</v>
      </c>
      <c r="D8616" t="str">
        <f>HYPERLINK("https://us2.cloudbeds.com/connect/10074733072513#/reservations/31687847776511?display=Alyssa%20Champagne&amp;reservation_id=31687847776511&amp;guest_id=31687847776509", "Alyssa Champagne")</f>
        <v>Alyssa Champagne</v>
      </c>
      <c r="E8616" t="s">
        <v>6974</v>
      </c>
      <c r="F8616" t="s">
        <v>6698</v>
      </c>
      <c r="G8616">
        <v>97.74</v>
      </c>
      <c r="H8616">
        <v>106.25</v>
      </c>
      <c r="I8616">
        <v>106.24</v>
      </c>
      <c r="J8616">
        <v>0.01</v>
      </c>
    </row>
    <row r="8617" spans="1:10" x14ac:dyDescent="0.3">
      <c r="A8617" t="str">
        <f>HYPERLINK("https://us2.cloudbeds.com/connect/10074733072513#/reservations/31682672255219?display=MHD9NF5ES&amp;reservation_id=31682672255219", "MHD9NF5ES")</f>
        <v>MHD9NF5ES</v>
      </c>
      <c r="B8617" t="s">
        <v>10</v>
      </c>
      <c r="C8617" t="s">
        <v>23</v>
      </c>
      <c r="D8617" t="str">
        <f>HYPERLINK("https://us2.cloudbeds.com/connect/10074733072513#/reservations/31682672255219?display=Sally%20Jerabek&amp;reservation_id=31682672255219&amp;guest_id=31682672255214", "Sally Jerabek")</f>
        <v>Sally Jerabek</v>
      </c>
      <c r="E8617" t="s">
        <v>6976</v>
      </c>
      <c r="F8617" t="s">
        <v>4868</v>
      </c>
      <c r="G8617">
        <v>351.2</v>
      </c>
      <c r="H8617">
        <v>381.76</v>
      </c>
      <c r="I8617">
        <v>381.75</v>
      </c>
      <c r="J8617">
        <v>0.01</v>
      </c>
    </row>
    <row r="8618" spans="1:10" x14ac:dyDescent="0.3">
      <c r="A8618" t="str">
        <f>HYPERLINK("https://us2.cloudbeds.com/connect/10074733072513#/reservations/31680848326908?display=MHBT3FM4W&amp;reservation_id=31680848326908", "MHBT3FM4W")</f>
        <v>MHBT3FM4W</v>
      </c>
      <c r="B8618" t="s">
        <v>10</v>
      </c>
      <c r="C8618" t="s">
        <v>121</v>
      </c>
      <c r="D8618" t="str">
        <f>HYPERLINK("https://us2.cloudbeds.com/connect/10074733072513#/reservations/31680848326908?display=Hitomi%20Nakasone&amp;reservation_id=31680848326908&amp;guest_id=30670324920531", "Hitomi Nakasone")</f>
        <v>Hitomi Nakasone</v>
      </c>
      <c r="E8618" t="s">
        <v>4910</v>
      </c>
      <c r="F8618" t="s">
        <v>6884</v>
      </c>
      <c r="G8618">
        <v>149</v>
      </c>
      <c r="H8618">
        <v>161.97</v>
      </c>
      <c r="I8618">
        <v>161.96</v>
      </c>
      <c r="J8618">
        <v>0.01</v>
      </c>
    </row>
    <row r="8619" spans="1:10" x14ac:dyDescent="0.3">
      <c r="A8619" t="str">
        <f>HYPERLINK("https://us2.cloudbeds.com/connect/10074733072513#/reservations/31680355496129?display=MHBGGTUKV&amp;reservation_id=31680355496129", "MHBGGTUKV")</f>
        <v>MHBGGTUKV</v>
      </c>
      <c r="B8619" t="s">
        <v>10</v>
      </c>
      <c r="C8619" t="s">
        <v>121</v>
      </c>
      <c r="D8619" t="str">
        <f>HYPERLINK("https://us2.cloudbeds.com/connect/10074733072513#/reservations/31680355496129?display=Eric%20Marshall&amp;reservation_id=31680355496129&amp;guest_id=31680341442779", "Eric Marshall")</f>
        <v>Eric Marshall</v>
      </c>
      <c r="E8619" t="s">
        <v>6981</v>
      </c>
      <c r="F8619" t="s">
        <v>6698</v>
      </c>
      <c r="G8619">
        <v>149</v>
      </c>
      <c r="H8619">
        <v>161.97</v>
      </c>
      <c r="I8619">
        <v>161.96</v>
      </c>
      <c r="J8619">
        <v>0.01</v>
      </c>
    </row>
    <row r="8620" spans="1:10" x14ac:dyDescent="0.3">
      <c r="A8620" t="str">
        <f>HYPERLINK("https://us2.cloudbeds.com/connect/10074733072513#/reservations/31680358142158?display=MHBGJ4XDY&amp;reservation_id=31680358142158", "MHBGJ4XDY")</f>
        <v>MHBGJ4XDY</v>
      </c>
      <c r="B8620" t="s">
        <v>10</v>
      </c>
      <c r="C8620" t="s">
        <v>14</v>
      </c>
      <c r="D8620" t="str">
        <f>HYPERLINK("https://us2.cloudbeds.com/connect/10074733072513#/reservations/31680358142158?display=Danielle%20Oleson&amp;reservation_id=31680358142158&amp;guest_id=31680358138071", "Danielle Oleson")</f>
        <v>Danielle Oleson</v>
      </c>
      <c r="E8620" t="s">
        <v>6982</v>
      </c>
      <c r="F8620" t="s">
        <v>6884</v>
      </c>
      <c r="G8620">
        <v>97.74</v>
      </c>
      <c r="H8620">
        <v>106.25</v>
      </c>
      <c r="I8620">
        <v>106.24</v>
      </c>
      <c r="J8620">
        <v>0.01</v>
      </c>
    </row>
    <row r="8621" spans="1:10" x14ac:dyDescent="0.3">
      <c r="A8621" t="str">
        <f>HYPERLINK("https://us2.cloudbeds.com/connect/10074733072513#/reservations/31680391524554?display=MHBHE9FJD&amp;reservation_id=31680391524554", "MHBHE9FJD")</f>
        <v>MHBHE9FJD</v>
      </c>
      <c r="B8621" t="s">
        <v>10</v>
      </c>
      <c r="C8621" t="s">
        <v>11</v>
      </c>
      <c r="D8621" t="str">
        <f>HYPERLINK("https://us2.cloudbeds.com/connect/10074733072513#/reservations/31680391524554?display=Jennifer%20Miller&amp;reservation_id=31680391524554&amp;guest_id=31680391520507", "Jennifer Miller")</f>
        <v>Jennifer Miller</v>
      </c>
      <c r="E8621" t="s">
        <v>6984</v>
      </c>
      <c r="F8621" t="s">
        <v>6884</v>
      </c>
      <c r="G8621">
        <v>97.74</v>
      </c>
      <c r="H8621">
        <v>106.25</v>
      </c>
      <c r="I8621">
        <v>106.24</v>
      </c>
      <c r="J8621">
        <v>0.01</v>
      </c>
    </row>
    <row r="8622" spans="1:10" x14ac:dyDescent="0.3">
      <c r="A8622" t="str">
        <f>HYPERLINK("https://us2.cloudbeds.com/connect/10074733072513#/reservations/31688226443486?display=MHHJKTY57&amp;reservation_id=31688226443486", "MHHJKTY57")</f>
        <v>MHHJKTY57</v>
      </c>
      <c r="B8622" t="s">
        <v>10</v>
      </c>
      <c r="C8622" t="s">
        <v>42</v>
      </c>
      <c r="D8622" t="str">
        <f>HYPERLINK("https://us2.cloudbeds.com/connect/10074733072513#/reservations/31688226443486?display=Daniel%20Huisenga&amp;reservation_id=31688226443486&amp;guest_id=31688226443483", "Daniel Huisenga")</f>
        <v>Daniel Huisenga</v>
      </c>
      <c r="E8622" t="s">
        <v>6985</v>
      </c>
      <c r="F8622" t="s">
        <v>6490</v>
      </c>
      <c r="G8622">
        <v>298</v>
      </c>
      <c r="H8622">
        <v>323.94</v>
      </c>
      <c r="I8622">
        <v>323.93</v>
      </c>
      <c r="J8622">
        <v>0.01</v>
      </c>
    </row>
    <row r="8623" spans="1:10" x14ac:dyDescent="0.3">
      <c r="A8623" t="str">
        <f>HYPERLINK("https://us2.cloudbeds.com/connect/10074733072513#/reservations/31681849782483?display=MHCYMUYDK&amp;reservation_id=31681849782483", "MHCYMUYDK")</f>
        <v>MHCYMUYDK</v>
      </c>
      <c r="B8623" t="s">
        <v>10</v>
      </c>
      <c r="C8623" t="s">
        <v>42</v>
      </c>
      <c r="D8623" t="str">
        <f>HYPERLINK("https://us2.cloudbeds.com/connect/10074733072513#/reservations/31681849782483?display=Ed%20Bartling&amp;reservation_id=31681849782483&amp;guest_id=30655228621026", "Ed Bartling")</f>
        <v>Ed Bartling</v>
      </c>
      <c r="E8623" t="s">
        <v>1353</v>
      </c>
      <c r="F8623" t="s">
        <v>6531</v>
      </c>
      <c r="G8623">
        <v>169</v>
      </c>
      <c r="H8623">
        <v>183.71</v>
      </c>
      <c r="I8623">
        <v>183.7</v>
      </c>
      <c r="J8623">
        <v>0.01</v>
      </c>
    </row>
    <row r="8624" spans="1:10" x14ac:dyDescent="0.3">
      <c r="A8624" t="str">
        <f>HYPERLINK("https://us2.cloudbeds.com/connect/10074733072513#/reservations/31688207065284?display=MHHJ4XDYT&amp;reservation_id=31688207065284", "MHHJ4XDYT")</f>
        <v>MHHJ4XDYT</v>
      </c>
      <c r="B8624" t="s">
        <v>10</v>
      </c>
      <c r="C8624" t="s">
        <v>20</v>
      </c>
      <c r="D8624" t="str">
        <f>HYPERLINK("https://us2.cloudbeds.com/connect/10074733072513#/reservations/31688207065284?display=Derrick%20Wallerstedt&amp;reservation_id=31688207065284&amp;guest_id=31688195436716", "Derrick Wallerstedt")</f>
        <v>Derrick Wallerstedt</v>
      </c>
      <c r="E8624" t="s">
        <v>6987</v>
      </c>
      <c r="F8624" t="s">
        <v>4868</v>
      </c>
      <c r="G8624">
        <v>527</v>
      </c>
      <c r="H8624">
        <v>572.86</v>
      </c>
      <c r="I8624">
        <v>572.85</v>
      </c>
      <c r="J8624">
        <v>0.01</v>
      </c>
    </row>
    <row r="8625" spans="1:10" x14ac:dyDescent="0.3">
      <c r="A8625" t="str">
        <f>HYPERLINK("https://us2.cloudbeds.com/connect/10074733072513#/reservations/31682594394305?display=MHD7NQF40&amp;reservation_id=31682594394305", "MHD7NQF40")</f>
        <v>MHD7NQF40</v>
      </c>
      <c r="B8625" t="s">
        <v>10</v>
      </c>
      <c r="C8625" t="s">
        <v>23</v>
      </c>
      <c r="D8625" t="str">
        <f>HYPERLINK("https://us2.cloudbeds.com/connect/10074733072513#/reservations/31682594394305?display=David%20Reese&amp;reservation_id=31682594394305&amp;guest_id=31682594390219", "David Reese")</f>
        <v>David Reese</v>
      </c>
      <c r="E8625" t="s">
        <v>6988</v>
      </c>
      <c r="F8625" t="s">
        <v>4868</v>
      </c>
      <c r="G8625">
        <v>278</v>
      </c>
      <c r="H8625">
        <v>302.2</v>
      </c>
      <c r="I8625">
        <v>302.19</v>
      </c>
      <c r="J8625">
        <v>0.01</v>
      </c>
    </row>
    <row r="8626" spans="1:10" x14ac:dyDescent="0.3">
      <c r="A8626" t="str">
        <f>HYPERLINK("https://us2.cloudbeds.com/connect/10074733072513#/reservations/31684351697113?display=MHEJKK3MF&amp;reservation_id=31684351697113", "MHEJKK3MF")</f>
        <v>MHEJKK3MF</v>
      </c>
      <c r="B8626" t="s">
        <v>10</v>
      </c>
      <c r="C8626" t="s">
        <v>42</v>
      </c>
      <c r="D8626" t="str">
        <f>HYPERLINK("https://us2.cloudbeds.com/connect/10074733072513#/reservations/31684351697113?display=Cindy%20Krakow&amp;reservation_id=31684351697113&amp;guest_id=31684351697101", "Cindy Krakow")</f>
        <v>Cindy Krakow</v>
      </c>
      <c r="E8626" t="s">
        <v>6990</v>
      </c>
      <c r="F8626" t="s">
        <v>5247</v>
      </c>
      <c r="G8626">
        <v>119</v>
      </c>
      <c r="H8626">
        <v>129.36000000000001</v>
      </c>
      <c r="I8626">
        <v>129.35</v>
      </c>
      <c r="J8626">
        <v>0.01</v>
      </c>
    </row>
    <row r="8627" spans="1:10" x14ac:dyDescent="0.3">
      <c r="A8627" t="str">
        <f>HYPERLINK("https://us2.cloudbeds.com/connect/10074733072513#/reservations/31687902699737?display=MHHBBTWQJ&amp;reservation_id=31687902699737", "MHHBBTWQJ")</f>
        <v>MHHBBTWQJ</v>
      </c>
      <c r="B8627" t="s">
        <v>10</v>
      </c>
      <c r="C8627" t="s">
        <v>121</v>
      </c>
      <c r="D8627" t="str">
        <f>HYPERLINK("https://us2.cloudbeds.com/connect/10074733072513#/reservations/31687902699737?display=Cody%20Weaver&amp;reservation_id=31687902699737&amp;guest_id=31680293580948", "Cody Weaver")</f>
        <v>Cody Weaver</v>
      </c>
      <c r="E8627" t="s">
        <v>6136</v>
      </c>
      <c r="F8627" t="s">
        <v>6490</v>
      </c>
      <c r="G8627">
        <v>159</v>
      </c>
      <c r="H8627">
        <v>172.84</v>
      </c>
      <c r="I8627">
        <v>172.83</v>
      </c>
      <c r="J8627">
        <v>0.01</v>
      </c>
    </row>
    <row r="8628" spans="1:10" x14ac:dyDescent="0.3">
      <c r="A8628" t="str">
        <f>HYPERLINK("https://us2.cloudbeds.com/connect/10074733072513#/reservations/31684017275102?display=MHEB2KAP4&amp;reservation_id=31684017275102", "MHEB2KAP4")</f>
        <v>MHEB2KAP4</v>
      </c>
      <c r="B8628" t="s">
        <v>10</v>
      </c>
      <c r="C8628" t="s">
        <v>11</v>
      </c>
      <c r="D8628" t="str">
        <f>HYPERLINK("https://us2.cloudbeds.com/connect/10074733072513#/reservations/31684017275102?display=Randall%20L%20Chilson&amp;reservation_id=31684017275102&amp;guest_id=31684009238725", "Randall L Chilson")</f>
        <v>Randall L Chilson</v>
      </c>
      <c r="E8628" t="s">
        <v>6991</v>
      </c>
      <c r="F8628" t="s">
        <v>5568</v>
      </c>
      <c r="G8628">
        <v>97.74</v>
      </c>
      <c r="H8628">
        <v>106.25</v>
      </c>
      <c r="I8628">
        <v>106.24</v>
      </c>
      <c r="J8628">
        <v>0.01</v>
      </c>
    </row>
    <row r="8629" spans="1:10" x14ac:dyDescent="0.3">
      <c r="A8629" t="str">
        <f>HYPERLINK("https://us2.cloudbeds.com/connect/10074733072513#/reservations/31688290091234?display=MHHY8XZ6S&amp;reservation_id=31688290091234", "MHHY8XZ6S")</f>
        <v>MHHY8XZ6S</v>
      </c>
      <c r="B8629" t="s">
        <v>10</v>
      </c>
      <c r="C8629" t="s">
        <v>42</v>
      </c>
      <c r="D8629" t="str">
        <f>HYPERLINK("https://us2.cloudbeds.com/connect/10074733072513#/reservations/31688290091234?display=Shane%20Liebig&amp;reservation_id=31688290091234&amp;guest_id=31688277733517", "Shane Liebig")</f>
        <v>Shane Liebig</v>
      </c>
      <c r="E8629" t="s">
        <v>6992</v>
      </c>
      <c r="F8629" t="s">
        <v>5568</v>
      </c>
      <c r="G8629">
        <v>338</v>
      </c>
      <c r="H8629">
        <v>367.42</v>
      </c>
      <c r="I8629">
        <v>367.41</v>
      </c>
      <c r="J8629">
        <v>0.01</v>
      </c>
    </row>
    <row r="8630" spans="1:10" x14ac:dyDescent="0.3">
      <c r="A8630" t="str">
        <f>HYPERLINK("https://us2.cloudbeds.com/connect/10074733072513#/reservations/31680906199264?display=MHBUJ91QZ&amp;reservation_id=31680906199264", "MHBUJ91QZ")</f>
        <v>MHBUJ91QZ</v>
      </c>
      <c r="B8630" t="s">
        <v>10</v>
      </c>
      <c r="C8630" t="s">
        <v>14</v>
      </c>
      <c r="D8630" t="str">
        <f>HYPERLINK("https://us2.cloudbeds.com/connect/10074733072513#/reservations/31680906199264?display=Wes%20Dargavel&amp;reservation_id=31680906199264&amp;guest_id=31680906195170", "Wes Dargavel")</f>
        <v>Wes Dargavel</v>
      </c>
      <c r="E8630" t="s">
        <v>6994</v>
      </c>
      <c r="F8630" t="s">
        <v>6884</v>
      </c>
      <c r="G8630">
        <v>97.74</v>
      </c>
      <c r="H8630">
        <v>106.25</v>
      </c>
      <c r="I8630">
        <v>106.24</v>
      </c>
      <c r="J8630">
        <v>0.01</v>
      </c>
    </row>
    <row r="8631" spans="1:10" x14ac:dyDescent="0.3">
      <c r="A8631" t="str">
        <f>HYPERLINK("https://us2.cloudbeds.com/connect/10074733072513#/reservations/31681056522399?display=MHC1E10J8&amp;reservation_id=31681056522399", "MHC1E10J8")</f>
        <v>MHC1E10J8</v>
      </c>
      <c r="B8631" t="s">
        <v>10</v>
      </c>
      <c r="C8631" t="s">
        <v>23</v>
      </c>
      <c r="D8631" t="str">
        <f>HYPERLINK("https://us2.cloudbeds.com/connect/10074733072513#/reservations/31681056522399?display=Michael%20Wohlschlager&amp;reservation_id=31681056522399&amp;guest_id=31681045811407", "Michael Wohlschlager")</f>
        <v>Michael Wohlschlager</v>
      </c>
      <c r="E8631" t="s">
        <v>6995</v>
      </c>
      <c r="F8631" t="s">
        <v>4979</v>
      </c>
      <c r="G8631">
        <v>239</v>
      </c>
      <c r="H8631">
        <v>259.8</v>
      </c>
      <c r="I8631">
        <v>259.79000000000002</v>
      </c>
      <c r="J8631">
        <v>0.01</v>
      </c>
    </row>
    <row r="8632" spans="1:10" x14ac:dyDescent="0.3">
      <c r="A8632" t="str">
        <f>HYPERLINK("https://us2.cloudbeds.com/connect/10074733072513#/reservations/31688261259484?display=MHHKH8EPF&amp;reservation_id=31688261259484", "MHHKH8EPF")</f>
        <v>MHHKH8EPF</v>
      </c>
      <c r="B8632" t="s">
        <v>10</v>
      </c>
      <c r="C8632" t="s">
        <v>42</v>
      </c>
      <c r="D8632" t="str">
        <f>HYPERLINK("https://us2.cloudbeds.com/connect/10074733072513#/reservations/31688261259484?display=Karen%20Schmidt&amp;reservation_id=31688261259484&amp;guest_id=31688261259479", "Karen Schmidt")</f>
        <v>Karen Schmidt</v>
      </c>
      <c r="E8632" t="s">
        <v>6997</v>
      </c>
      <c r="F8632" t="s">
        <v>6490</v>
      </c>
      <c r="G8632">
        <v>73</v>
      </c>
      <c r="H8632">
        <v>79.36</v>
      </c>
      <c r="I8632">
        <v>79.349999999999994</v>
      </c>
      <c r="J8632">
        <v>0.01</v>
      </c>
    </row>
    <row r="8633" spans="1:10" x14ac:dyDescent="0.3">
      <c r="A8633" t="str">
        <f>HYPERLINK("https://us2.cloudbeds.com/connect/10074733072513#/reservations/31683974987917?display=MHE9WVKX9&amp;reservation_id=31683974987917", "MHE9WVKX9")</f>
        <v>MHE9WVKX9</v>
      </c>
      <c r="B8633" t="s">
        <v>10</v>
      </c>
      <c r="C8633" t="s">
        <v>11</v>
      </c>
      <c r="D8633" t="str">
        <f>HYPERLINK("https://us2.cloudbeds.com/connect/10074733072513#/reservations/31683974987917?display=Cody%20Allen%20Nuss&amp;reservation_id=31683974987917&amp;guest_id=31683968131249", "Cody Allen Nuss")</f>
        <v>Cody Allen Nuss</v>
      </c>
      <c r="E8633" t="s">
        <v>7001</v>
      </c>
      <c r="F8633" t="s">
        <v>5568</v>
      </c>
      <c r="G8633">
        <v>97.74</v>
      </c>
      <c r="H8633">
        <v>106.25</v>
      </c>
      <c r="I8633">
        <v>106.24</v>
      </c>
      <c r="J8633">
        <v>0.01</v>
      </c>
    </row>
    <row r="8634" spans="1:10" x14ac:dyDescent="0.3">
      <c r="A8634" t="str">
        <f>HYPERLINK("https://us2.cloudbeds.com/connect/10074733072513#/reservations/31683982647526?display=MHEA6DP5Y&amp;reservation_id=31683982647526", "MHEA6DP5Y")</f>
        <v>MHEA6DP5Y</v>
      </c>
      <c r="B8634" t="s">
        <v>10</v>
      </c>
      <c r="C8634" t="s">
        <v>42</v>
      </c>
      <c r="D8634" t="str">
        <f>HYPERLINK("https://us2.cloudbeds.com/connect/10074733072513#/reservations/31683982647526?display=Structures%20Great%20Plains&amp;reservation_id=31683982647526&amp;guest_id=31683974992011", "Structures Great Plains")</f>
        <v>Structures Great Plains</v>
      </c>
      <c r="E8634" t="s">
        <v>5244</v>
      </c>
      <c r="F8634" t="s">
        <v>5568</v>
      </c>
      <c r="G8634">
        <v>158</v>
      </c>
      <c r="H8634">
        <v>171.76</v>
      </c>
      <c r="I8634">
        <v>171.75</v>
      </c>
      <c r="J8634">
        <v>0.01</v>
      </c>
    </row>
    <row r="8635" spans="1:10" x14ac:dyDescent="0.3">
      <c r="A8635" t="str">
        <f>HYPERLINK("https://us2.cloudbeds.com/connect/10074733072513#/reservations/31684587315424?display=MHEPY9HP9&amp;reservation_id=31684587315424", "MHEPY9HP9")</f>
        <v>MHEPY9HP9</v>
      </c>
      <c r="B8635" t="s">
        <v>10</v>
      </c>
      <c r="C8635" t="s">
        <v>20</v>
      </c>
      <c r="D8635" t="str">
        <f>HYPERLINK("https://us2.cloudbeds.com/connect/10074733072513#/reservations/31684587315424?display=Jennah%20Mielke&amp;reservation_id=31684587315424&amp;guest_id=31684587315419", "Jennah Mielke")</f>
        <v>Jennah Mielke</v>
      </c>
      <c r="E8635" t="s">
        <v>7003</v>
      </c>
      <c r="F8635" t="s">
        <v>6953</v>
      </c>
      <c r="G8635">
        <v>179</v>
      </c>
      <c r="H8635">
        <v>194.58</v>
      </c>
      <c r="I8635">
        <v>194.57</v>
      </c>
      <c r="J8635">
        <v>0.01</v>
      </c>
    </row>
    <row r="8636" spans="1:10" x14ac:dyDescent="0.3">
      <c r="A8636" t="str">
        <f>HYPERLINK("https://us2.cloudbeds.com/connect/10074733072513#/reservations/31696081825954?display=MHNMBP7S6&amp;reservation_id=31696081825954", "MHNMBP7S6")</f>
        <v>MHNMBP7S6</v>
      </c>
      <c r="B8636" t="s">
        <v>10</v>
      </c>
      <c r="C8636" t="s">
        <v>42</v>
      </c>
      <c r="D8636" t="str">
        <f>HYPERLINK("https://us2.cloudbeds.com/connect/10074733072513#/reservations/31696081825954?display=Steve%20Thiner&amp;reservation_id=31696081825954&amp;guest_id=31696081821840", "Steve Thiner")</f>
        <v>Steve Thiner</v>
      </c>
      <c r="E8636" t="s">
        <v>7004</v>
      </c>
      <c r="F8636" t="s">
        <v>6746</v>
      </c>
      <c r="G8636">
        <v>139</v>
      </c>
      <c r="H8636">
        <v>151.1</v>
      </c>
      <c r="I8636">
        <v>151.09</v>
      </c>
      <c r="J8636">
        <v>0.01</v>
      </c>
    </row>
    <row r="8637" spans="1:10" x14ac:dyDescent="0.3">
      <c r="A8637" t="str">
        <f>HYPERLINK("https://us2.cloudbeds.com/connect/10074733072513#/reservations/31694221902002?display=MHM7RE3NA&amp;reservation_id=31694221902002", "MHM7RE3NA")</f>
        <v>MHM7RE3NA</v>
      </c>
      <c r="B8637" t="s">
        <v>10</v>
      </c>
      <c r="C8637" t="s">
        <v>42</v>
      </c>
      <c r="D8637" t="str">
        <f>HYPERLINK("https://us2.cloudbeds.com/connect/10074733072513#/reservations/31694221902002?display=Neal%20Opdahl&amp;reservation_id=31694221902002&amp;guest_id=31694221902000", "Neal Opdahl")</f>
        <v>Neal Opdahl</v>
      </c>
      <c r="E8637" t="s">
        <v>7005</v>
      </c>
      <c r="F8637" t="s">
        <v>7006</v>
      </c>
      <c r="G8637">
        <v>139</v>
      </c>
      <c r="H8637">
        <v>151.1</v>
      </c>
      <c r="I8637">
        <v>151.09</v>
      </c>
      <c r="J8637">
        <v>0.01</v>
      </c>
    </row>
    <row r="8638" spans="1:10" x14ac:dyDescent="0.3">
      <c r="A8638" t="str">
        <f>HYPERLINK("https://us2.cloudbeds.com/connect/10074733072513#/reservations/31683998413033?display=MHEAJNF79&amp;reservation_id=31683998413033", "MHEAJNF79")</f>
        <v>MHEAJNF79</v>
      </c>
      <c r="B8638" t="s">
        <v>10</v>
      </c>
      <c r="C8638" t="s">
        <v>42</v>
      </c>
      <c r="D8638" t="str">
        <f>HYPERLINK("https://us2.cloudbeds.com/connect/10074733072513#/reservations/31683998413033?display=Randy%20Shamp&amp;reservation_id=31683998413033&amp;guest_id=31683998413013", "Randy Shamp")</f>
        <v>Randy Shamp</v>
      </c>
      <c r="E8638" t="s">
        <v>7009</v>
      </c>
      <c r="F8638" t="s">
        <v>5568</v>
      </c>
      <c r="G8638">
        <v>338</v>
      </c>
      <c r="H8638">
        <v>367.42</v>
      </c>
      <c r="I8638">
        <v>367.41</v>
      </c>
      <c r="J8638">
        <v>0.01</v>
      </c>
    </row>
    <row r="8639" spans="1:10" x14ac:dyDescent="0.3">
      <c r="A8639" t="str">
        <f>HYPERLINK("https://us2.cloudbeds.com/connect/10074733072513#/reservations/31681808847001?display=MHCKYDXEF&amp;reservation_id=31681808847001", "MHCKYDXEF")</f>
        <v>MHCKYDXEF</v>
      </c>
      <c r="B8639" t="s">
        <v>10</v>
      </c>
      <c r="C8639" t="s">
        <v>23</v>
      </c>
      <c r="D8639" t="str">
        <f>HYPERLINK("https://us2.cloudbeds.com/connect/10074733072513#/reservations/31681808847001?display=Tom%20Benney&amp;reservation_id=31681808847001&amp;guest_id=31681800638593", "Tom Benney")</f>
        <v>Tom Benney</v>
      </c>
      <c r="E8639" t="s">
        <v>7011</v>
      </c>
      <c r="F8639" t="s">
        <v>6467</v>
      </c>
      <c r="G8639">
        <v>331.2</v>
      </c>
      <c r="H8639">
        <v>360.02</v>
      </c>
      <c r="I8639">
        <v>360.01</v>
      </c>
      <c r="J8639">
        <v>0.01</v>
      </c>
    </row>
    <row r="8640" spans="1:10" x14ac:dyDescent="0.3">
      <c r="A8640" t="str">
        <f>HYPERLINK("https://us2.cloudbeds.com/connect/10074733072513#/reservations/31688292212893?display=MHHYABPFX&amp;reservation_id=31688292212893", "MHHYABPFX")</f>
        <v>MHHYABPFX</v>
      </c>
      <c r="B8640" t="s">
        <v>10</v>
      </c>
      <c r="C8640" t="s">
        <v>42</v>
      </c>
      <c r="D8640" t="str">
        <f>HYPERLINK("https://us2.cloudbeds.com/connect/10074733072513#/reservations/31688292212893?display=Daryle%20Petrzilka&amp;reservation_id=31688292212893&amp;guest_id=31683779588313", "Daryle Petrzilka")</f>
        <v>Daryle Petrzilka</v>
      </c>
      <c r="E8640" t="s">
        <v>5614</v>
      </c>
      <c r="F8640" t="s">
        <v>5568</v>
      </c>
      <c r="G8640">
        <v>79</v>
      </c>
      <c r="H8640">
        <v>85.88</v>
      </c>
      <c r="I8640">
        <v>85.87</v>
      </c>
      <c r="J8640">
        <v>0.01</v>
      </c>
    </row>
    <row r="8641" spans="1:10" x14ac:dyDescent="0.3">
      <c r="A8641" t="str">
        <f>HYPERLINK("https://us2.cloudbeds.com/connect/10074733072513#/reservations/31684621471965?display=MHEQH2WQW&amp;reservation_id=31684621471965", "MHEQH2WQW")</f>
        <v>MHEQH2WQW</v>
      </c>
      <c r="B8641" t="s">
        <v>10</v>
      </c>
      <c r="C8641" t="s">
        <v>11</v>
      </c>
      <c r="D8641" t="str">
        <f>HYPERLINK("https://us2.cloudbeds.com/connect/10074733072513#/reservations/31684621471965?display=Authur%20Mack&amp;reservation_id=31684621471965&amp;guest_id=31684621467873", "Authur Mack")</f>
        <v>Authur Mack</v>
      </c>
      <c r="E8641" t="s">
        <v>7012</v>
      </c>
      <c r="F8641" t="s">
        <v>6953</v>
      </c>
      <c r="G8641">
        <v>110.86</v>
      </c>
      <c r="H8641">
        <v>120.51</v>
      </c>
      <c r="I8641">
        <v>120.5</v>
      </c>
      <c r="J8641">
        <v>0.01</v>
      </c>
    </row>
    <row r="8642" spans="1:10" x14ac:dyDescent="0.3">
      <c r="A8642" t="str">
        <f>HYPERLINK("https://us2.cloudbeds.com/connect/10074733072513#/reservations/31684610310385?display=MHEQ7MDE9&amp;reservation_id=31684610310385", "MHEQ7MDE9")</f>
        <v>MHEQ7MDE9</v>
      </c>
      <c r="B8642" t="s">
        <v>10</v>
      </c>
      <c r="C8642" t="s">
        <v>11</v>
      </c>
      <c r="D8642" t="str">
        <f>HYPERLINK("https://us2.cloudbeds.com/connect/10074733072513#/reservations/31684610310385?display=Shane%20Zacher&amp;reservation_id=31684610310385&amp;guest_id=31684602396821", "Shane Zacher")</f>
        <v>Shane Zacher</v>
      </c>
      <c r="E8642" t="s">
        <v>7013</v>
      </c>
      <c r="F8642" t="s">
        <v>6953</v>
      </c>
      <c r="G8642">
        <v>110.86</v>
      </c>
      <c r="H8642">
        <v>120.51</v>
      </c>
      <c r="I8642">
        <v>120.5</v>
      </c>
      <c r="J8642">
        <v>0.01</v>
      </c>
    </row>
    <row r="8643" spans="1:10" x14ac:dyDescent="0.3">
      <c r="A8643" t="str">
        <f>HYPERLINK("https://us2.cloudbeds.com/connect/10074733072513#/reservations/31684634263759?display=MHEQRSV63&amp;reservation_id=31684634263759", "MHEQRSV63")</f>
        <v>MHEQRSV63</v>
      </c>
      <c r="B8643" t="s">
        <v>10</v>
      </c>
      <c r="C8643" t="s">
        <v>121</v>
      </c>
      <c r="D8643" t="str">
        <f>HYPERLINK("https://us2.cloudbeds.com/connect/10074733072513#/reservations/31684634263759?display=Andrew%20Dewayne%20Jackson&amp;reservation_id=31684634263759&amp;guest_id=31684628783287", "Andrew Dewayne Jackson")</f>
        <v>Andrew Dewayne Jackson</v>
      </c>
      <c r="E8643" t="s">
        <v>7018</v>
      </c>
      <c r="F8643" t="s">
        <v>6953</v>
      </c>
      <c r="G8643">
        <v>169</v>
      </c>
      <c r="H8643">
        <v>183.71</v>
      </c>
      <c r="I8643">
        <v>183.7</v>
      </c>
      <c r="J8643">
        <v>0.01</v>
      </c>
    </row>
    <row r="8644" spans="1:10" x14ac:dyDescent="0.3">
      <c r="A8644" t="str">
        <f>HYPERLINK("https://us2.cloudbeds.com/connect/10074733072513#/reservations/31685833482400?display=MHFZG2W1T&amp;reservation_id=31685833482400", "MHFZG2W1T")</f>
        <v>MHFZG2W1T</v>
      </c>
      <c r="B8644" t="s">
        <v>10</v>
      </c>
      <c r="C8644" t="s">
        <v>42</v>
      </c>
      <c r="D8644" t="str">
        <f>HYPERLINK("https://us2.cloudbeds.com/connect/10074733072513#/reservations/31685833482400?display=Sue%20Spans&amp;reservation_id=31685833482400&amp;guest_id=31685825741011", "Sue Spans")</f>
        <v>Sue Spans</v>
      </c>
      <c r="E8644" t="s">
        <v>5128</v>
      </c>
      <c r="F8644" t="s">
        <v>4974</v>
      </c>
      <c r="G8644">
        <v>169</v>
      </c>
      <c r="H8644">
        <v>183.71</v>
      </c>
      <c r="I8644">
        <v>183.7</v>
      </c>
      <c r="J8644">
        <v>0.01</v>
      </c>
    </row>
    <row r="8645" spans="1:10" x14ac:dyDescent="0.3">
      <c r="A8645" t="str">
        <f>HYPERLINK("https://us2.cloudbeds.com/connect/10074733072513#/reservations/31695231824076?display=MHN0Y0MHH&amp;reservation_id=31695231824076", "MHN0Y0MHH")</f>
        <v>MHN0Y0MHH</v>
      </c>
      <c r="B8645" t="s">
        <v>10</v>
      </c>
      <c r="C8645" t="s">
        <v>42</v>
      </c>
      <c r="D8645" t="str">
        <f>HYPERLINK("https://us2.cloudbeds.com/connect/10074733072513#/reservations/31695231824076?display=Kelsie%20Evers&amp;reservation_id=31695231824076&amp;guest_id=31695222116522", "Kelsie Evers")</f>
        <v>Kelsie Evers</v>
      </c>
      <c r="E8645" t="s">
        <v>7019</v>
      </c>
      <c r="F8645" t="s">
        <v>6746</v>
      </c>
      <c r="G8645">
        <v>139</v>
      </c>
      <c r="H8645">
        <v>151.1</v>
      </c>
      <c r="I8645">
        <v>151.09</v>
      </c>
      <c r="J8645">
        <v>0.01</v>
      </c>
    </row>
    <row r="8646" spans="1:10" x14ac:dyDescent="0.3">
      <c r="A8646" t="str">
        <f>HYPERLINK("https://us2.cloudbeds.com/connect/10074733072513#/reservations/31681328898286?display=MHC8CN960&amp;reservation_id=31681328898286", "MHC8CN960")</f>
        <v>MHC8CN960</v>
      </c>
      <c r="B8646" t="s">
        <v>10</v>
      </c>
      <c r="C8646" t="s">
        <v>42</v>
      </c>
      <c r="D8646" t="str">
        <f>HYPERLINK("https://us2.cloudbeds.com/connect/10074733072513#/reservations/31681328898286?display=Kip%20Gearey&amp;reservation_id=31681328898286&amp;guest_id=31681328898273", "Kip Gearey")</f>
        <v>Kip Gearey</v>
      </c>
      <c r="E8646" t="s">
        <v>7021</v>
      </c>
      <c r="F8646" t="s">
        <v>6736</v>
      </c>
      <c r="G8646">
        <v>150</v>
      </c>
      <c r="H8646">
        <v>163.06</v>
      </c>
      <c r="I8646">
        <v>163.05000000000001</v>
      </c>
      <c r="J8646">
        <v>0.01</v>
      </c>
    </row>
    <row r="8647" spans="1:10" x14ac:dyDescent="0.3">
      <c r="A8647" t="str">
        <f>HYPERLINK("https://us2.cloudbeds.com/connect/10074733072513#/reservations/31681193685134?display=MHC4UMPGP&amp;reservation_id=31681193685134", "MHC4UMPGP")</f>
        <v>MHC4UMPGP</v>
      </c>
      <c r="B8647" t="s">
        <v>10</v>
      </c>
      <c r="C8647" t="s">
        <v>42</v>
      </c>
      <c r="D8647" t="str">
        <f>HYPERLINK("https://us2.cloudbeds.com/connect/10074733072513#/reservations/31681193685134?display=Josh%20Frost&amp;reservation_id=31681193685134&amp;guest_id=31681183154366", "Josh Frost")</f>
        <v>Josh Frost</v>
      </c>
      <c r="E8647" t="s">
        <v>1925</v>
      </c>
      <c r="F8647" t="s">
        <v>4974</v>
      </c>
      <c r="G8647">
        <v>249</v>
      </c>
      <c r="H8647">
        <v>270.67</v>
      </c>
      <c r="I8647">
        <v>270.66000000000003</v>
      </c>
      <c r="J8647">
        <v>0.01</v>
      </c>
    </row>
    <row r="8648" spans="1:10" x14ac:dyDescent="0.3">
      <c r="A8648" t="str">
        <f>HYPERLINK("https://us2.cloudbeds.com/connect/10074733072513#/reservations/31682575298719?display=MHD77N6S2&amp;reservation_id=31682575298719", "MHD77N6S2")</f>
        <v>MHD77N6S2</v>
      </c>
      <c r="B8648" t="s">
        <v>10</v>
      </c>
      <c r="C8648" t="s">
        <v>42</v>
      </c>
      <c r="D8648" t="str">
        <f>HYPERLINK("https://us2.cloudbeds.com/connect/10074733072513#/reservations/31682575298719?display=Dena%20Larsen&amp;reservation_id=31682575298719&amp;guest_id=31682575298715", "Dena Larsen")</f>
        <v>Dena Larsen</v>
      </c>
      <c r="E8648" t="s">
        <v>7023</v>
      </c>
      <c r="F8648" t="s">
        <v>5017</v>
      </c>
      <c r="G8648">
        <v>139</v>
      </c>
      <c r="H8648">
        <v>151.1</v>
      </c>
      <c r="I8648">
        <v>151.09</v>
      </c>
      <c r="J8648">
        <v>0.01</v>
      </c>
    </row>
    <row r="8649" spans="1:10" x14ac:dyDescent="0.3">
      <c r="A8649" t="str">
        <f>HYPERLINK("https://us2.cloudbeds.com/connect/10074733072513#/reservations/31687831703762?display=MHH9X1E2D&amp;reservation_id=31687831703762", "MHH9X1E2D")</f>
        <v>MHH9X1E2D</v>
      </c>
      <c r="B8649" t="s">
        <v>10</v>
      </c>
      <c r="C8649" t="s">
        <v>11</v>
      </c>
      <c r="D8649" t="str">
        <f>HYPERLINK("https://us2.cloudbeds.com/connect/10074733072513#/reservations/31687831703762?display=Vanessa%20Gallo&amp;reservation_id=31687831703762&amp;guest_id=31687831699660", "Vanessa Gallo")</f>
        <v>Vanessa Gallo</v>
      </c>
      <c r="E8649" t="s">
        <v>7024</v>
      </c>
      <c r="F8649" t="s">
        <v>7025</v>
      </c>
      <c r="G8649">
        <v>195.48</v>
      </c>
      <c r="H8649">
        <v>212.5</v>
      </c>
      <c r="I8649">
        <v>212.49</v>
      </c>
      <c r="J8649">
        <v>0.01</v>
      </c>
    </row>
    <row r="8650" spans="1:10" x14ac:dyDescent="0.3">
      <c r="A8650" t="str">
        <f>HYPERLINK("https://us2.cloudbeds.com/connect/10074733072513#/reservations/31692741628055?display=MHY307A51&amp;reservation_id=31692741628055", "MHY307A51")</f>
        <v>MHY307A51</v>
      </c>
      <c r="B8650" t="s">
        <v>10</v>
      </c>
      <c r="C8650" t="s">
        <v>42</v>
      </c>
      <c r="D8650" t="str">
        <f>HYPERLINK("https://us2.cloudbeds.com/connect/10074733072513#/reservations/31692741628055?display=Bonnie%20Ahlers&amp;reservation_id=31692741628055&amp;guest_id=31692727869642", "Bonnie Ahlers")</f>
        <v>Bonnie Ahlers</v>
      </c>
      <c r="E8650" t="s">
        <v>7026</v>
      </c>
      <c r="F8650" t="s">
        <v>7027</v>
      </c>
      <c r="G8650">
        <v>338</v>
      </c>
      <c r="H8650">
        <v>367.42</v>
      </c>
      <c r="I8650">
        <v>367.41</v>
      </c>
      <c r="J8650">
        <v>0.01</v>
      </c>
    </row>
    <row r="8651" spans="1:10" x14ac:dyDescent="0.3">
      <c r="A8651" t="str">
        <f>HYPERLINK("https://us2.cloudbeds.com/connect/10074733072513#/reservations/31687852982445?display=MHHA2WHNW&amp;reservation_id=31687852982445", "MHHA2WHNW")</f>
        <v>MHHA2WHNW</v>
      </c>
      <c r="B8651" t="s">
        <v>10</v>
      </c>
      <c r="C8651" t="s">
        <v>11</v>
      </c>
      <c r="D8651" t="str">
        <f>HYPERLINK("https://us2.cloudbeds.com/connect/10074733072513#/reservations/31687852982445?display=Mauricio%20Nielsen&amp;reservation_id=31687852982445&amp;guest_id=31687846650054", "Mauricio Nielsen")</f>
        <v>Mauricio Nielsen</v>
      </c>
      <c r="E8651" t="s">
        <v>7029</v>
      </c>
      <c r="F8651" t="s">
        <v>7025</v>
      </c>
      <c r="G8651">
        <v>97.74</v>
      </c>
      <c r="H8651">
        <v>106.25</v>
      </c>
      <c r="I8651">
        <v>106.24</v>
      </c>
      <c r="J8651">
        <v>0.01</v>
      </c>
    </row>
    <row r="8652" spans="1:10" x14ac:dyDescent="0.3">
      <c r="A8652" t="str">
        <f>HYPERLINK("https://us2.cloudbeds.com/connect/10074733072513#/reservations/31681191809242?display=MHC4T3XUX&amp;reservation_id=31681191809242", "MHC4T3XUX")</f>
        <v>MHC4T3XUX</v>
      </c>
      <c r="B8652" t="s">
        <v>10</v>
      </c>
      <c r="C8652" t="s">
        <v>42</v>
      </c>
      <c r="D8652" t="str">
        <f>HYPERLINK("https://us2.cloudbeds.com/connect/10074733072513#/reservations/31681191809242?display=James%20Roberts&amp;reservation_id=31681191809242&amp;guest_id=31681191809227", "James Roberts")</f>
        <v>James Roberts</v>
      </c>
      <c r="E8652" t="s">
        <v>7031</v>
      </c>
      <c r="F8652" t="s">
        <v>7025</v>
      </c>
      <c r="G8652">
        <v>159</v>
      </c>
      <c r="H8652">
        <v>172.84</v>
      </c>
      <c r="I8652">
        <v>172.83</v>
      </c>
      <c r="J8652">
        <v>0.01</v>
      </c>
    </row>
    <row r="8653" spans="1:10" x14ac:dyDescent="0.3">
      <c r="A8653" t="str">
        <f>HYPERLINK("https://us2.cloudbeds.com/connect/10074733072513#/reservations/31681191813335?display=MHC4T3MMJ&amp;reservation_id=31681191813335", "MHC4T3MMJ")</f>
        <v>MHC4T3MMJ</v>
      </c>
      <c r="B8653" t="s">
        <v>10</v>
      </c>
      <c r="C8653" t="s">
        <v>42</v>
      </c>
      <c r="D8653" t="str">
        <f>HYPERLINK("https://us2.cloudbeds.com/connect/10074733072513#/reservations/31681191813335?display=Don%20Wuertz&amp;reservation_id=31681191813335&amp;guest_id=31681191813333", "Don Wuertz")</f>
        <v>Don Wuertz</v>
      </c>
      <c r="E8653" t="s">
        <v>7033</v>
      </c>
      <c r="F8653" t="s">
        <v>7025</v>
      </c>
      <c r="G8653">
        <v>149</v>
      </c>
      <c r="H8653">
        <v>161.97</v>
      </c>
      <c r="I8653">
        <v>161.96</v>
      </c>
      <c r="J8653">
        <v>0.01</v>
      </c>
    </row>
    <row r="8654" spans="1:10" x14ac:dyDescent="0.3">
      <c r="A8654" t="str">
        <f>HYPERLINK("https://us2.cloudbeds.com/connect/10074733072513#/reservations/31682792333550?display=MHDCPNH75&amp;reservation_id=31682792333550", "MHDCPNH75")</f>
        <v>MHDCPNH75</v>
      </c>
      <c r="B8654" t="s">
        <v>10</v>
      </c>
      <c r="C8654" t="s">
        <v>42</v>
      </c>
      <c r="D8654" t="str">
        <f>HYPERLINK("https://us2.cloudbeds.com/connect/10074733072513#/reservations/31682792333550?display=Kayla%20Mernaugh&amp;reservation_id=31682792333550&amp;guest_id=31682782023889", "Kayla Mernaugh")</f>
        <v>Kayla Mernaugh</v>
      </c>
      <c r="E8654" t="s">
        <v>7034</v>
      </c>
      <c r="F8654" t="s">
        <v>5745</v>
      </c>
      <c r="G8654">
        <v>129</v>
      </c>
      <c r="H8654">
        <v>140.22999999999999</v>
      </c>
      <c r="I8654">
        <v>140.22</v>
      </c>
      <c r="J8654">
        <v>0.01</v>
      </c>
    </row>
    <row r="8655" spans="1:10" x14ac:dyDescent="0.3">
      <c r="A8655" t="str">
        <f>HYPERLINK("https://us2.cloudbeds.com/connect/10074733072513#/reservations/31684644495584?display=MHER3GYQD&amp;reservation_id=31684644495584", "MHER3GYQD")</f>
        <v>MHER3GYQD</v>
      </c>
      <c r="B8655" t="s">
        <v>10</v>
      </c>
      <c r="C8655" t="s">
        <v>42</v>
      </c>
      <c r="D8655" t="str">
        <f>HYPERLINK("https://us2.cloudbeds.com/connect/10074733072513#/reservations/31684644495584?display=Jane%20Mayer&amp;reservation_id=31684644495584&amp;guest_id=31684637409412", "Jane Mayer")</f>
        <v>Jane Mayer</v>
      </c>
      <c r="E8655" t="s">
        <v>7035</v>
      </c>
      <c r="F8655" t="s">
        <v>5582</v>
      </c>
      <c r="G8655">
        <v>139</v>
      </c>
      <c r="H8655">
        <v>151.1</v>
      </c>
      <c r="I8655">
        <v>151.09</v>
      </c>
      <c r="J8655">
        <v>0.01</v>
      </c>
    </row>
    <row r="8656" spans="1:10" x14ac:dyDescent="0.3">
      <c r="A8656" t="str">
        <f>HYPERLINK("https://us2.cloudbeds.com/connect/10074733072513#/reservations/31681235050632?display=MHC5WXRBN&amp;reservation_id=31681235050632", "MHC5WXRBN")</f>
        <v>MHC5WXRBN</v>
      </c>
      <c r="B8656" t="s">
        <v>10</v>
      </c>
      <c r="C8656" t="s">
        <v>42</v>
      </c>
      <c r="D8656" t="str">
        <f>HYPERLINK("https://us2.cloudbeds.com/connect/10074733072513#/reservations/31681235050632?display=David%20Nahnsen&amp;reservation_id=31681235050632&amp;guest_id=31676178182356", "David Nahnsen")</f>
        <v>David Nahnsen</v>
      </c>
      <c r="E8656" t="s">
        <v>7036</v>
      </c>
      <c r="F8656" t="s">
        <v>6736</v>
      </c>
      <c r="G8656">
        <v>258</v>
      </c>
      <c r="H8656">
        <v>280.45999999999998</v>
      </c>
      <c r="I8656">
        <v>280.45</v>
      </c>
      <c r="J8656">
        <v>0.01</v>
      </c>
    </row>
    <row r="8657" spans="1:10" x14ac:dyDescent="0.3">
      <c r="A8657" t="str">
        <f>HYPERLINK("https://us2.cloudbeds.com/connect/10074733072513#/reservations/31686379999428?display=MHG5EUGHX&amp;reservation_id=31686379999428", "MHG5EUGHX")</f>
        <v>MHG5EUGHX</v>
      </c>
      <c r="B8657" t="s">
        <v>10</v>
      </c>
      <c r="C8657" t="s">
        <v>42</v>
      </c>
      <c r="D8657" t="str">
        <f>HYPERLINK("https://us2.cloudbeds.com/connect/10074733072513#/reservations/31686379999428?display=Lisa%20Doty&amp;reservation_id=31686379999428&amp;guest_id=31686364319900", "Lisa Doty")</f>
        <v>Lisa Doty</v>
      </c>
      <c r="E8657" t="s">
        <v>7037</v>
      </c>
      <c r="F8657" t="s">
        <v>5745</v>
      </c>
      <c r="G8657">
        <v>298</v>
      </c>
      <c r="H8657">
        <v>323.94</v>
      </c>
      <c r="I8657">
        <v>323.93</v>
      </c>
      <c r="J8657">
        <v>0.01</v>
      </c>
    </row>
    <row r="8658" spans="1:10" x14ac:dyDescent="0.3">
      <c r="A8658" t="str">
        <f>HYPERLINK("https://us2.cloudbeds.com/connect/10074733072513#/reservations/31683255971979?display=MHDZKYV5H&amp;reservation_id=31683255971979", "MHDZKYV5H")</f>
        <v>MHDZKYV5H</v>
      </c>
      <c r="B8658" t="s">
        <v>10</v>
      </c>
      <c r="C8658" t="s">
        <v>42</v>
      </c>
      <c r="D8658" t="str">
        <f>HYPERLINK("https://us2.cloudbeds.com/connect/10074733072513#/reservations/31683255971979?display=Alexia%20Werdel&amp;reservation_id=31683255971979&amp;guest_id=31683255971976", "Alexia Werdel")</f>
        <v>Alexia Werdel</v>
      </c>
      <c r="E8658" t="s">
        <v>28</v>
      </c>
      <c r="F8658" t="s">
        <v>5548</v>
      </c>
      <c r="G8658">
        <v>99</v>
      </c>
      <c r="H8658">
        <v>107.62</v>
      </c>
      <c r="I8658">
        <v>107.61</v>
      </c>
      <c r="J8658">
        <v>0.01</v>
      </c>
    </row>
    <row r="8659" spans="1:10" x14ac:dyDescent="0.3">
      <c r="A8659" t="str">
        <f>HYPERLINK("https://us2.cloudbeds.com/connect/10074733072513#/reservations/31681578762433?display=MHCEPD3RR&amp;reservation_id=31681578762433", "MHCEPD3RR")</f>
        <v>MHCEPD3RR</v>
      </c>
      <c r="B8659" t="s">
        <v>10</v>
      </c>
      <c r="C8659" t="s">
        <v>42</v>
      </c>
      <c r="D8659" t="str">
        <f>HYPERLINK("https://us2.cloudbeds.com/connect/10074733072513#/reservations/31681578762433?display=Kaylen%20Buysse&amp;reservation_id=31681578762433&amp;guest_id=31681569702041", "Kaylen Buysse")</f>
        <v>Kaylen Buysse</v>
      </c>
      <c r="E8659" t="s">
        <v>7038</v>
      </c>
      <c r="F8659" t="s">
        <v>5875</v>
      </c>
      <c r="G8659">
        <v>179</v>
      </c>
      <c r="H8659">
        <v>194.58</v>
      </c>
      <c r="I8659">
        <v>194.57</v>
      </c>
      <c r="J8659">
        <v>0.01</v>
      </c>
    </row>
    <row r="8660" spans="1:10" x14ac:dyDescent="0.3">
      <c r="A8660" t="str">
        <f>HYPERLINK("https://us2.cloudbeds.com/connect/10074733072513#/reservations/31683170590867?display=MHDMEM2V3&amp;reservation_id=31683170590867", "MHDMEM2V3")</f>
        <v>MHDMEM2V3</v>
      </c>
      <c r="B8660" t="s">
        <v>10</v>
      </c>
      <c r="C8660" t="s">
        <v>11</v>
      </c>
      <c r="D8660" t="str">
        <f>HYPERLINK("https://us2.cloudbeds.com/connect/10074733072513#/reservations/31683170590867?display=Jeffrey%20Dunaj&amp;reservation_id=31683170590867&amp;guest_id=31683170590852", "Jeffrey Dunaj")</f>
        <v>Jeffrey Dunaj</v>
      </c>
      <c r="E8660" t="s">
        <v>7039</v>
      </c>
      <c r="F8660" t="s">
        <v>7015</v>
      </c>
      <c r="G8660">
        <v>97.74</v>
      </c>
      <c r="H8660">
        <v>106.25</v>
      </c>
      <c r="I8660">
        <v>106.24</v>
      </c>
      <c r="J8660">
        <v>0.01</v>
      </c>
    </row>
    <row r="8661" spans="1:10" x14ac:dyDescent="0.3">
      <c r="A8661" t="str">
        <f>HYPERLINK("https://us2.cloudbeds.com/connect/10074733072513#/reservations/31683070410965?display=MHDJT6ECG&amp;reservation_id=31683070410965", "MHDJT6ECG")</f>
        <v>MHDJT6ECG</v>
      </c>
      <c r="B8661" t="s">
        <v>10</v>
      </c>
      <c r="C8661" t="s">
        <v>23</v>
      </c>
      <c r="D8661" t="str">
        <f>HYPERLINK("https://us2.cloudbeds.com/connect/10074733072513#/reservations/31683070410965?display=Keith%20Frink&amp;reservation_id=31683070410965&amp;guest_id=31683070406880", "Keith Frink")</f>
        <v>Keith Frink</v>
      </c>
      <c r="E8661" t="s">
        <v>7040</v>
      </c>
      <c r="F8661" t="s">
        <v>7015</v>
      </c>
      <c r="G8661">
        <v>318</v>
      </c>
      <c r="H8661">
        <v>345.68</v>
      </c>
      <c r="I8661">
        <v>345.67</v>
      </c>
      <c r="J8661">
        <v>0.01</v>
      </c>
    </row>
    <row r="8662" spans="1:10" x14ac:dyDescent="0.3">
      <c r="A8662" t="str">
        <f>HYPERLINK("https://us2.cloudbeds.com/connect/10074733072513#/reservations/31682691182800?display=MHDA6DS4U&amp;reservation_id=31682691182800", "MHDA6DS4U")</f>
        <v>MHDA6DS4U</v>
      </c>
      <c r="B8662" t="s">
        <v>10</v>
      </c>
      <c r="C8662" t="s">
        <v>42</v>
      </c>
      <c r="D8662" t="str">
        <f>HYPERLINK("https://us2.cloudbeds.com/connect/10074733072513#/reservations/31682691182800?display=Karen%20Sonnenburg&amp;reservation_id=31682691182800&amp;guest_id=31682691178708", "Karen Sonnenburg")</f>
        <v>Karen Sonnenburg</v>
      </c>
      <c r="E8662" t="s">
        <v>7041</v>
      </c>
      <c r="F8662" t="s">
        <v>4868</v>
      </c>
      <c r="G8662">
        <v>139</v>
      </c>
      <c r="H8662">
        <v>151.1</v>
      </c>
      <c r="I8662">
        <v>151.09</v>
      </c>
      <c r="J8662">
        <v>0.01</v>
      </c>
    </row>
    <row r="8663" spans="1:10" x14ac:dyDescent="0.3">
      <c r="A8663" t="str">
        <f>HYPERLINK("https://us2.cloudbeds.com/connect/10074733072513#/reservations/31694264324235?display=MHM8U6XUH&amp;reservation_id=31694264324235", "MHM8U6XUH")</f>
        <v>MHM8U6XUH</v>
      </c>
      <c r="B8663" t="s">
        <v>10</v>
      </c>
      <c r="C8663" t="s">
        <v>42</v>
      </c>
      <c r="D8663" t="str">
        <f>HYPERLINK("https://us2.cloudbeds.com/connect/10074733072513#/reservations/31694264324235?display=Ashley%20Kimeu&amp;reservation_id=31694264324235&amp;guest_id=31681293091030", "Ashley Kimeu")</f>
        <v>Ashley Kimeu</v>
      </c>
      <c r="E8663" t="s">
        <v>5485</v>
      </c>
      <c r="F8663" t="s">
        <v>6746</v>
      </c>
      <c r="G8663">
        <v>139</v>
      </c>
      <c r="H8663">
        <v>151.1</v>
      </c>
      <c r="I8663">
        <v>151.09</v>
      </c>
      <c r="J8663">
        <v>0.01</v>
      </c>
    </row>
    <row r="8664" spans="1:10" x14ac:dyDescent="0.3">
      <c r="A8664" t="str">
        <f>HYPERLINK("https://us2.cloudbeds.com/connect/10074733072513#/reservations/31687846645960?display=MHH9UY739&amp;reservation_id=31687846645960", "MHH9UY739")</f>
        <v>MHH9UY739</v>
      </c>
      <c r="B8664" t="s">
        <v>10</v>
      </c>
      <c r="C8664" t="s">
        <v>14</v>
      </c>
      <c r="D8664" t="str">
        <f>HYPERLINK("https://us2.cloudbeds.com/connect/10074733072513#/reservations/31687846645960?display=Jeff%20Miller&amp;reservation_id=31687846645960&amp;guest_id=31687838703793", "Jeff Miller")</f>
        <v>Jeff Miller</v>
      </c>
      <c r="E8664" t="s">
        <v>7043</v>
      </c>
      <c r="F8664" t="s">
        <v>7025</v>
      </c>
      <c r="G8664">
        <v>97.74</v>
      </c>
      <c r="H8664">
        <v>106.25</v>
      </c>
      <c r="I8664">
        <v>106.24</v>
      </c>
      <c r="J8664">
        <v>0.01</v>
      </c>
    </row>
    <row r="8665" spans="1:10" x14ac:dyDescent="0.3">
      <c r="A8665" t="str">
        <f>HYPERLINK("https://us2.cloudbeds.com/connect/10074733072513#/reservations/31681581527190?display=MHCERZ1YB&amp;reservation_id=31681581527190", "MHCERZ1YB")</f>
        <v>MHCERZ1YB</v>
      </c>
      <c r="B8665" t="s">
        <v>10</v>
      </c>
      <c r="C8665" t="s">
        <v>42</v>
      </c>
      <c r="D8665" t="str">
        <f>HYPERLINK("https://us2.cloudbeds.com/connect/10074733072513#/reservations/31681581527190?display=Charrity%20Simons&amp;reservation_id=31681581527190&amp;guest_id=31681581527178", "Charrity Simons")</f>
        <v>Charrity Simons</v>
      </c>
      <c r="E8665" t="s">
        <v>7044</v>
      </c>
      <c r="F8665" t="s">
        <v>5875</v>
      </c>
      <c r="G8665">
        <v>159</v>
      </c>
      <c r="H8665">
        <v>172.84</v>
      </c>
      <c r="I8665">
        <v>172.83</v>
      </c>
      <c r="J8665">
        <v>0.01</v>
      </c>
    </row>
    <row r="8666" spans="1:10" x14ac:dyDescent="0.3">
      <c r="A8666" t="str">
        <f>HYPERLINK("https://us2.cloudbeds.com/connect/10074733072513#/reservations/31683248238815?display=MHDZE4P07&amp;reservation_id=31683248238815", "MHDZE4P07")</f>
        <v>MHDZE4P07</v>
      </c>
      <c r="B8666" t="s">
        <v>10</v>
      </c>
      <c r="C8666" t="s">
        <v>42</v>
      </c>
      <c r="D8666" t="str">
        <f>HYPERLINK("https://us2.cloudbeds.com/connect/10074733072513#/reservations/31683248238815?display=Brittney%20Pearson&amp;reservation_id=31683248238815&amp;guest_id=31683248234724", "Brittney Pearson")</f>
        <v>Brittney Pearson</v>
      </c>
      <c r="E8666" t="s">
        <v>7045</v>
      </c>
      <c r="F8666" t="s">
        <v>4772</v>
      </c>
      <c r="G8666">
        <v>438</v>
      </c>
      <c r="H8666">
        <v>476.12</v>
      </c>
      <c r="I8666">
        <v>476.11</v>
      </c>
      <c r="J8666">
        <v>0.01</v>
      </c>
    </row>
    <row r="8667" spans="1:10" x14ac:dyDescent="0.3">
      <c r="A8667" t="str">
        <f>HYPERLINK("https://us2.cloudbeds.com/connect/10074733072513#/reservations/31683264475350?display=MHDZRRXJE&amp;reservation_id=31683264475350", "MHDZRRXJE")</f>
        <v>MHDZRRXJE</v>
      </c>
      <c r="B8667" t="s">
        <v>10</v>
      </c>
      <c r="C8667" t="s">
        <v>42</v>
      </c>
      <c r="D8667" t="str">
        <f>HYPERLINK("https://us2.cloudbeds.com/connect/10074733072513#/reservations/31683264475350?display=Brittany%20Pearson&amp;reservation_id=31683264475350&amp;guest_id=31683255971977", "Brittany Pearson")</f>
        <v>Brittany Pearson</v>
      </c>
      <c r="E8667" t="s">
        <v>7046</v>
      </c>
      <c r="F8667" t="s">
        <v>4772</v>
      </c>
      <c r="G8667">
        <v>438</v>
      </c>
      <c r="H8667">
        <v>476.12</v>
      </c>
      <c r="I8667">
        <v>476.11</v>
      </c>
      <c r="J8667">
        <v>0.01</v>
      </c>
    </row>
    <row r="8668" spans="1:10" x14ac:dyDescent="0.3">
      <c r="A8668" t="str">
        <f>HYPERLINK("https://us2.cloudbeds.com/connect/10074733072513#/reservations/31681534910704?display=MHCDYDSVX&amp;reservation_id=31681534910704", "MHCDYDSVX")</f>
        <v>MHCDYDSVX</v>
      </c>
      <c r="B8668" t="s">
        <v>10</v>
      </c>
      <c r="C8668" t="s">
        <v>42</v>
      </c>
      <c r="D8668" t="str">
        <f>HYPERLINK("https://us2.cloudbeds.com/connect/10074733072513#/reservations/31681534910704?display=Emily%20Bryan&amp;reservation_id=31681534910704&amp;guest_id=31681534910699", "Emily Bryan")</f>
        <v>Emily Bryan</v>
      </c>
      <c r="E8668" t="s">
        <v>7047</v>
      </c>
      <c r="F8668" t="s">
        <v>5537</v>
      </c>
      <c r="G8668">
        <v>179</v>
      </c>
      <c r="H8668">
        <v>194.58</v>
      </c>
      <c r="I8668">
        <v>194.57</v>
      </c>
      <c r="J8668">
        <v>0.01</v>
      </c>
    </row>
    <row r="8669" spans="1:10" x14ac:dyDescent="0.3">
      <c r="A8669" t="str">
        <f>HYPERLINK("https://us2.cloudbeds.com/connect/10074733072513#/reservations/31681233739994?display=MHC5VFBRD&amp;reservation_id=31681233739994", "MHC5VFBRD")</f>
        <v>MHC5VFBRD</v>
      </c>
      <c r="B8669" t="s">
        <v>10</v>
      </c>
      <c r="C8669" t="s">
        <v>42</v>
      </c>
      <c r="D8669" t="str">
        <f>HYPERLINK("https://us2.cloudbeds.com/connect/10074733072513#/reservations/31681233739994?display=Audrey%20Lewis&amp;reservation_id=31681233739994&amp;guest_id=31681224245390", "Audrey Lewis")</f>
        <v>Audrey Lewis</v>
      </c>
      <c r="E8669" t="s">
        <v>7048</v>
      </c>
      <c r="F8669" t="s">
        <v>6736</v>
      </c>
      <c r="G8669">
        <v>73</v>
      </c>
      <c r="H8669">
        <v>79.36</v>
      </c>
      <c r="I8669">
        <v>79.349999999999994</v>
      </c>
      <c r="J8669">
        <v>0.01</v>
      </c>
    </row>
    <row r="8670" spans="1:10" x14ac:dyDescent="0.3">
      <c r="A8670" t="str">
        <f>HYPERLINK("https://us2.cloudbeds.com/connect/10074733072513#/reservations/31683170586774?display=MHDMEYW62&amp;reservation_id=31683170586774", "MHDMEYW62")</f>
        <v>MHDMEYW62</v>
      </c>
      <c r="B8670" t="s">
        <v>10</v>
      </c>
      <c r="C8670" t="s">
        <v>42</v>
      </c>
      <c r="D8670" t="str">
        <f>HYPERLINK("https://us2.cloudbeds.com/connect/10074733072513#/reservations/31683170586774?display=Eric%20Dufrane&amp;reservation_id=31683170586774&amp;guest_id=31674052239509", "Eric Dufrane")</f>
        <v>Eric Dufrane</v>
      </c>
      <c r="E8670" t="s">
        <v>5380</v>
      </c>
      <c r="F8670" t="s">
        <v>7049</v>
      </c>
      <c r="G8670">
        <v>179</v>
      </c>
      <c r="H8670">
        <v>194.58</v>
      </c>
      <c r="I8670">
        <v>194.57</v>
      </c>
      <c r="J8670">
        <v>0.01</v>
      </c>
    </row>
    <row r="8671" spans="1:10" x14ac:dyDescent="0.3">
      <c r="A8671" t="str">
        <f>HYPERLINK("https://us2.cloudbeds.com/connect/10074733072513#/reservations/31685891707063?display=MHFPW657Y&amp;reservation_id=31685891707063", "MHFPW657Y")</f>
        <v>MHFPW657Y</v>
      </c>
      <c r="B8671" t="s">
        <v>10</v>
      </c>
      <c r="C8671" t="s">
        <v>23</v>
      </c>
      <c r="D8671" t="str">
        <f>HYPERLINK("https://us2.cloudbeds.com/connect/10074733072513#/reservations/31685891707063?display=Ariella%20Wilde&amp;reservation_id=31685891707063&amp;guest_id=31685875347679", "Ariella Wilde")</f>
        <v>Ariella Wilde</v>
      </c>
      <c r="E8671" t="s">
        <v>7050</v>
      </c>
      <c r="F8671" t="s">
        <v>5875</v>
      </c>
      <c r="G8671">
        <v>322.2</v>
      </c>
      <c r="H8671">
        <v>350.24</v>
      </c>
      <c r="I8671">
        <v>350.23</v>
      </c>
      <c r="J8671">
        <v>0.01</v>
      </c>
    </row>
    <row r="8672" spans="1:10" x14ac:dyDescent="0.3">
      <c r="A8672" t="str">
        <f>HYPERLINK("https://us2.cloudbeds.com/connect/10074733072513#/reservations/31684658450641?display=MHERF8WBU&amp;reservation_id=31684658450641", "MHERF8WBU")</f>
        <v>MHERF8WBU</v>
      </c>
      <c r="B8672" t="s">
        <v>10</v>
      </c>
      <c r="C8672" t="s">
        <v>23</v>
      </c>
      <c r="D8672" t="str">
        <f>HYPERLINK("https://us2.cloudbeds.com/connect/10074733072513#/reservations/31684658450641?display=Randall%20Johnson&amp;reservation_id=31684658450641&amp;guest_id=31684658450639", "Randall Johnson")</f>
        <v>Randall Johnson</v>
      </c>
      <c r="E8672" t="s">
        <v>7051</v>
      </c>
      <c r="F8672" t="s">
        <v>5582</v>
      </c>
      <c r="G8672">
        <v>139</v>
      </c>
      <c r="H8672">
        <v>151.1</v>
      </c>
      <c r="I8672">
        <v>151.09</v>
      </c>
      <c r="J8672">
        <v>0.01</v>
      </c>
    </row>
    <row r="8673" spans="1:10" x14ac:dyDescent="0.3">
      <c r="A8673" t="str">
        <f>HYPERLINK("https://us2.cloudbeds.com/connect/10074733072513#/reservations/31685246410953?display=MHF9G1RR2&amp;reservation_id=31685246410953", "MHF9G1RR2")</f>
        <v>MHF9G1RR2</v>
      </c>
      <c r="B8673" t="s">
        <v>10</v>
      </c>
      <c r="C8673" t="s">
        <v>23</v>
      </c>
      <c r="D8673" t="str">
        <f>HYPERLINK("https://us2.cloudbeds.com/connect/10074733072513#/reservations/31685246410953?display=Tom%20Rawls&amp;reservation_id=31685246410953&amp;guest_id=31685246410947", "Tom Rawls")</f>
        <v>Tom Rawls</v>
      </c>
      <c r="E8673" t="s">
        <v>7052</v>
      </c>
      <c r="F8673" t="s">
        <v>5582</v>
      </c>
      <c r="G8673">
        <v>139</v>
      </c>
      <c r="H8673">
        <v>151.1</v>
      </c>
      <c r="I8673">
        <v>151.09</v>
      </c>
      <c r="J8673">
        <v>0.01</v>
      </c>
    </row>
    <row r="8674" spans="1:10" x14ac:dyDescent="0.3">
      <c r="A8674" t="str">
        <f>HYPERLINK("https://us2.cloudbeds.com/connect/10074733072513#/reservations/31685229121760?display=MHF91FZK4&amp;reservation_id=31685229121760", "MHF91FZK4")</f>
        <v>MHF91FZK4</v>
      </c>
      <c r="B8674" t="s">
        <v>10</v>
      </c>
      <c r="C8674" t="s">
        <v>42</v>
      </c>
      <c r="D8674" t="str">
        <f>HYPERLINK("https://us2.cloudbeds.com/connect/10074733072513#/reservations/31685229121760?display=David%20Nahnsen&amp;reservation_id=31685229121760&amp;guest_id=31676178182356", "David Nahnsen")</f>
        <v>David Nahnsen</v>
      </c>
      <c r="E8674" t="s">
        <v>7036</v>
      </c>
      <c r="F8674" t="s">
        <v>5582</v>
      </c>
      <c r="G8674">
        <v>129</v>
      </c>
      <c r="H8674">
        <v>140.22999999999999</v>
      </c>
      <c r="I8674">
        <v>140.22</v>
      </c>
      <c r="J8674">
        <v>0.01</v>
      </c>
    </row>
    <row r="8675" spans="1:10" x14ac:dyDescent="0.3">
      <c r="A8675" t="str">
        <f>HYPERLINK("https://us2.cloudbeds.com/connect/10074733072513#/reservations/31684591644881?display=MHEPZV0CV&amp;reservation_id=31684591644881", "MHEPZV0CV")</f>
        <v>MHEPZV0CV</v>
      </c>
      <c r="B8675" t="s">
        <v>10</v>
      </c>
      <c r="C8675" t="s">
        <v>121</v>
      </c>
      <c r="D8675" t="str">
        <f>HYPERLINK("https://us2.cloudbeds.com/connect/10074733072513#/reservations/31684591644881?display=Justin%20Weatherford&amp;reservation_id=31684591644881&amp;guest_id=31673010344099", "Justin Weatherford")</f>
        <v>Justin Weatherford</v>
      </c>
      <c r="E8675" t="s">
        <v>4759</v>
      </c>
      <c r="F8675" t="s">
        <v>6736</v>
      </c>
      <c r="G8675">
        <v>129</v>
      </c>
      <c r="H8675">
        <v>140.22999999999999</v>
      </c>
      <c r="I8675">
        <v>140.22</v>
      </c>
      <c r="J8675">
        <v>0.01</v>
      </c>
    </row>
    <row r="8676" spans="1:10" x14ac:dyDescent="0.3">
      <c r="A8676" t="str">
        <f>HYPERLINK("https://us2.cloudbeds.com/connect/10074733072513#/reservations/31681422160095?display=MHCAPBE1E&amp;reservation_id=31681422160095", "MHCAPBE1E")</f>
        <v>MHCAPBE1E</v>
      </c>
      <c r="B8676" t="s">
        <v>10</v>
      </c>
      <c r="C8676" t="s">
        <v>42</v>
      </c>
      <c r="D8676" t="str">
        <f>HYPERLINK("https://us2.cloudbeds.com/connect/10074733072513#/reservations/31681422160095?display=William%20Rowe&amp;reservation_id=31681422160095&amp;guest_id=31681422160093", "William Rowe")</f>
        <v>William Rowe</v>
      </c>
      <c r="E8676" t="s">
        <v>7055</v>
      </c>
      <c r="F8676" t="s">
        <v>6736</v>
      </c>
      <c r="G8676">
        <v>73</v>
      </c>
      <c r="H8676">
        <v>79.36</v>
      </c>
      <c r="I8676">
        <v>79.349999999999994</v>
      </c>
      <c r="J8676">
        <v>0.01</v>
      </c>
    </row>
    <row r="8677" spans="1:10" x14ac:dyDescent="0.3">
      <c r="A8677" t="str">
        <f>HYPERLINK("https://us2.cloudbeds.com/connect/10074733072513#/reservations/31681650315421?display=MHCGJZ626&amp;reservation_id=31681650315421", "MHCGJZ626")</f>
        <v>MHCGJZ626</v>
      </c>
      <c r="B8677" t="s">
        <v>10</v>
      </c>
      <c r="C8677" t="s">
        <v>11</v>
      </c>
      <c r="D8677" t="str">
        <f>HYPERLINK("https://us2.cloudbeds.com/connect/10074733072513#/reservations/31681650315421?display=Vanessa%20Gallo&amp;reservation_id=31681650315421&amp;guest_id=31681650315419", "Vanessa Gallo")</f>
        <v>Vanessa Gallo</v>
      </c>
      <c r="E8677" t="s">
        <v>7056</v>
      </c>
      <c r="F8677" t="s">
        <v>7015</v>
      </c>
      <c r="G8677">
        <v>175.8</v>
      </c>
      <c r="H8677">
        <v>191.1</v>
      </c>
      <c r="I8677">
        <v>191.09</v>
      </c>
      <c r="J8677">
        <v>0.01</v>
      </c>
    </row>
    <row r="8678" spans="1:10" x14ac:dyDescent="0.3">
      <c r="A8678" t="str">
        <f>HYPERLINK("https://us2.cloudbeds.com/connect/10074733072513#/reservations/31685261029532?display=MHF9SCKMA&amp;reservation_id=31685261029532", "MHF9SCKMA")</f>
        <v>MHF9SCKMA</v>
      </c>
      <c r="B8678" t="s">
        <v>10</v>
      </c>
      <c r="C8678" t="s">
        <v>20</v>
      </c>
      <c r="D8678" t="str">
        <f>HYPERLINK("https://us2.cloudbeds.com/connect/10074733072513#/reservations/31685261029532?display=Judith%20Ketchum&amp;reservation_id=31685261029532&amp;guest_id=31685261029527", "Judith Ketchum")</f>
        <v>Judith Ketchum</v>
      </c>
      <c r="E8678" t="s">
        <v>7057</v>
      </c>
      <c r="F8678" t="s">
        <v>5582</v>
      </c>
      <c r="G8678">
        <v>129</v>
      </c>
      <c r="H8678">
        <v>140.22999999999999</v>
      </c>
      <c r="I8678">
        <v>140.22</v>
      </c>
      <c r="J8678">
        <v>0.01</v>
      </c>
    </row>
    <row r="8679" spans="1:10" x14ac:dyDescent="0.3">
      <c r="A8679" t="str">
        <f>HYPERLINK("https://us2.cloudbeds.com/connect/10074733072513#/reservations/31685287485576?display=MHFAHMQXK&amp;reservation_id=31685287485576", "MHFAHMQXK")</f>
        <v>MHFAHMQXK</v>
      </c>
      <c r="B8679" t="s">
        <v>10</v>
      </c>
      <c r="C8679" t="s">
        <v>42</v>
      </c>
      <c r="D8679" t="str">
        <f>HYPERLINK("https://us2.cloudbeds.com/connect/10074733072513#/reservations/31685287485576?display=Alexander%20Gardner&amp;reservation_id=31685287485576&amp;guest_id=31685278839023", "Alexander Gardner")</f>
        <v>Alexander Gardner</v>
      </c>
      <c r="E8679" t="s">
        <v>7058</v>
      </c>
      <c r="F8679" t="s">
        <v>5582</v>
      </c>
      <c r="G8679">
        <v>149</v>
      </c>
      <c r="H8679">
        <v>161.97</v>
      </c>
      <c r="I8679">
        <v>161.96</v>
      </c>
      <c r="J8679">
        <v>0.01</v>
      </c>
    </row>
    <row r="8680" spans="1:10" x14ac:dyDescent="0.3">
      <c r="A8680" t="str">
        <f>HYPERLINK("https://us2.cloudbeds.com/connect/10074733072513#/reservations/31694236340385?display=MHM86JT32&amp;reservation_id=31694236340385", "MHM86JT32")</f>
        <v>MHM86JT32</v>
      </c>
      <c r="B8680" t="s">
        <v>10</v>
      </c>
      <c r="C8680" t="s">
        <v>42</v>
      </c>
      <c r="D8680" t="str">
        <f>HYPERLINK("https://us2.cloudbeds.com/connect/10074733072513#/reservations/31694236340385?display=Brandi%20Keim&amp;reservation_id=31694236340385&amp;guest_id=31694236340380", "Brandi Keim")</f>
        <v>Brandi Keim</v>
      </c>
      <c r="E8680" t="s">
        <v>7059</v>
      </c>
      <c r="F8680" t="s">
        <v>6746</v>
      </c>
      <c r="G8680">
        <v>278</v>
      </c>
      <c r="H8680">
        <v>302.2</v>
      </c>
      <c r="I8680">
        <v>302.19</v>
      </c>
      <c r="J8680">
        <v>0.01</v>
      </c>
    </row>
    <row r="8681" spans="1:10" x14ac:dyDescent="0.3">
      <c r="A8681" t="str">
        <f>HYPERLINK("https://us2.cloudbeds.com/connect/10074733072513#/reservations/31685269180652?display=MHFA28EKV&amp;reservation_id=31685269180652", "MHFA28EKV")</f>
        <v>MHFA28EKV</v>
      </c>
      <c r="B8681" t="s">
        <v>10</v>
      </c>
      <c r="C8681" t="s">
        <v>42</v>
      </c>
      <c r="D8681" t="str">
        <f>HYPERLINK("https://us2.cloudbeds.com/connect/10074733072513#/reservations/31685269180652?display=Megan%20Burbach&amp;reservation_id=31685269180652&amp;guest_id=31685261029530", "Megan Burbach")</f>
        <v>Megan Burbach</v>
      </c>
      <c r="E8681" t="s">
        <v>7060</v>
      </c>
      <c r="F8681" t="s">
        <v>5661</v>
      </c>
      <c r="G8681">
        <v>129</v>
      </c>
      <c r="H8681">
        <v>140.22999999999999</v>
      </c>
      <c r="I8681">
        <v>140.22</v>
      </c>
      <c r="J8681">
        <v>0.01</v>
      </c>
    </row>
    <row r="8682" spans="1:10" x14ac:dyDescent="0.3">
      <c r="A8682" t="str">
        <f>HYPERLINK("https://us2.cloudbeds.com/connect/10074733072513#/reservations/31687035773149?display=MHGM6TFVU&amp;reservation_id=31687035773149", "MHGM6TFVU")</f>
        <v>MHGM6TFVU</v>
      </c>
      <c r="B8682" t="s">
        <v>10</v>
      </c>
      <c r="C8682" t="s">
        <v>23</v>
      </c>
      <c r="D8682" t="str">
        <f>HYPERLINK("https://us2.cloudbeds.com/connect/10074733072513#/reservations/31687035773149?display=Crista%20Few&amp;reservation_id=31687035773149&amp;guest_id=31687035773137", "Crista Few")</f>
        <v>Crista Few</v>
      </c>
      <c r="E8682" t="s">
        <v>7061</v>
      </c>
      <c r="F8682" t="s">
        <v>6618</v>
      </c>
      <c r="G8682">
        <v>169</v>
      </c>
      <c r="H8682">
        <v>183.71</v>
      </c>
      <c r="I8682">
        <v>183.7</v>
      </c>
      <c r="J8682">
        <v>0.01</v>
      </c>
    </row>
    <row r="8683" spans="1:10" x14ac:dyDescent="0.3">
      <c r="A8683" t="str">
        <f>HYPERLINK("https://us2.cloudbeds.com/connect/10074733072513#/reservations/31684656009391?display=MHERD71KY&amp;reservation_id=31684656009391", "MHERD71KY")</f>
        <v>MHERD71KY</v>
      </c>
      <c r="B8683" t="s">
        <v>10</v>
      </c>
      <c r="C8683" t="s">
        <v>121</v>
      </c>
      <c r="D8683" t="str">
        <f>HYPERLINK("https://us2.cloudbeds.com/connect/10074733072513#/reservations/31684656009391?display=Ricky%20Damron&amp;reservation_id=31684656009391&amp;guest_id=31684644499677", "Ricky Damron")</f>
        <v>Ricky Damron</v>
      </c>
      <c r="E8683" t="s">
        <v>7062</v>
      </c>
      <c r="F8683" t="s">
        <v>5582</v>
      </c>
      <c r="G8683">
        <v>129</v>
      </c>
      <c r="H8683">
        <v>140.22999999999999</v>
      </c>
      <c r="I8683">
        <v>140.22</v>
      </c>
      <c r="J8683">
        <v>0.01</v>
      </c>
    </row>
    <row r="8684" spans="1:10" x14ac:dyDescent="0.3">
      <c r="A8684" t="str">
        <f>HYPERLINK("https://us2.cloudbeds.com/connect/10074733072513#/reservations/31683093041382?display=MHDKF959N&amp;reservation_id=31683093041382", "MHDKF959N")</f>
        <v>MHDKF959N</v>
      </c>
      <c r="B8684" t="s">
        <v>10</v>
      </c>
      <c r="C8684" t="s">
        <v>121</v>
      </c>
      <c r="D8684" t="str">
        <f>HYPERLINK("https://us2.cloudbeds.com/connect/10074733072513#/reservations/31683093041382?display=Michael%20Daniels&amp;reservation_id=31683093041382&amp;guest_id=30671090090186", "Michael Daniels")</f>
        <v>Michael Daniels</v>
      </c>
      <c r="E8684" t="s">
        <v>3262</v>
      </c>
      <c r="F8684" t="s">
        <v>7015</v>
      </c>
      <c r="G8684">
        <v>73</v>
      </c>
      <c r="H8684">
        <v>79.36</v>
      </c>
      <c r="I8684">
        <v>79.349999999999994</v>
      </c>
      <c r="J8684">
        <v>0.01</v>
      </c>
    </row>
    <row r="8685" spans="1:10" x14ac:dyDescent="0.3">
      <c r="A8685" t="str">
        <f>HYPERLINK("https://us2.cloudbeds.com/connect/10074733072513#/reservations/31681585512596?display=MHCEV2VB7&amp;reservation_id=31681585512596", "MHCEV2VB7")</f>
        <v>MHCEV2VB7</v>
      </c>
      <c r="B8685" t="s">
        <v>10</v>
      </c>
      <c r="C8685" t="s">
        <v>23</v>
      </c>
      <c r="D8685" t="str">
        <f>HYPERLINK("https://us2.cloudbeds.com/connect/10074733072513#/reservations/31681585512596?display=Grady%20Sevario&amp;reservation_id=31681585512596&amp;guest_id=31681577414845", "Grady Sevario")</f>
        <v>Grady Sevario</v>
      </c>
      <c r="E8685" t="s">
        <v>7063</v>
      </c>
      <c r="F8685" t="s">
        <v>7015</v>
      </c>
      <c r="G8685">
        <v>129</v>
      </c>
      <c r="H8685">
        <v>140.22999999999999</v>
      </c>
      <c r="I8685">
        <v>140.22</v>
      </c>
      <c r="J8685">
        <v>0.01</v>
      </c>
    </row>
    <row r="8686" spans="1:10" x14ac:dyDescent="0.3">
      <c r="A8686" t="str">
        <f>HYPERLINK("https://us2.cloudbeds.com/connect/10074733072513#/reservations/31683062706318?display=MHDJMN1DB&amp;reservation_id=31683062706318", "MHDJMN1DB")</f>
        <v>MHDJMN1DB</v>
      </c>
      <c r="B8686" t="s">
        <v>10</v>
      </c>
      <c r="C8686" t="s">
        <v>42</v>
      </c>
      <c r="D8686" t="str">
        <f>HYPERLINK("https://us2.cloudbeds.com/connect/10074733072513#/reservations/31683062706318?display=James%20Reed&amp;reservation_id=31683062706318&amp;guest_id=31681720226023", "James Reed")</f>
        <v>James Reed</v>
      </c>
      <c r="E8686" t="s">
        <v>4061</v>
      </c>
      <c r="F8686" t="s">
        <v>7015</v>
      </c>
      <c r="G8686">
        <v>129</v>
      </c>
      <c r="H8686">
        <v>140.22999999999999</v>
      </c>
      <c r="I8686">
        <v>140.22</v>
      </c>
      <c r="J8686">
        <v>0.01</v>
      </c>
    </row>
    <row r="8687" spans="1:10" x14ac:dyDescent="0.3">
      <c r="A8687" t="str">
        <f>HYPERLINK("https://us2.cloudbeds.com/connect/10074733072513#/reservations/31683104039045?display=MHDKZX657&amp;reservation_id=31683104039045", "MHDKZX657")</f>
        <v>MHDKZX657</v>
      </c>
      <c r="B8687" t="s">
        <v>10</v>
      </c>
      <c r="C8687" t="s">
        <v>42</v>
      </c>
      <c r="D8687" t="str">
        <f>HYPERLINK("https://us2.cloudbeds.com/connect/10074733072513#/reservations/31683104039045?display=Cameron%20Wyly&amp;reservation_id=31683104039045&amp;guest_id=31673185530039", "Cameron Wyly")</f>
        <v>Cameron Wyly</v>
      </c>
      <c r="E8687" t="s">
        <v>5570</v>
      </c>
      <c r="F8687" t="s">
        <v>7015</v>
      </c>
      <c r="G8687">
        <v>89</v>
      </c>
      <c r="H8687">
        <v>96.75</v>
      </c>
      <c r="I8687">
        <v>96.74</v>
      </c>
      <c r="J8687">
        <v>0.01</v>
      </c>
    </row>
    <row r="8688" spans="1:10" x14ac:dyDescent="0.3">
      <c r="A8688" t="str">
        <f>HYPERLINK("https://us2.cloudbeds.com/connect/10074733072513#/reservations/31681743081698?display=MHCXVVHTG&amp;reservation_id=31681743081698", "MHCXVVHTG")</f>
        <v>MHCXVVHTG</v>
      </c>
      <c r="B8688" t="s">
        <v>10</v>
      </c>
      <c r="C8688" t="s">
        <v>42</v>
      </c>
      <c r="D8688" t="str">
        <f>HYPERLINK("https://us2.cloudbeds.com/connect/10074733072513#/reservations/31681743081698?display=Michael%20Daniels&amp;reservation_id=31681743081698&amp;guest_id=30671090090186", "Michael Daniels")</f>
        <v>Michael Daniels</v>
      </c>
      <c r="E8688" t="s">
        <v>3262</v>
      </c>
      <c r="F8688" t="s">
        <v>7064</v>
      </c>
      <c r="G8688">
        <v>73</v>
      </c>
      <c r="H8688">
        <v>79.36</v>
      </c>
      <c r="I8688">
        <v>79.349999999999994</v>
      </c>
      <c r="J8688">
        <v>0.01</v>
      </c>
    </row>
    <row r="8689" spans="1:10" x14ac:dyDescent="0.3">
      <c r="A8689" t="str">
        <f>HYPERLINK("https://us2.cloudbeds.com/connect/10074733072513#/reservations/31687471440113?display=MHH0B8XF4&amp;reservation_id=31687471440113", "MHH0B8XF4")</f>
        <v>MHH0B8XF4</v>
      </c>
      <c r="B8689" t="s">
        <v>10</v>
      </c>
      <c r="C8689" t="s">
        <v>14</v>
      </c>
      <c r="D8689" t="str">
        <f>HYPERLINK("https://us2.cloudbeds.com/connect/10074733072513#/reservations/31687471440113?display=Jennifer%20Gunderson&amp;reservation_id=31687471440113&amp;guest_id=31687461879962", "Jennifer Gunderson")</f>
        <v>Jennifer Gunderson</v>
      </c>
      <c r="E8689" t="s">
        <v>7065</v>
      </c>
      <c r="F8689" t="s">
        <v>5875</v>
      </c>
      <c r="G8689">
        <v>322.2</v>
      </c>
      <c r="H8689">
        <v>350.24</v>
      </c>
      <c r="I8689">
        <v>350.23</v>
      </c>
      <c r="J8689">
        <v>0.01</v>
      </c>
    </row>
    <row r="8690" spans="1:10" x14ac:dyDescent="0.3">
      <c r="A8690" t="str">
        <f>HYPERLINK("https://us2.cloudbeds.com/connect/10074733072513#/reservations/31681620344964?display=MHCFRF6WH&amp;reservation_id=31681620344964", "MHCFRF6WH")</f>
        <v>MHCFRF6WH</v>
      </c>
      <c r="B8690" t="s">
        <v>10</v>
      </c>
      <c r="C8690" t="s">
        <v>42</v>
      </c>
      <c r="D8690" t="str">
        <f>HYPERLINK("https://us2.cloudbeds.com/connect/10074733072513#/reservations/31681620344964?display=Great%20Plains%20Structure%20Great%20Plains%20Structure&amp;reservation_id=31681620344964&amp;guest_id=31681620340869", "Great Plains Structure Great Plains Structure")</f>
        <v>Great Plains Structure Great Plains Structure</v>
      </c>
      <c r="E8690" t="s">
        <v>5244</v>
      </c>
      <c r="F8690" t="s">
        <v>7015</v>
      </c>
      <c r="G8690">
        <v>158</v>
      </c>
      <c r="H8690">
        <v>171.76</v>
      </c>
      <c r="I8690">
        <v>171.75</v>
      </c>
      <c r="J8690">
        <v>0.01</v>
      </c>
    </row>
    <row r="8691" spans="1:10" x14ac:dyDescent="0.3">
      <c r="A8691" t="str">
        <f>HYPERLINK("https://us2.cloudbeds.com/connect/10074733072513#/reservations/31683142131857?display=MHDYNM5PS&amp;reservation_id=31683142131857", "MHDYNM5PS")</f>
        <v>MHDYNM5PS</v>
      </c>
      <c r="B8691" t="s">
        <v>10</v>
      </c>
      <c r="C8691" t="s">
        <v>14</v>
      </c>
      <c r="D8691" t="str">
        <f>HYPERLINK("https://us2.cloudbeds.com/connect/10074733072513#/reservations/31683142131857?display=Christine%20Jensen&amp;reservation_id=31683142131857&amp;guest_id=31683142127765", "Christine Jensen")</f>
        <v>Christine Jensen</v>
      </c>
      <c r="E8691" t="s">
        <v>7066</v>
      </c>
      <c r="F8691" t="s">
        <v>7015</v>
      </c>
      <c r="G8691">
        <v>102.58</v>
      </c>
      <c r="H8691">
        <v>111.51</v>
      </c>
      <c r="I8691">
        <v>111.5</v>
      </c>
      <c r="J8691">
        <v>0.01</v>
      </c>
    </row>
    <row r="8692" spans="1:10" x14ac:dyDescent="0.3">
      <c r="A8692" t="str">
        <f>HYPERLINK("https://us2.cloudbeds.com/connect/10074733072513#/reservations/31689426165933?display=MHXH9HMYT&amp;reservation_id=31689426165933", "MHXH9HMYT")</f>
        <v>MHXH9HMYT</v>
      </c>
      <c r="B8692" t="s">
        <v>10</v>
      </c>
      <c r="C8692" t="s">
        <v>23</v>
      </c>
      <c r="D8692" t="str">
        <f>HYPERLINK("https://us2.cloudbeds.com/connect/10074733072513#/reservations/31689426165933?display=Crista%20Few&amp;reservation_id=31689426165933&amp;guest_id=31687035773137", "Crista Few")</f>
        <v>Crista Few</v>
      </c>
      <c r="E8692" t="s">
        <v>7061</v>
      </c>
      <c r="F8692" t="s">
        <v>5576</v>
      </c>
      <c r="G8692">
        <v>169</v>
      </c>
      <c r="H8692">
        <v>183.71</v>
      </c>
      <c r="I8692">
        <v>183.7</v>
      </c>
      <c r="J8692">
        <v>0.01</v>
      </c>
    </row>
    <row r="8693" spans="1:10" x14ac:dyDescent="0.3">
      <c r="A8693" t="str">
        <f>HYPERLINK("https://us2.cloudbeds.com/connect/10074733072513#/reservations/31685912789125?display=MHFQGVQB0&amp;reservation_id=31685912789125", "MHFQGVQB0")</f>
        <v>MHFQGVQB0</v>
      </c>
      <c r="B8693" t="s">
        <v>10</v>
      </c>
      <c r="C8693" t="s">
        <v>20</v>
      </c>
      <c r="D8693" t="str">
        <f>HYPERLINK("https://us2.cloudbeds.com/connect/10074733072513#/reservations/31685912789125?display=Chris%20Meyer&amp;reservation_id=31685912789125&amp;guest_id=31685912789120", "Chris Meyer")</f>
        <v>Chris Meyer</v>
      </c>
      <c r="E8693" t="s">
        <v>7067</v>
      </c>
      <c r="F8693" t="s">
        <v>5875</v>
      </c>
      <c r="G8693">
        <v>358</v>
      </c>
      <c r="H8693">
        <v>389.16</v>
      </c>
      <c r="I8693">
        <v>389.15</v>
      </c>
      <c r="J8693">
        <v>0.01</v>
      </c>
    </row>
    <row r="8694" spans="1:10" x14ac:dyDescent="0.3">
      <c r="A8694" t="str">
        <f>HYPERLINK("https://us2.cloudbeds.com/connect/10074733072513#/reservations/31689073115337?display=MHX88RHJW&amp;reservation_id=31689073115337", "MHX88RHJW")</f>
        <v>MHX88RHJW</v>
      </c>
      <c r="B8694" t="s">
        <v>10</v>
      </c>
      <c r="C8694" t="s">
        <v>42</v>
      </c>
      <c r="D8694" t="str">
        <f>HYPERLINK("https://us2.cloudbeds.com/connect/10074733072513#/reservations/31689073115337?display=Matthew%20Marczak&amp;reservation_id=31689073115337&amp;guest_id=31689063710942", "Matthew Marczak")</f>
        <v>Matthew Marczak</v>
      </c>
      <c r="E8694" t="s">
        <v>7070</v>
      </c>
      <c r="F8694" t="s">
        <v>3785</v>
      </c>
      <c r="G8694">
        <v>139</v>
      </c>
      <c r="H8694">
        <v>151.1</v>
      </c>
      <c r="I8694">
        <v>151.09</v>
      </c>
      <c r="J8694">
        <v>0.01</v>
      </c>
    </row>
    <row r="8695" spans="1:10" x14ac:dyDescent="0.3">
      <c r="A8695" t="str">
        <f>HYPERLINK("https://us2.cloudbeds.com/connect/10074733072513#/reservations/31688520413380?display=MHHR4PPVR&amp;reservation_id=31688520413380", "MHHR4PPVR")</f>
        <v>MHHR4PPVR</v>
      </c>
      <c r="B8695" t="s">
        <v>10</v>
      </c>
      <c r="C8695" t="s">
        <v>121</v>
      </c>
      <c r="D8695" t="str">
        <f>HYPERLINK("https://us2.cloudbeds.com/connect/10074733072513#/reservations/31688520413380?display=Jason%20Renneke&amp;reservation_id=31688520413380&amp;guest_id=31688514162861", "Jason Renneke")</f>
        <v>Jason Renneke</v>
      </c>
      <c r="E8695" t="s">
        <v>7071</v>
      </c>
      <c r="F8695" t="s">
        <v>5875</v>
      </c>
      <c r="G8695">
        <v>378</v>
      </c>
      <c r="H8695">
        <v>410.9</v>
      </c>
      <c r="I8695">
        <v>410.89</v>
      </c>
      <c r="J8695">
        <v>0.01</v>
      </c>
    </row>
    <row r="8696" spans="1:10" x14ac:dyDescent="0.3">
      <c r="A8696" t="str">
        <f>HYPERLINK("https://us2.cloudbeds.com/connect/10074733072513#/reservations/31683113152733?display=MHDKW7Q0J&amp;reservation_id=31683113152733", "MHDKW7Q0J")</f>
        <v>MHDKW7Q0J</v>
      </c>
      <c r="B8696" t="s">
        <v>10</v>
      </c>
      <c r="C8696" t="s">
        <v>121</v>
      </c>
      <c r="D8696" t="str">
        <f>HYPERLINK("https://us2.cloudbeds.com/connect/10074733072513#/reservations/31683113152733?display=Judson%20Maggert&amp;reservation_id=31683113152733&amp;guest_id=31683113152731", "Judson Maggert")</f>
        <v>Judson Maggert</v>
      </c>
      <c r="E8696" t="s">
        <v>7072</v>
      </c>
      <c r="F8696" t="s">
        <v>7015</v>
      </c>
      <c r="G8696">
        <v>129</v>
      </c>
      <c r="H8696">
        <v>140.22999999999999</v>
      </c>
      <c r="I8696">
        <v>140.22</v>
      </c>
      <c r="J8696">
        <v>0.01</v>
      </c>
    </row>
    <row r="8697" spans="1:10" x14ac:dyDescent="0.3">
      <c r="A8697" t="str">
        <f>HYPERLINK("https://us2.cloudbeds.com/connect/10074733072513#/reservations/31682705359041?display=MHDAXCAQW&amp;reservation_id=31682705359041", "MHDAXCAQW")</f>
        <v>MHDAXCAQW</v>
      </c>
      <c r="B8697" t="s">
        <v>10</v>
      </c>
      <c r="C8697" t="s">
        <v>42</v>
      </c>
      <c r="D8697" t="str">
        <f>HYPERLINK("https://us2.cloudbeds.com/connect/10074733072513#/reservations/31682705359041?display=Jake%20Sydnes&amp;reservation_id=31682705359041&amp;guest_id=31682698326184", "Jake Sydnes")</f>
        <v>Jake Sydnes</v>
      </c>
      <c r="E8697" t="s">
        <v>7073</v>
      </c>
      <c r="F8697" t="s">
        <v>4868</v>
      </c>
      <c r="G8697">
        <v>139</v>
      </c>
      <c r="H8697">
        <v>151.1</v>
      </c>
      <c r="I8697">
        <v>151.09</v>
      </c>
      <c r="J8697">
        <v>0.01</v>
      </c>
    </row>
    <row r="8698" spans="1:10" x14ac:dyDescent="0.3">
      <c r="A8698" t="str">
        <f>HYPERLINK("https://us2.cloudbeds.com/connect/10074733072513#/reservations/31683704168648?display=MHE32JMBP&amp;reservation_id=31683704168648", "MHE32JMBP")</f>
        <v>MHE32JMBP</v>
      </c>
      <c r="B8698" t="s">
        <v>10</v>
      </c>
      <c r="C8698" t="s">
        <v>20</v>
      </c>
      <c r="D8698" t="str">
        <f>HYPERLINK("https://us2.cloudbeds.com/connect/10074733072513#/reservations/31683704168648?display=Wendy%20Scott&amp;reservation_id=31683704168648&amp;guest_id=31683704168644", "Wendy Scott")</f>
        <v>Wendy Scott</v>
      </c>
      <c r="E8698" t="s">
        <v>7074</v>
      </c>
      <c r="F8698" t="s">
        <v>7075</v>
      </c>
      <c r="G8698">
        <v>129</v>
      </c>
      <c r="H8698">
        <v>140.22999999999999</v>
      </c>
      <c r="I8698">
        <v>140.22</v>
      </c>
      <c r="J8698">
        <v>0.01</v>
      </c>
    </row>
    <row r="8699" spans="1:10" x14ac:dyDescent="0.3">
      <c r="A8699" t="str">
        <f>HYPERLINK("https://us2.cloudbeds.com/connect/10074733072513#/reservations/31688526602400?display=MHHRA005T&amp;reservation_id=31688526602400", "MHHRA005T")</f>
        <v>MHHRA005T</v>
      </c>
      <c r="B8699" t="s">
        <v>10</v>
      </c>
      <c r="C8699" t="s">
        <v>20</v>
      </c>
      <c r="D8699" t="str">
        <f>HYPERLINK("https://us2.cloudbeds.com/connect/10074733072513#/reservations/31688526602400?display=Scott%20Van%20Schoick&amp;reservation_id=31688526602400&amp;guest_id=31688526602383", "Scott Van Schoick")</f>
        <v>Scott Van Schoick</v>
      </c>
      <c r="E8699" t="s">
        <v>7076</v>
      </c>
      <c r="F8699" t="s">
        <v>5875</v>
      </c>
      <c r="G8699">
        <v>189</v>
      </c>
      <c r="H8699">
        <v>205.45</v>
      </c>
      <c r="I8699">
        <v>205.44</v>
      </c>
      <c r="J8699">
        <v>0.01</v>
      </c>
    </row>
    <row r="8700" spans="1:10" x14ac:dyDescent="0.3">
      <c r="A8700" t="str">
        <f>HYPERLINK("https://us2.cloudbeds.com/connect/10074733072513#/reservations/31687014047946?display=MHGYYXV9E&amp;reservation_id=31687014047946", "MHGYYXV9E")</f>
        <v>MHGYYXV9E</v>
      </c>
      <c r="B8700" t="s">
        <v>10</v>
      </c>
      <c r="C8700" t="s">
        <v>42</v>
      </c>
      <c r="D8700" t="str">
        <f>HYPERLINK("https://us2.cloudbeds.com/connect/10074733072513#/reservations/31687014047946?display=Dixie%20Opdahl&amp;reservation_id=31687014047946&amp;guest_id=31687014047943", "Dixie Opdahl")</f>
        <v>Dixie Opdahl</v>
      </c>
      <c r="E8700" t="s">
        <v>7077</v>
      </c>
      <c r="F8700" t="s">
        <v>7006</v>
      </c>
      <c r="G8700">
        <v>278</v>
      </c>
      <c r="H8700">
        <v>302.2</v>
      </c>
      <c r="I8700">
        <v>302.19</v>
      </c>
      <c r="J8700">
        <v>0.01</v>
      </c>
    </row>
    <row r="8701" spans="1:10" x14ac:dyDescent="0.3">
      <c r="A8701" t="str">
        <f>HYPERLINK("https://us2.cloudbeds.com/connect/10074733072513#/reservations/31688449573001?display=MHHPB1X3M&amp;reservation_id=31688449573001", "MHHPB1X3M")</f>
        <v>MHHPB1X3M</v>
      </c>
      <c r="B8701" t="s">
        <v>10</v>
      </c>
      <c r="C8701" t="s">
        <v>20</v>
      </c>
      <c r="D8701" t="str">
        <f>HYPERLINK("https://us2.cloudbeds.com/connect/10074733072513#/reservations/31688449573001?display=Julie%20Lyster&amp;reservation_id=31688449573001&amp;guest_id=31688449568903", "Julie Lyster")</f>
        <v>Julie Lyster</v>
      </c>
      <c r="E8701" t="s">
        <v>7080</v>
      </c>
      <c r="F8701" t="s">
        <v>5875</v>
      </c>
      <c r="G8701">
        <v>322.2</v>
      </c>
      <c r="H8701">
        <v>350.24</v>
      </c>
      <c r="I8701">
        <v>350.23</v>
      </c>
      <c r="J8701">
        <v>0.01</v>
      </c>
    </row>
    <row r="8702" spans="1:10" x14ac:dyDescent="0.3">
      <c r="A8702" t="str">
        <f>HYPERLINK("https://us2.cloudbeds.com/connect/10074733072513#/reservations/31687550759046?display=MHH2C4NV5&amp;reservation_id=31687550759046", "MHH2C4NV5")</f>
        <v>MHH2C4NV5</v>
      </c>
      <c r="B8702" t="s">
        <v>10</v>
      </c>
      <c r="C8702" t="s">
        <v>20</v>
      </c>
      <c r="D8702" t="str">
        <f>HYPERLINK("https://us2.cloudbeds.com/connect/10074733072513#/reservations/31687550759046?display=Kristi%20Schildt&amp;reservation_id=31687550759046&amp;guest_id=31687550759044", "Kristi Schildt")</f>
        <v>Kristi Schildt</v>
      </c>
      <c r="E8702" t="s">
        <v>7081</v>
      </c>
      <c r="F8702" t="s">
        <v>5875</v>
      </c>
      <c r="G8702">
        <v>179</v>
      </c>
      <c r="H8702">
        <v>194.58</v>
      </c>
      <c r="I8702">
        <v>194.57</v>
      </c>
      <c r="J8702">
        <v>0.01</v>
      </c>
    </row>
    <row r="8703" spans="1:10" x14ac:dyDescent="0.3">
      <c r="A8703" t="str">
        <f>HYPERLINK("https://us2.cloudbeds.com/connect/10074733072513#/reservations/31688491880606?display=MHHQDNR2A&amp;reservation_id=31688491880606", "MHHQDNR2A")</f>
        <v>MHHQDNR2A</v>
      </c>
      <c r="B8703" t="s">
        <v>10</v>
      </c>
      <c r="C8703" t="s">
        <v>42</v>
      </c>
      <c r="D8703" t="str">
        <f>HYPERLINK("https://us2.cloudbeds.com/connect/10074733072513#/reservations/31688491880606?display=Justin%20John%20Yutrzenka&amp;reservation_id=31688491880606&amp;guest_id=31688491880602", "Justin John Yutrzenka")</f>
        <v>Justin John Yutrzenka</v>
      </c>
      <c r="E8703" t="s">
        <v>7083</v>
      </c>
      <c r="F8703" t="s">
        <v>5875</v>
      </c>
      <c r="G8703">
        <v>79</v>
      </c>
      <c r="H8703">
        <v>85.88</v>
      </c>
      <c r="I8703">
        <v>85.87</v>
      </c>
      <c r="J8703">
        <v>0.01</v>
      </c>
    </row>
    <row r="8704" spans="1:10" x14ac:dyDescent="0.3">
      <c r="A8704" t="str">
        <f>HYPERLINK("https://us2.cloudbeds.com/connect/10074733072513#/reservations/31685491445923?display=MHFFZM9W6&amp;reservation_id=31685491445923", "MHFFZM9W6")</f>
        <v>MHFFZM9W6</v>
      </c>
      <c r="B8704" t="s">
        <v>10</v>
      </c>
      <c r="C8704" t="s">
        <v>23</v>
      </c>
      <c r="D8704" t="str">
        <f>HYPERLINK("https://us2.cloudbeds.com/connect/10074733072513#/reservations/31685491445923?display=Lindsey%20Parkinson&amp;reservation_id=31685491445923&amp;guest_id=31685491445890", "Lindsey Parkinson")</f>
        <v>Lindsey Parkinson</v>
      </c>
      <c r="E8704" t="s">
        <v>7084</v>
      </c>
      <c r="F8704" t="s">
        <v>7049</v>
      </c>
      <c r="G8704">
        <v>169</v>
      </c>
      <c r="H8704">
        <v>183.71</v>
      </c>
      <c r="I8704">
        <v>183.7</v>
      </c>
      <c r="J8704">
        <v>0.01</v>
      </c>
    </row>
    <row r="8705" spans="1:10" x14ac:dyDescent="0.3">
      <c r="A8705" t="str">
        <f>HYPERLINK("https://us2.cloudbeds.com/connect/10074733072513#/reservations/31685482877172?display=MHFFHESH2&amp;reservation_id=31685482877172", "MHFFHESH2")</f>
        <v>MHFFHESH2</v>
      </c>
      <c r="B8705" t="s">
        <v>10</v>
      </c>
      <c r="C8705" t="s">
        <v>42</v>
      </c>
      <c r="D8705" t="str">
        <f>HYPERLINK("https://us2.cloudbeds.com/connect/10074733072513#/reservations/31685482877172?display=Sherri%20Schneck&amp;reservation_id=31685482877172&amp;guest_id=31685482877170", "Sherri Schneck")</f>
        <v>Sherri Schneck</v>
      </c>
      <c r="E8705" t="s">
        <v>7085</v>
      </c>
      <c r="F8705" t="s">
        <v>7049</v>
      </c>
      <c r="G8705">
        <v>169</v>
      </c>
      <c r="H8705">
        <v>183.71</v>
      </c>
      <c r="I8705">
        <v>183.7</v>
      </c>
      <c r="J8705">
        <v>0.01</v>
      </c>
    </row>
    <row r="8706" spans="1:10" x14ac:dyDescent="0.3">
      <c r="A8706" t="str">
        <f>HYPERLINK("https://us2.cloudbeds.com/connect/10074733072513#/reservations/31688503140567?display=MHHQN74Q8&amp;reservation_id=31688503140567", "MHHQN74Q8")</f>
        <v>MHHQN74Q8</v>
      </c>
      <c r="B8706" t="s">
        <v>10</v>
      </c>
      <c r="C8706" t="s">
        <v>42</v>
      </c>
      <c r="D8706" t="str">
        <f>HYPERLINK("https://us2.cloudbeds.com/connect/10074733072513#/reservations/31688503140567?display=Jaime%20Sellers&amp;reservation_id=31688503140567&amp;guest_id=31688503140564", "Jaime Sellers")</f>
        <v>Jaime Sellers</v>
      </c>
      <c r="E8706" t="s">
        <v>7086</v>
      </c>
      <c r="F8706" t="s">
        <v>5875</v>
      </c>
      <c r="G8706">
        <v>79</v>
      </c>
      <c r="H8706">
        <v>85.88</v>
      </c>
      <c r="I8706">
        <v>85.87</v>
      </c>
      <c r="J8706">
        <v>0.01</v>
      </c>
    </row>
    <row r="8707" spans="1:10" x14ac:dyDescent="0.3">
      <c r="A8707" t="str">
        <f>HYPERLINK("https://us2.cloudbeds.com/connect/10074733072513#/reservations/31683224240266?display=MHDNQTVPF&amp;reservation_id=31683224240266", "MHDNQTVPF")</f>
        <v>MHDNQTVPF</v>
      </c>
      <c r="B8707" t="s">
        <v>10</v>
      </c>
      <c r="C8707" t="s">
        <v>42</v>
      </c>
      <c r="D8707" t="str">
        <f>HYPERLINK("https://us2.cloudbeds.com/connect/10074733072513#/reservations/31683224240266?display=Nate%20Stellrecht&amp;reservation_id=31683224240266&amp;guest_id=31683224240261", "Nate Stellrecht")</f>
        <v>Nate Stellrecht</v>
      </c>
      <c r="E8707" t="s">
        <v>7087</v>
      </c>
      <c r="F8707" t="s">
        <v>5548</v>
      </c>
      <c r="G8707">
        <v>225</v>
      </c>
      <c r="H8707">
        <v>244.59</v>
      </c>
      <c r="I8707">
        <v>244.58</v>
      </c>
      <c r="J8707">
        <v>0.01</v>
      </c>
    </row>
    <row r="8708" spans="1:10" x14ac:dyDescent="0.3">
      <c r="A8708" t="str">
        <f>HYPERLINK("https://us2.cloudbeds.com/connect/10074733072513#/reservations/31683859366111?display=MHE71F936&amp;reservation_id=31683859366111", "MHE71F936")</f>
        <v>MHE71F936</v>
      </c>
      <c r="B8708" t="s">
        <v>10</v>
      </c>
      <c r="C8708" t="s">
        <v>23</v>
      </c>
      <c r="D8708" t="str">
        <f>HYPERLINK("https://us2.cloudbeds.com/connect/10074733072513#/reservations/31683859366111?display=Steve%20Armitage&amp;reservation_id=31683859366111&amp;guest_id=31683859362020", "Steve Armitage")</f>
        <v>Steve Armitage</v>
      </c>
      <c r="E8708" t="s">
        <v>7093</v>
      </c>
      <c r="F8708" t="s">
        <v>6638</v>
      </c>
      <c r="G8708">
        <v>269</v>
      </c>
      <c r="H8708">
        <v>292.41000000000003</v>
      </c>
      <c r="I8708">
        <v>292.39999999999998</v>
      </c>
      <c r="J8708">
        <v>0.01</v>
      </c>
    </row>
    <row r="8709" spans="1:10" x14ac:dyDescent="0.3">
      <c r="A8709" t="str">
        <f>HYPERLINK("https://us2.cloudbeds.com/connect/10074733072513#/reservations/31684409974995?display=MHEY3ZPNT&amp;reservation_id=31684409974995", "MHEY3ZPNT")</f>
        <v>MHEY3ZPNT</v>
      </c>
      <c r="B8709" t="s">
        <v>10</v>
      </c>
      <c r="C8709" t="s">
        <v>42</v>
      </c>
      <c r="D8709" t="str">
        <f>HYPERLINK("https://us2.cloudbeds.com/connect/10074733072513#/reservations/31684409974995?display=Cynthia%20Sherman&amp;reservation_id=31684409974995&amp;guest_id=31684409974983", "Cynthia Sherman")</f>
        <v>Cynthia Sherman</v>
      </c>
      <c r="E8709" t="s">
        <v>7095</v>
      </c>
      <c r="F8709" t="s">
        <v>5247</v>
      </c>
      <c r="G8709">
        <v>139</v>
      </c>
      <c r="H8709">
        <v>151.1</v>
      </c>
      <c r="I8709">
        <v>151.09</v>
      </c>
      <c r="J8709">
        <v>0.01</v>
      </c>
    </row>
    <row r="8710" spans="1:10" x14ac:dyDescent="0.3">
      <c r="A8710" t="str">
        <f>HYPERLINK("https://us2.cloudbeds.com/connect/10074733072513#/reservations/31684395917473?display=MHEKZTK2C&amp;reservation_id=31684395917473", "MHEKZTK2C")</f>
        <v>MHEKZTK2C</v>
      </c>
      <c r="B8710" t="s">
        <v>10</v>
      </c>
      <c r="C8710" t="s">
        <v>42</v>
      </c>
      <c r="D8710" t="str">
        <f>HYPERLINK("https://us2.cloudbeds.com/connect/10074733072513#/reservations/31684395917473?display=Cynthia%20Sherman&amp;reservation_id=31684395917473&amp;guest_id=31684395917463", "Cynthia Sherman")</f>
        <v>Cynthia Sherman</v>
      </c>
      <c r="E8710" t="s">
        <v>7096</v>
      </c>
      <c r="F8710" t="s">
        <v>5247</v>
      </c>
      <c r="G8710">
        <v>139</v>
      </c>
      <c r="H8710">
        <v>151.1</v>
      </c>
      <c r="I8710">
        <v>151.09</v>
      </c>
      <c r="J8710">
        <v>0.01</v>
      </c>
    </row>
    <row r="8711" spans="1:10" x14ac:dyDescent="0.3">
      <c r="A8711" t="str">
        <f>HYPERLINK("https://us2.cloudbeds.com/connect/10074733072513#/reservations/31681808851102?display=MHCKYDM6Z&amp;reservation_id=31681808851102", "MHCKYDM6Z")</f>
        <v>MHCKYDM6Z</v>
      </c>
      <c r="B8711" t="s">
        <v>10</v>
      </c>
      <c r="C8711" t="s">
        <v>42</v>
      </c>
      <c r="D8711" t="str">
        <f>HYPERLINK("https://us2.cloudbeds.com/connect/10074733072513#/reservations/31681808851102?display=Dazion%20Hurst&amp;reservation_id=31681808851102&amp;guest_id=31681808851087", "Dazion Hurst")</f>
        <v>Dazion Hurst</v>
      </c>
      <c r="E8711" t="s">
        <v>7097</v>
      </c>
      <c r="F8711" t="s">
        <v>7098</v>
      </c>
      <c r="G8711">
        <v>73</v>
      </c>
      <c r="H8711">
        <v>79.36</v>
      </c>
      <c r="I8711">
        <v>79.349999999999994</v>
      </c>
      <c r="J8711">
        <v>0.01</v>
      </c>
    </row>
    <row r="8712" spans="1:10" x14ac:dyDescent="0.3">
      <c r="A8712" t="str">
        <f>HYPERLINK("https://us2.cloudbeds.com/connect/10074733072513#/reservations/31681775775995?display=MHCJQHA6P&amp;reservation_id=31681775775995", "MHCJQHA6P")</f>
        <v>MHCJQHA6P</v>
      </c>
      <c r="B8712" t="s">
        <v>10</v>
      </c>
      <c r="C8712" t="s">
        <v>121</v>
      </c>
      <c r="D8712" t="str">
        <f>HYPERLINK("https://us2.cloudbeds.com/connect/10074733072513#/reservations/31681775775995?display=Daniel%20Kahlstorf&amp;reservation_id=31681775775995&amp;guest_id=31675447382154", "Daniel Kahlstorf")</f>
        <v>Daniel Kahlstorf</v>
      </c>
      <c r="E8712" t="s">
        <v>5683</v>
      </c>
      <c r="F8712" t="s">
        <v>7098</v>
      </c>
      <c r="G8712">
        <v>73</v>
      </c>
      <c r="H8712">
        <v>79.36</v>
      </c>
      <c r="I8712">
        <v>79.349999999999994</v>
      </c>
      <c r="J8712">
        <v>0.01</v>
      </c>
    </row>
    <row r="8713" spans="1:10" x14ac:dyDescent="0.3">
      <c r="A8713" t="str">
        <f>HYPERLINK("https://us2.cloudbeds.com/connect/10074733072513#/reservations/31683223109796?display=MHDNPVGMQ&amp;reservation_id=31683223109796", "MHDNPVGMQ")</f>
        <v>MHDNPVGMQ</v>
      </c>
      <c r="B8713" t="s">
        <v>10</v>
      </c>
      <c r="C8713" t="s">
        <v>42</v>
      </c>
      <c r="D8713" t="str">
        <f>HYPERLINK("https://us2.cloudbeds.com/connect/10074733072513#/reservations/31683223109796?display=Jim%20Braun&amp;reservation_id=31683223109796&amp;guest_id=31683216683214", "Jim Braun")</f>
        <v>Jim Braun</v>
      </c>
      <c r="E8713" t="s">
        <v>7100</v>
      </c>
      <c r="F8713" t="s">
        <v>6531</v>
      </c>
      <c r="G8713">
        <v>250</v>
      </c>
      <c r="H8713">
        <v>271.76</v>
      </c>
      <c r="I8713">
        <v>271.75</v>
      </c>
      <c r="J8713">
        <v>0.01</v>
      </c>
    </row>
    <row r="8714" spans="1:10" x14ac:dyDescent="0.3">
      <c r="A8714" t="str">
        <f>HYPERLINK("https://us2.cloudbeds.com/connect/10074733072513#/reservations/31688277729424?display=MHHKV4ZMX&amp;reservation_id=31688277729424", "MHHKV4ZMX")</f>
        <v>MHHKV4ZMX</v>
      </c>
      <c r="B8714" t="s">
        <v>10</v>
      </c>
      <c r="C8714" t="s">
        <v>42</v>
      </c>
      <c r="D8714" t="str">
        <f>HYPERLINK("https://us2.cloudbeds.com/connect/10074733072513#/reservations/31688277729424?display=Holly%20Howe&amp;reservation_id=31688277729424&amp;guest_id=31688270340270", "Holly Howe")</f>
        <v>Holly Howe</v>
      </c>
      <c r="E8714" t="s">
        <v>7102</v>
      </c>
      <c r="F8714" t="s">
        <v>5247</v>
      </c>
      <c r="G8714">
        <v>139</v>
      </c>
      <c r="H8714">
        <v>151.1</v>
      </c>
      <c r="I8714">
        <v>151.09</v>
      </c>
      <c r="J8714">
        <v>0.01</v>
      </c>
    </row>
    <row r="8715" spans="1:10" x14ac:dyDescent="0.3">
      <c r="A8715" t="str">
        <f>HYPERLINK("https://us2.cloudbeds.com/connect/10074733072513#/reservations/31681688490128?display=MHCHXUETG&amp;reservation_id=31681688490128", "MHCHXUETG")</f>
        <v>MHCHXUETG</v>
      </c>
      <c r="B8715" t="s">
        <v>10</v>
      </c>
      <c r="C8715" t="s">
        <v>42</v>
      </c>
      <c r="D8715" t="str">
        <f>HYPERLINK("https://us2.cloudbeds.com/connect/10074733072513#/reservations/31681688490128?display=Doug%20Schwaller&amp;reservation_id=31681688490128&amp;guest_id=31681677459704", "Doug Schwaller")</f>
        <v>Doug Schwaller</v>
      </c>
      <c r="E8715" t="s">
        <v>7107</v>
      </c>
      <c r="F8715" t="s">
        <v>7064</v>
      </c>
      <c r="G8715">
        <v>139</v>
      </c>
      <c r="H8715">
        <v>151.1</v>
      </c>
      <c r="I8715">
        <v>151.09</v>
      </c>
      <c r="J8715">
        <v>0.01</v>
      </c>
    </row>
    <row r="8716" spans="1:10" x14ac:dyDescent="0.3">
      <c r="A8716" t="str">
        <f>HYPERLINK("https://us2.cloudbeds.com/connect/10074733072513#/reservations/31681772536061?display=MHCJNQ51V&amp;reservation_id=31681772536061", "MHCJNQ51V")</f>
        <v>MHCJNQ51V</v>
      </c>
      <c r="B8716" t="s">
        <v>10</v>
      </c>
      <c r="C8716" t="s">
        <v>42</v>
      </c>
      <c r="D8716" t="str">
        <f>HYPERLINK("https://us2.cloudbeds.com/connect/10074733072513#/reservations/31681772536061?display=Cobren%20Bird&amp;reservation_id=31681772536061&amp;guest_id=31681772536058", "Cobren Bird")</f>
        <v>Cobren Bird</v>
      </c>
      <c r="E8716" t="s">
        <v>7109</v>
      </c>
      <c r="F8716" t="s">
        <v>7098</v>
      </c>
      <c r="G8716">
        <v>73</v>
      </c>
      <c r="H8716">
        <v>79.36</v>
      </c>
      <c r="I8716">
        <v>79.349999999999994</v>
      </c>
      <c r="J8716">
        <v>0.01</v>
      </c>
    </row>
    <row r="8717" spans="1:10" x14ac:dyDescent="0.3">
      <c r="A8717" t="str">
        <f>HYPERLINK("https://us2.cloudbeds.com/connect/10074733072513#/reservations/31683231359195?display=MHDNWU1TJ&amp;reservation_id=31683231359195", "MHDNWU1TJ")</f>
        <v>MHDNWU1TJ</v>
      </c>
      <c r="B8717" t="s">
        <v>10</v>
      </c>
      <c r="C8717" t="s">
        <v>42</v>
      </c>
      <c r="D8717" t="str">
        <f>HYPERLINK("https://us2.cloudbeds.com/connect/10074733072513#/reservations/31683231359195?display=Carl%20Peterson&amp;reservation_id=31683231359195&amp;guest_id=31683231355111", "Carl Peterson")</f>
        <v>Carl Peterson</v>
      </c>
      <c r="E8717" t="s">
        <v>6943</v>
      </c>
      <c r="F8717" t="s">
        <v>5548</v>
      </c>
      <c r="G8717">
        <v>225</v>
      </c>
      <c r="H8717">
        <v>244.59</v>
      </c>
      <c r="I8717">
        <v>244.58</v>
      </c>
      <c r="J8717">
        <v>0.01</v>
      </c>
    </row>
    <row r="8718" spans="1:10" x14ac:dyDescent="0.3">
      <c r="A8718" t="str">
        <f>HYPERLINK("https://us2.cloudbeds.com/connect/10074733072513#/reservations/31686144962754?display=MHFWEZC8H&amp;reservation_id=31686144962754", "MHFWEZC8H")</f>
        <v>MHFWEZC8H</v>
      </c>
      <c r="B8718" t="s">
        <v>10</v>
      </c>
      <c r="C8718" t="s">
        <v>20</v>
      </c>
      <c r="D8718" t="str">
        <f>HYPERLINK("https://us2.cloudbeds.com/connect/10074733072513#/reservations/31686144962754?display=Jay%20Wisneski&amp;reservation_id=31686144962754&amp;guest_id=31686144958718", "Jay Wisneski")</f>
        <v>Jay Wisneski</v>
      </c>
      <c r="E8718" t="s">
        <v>7110</v>
      </c>
      <c r="F8718" t="s">
        <v>4291</v>
      </c>
      <c r="G8718">
        <v>278</v>
      </c>
      <c r="H8718">
        <v>302.2</v>
      </c>
      <c r="I8718">
        <v>302.19</v>
      </c>
      <c r="J8718">
        <v>0.01</v>
      </c>
    </row>
    <row r="8719" spans="1:10" x14ac:dyDescent="0.3">
      <c r="A8719" t="str">
        <f>HYPERLINK("https://us2.cloudbeds.com/connect/10074733072513#/reservations/31688252465400?display=MHHK9RZD2&amp;reservation_id=31688252465400", "MHHK9RZD2")</f>
        <v>MHHK9RZD2</v>
      </c>
      <c r="B8719" t="s">
        <v>10</v>
      </c>
      <c r="C8719" t="s">
        <v>42</v>
      </c>
      <c r="D8719" t="str">
        <f>HYPERLINK("https://us2.cloudbeds.com/connect/10074733072513#/reservations/31688252465400?display=Stacie%20Sherman&amp;reservation_id=31688252465400&amp;guest_id=31688252465348", "Stacie Sherman")</f>
        <v>Stacie Sherman</v>
      </c>
      <c r="E8719" t="s">
        <v>7111</v>
      </c>
      <c r="F8719" t="s">
        <v>5247</v>
      </c>
      <c r="G8719">
        <v>119</v>
      </c>
      <c r="H8719">
        <v>129.36000000000001</v>
      </c>
      <c r="I8719">
        <v>129.35</v>
      </c>
      <c r="J8719">
        <v>0.01</v>
      </c>
    </row>
    <row r="8720" spans="1:10" x14ac:dyDescent="0.3">
      <c r="A8720" t="str">
        <f>HYPERLINK("https://us2.cloudbeds.com/connect/10074733072513#/reservations/31681731170510?display=MHCXYU35D&amp;reservation_id=31681731170510", "MHCXYU35D")</f>
        <v>MHCXYU35D</v>
      </c>
      <c r="B8720" t="s">
        <v>10</v>
      </c>
      <c r="C8720" t="s">
        <v>121</v>
      </c>
      <c r="D8720" t="str">
        <f>HYPERLINK("https://us2.cloudbeds.com/connect/10074733072513#/reservations/31681731170510?display=Marc%20Alewelt&amp;reservation_id=31681731170510&amp;guest_id=31681731166428", "Marc Alewelt")</f>
        <v>Marc Alewelt</v>
      </c>
      <c r="E8720" t="s">
        <v>7113</v>
      </c>
      <c r="F8720" t="s">
        <v>7098</v>
      </c>
      <c r="G8720">
        <v>139</v>
      </c>
      <c r="H8720">
        <v>151.1</v>
      </c>
      <c r="I8720">
        <v>151.09</v>
      </c>
      <c r="J8720">
        <v>0.01</v>
      </c>
    </row>
    <row r="8721" spans="1:10" x14ac:dyDescent="0.3">
      <c r="A8721" t="str">
        <f>HYPERLINK("https://us2.cloudbeds.com/connect/10074733072513#/reservations/31681763262632?display=MHCJFW3GV&amp;reservation_id=31681763262632", "MHCJFW3GV")</f>
        <v>MHCJFW3GV</v>
      </c>
      <c r="B8721" t="s">
        <v>10</v>
      </c>
      <c r="C8721" t="s">
        <v>42</v>
      </c>
      <c r="D8721" t="str">
        <f>HYPERLINK("https://us2.cloudbeds.com/connect/10074733072513#/reservations/31681763262632?display=Rachel%20Colvin&amp;reservation_id=31681763262632&amp;guest_id=31681763262629", "Rachel Colvin")</f>
        <v>Rachel Colvin</v>
      </c>
      <c r="E8721" t="s">
        <v>7114</v>
      </c>
      <c r="F8721" t="s">
        <v>7098</v>
      </c>
      <c r="G8721">
        <v>159</v>
      </c>
      <c r="H8721">
        <v>172.84</v>
      </c>
      <c r="I8721">
        <v>172.83</v>
      </c>
      <c r="J8721">
        <v>0.01</v>
      </c>
    </row>
    <row r="8722" spans="1:10" x14ac:dyDescent="0.3">
      <c r="A8722" t="str">
        <f>HYPERLINK("https://us2.cloudbeds.com/connect/10074733072513#/reservations/31685179875574?display=MHF7PVD4F&amp;reservation_id=31685179875574", "MHF7PVD4F")</f>
        <v>MHF7PVD4F</v>
      </c>
      <c r="B8722" t="s">
        <v>10</v>
      </c>
      <c r="C8722" t="s">
        <v>20</v>
      </c>
      <c r="D8722" t="str">
        <f>HYPERLINK("https://us2.cloudbeds.com/connect/10074733072513#/reservations/31685179875574?display=Sandy%20Long&amp;reservation_id=31685179875574&amp;guest_id=31685179875569", "Sandy Long")</f>
        <v>Sandy Long</v>
      </c>
      <c r="E8722" t="s">
        <v>7115</v>
      </c>
      <c r="F8722" t="s">
        <v>4772</v>
      </c>
      <c r="G8722">
        <v>501.3</v>
      </c>
      <c r="H8722">
        <v>544.91999999999996</v>
      </c>
      <c r="I8722">
        <v>544.91</v>
      </c>
      <c r="J8722">
        <v>0.01</v>
      </c>
    </row>
    <row r="8723" spans="1:10" x14ac:dyDescent="0.3">
      <c r="A8723" t="str">
        <f>HYPERLINK("https://us2.cloudbeds.com/connect/10074733072513#/reservations/31681760714953?display=MHCJDR71X&amp;reservation_id=31681760714953", "MHCJDR71X")</f>
        <v>MHCJDR71X</v>
      </c>
      <c r="B8723" t="s">
        <v>10</v>
      </c>
      <c r="C8723" t="s">
        <v>121</v>
      </c>
      <c r="D8723" t="str">
        <f>HYPERLINK("https://us2.cloudbeds.com/connect/10074733072513#/reservations/31681760714953?display=Stacy%20Baas&amp;reservation_id=31681760714953&amp;guest_id=31681756233885", "Stacy Baas")</f>
        <v>Stacy Baas</v>
      </c>
      <c r="E8723" t="s">
        <v>7116</v>
      </c>
      <c r="F8723" t="s">
        <v>7098</v>
      </c>
      <c r="G8723">
        <v>139</v>
      </c>
      <c r="H8723">
        <v>151.1</v>
      </c>
      <c r="I8723">
        <v>151.09</v>
      </c>
      <c r="J8723">
        <v>0.01</v>
      </c>
    </row>
    <row r="8724" spans="1:10" x14ac:dyDescent="0.3">
      <c r="A8724" t="str">
        <f>HYPERLINK("https://us2.cloudbeds.com/connect/10074733072513#/reservations/31683207237828?display=MHDNCXRT2&amp;reservation_id=31683207237828", "MHDNCXRT2")</f>
        <v>MHDNCXRT2</v>
      </c>
      <c r="B8724" t="s">
        <v>10</v>
      </c>
      <c r="C8724" t="s">
        <v>14</v>
      </c>
      <c r="D8724" t="str">
        <f>HYPERLINK("https://us2.cloudbeds.com/connect/10074733072513#/reservations/31683207237828?display=Phillip%20Searles&amp;reservation_id=31683207237828&amp;guest_id=31683207237826", "Phillip Searles")</f>
        <v>Phillip Searles</v>
      </c>
      <c r="E8724" t="s">
        <v>7117</v>
      </c>
      <c r="F8724" t="s">
        <v>6531</v>
      </c>
      <c r="G8724">
        <v>97.74</v>
      </c>
      <c r="H8724">
        <v>106.25</v>
      </c>
      <c r="I8724">
        <v>106.24</v>
      </c>
      <c r="J8724">
        <v>0.01</v>
      </c>
    </row>
    <row r="8725" spans="1:10" x14ac:dyDescent="0.3">
      <c r="A8725" t="str">
        <f>HYPERLINK("https://us2.cloudbeds.com/connect/10074733072513#/reservations/31683256860880?display=MHDZYDMDU&amp;reservation_id=31683256860880", "MHDZYDMDU")</f>
        <v>MHDZYDMDU</v>
      </c>
      <c r="B8725" t="s">
        <v>10</v>
      </c>
      <c r="C8725" t="s">
        <v>42</v>
      </c>
      <c r="D8725" t="str">
        <f>HYPERLINK("https://us2.cloudbeds.com/connect/10074733072513#/reservations/31683256860880?display=Adrian%20Fishburn&amp;reservation_id=31683256860880&amp;guest_id=31678473662679", "Adrian Fishburn")</f>
        <v>Adrian Fishburn</v>
      </c>
      <c r="E8725" t="s">
        <v>5890</v>
      </c>
      <c r="F8725" t="s">
        <v>6531</v>
      </c>
      <c r="G8725">
        <v>139</v>
      </c>
      <c r="H8725">
        <v>151.1</v>
      </c>
      <c r="I8725">
        <v>151.09</v>
      </c>
      <c r="J8725">
        <v>0.01</v>
      </c>
    </row>
    <row r="8726" spans="1:10" x14ac:dyDescent="0.3">
      <c r="A8726" t="str">
        <f>HYPERLINK("https://us2.cloudbeds.com/connect/10074733072513#/reservations/31681880527084?display=MHCMFS5C6&amp;reservation_id=31681880527084", "MHCMFS5C6")</f>
        <v>MHCMFS5C6</v>
      </c>
      <c r="B8726" t="s">
        <v>10</v>
      </c>
      <c r="C8726" t="s">
        <v>42</v>
      </c>
      <c r="D8726" t="str">
        <f>HYPERLINK("https://us2.cloudbeds.com/connect/10074733072513#/reservations/31681880527084?display=Jonny%20Oglesby&amp;reservation_id=31681880527084&amp;guest_id=31681868157074", "Jonny Oglesby")</f>
        <v>Jonny Oglesby</v>
      </c>
      <c r="E8726" t="s">
        <v>7120</v>
      </c>
      <c r="F8726" t="s">
        <v>6531</v>
      </c>
      <c r="G8726">
        <v>278</v>
      </c>
      <c r="H8726">
        <v>302.2</v>
      </c>
      <c r="I8726">
        <v>302.19</v>
      </c>
      <c r="J8726">
        <v>0.01</v>
      </c>
    </row>
    <row r="8727" spans="1:10" x14ac:dyDescent="0.3">
      <c r="A8727" t="str">
        <f>HYPERLINK("https://us2.cloudbeds.com/connect/10074733072513#/reservations/31683872768208?display=MHE7CP6TB&amp;reservation_id=31683872768208", "MHE7CP6TB")</f>
        <v>MHE7CP6TB</v>
      </c>
      <c r="B8727" t="s">
        <v>10</v>
      </c>
      <c r="C8727" t="s">
        <v>20</v>
      </c>
      <c r="D8727" t="str">
        <f>HYPERLINK("https://us2.cloudbeds.com/connect/10074733072513#/reservations/31683872768208?display=Mary%20Groher&amp;reservation_id=31683872768208&amp;guest_id=31683872768206", "Mary Groher")</f>
        <v>Mary Groher</v>
      </c>
      <c r="E8727" t="s">
        <v>7121</v>
      </c>
      <c r="F8727" t="s">
        <v>6638</v>
      </c>
      <c r="G8727">
        <v>179</v>
      </c>
      <c r="H8727">
        <v>194.58</v>
      </c>
      <c r="I8727">
        <v>194.57</v>
      </c>
      <c r="J8727">
        <v>0.01</v>
      </c>
    </row>
    <row r="8728" spans="1:10" x14ac:dyDescent="0.3">
      <c r="A8728" t="str">
        <f>HYPERLINK("https://us2.cloudbeds.com/connect/10074733072513#/reservations/31683213123733?display=MHDNHHKZR&amp;reservation_id=31683213123733", "MHDNHHKZR")</f>
        <v>MHDNHHKZR</v>
      </c>
      <c r="B8728" t="s">
        <v>10</v>
      </c>
      <c r="C8728" t="s">
        <v>23</v>
      </c>
      <c r="D8728" t="str">
        <f>HYPERLINK("https://us2.cloudbeds.com/connect/10074733072513#/reservations/31683213123733?display=Russell%20Lalone&amp;reservation_id=31683213123733&amp;guest_id=31683207020723", "Russell Lalone")</f>
        <v>Russell Lalone</v>
      </c>
      <c r="E8728" t="s">
        <v>7124</v>
      </c>
      <c r="F8728" t="s">
        <v>5548</v>
      </c>
      <c r="G8728">
        <v>139</v>
      </c>
      <c r="H8728">
        <v>151.1</v>
      </c>
      <c r="I8728">
        <v>151.09</v>
      </c>
      <c r="J8728">
        <v>0.01</v>
      </c>
    </row>
    <row r="8729" spans="1:10" x14ac:dyDescent="0.3">
      <c r="A8729" t="str">
        <f>HYPERLINK("https://us2.cloudbeds.com/connect/10074733072513#/reservations/31686098829498?display=MHFV8RYA2&amp;reservation_id=31686098829498", "MHFV8RYA2")</f>
        <v>MHFV8RYA2</v>
      </c>
      <c r="B8729" t="s">
        <v>10</v>
      </c>
      <c r="C8729" t="s">
        <v>42</v>
      </c>
      <c r="D8729" t="str">
        <f>HYPERLINK("https://us2.cloudbeds.com/connect/10074733072513#/reservations/31686098829498?display=Michael%20Daniels&amp;reservation_id=31686098829498&amp;guest_id=31686098829445", "Michael Daniels")</f>
        <v>Michael Daniels</v>
      </c>
      <c r="E8729" t="s">
        <v>3262</v>
      </c>
      <c r="F8729" t="s">
        <v>5548</v>
      </c>
      <c r="G8729">
        <v>73</v>
      </c>
      <c r="H8729">
        <v>79.36</v>
      </c>
      <c r="I8729">
        <v>79.349999999999994</v>
      </c>
      <c r="J8729">
        <v>0.01</v>
      </c>
    </row>
    <row r="8730" spans="1:10" x14ac:dyDescent="0.3">
      <c r="A8730" t="str">
        <f>HYPERLINK("https://us2.cloudbeds.com/connect/10074733072513#/reservations/31681636077773?display=MHCG7Z00A&amp;reservation_id=31681636077773", "MHCG7Z00A")</f>
        <v>MHCG7Z00A</v>
      </c>
      <c r="B8730" t="s">
        <v>10</v>
      </c>
      <c r="C8730" t="s">
        <v>17</v>
      </c>
      <c r="D8730" t="str">
        <f>HYPERLINK("https://us2.cloudbeds.com/connect/10074733072513#/reservations/31681636077773?display=Rob%20Palleschi&amp;reservation_id=31681636077773&amp;guest_id=31681636077770", "Rob Palleschi")</f>
        <v>Rob Palleschi</v>
      </c>
      <c r="E8730" t="s">
        <v>7125</v>
      </c>
      <c r="F8730" t="s">
        <v>7126</v>
      </c>
      <c r="G8730">
        <v>129</v>
      </c>
      <c r="H8730">
        <v>140.22999999999999</v>
      </c>
      <c r="I8730">
        <v>140.22</v>
      </c>
      <c r="J8730">
        <v>0.01</v>
      </c>
    </row>
    <row r="8731" spans="1:10" x14ac:dyDescent="0.3">
      <c r="A8731" t="str">
        <f>HYPERLINK("https://us2.cloudbeds.com/connect/10074733072513#/reservations/31683273502873?display=MHDP2EPAZ&amp;reservation_id=31683273502873", "MHDP2EPAZ")</f>
        <v>MHDP2EPAZ</v>
      </c>
      <c r="B8731" t="s">
        <v>10</v>
      </c>
      <c r="C8731" t="s">
        <v>121</v>
      </c>
      <c r="D8731" t="str">
        <f>HYPERLINK("https://us2.cloudbeds.com/connect/10074733072513#/reservations/31683273502873?display=Daryle%20Petrzilka&amp;reservation_id=31683273502873&amp;guest_id=31683256864972", "Daryle Petrzilka")</f>
        <v>Daryle Petrzilka</v>
      </c>
      <c r="E8731" t="s">
        <v>7131</v>
      </c>
      <c r="F8731" t="s">
        <v>5548</v>
      </c>
      <c r="G8731">
        <v>79</v>
      </c>
      <c r="H8731">
        <v>85.88</v>
      </c>
      <c r="I8731">
        <v>85.87</v>
      </c>
      <c r="J8731">
        <v>0.01</v>
      </c>
    </row>
    <row r="8732" spans="1:10" x14ac:dyDescent="0.3">
      <c r="A8732" t="str">
        <f>HYPERLINK("https://us2.cloudbeds.com/connect/10074733072513#/reservations/31686655373523?display=MHGCG4A0H&amp;reservation_id=31686655373523", "MHGCG4A0H")</f>
        <v>MHGCG4A0H</v>
      </c>
      <c r="B8732" t="s">
        <v>10</v>
      </c>
      <c r="C8732" t="s">
        <v>11</v>
      </c>
      <c r="D8732" t="str">
        <f>HYPERLINK("https://us2.cloudbeds.com/connect/10074733072513#/reservations/31686655373523?display=Mason%20Clayton&amp;reservation_id=31686655373523&amp;guest_id=31686655373508", "Mason Clayton")</f>
        <v>Mason Clayton</v>
      </c>
      <c r="E8732" t="s">
        <v>7132</v>
      </c>
      <c r="F8732" t="s">
        <v>4291</v>
      </c>
      <c r="G8732">
        <v>175.8</v>
      </c>
      <c r="H8732">
        <v>191.1</v>
      </c>
      <c r="I8732">
        <v>191.09</v>
      </c>
      <c r="J8732">
        <v>0.01</v>
      </c>
    </row>
    <row r="8733" spans="1:10" x14ac:dyDescent="0.3">
      <c r="A8733" t="str">
        <f>HYPERLINK("https://us2.cloudbeds.com/connect/10074733072513#/reservations/31683554586774?display=MHDW8FB8N&amp;reservation_id=31683554586774", "MHDW8FB8N")</f>
        <v>MHDW8FB8N</v>
      </c>
      <c r="B8733" t="s">
        <v>10</v>
      </c>
      <c r="C8733" t="s">
        <v>42</v>
      </c>
      <c r="D8733" t="str">
        <f>HYPERLINK("https://us2.cloudbeds.com/connect/10074733072513#/reservations/31683554586774?display=John%20Lapeze&amp;reservation_id=31683554586774&amp;guest_id=31683548680447", "John Lapeze")</f>
        <v>John Lapeze</v>
      </c>
      <c r="E8733" t="s">
        <v>7133</v>
      </c>
      <c r="F8733" t="s">
        <v>4291</v>
      </c>
      <c r="G8733">
        <v>73</v>
      </c>
      <c r="H8733">
        <v>79.36</v>
      </c>
      <c r="I8733">
        <v>79.349999999999994</v>
      </c>
      <c r="J8733">
        <v>0.01</v>
      </c>
    </row>
    <row r="8734" spans="1:10" x14ac:dyDescent="0.3">
      <c r="A8734" t="str">
        <f>HYPERLINK("https://us2.cloudbeds.com/connect/10074733072513#/reservations/31681800634499?display=MHCKEG13P&amp;reservation_id=31681800634499", "MHCKEG13P")</f>
        <v>MHCKEG13P</v>
      </c>
      <c r="B8734" t="s">
        <v>10</v>
      </c>
      <c r="C8734" t="s">
        <v>17</v>
      </c>
      <c r="D8734" t="str">
        <f>HYPERLINK("https://us2.cloudbeds.com/connect/10074733072513#/reservations/31681800634499?display=Daniel%20O'Neill&amp;reservation_id=31681800634499&amp;guest_id=31681791639723", "Daniel O'Neill")</f>
        <v>Daniel O'Neill</v>
      </c>
      <c r="E8734" t="s">
        <v>7134</v>
      </c>
      <c r="F8734" t="s">
        <v>6467</v>
      </c>
      <c r="G8734">
        <v>129</v>
      </c>
      <c r="H8734">
        <v>140.22999999999999</v>
      </c>
      <c r="I8734">
        <v>140.22</v>
      </c>
      <c r="J8734">
        <v>0.01</v>
      </c>
    </row>
    <row r="8735" spans="1:10" x14ac:dyDescent="0.3">
      <c r="A8735" t="str">
        <f>HYPERLINK("https://us2.cloudbeds.com/connect/10074733072513#/reservations/31683901731017?display=MHE8464M7&amp;reservation_id=31683901731017", "MHE8464M7")</f>
        <v>MHE8464M7</v>
      </c>
      <c r="B8735" t="s">
        <v>10</v>
      </c>
      <c r="C8735" t="s">
        <v>42</v>
      </c>
      <c r="D8735" t="str">
        <f>HYPERLINK("https://us2.cloudbeds.com/connect/10074733072513#/reservations/31683901731017?display=Tanner%20Farnsworth&amp;reservation_id=31683901731017&amp;guest_id=31683901726924", "Tanner Farnsworth")</f>
        <v>Tanner Farnsworth</v>
      </c>
      <c r="E8735" t="s">
        <v>7137</v>
      </c>
      <c r="F8735" t="s">
        <v>6638</v>
      </c>
      <c r="G8735">
        <v>99</v>
      </c>
      <c r="H8735">
        <v>107.62</v>
      </c>
      <c r="I8735">
        <v>107.61</v>
      </c>
      <c r="J8735">
        <v>0.01</v>
      </c>
    </row>
    <row r="8736" spans="1:10" x14ac:dyDescent="0.3">
      <c r="A8736" t="str">
        <f>HYPERLINK("https://us2.cloudbeds.com/connect/10074733072513#/reservations/31681541279941?display=MHCDQQ3YZ&amp;reservation_id=31681541279941", "MHCDQQ3YZ")</f>
        <v>MHCDQQ3YZ</v>
      </c>
      <c r="B8736" t="s">
        <v>10</v>
      </c>
      <c r="C8736" t="s">
        <v>23</v>
      </c>
      <c r="D8736" t="str">
        <f>HYPERLINK("https://us2.cloudbeds.com/connect/10074733072513#/reservations/31681541279941?display=Shawn%20King&amp;reservation_id=31681541279941&amp;guest_id=31681541275896", "Shawn King")</f>
        <v>Shawn King</v>
      </c>
      <c r="E8736" t="s">
        <v>7139</v>
      </c>
      <c r="F8736" t="s">
        <v>5537</v>
      </c>
      <c r="G8736">
        <v>249</v>
      </c>
      <c r="H8736">
        <v>270.67</v>
      </c>
      <c r="I8736">
        <v>270.66000000000003</v>
      </c>
      <c r="J8736">
        <v>0.01</v>
      </c>
    </row>
    <row r="8737" spans="1:10" x14ac:dyDescent="0.3">
      <c r="A8737" t="str">
        <f>HYPERLINK("https://us2.cloudbeds.com/connect/10074733072513#/reservations/31685431177371?display=MHFE6S7VE&amp;reservation_id=31685431177371", "MHFE6S7VE")</f>
        <v>MHFE6S7VE</v>
      </c>
      <c r="B8737" t="s">
        <v>10</v>
      </c>
      <c r="C8737" t="s">
        <v>17</v>
      </c>
      <c r="D8737" t="str">
        <f>HYPERLINK("https://us2.cloudbeds.com/connect/10074733072513#/reservations/31685431177371?display=Dillon%20Prissell&amp;reservation_id=31685431177371&amp;guest_id=31685431177366", "Dillon Prissell")</f>
        <v>Dillon Prissell</v>
      </c>
      <c r="E8737" t="s">
        <v>7140</v>
      </c>
      <c r="F8737" t="s">
        <v>5842</v>
      </c>
      <c r="G8737">
        <v>258</v>
      </c>
      <c r="H8737">
        <v>280.45999999999998</v>
      </c>
      <c r="I8737">
        <v>280.45</v>
      </c>
      <c r="J8737">
        <v>0.01</v>
      </c>
    </row>
    <row r="8738" spans="1:10" x14ac:dyDescent="0.3">
      <c r="A8738" t="str">
        <f>HYPERLINK("https://us2.cloudbeds.com/connect/10074733072513#/reservations/31683571581148?display=MHDWMQ7ZZ&amp;reservation_id=31683571581148", "MHDWMQ7ZZ")</f>
        <v>MHDWMQ7ZZ</v>
      </c>
      <c r="B8738" t="s">
        <v>10</v>
      </c>
      <c r="C8738" t="s">
        <v>23</v>
      </c>
      <c r="D8738" t="str">
        <f>HYPERLINK("https://us2.cloudbeds.com/connect/10074733072513#/reservations/31683571581148?display=Terris%20Settje&amp;reservation_id=31683571581148&amp;guest_id=31683571577063", "Terris Settje")</f>
        <v>Terris Settje</v>
      </c>
      <c r="E8738" t="s">
        <v>7141</v>
      </c>
      <c r="F8738" t="s">
        <v>6638</v>
      </c>
      <c r="G8738">
        <v>179</v>
      </c>
      <c r="H8738">
        <v>194.58</v>
      </c>
      <c r="I8738">
        <v>194.57</v>
      </c>
      <c r="J8738">
        <v>0.01</v>
      </c>
    </row>
    <row r="8739" spans="1:10" x14ac:dyDescent="0.3">
      <c r="A8739" t="str">
        <f>HYPERLINK("https://us2.cloudbeds.com/connect/10074733072513#/reservations/31687068430558?display=MHGN1E7DC&amp;reservation_id=31687068430558", "MHGN1E7DC")</f>
        <v>MHGN1E7DC</v>
      </c>
      <c r="B8739" t="s">
        <v>10</v>
      </c>
      <c r="C8739" t="s">
        <v>42</v>
      </c>
      <c r="D8739" t="str">
        <f>HYPERLINK("https://us2.cloudbeds.com/connect/10074733072513#/reservations/31687068430558?display=Jeff%20Black&amp;reservation_id=31687068430558&amp;guest_id=31687054434448", "Jeff Black")</f>
        <v>Jeff Black</v>
      </c>
      <c r="E8739" t="s">
        <v>7142</v>
      </c>
      <c r="F8739" t="s">
        <v>6175</v>
      </c>
      <c r="G8739">
        <v>258</v>
      </c>
      <c r="H8739">
        <v>280.45999999999998</v>
      </c>
      <c r="I8739">
        <v>280.45</v>
      </c>
      <c r="J8739">
        <v>0.01</v>
      </c>
    </row>
    <row r="8740" spans="1:10" x14ac:dyDescent="0.3">
      <c r="A8740" t="str">
        <f>HYPERLINK("https://us2.cloudbeds.com/connect/10074733072513#/reservations/31684497248451?display=MHENBB9Y2&amp;reservation_id=31684497248451", "MHENBB9Y2")</f>
        <v>MHENBB9Y2</v>
      </c>
      <c r="B8740" t="s">
        <v>10</v>
      </c>
      <c r="C8740" t="s">
        <v>23</v>
      </c>
      <c r="D8740" t="str">
        <f>HYPERLINK("https://us2.cloudbeds.com/connect/10074733072513#/reservations/31684497248451?display=Candice%20Ireland&amp;reservation_id=31684497248451&amp;guest_id=31684490887330", "Candice Ireland")</f>
        <v>Candice Ireland</v>
      </c>
      <c r="E8740" t="s">
        <v>7143</v>
      </c>
      <c r="F8740" t="s">
        <v>7069</v>
      </c>
      <c r="G8740">
        <v>129</v>
      </c>
      <c r="H8740">
        <v>140.22999999999999</v>
      </c>
      <c r="I8740">
        <v>140.22</v>
      </c>
      <c r="J8740">
        <v>0.01</v>
      </c>
    </row>
    <row r="8741" spans="1:10" x14ac:dyDescent="0.3">
      <c r="A8741" t="str">
        <f>HYPERLINK("https://us2.cloudbeds.com/connect/10074733072513#/reservations/31683926806757?display=MHE8PAU24&amp;reservation_id=31683926806757", "MHE8PAU24")</f>
        <v>MHE8PAU24</v>
      </c>
      <c r="B8741" t="s">
        <v>10</v>
      </c>
      <c r="C8741" t="s">
        <v>20</v>
      </c>
      <c r="D8741" t="str">
        <f>HYPERLINK("https://us2.cloudbeds.com/connect/10074733072513#/reservations/31683926806757?display=Jim%20Mills&amp;reservation_id=31683926806757&amp;guest_id=31683926806755", "Jim Mills")</f>
        <v>Jim Mills</v>
      </c>
      <c r="E8741" t="s">
        <v>7144</v>
      </c>
      <c r="F8741" t="s">
        <v>6638</v>
      </c>
      <c r="G8741">
        <v>179</v>
      </c>
      <c r="H8741">
        <v>194.58</v>
      </c>
      <c r="I8741">
        <v>194.57</v>
      </c>
      <c r="J8741">
        <v>0.01</v>
      </c>
    </row>
    <row r="8742" spans="1:10" x14ac:dyDescent="0.3">
      <c r="A8742" t="str">
        <f>HYPERLINK("https://us2.cloudbeds.com/connect/10074733072513#/reservations/31681491603664?display=MHCCHTQ80&amp;reservation_id=31681491603664", "MHCCHTQ80")</f>
        <v>MHCCHTQ80</v>
      </c>
      <c r="B8742" t="s">
        <v>10</v>
      </c>
      <c r="C8742" t="s">
        <v>20</v>
      </c>
      <c r="D8742" t="str">
        <f>HYPERLINK("https://us2.cloudbeds.com/connect/10074733072513#/reservations/31681491603664?display=Raymond%20Glos&amp;reservation_id=31681491603664&amp;guest_id=31681491603662", "Raymond Glos")</f>
        <v>Raymond Glos</v>
      </c>
      <c r="E8742" t="s">
        <v>7145</v>
      </c>
      <c r="F8742" t="s">
        <v>5537</v>
      </c>
      <c r="G8742">
        <v>239</v>
      </c>
      <c r="H8742">
        <v>259.8</v>
      </c>
      <c r="I8742">
        <v>259.79000000000002</v>
      </c>
      <c r="J8742">
        <v>0.01</v>
      </c>
    </row>
    <row r="8743" spans="1:10" x14ac:dyDescent="0.3">
      <c r="A8743" t="str">
        <f>HYPERLINK("https://us2.cloudbeds.com/connect/10074733072513#/reservations/31681482952926?display=MHCCAK2GE&amp;reservation_id=31681482952926", "MHCCAK2GE")</f>
        <v>MHCCAK2GE</v>
      </c>
      <c r="B8743" t="s">
        <v>10</v>
      </c>
      <c r="C8743" t="s">
        <v>42</v>
      </c>
      <c r="D8743" t="str">
        <f>HYPERLINK("https://us2.cloudbeds.com/connect/10074733072513#/reservations/31681482952926?display=Steve%20Auen&amp;reservation_id=31681482952926&amp;guest_id=31681476305031", "Steve Auen")</f>
        <v>Steve Auen</v>
      </c>
      <c r="E8743" t="s">
        <v>7146</v>
      </c>
      <c r="F8743" t="s">
        <v>5537</v>
      </c>
      <c r="G8743">
        <v>322.2</v>
      </c>
      <c r="H8743">
        <v>350.24</v>
      </c>
      <c r="I8743">
        <v>350.23</v>
      </c>
      <c r="J8743">
        <v>0.01</v>
      </c>
    </row>
    <row r="8744" spans="1:10" x14ac:dyDescent="0.3">
      <c r="A8744" t="str">
        <f>HYPERLINK("https://us2.cloudbeds.com/connect/10074733072513#/reservations/31683889340565?display=MHE7QZBRW&amp;reservation_id=31683889340565", "MHE7QZBRW")</f>
        <v>MHE7QZBRW</v>
      </c>
      <c r="B8744" t="s">
        <v>10</v>
      </c>
      <c r="C8744" t="s">
        <v>121</v>
      </c>
      <c r="D8744" t="str">
        <f>HYPERLINK("https://us2.cloudbeds.com/connect/10074733072513#/reservations/31683889340565?display=Llyod%20Darren%20Mcclain&amp;reservation_id=31683889340565&amp;guest_id=31683889340544", "Llyod Darren Mcclain")</f>
        <v>Llyod Darren Mcclain</v>
      </c>
      <c r="E8744" t="s">
        <v>7147</v>
      </c>
      <c r="F8744" t="s">
        <v>6638</v>
      </c>
      <c r="G8744">
        <v>179</v>
      </c>
      <c r="H8744">
        <v>194.58</v>
      </c>
      <c r="I8744">
        <v>194.57</v>
      </c>
      <c r="J8744">
        <v>0.01</v>
      </c>
    </row>
    <row r="8745" spans="1:10" x14ac:dyDescent="0.3">
      <c r="A8745" t="str">
        <f>HYPERLINK("https://us2.cloudbeds.com/connect/10074733072513#/reservations/31683955667072?display=MHE8PB0R7&amp;reservation_id=31683955667072", "MHE8PB0R7")</f>
        <v>MHE8PB0R7</v>
      </c>
      <c r="B8745" t="s">
        <v>10</v>
      </c>
      <c r="C8745" t="s">
        <v>121</v>
      </c>
      <c r="D8745" t="str">
        <f>HYPERLINK("https://us2.cloudbeds.com/connect/10074733072513#/reservations/31683955667072?display=Roger%20Thomas%20Price&amp;reservation_id=31683955667072&amp;guest_id=31683926810848", "Roger Thomas Price")</f>
        <v>Roger Thomas Price</v>
      </c>
      <c r="E8745" t="s">
        <v>7148</v>
      </c>
      <c r="F8745" t="s">
        <v>6638</v>
      </c>
      <c r="G8745">
        <v>179</v>
      </c>
      <c r="H8745">
        <v>194.58</v>
      </c>
      <c r="I8745">
        <v>194.57</v>
      </c>
      <c r="J8745">
        <v>0.01</v>
      </c>
    </row>
    <row r="8746" spans="1:10" x14ac:dyDescent="0.3">
      <c r="A8746" t="str">
        <f>HYPERLINK("https://us2.cloudbeds.com/connect/10074733072513#/reservations/31683803652317?display=MHE5KFVJD&amp;reservation_id=31683803652317", "MHE5KFVJD")</f>
        <v>MHE5KFVJD</v>
      </c>
      <c r="B8746" t="s">
        <v>10</v>
      </c>
      <c r="C8746" t="s">
        <v>23</v>
      </c>
      <c r="D8746" t="str">
        <f>HYPERLINK("https://us2.cloudbeds.com/connect/10074733072513#/reservations/31683803652317?display=Kasey%20Kleven&amp;reservation_id=31683803652317&amp;guest_id=31683797426310", "Kasey Kleven")</f>
        <v>Kasey Kleven</v>
      </c>
      <c r="E8746" t="s">
        <v>7149</v>
      </c>
      <c r="F8746" t="s">
        <v>6507</v>
      </c>
      <c r="G8746">
        <v>169</v>
      </c>
      <c r="H8746">
        <v>183.71</v>
      </c>
      <c r="I8746">
        <v>183.7</v>
      </c>
      <c r="J8746">
        <v>0.01</v>
      </c>
    </row>
    <row r="8747" spans="1:10" x14ac:dyDescent="0.3">
      <c r="A8747" t="str">
        <f>HYPERLINK("https://us2.cloudbeds.com/connect/10074733072513#/reservations/31683775361191?display=MHE4TKNJX&amp;reservation_id=31683775361191", "MHE4TKNJX")</f>
        <v>MHE4TKNJX</v>
      </c>
      <c r="B8747" t="s">
        <v>10</v>
      </c>
      <c r="C8747" t="s">
        <v>23</v>
      </c>
      <c r="D8747" t="str">
        <f>HYPERLINK("https://us2.cloudbeds.com/connect/10074733072513#/reservations/31683775361191?display=James%20Keaton&amp;reservation_id=31683775361191&amp;guest_id=31683758039173", "James Keaton")</f>
        <v>James Keaton</v>
      </c>
      <c r="E8747" t="s">
        <v>7150</v>
      </c>
      <c r="F8747" t="s">
        <v>7136</v>
      </c>
      <c r="G8747">
        <v>318</v>
      </c>
      <c r="H8747">
        <v>345.68</v>
      </c>
      <c r="I8747">
        <v>345.67</v>
      </c>
      <c r="J8747">
        <v>0.01</v>
      </c>
    </row>
    <row r="8748" spans="1:10" x14ac:dyDescent="0.3">
      <c r="A8748" t="str">
        <f>HYPERLINK("https://us2.cloudbeds.com/connect/10074733072513#/reservations/31685972508834?display=MHFS1AJC5&amp;reservation_id=31685972508834", "MHFS1AJC5")</f>
        <v>MHFS1AJC5</v>
      </c>
      <c r="B8748" t="s">
        <v>10</v>
      </c>
      <c r="C8748" t="s">
        <v>42</v>
      </c>
      <c r="D8748" t="str">
        <f>HYPERLINK("https://us2.cloudbeds.com/connect/10074733072513#/reservations/31685972508834?display=Kelstin%20Olson&amp;reservation_id=31685972508834&amp;guest_id=31685972508819", "Kelstin Olson")</f>
        <v>Kelstin Olson</v>
      </c>
      <c r="E8748" t="s">
        <v>7153</v>
      </c>
      <c r="F8748" t="s">
        <v>5745</v>
      </c>
      <c r="G8748">
        <v>199</v>
      </c>
      <c r="H8748">
        <v>216.32</v>
      </c>
      <c r="I8748">
        <v>216.31</v>
      </c>
      <c r="J8748">
        <v>0.01</v>
      </c>
    </row>
    <row r="8749" spans="1:10" x14ac:dyDescent="0.3">
      <c r="A8749" t="str">
        <f>HYPERLINK("https://us2.cloudbeds.com/connect/10074733072513#/reservations/31683797422217?display=MHE5F7JYG&amp;reservation_id=31683797422217", "MHE5F7JYG")</f>
        <v>MHE5F7JYG</v>
      </c>
      <c r="B8749" t="s">
        <v>10</v>
      </c>
      <c r="C8749" t="s">
        <v>42</v>
      </c>
      <c r="D8749" t="str">
        <f>HYPERLINK("https://us2.cloudbeds.com/connect/10074733072513#/reservations/31683797422217?display=Angela%20Bott&amp;reservation_id=31683797422217&amp;guest_id=31683790536881", "Angela Bott")</f>
        <v>Angela Bott</v>
      </c>
      <c r="E8749" t="s">
        <v>7156</v>
      </c>
      <c r="F8749" t="s">
        <v>6507</v>
      </c>
      <c r="G8749">
        <v>119</v>
      </c>
      <c r="H8749">
        <v>129.36000000000001</v>
      </c>
      <c r="I8749">
        <v>129.35</v>
      </c>
      <c r="J8749">
        <v>0.01</v>
      </c>
    </row>
    <row r="8750" spans="1:10" x14ac:dyDescent="0.3">
      <c r="A8750" t="str">
        <f>HYPERLINK("https://us2.cloudbeds.com/connect/10074733072513#/reservations/31682017702036?display=MHCPWH8GU&amp;reservation_id=31682017702036", "MHCPWH8GU")</f>
        <v>MHCPWH8GU</v>
      </c>
      <c r="B8750" t="s">
        <v>10</v>
      </c>
      <c r="C8750" t="s">
        <v>121</v>
      </c>
      <c r="D8750" t="str">
        <f>HYPERLINK("https://us2.cloudbeds.com/connect/10074733072513#/reservations/31682017702036?display=Devin%20Smith&amp;reservation_id=31682017702036&amp;guest_id=31682017702022", "Devin Smith")</f>
        <v>Devin Smith</v>
      </c>
      <c r="E8750" t="s">
        <v>7157</v>
      </c>
      <c r="F8750" t="s">
        <v>7079</v>
      </c>
      <c r="G8750">
        <v>129</v>
      </c>
      <c r="H8750">
        <v>140.22999999999999</v>
      </c>
      <c r="I8750">
        <v>140.22</v>
      </c>
      <c r="J8750">
        <v>0.01</v>
      </c>
    </row>
    <row r="8751" spans="1:10" x14ac:dyDescent="0.3">
      <c r="A8751" t="str">
        <f>HYPERLINK("https://us2.cloudbeds.com/connect/10074733072513#/reservations/31686732206236?display=MHGEEU9FX&amp;reservation_id=31686732206236", "MHGEEU9FX")</f>
        <v>MHGEEU9FX</v>
      </c>
      <c r="B8751" t="s">
        <v>10</v>
      </c>
      <c r="C8751" t="s">
        <v>42</v>
      </c>
      <c r="D8751" t="str">
        <f>HYPERLINK("https://us2.cloudbeds.com/connect/10074733072513#/reservations/31686732206236?display=Nate%20Stellrecht&amp;reservation_id=31686732206236&amp;guest_id=31683224240261", "Nate Stellrecht")</f>
        <v>Nate Stellrecht</v>
      </c>
      <c r="E8751" t="s">
        <v>7087</v>
      </c>
      <c r="F8751" t="s">
        <v>7069</v>
      </c>
      <c r="G8751">
        <v>225</v>
      </c>
      <c r="H8751">
        <v>244.59</v>
      </c>
      <c r="I8751">
        <v>244.58</v>
      </c>
      <c r="J8751">
        <v>0.01</v>
      </c>
    </row>
    <row r="8752" spans="1:10" x14ac:dyDescent="0.3">
      <c r="A8752" t="str">
        <f>HYPERLINK("https://us2.cloudbeds.com/connect/10074733072513#/reservations/31681688494223?display=MHCHXUXYJ&amp;reservation_id=31681688494223", "MHCHXUXYJ")</f>
        <v>MHCHXUXYJ</v>
      </c>
      <c r="B8752" t="s">
        <v>10</v>
      </c>
      <c r="C8752" t="s">
        <v>121</v>
      </c>
      <c r="D8752" t="str">
        <f>HYPERLINK("https://us2.cloudbeds.com/connect/10074733072513#/reservations/31681688494223?display=Seydy%20Rivas%20Batres&amp;reservation_id=31681688494223&amp;guest_id=31681688494208", "Seydy Rivas Batres")</f>
        <v>Seydy Rivas Batres</v>
      </c>
      <c r="E8752" t="s">
        <v>7158</v>
      </c>
      <c r="F8752" t="s">
        <v>6467</v>
      </c>
      <c r="G8752">
        <v>129</v>
      </c>
      <c r="H8752">
        <v>140.22999999999999</v>
      </c>
      <c r="I8752">
        <v>140.22</v>
      </c>
      <c r="J8752">
        <v>0.01</v>
      </c>
    </row>
    <row r="8753" spans="1:10" x14ac:dyDescent="0.3">
      <c r="A8753" t="str">
        <f>HYPERLINK("https://us2.cloudbeds.com/connect/10074733072513#/reservations/31687356129528?display=MHGUD0SPW&amp;reservation_id=31687356129528", "MHGUD0SPW")</f>
        <v>MHGUD0SPW</v>
      </c>
      <c r="B8753" t="s">
        <v>10</v>
      </c>
      <c r="C8753" t="s">
        <v>17</v>
      </c>
      <c r="D8753" t="str">
        <f>HYPERLINK("https://us2.cloudbeds.com/connect/10074733072513#/reservations/31687356129528?display=Michael%20Reid&amp;reservation_id=31687356129528&amp;guest_id=31687356129523", "Michael Reid")</f>
        <v>Michael Reid</v>
      </c>
      <c r="E8753" t="s">
        <v>7159</v>
      </c>
      <c r="F8753" t="s">
        <v>6413</v>
      </c>
      <c r="G8753">
        <v>129</v>
      </c>
      <c r="H8753">
        <v>140.22999999999999</v>
      </c>
      <c r="I8753">
        <v>140.22</v>
      </c>
      <c r="J8753">
        <v>0.01</v>
      </c>
    </row>
    <row r="8754" spans="1:10" x14ac:dyDescent="0.3">
      <c r="A8754" t="str">
        <f>HYPERLINK("https://us2.cloudbeds.com/connect/10074733072513#/reservations/31682197491913?display=MHCUJ45R0&amp;reservation_id=31682197491913", "MHCUJ45R0")</f>
        <v>MHCUJ45R0</v>
      </c>
      <c r="B8754" t="s">
        <v>10</v>
      </c>
      <c r="C8754" t="s">
        <v>42</v>
      </c>
      <c r="D8754" t="str">
        <f>HYPERLINK("https://us2.cloudbeds.com/connect/10074733072513#/reservations/31682197491913?display=Paul%20Driggers&amp;reservation_id=31682197491913&amp;guest_id=31682191270065", "Paul Driggers")</f>
        <v>Paul Driggers</v>
      </c>
      <c r="E8754" t="s">
        <v>6555</v>
      </c>
      <c r="F8754" t="s">
        <v>7126</v>
      </c>
      <c r="G8754">
        <v>139</v>
      </c>
      <c r="H8754">
        <v>151.1</v>
      </c>
      <c r="I8754">
        <v>151.09</v>
      </c>
      <c r="J8754">
        <v>0.01</v>
      </c>
    </row>
    <row r="8755" spans="1:10" x14ac:dyDescent="0.3">
      <c r="A8755" t="str">
        <f>HYPERLINK("https://us2.cloudbeds.com/connect/10074733072513#/reservations/31681675206798?display=MHCH7NR5B&amp;reservation_id=31681675206798", "MHCH7NR5B")</f>
        <v>MHCH7NR5B</v>
      </c>
      <c r="B8755" t="s">
        <v>10</v>
      </c>
      <c r="C8755" t="s">
        <v>121</v>
      </c>
      <c r="D8755" t="str">
        <f>HYPERLINK("https://us2.cloudbeds.com/connect/10074733072513#/reservations/31681675206798?display=Renee%20Sharon%20Paulson&amp;reservation_id=31681675206798&amp;guest_id=31681675206793", "Renee Sharon Paulson")</f>
        <v>Renee Sharon Paulson</v>
      </c>
      <c r="E8755" t="s">
        <v>7160</v>
      </c>
      <c r="F8755" t="s">
        <v>7126</v>
      </c>
      <c r="G8755">
        <v>129</v>
      </c>
      <c r="H8755">
        <v>140.22999999999999</v>
      </c>
      <c r="I8755">
        <v>140.22</v>
      </c>
      <c r="J8755">
        <v>0.01</v>
      </c>
    </row>
    <row r="8756" spans="1:10" x14ac:dyDescent="0.3">
      <c r="A8756" t="str">
        <f>HYPERLINK("https://us2.cloudbeds.com/connect/10074733072513#/reservations/31682182815960?display=MHCU6ZQ95&amp;reservation_id=31682182815960", "MHCU6ZQ95")</f>
        <v>MHCU6ZQ95</v>
      </c>
      <c r="B8756" t="s">
        <v>10</v>
      </c>
      <c r="C8756" t="s">
        <v>42</v>
      </c>
      <c r="D8756" t="str">
        <f>HYPERLINK("https://us2.cloudbeds.com/connect/10074733072513#/reservations/31682182815960?display=Devin%20Smith&amp;reservation_id=31682182815960&amp;guest_id=31682017702022", "Devin Smith")</f>
        <v>Devin Smith</v>
      </c>
      <c r="E8756" t="s">
        <v>7157</v>
      </c>
      <c r="F8756" t="s">
        <v>7126</v>
      </c>
      <c r="G8756">
        <v>139</v>
      </c>
      <c r="H8756">
        <v>151.1</v>
      </c>
      <c r="I8756">
        <v>151.09</v>
      </c>
      <c r="J8756">
        <v>0.01</v>
      </c>
    </row>
    <row r="8757" spans="1:10" x14ac:dyDescent="0.3">
      <c r="A8757" t="str">
        <f>HYPERLINK("https://us2.cloudbeds.com/connect/10074733072513#/reservations/31683518947500?display=MHDVBDKYN&amp;reservation_id=31683518947500", "MHDVBDKYN")</f>
        <v>MHDVBDKYN</v>
      </c>
      <c r="B8757" t="s">
        <v>10</v>
      </c>
      <c r="C8757" t="s">
        <v>42</v>
      </c>
      <c r="D8757" t="str">
        <f>HYPERLINK("https://us2.cloudbeds.com/connect/10074733072513#/reservations/31683518947500?display=Bryan%20Thomas&amp;reservation_id=31683518947500&amp;guest_id=31683386163375", "Bryan Thomas")</f>
        <v>Bryan Thomas</v>
      </c>
      <c r="E8757" t="s">
        <v>4065</v>
      </c>
      <c r="F8757" t="s">
        <v>5575</v>
      </c>
      <c r="G8757">
        <v>278</v>
      </c>
      <c r="H8757">
        <v>302.2</v>
      </c>
      <c r="I8757">
        <v>302.19</v>
      </c>
      <c r="J8757">
        <v>0.01</v>
      </c>
    </row>
    <row r="8758" spans="1:10" x14ac:dyDescent="0.3">
      <c r="A8758" t="str">
        <f>HYPERLINK("https://us2.cloudbeds.com/connect/10074733072513#/reservations/31685958836400?display=MHFRMQ4AW&amp;reservation_id=31685958836400", "MHFRMQ4AW")</f>
        <v>MHFRMQ4AW</v>
      </c>
      <c r="B8758" t="s">
        <v>10</v>
      </c>
      <c r="C8758" t="s">
        <v>42</v>
      </c>
      <c r="D8758" t="str">
        <f>HYPERLINK("https://us2.cloudbeds.com/connect/10074733072513#/reservations/31685958836400?display=Alison%20Hoelpzner&amp;reservation_id=31685958836400&amp;guest_id=31685942460632", "Alison Hoelpzner")</f>
        <v>Alison Hoelpzner</v>
      </c>
      <c r="E8758" t="s">
        <v>7162</v>
      </c>
      <c r="F8758" t="s">
        <v>5745</v>
      </c>
      <c r="G8758">
        <v>119</v>
      </c>
      <c r="H8758">
        <v>129.36000000000001</v>
      </c>
      <c r="I8758">
        <v>129.35</v>
      </c>
      <c r="J8758">
        <v>0.01</v>
      </c>
    </row>
    <row r="8759" spans="1:10" x14ac:dyDescent="0.3">
      <c r="A8759" t="str">
        <f>HYPERLINK("https://us2.cloudbeds.com/connect/10074733072513#/reservations/31681617289355?display=MHCFZT63A&amp;reservation_id=31681617289355", "MHCFZT63A")</f>
        <v>MHCFZT63A</v>
      </c>
      <c r="B8759" t="s">
        <v>10</v>
      </c>
      <c r="C8759" t="s">
        <v>42</v>
      </c>
      <c r="D8759" t="str">
        <f>HYPERLINK("https://us2.cloudbeds.com/connect/10074733072513#/reservations/31681617289355?display=Greg%20Brusven&amp;reservation_id=31681617289355&amp;guest_id=17963408818374", "Greg Brusven")</f>
        <v>Greg Brusven</v>
      </c>
      <c r="E8759" t="s">
        <v>2398</v>
      </c>
      <c r="F8759" t="s">
        <v>7126</v>
      </c>
      <c r="G8759">
        <v>89</v>
      </c>
      <c r="H8759">
        <v>96.75</v>
      </c>
      <c r="I8759">
        <v>96.74</v>
      </c>
      <c r="J8759">
        <v>0.01</v>
      </c>
    </row>
    <row r="8760" spans="1:10" x14ac:dyDescent="0.3">
      <c r="A8760" t="str">
        <f>HYPERLINK("https://us2.cloudbeds.com/connect/10074733072513#/reservations/31681665888478?display=MHCGWSHD0&amp;reservation_id=31681665888478", "MHCGWSHD0")</f>
        <v>MHCGWSHD0</v>
      </c>
      <c r="B8760" t="s">
        <v>10</v>
      </c>
      <c r="C8760" t="s">
        <v>121</v>
      </c>
      <c r="D8760" t="str">
        <f>HYPERLINK("https://us2.cloudbeds.com/connect/10074733072513#/reservations/31681665888478?display=Kevin%20Klein&amp;reservation_id=31681665888478&amp;guest_id=31681665888473", "Kevin Klein")</f>
        <v>Kevin Klein</v>
      </c>
      <c r="E8760" t="s">
        <v>7163</v>
      </c>
      <c r="F8760" t="s">
        <v>7126</v>
      </c>
      <c r="G8760">
        <v>79</v>
      </c>
      <c r="H8760">
        <v>85.88</v>
      </c>
      <c r="I8760">
        <v>85.87</v>
      </c>
      <c r="J8760">
        <v>0.01</v>
      </c>
    </row>
    <row r="8761" spans="1:10" x14ac:dyDescent="0.3">
      <c r="A8761" t="str">
        <f>HYPERLINK("https://us2.cloudbeds.com/connect/10074733072513#/reservations/31684503257240?display=MHENGDGBJ&amp;reservation_id=31684503257240", "MHENGDGBJ")</f>
        <v>MHENGDGBJ</v>
      </c>
      <c r="B8761" t="s">
        <v>10</v>
      </c>
      <c r="C8761" t="s">
        <v>42</v>
      </c>
      <c r="D8761" t="str">
        <f>HYPERLINK("https://us2.cloudbeds.com/connect/10074733072513#/reservations/31684503257240?display=Chance%20Davies&amp;reservation_id=31684503257240&amp;guest_id=31683324768456", "Chance Davies")</f>
        <v>Chance Davies</v>
      </c>
      <c r="E8761" t="s">
        <v>7164</v>
      </c>
      <c r="F8761" t="s">
        <v>7069</v>
      </c>
      <c r="G8761">
        <v>225</v>
      </c>
      <c r="H8761">
        <v>244.59</v>
      </c>
      <c r="I8761">
        <v>244.58</v>
      </c>
      <c r="J8761">
        <v>0.01</v>
      </c>
    </row>
    <row r="8762" spans="1:10" x14ac:dyDescent="0.3">
      <c r="A8762" t="str">
        <f>HYPERLINK("https://us2.cloudbeds.com/connect/10074733072513#/reservations/31686522421452?display=MHG930NKT&amp;reservation_id=31686522421452", "MHG930NKT")</f>
        <v>MHG930NKT</v>
      </c>
      <c r="B8762" t="s">
        <v>10</v>
      </c>
      <c r="C8762" t="s">
        <v>11</v>
      </c>
      <c r="D8762" t="str">
        <f>HYPERLINK("https://us2.cloudbeds.com/connect/10074733072513#/reservations/31686522421452?display=Anne%20Reed&amp;reservation_id=31686522421452&amp;guest_id=31686522421447", "Anne Reed")</f>
        <v>Anne Reed</v>
      </c>
      <c r="E8762" t="s">
        <v>7166</v>
      </c>
      <c r="F8762" t="s">
        <v>7167</v>
      </c>
      <c r="G8762">
        <v>195.48</v>
      </c>
      <c r="H8762">
        <v>212.5</v>
      </c>
      <c r="I8762">
        <v>212.49</v>
      </c>
      <c r="J8762">
        <v>0.01</v>
      </c>
    </row>
    <row r="8763" spans="1:10" x14ac:dyDescent="0.3">
      <c r="A8763" t="str">
        <f>HYPERLINK("https://us2.cloudbeds.com/connect/10074733072513#/reservations/31684512624891?display=MHENZA5DQ&amp;reservation_id=31684512624891", "MHENZA5DQ")</f>
        <v>MHENZA5DQ</v>
      </c>
      <c r="B8763" t="s">
        <v>10</v>
      </c>
      <c r="C8763" t="s">
        <v>20</v>
      </c>
      <c r="D8763" t="str">
        <f>HYPERLINK("https://us2.cloudbeds.com/connect/10074733072513#/reservations/31684512624891?display=Pettigrew%20Dale&amp;reservation_id=31684512624891&amp;guest_id=31684512624889", "Pettigrew Dale")</f>
        <v>Pettigrew Dale</v>
      </c>
      <c r="E8763" t="s">
        <v>7168</v>
      </c>
      <c r="F8763" t="s">
        <v>6901</v>
      </c>
      <c r="G8763">
        <v>411.3</v>
      </c>
      <c r="H8763">
        <v>447.09</v>
      </c>
      <c r="I8763">
        <v>447.08</v>
      </c>
      <c r="J8763">
        <v>0.01</v>
      </c>
    </row>
    <row r="8764" spans="1:10" x14ac:dyDescent="0.3">
      <c r="A8764" t="str">
        <f>HYPERLINK("https://us2.cloudbeds.com/connect/10074733072513#/reservations/31686672564465?display=MHGCUKM05&amp;reservation_id=31686672564465", "MHGCUKM05")</f>
        <v>MHGCUKM05</v>
      </c>
      <c r="B8764" t="s">
        <v>10</v>
      </c>
      <c r="C8764" t="s">
        <v>121</v>
      </c>
      <c r="D8764" t="str">
        <f>HYPERLINK("https://us2.cloudbeds.com/connect/10074733072513#/reservations/31686672564465?display=Edwin%20Ware&amp;reservation_id=31686672564465&amp;guest_id=31686672564449", "Edwin Ware")</f>
        <v>Edwin Ware</v>
      </c>
      <c r="E8764" t="s">
        <v>7169</v>
      </c>
      <c r="F8764" t="s">
        <v>5575</v>
      </c>
      <c r="G8764">
        <v>129</v>
      </c>
      <c r="H8764">
        <v>140.22999999999999</v>
      </c>
      <c r="I8764">
        <v>140.22</v>
      </c>
      <c r="J8764">
        <v>0.01</v>
      </c>
    </row>
    <row r="8765" spans="1:10" x14ac:dyDescent="0.3">
      <c r="A8765" t="str">
        <f>HYPERLINK("https://us2.cloudbeds.com/connect/10074733072513#/reservations/31682197496010?display=MHCUJ49J5&amp;reservation_id=31682197496010", "MHCUJ49J5")</f>
        <v>MHCUJ49J5</v>
      </c>
      <c r="B8765" t="s">
        <v>10</v>
      </c>
      <c r="C8765" t="s">
        <v>121</v>
      </c>
      <c r="D8765" t="str">
        <f>HYPERLINK("https://us2.cloudbeds.com/connect/10074733072513#/reservations/31682197496010?display=Kevin%20Dickey&amp;reservation_id=31682197496010&amp;guest_id=31682197496007", "Kevin Dickey")</f>
        <v>Kevin Dickey</v>
      </c>
      <c r="E8765" t="s">
        <v>7170</v>
      </c>
      <c r="F8765" t="s">
        <v>5575</v>
      </c>
      <c r="G8765">
        <v>119</v>
      </c>
      <c r="H8765">
        <v>129.36000000000001</v>
      </c>
      <c r="I8765">
        <v>129.35</v>
      </c>
      <c r="J8765">
        <v>0.01</v>
      </c>
    </row>
    <row r="8766" spans="1:10" x14ac:dyDescent="0.3">
      <c r="A8766" t="str">
        <f>HYPERLINK("https://us2.cloudbeds.com/connect/10074733072513#/reservations/31682991808716?display=MHDHSU704&amp;reservation_id=31682991808716", "MHDHSU704")</f>
        <v>MHDHSU704</v>
      </c>
      <c r="B8766" t="s">
        <v>10</v>
      </c>
      <c r="C8766" t="s">
        <v>20</v>
      </c>
      <c r="D8766" t="str">
        <f>HYPERLINK("https://us2.cloudbeds.com/connect/10074733072513#/reservations/31682991808716?display=Tammy%20Meyer&amp;reservation_id=31682991808716&amp;guest_id=31682991804669", "Tammy Meyer")</f>
        <v>Tammy Meyer</v>
      </c>
      <c r="E8766" t="s">
        <v>7172</v>
      </c>
      <c r="F8766" t="s">
        <v>6901</v>
      </c>
      <c r="G8766">
        <v>199</v>
      </c>
      <c r="H8766">
        <v>216.32</v>
      </c>
      <c r="I8766">
        <v>216.31</v>
      </c>
      <c r="J8766">
        <v>0.01</v>
      </c>
    </row>
    <row r="8767" spans="1:10" x14ac:dyDescent="0.3">
      <c r="A8767" t="str">
        <f>HYPERLINK("https://us2.cloudbeds.com/connect/10074733072513#/reservations/31684462358661?display=MHEMEUE8N&amp;reservation_id=31684462358661", "MHEMEUE8N")</f>
        <v>MHEMEUE8N</v>
      </c>
      <c r="B8767" t="s">
        <v>10</v>
      </c>
      <c r="C8767" t="s">
        <v>42</v>
      </c>
      <c r="D8767" t="str">
        <f>HYPERLINK("https://us2.cloudbeds.com/connect/10074733072513#/reservations/31684462358661?display=Martin%20Wildermoth&amp;reservation_id=31684462358661&amp;guest_id=31684454490349", "Martin Wildermoth")</f>
        <v>Martin Wildermoth</v>
      </c>
      <c r="E8767" t="s">
        <v>7173</v>
      </c>
      <c r="F8767" t="s">
        <v>7069</v>
      </c>
      <c r="G8767">
        <v>258</v>
      </c>
      <c r="H8767">
        <v>280.45999999999998</v>
      </c>
      <c r="I8767">
        <v>280.45</v>
      </c>
      <c r="J8767">
        <v>0.01</v>
      </c>
    </row>
    <row r="8768" spans="1:10" x14ac:dyDescent="0.3">
      <c r="A8768" t="str">
        <f>HYPERLINK("https://us2.cloudbeds.com/connect/10074733072513#/reservations/31681652465911?display=MHCGYX0QX&amp;reservation_id=31681652465911", "MHCGYX0QX")</f>
        <v>MHCGYX0QX</v>
      </c>
      <c r="B8768" t="s">
        <v>10</v>
      </c>
      <c r="C8768" t="s">
        <v>121</v>
      </c>
      <c r="D8768" t="str">
        <f>HYPERLINK("https://us2.cloudbeds.com/connect/10074733072513#/reservations/31681652465911?display=Garret%20Johnson&amp;reservation_id=31681652465911&amp;guest_id=31681652465906", "Garret Johnson")</f>
        <v>Garret Johnson</v>
      </c>
      <c r="E8768" t="s">
        <v>7175</v>
      </c>
      <c r="F8768" t="s">
        <v>7126</v>
      </c>
      <c r="G8768">
        <v>129</v>
      </c>
      <c r="H8768">
        <v>140.22999999999999</v>
      </c>
      <c r="I8768">
        <v>140.22</v>
      </c>
      <c r="J8768">
        <v>0.01</v>
      </c>
    </row>
    <row r="8769" spans="1:10" x14ac:dyDescent="0.3">
      <c r="A8769" t="str">
        <f>HYPERLINK("https://us2.cloudbeds.com/connect/10074733072513#/reservations/31687285440641?display=MHGSJDS1G&amp;reservation_id=31687285440641", "MHGSJDS1G")</f>
        <v>MHGSJDS1G</v>
      </c>
      <c r="B8769" t="s">
        <v>10</v>
      </c>
      <c r="C8769" t="s">
        <v>42</v>
      </c>
      <c r="D8769" t="str">
        <f>HYPERLINK("https://us2.cloudbeds.com/connect/10074733072513#/reservations/31687285440641?display=Incorporated%20Wohlerscape&amp;reservation_id=31687285440641&amp;guest_id=31687278125289", "Incorporated Wohlerscape")</f>
        <v>Incorporated Wohlerscape</v>
      </c>
      <c r="E8769" t="s">
        <v>7177</v>
      </c>
      <c r="F8769" t="s">
        <v>7069</v>
      </c>
      <c r="G8769">
        <v>149</v>
      </c>
      <c r="H8769">
        <v>161.97</v>
      </c>
      <c r="I8769">
        <v>161.96</v>
      </c>
      <c r="J8769">
        <v>0.01</v>
      </c>
    </row>
    <row r="8770" spans="1:10" x14ac:dyDescent="0.3">
      <c r="A8770" t="str">
        <f>HYPERLINK("https://us2.cloudbeds.com/connect/10074733072513#/reservations/31687247265932?display=MHGRK7J74&amp;reservation_id=31687247265932", "MHGRK7J74")</f>
        <v>MHGRK7J74</v>
      </c>
      <c r="B8770" t="s">
        <v>10</v>
      </c>
      <c r="C8770" t="s">
        <v>23</v>
      </c>
      <c r="D8770" t="str">
        <f>HYPERLINK("https://us2.cloudbeds.com/connect/10074733072513#/reservations/31687247265932?display=Douglas%20Cantrell&amp;reservation_id=31687247265932&amp;guest_id=31687247261835", "Douglas Cantrell")</f>
        <v>Douglas Cantrell</v>
      </c>
      <c r="E8770" t="s">
        <v>7178</v>
      </c>
      <c r="F8770" t="s">
        <v>7069</v>
      </c>
      <c r="G8770">
        <v>139</v>
      </c>
      <c r="H8770">
        <v>151.1</v>
      </c>
      <c r="I8770">
        <v>151.09</v>
      </c>
      <c r="J8770">
        <v>0.01</v>
      </c>
    </row>
    <row r="8771" spans="1:10" x14ac:dyDescent="0.3">
      <c r="A8771" t="str">
        <f>HYPERLINK("https://us2.cloudbeds.com/connect/10074733072513#/reservations/31686682034310?display=MHGD5K5U5&amp;reservation_id=31686682034310", "MHGD5K5U5")</f>
        <v>MHGD5K5U5</v>
      </c>
      <c r="B8771" t="s">
        <v>10</v>
      </c>
      <c r="C8771" t="s">
        <v>42</v>
      </c>
      <c r="D8771" t="str">
        <f>HYPERLINK("https://us2.cloudbeds.com/connect/10074733072513#/reservations/31686682034310?display=Twila%20Hanna&amp;reservation_id=31686682034310&amp;guest_id=31686682030267", "Twila Hanna")</f>
        <v>Twila Hanna</v>
      </c>
      <c r="E8771" t="s">
        <v>7179</v>
      </c>
      <c r="F8771" t="s">
        <v>5575</v>
      </c>
      <c r="G8771">
        <v>97.74</v>
      </c>
      <c r="H8771">
        <v>106.25</v>
      </c>
      <c r="I8771">
        <v>106.24</v>
      </c>
      <c r="J8771">
        <v>0.01</v>
      </c>
    </row>
    <row r="8772" spans="1:10" x14ac:dyDescent="0.3">
      <c r="A8772" t="str">
        <f>HYPERLINK("https://us2.cloudbeds.com/connect/10074733072513#/reservations/31687291547795?display=MHGSZXQ2P&amp;reservation_id=31687291547795", "MHGSZXQ2P")</f>
        <v>MHGSZXQ2P</v>
      </c>
      <c r="B8772" t="s">
        <v>10</v>
      </c>
      <c r="C8772" t="s">
        <v>121</v>
      </c>
      <c r="D8772" t="str">
        <f>HYPERLINK("https://us2.cloudbeds.com/connect/10074733072513#/reservations/31687291547795?display=Arthur%20Owen%20Mack&amp;reservation_id=31687291547795&amp;guest_id=31685221609605", "Arthur Owen Mack")</f>
        <v>Arthur Owen Mack</v>
      </c>
      <c r="E8772" t="s">
        <v>7181</v>
      </c>
      <c r="F8772" t="s">
        <v>7069</v>
      </c>
      <c r="G8772">
        <v>149</v>
      </c>
      <c r="H8772">
        <v>161.97</v>
      </c>
      <c r="I8772">
        <v>161.96</v>
      </c>
      <c r="J8772">
        <v>0.01</v>
      </c>
    </row>
    <row r="8773" spans="1:10" x14ac:dyDescent="0.3">
      <c r="A8773" t="str">
        <f>HYPERLINK("https://us2.cloudbeds.com/connect/10074733072513#/reservations/31684325843154?display=MHEXVQMM5&amp;reservation_id=31684325843154", "MHEXVQMM5")</f>
        <v>MHEXVQMM5</v>
      </c>
      <c r="B8773" t="s">
        <v>10</v>
      </c>
      <c r="C8773" t="s">
        <v>42</v>
      </c>
      <c r="D8773" t="str">
        <f>HYPERLINK("https://us2.cloudbeds.com/connect/10074733072513#/reservations/31684325843154?display=Kylie%20Mielitz&amp;reservation_id=31684325843154&amp;guest_id=31684325843151", "Kylie Mielitz")</f>
        <v>Kylie Mielitz</v>
      </c>
      <c r="E8773" t="s">
        <v>7182</v>
      </c>
      <c r="F8773" t="s">
        <v>5247</v>
      </c>
      <c r="G8773">
        <v>169</v>
      </c>
      <c r="H8773">
        <v>183.71</v>
      </c>
      <c r="I8773">
        <v>183.7</v>
      </c>
      <c r="J8773">
        <v>0.01</v>
      </c>
    </row>
    <row r="8774" spans="1:10" x14ac:dyDescent="0.3">
      <c r="A8774" t="str">
        <f>HYPERLINK("https://us2.cloudbeds.com/connect/10074733072513#/reservations/31682013622524?display=MHCPT2ZDB&amp;reservation_id=31682013622524", "MHCPT2ZDB")</f>
        <v>MHCPT2ZDB</v>
      </c>
      <c r="B8774" t="s">
        <v>10</v>
      </c>
      <c r="C8774" t="s">
        <v>121</v>
      </c>
      <c r="D8774" t="str">
        <f>HYPERLINK("https://us2.cloudbeds.com/connect/10074733072513#/reservations/31682013622524?display=Travis%20Tenkley&amp;reservation_id=31682013622524&amp;guest_id=31682000969954", "Travis Tenkley")</f>
        <v>Travis Tenkley</v>
      </c>
      <c r="E8774" t="s">
        <v>7183</v>
      </c>
      <c r="F8774" t="s">
        <v>5575</v>
      </c>
      <c r="G8774">
        <v>129</v>
      </c>
      <c r="H8774">
        <v>140.22999999999999</v>
      </c>
      <c r="I8774">
        <v>140.22</v>
      </c>
      <c r="J8774">
        <v>0.01</v>
      </c>
    </row>
    <row r="8775" spans="1:10" x14ac:dyDescent="0.3">
      <c r="A8775" t="str">
        <f>HYPERLINK("https://us2.cloudbeds.com/connect/10074733072513#/reservations/31682072182944?display=MHCRCF8TH&amp;reservation_id=31682072182944", "MHCRCF8TH")</f>
        <v>MHCRCF8TH</v>
      </c>
      <c r="B8775" t="s">
        <v>10</v>
      </c>
      <c r="C8775" t="s">
        <v>121</v>
      </c>
      <c r="D8775" t="str">
        <f>HYPERLINK("https://us2.cloudbeds.com/connect/10074733072513#/reservations/31682072182944?display=Gregory%20Crawford&amp;reservation_id=31682072182944&amp;guest_id=31682072182928", "Gregory Crawford")</f>
        <v>Gregory Crawford</v>
      </c>
      <c r="E8775" t="s">
        <v>7184</v>
      </c>
      <c r="F8775" t="s">
        <v>5575</v>
      </c>
      <c r="G8775">
        <v>139</v>
      </c>
      <c r="H8775">
        <v>151.1</v>
      </c>
      <c r="I8775">
        <v>151.09</v>
      </c>
      <c r="J8775">
        <v>0.01</v>
      </c>
    </row>
    <row r="8776" spans="1:10" x14ac:dyDescent="0.3">
      <c r="A8776" t="str">
        <f>HYPERLINK("https://us2.cloudbeds.com/connect/10074733072513#/reservations/31687270432915?display=MHGS6P7RU&amp;reservation_id=31687270432915", "MHGS6P7RU")</f>
        <v>MHGS6P7RU</v>
      </c>
      <c r="B8776" t="s">
        <v>10</v>
      </c>
      <c r="C8776" t="s">
        <v>42</v>
      </c>
      <c r="D8776" t="str">
        <f>HYPERLINK("https://us2.cloudbeds.com/connect/10074733072513#/reservations/31687270432915?display=Incorporated%20Wholerscape&amp;reservation_id=31687270432915&amp;guest_id=31687270432897", "Incorporated Wholerscape")</f>
        <v>Incorporated Wholerscape</v>
      </c>
      <c r="E8776" t="s">
        <v>7185</v>
      </c>
      <c r="F8776" t="s">
        <v>7069</v>
      </c>
      <c r="G8776">
        <v>149</v>
      </c>
      <c r="H8776">
        <v>161.97</v>
      </c>
      <c r="I8776">
        <v>161.96</v>
      </c>
      <c r="J8776">
        <v>0.01</v>
      </c>
    </row>
    <row r="8777" spans="1:10" x14ac:dyDescent="0.3">
      <c r="A8777" t="str">
        <f>HYPERLINK("https://us2.cloudbeds.com/connect/10074733072513#/reservations/31685307658370?display=MHFB1N4ND&amp;reservation_id=31685307658370", "MHFB1N4ND")</f>
        <v>MHFB1N4ND</v>
      </c>
      <c r="B8777" t="s">
        <v>10</v>
      </c>
      <c r="C8777" t="s">
        <v>42</v>
      </c>
      <c r="D8777" t="str">
        <f>HYPERLINK("https://us2.cloudbeds.com/connect/10074733072513#/reservations/31685307658370?display=Jake%20Kamps&amp;reservation_id=31685307658370&amp;guest_id=31685293457640", "Jake Kamps")</f>
        <v>Jake Kamps</v>
      </c>
      <c r="E8777" t="s">
        <v>7186</v>
      </c>
      <c r="F8777" t="s">
        <v>5661</v>
      </c>
      <c r="G8777">
        <v>258</v>
      </c>
      <c r="H8777">
        <v>280.45999999999998</v>
      </c>
      <c r="I8777">
        <v>280.45</v>
      </c>
      <c r="J8777">
        <v>0.01</v>
      </c>
    </row>
    <row r="8778" spans="1:10" x14ac:dyDescent="0.3">
      <c r="A8778" t="str">
        <f>HYPERLINK("https://us2.cloudbeds.com/connect/10074733072513#/reservations/31687303569662?display=MHGT1NAEP&amp;reservation_id=31687303569662", "MHGT1NAEP")</f>
        <v>MHGT1NAEP</v>
      </c>
      <c r="B8778" t="s">
        <v>10</v>
      </c>
      <c r="C8778" t="s">
        <v>14</v>
      </c>
      <c r="D8778" t="str">
        <f>HYPERLINK("https://us2.cloudbeds.com/connect/10074733072513#/reservations/31687303569662?display=Jared%20Gienger&amp;reservation_id=31687303569662&amp;guest_id=31687303569602", "Jared Gienger")</f>
        <v>Jared Gienger</v>
      </c>
      <c r="E8778" t="s">
        <v>7187</v>
      </c>
      <c r="F8778" t="s">
        <v>7069</v>
      </c>
      <c r="G8778">
        <v>110.86</v>
      </c>
      <c r="H8778">
        <v>120.51</v>
      </c>
      <c r="I8778">
        <v>120.5</v>
      </c>
      <c r="J8778">
        <v>0.01</v>
      </c>
    </row>
    <row r="8779" spans="1:10" x14ac:dyDescent="0.3">
      <c r="A8779" t="str">
        <f>HYPERLINK("https://us2.cloudbeds.com/connect/10074733072513#/reservations/31683501645989?display=MHDUTR64G&amp;reservation_id=31683501645989", "MHDUTR64G")</f>
        <v>MHDUTR64G</v>
      </c>
      <c r="B8779" t="s">
        <v>10</v>
      </c>
      <c r="C8779" t="s">
        <v>42</v>
      </c>
      <c r="D8779" t="str">
        <f>HYPERLINK("https://us2.cloudbeds.com/connect/10074733072513#/reservations/31683501645989?display=Shemar%20Woodard&amp;reservation_id=31683501645989&amp;guest_id=31683501645987", "Shemar Woodard")</f>
        <v>Shemar Woodard</v>
      </c>
      <c r="E8779" t="s">
        <v>7188</v>
      </c>
      <c r="F8779" t="s">
        <v>5575</v>
      </c>
      <c r="G8779">
        <v>129</v>
      </c>
      <c r="H8779">
        <v>140.22999999999999</v>
      </c>
      <c r="I8779">
        <v>140.22</v>
      </c>
      <c r="J8779">
        <v>0.01</v>
      </c>
    </row>
    <row r="8780" spans="1:10" x14ac:dyDescent="0.3">
      <c r="A8780" t="str">
        <f>HYPERLINK("https://us2.cloudbeds.com/connect/10074733072513#/reservations/31683470176413?display=MHDU39GEW&amp;reservation_id=31683470176413", "MHDU39GEW")</f>
        <v>MHDU39GEW</v>
      </c>
      <c r="B8780" t="s">
        <v>10</v>
      </c>
      <c r="C8780" t="s">
        <v>121</v>
      </c>
      <c r="D8780" t="str">
        <f>HYPERLINK("https://us2.cloudbeds.com/connect/10074733072513#/reservations/31683470176413?display=Dawn%20Renee%20Duffel&amp;reservation_id=31683470176413&amp;guest_id=31683470176408", "Dawn Renee Duffel")</f>
        <v>Dawn Renee Duffel</v>
      </c>
      <c r="E8780" t="s">
        <v>7189</v>
      </c>
      <c r="F8780" t="s">
        <v>5575</v>
      </c>
      <c r="G8780">
        <v>129</v>
      </c>
      <c r="H8780">
        <v>140.22999999999999</v>
      </c>
      <c r="I8780">
        <v>140.22</v>
      </c>
      <c r="J8780">
        <v>0.01</v>
      </c>
    </row>
    <row r="8781" spans="1:10" x14ac:dyDescent="0.3">
      <c r="A8781" t="str">
        <f>HYPERLINK("https://us2.cloudbeds.com/connect/10074733072513#/reservations/31687254155498?display=MHGRQ19NS&amp;reservation_id=31687254155498", "MHGRQ19NS")</f>
        <v>MHGRQ19NS</v>
      </c>
      <c r="B8781" t="s">
        <v>10</v>
      </c>
      <c r="C8781" t="s">
        <v>42</v>
      </c>
      <c r="D8781" t="str">
        <f>HYPERLINK("https://us2.cloudbeds.com/connect/10074733072513#/reservations/31687254155498?display=Eavion%20Hurst&amp;reservation_id=31687254155498&amp;guest_id=31687254155495", "Eavion Hurst")</f>
        <v>Eavion Hurst</v>
      </c>
      <c r="E8781" t="s">
        <v>7190</v>
      </c>
      <c r="F8781" t="s">
        <v>7069</v>
      </c>
      <c r="G8781">
        <v>73</v>
      </c>
      <c r="H8781">
        <v>79.36</v>
      </c>
      <c r="I8781">
        <v>79.349999999999994</v>
      </c>
      <c r="J8781">
        <v>0.01</v>
      </c>
    </row>
    <row r="8782" spans="1:10" x14ac:dyDescent="0.3">
      <c r="A8782" t="str">
        <f>HYPERLINK("https://us2.cloudbeds.com/connect/10074733072513#/reservations/31683000598691?display=MHDX3AQK1&amp;reservation_id=31683000598691", "MHDX3AQK1")</f>
        <v>MHDX3AQK1</v>
      </c>
      <c r="B8782" t="s">
        <v>10</v>
      </c>
      <c r="C8782" t="s">
        <v>20</v>
      </c>
      <c r="D8782" t="str">
        <f>HYPERLINK("https://us2.cloudbeds.com/connect/10074733072513#/reservations/31683000598691?display=Annetta%20Juhnke&amp;reservation_id=31683000598691&amp;guest_id=31683000594597", "Annetta Juhnke")</f>
        <v>Annetta Juhnke</v>
      </c>
      <c r="E8782" t="s">
        <v>7192</v>
      </c>
      <c r="F8782" t="s">
        <v>6901</v>
      </c>
      <c r="G8782">
        <v>199</v>
      </c>
      <c r="H8782">
        <v>216.32</v>
      </c>
      <c r="I8782">
        <v>216.31</v>
      </c>
      <c r="J8782">
        <v>0.01</v>
      </c>
    </row>
    <row r="8783" spans="1:10" x14ac:dyDescent="0.3">
      <c r="A8783" t="str">
        <f>HYPERLINK("https://us2.cloudbeds.com/connect/10074733072513#/reservations/31682973602012?display=MHDHDXJ8S&amp;reservation_id=31682973602012", "MHDHDXJ8S")</f>
        <v>MHDHDXJ8S</v>
      </c>
      <c r="B8783" t="s">
        <v>10</v>
      </c>
      <c r="C8783" t="s">
        <v>42</v>
      </c>
      <c r="D8783" t="str">
        <f>HYPERLINK("https://us2.cloudbeds.com/connect/10074733072513#/reservations/31682973602012?display=David%20Jones&amp;reservation_id=31682973602012&amp;guest_id=31682973597920", "David Jones")</f>
        <v>David Jones</v>
      </c>
      <c r="E8783" t="s">
        <v>7193</v>
      </c>
      <c r="F8783" t="s">
        <v>6901</v>
      </c>
      <c r="G8783">
        <v>73</v>
      </c>
      <c r="H8783">
        <v>79.36</v>
      </c>
      <c r="I8783">
        <v>79.349999999999994</v>
      </c>
      <c r="J8783">
        <v>0.01</v>
      </c>
    </row>
    <row r="8784" spans="1:10" x14ac:dyDescent="0.3">
      <c r="A8784" t="str">
        <f>HYPERLINK("https://us2.cloudbeds.com/connect/10074733072513#/reservations/31686723223689?display=MHGE7BB15&amp;reservation_id=31686723223689", "MHGE7BB15")</f>
        <v>MHGE7BB15</v>
      </c>
      <c r="B8784" t="s">
        <v>10</v>
      </c>
      <c r="C8784" t="s">
        <v>42</v>
      </c>
      <c r="D8784" t="str">
        <f>HYPERLINK("https://us2.cloudbeds.com/connect/10074733072513#/reservations/31686723223689?display=Michelle%20Clemann&amp;reservation_id=31686723223689&amp;guest_id=31686723219596", "Michelle Clemann")</f>
        <v>Michelle Clemann</v>
      </c>
      <c r="E8784" t="s">
        <v>7194</v>
      </c>
      <c r="F8784" t="s">
        <v>7069</v>
      </c>
      <c r="G8784">
        <v>129</v>
      </c>
      <c r="H8784">
        <v>140.22999999999999</v>
      </c>
      <c r="I8784">
        <v>140.22</v>
      </c>
      <c r="J8784">
        <v>0.01</v>
      </c>
    </row>
    <row r="8785" spans="1:10" x14ac:dyDescent="0.3">
      <c r="A8785" t="str">
        <f>HYPERLINK("https://us2.cloudbeds.com/connect/10074733072513#/reservations/31681836499107?display=MHCYBZ0Y2&amp;reservation_id=31681836499107", "MHCYBZ0Y2")</f>
        <v>MHCYBZ0Y2</v>
      </c>
      <c r="B8785" t="s">
        <v>10</v>
      </c>
      <c r="C8785" t="s">
        <v>42</v>
      </c>
      <c r="D8785" t="str">
        <f>HYPERLINK("https://us2.cloudbeds.com/connect/10074733072513#/reservations/31681836499107?display=David%20Blamick&amp;reservation_id=31681836499107&amp;guest_id=31681822994635", "David Blamick")</f>
        <v>David Blamick</v>
      </c>
      <c r="E8785" t="s">
        <v>7195</v>
      </c>
      <c r="F8785" t="s">
        <v>3785</v>
      </c>
      <c r="G8785">
        <v>119</v>
      </c>
      <c r="H8785">
        <v>129.36000000000001</v>
      </c>
      <c r="I8785">
        <v>129.35</v>
      </c>
      <c r="J8785">
        <v>0.01</v>
      </c>
    </row>
    <row r="8786" spans="1:10" x14ac:dyDescent="0.3">
      <c r="A8786" t="str">
        <f>HYPERLINK("https://us2.cloudbeds.com/connect/10074733072513#/reservations/31681858674907?display=MHCYUE330&amp;reservation_id=31681858674907", "MHCYUE330")</f>
        <v>MHCYUE330</v>
      </c>
      <c r="B8786" t="s">
        <v>10</v>
      </c>
      <c r="C8786" t="s">
        <v>121</v>
      </c>
      <c r="D8786" t="str">
        <f>HYPERLINK("https://us2.cloudbeds.com/connect/10074733072513#/reservations/31681858674907?display=Simrakh%20Mahmood&amp;reservation_id=31681858674907&amp;guest_id=31681858670822", "Simrakh Mahmood")</f>
        <v>Simrakh Mahmood</v>
      </c>
      <c r="E8786" t="s">
        <v>7196</v>
      </c>
      <c r="F8786" t="s">
        <v>6413</v>
      </c>
      <c r="G8786">
        <v>252</v>
      </c>
      <c r="H8786">
        <v>273.93</v>
      </c>
      <c r="I8786">
        <v>273.92</v>
      </c>
      <c r="J8786">
        <v>0.01</v>
      </c>
    </row>
    <row r="8787" spans="1:10" x14ac:dyDescent="0.3">
      <c r="A8787" t="str">
        <f>HYPERLINK("https://us2.cloudbeds.com/connect/10074733072513#/reservations/31682965217415?display=MHDH6G8U5&amp;reservation_id=31682965217415", "MHDH6G8U5")</f>
        <v>MHDH6G8U5</v>
      </c>
      <c r="B8787" t="s">
        <v>10</v>
      </c>
      <c r="C8787" t="s">
        <v>42</v>
      </c>
      <c r="D8787" t="str">
        <f>HYPERLINK("https://us2.cloudbeds.com/connect/10074733072513#/reservations/31682965217415?display=Carrie%20Bourassa&amp;reservation_id=31682965217415&amp;guest_id=31682965213323", "Carrie Bourassa")</f>
        <v>Carrie Bourassa</v>
      </c>
      <c r="E8787" t="s">
        <v>7198</v>
      </c>
      <c r="F8787" t="s">
        <v>6901</v>
      </c>
      <c r="G8787">
        <v>209</v>
      </c>
      <c r="H8787">
        <v>227.19</v>
      </c>
      <c r="I8787">
        <v>227.18</v>
      </c>
      <c r="J8787">
        <v>0.01</v>
      </c>
    </row>
    <row r="8788" spans="1:10" x14ac:dyDescent="0.3">
      <c r="A8788" t="str">
        <f>HYPERLINK("https://us2.cloudbeds.com/connect/10074733072513#/reservations/31683036725453?display=MHDJ0Q2SD&amp;reservation_id=31683036725453", "MHDJ0Q2SD")</f>
        <v>MHDJ0Q2SD</v>
      </c>
      <c r="B8788" t="s">
        <v>10</v>
      </c>
      <c r="C8788" t="s">
        <v>121</v>
      </c>
      <c r="D8788" t="str">
        <f>HYPERLINK("https://us2.cloudbeds.com/connect/10074733072513#/reservations/31683036725453?display=Brenda%20Cook&amp;reservation_id=31683036725453&amp;guest_id=31683036725448", "Brenda Cook")</f>
        <v>Brenda Cook</v>
      </c>
      <c r="E8788" t="s">
        <v>7201</v>
      </c>
      <c r="F8788" t="s">
        <v>6901</v>
      </c>
      <c r="G8788">
        <v>199</v>
      </c>
      <c r="H8788">
        <v>216.32</v>
      </c>
      <c r="I8788">
        <v>216.31</v>
      </c>
      <c r="J8788">
        <v>0.01</v>
      </c>
    </row>
    <row r="8789" spans="1:10" x14ac:dyDescent="0.3">
      <c r="A8789" t="str">
        <f>HYPERLINK("https://us2.cloudbeds.com/connect/10074733072513#/reservations/31733981741274?display=MXK0PW88X&amp;reservation_id=31733981741274", "MXK0PW88X")</f>
        <v>MXK0PW88X</v>
      </c>
      <c r="B8789" t="s">
        <v>10</v>
      </c>
      <c r="C8789" t="s">
        <v>42</v>
      </c>
      <c r="D8789" t="str">
        <f>HYPERLINK("https://us2.cloudbeds.com/connect/10074733072513#/reservations/31733981741274?display=Jamey%20Hult&amp;reservation_id=31733981741274&amp;guest_id=31733981741269", "Jamey Hult")</f>
        <v>Jamey Hult</v>
      </c>
      <c r="E8789" t="s">
        <v>7202</v>
      </c>
      <c r="F8789" t="s">
        <v>7203</v>
      </c>
      <c r="G8789">
        <v>169</v>
      </c>
      <c r="H8789">
        <v>183.71</v>
      </c>
      <c r="I8789">
        <v>183.7</v>
      </c>
      <c r="J8789">
        <v>0.01</v>
      </c>
    </row>
    <row r="8790" spans="1:10" x14ac:dyDescent="0.3">
      <c r="A8790" t="str">
        <f>HYPERLINK("https://us2.cloudbeds.com/connect/10074733072513#/reservations/31692059050128?display=MHKXXYXRE&amp;reservation_id=31692059050128", "MHKXXYXRE")</f>
        <v>MHKXXYXRE</v>
      </c>
      <c r="B8790" t="s">
        <v>10</v>
      </c>
      <c r="C8790" t="s">
        <v>23</v>
      </c>
      <c r="D8790" t="str">
        <f>HYPERLINK("https://us2.cloudbeds.com/connect/10074733072513#/reservations/31692059050128?display=Shari%20Enno&amp;reservation_id=31692059050128&amp;guest_id=31692059050126", "Shari Enno")</f>
        <v>Shari Enno</v>
      </c>
      <c r="E8790" t="s">
        <v>7204</v>
      </c>
      <c r="F8790" t="s">
        <v>7205</v>
      </c>
      <c r="G8790">
        <v>169</v>
      </c>
      <c r="H8790">
        <v>183.71</v>
      </c>
      <c r="I8790">
        <v>183.7</v>
      </c>
      <c r="J8790">
        <v>0.01</v>
      </c>
    </row>
    <row r="8791" spans="1:10" x14ac:dyDescent="0.3">
      <c r="A8791" t="str">
        <f>HYPERLINK("https://us2.cloudbeds.com/connect/10074733072513#/reservations/31692059046029?display=MHKXXYF27&amp;reservation_id=31692059046029", "MHKXXYF27")</f>
        <v>MHKXXYF27</v>
      </c>
      <c r="B8791" t="s">
        <v>10</v>
      </c>
      <c r="C8791" t="s">
        <v>23</v>
      </c>
      <c r="D8791" t="str">
        <f>HYPERLINK("https://us2.cloudbeds.com/connect/10074733072513#/reservations/31692059046029?display=Alison%20Enno&amp;reservation_id=31692059046029&amp;guest_id=31692059046027", "Alison Enno")</f>
        <v>Alison Enno</v>
      </c>
      <c r="E8791" t="s">
        <v>7206</v>
      </c>
      <c r="F8791" t="s">
        <v>7205</v>
      </c>
      <c r="G8791">
        <v>298</v>
      </c>
      <c r="H8791">
        <v>323.94</v>
      </c>
      <c r="I8791">
        <v>323.93</v>
      </c>
      <c r="J8791">
        <v>0.01</v>
      </c>
    </row>
    <row r="8792" spans="1:10" x14ac:dyDescent="0.3">
      <c r="A8792" t="str">
        <f>HYPERLINK("https://us2.cloudbeds.com/connect/10074733072513#/reservations/31692031586559?display=MHKHSGBP2&amp;reservation_id=31692031586559", "MHKHSGBP2")</f>
        <v>MHKHSGBP2</v>
      </c>
      <c r="B8792" t="s">
        <v>10</v>
      </c>
      <c r="C8792" t="s">
        <v>17</v>
      </c>
      <c r="D8792" t="str">
        <f>HYPERLINK("https://us2.cloudbeds.com/connect/10074733072513#/reservations/31692031586559?display=Doreen%20Jung&amp;reservation_id=31692031586559&amp;guest_id=31692031586557", "Doreen Jung")</f>
        <v>Doreen Jung</v>
      </c>
      <c r="E8792" t="s">
        <v>7207</v>
      </c>
      <c r="F8792" t="s">
        <v>7205</v>
      </c>
      <c r="G8792">
        <v>169</v>
      </c>
      <c r="H8792">
        <v>183.71</v>
      </c>
      <c r="I8792">
        <v>183.7</v>
      </c>
      <c r="J8792">
        <v>0.01</v>
      </c>
    </row>
    <row r="8793" spans="1:10" x14ac:dyDescent="0.3">
      <c r="A8793" t="str">
        <f>HYPERLINK("https://us2.cloudbeds.com/connect/10074733072513#/reservations/31686024184057?display=MHFTBTHC0&amp;reservation_id=31686024184057", "MHFTBTHC0")</f>
        <v>MHFTBTHC0</v>
      </c>
      <c r="B8793" t="s">
        <v>10</v>
      </c>
      <c r="C8793" t="s">
        <v>42</v>
      </c>
      <c r="D8793" t="str">
        <f>HYPERLINK("https://us2.cloudbeds.com/connect/10074733072513#/reservations/31686024184057?display=Cindy%20Zenk&amp;reservation_id=31686024184057&amp;guest_id=31686015119518", "Cindy Zenk")</f>
        <v>Cindy Zenk</v>
      </c>
      <c r="E8793" t="s">
        <v>7208</v>
      </c>
      <c r="F8793" t="s">
        <v>7090</v>
      </c>
      <c r="G8793">
        <v>129</v>
      </c>
      <c r="H8793">
        <v>140.22999999999999</v>
      </c>
      <c r="I8793">
        <v>140.22</v>
      </c>
      <c r="J8793">
        <v>0.01</v>
      </c>
    </row>
    <row r="8794" spans="1:10" x14ac:dyDescent="0.3">
      <c r="A8794" t="str">
        <f>HYPERLINK("https://us2.cloudbeds.com/connect/10074733072513#/reservations/31682180882585?display=MHCU53WU1&amp;reservation_id=31682180882585", "MHCU53WU1")</f>
        <v>MHCU53WU1</v>
      </c>
      <c r="B8794" t="s">
        <v>10</v>
      </c>
      <c r="C8794" t="s">
        <v>42</v>
      </c>
      <c r="D8794" t="str">
        <f>HYPERLINK("https://us2.cloudbeds.com/connect/10074733072513#/reservations/31682180882585?display=Brayan%20Hernandez%20Lozano&amp;reservation_id=31682180882585&amp;guest_id=31682180878498", "Brayan Hernandez Lozano")</f>
        <v>Brayan Hernandez Lozano</v>
      </c>
      <c r="E8794" t="s">
        <v>7209</v>
      </c>
      <c r="F8794" t="s">
        <v>6413</v>
      </c>
      <c r="G8794">
        <v>139</v>
      </c>
      <c r="H8794">
        <v>151.1</v>
      </c>
      <c r="I8794">
        <v>151.09</v>
      </c>
      <c r="J8794">
        <v>0.01</v>
      </c>
    </row>
    <row r="8795" spans="1:10" x14ac:dyDescent="0.3">
      <c r="A8795" t="str">
        <f>HYPERLINK("https://us2.cloudbeds.com/connect/10074733072513#/reservations/31692088045762?display=MHKJA3DP0&amp;reservation_id=31692088045762", "MHKJA3DP0")</f>
        <v>MHKJA3DP0</v>
      </c>
      <c r="B8795" t="s">
        <v>10</v>
      </c>
      <c r="C8795" t="s">
        <v>17</v>
      </c>
      <c r="D8795" t="str">
        <f>HYPERLINK("https://us2.cloudbeds.com/connect/10074733072513#/reservations/31692088045762?display=Chelsey%20Lippert&amp;reservation_id=31692088045762&amp;guest_id=31692088045760", "Chelsey Lippert")</f>
        <v>Chelsey Lippert</v>
      </c>
      <c r="E8795" t="s">
        <v>7207</v>
      </c>
      <c r="F8795" t="s">
        <v>7205</v>
      </c>
      <c r="G8795">
        <v>169</v>
      </c>
      <c r="H8795">
        <v>183.71</v>
      </c>
      <c r="I8795">
        <v>183.7</v>
      </c>
      <c r="J8795">
        <v>0.01</v>
      </c>
    </row>
    <row r="8796" spans="1:10" x14ac:dyDescent="0.3">
      <c r="A8796" t="str">
        <f>HYPERLINK("https://us2.cloudbeds.com/connect/10074733072513#/reservations/31687416537282?display=MHGVUVQKW&amp;reservation_id=31687416537282", "MHGVUVQKW")</f>
        <v>MHGVUVQKW</v>
      </c>
      <c r="B8796" t="s">
        <v>10</v>
      </c>
      <c r="C8796" t="s">
        <v>121</v>
      </c>
      <c r="D8796" t="str">
        <f>HYPERLINK("https://us2.cloudbeds.com/connect/10074733072513#/reservations/31687416537282?display=Todd%20Day&amp;reservation_id=31687416537282&amp;guest_id=31687416533190", "Todd Day")</f>
        <v>Todd Day</v>
      </c>
      <c r="E8796" t="s">
        <v>7212</v>
      </c>
      <c r="F8796" t="s">
        <v>5842</v>
      </c>
      <c r="G8796">
        <v>73</v>
      </c>
      <c r="H8796">
        <v>79.36</v>
      </c>
      <c r="I8796">
        <v>79.349999999999994</v>
      </c>
      <c r="J8796">
        <v>0.01</v>
      </c>
    </row>
    <row r="8797" spans="1:10" x14ac:dyDescent="0.3">
      <c r="A8797" t="str">
        <f>HYPERLINK("https://us2.cloudbeds.com/connect/10074733072513#/reservations/31685447991451?display=MHFEY13T0&amp;reservation_id=31685447991451", "MHFEY13T0")</f>
        <v>MHFEY13T0</v>
      </c>
      <c r="B8797" t="s">
        <v>10</v>
      </c>
      <c r="C8797" t="s">
        <v>23</v>
      </c>
      <c r="D8797" t="str">
        <f>HYPERLINK("https://us2.cloudbeds.com/connect/10074733072513#/reservations/31685447991451?display=Nick%20Clausen&amp;reservation_id=31685447991451&amp;guest_id=31685447991428", "Nick Clausen")</f>
        <v>Nick Clausen</v>
      </c>
      <c r="E8797" t="s">
        <v>7213</v>
      </c>
      <c r="F8797" t="s">
        <v>5842</v>
      </c>
      <c r="G8797">
        <v>129</v>
      </c>
      <c r="H8797">
        <v>140.22999999999999</v>
      </c>
      <c r="I8797">
        <v>140.22</v>
      </c>
      <c r="J8797">
        <v>0.01</v>
      </c>
    </row>
    <row r="8798" spans="1:10" x14ac:dyDescent="0.3">
      <c r="A8798" t="str">
        <f>HYPERLINK("https://us2.cloudbeds.com/connect/10074733072513#/reservations/31682260066440?display=MHCW5TDBQ&amp;reservation_id=31682260066440", "MHCW5TDBQ")</f>
        <v>MHCW5TDBQ</v>
      </c>
      <c r="B8798" t="s">
        <v>10</v>
      </c>
      <c r="C8798" t="s">
        <v>42</v>
      </c>
      <c r="D8798" t="str">
        <f>HYPERLINK("https://us2.cloudbeds.com/connect/10074733072513#/reservations/31682260066440?display=Roman%20Martynyuk&amp;reservation_id=31682260066440&amp;guest_id=31682260062348", "Roman Martynyuk")</f>
        <v>Roman Martynyuk</v>
      </c>
      <c r="E8798" t="s">
        <v>7214</v>
      </c>
      <c r="F8798" t="s">
        <v>6413</v>
      </c>
      <c r="G8798">
        <v>129</v>
      </c>
      <c r="H8798">
        <v>140.22999999999999</v>
      </c>
      <c r="I8798">
        <v>140.22</v>
      </c>
      <c r="J8798">
        <v>0.01</v>
      </c>
    </row>
    <row r="8799" spans="1:10" x14ac:dyDescent="0.3">
      <c r="A8799" t="str">
        <f>HYPERLINK("https://us2.cloudbeds.com/connect/10074733072513#/reservations/31685480476897?display=MHFFFE2DF&amp;reservation_id=31685480476897", "MHFFFE2DF")</f>
        <v>MHFFFE2DF</v>
      </c>
      <c r="B8799" t="s">
        <v>10</v>
      </c>
      <c r="C8799" t="s">
        <v>42</v>
      </c>
      <c r="D8799" t="str">
        <f>HYPERLINK("https://us2.cloudbeds.com/connect/10074733072513#/reservations/31685480476897?display=Davion%20Hurts&amp;reservation_id=31685480476897&amp;guest_id=31685480472816", "Davion Hurts")</f>
        <v>Davion Hurts</v>
      </c>
      <c r="E8799" t="s">
        <v>7216</v>
      </c>
      <c r="F8799" t="s">
        <v>5842</v>
      </c>
      <c r="G8799">
        <v>73</v>
      </c>
      <c r="H8799">
        <v>79.36</v>
      </c>
      <c r="I8799">
        <v>79.349999999999994</v>
      </c>
      <c r="J8799">
        <v>0.01</v>
      </c>
    </row>
    <row r="8800" spans="1:10" x14ac:dyDescent="0.3">
      <c r="A8800" t="str">
        <f>HYPERLINK("https://us2.cloudbeds.com/connect/10074733072513#/reservations/31683955667129?display=MHE9GYWPS&amp;reservation_id=31683955667129", "MHE9GYWPS")</f>
        <v>MHE9GYWPS</v>
      </c>
      <c r="B8800" t="s">
        <v>10</v>
      </c>
      <c r="C8800" t="s">
        <v>42</v>
      </c>
      <c r="D8800" t="str">
        <f>HYPERLINK("https://us2.cloudbeds.com/connect/10074733072513#/reservations/31683955667129?display=Breelle%20Breaw&amp;reservation_id=31683955667129&amp;guest_id=31683926810850", "Breelle Breaw")</f>
        <v>Breelle Breaw</v>
      </c>
      <c r="E8800" t="s">
        <v>7217</v>
      </c>
      <c r="F8800" t="s">
        <v>7090</v>
      </c>
      <c r="G8800">
        <v>150</v>
      </c>
      <c r="H8800">
        <v>163.06</v>
      </c>
      <c r="I8800">
        <v>163.05000000000001</v>
      </c>
      <c r="J8800">
        <v>0.01</v>
      </c>
    </row>
    <row r="8801" spans="1:10" x14ac:dyDescent="0.3">
      <c r="A8801" t="str">
        <f>HYPERLINK("https://us2.cloudbeds.com/connect/10074733072513#/reservations/31683978035441?display=MHEA2HE0G&amp;reservation_id=31683978035441", "MHEA2HE0G")</f>
        <v>MHEA2HE0G</v>
      </c>
      <c r="B8801" t="s">
        <v>10</v>
      </c>
      <c r="C8801" t="s">
        <v>20</v>
      </c>
      <c r="D8801" t="str">
        <f>HYPERLINK("https://us2.cloudbeds.com/connect/10074733072513#/reservations/31683978035441?display=William%20Goodling&amp;reservation_id=31683978035441&amp;guest_id=31683978035439", "William Goodling")</f>
        <v>William Goodling</v>
      </c>
      <c r="E8801" t="s">
        <v>7218</v>
      </c>
      <c r="F8801" t="s">
        <v>7075</v>
      </c>
      <c r="G8801">
        <v>129</v>
      </c>
      <c r="H8801">
        <v>140.22999999999999</v>
      </c>
      <c r="I8801">
        <v>140.22</v>
      </c>
      <c r="J8801">
        <v>0.01</v>
      </c>
    </row>
    <row r="8802" spans="1:10" x14ac:dyDescent="0.3">
      <c r="A8802" t="str">
        <f>HYPERLINK("https://us2.cloudbeds.com/connect/10074733072513#/reservations/31683677208800?display=MHE2CSFRM&amp;reservation_id=31683677208800", "MHE2CSFRM")</f>
        <v>MHE2CSFRM</v>
      </c>
      <c r="B8802" t="s">
        <v>10</v>
      </c>
      <c r="C8802" t="s">
        <v>121</v>
      </c>
      <c r="D8802" t="str">
        <f>HYPERLINK("https://us2.cloudbeds.com/connect/10074733072513#/reservations/31683677208800?display=Douglas%20Spenner&amp;reservation_id=31683677208800&amp;guest_id=31683677208797", "Douglas Spenner")</f>
        <v>Douglas Spenner</v>
      </c>
      <c r="E8802" t="s">
        <v>7219</v>
      </c>
      <c r="F8802" t="s">
        <v>7075</v>
      </c>
      <c r="G8802">
        <v>129</v>
      </c>
      <c r="H8802">
        <v>140.22999999999999</v>
      </c>
      <c r="I8802">
        <v>140.22</v>
      </c>
      <c r="J8802">
        <v>0.01</v>
      </c>
    </row>
    <row r="8803" spans="1:10" x14ac:dyDescent="0.3">
      <c r="A8803" t="str">
        <f>HYPERLINK("https://us2.cloudbeds.com/connect/10074733072513#/reservations/31684404293802?display=MHEKVVMRH&amp;reservation_id=31684404293802", "MHEKVVMRH")</f>
        <v>MHEKVVMRH</v>
      </c>
      <c r="B8803" t="s">
        <v>10</v>
      </c>
      <c r="C8803" t="s">
        <v>42</v>
      </c>
      <c r="D8803" t="str">
        <f>HYPERLINK("https://us2.cloudbeds.com/connect/10074733072513#/reservations/31684404293802?display=Troy%20Harder&amp;reservation_id=31684404293802&amp;guest_id=31678024057039", "Troy Harder")</f>
        <v>Troy Harder</v>
      </c>
      <c r="E8803" t="s">
        <v>6009</v>
      </c>
      <c r="F8803" t="s">
        <v>5563</v>
      </c>
      <c r="G8803">
        <v>149</v>
      </c>
      <c r="H8803">
        <v>161.97</v>
      </c>
      <c r="I8803">
        <v>161.96</v>
      </c>
      <c r="J8803">
        <v>0.01</v>
      </c>
    </row>
    <row r="8804" spans="1:10" x14ac:dyDescent="0.3">
      <c r="A8804" t="str">
        <f>HYPERLINK("https://us2.cloudbeds.com/connect/10074733072513#/reservations/31683677204704?display=MHE2CSC2X&amp;reservation_id=31683677204704", "MHE2CSC2X")</f>
        <v>MHE2CSC2X</v>
      </c>
      <c r="B8804" t="s">
        <v>10</v>
      </c>
      <c r="C8804" t="s">
        <v>20</v>
      </c>
      <c r="D8804" t="str">
        <f>HYPERLINK("https://us2.cloudbeds.com/connect/10074733072513#/reservations/31683677204704?display=Sara%20Hamsa&amp;reservation_id=31683677204704&amp;guest_id=31683665531015", "Sara Hamsa")</f>
        <v>Sara Hamsa</v>
      </c>
      <c r="E8804" t="s">
        <v>7220</v>
      </c>
      <c r="F8804" t="s">
        <v>7075</v>
      </c>
      <c r="G8804">
        <v>129</v>
      </c>
      <c r="H8804">
        <v>140.22999999999999</v>
      </c>
      <c r="I8804">
        <v>140.22</v>
      </c>
      <c r="J8804">
        <v>0.01</v>
      </c>
    </row>
    <row r="8805" spans="1:10" x14ac:dyDescent="0.3">
      <c r="A8805" t="str">
        <f>HYPERLINK("https://us2.cloudbeds.com/connect/10074733072513#/reservations/31683665526922?display=MHE230DMC&amp;reservation_id=31683665526922", "MHE230DMC")</f>
        <v>MHE230DMC</v>
      </c>
      <c r="B8805" t="s">
        <v>10</v>
      </c>
      <c r="C8805" t="s">
        <v>20</v>
      </c>
      <c r="D8805" t="str">
        <f>HYPERLINK("https://us2.cloudbeds.com/connect/10074733072513#/reservations/31683665526922?display=Paul%20Goodling&amp;reservation_id=31683665526922&amp;guest_id=31683665526920", "Paul Goodling")</f>
        <v>Paul Goodling</v>
      </c>
      <c r="E8805" t="s">
        <v>7221</v>
      </c>
      <c r="F8805" t="s">
        <v>7075</v>
      </c>
      <c r="G8805">
        <v>129</v>
      </c>
      <c r="H8805">
        <v>140.22999999999999</v>
      </c>
      <c r="I8805">
        <v>140.22</v>
      </c>
      <c r="J8805">
        <v>0.01</v>
      </c>
    </row>
    <row r="8806" spans="1:10" x14ac:dyDescent="0.3">
      <c r="A8806" t="str">
        <f>HYPERLINK("https://us2.cloudbeds.com/connect/10074733072513#/reservations/31682870452467?display=MHDEPJ9P2&amp;reservation_id=31682870452467", "MHDEPJ9P2")</f>
        <v>MHDEPJ9P2</v>
      </c>
      <c r="B8806" t="s">
        <v>10</v>
      </c>
      <c r="C8806" t="s">
        <v>20</v>
      </c>
      <c r="D8806" t="str">
        <f>HYPERLINK("https://us2.cloudbeds.com/connect/10074733072513#/reservations/31682870452467?display=Allison%20Gephart&amp;reservation_id=31682870452467&amp;guest_id=31682870452462", "Allison Gephart")</f>
        <v>Allison Gephart</v>
      </c>
      <c r="E8806" t="s">
        <v>7222</v>
      </c>
      <c r="F8806" t="s">
        <v>5661</v>
      </c>
      <c r="G8806">
        <v>398</v>
      </c>
      <c r="H8806">
        <v>432.64</v>
      </c>
      <c r="I8806">
        <v>432.63</v>
      </c>
      <c r="J8806">
        <v>0.01</v>
      </c>
    </row>
    <row r="8807" spans="1:10" x14ac:dyDescent="0.3">
      <c r="A8807" t="str">
        <f>HYPERLINK("https://us2.cloudbeds.com/connect/10074733072513#/reservations/31687408238767?display=MHGVNVTAR&amp;reservation_id=31687408238767", "MHGVNVTAR")</f>
        <v>MHGVNVTAR</v>
      </c>
      <c r="B8807" t="s">
        <v>10</v>
      </c>
      <c r="C8807" t="s">
        <v>11</v>
      </c>
      <c r="D8807" t="str">
        <f>HYPERLINK("https://us2.cloudbeds.com/connect/10074733072513#/reservations/31687408238767?display=Kyle%20Popham&amp;reservation_id=31687408238767&amp;guest_id=31687408238764", "Kyle Popham")</f>
        <v>Kyle Popham</v>
      </c>
      <c r="E8807" t="s">
        <v>7223</v>
      </c>
      <c r="F8807" t="s">
        <v>5842</v>
      </c>
      <c r="G8807">
        <v>97.74</v>
      </c>
      <c r="H8807">
        <v>106.25</v>
      </c>
      <c r="I8807">
        <v>106.24</v>
      </c>
      <c r="J8807">
        <v>0.01</v>
      </c>
    </row>
    <row r="8808" spans="1:10" x14ac:dyDescent="0.3">
      <c r="A8808" t="str">
        <f>HYPERLINK("https://us2.cloudbeds.com/connect/10074733072513#/reservations/31683224244365?display=MHDNQU2HM&amp;reservation_id=31683224244365", "MHDNQU2HM")</f>
        <v>MHDNQU2HM</v>
      </c>
      <c r="B8808" t="s">
        <v>10</v>
      </c>
      <c r="C8808" t="s">
        <v>23</v>
      </c>
      <c r="D8808" t="str">
        <f>HYPERLINK("https://us2.cloudbeds.com/connect/10074733072513#/reservations/31683224244365?display=Derik%20Bialas&amp;reservation_id=31683224244365&amp;guest_id=31683224240264", "Derik Bialas")</f>
        <v>Derik Bialas</v>
      </c>
      <c r="E8808" t="s">
        <v>7225</v>
      </c>
      <c r="F8808" t="s">
        <v>4772</v>
      </c>
      <c r="G8808">
        <v>199</v>
      </c>
      <c r="H8808">
        <v>216.32</v>
      </c>
      <c r="I8808">
        <v>216.31</v>
      </c>
      <c r="J8808">
        <v>0.01</v>
      </c>
    </row>
    <row r="8809" spans="1:10" x14ac:dyDescent="0.3">
      <c r="A8809" t="str">
        <f>HYPERLINK("https://us2.cloudbeds.com/connect/10074733072513#/reservations/31695114875124?display=MHMUYDDCT&amp;reservation_id=31695114875124", "MHMUYDDCT")</f>
        <v>MHMUYDDCT</v>
      </c>
      <c r="B8809" t="s">
        <v>10</v>
      </c>
      <c r="C8809" t="s">
        <v>42</v>
      </c>
      <c r="D8809" t="str">
        <f>HYPERLINK("https://us2.cloudbeds.com/connect/10074733072513#/reservations/31695114875124?display=Jill%20Opdahl&amp;reservation_id=31695114875124&amp;guest_id=31695114875072", "Jill Opdahl")</f>
        <v>Jill Opdahl</v>
      </c>
      <c r="E8809" t="s">
        <v>7227</v>
      </c>
      <c r="F8809" t="s">
        <v>7006</v>
      </c>
      <c r="G8809">
        <v>278</v>
      </c>
      <c r="H8809">
        <v>302.2</v>
      </c>
      <c r="I8809">
        <v>302.19</v>
      </c>
      <c r="J8809">
        <v>0.01</v>
      </c>
    </row>
    <row r="8810" spans="1:10" x14ac:dyDescent="0.3">
      <c r="A8810" t="str">
        <f>HYPERLINK("https://us2.cloudbeds.com/connect/10074733072513#/reservations/31682269204704?display=MHCWDJMPT&amp;reservation_id=31682269204704", "MHCWDJMPT")</f>
        <v>MHCWDJMPT</v>
      </c>
      <c r="B8810" t="s">
        <v>10</v>
      </c>
      <c r="C8810" t="s">
        <v>20</v>
      </c>
      <c r="D8810" t="str">
        <f>HYPERLINK("https://us2.cloudbeds.com/connect/10074733072513#/reservations/31682269204704?display=Diana%20Stevens&amp;reservation_id=31682269204704&amp;guest_id=31682269204699", "Diana Stevens")</f>
        <v>Diana Stevens</v>
      </c>
      <c r="E8810" t="s">
        <v>7228</v>
      </c>
      <c r="F8810" t="s">
        <v>5017</v>
      </c>
      <c r="G8810">
        <v>209</v>
      </c>
      <c r="H8810">
        <v>227.19</v>
      </c>
      <c r="I8810">
        <v>227.18</v>
      </c>
      <c r="J8810">
        <v>0.01</v>
      </c>
    </row>
    <row r="8811" spans="1:10" x14ac:dyDescent="0.3">
      <c r="A8811" t="str">
        <f>HYPERLINK("https://us2.cloudbeds.com/connect/10074733072513#/reservations/31683231355113?display=MHDNWTV4T&amp;reservation_id=31683231355113", "MHDNWTV4T")</f>
        <v>MHDNWTV4T</v>
      </c>
      <c r="B8811" t="s">
        <v>10</v>
      </c>
      <c r="C8811" t="s">
        <v>14</v>
      </c>
      <c r="D8811" t="str">
        <f>HYPERLINK("https://us2.cloudbeds.com/connect/10074733072513#/reservations/31683231355113?display=Lakin%20Funk&amp;reservation_id=31683231355113&amp;guest_id=31683231355108", "Lakin Funk")</f>
        <v>Lakin Funk</v>
      </c>
      <c r="E8811" t="s">
        <v>7229</v>
      </c>
      <c r="F8811" t="s">
        <v>4772</v>
      </c>
      <c r="G8811">
        <v>293.72000000000003</v>
      </c>
      <c r="H8811">
        <v>319.27999999999997</v>
      </c>
      <c r="I8811">
        <v>319.27</v>
      </c>
      <c r="J8811">
        <v>0.01</v>
      </c>
    </row>
    <row r="8812" spans="1:10" x14ac:dyDescent="0.3">
      <c r="A8812" t="str">
        <f>HYPERLINK("https://us2.cloudbeds.com/connect/10074733072513#/reservations/31683635908756?display=MHE1B1836&amp;reservation_id=31683635908756", "MHE1B1836")</f>
        <v>MHE1B1836</v>
      </c>
      <c r="B8812" t="s">
        <v>10</v>
      </c>
      <c r="C8812" t="s">
        <v>121</v>
      </c>
      <c r="D8812" t="str">
        <f>HYPERLINK("https://us2.cloudbeds.com/connect/10074733072513#/reservations/31683635908756?display=Scott%20Brady&amp;reservation_id=31683635908756&amp;guest_id=31683635908752", "Scott Brady")</f>
        <v>Scott Brady</v>
      </c>
      <c r="E8812" t="s">
        <v>7230</v>
      </c>
      <c r="F8812" t="s">
        <v>7075</v>
      </c>
      <c r="G8812">
        <v>169</v>
      </c>
      <c r="H8812">
        <v>183.71</v>
      </c>
      <c r="I8812">
        <v>183.7</v>
      </c>
      <c r="J8812">
        <v>0.01</v>
      </c>
    </row>
    <row r="8813" spans="1:10" x14ac:dyDescent="0.3">
      <c r="A8813" t="str">
        <f>HYPERLINK("https://us2.cloudbeds.com/connect/10074733072513#/reservations/31683888124099?display=MHE7PNGQC&amp;reservation_id=31683888124099", "MHE7PNGQC")</f>
        <v>MHE7PNGQC</v>
      </c>
      <c r="B8813" t="s">
        <v>10</v>
      </c>
      <c r="C8813" t="s">
        <v>121</v>
      </c>
      <c r="D8813" t="str">
        <f>HYPERLINK("https://us2.cloudbeds.com/connect/10074733072513#/reservations/31683888124099?display=Anthony%20Egert&amp;reservation_id=31683888124099&amp;guest_id=31683888124097", "Anthony Egert")</f>
        <v>Anthony Egert</v>
      </c>
      <c r="E8813" t="s">
        <v>7231</v>
      </c>
      <c r="F8813" t="s">
        <v>7075</v>
      </c>
      <c r="G8813">
        <v>159</v>
      </c>
      <c r="H8813">
        <v>172.84</v>
      </c>
      <c r="I8813">
        <v>172.83</v>
      </c>
      <c r="J8813">
        <v>0.01</v>
      </c>
    </row>
    <row r="8814" spans="1:10" x14ac:dyDescent="0.3">
      <c r="A8814" t="str">
        <f>HYPERLINK("https://us2.cloudbeds.com/connect/10074733072513#/reservations/31684124430499?display=MHEDQW2ZC&amp;reservation_id=31684124430499", "MHEDQW2ZC")</f>
        <v>MHEDQW2ZC</v>
      </c>
      <c r="B8814" t="s">
        <v>10</v>
      </c>
      <c r="C8814" t="s">
        <v>42</v>
      </c>
      <c r="D8814" t="str">
        <f>HYPERLINK("https://us2.cloudbeds.com/connect/10074733072513#/reservations/31684124430499?display=Greg%20Abbott&amp;reservation_id=31684124430499&amp;guest_id=31684115509431", "Greg Abbott")</f>
        <v>Greg Abbott</v>
      </c>
      <c r="E8814" t="s">
        <v>7232</v>
      </c>
      <c r="F8814" t="s">
        <v>5017</v>
      </c>
      <c r="G8814">
        <v>278</v>
      </c>
      <c r="H8814">
        <v>302.2</v>
      </c>
      <c r="I8814">
        <v>302.19</v>
      </c>
      <c r="J8814">
        <v>0.01</v>
      </c>
    </row>
    <row r="8815" spans="1:10" x14ac:dyDescent="0.3">
      <c r="A8815" t="str">
        <f>HYPERLINK("https://us2.cloudbeds.com/connect/10074733072513#/reservations/31684144378092?display=MHEEAQ52T&amp;reservation_id=31684144378092", "MHEEAQ52T")</f>
        <v>MHEEAQ52T</v>
      </c>
      <c r="B8815" t="s">
        <v>10</v>
      </c>
      <c r="C8815" t="s">
        <v>42</v>
      </c>
      <c r="D8815" t="str">
        <f>HYPERLINK("https://us2.cloudbeds.com/connect/10074733072513#/reservations/31684144378092?display=Chris%20Samek&amp;reservation_id=31684144378092&amp;guest_id=31684144378087", "Chris Samek")</f>
        <v>Chris Samek</v>
      </c>
      <c r="E8815" t="s">
        <v>7233</v>
      </c>
      <c r="F8815" t="s">
        <v>5017</v>
      </c>
      <c r="G8815">
        <v>199</v>
      </c>
      <c r="H8815">
        <v>216.32</v>
      </c>
      <c r="I8815">
        <v>216.31</v>
      </c>
      <c r="J8815">
        <v>0.01</v>
      </c>
    </row>
    <row r="8816" spans="1:10" x14ac:dyDescent="0.3">
      <c r="A8816" t="str">
        <f>HYPERLINK("https://us2.cloudbeds.com/connect/10074733072513#/reservations/31685083287763?display=MHF5AGN33&amp;reservation_id=31685083287763", "MHF5AGN33")</f>
        <v>MHF5AGN33</v>
      </c>
      <c r="B8816" t="s">
        <v>10</v>
      </c>
      <c r="C8816" t="s">
        <v>121</v>
      </c>
      <c r="D8816" t="str">
        <f>HYPERLINK("https://us2.cloudbeds.com/connect/10074733072513#/reservations/31685083287763?display=Stanley%20D%20Kapp&amp;reservation_id=31685083287763&amp;guest_id=31685076410554", "Stanley D Kapp")</f>
        <v>Stanley D Kapp</v>
      </c>
      <c r="E8816" t="s">
        <v>7234</v>
      </c>
      <c r="F8816" t="s">
        <v>5576</v>
      </c>
      <c r="G8816">
        <v>129</v>
      </c>
      <c r="H8816">
        <v>140.22999999999999</v>
      </c>
      <c r="I8816">
        <v>140.22</v>
      </c>
      <c r="J8816">
        <v>0.01</v>
      </c>
    </row>
    <row r="8817" spans="1:10" x14ac:dyDescent="0.3">
      <c r="A8817" t="str">
        <f>HYPERLINK("https://us2.cloudbeds.com/connect/10074733072513#/reservations/31686324650183?display=MHG418EG4&amp;reservation_id=31686324650183", "MHG418EG4")</f>
        <v>MHG418EG4</v>
      </c>
      <c r="B8817" t="s">
        <v>10</v>
      </c>
      <c r="C8817" t="s">
        <v>121</v>
      </c>
      <c r="D8817" t="str">
        <f>HYPERLINK("https://us2.cloudbeds.com/connect/10074733072513#/reservations/31686324650183?display=Matthew%20Bode&amp;reservation_id=31686324650183&amp;guest_id=31673064198286", "Matthew Bode")</f>
        <v>Matthew Bode</v>
      </c>
      <c r="E8817" t="s">
        <v>7235</v>
      </c>
      <c r="F8817" t="s">
        <v>5576</v>
      </c>
      <c r="G8817">
        <v>129</v>
      </c>
      <c r="H8817">
        <v>140.22999999999999</v>
      </c>
      <c r="I8817">
        <v>140.22</v>
      </c>
      <c r="J8817">
        <v>0.01</v>
      </c>
    </row>
    <row r="8818" spans="1:10" x14ac:dyDescent="0.3">
      <c r="A8818" t="str">
        <f>HYPERLINK("https://us2.cloudbeds.com/connect/10074733072513#/reservations/31686342135946?display=MHG4G006Z&amp;reservation_id=31686342135946", "MHG4G006Z")</f>
        <v>MHG4G006Z</v>
      </c>
      <c r="B8818" t="s">
        <v>10</v>
      </c>
      <c r="C8818" t="s">
        <v>42</v>
      </c>
      <c r="D8818" t="str">
        <f>HYPERLINK("https://us2.cloudbeds.com/connect/10074733072513#/reservations/31686342135946?display=Cody%20Weaver&amp;reservation_id=31686342135946&amp;guest_id=31680293580948", "Cody Weaver")</f>
        <v>Cody Weaver</v>
      </c>
      <c r="E8818" t="s">
        <v>6136</v>
      </c>
      <c r="F8818" t="s">
        <v>5576</v>
      </c>
      <c r="G8818">
        <v>129</v>
      </c>
      <c r="H8818">
        <v>140.22999999999999</v>
      </c>
      <c r="I8818">
        <v>140.22</v>
      </c>
      <c r="J8818">
        <v>0.01</v>
      </c>
    </row>
    <row r="8819" spans="1:10" x14ac:dyDescent="0.3">
      <c r="A8819" t="str">
        <f>HYPERLINK("https://us2.cloudbeds.com/connect/10074733072513#/reservations/31689466474686?display=MHXXAHB48&amp;reservation_id=31689466474686", "MHXXAHB48")</f>
        <v>MHXXAHB48</v>
      </c>
      <c r="B8819" t="s">
        <v>10</v>
      </c>
      <c r="C8819" t="s">
        <v>42</v>
      </c>
      <c r="D8819" t="str">
        <f>HYPERLINK("https://us2.cloudbeds.com/connect/10074733072513#/reservations/31689466474686?display=Elizabeth%20Jenpges&amp;reservation_id=31689466474686&amp;guest_id=31689466474682", "Elizabeth Jenpges")</f>
        <v>Elizabeth Jenpges</v>
      </c>
      <c r="E8819" t="s">
        <v>7236</v>
      </c>
      <c r="F8819" t="s">
        <v>5576</v>
      </c>
      <c r="G8819">
        <v>129</v>
      </c>
      <c r="H8819">
        <v>140.22999999999999</v>
      </c>
      <c r="I8819">
        <v>140.22</v>
      </c>
      <c r="J8819">
        <v>0.01</v>
      </c>
    </row>
    <row r="8820" spans="1:10" x14ac:dyDescent="0.3">
      <c r="A8820" t="str">
        <f>HYPERLINK("https://us2.cloudbeds.com/connect/10074733072513#/reservations/31687060697285?display=MHGMRU14P&amp;reservation_id=31687060697285", "MHGMRU14P")</f>
        <v>MHGMRU14P</v>
      </c>
      <c r="B8820" t="s">
        <v>10</v>
      </c>
      <c r="C8820" t="s">
        <v>23</v>
      </c>
      <c r="D8820" t="str">
        <f>HYPERLINK("https://us2.cloudbeds.com/connect/10074733072513#/reservations/31687060697285?display=Bethany%20Grover&amp;reservation_id=31687060697285&amp;guest_id=31687060697281", "Bethany Grover")</f>
        <v>Bethany Grover</v>
      </c>
      <c r="E8820" t="s">
        <v>7237</v>
      </c>
      <c r="F8820" t="s">
        <v>6866</v>
      </c>
      <c r="G8820">
        <v>129</v>
      </c>
      <c r="H8820">
        <v>140.22999999999999</v>
      </c>
      <c r="I8820">
        <v>140.22</v>
      </c>
      <c r="J8820">
        <v>0.01</v>
      </c>
    </row>
    <row r="8821" spans="1:10" x14ac:dyDescent="0.3">
      <c r="A8821" t="str">
        <f>HYPERLINK("https://us2.cloudbeds.com/connect/10074733072513#/reservations/31688261263573?display=MHHKH8XHC&amp;reservation_id=31688261263573", "MHHKH8XHC")</f>
        <v>MHHKH8XHC</v>
      </c>
      <c r="B8821" t="s">
        <v>10</v>
      </c>
      <c r="C8821" t="s">
        <v>42</v>
      </c>
      <c r="D8821" t="str">
        <f>HYPERLINK("https://us2.cloudbeds.com/connect/10074733072513#/reservations/31688261263573?display=Dale%20Briggs&amp;reservation_id=31688261263573&amp;guest_id=31688261259482", "Dale Briggs")</f>
        <v>Dale Briggs</v>
      </c>
      <c r="E8821" t="s">
        <v>7240</v>
      </c>
      <c r="F8821" t="s">
        <v>5247</v>
      </c>
      <c r="G8821">
        <v>139</v>
      </c>
      <c r="H8821">
        <v>151.1</v>
      </c>
      <c r="I8821">
        <v>151.09</v>
      </c>
      <c r="J8821">
        <v>0.01</v>
      </c>
    </row>
    <row r="8822" spans="1:10" x14ac:dyDescent="0.3">
      <c r="A8822" t="str">
        <f>HYPERLINK("https://us2.cloudbeds.com/connect/10074733072513#/reservations/31686006141127?display=MHFSTMF0X&amp;reservation_id=31686006141127", "MHFSTMF0X")</f>
        <v>MHFSTMF0X</v>
      </c>
      <c r="B8822" t="s">
        <v>10</v>
      </c>
      <c r="C8822" t="s">
        <v>42</v>
      </c>
      <c r="D8822" t="str">
        <f>HYPERLINK("https://us2.cloudbeds.com/connect/10074733072513#/reservations/31686006141127?display=Arthur%20Mack&amp;reservation_id=31686006141127&amp;guest_id=31684395917471", "Arthur Mack")</f>
        <v>Arthur Mack</v>
      </c>
      <c r="E8822" t="s">
        <v>7241</v>
      </c>
      <c r="F8822" t="s">
        <v>7090</v>
      </c>
      <c r="G8822">
        <v>169</v>
      </c>
      <c r="H8822">
        <v>183.71</v>
      </c>
      <c r="I8822">
        <v>183.7</v>
      </c>
      <c r="J8822">
        <v>0.01</v>
      </c>
    </row>
    <row r="8823" spans="1:10" x14ac:dyDescent="0.3">
      <c r="A8823" t="str">
        <f>HYPERLINK("https://us2.cloudbeds.com/connect/10074733072513#/reservations/31684464607465?display=MHEMGR099&amp;reservation_id=31684464607465", "MHEMGR099")</f>
        <v>MHEMGR099</v>
      </c>
      <c r="B8823" t="s">
        <v>10</v>
      </c>
      <c r="C8823" t="s">
        <v>23</v>
      </c>
      <c r="D8823" t="str">
        <f>HYPERLINK("https://us2.cloudbeds.com/connect/10074733072513#/reservations/31684464607465?display=Curt%20Edelman&amp;reservation_id=31684464607465&amp;guest_id=31684464607442", "Curt Edelman")</f>
        <v>Curt Edelman</v>
      </c>
      <c r="E8823" t="s">
        <v>7244</v>
      </c>
      <c r="F8823" t="s">
        <v>5559</v>
      </c>
      <c r="G8823">
        <v>129</v>
      </c>
      <c r="H8823">
        <v>140.22999999999999</v>
      </c>
      <c r="I8823">
        <v>140.22</v>
      </c>
      <c r="J8823">
        <v>0.01</v>
      </c>
    </row>
    <row r="8824" spans="1:10" x14ac:dyDescent="0.3">
      <c r="A8824" t="str">
        <f>HYPERLINK("https://us2.cloudbeds.com/connect/10074733072513#/reservations/31684072227034?display=MHECFVEM6&amp;reservation_id=31684072227034", "MHECFVEM6")</f>
        <v>MHECFVEM6</v>
      </c>
      <c r="B8824" t="s">
        <v>10</v>
      </c>
      <c r="C8824" t="s">
        <v>42</v>
      </c>
      <c r="D8824" t="str">
        <f>HYPERLINK("https://us2.cloudbeds.com/connect/10074733072513#/reservations/31684072227034?display=Nick%20Hill&amp;reservation_id=31684072227034&amp;guest_id=30685427339464", "Nick Hill")</f>
        <v>Nick Hill</v>
      </c>
      <c r="E8824" t="s">
        <v>7245</v>
      </c>
      <c r="F8824" t="s">
        <v>7090</v>
      </c>
      <c r="G8824">
        <v>73</v>
      </c>
      <c r="H8824">
        <v>79.36</v>
      </c>
      <c r="I8824">
        <v>79.349999999999994</v>
      </c>
      <c r="J8824">
        <v>0.01</v>
      </c>
    </row>
    <row r="8825" spans="1:10" x14ac:dyDescent="0.3">
      <c r="A8825" t="str">
        <f>HYPERLINK("https://us2.cloudbeds.com/connect/10074733072513#/reservations/31687443476677?display=MHGWKMEC9&amp;reservation_id=31687443476677", "MHGWKMEC9")</f>
        <v>MHGWKMEC9</v>
      </c>
      <c r="B8825" t="s">
        <v>10</v>
      </c>
      <c r="C8825" t="s">
        <v>42</v>
      </c>
      <c r="D8825" t="str">
        <f>HYPERLINK("https://us2.cloudbeds.com/connect/10074733072513#/reservations/31687443476677?display=Ryan%20Koeck&amp;reservation_id=31687443476677&amp;guest_id=31687434141855", "Ryan Koeck")</f>
        <v>Ryan Koeck</v>
      </c>
      <c r="E8825" t="s">
        <v>7246</v>
      </c>
      <c r="F8825" t="s">
        <v>7090</v>
      </c>
      <c r="G8825">
        <v>139</v>
      </c>
      <c r="H8825">
        <v>151.1</v>
      </c>
      <c r="I8825">
        <v>151.09</v>
      </c>
      <c r="J8825">
        <v>0.01</v>
      </c>
    </row>
    <row r="8826" spans="1:10" x14ac:dyDescent="0.3">
      <c r="A8826" t="str">
        <f>HYPERLINK("https://us2.cloudbeds.com/connect/10074733072513#/reservations/31685594448019?display=MHFXCHG2R&amp;reservation_id=31685594448019", "MHFXCHG2R")</f>
        <v>MHFXCHG2R</v>
      </c>
      <c r="B8826" t="s">
        <v>10</v>
      </c>
      <c r="C8826" t="s">
        <v>42</v>
      </c>
      <c r="D8826" t="str">
        <f>HYPERLINK("https://us2.cloudbeds.com/connect/10074733072513#/reservations/31685594448019?display=Deborah%20Richards&amp;reservation_id=31685594448019&amp;guest_id=30686385983674", "Deborah Richards")</f>
        <v>Deborah Richards</v>
      </c>
      <c r="E8826" t="s">
        <v>1211</v>
      </c>
      <c r="F8826" t="s">
        <v>7248</v>
      </c>
      <c r="G8826">
        <v>373.3</v>
      </c>
      <c r="H8826">
        <v>405.79</v>
      </c>
      <c r="I8826">
        <v>405.78</v>
      </c>
      <c r="J8826">
        <v>0.01</v>
      </c>
    </row>
    <row r="8827" spans="1:10" x14ac:dyDescent="0.3">
      <c r="A8827" t="str">
        <f>HYPERLINK("https://us2.cloudbeds.com/connect/10074733072513#/reservations/31684009238728?display=MHEASRN5Y&amp;reservation_id=31684009238728", "MHEASRN5Y")</f>
        <v>MHEASRN5Y</v>
      </c>
      <c r="B8827" t="s">
        <v>10</v>
      </c>
      <c r="C8827" t="s">
        <v>42</v>
      </c>
      <c r="D8827" t="str">
        <f>HYPERLINK("https://us2.cloudbeds.com/connect/10074733072513#/reservations/31684009238728?display=Erin%20Miller&amp;reservation_id=31684009238728&amp;guest_id=31684009238726", "Erin Miller")</f>
        <v>Erin Miller</v>
      </c>
      <c r="E8827" t="s">
        <v>7249</v>
      </c>
      <c r="F8827" t="s">
        <v>6507</v>
      </c>
      <c r="G8827">
        <v>139</v>
      </c>
      <c r="H8827">
        <v>151.1</v>
      </c>
      <c r="I8827">
        <v>151.09</v>
      </c>
      <c r="J8827">
        <v>0.01</v>
      </c>
    </row>
    <row r="8828" spans="1:10" x14ac:dyDescent="0.3">
      <c r="A8828" t="str">
        <f>HYPERLINK("https://us2.cloudbeds.com/connect/10074733072513#/reservations/31683974992013?display=MHE9WVZAD&amp;reservation_id=31683974992013", "MHE9WVZAD")</f>
        <v>MHE9WVZAD</v>
      </c>
      <c r="B8828" t="s">
        <v>10</v>
      </c>
      <c r="C8828" t="s">
        <v>42</v>
      </c>
      <c r="D8828" t="str">
        <f>HYPERLINK("https://us2.cloudbeds.com/connect/10074733072513#/reservations/31683974992013?display=Peter%20Mcelmurry&amp;reservation_id=31683974992013&amp;guest_id=31683974992008", "Peter Mcelmurry")</f>
        <v>Peter Mcelmurry</v>
      </c>
      <c r="E8828" t="s">
        <v>7250</v>
      </c>
      <c r="F8828" t="s">
        <v>7090</v>
      </c>
      <c r="G8828">
        <v>73</v>
      </c>
      <c r="H8828">
        <v>79.36</v>
      </c>
      <c r="I8828">
        <v>79.349999999999994</v>
      </c>
      <c r="J8828">
        <v>0.01</v>
      </c>
    </row>
    <row r="8829" spans="1:10" x14ac:dyDescent="0.3">
      <c r="A8829" t="str">
        <f>HYPERLINK("https://us2.cloudbeds.com/connect/10074733072513#/reservations/31684859719832?display=MHEWJWJXA&amp;reservation_id=31684859719832", "MHEWJWJXA")</f>
        <v>MHEWJWJXA</v>
      </c>
      <c r="B8829" t="s">
        <v>10</v>
      </c>
      <c r="C8829" t="s">
        <v>42</v>
      </c>
      <c r="D8829" t="str">
        <f>HYPERLINK("https://us2.cloudbeds.com/connect/10074733072513#/reservations/31684859719832?display=Kyrie%20Buck&amp;reservation_id=31684859719832&amp;guest_id=31683244540114", "Kyrie Buck")</f>
        <v>Kyrie Buck</v>
      </c>
      <c r="E8829" t="s">
        <v>7251</v>
      </c>
      <c r="F8829" t="s">
        <v>7008</v>
      </c>
      <c r="G8829">
        <v>420</v>
      </c>
      <c r="H8829">
        <v>456.55</v>
      </c>
      <c r="I8829">
        <v>456.54</v>
      </c>
      <c r="J8829">
        <v>0.01</v>
      </c>
    </row>
    <row r="8830" spans="1:10" x14ac:dyDescent="0.3">
      <c r="A8830" t="str">
        <f>HYPERLINK("https://us2.cloudbeds.com/connect/10074733072513#/reservations/31684480762021?display=MHEMUEHJ9&amp;reservation_id=31684480762021", "MHEMUEHJ9")</f>
        <v>MHEMUEHJ9</v>
      </c>
      <c r="B8830" t="s">
        <v>10</v>
      </c>
      <c r="C8830" t="s">
        <v>42</v>
      </c>
      <c r="D8830" t="str">
        <f>HYPERLINK("https://us2.cloudbeds.com/connect/10074733072513#/reservations/31684480762021?display=Nate%20Stellrecht&amp;reservation_id=31684480762021&amp;guest_id=31683224240261", "Nate Stellrecht")</f>
        <v>Nate Stellrecht</v>
      </c>
      <c r="E8830" t="s">
        <v>7087</v>
      </c>
      <c r="F8830" t="s">
        <v>5559</v>
      </c>
      <c r="G8830">
        <v>225</v>
      </c>
      <c r="H8830">
        <v>244.59</v>
      </c>
      <c r="I8830">
        <v>244.58</v>
      </c>
      <c r="J8830">
        <v>0.01</v>
      </c>
    </row>
    <row r="8831" spans="1:10" x14ac:dyDescent="0.3">
      <c r="A8831" t="str">
        <f>HYPERLINK("https://us2.cloudbeds.com/connect/10074733072513#/reservations/31686888906949?display=MHGXF1NK0&amp;reservation_id=31686888906949", "MHGXF1NK0")</f>
        <v>MHGXF1NK0</v>
      </c>
      <c r="B8831" t="s">
        <v>10</v>
      </c>
      <c r="C8831" t="s">
        <v>42</v>
      </c>
      <c r="D8831" t="str">
        <f>HYPERLINK("https://us2.cloudbeds.com/connect/10074733072513#/reservations/31686888906949?display=Audra%20Rew&amp;reservation_id=31686888906949&amp;guest_id=31686888902855", "Audra Rew")</f>
        <v>Audra Rew</v>
      </c>
      <c r="E8831" t="s">
        <v>7253</v>
      </c>
      <c r="F8831" t="s">
        <v>5935</v>
      </c>
      <c r="G8831">
        <v>358</v>
      </c>
      <c r="H8831">
        <v>389.16</v>
      </c>
      <c r="I8831">
        <v>389.15</v>
      </c>
      <c r="J8831">
        <v>0.01</v>
      </c>
    </row>
    <row r="8832" spans="1:10" x14ac:dyDescent="0.3">
      <c r="A8832" t="str">
        <f>HYPERLINK("https://us2.cloudbeds.com/connect/10074733072513#/reservations/31687664930966?display=MHH59DZ0A&amp;reservation_id=31687664930966", "MHH59DZ0A")</f>
        <v>MHH59DZ0A</v>
      </c>
      <c r="B8832" t="s">
        <v>10</v>
      </c>
      <c r="C8832" t="s">
        <v>42</v>
      </c>
      <c r="D8832" t="str">
        <f>HYPERLINK("https://us2.cloudbeds.com/connect/10074733072513#/reservations/31687664930966?display=Sheldon%20Anhorn&amp;reservation_id=31687664930966&amp;guest_id=31687656751302", "Sheldon Anhorn")</f>
        <v>Sheldon Anhorn</v>
      </c>
      <c r="E8832" t="s">
        <v>7254</v>
      </c>
      <c r="F8832" t="s">
        <v>5822</v>
      </c>
      <c r="G8832">
        <v>158</v>
      </c>
      <c r="H8832">
        <v>171.76</v>
      </c>
      <c r="I8832">
        <v>171.75</v>
      </c>
      <c r="J8832">
        <v>0.01</v>
      </c>
    </row>
    <row r="8833" spans="1:10" x14ac:dyDescent="0.3">
      <c r="A8833" t="str">
        <f>HYPERLINK("https://us2.cloudbeds.com/connect/10074733072513#/reservations/31695068655840?display=MHMTFE9EH&amp;reservation_id=31695068655840", "MHMTFE9EH")</f>
        <v>MHMTFE9EH</v>
      </c>
      <c r="B8833" t="s">
        <v>10</v>
      </c>
      <c r="C8833" t="s">
        <v>42</v>
      </c>
      <c r="D8833" t="str">
        <f>HYPERLINK("https://us2.cloudbeds.com/connect/10074733072513#/reservations/31695068655840?display=Jill%20Opdahl&amp;reservation_id=31695068655840&amp;guest_id=31695068655827", "Jill Opdahl")</f>
        <v>Jill Opdahl</v>
      </c>
      <c r="E8833" t="s">
        <v>7077</v>
      </c>
      <c r="F8833" t="s">
        <v>7006</v>
      </c>
      <c r="G8833">
        <v>278</v>
      </c>
      <c r="H8833">
        <v>302.2</v>
      </c>
      <c r="I8833">
        <v>302.19</v>
      </c>
      <c r="J8833">
        <v>0.01</v>
      </c>
    </row>
    <row r="8834" spans="1:10" x14ac:dyDescent="0.3">
      <c r="A8834" t="str">
        <f>HYPERLINK("https://us2.cloudbeds.com/connect/10074733072513#/reservations/31683519738016?display=MHDVC2KXZ&amp;reservation_id=31683519738016", "MHDVC2KXZ")</f>
        <v>MHDVC2KXZ</v>
      </c>
      <c r="B8834" t="s">
        <v>10</v>
      </c>
      <c r="C8834" t="s">
        <v>42</v>
      </c>
      <c r="D8834" t="str">
        <f>HYPERLINK("https://us2.cloudbeds.com/connect/10074733072513#/reservations/31683519738016?display=Jennifer%20Kreager&amp;reservation_id=31683519738016&amp;guest_id=31683519738013", "Jennifer Kreager")</f>
        <v>Jennifer Kreager</v>
      </c>
      <c r="E8834" t="s">
        <v>7255</v>
      </c>
      <c r="F8834" t="s">
        <v>6507</v>
      </c>
      <c r="G8834">
        <v>119</v>
      </c>
      <c r="H8834">
        <v>129.36000000000001</v>
      </c>
      <c r="I8834">
        <v>129.35</v>
      </c>
      <c r="J8834">
        <v>0.01</v>
      </c>
    </row>
    <row r="8835" spans="1:10" x14ac:dyDescent="0.3">
      <c r="A8835" t="str">
        <f>HYPERLINK("https://us2.cloudbeds.com/connect/10074733072513#/reservations/31685114679517?display=MHF63W7AC&amp;reservation_id=31685114679517", "MHF63W7AC")</f>
        <v>MHF63W7AC</v>
      </c>
      <c r="B8835" t="s">
        <v>10</v>
      </c>
      <c r="C8835" t="s">
        <v>42</v>
      </c>
      <c r="D8835" t="str">
        <f>HYPERLINK("https://us2.cloudbeds.com/connect/10074733072513#/reservations/31685114679517?display=Lisa%20Koeck&amp;reservation_id=31685114679517&amp;guest_id=31685114679515", "Lisa Koeck")</f>
        <v>Lisa Koeck</v>
      </c>
      <c r="E8835" t="s">
        <v>7256</v>
      </c>
      <c r="F8835" t="s">
        <v>4772</v>
      </c>
      <c r="G8835">
        <v>199</v>
      </c>
      <c r="H8835">
        <v>216.32</v>
      </c>
      <c r="I8835">
        <v>216.31</v>
      </c>
      <c r="J8835">
        <v>0.01</v>
      </c>
    </row>
    <row r="8836" spans="1:10" x14ac:dyDescent="0.3">
      <c r="A8836" t="str">
        <f>HYPERLINK("https://us2.cloudbeds.com/connect/10074733072513#/reservations/31682345521283?display=MHD1BVA9E&amp;reservation_id=31682345521283", "MHD1BVA9E")</f>
        <v>MHD1BVA9E</v>
      </c>
      <c r="B8836" t="s">
        <v>10</v>
      </c>
      <c r="C8836" t="s">
        <v>42</v>
      </c>
      <c r="D8836" t="str">
        <f>HYPERLINK("https://us2.cloudbeds.com/connect/10074733072513#/reservations/31682345521283?display=Russell%20Reese&amp;reservation_id=31682345521283&amp;guest_id=31682345517199", "Russell Reese")</f>
        <v>Russell Reese</v>
      </c>
      <c r="E8836" t="s">
        <v>7257</v>
      </c>
      <c r="F8836" t="s">
        <v>4772</v>
      </c>
      <c r="G8836">
        <v>179</v>
      </c>
      <c r="H8836">
        <v>194.58</v>
      </c>
      <c r="I8836">
        <v>194.57</v>
      </c>
      <c r="J8836">
        <v>0.01</v>
      </c>
    </row>
    <row r="8837" spans="1:10" x14ac:dyDescent="0.3">
      <c r="A8837" t="str">
        <f>HYPERLINK("https://us2.cloudbeds.com/connect/10074733072513#/reservations/31685224796292?display=MHF8URCYB&amp;reservation_id=31685224796292", "MHF8URCYB")</f>
        <v>MHF8URCYB</v>
      </c>
      <c r="B8837" t="s">
        <v>10</v>
      </c>
      <c r="C8837" t="s">
        <v>42</v>
      </c>
      <c r="D8837" t="str">
        <f>HYPERLINK("https://us2.cloudbeds.com/connect/10074733072513#/reservations/31685224796292?display=Yolonda%20Pierce&amp;reservation_id=31685224796292&amp;guest_id=31685224796290", "Yolonda Pierce")</f>
        <v>Yolonda Pierce</v>
      </c>
      <c r="E8837" t="s">
        <v>7258</v>
      </c>
      <c r="F8837" t="s">
        <v>4772</v>
      </c>
      <c r="G8837">
        <v>199</v>
      </c>
      <c r="H8837">
        <v>216.32</v>
      </c>
      <c r="I8837">
        <v>216.31</v>
      </c>
      <c r="J8837">
        <v>0.01</v>
      </c>
    </row>
    <row r="8838" spans="1:10" x14ac:dyDescent="0.3">
      <c r="A8838" t="str">
        <f>HYPERLINK("https://us2.cloudbeds.com/connect/10074733072513#/reservations/31692197703868?display=MHKM3XQTU&amp;reservation_id=31692197703868", "MHKM3XQTU")</f>
        <v>MHKM3XQTU</v>
      </c>
      <c r="B8838" t="s">
        <v>10</v>
      </c>
      <c r="C8838" t="s">
        <v>23</v>
      </c>
      <c r="D8838" t="str">
        <f>HYPERLINK("https://us2.cloudbeds.com/connect/10074733072513#/reservations/31692197703868?display=Kayla%20Hoffman&amp;reservation_id=31692197703868&amp;guest_id=31692197703866", "Kayla Hoffman")</f>
        <v>Kayla Hoffman</v>
      </c>
      <c r="E8838" t="s">
        <v>7259</v>
      </c>
      <c r="F8838" t="s">
        <v>7027</v>
      </c>
      <c r="G8838">
        <v>179</v>
      </c>
      <c r="H8838">
        <v>194.58</v>
      </c>
      <c r="I8838">
        <v>194.57</v>
      </c>
      <c r="J8838">
        <v>0.01</v>
      </c>
    </row>
    <row r="8839" spans="1:10" x14ac:dyDescent="0.3">
      <c r="A8839" t="str">
        <f>HYPERLINK("https://us2.cloudbeds.com/connect/10074733072513#/reservations/31682246115549?display=MHCVR46KH&amp;reservation_id=31682246115549", "MHCVR46KH")</f>
        <v>MHCVR46KH</v>
      </c>
      <c r="B8839" t="s">
        <v>10</v>
      </c>
      <c r="C8839" t="s">
        <v>42</v>
      </c>
      <c r="D8839" t="str">
        <f>HYPERLINK("https://us2.cloudbeds.com/connect/10074733072513#/reservations/31682246115549?display=Jason%20Alder&amp;reservation_id=31682246115549&amp;guest_id=31682246115544", "Jason Alder")</f>
        <v>Jason Alder</v>
      </c>
      <c r="E8839" t="s">
        <v>7261</v>
      </c>
      <c r="F8839" t="s">
        <v>6841</v>
      </c>
      <c r="G8839">
        <v>129</v>
      </c>
      <c r="H8839">
        <v>140.22999999999999</v>
      </c>
      <c r="I8839">
        <v>140.22</v>
      </c>
      <c r="J8839">
        <v>0.01</v>
      </c>
    </row>
    <row r="8840" spans="1:10" x14ac:dyDescent="0.3">
      <c r="A8840" t="str">
        <f>HYPERLINK("https://us2.cloudbeds.com/connect/10074733072513#/reservations/31682301186234?display=MHD07XKJ5&amp;reservation_id=31682301186234", "MHD07XKJ5")</f>
        <v>MHD07XKJ5</v>
      </c>
      <c r="B8840" t="s">
        <v>10</v>
      </c>
      <c r="C8840" t="s">
        <v>42</v>
      </c>
      <c r="D8840" t="str">
        <f>HYPERLINK("https://us2.cloudbeds.com/connect/10074733072513#/reservations/31682301186234?display=Richard%20Bloomfield&amp;reservation_id=31682301186234&amp;guest_id=31682301186229", "Richard Bloomfield")</f>
        <v>Richard Bloomfield</v>
      </c>
      <c r="E8840" t="s">
        <v>7265</v>
      </c>
      <c r="F8840" t="s">
        <v>6841</v>
      </c>
      <c r="G8840">
        <v>129</v>
      </c>
      <c r="H8840">
        <v>140.22999999999999</v>
      </c>
      <c r="I8840">
        <v>140.22</v>
      </c>
      <c r="J8840">
        <v>0.01</v>
      </c>
    </row>
    <row r="8841" spans="1:10" x14ac:dyDescent="0.3">
      <c r="A8841" t="str">
        <f>HYPERLINK("https://us2.cloudbeds.com/connect/10074733072513#/reservations/31684320833688?display=MHEXRJ9K5&amp;reservation_id=31684320833688", "MHEXRJ9K5")</f>
        <v>MHEXRJ9K5</v>
      </c>
      <c r="B8841" t="s">
        <v>10</v>
      </c>
      <c r="C8841" t="s">
        <v>42</v>
      </c>
      <c r="D8841" t="str">
        <f>HYPERLINK("https://us2.cloudbeds.com/connect/10074733072513#/reservations/31684320833688?display=Jeremy%20Myer&amp;reservation_id=31684320833688&amp;guest_id=31684320833683", "Jeremy Myer")</f>
        <v>Jeremy Myer</v>
      </c>
      <c r="E8841" t="s">
        <v>7266</v>
      </c>
      <c r="F8841" t="s">
        <v>6618</v>
      </c>
      <c r="G8841">
        <v>129</v>
      </c>
      <c r="H8841">
        <v>140.22999999999999</v>
      </c>
      <c r="I8841">
        <v>140.22</v>
      </c>
      <c r="J8841">
        <v>0.01</v>
      </c>
    </row>
    <row r="8842" spans="1:10" x14ac:dyDescent="0.3">
      <c r="A8842" t="str">
        <f>HYPERLINK("https://us2.cloudbeds.com/connect/10074733072513#/reservations/31692663718094?display=MHY10HBG4&amp;reservation_id=31692663718094", "MHY10HBG4")</f>
        <v>MHY10HBG4</v>
      </c>
      <c r="B8842" t="s">
        <v>10</v>
      </c>
      <c r="C8842" t="s">
        <v>42</v>
      </c>
      <c r="D8842" t="str">
        <f>HYPERLINK("https://us2.cloudbeds.com/connect/10074733072513#/reservations/31692663718094?display=Cheral%20Christopherson&amp;reservation_id=31692663718094&amp;guest_id=31692663718089", "Cheral Christopherson")</f>
        <v>Cheral Christopherson</v>
      </c>
      <c r="E8842" t="s">
        <v>7267</v>
      </c>
      <c r="F8842" t="s">
        <v>7268</v>
      </c>
      <c r="G8842">
        <v>109</v>
      </c>
      <c r="H8842">
        <v>118.49</v>
      </c>
      <c r="I8842">
        <v>118.48</v>
      </c>
      <c r="J8842">
        <v>0.01</v>
      </c>
    </row>
    <row r="8843" spans="1:10" x14ac:dyDescent="0.3">
      <c r="A8843" t="str">
        <f>HYPERLINK("https://us2.cloudbeds.com/connect/10074733072513#/reservations/31684318011645?display=MHEXP6P6N&amp;reservation_id=31684318011645", "MHEXP6P6N")</f>
        <v>MHEXP6P6N</v>
      </c>
      <c r="B8843" t="s">
        <v>10</v>
      </c>
      <c r="C8843" t="s">
        <v>42</v>
      </c>
      <c r="D8843" t="str">
        <f>HYPERLINK("https://us2.cloudbeds.com/connect/10074733072513#/reservations/31684318011645?display=Aaron%20Kuhs&amp;reservation_id=31684318011645&amp;guest_id=31684306088146", "Aaron Kuhs")</f>
        <v>Aaron Kuhs</v>
      </c>
      <c r="E8843" t="s">
        <v>5919</v>
      </c>
      <c r="F8843" t="s">
        <v>6618</v>
      </c>
      <c r="G8843">
        <v>73</v>
      </c>
      <c r="H8843">
        <v>79.36</v>
      </c>
      <c r="I8843">
        <v>79.349999999999994</v>
      </c>
      <c r="J8843">
        <v>0.01</v>
      </c>
    </row>
    <row r="8844" spans="1:10" x14ac:dyDescent="0.3">
      <c r="A8844" t="str">
        <f>HYPERLINK("https://us2.cloudbeds.com/connect/10074733072513#/reservations/31684487901316?display=MHEN3F6DX&amp;reservation_id=31684487901316", "MHEN3F6DX")</f>
        <v>MHEN3F6DX</v>
      </c>
      <c r="B8844" t="s">
        <v>10</v>
      </c>
      <c r="C8844" t="s">
        <v>23</v>
      </c>
      <c r="D8844" t="str">
        <f>HYPERLINK("https://us2.cloudbeds.com/connect/10074733072513#/reservations/31684487901316?display=Crystal%20Macfarlane&amp;reservation_id=31684487901316&amp;guest_id=31684480762019", "Crystal Macfarlane")</f>
        <v>Crystal Macfarlane</v>
      </c>
      <c r="E8844" t="s">
        <v>7272</v>
      </c>
      <c r="F8844" t="s">
        <v>6618</v>
      </c>
      <c r="G8844">
        <v>159</v>
      </c>
      <c r="H8844">
        <v>172.84</v>
      </c>
      <c r="I8844">
        <v>172.83</v>
      </c>
      <c r="J8844">
        <v>0.01</v>
      </c>
    </row>
    <row r="8845" spans="1:10" x14ac:dyDescent="0.3">
      <c r="A8845" t="str">
        <f>HYPERLINK("https://us2.cloudbeds.com/connect/10074733072513#/reservations/31684487905411?display=MHEN3FA5Y&amp;reservation_id=31684487905411", "MHEN3FA5Y")</f>
        <v>MHEN3FA5Y</v>
      </c>
      <c r="B8845" t="s">
        <v>10</v>
      </c>
      <c r="C8845" t="s">
        <v>42</v>
      </c>
      <c r="D8845" t="str">
        <f>HYPERLINK("https://us2.cloudbeds.com/connect/10074733072513#/reservations/31684487905411?display=Carl%20Peterson&amp;reservation_id=31684487905411&amp;guest_id=31683231355111", "Carl Peterson")</f>
        <v>Carl Peterson</v>
      </c>
      <c r="E8845" t="s">
        <v>6943</v>
      </c>
      <c r="F8845" t="s">
        <v>5559</v>
      </c>
      <c r="G8845">
        <v>225</v>
      </c>
      <c r="H8845">
        <v>244.59</v>
      </c>
      <c r="I8845">
        <v>244.58</v>
      </c>
      <c r="J8845">
        <v>0.01</v>
      </c>
    </row>
    <row r="8846" spans="1:10" x14ac:dyDescent="0.3">
      <c r="A8846" t="str">
        <f>HYPERLINK("https://us2.cloudbeds.com/connect/10074733072513#/reservations/31682742264025?display=MHDBGG8MR&amp;reservation_id=31682742264025", "MHDBGG8MR")</f>
        <v>MHDBGG8MR</v>
      </c>
      <c r="B8846" t="s">
        <v>10</v>
      </c>
      <c r="C8846" t="s">
        <v>11</v>
      </c>
      <c r="D8846" t="str">
        <f>HYPERLINK("https://us2.cloudbeds.com/connect/10074733072513#/reservations/31682742264025?display=Kayla%20Schelhaas&amp;reservation_id=31682742264025&amp;guest_id=31682742264010", "Kayla Schelhaas")</f>
        <v>Kayla Schelhaas</v>
      </c>
      <c r="E8846" t="s">
        <v>7273</v>
      </c>
      <c r="F8846" t="s">
        <v>5741</v>
      </c>
      <c r="G8846">
        <v>110.86</v>
      </c>
      <c r="H8846">
        <v>120.51</v>
      </c>
      <c r="I8846">
        <v>120.5</v>
      </c>
      <c r="J8846">
        <v>0.01</v>
      </c>
    </row>
    <row r="8847" spans="1:10" x14ac:dyDescent="0.3">
      <c r="A8847" t="str">
        <f>HYPERLINK("https://us2.cloudbeds.com/connect/10074733072513#/reservations/31682285596842?display=MHCWRDR8B&amp;reservation_id=31682285596842", "MHCWRDR8B")</f>
        <v>MHCWRDR8B</v>
      </c>
      <c r="B8847" t="s">
        <v>10</v>
      </c>
      <c r="C8847" t="s">
        <v>42</v>
      </c>
      <c r="D8847" t="str">
        <f>HYPERLINK("https://us2.cloudbeds.com/connect/10074733072513#/reservations/31682285596842?display=Patricia%20Schulke&amp;reservation_id=31682285596842&amp;guest_id=31682269204702", "Patricia Schulke")</f>
        <v>Patricia Schulke</v>
      </c>
      <c r="E8847" t="s">
        <v>7278</v>
      </c>
      <c r="F8847" t="s">
        <v>6841</v>
      </c>
      <c r="G8847">
        <v>139</v>
      </c>
      <c r="H8847">
        <v>151.1</v>
      </c>
      <c r="I8847">
        <v>151.09</v>
      </c>
      <c r="J8847">
        <v>0.01</v>
      </c>
    </row>
    <row r="8848" spans="1:10" x14ac:dyDescent="0.3">
      <c r="A8848" t="str">
        <f>HYPERLINK("https://us2.cloudbeds.com/connect/10074733072513#/reservations/31685511856341?display=MHFG8T8AN&amp;reservation_id=31685511856341", "MHFG8T8AN")</f>
        <v>MHFG8T8AN</v>
      </c>
      <c r="B8848" t="s">
        <v>10</v>
      </c>
      <c r="C8848" t="s">
        <v>14</v>
      </c>
      <c r="D8848" t="str">
        <f>HYPERLINK("https://us2.cloudbeds.com/connect/10074733072513#/reservations/31685511856341?display=Russ%20Uttecht&amp;reservation_id=31685511856341&amp;guest_id=31685511856336", "Russ Uttecht")</f>
        <v>Russ Uttecht</v>
      </c>
      <c r="E8848" t="s">
        <v>7279</v>
      </c>
      <c r="F8848" t="s">
        <v>6175</v>
      </c>
      <c r="G8848">
        <v>301.60000000000002</v>
      </c>
      <c r="H8848">
        <v>327.85</v>
      </c>
      <c r="I8848">
        <v>327.84</v>
      </c>
      <c r="J8848">
        <v>0.01</v>
      </c>
    </row>
    <row r="8849" spans="1:10" x14ac:dyDescent="0.3">
      <c r="A8849" t="str">
        <f>HYPERLINK("https://us2.cloudbeds.com/connect/10074733072513#/reservations/31684341727384?display=MHEJC6MZE&amp;reservation_id=31684341727384", "MHEJC6MZE")</f>
        <v>MHEJC6MZE</v>
      </c>
      <c r="B8849" t="s">
        <v>10</v>
      </c>
      <c r="C8849" t="s">
        <v>14</v>
      </c>
      <c r="D8849" t="str">
        <f>HYPERLINK("https://us2.cloudbeds.com/connect/10074733072513#/reservations/31684341727384?display=Don%20Hollingsworth&amp;reservation_id=31684341727384&amp;guest_id=31684341723290", "Don Hollingsworth")</f>
        <v>Don Hollingsworth</v>
      </c>
      <c r="E8849" t="s">
        <v>7280</v>
      </c>
      <c r="F8849" t="s">
        <v>6618</v>
      </c>
      <c r="G8849">
        <v>110.86</v>
      </c>
      <c r="H8849">
        <v>120.51</v>
      </c>
      <c r="I8849">
        <v>120.5</v>
      </c>
      <c r="J8849">
        <v>0.01</v>
      </c>
    </row>
    <row r="8850" spans="1:10" x14ac:dyDescent="0.3">
      <c r="A8850" t="str">
        <f>HYPERLINK("https://us2.cloudbeds.com/connect/10074733072513#/reservations/31684555309230?display=MHEZR9UAK&amp;reservation_id=31684555309230", "MHEZR9UAK")</f>
        <v>MHEZR9UAK</v>
      </c>
      <c r="B8850" t="s">
        <v>10</v>
      </c>
      <c r="C8850" t="s">
        <v>42</v>
      </c>
      <c r="D8850" t="str">
        <f>HYPERLINK("https://us2.cloudbeds.com/connect/10074733072513#/reservations/31684555309230?display=Corey%20Hajek&amp;reservation_id=31684555309230&amp;guest_id=31684541726945", "Corey Hajek")</f>
        <v>Corey Hajek</v>
      </c>
      <c r="E8850" t="s">
        <v>7281</v>
      </c>
      <c r="F8850" t="s">
        <v>6618</v>
      </c>
      <c r="G8850">
        <v>73</v>
      </c>
      <c r="H8850">
        <v>79.36</v>
      </c>
      <c r="I8850">
        <v>79.349999999999994</v>
      </c>
      <c r="J8850">
        <v>0.01</v>
      </c>
    </row>
    <row r="8851" spans="1:10" x14ac:dyDescent="0.3">
      <c r="A8851" t="str">
        <f>HYPERLINK("https://us2.cloudbeds.com/connect/10074733072513#/reservations/31685964095685?display=MHFRR7FQ8&amp;reservation_id=31685964095685", "MHFRR7FQ8")</f>
        <v>MHFRR7FQ8</v>
      </c>
      <c r="B8851" t="s">
        <v>10</v>
      </c>
      <c r="C8851" t="s">
        <v>42</v>
      </c>
      <c r="D8851" t="str">
        <f>HYPERLINK("https://us2.cloudbeds.com/connect/10074733072513#/reservations/31685964095685?display=Karisa%20Vogt&amp;reservation_id=31685964095685&amp;guest_id=31685964091594", "Karisa Vogt")</f>
        <v>Karisa Vogt</v>
      </c>
      <c r="E8851" t="s">
        <v>7282</v>
      </c>
      <c r="F8851" t="s">
        <v>5745</v>
      </c>
      <c r="G8851">
        <v>178</v>
      </c>
      <c r="H8851">
        <v>193.5</v>
      </c>
      <c r="I8851">
        <v>193.49</v>
      </c>
      <c r="J8851">
        <v>0.01</v>
      </c>
    </row>
    <row r="8852" spans="1:10" x14ac:dyDescent="0.3">
      <c r="A8852" t="str">
        <f>HYPERLINK("https://us2.cloudbeds.com/connect/10074733072513#/reservations/31691790385357?display=MHKBN3J1Z&amp;reservation_id=31691790385357", "MHKBN3J1Z")</f>
        <v>MHKBN3J1Z</v>
      </c>
      <c r="B8852" t="s">
        <v>10</v>
      </c>
      <c r="C8852" t="s">
        <v>42</v>
      </c>
      <c r="D8852" t="str">
        <f>HYPERLINK("https://us2.cloudbeds.com/connect/10074733072513#/reservations/31691790385357?display=Wayne%20Wormstadt&amp;reservation_id=31691790385357&amp;guest_id=31691790385352", "Wayne Wormstadt")</f>
        <v>Wayne Wormstadt</v>
      </c>
      <c r="E8852" t="s">
        <v>7283</v>
      </c>
      <c r="F8852" t="s">
        <v>5593</v>
      </c>
      <c r="G8852">
        <v>150</v>
      </c>
      <c r="H8852">
        <v>163.06</v>
      </c>
      <c r="I8852">
        <v>163.05000000000001</v>
      </c>
      <c r="J8852">
        <v>0.01</v>
      </c>
    </row>
    <row r="8853" spans="1:10" x14ac:dyDescent="0.3">
      <c r="A8853" t="str">
        <f>HYPERLINK("https://us2.cloudbeds.com/connect/10074733072513#/reservations/31684009234632?display=MHEASRJDB&amp;reservation_id=31684009234632", "MHEASRJDB")</f>
        <v>MHEASRJDB</v>
      </c>
      <c r="B8853" t="s">
        <v>10</v>
      </c>
      <c r="C8853" t="s">
        <v>42</v>
      </c>
      <c r="D8853" t="str">
        <f>HYPERLINK("https://us2.cloudbeds.com/connect/10074733072513#/reservations/31684009234632?display=Ray%20Harvey&amp;reservation_id=31684009234632&amp;guest_id=31683998413031", "Ray Harvey")</f>
        <v>Ray Harvey</v>
      </c>
      <c r="E8853" t="s">
        <v>7285</v>
      </c>
      <c r="F8853" t="s">
        <v>6507</v>
      </c>
      <c r="G8853">
        <v>129</v>
      </c>
      <c r="H8853">
        <v>140.22999999999999</v>
      </c>
      <c r="I8853">
        <v>140.22</v>
      </c>
      <c r="J8853">
        <v>0.01</v>
      </c>
    </row>
    <row r="8854" spans="1:10" x14ac:dyDescent="0.3">
      <c r="A8854" t="str">
        <f>HYPERLINK("https://us2.cloudbeds.com/connect/10074733072513#/reservations/31684306084056?display=MHEXF4SDK&amp;reservation_id=31684306084056", "MHEXF4SDK")</f>
        <v>MHEXF4SDK</v>
      </c>
      <c r="B8854" t="s">
        <v>10</v>
      </c>
      <c r="C8854" t="s">
        <v>42</v>
      </c>
      <c r="D8854" t="str">
        <f>HYPERLINK("https://us2.cloudbeds.com/connect/10074733072513#/reservations/31684306084056?display=Myers%20Jeremy&amp;reservation_id=31684306084056&amp;guest_id=31684306084051", "Myers Jeremy")</f>
        <v>Myers Jeremy</v>
      </c>
      <c r="E8854" t="s">
        <v>7286</v>
      </c>
      <c r="F8854" t="s">
        <v>6618</v>
      </c>
      <c r="G8854">
        <v>129</v>
      </c>
      <c r="H8854">
        <v>140.22999999999999</v>
      </c>
      <c r="I8854">
        <v>140.22</v>
      </c>
      <c r="J8854">
        <v>0.01</v>
      </c>
    </row>
    <row r="8855" spans="1:10" x14ac:dyDescent="0.3">
      <c r="A8855" t="str">
        <f>HYPERLINK("https://us2.cloudbeds.com/connect/10074733072513#/reservations/31684068479109?display=MHECCQ51N&amp;reservation_id=31684068479109", "MHECCQ51N")</f>
        <v>MHECCQ51N</v>
      </c>
      <c r="B8855" t="s">
        <v>10</v>
      </c>
      <c r="C8855" t="s">
        <v>23</v>
      </c>
      <c r="D8855" t="str">
        <f>HYPERLINK("https://us2.cloudbeds.com/connect/10074733072513#/reservations/31684068479109?display=Carol%20Deditz&amp;reservation_id=31684068479109&amp;guest_id=31684068475008", "Carol Deditz")</f>
        <v>Carol Deditz</v>
      </c>
      <c r="E8855" t="s">
        <v>7287</v>
      </c>
      <c r="F8855" t="s">
        <v>6507</v>
      </c>
      <c r="G8855">
        <v>322.2</v>
      </c>
      <c r="H8855">
        <v>350.24</v>
      </c>
      <c r="I8855">
        <v>350.23</v>
      </c>
      <c r="J8855">
        <v>0.01</v>
      </c>
    </row>
    <row r="8856" spans="1:10" x14ac:dyDescent="0.3">
      <c r="A8856" t="str">
        <f>HYPERLINK("https://us2.cloudbeds.com/connect/10074733072513#/reservations/31684927070423?display=MHF1APNRA&amp;reservation_id=31684927070423", "MHF1APNRA")</f>
        <v>MHF1APNRA</v>
      </c>
      <c r="B8856" t="s">
        <v>10</v>
      </c>
      <c r="C8856" t="s">
        <v>42</v>
      </c>
      <c r="D8856" t="str">
        <f>HYPERLINK("https://us2.cloudbeds.com/connect/10074733072513#/reservations/31684927070423?display=Timothy%20Clark&amp;reservation_id=31684927070423&amp;guest_id=31684927070421", "Timothy Clark")</f>
        <v>Timothy Clark</v>
      </c>
      <c r="E8856" t="s">
        <v>7288</v>
      </c>
      <c r="F8856" t="s">
        <v>7008</v>
      </c>
      <c r="G8856">
        <v>252</v>
      </c>
      <c r="H8856">
        <v>273.93</v>
      </c>
      <c r="I8856">
        <v>273.92</v>
      </c>
      <c r="J8856">
        <v>0.01</v>
      </c>
    </row>
    <row r="8857" spans="1:10" x14ac:dyDescent="0.3">
      <c r="A8857" t="str">
        <f>HYPERLINK("https://us2.cloudbeds.com/connect/10074733072513#/reservations/31685013467275?display=MHF3HKRPZ&amp;reservation_id=31685013467275", "MHF3HKRPZ")</f>
        <v>MHF3HKRPZ</v>
      </c>
      <c r="B8857" t="s">
        <v>10</v>
      </c>
      <c r="C8857" t="s">
        <v>20</v>
      </c>
      <c r="D8857" t="str">
        <f>HYPERLINK("https://us2.cloudbeds.com/connect/10074733072513#/reservations/31685013467275?display=Mike%20Brewer&amp;reservation_id=31685013467275&amp;guest_id=31685013467270", "Mike Brewer")</f>
        <v>Mike Brewer</v>
      </c>
      <c r="E8857" t="s">
        <v>7289</v>
      </c>
      <c r="F8857" t="s">
        <v>5741</v>
      </c>
      <c r="G8857">
        <v>169</v>
      </c>
      <c r="H8857">
        <v>183.71</v>
      </c>
      <c r="I8857">
        <v>183.7</v>
      </c>
      <c r="J8857">
        <v>0.01</v>
      </c>
    </row>
    <row r="8858" spans="1:10" x14ac:dyDescent="0.3">
      <c r="A8858" t="str">
        <f>HYPERLINK("https://us2.cloudbeds.com/connect/10074733072513#/reservations/31684541722854?display=MHEZFRSA8&amp;reservation_id=31684541722854", "MHEZFRSA8")</f>
        <v>MHEZFRSA8</v>
      </c>
      <c r="B8858" t="s">
        <v>10</v>
      </c>
      <c r="C8858" t="s">
        <v>42</v>
      </c>
      <c r="D8858" t="str">
        <f>HYPERLINK("https://us2.cloudbeds.com/connect/10074733072513#/reservations/31684541722854?display=Patricia%20Schulke&amp;reservation_id=31684541722854&amp;guest_id=31682269204702", "Patricia Schulke")</f>
        <v>Patricia Schulke</v>
      </c>
      <c r="E8858" t="s">
        <v>7278</v>
      </c>
      <c r="F8858" t="s">
        <v>6618</v>
      </c>
      <c r="G8858">
        <v>129</v>
      </c>
      <c r="H8858">
        <v>140.22999999999999</v>
      </c>
      <c r="I8858">
        <v>140.22</v>
      </c>
      <c r="J8858">
        <v>0.01</v>
      </c>
    </row>
    <row r="8859" spans="1:10" x14ac:dyDescent="0.3">
      <c r="A8859" t="str">
        <f>HYPERLINK("https://us2.cloudbeds.com/connect/10074733072513#/reservations/31687625900173?display=MHH49GY20&amp;reservation_id=31687625900173", "MHH49GY20")</f>
        <v>MHH49GY20</v>
      </c>
      <c r="B8859" t="s">
        <v>10</v>
      </c>
      <c r="C8859" t="s">
        <v>23</v>
      </c>
      <c r="D8859" t="str">
        <f>HYPERLINK("https://us2.cloudbeds.com/connect/10074733072513#/reservations/31687625900173?display=Donnie%20Hachman&amp;reservation_id=31687625900173&amp;guest_id=31687625900169", "Donnie Hachman")</f>
        <v>Donnie Hachman</v>
      </c>
      <c r="E8859" t="s">
        <v>7174</v>
      </c>
      <c r="F8859" t="s">
        <v>6866</v>
      </c>
      <c r="G8859">
        <v>139</v>
      </c>
      <c r="H8859">
        <v>151.1</v>
      </c>
      <c r="I8859">
        <v>151.09</v>
      </c>
      <c r="J8859">
        <v>0.01</v>
      </c>
    </row>
    <row r="8860" spans="1:10" x14ac:dyDescent="0.3">
      <c r="A8860" t="str">
        <f>HYPERLINK("https://us2.cloudbeds.com/connect/10074733072513#/reservations/31687665840274?display=MHH5A6103&amp;reservation_id=31687665840274", "MHH5A6103")</f>
        <v>MHH5A6103</v>
      </c>
      <c r="B8860" t="s">
        <v>10</v>
      </c>
      <c r="C8860" t="s">
        <v>11</v>
      </c>
      <c r="D8860" t="str">
        <f>HYPERLINK("https://us2.cloudbeds.com/connect/10074733072513#/reservations/31687665840274?display=Karen%20J%20Ament&amp;reservation_id=31687665840274&amp;guest_id=31687654834417", "Karen J Ament")</f>
        <v>Karen J Ament</v>
      </c>
      <c r="E8860" t="s">
        <v>7294</v>
      </c>
      <c r="F8860" t="s">
        <v>5559</v>
      </c>
      <c r="G8860">
        <v>97.74</v>
      </c>
      <c r="H8860">
        <v>106.25</v>
      </c>
      <c r="I8860">
        <v>106.24</v>
      </c>
      <c r="J8860">
        <v>0.01</v>
      </c>
    </row>
    <row r="8861" spans="1:10" x14ac:dyDescent="0.3">
      <c r="A8861" t="str">
        <f>HYPERLINK("https://us2.cloudbeds.com/connect/10074733072513#/reservations/31685375946945?display=MHFCQ9CA5&amp;reservation_id=31685375946945", "MHFCQ9CA5")</f>
        <v>MHFCQ9CA5</v>
      </c>
      <c r="B8861" t="s">
        <v>10</v>
      </c>
      <c r="C8861" t="s">
        <v>42</v>
      </c>
      <c r="D8861" t="str">
        <f>HYPERLINK("https://us2.cloudbeds.com/connect/10074733072513#/reservations/31685375946945?display=Arthur%20Owen%20Mack&amp;reservation_id=31685375946945&amp;guest_id=31685221609605", "Arthur Owen Mack")</f>
        <v>Arthur Owen Mack</v>
      </c>
      <c r="E8861" t="s">
        <v>7181</v>
      </c>
      <c r="F8861" t="s">
        <v>5559</v>
      </c>
      <c r="G8861">
        <v>159</v>
      </c>
      <c r="H8861">
        <v>172.84</v>
      </c>
      <c r="I8861">
        <v>172.83</v>
      </c>
      <c r="J8861">
        <v>0.01</v>
      </c>
    </row>
    <row r="8862" spans="1:10" x14ac:dyDescent="0.3">
      <c r="A8862" t="str">
        <f>HYPERLINK("https://us2.cloudbeds.com/connect/10074733072513#/reservations/31682726998191?display=MHDB3KFFQ&amp;reservation_id=31682726998191", "MHDB3KFFQ")</f>
        <v>MHDB3KFFQ</v>
      </c>
      <c r="B8862" t="s">
        <v>10</v>
      </c>
      <c r="C8862" t="s">
        <v>42</v>
      </c>
      <c r="D8862" t="str">
        <f>HYPERLINK("https://us2.cloudbeds.com/connect/10074733072513#/reservations/31682726998191?display=Matthew%20Fowler&amp;reservation_id=31682726998191&amp;guest_id=31682726998186", "Matthew Fowler")</f>
        <v>Matthew Fowler</v>
      </c>
      <c r="E8862" t="s">
        <v>7295</v>
      </c>
      <c r="F8862" t="s">
        <v>5741</v>
      </c>
      <c r="G8862">
        <v>79</v>
      </c>
      <c r="H8862">
        <v>85.88</v>
      </c>
      <c r="I8862">
        <v>85.87</v>
      </c>
      <c r="J8862">
        <v>0.01</v>
      </c>
    </row>
    <row r="8863" spans="1:10" x14ac:dyDescent="0.3">
      <c r="A8863" t="str">
        <f>HYPERLINK("https://us2.cloudbeds.com/connect/10074733072513#/reservations/31691690184866?display=MHK94KBJ7&amp;reservation_id=31691690184866", "MHK94KBJ7")</f>
        <v>MHK94KBJ7</v>
      </c>
      <c r="B8863" t="s">
        <v>10</v>
      </c>
      <c r="C8863" t="s">
        <v>17</v>
      </c>
      <c r="D8863" t="str">
        <f>HYPERLINK("https://us2.cloudbeds.com/connect/10074733072513#/reservations/31691690184866?display=Sue%20Krutzfeldt&amp;reservation_id=31691690184866&amp;guest_id=31691682529482", "Sue Krutzfeldt")</f>
        <v>Sue Krutzfeldt</v>
      </c>
      <c r="E8863" t="s">
        <v>7292</v>
      </c>
      <c r="F8863" t="s">
        <v>6175</v>
      </c>
      <c r="G8863">
        <v>377</v>
      </c>
      <c r="H8863">
        <v>409.81</v>
      </c>
      <c r="I8863">
        <v>409.8</v>
      </c>
      <c r="J8863">
        <v>0.01</v>
      </c>
    </row>
    <row r="8864" spans="1:10" x14ac:dyDescent="0.3">
      <c r="A8864" t="str">
        <f>HYPERLINK("https://us2.cloudbeds.com/connect/10074733072513#/reservations/31686599753941?display=MHGB27K0Y&amp;reservation_id=31686599753941", "MHGB27K0Y")</f>
        <v>MHGB27K0Y</v>
      </c>
      <c r="B8864" t="s">
        <v>10</v>
      </c>
      <c r="C8864" t="s">
        <v>42</v>
      </c>
      <c r="D8864" t="str">
        <f>HYPERLINK("https://us2.cloudbeds.com/connect/10074733072513#/reservations/31686599753941?display=Tyler%20Van%20Der%20Zwaag&amp;reservation_id=31686599753941&amp;guest_id=31686599753939", "Tyler Van Der Zwaag")</f>
        <v>Tyler Van Der Zwaag</v>
      </c>
      <c r="E8864" t="s">
        <v>7296</v>
      </c>
      <c r="F8864" t="s">
        <v>6570</v>
      </c>
      <c r="G8864">
        <v>119</v>
      </c>
      <c r="H8864">
        <v>129.36000000000001</v>
      </c>
      <c r="I8864">
        <v>129.35</v>
      </c>
      <c r="J8864">
        <v>0.01</v>
      </c>
    </row>
    <row r="8865" spans="1:10" x14ac:dyDescent="0.3">
      <c r="A8865" t="str">
        <f>HYPERLINK("https://us2.cloudbeds.com/connect/10074733072513#/reservations/31689155551421?display=MHXACBEG4&amp;reservation_id=31689155551421", "MHXACBEG4")</f>
        <v>MHXACBEG4</v>
      </c>
      <c r="B8865" t="s">
        <v>10</v>
      </c>
      <c r="C8865" t="s">
        <v>42</v>
      </c>
      <c r="D8865" t="str">
        <f>HYPERLINK("https://us2.cloudbeds.com/connect/10074733072513#/reservations/31689155551421?display=Brian%20Hinrichs&amp;reservation_id=31689155551421&amp;guest_id=31679526883560", "Brian Hinrichs")</f>
        <v>Brian Hinrichs</v>
      </c>
      <c r="E8865" t="s">
        <v>7297</v>
      </c>
      <c r="F8865" t="s">
        <v>5559</v>
      </c>
      <c r="G8865">
        <v>73</v>
      </c>
      <c r="H8865">
        <v>79.36</v>
      </c>
      <c r="I8865">
        <v>79.349999999999994</v>
      </c>
      <c r="J8865">
        <v>0.01</v>
      </c>
    </row>
    <row r="8866" spans="1:10" x14ac:dyDescent="0.3">
      <c r="A8866" t="str">
        <f>HYPERLINK("https://us2.cloudbeds.com/connect/10074733072513#/reservations/31683589595341?display=MHE04WGNC&amp;reservation_id=31683589595341", "MHE04WGNC")</f>
        <v>MHE04WGNC</v>
      </c>
      <c r="B8866" t="s">
        <v>10</v>
      </c>
      <c r="C8866" t="s">
        <v>20</v>
      </c>
      <c r="D8866" t="str">
        <f>HYPERLINK("https://us2.cloudbeds.com/connect/10074733072513#/reservations/31683589595341?display=Ana%20Osuna&amp;reservation_id=31683589595341&amp;guest_id=31683589591247", "Ana Osuna")</f>
        <v>Ana Osuna</v>
      </c>
      <c r="E8866" t="s">
        <v>7299</v>
      </c>
      <c r="F8866" t="s">
        <v>5661</v>
      </c>
      <c r="G8866">
        <v>169</v>
      </c>
      <c r="H8866">
        <v>183.71</v>
      </c>
      <c r="I8866">
        <v>183.7</v>
      </c>
      <c r="J8866">
        <v>0.01</v>
      </c>
    </row>
    <row r="8867" spans="1:10" x14ac:dyDescent="0.3">
      <c r="A8867" t="str">
        <f>HYPERLINK("https://us2.cloudbeds.com/connect/10074733072513#/reservations/31684964941982?display=MHF29NX9A&amp;reservation_id=31684964941982", "MHF29NX9A")</f>
        <v>MHF29NX9A</v>
      </c>
      <c r="B8867" t="s">
        <v>10</v>
      </c>
      <c r="C8867" t="s">
        <v>23</v>
      </c>
      <c r="D8867" t="str">
        <f>HYPERLINK("https://us2.cloudbeds.com/connect/10074733072513#/reservations/31684964941982?display=Brandy%20Myers&amp;reservation_id=31684964941982&amp;guest_id=31684964941978", "Brandy Myers")</f>
        <v>Brandy Myers</v>
      </c>
      <c r="E8867" t="s">
        <v>7300</v>
      </c>
      <c r="F8867" t="s">
        <v>5741</v>
      </c>
      <c r="G8867">
        <v>283.10000000000002</v>
      </c>
      <c r="H8867">
        <v>307.74</v>
      </c>
      <c r="I8867">
        <v>307.73</v>
      </c>
      <c r="J8867">
        <v>0.01</v>
      </c>
    </row>
    <row r="8868" spans="1:10" x14ac:dyDescent="0.3">
      <c r="A8868" t="str">
        <f>HYPERLINK("https://us2.cloudbeds.com/connect/10074733072513#/reservations/31685451071700?display=MHFENKRCT&amp;reservation_id=31685451071700", "MHFENKRCT")</f>
        <v>MHFENKRCT</v>
      </c>
      <c r="B8868" t="s">
        <v>10</v>
      </c>
      <c r="C8868" t="s">
        <v>20</v>
      </c>
      <c r="D8868" t="str">
        <f>HYPERLINK("https://us2.cloudbeds.com/connect/10074733072513#/reservations/31685451071700?display=Nick%20Firiberti&amp;reservation_id=31685451071700&amp;guest_id=31685443653820", "Nick Firiberti")</f>
        <v>Nick Firiberti</v>
      </c>
      <c r="E8868" t="s">
        <v>7301</v>
      </c>
      <c r="F8868" t="s">
        <v>5559</v>
      </c>
      <c r="G8868">
        <v>189</v>
      </c>
      <c r="H8868">
        <v>205.45</v>
      </c>
      <c r="I8868">
        <v>205.44</v>
      </c>
      <c r="J8868">
        <v>0.01</v>
      </c>
    </row>
    <row r="8869" spans="1:10" x14ac:dyDescent="0.3">
      <c r="A8869" t="str">
        <f>HYPERLINK("https://us2.cloudbeds.com/connect/10074733072513#/reservations/31686185681074?display=MHG0G2DR0&amp;reservation_id=31686185681074", "MHG0G2DR0")</f>
        <v>MHG0G2DR0</v>
      </c>
      <c r="B8869" t="s">
        <v>10</v>
      </c>
      <c r="C8869" t="s">
        <v>17</v>
      </c>
      <c r="D8869" t="str">
        <f>HYPERLINK("https://us2.cloudbeds.com/connect/10074733072513#/reservations/31686185681074?display=Karri%20Corrin&amp;reservation_id=31686185681074&amp;guest_id=31686167707872", "Karri Corrin")</f>
        <v>Karri Corrin</v>
      </c>
      <c r="E8869" t="s">
        <v>7302</v>
      </c>
      <c r="F8869" t="s">
        <v>7303</v>
      </c>
      <c r="G8869">
        <v>411.3</v>
      </c>
      <c r="H8869">
        <v>447.09</v>
      </c>
      <c r="I8869">
        <v>447.08</v>
      </c>
      <c r="J8869">
        <v>0.01</v>
      </c>
    </row>
    <row r="8870" spans="1:10" x14ac:dyDescent="0.3">
      <c r="A8870" t="str">
        <f>HYPERLINK("https://us2.cloudbeds.com/connect/10074733072513#/reservations/31689825087644?display=MHXRFU8VJ&amp;reservation_id=31689825087644", "MHXRFU8VJ")</f>
        <v>MHXRFU8VJ</v>
      </c>
      <c r="B8870" t="s">
        <v>10</v>
      </c>
      <c r="C8870" t="s">
        <v>11</v>
      </c>
      <c r="D8870" t="str">
        <f>HYPERLINK("https://us2.cloudbeds.com/connect/10074733072513#/reservations/31689825087644?display=Tonya%20Maples&amp;reservation_id=31689825087644&amp;guest_id=31689816989888", "Tonya Maples")</f>
        <v>Tonya Maples</v>
      </c>
      <c r="E8870" t="s">
        <v>7304</v>
      </c>
      <c r="F8870" t="s">
        <v>7008</v>
      </c>
      <c r="G8870">
        <v>97.74</v>
      </c>
      <c r="H8870">
        <v>106.25</v>
      </c>
      <c r="I8870">
        <v>106.24</v>
      </c>
      <c r="J8870">
        <v>0.01</v>
      </c>
    </row>
    <row r="8871" spans="1:10" x14ac:dyDescent="0.3">
      <c r="A8871" t="str">
        <f>HYPERLINK("https://us2.cloudbeds.com/connect/10074733072513#/reservations/31683387687146?display=MHDRWZ3Z7&amp;reservation_id=31683387687146", "MHDRWZ3Z7")</f>
        <v>MHDRWZ3Z7</v>
      </c>
      <c r="B8871" t="s">
        <v>10</v>
      </c>
      <c r="C8871" t="s">
        <v>20</v>
      </c>
      <c r="D8871" t="str">
        <f>HYPERLINK("https://us2.cloudbeds.com/connect/10074733072513#/reservations/31683387687146?display=Ana%20Osuna&amp;reservation_id=31683387687146&amp;guest_id=31683387687141", "Ana Osuna")</f>
        <v>Ana Osuna</v>
      </c>
      <c r="E8871" t="s">
        <v>7305</v>
      </c>
      <c r="F8871" t="s">
        <v>5661</v>
      </c>
      <c r="G8871">
        <v>169</v>
      </c>
      <c r="H8871">
        <v>183.71</v>
      </c>
      <c r="I8871">
        <v>183.7</v>
      </c>
      <c r="J8871">
        <v>0.01</v>
      </c>
    </row>
    <row r="8872" spans="1:10" x14ac:dyDescent="0.3">
      <c r="A8872" t="str">
        <f>HYPERLINK("https://us2.cloudbeds.com/connect/10074733072513#/reservations/31682736173252?display=MHDBBBPMV&amp;reservation_id=31682736173252", "MHDBBBPMV")</f>
        <v>MHDBBBPMV</v>
      </c>
      <c r="B8872" t="s">
        <v>10</v>
      </c>
      <c r="C8872" t="s">
        <v>42</v>
      </c>
      <c r="D8872" t="str">
        <f>HYPERLINK("https://us2.cloudbeds.com/connect/10074733072513#/reservations/31682736173252?display=Anthony%20Pederson&amp;reservation_id=31682736173252&amp;guest_id=31682736169203", "Anthony Pederson")</f>
        <v>Anthony Pederson</v>
      </c>
      <c r="E8872" t="s">
        <v>7309</v>
      </c>
      <c r="F8872" t="s">
        <v>5741</v>
      </c>
      <c r="G8872">
        <v>169</v>
      </c>
      <c r="H8872">
        <v>183.71</v>
      </c>
      <c r="I8872">
        <v>183.7</v>
      </c>
      <c r="J8872">
        <v>0.01</v>
      </c>
    </row>
    <row r="8873" spans="1:10" x14ac:dyDescent="0.3">
      <c r="A8873" t="str">
        <f>HYPERLINK("https://us2.cloudbeds.com/connect/10074733072513#/reservations/31684573606114?display=MHEP9Z1SY&amp;reservation_id=31684573606114", "MHEP9Z1SY")</f>
        <v>MHEP9Z1SY</v>
      </c>
      <c r="B8873" t="s">
        <v>10</v>
      </c>
      <c r="C8873" t="s">
        <v>42</v>
      </c>
      <c r="D8873" t="str">
        <f>HYPERLINK("https://us2.cloudbeds.com/connect/10074733072513#/reservations/31684573606114?display=Jamie%20Peloquin&amp;reservation_id=31684573606114&amp;guest_id=31684557185177", "Jamie Peloquin")</f>
        <v>Jamie Peloquin</v>
      </c>
      <c r="E8873" t="s">
        <v>7310</v>
      </c>
      <c r="F8873" t="s">
        <v>5567</v>
      </c>
      <c r="G8873">
        <v>225</v>
      </c>
      <c r="H8873">
        <v>244.59</v>
      </c>
      <c r="I8873">
        <v>244.58</v>
      </c>
      <c r="J8873">
        <v>0.01</v>
      </c>
    </row>
    <row r="8874" spans="1:10" x14ac:dyDescent="0.3">
      <c r="A8874" t="str">
        <f>HYPERLINK("https://us2.cloudbeds.com/connect/10074733072513#/reservations/31685089190089?display=MHF5FFV1E&amp;reservation_id=31685089190089", "MHF5FFV1E")</f>
        <v>MHF5FFV1E</v>
      </c>
      <c r="B8874" t="s">
        <v>10</v>
      </c>
      <c r="C8874" t="s">
        <v>17</v>
      </c>
      <c r="D8874" t="str">
        <f>HYPERLINK("https://us2.cloudbeds.com/connect/10074733072513#/reservations/31685089190089?display=Page%20Auble&amp;reservation_id=31685089190089&amp;guest_id=31685080088763", "Page Auble")</f>
        <v>Page Auble</v>
      </c>
      <c r="E8874" t="s">
        <v>7311</v>
      </c>
      <c r="F8874" t="s">
        <v>7269</v>
      </c>
      <c r="G8874">
        <v>129</v>
      </c>
      <c r="H8874">
        <v>140.22999999999999</v>
      </c>
      <c r="I8874">
        <v>140.22</v>
      </c>
      <c r="J8874">
        <v>0.01</v>
      </c>
    </row>
    <row r="8875" spans="1:10" x14ac:dyDescent="0.3">
      <c r="A8875" t="str">
        <f>HYPERLINK("https://us2.cloudbeds.com/connect/10074733072513#/reservations/31684989849797?display=MHF2UNYFJ&amp;reservation_id=31684989849797", "MHF2UNYFJ")</f>
        <v>MHF2UNYFJ</v>
      </c>
      <c r="B8875" t="s">
        <v>10</v>
      </c>
      <c r="C8875" t="s">
        <v>17</v>
      </c>
      <c r="D8875" t="str">
        <f>HYPERLINK("https://us2.cloudbeds.com/connect/10074733072513#/reservations/31684989849797?display=Pamela%20Nelson-Grotrian&amp;reservation_id=31684989849797&amp;guest_id=31684989849795", "Pamela Nelson-Grotrian")</f>
        <v>Pamela Nelson-Grotrian</v>
      </c>
      <c r="E8875" t="s">
        <v>7312</v>
      </c>
      <c r="F8875" t="s">
        <v>5741</v>
      </c>
      <c r="G8875">
        <v>169</v>
      </c>
      <c r="H8875">
        <v>183.71</v>
      </c>
      <c r="I8875">
        <v>183.7</v>
      </c>
      <c r="J8875">
        <v>0.01</v>
      </c>
    </row>
    <row r="8876" spans="1:10" x14ac:dyDescent="0.3">
      <c r="A8876" t="str">
        <f>HYPERLINK("https://us2.cloudbeds.com/connect/10074733072513#/reservations/31684345954435?display=MHEJFPAAU&amp;reservation_id=31684345954435", "MHEJFPAAU")</f>
        <v>MHEJFPAAU</v>
      </c>
      <c r="B8876" t="s">
        <v>10</v>
      </c>
      <c r="C8876" t="s">
        <v>42</v>
      </c>
      <c r="D8876" t="str">
        <f>HYPERLINK("https://us2.cloudbeds.com/connect/10074733072513#/reservations/31684345954435?display=Kendra%20Pieker&amp;reservation_id=31684345954435&amp;guest_id=31684339626146", "Kendra Pieker")</f>
        <v>Kendra Pieker</v>
      </c>
      <c r="E8876" t="s">
        <v>7314</v>
      </c>
      <c r="F8876" t="s">
        <v>5247</v>
      </c>
      <c r="G8876">
        <v>179</v>
      </c>
      <c r="H8876">
        <v>194.58</v>
      </c>
      <c r="I8876">
        <v>194.57</v>
      </c>
      <c r="J8876">
        <v>0.01</v>
      </c>
    </row>
    <row r="8877" spans="1:10" x14ac:dyDescent="0.3">
      <c r="A8877" t="str">
        <f>HYPERLINK("https://us2.cloudbeds.com/connect/10074733072513#/reservations/31684946714828?display=MHF1RBBPA&amp;reservation_id=31684946714828", "MHF1RBBPA")</f>
        <v>MHF1RBBPA</v>
      </c>
      <c r="B8877" t="s">
        <v>10</v>
      </c>
      <c r="C8877" t="s">
        <v>42</v>
      </c>
      <c r="D8877" t="str">
        <f>HYPERLINK("https://us2.cloudbeds.com/connect/10074733072513#/reservations/31684946714828?display=Tyler%20Somero&amp;reservation_id=31684946714828&amp;guest_id=31684936519860", "Tyler Somero")</f>
        <v>Tyler Somero</v>
      </c>
      <c r="E8877" t="s">
        <v>7315</v>
      </c>
      <c r="F8877" t="s">
        <v>5741</v>
      </c>
      <c r="G8877">
        <v>199</v>
      </c>
      <c r="H8877">
        <v>216.32</v>
      </c>
      <c r="I8877">
        <v>216.31</v>
      </c>
      <c r="J8877">
        <v>0.01</v>
      </c>
    </row>
    <row r="8878" spans="1:10" x14ac:dyDescent="0.3">
      <c r="A8878" t="str">
        <f>HYPERLINK("https://us2.cloudbeds.com/connect/10074733072513#/reservations/31686958637277?display=MHGK7S248&amp;reservation_id=31686958637277", "MHGK7S248")</f>
        <v>MHGK7S248</v>
      </c>
      <c r="B8878" t="s">
        <v>10</v>
      </c>
      <c r="C8878" t="s">
        <v>42</v>
      </c>
      <c r="D8878" t="str">
        <f>HYPERLINK("https://us2.cloudbeds.com/connect/10074733072513#/reservations/31686958637277?display=Michael%20Opp&amp;reservation_id=31686958637277&amp;guest_id=31686958637275", "Michael Opp")</f>
        <v>Michael Opp</v>
      </c>
      <c r="E8878" t="s">
        <v>7316</v>
      </c>
      <c r="F8878" t="s">
        <v>5661</v>
      </c>
      <c r="G8878">
        <v>350</v>
      </c>
      <c r="H8878">
        <v>380.46</v>
      </c>
      <c r="I8878">
        <v>380.45</v>
      </c>
      <c r="J8878">
        <v>0.01</v>
      </c>
    </row>
    <row r="8879" spans="1:10" x14ac:dyDescent="0.3">
      <c r="A8879" t="str">
        <f>HYPERLINK("https://us2.cloudbeds.com/connect/10074733072513#/reservations/31684339622048?display=MHEJAE3FD&amp;reservation_id=31684339622048", "MHEJAE3FD")</f>
        <v>MHEJAE3FD</v>
      </c>
      <c r="B8879" t="s">
        <v>10</v>
      </c>
      <c r="C8879" t="s">
        <v>20</v>
      </c>
      <c r="D8879" t="str">
        <f>HYPERLINK("https://us2.cloudbeds.com/connect/10074733072513#/reservations/31684339622048?display=Tiffany%20Christian&amp;reservation_id=31684339622048&amp;guest_id=31684325843152", "Tiffany Christian")</f>
        <v>Tiffany Christian</v>
      </c>
      <c r="E8879" t="s">
        <v>7317</v>
      </c>
      <c r="F8879" t="s">
        <v>7130</v>
      </c>
      <c r="G8879">
        <v>159</v>
      </c>
      <c r="H8879">
        <v>172.84</v>
      </c>
      <c r="I8879">
        <v>172.83</v>
      </c>
      <c r="J8879">
        <v>0.01</v>
      </c>
    </row>
    <row r="8880" spans="1:10" x14ac:dyDescent="0.3">
      <c r="A8880" t="str">
        <f>HYPERLINK("https://us2.cloudbeds.com/connect/10074733072513#/reservations/31683742326991?display=MHE41PG56&amp;reservation_id=31683742326991", "MHE41PG56")</f>
        <v>MHE41PG56</v>
      </c>
      <c r="B8880" t="s">
        <v>10</v>
      </c>
      <c r="C8880" t="s">
        <v>17</v>
      </c>
      <c r="D8880" t="str">
        <f>HYPERLINK("https://us2.cloudbeds.com/connect/10074733072513#/reservations/31683742326991?display=Jake%20Deditz&amp;reservation_id=31683742326991&amp;guest_id=31683742322899", "Jake Deditz")</f>
        <v>Jake Deditz</v>
      </c>
      <c r="E8880" t="s">
        <v>7319</v>
      </c>
      <c r="F8880" t="s">
        <v>6507</v>
      </c>
      <c r="G8880">
        <v>438</v>
      </c>
      <c r="H8880">
        <v>476.12</v>
      </c>
      <c r="I8880">
        <v>476.11</v>
      </c>
      <c r="J8880">
        <v>0.01</v>
      </c>
    </row>
    <row r="8881" spans="1:10" x14ac:dyDescent="0.3">
      <c r="A8881" t="str">
        <f>HYPERLINK("https://us2.cloudbeds.com/connect/10074733072513#/reservations/31688831365334?display=MHX22WFVA&amp;reservation_id=31688831365334", "MHX22WFVA")</f>
        <v>MHX22WFVA</v>
      </c>
      <c r="B8881" t="s">
        <v>10</v>
      </c>
      <c r="C8881" t="s">
        <v>42</v>
      </c>
      <c r="D8881" t="str">
        <f>HYPERLINK("https://us2.cloudbeds.com/connect/10074733072513#/reservations/31688831365334?display=Nate%20Stellrecht&amp;reservation_id=31688831365334&amp;guest_id=31688483999933", "Nate Stellrecht")</f>
        <v>Nate Stellrecht</v>
      </c>
      <c r="E8881" t="s">
        <v>7320</v>
      </c>
      <c r="F8881" t="s">
        <v>5567</v>
      </c>
      <c r="G8881">
        <v>225</v>
      </c>
      <c r="H8881">
        <v>244.59</v>
      </c>
      <c r="I8881">
        <v>244.58</v>
      </c>
      <c r="J8881">
        <v>0.01</v>
      </c>
    </row>
    <row r="8882" spans="1:10" x14ac:dyDescent="0.3">
      <c r="A8882" t="str">
        <f>HYPERLINK("https://us2.cloudbeds.com/connect/10074733072513#/reservations/31684614459533?display=MHEQB5SG1&amp;reservation_id=31684614459533", "MHEQB5SG1")</f>
        <v>MHEQB5SG1</v>
      </c>
      <c r="B8882" t="s">
        <v>10</v>
      </c>
      <c r="C8882" t="s">
        <v>23</v>
      </c>
      <c r="D8882" t="str">
        <f>HYPERLINK("https://us2.cloudbeds.com/connect/10074733072513#/reservations/31684614459533?display=Brittany%20Massa&amp;reservation_id=31684614459533&amp;guest_id=31684614459528", "Brittany Massa")</f>
        <v>Brittany Massa</v>
      </c>
      <c r="E8882" t="s">
        <v>7321</v>
      </c>
      <c r="F8882" t="s">
        <v>5567</v>
      </c>
      <c r="G8882">
        <v>129</v>
      </c>
      <c r="H8882">
        <v>140.22999999999999</v>
      </c>
      <c r="I8882">
        <v>140.22</v>
      </c>
      <c r="J8882">
        <v>0.01</v>
      </c>
    </row>
    <row r="8883" spans="1:10" x14ac:dyDescent="0.3">
      <c r="A8883" t="str">
        <f>HYPERLINK("https://us2.cloudbeds.com/connect/10074733072513#/reservations/31685076410556?display=MHF54NAUT&amp;reservation_id=31685076410556", "MHF54NAUT")</f>
        <v>MHF54NAUT</v>
      </c>
      <c r="B8883" t="s">
        <v>10</v>
      </c>
      <c r="C8883" t="s">
        <v>42</v>
      </c>
      <c r="D8883" t="str">
        <f>HYPERLINK("https://us2.cloudbeds.com/connect/10074733072513#/reservations/31685076410556?display=Dewey%20Hlavac&amp;reservation_id=31685076410556&amp;guest_id=31681864011998", "Dewey Hlavac")</f>
        <v>Dewey Hlavac</v>
      </c>
      <c r="E8883" t="s">
        <v>7322</v>
      </c>
      <c r="F8883" t="s">
        <v>7323</v>
      </c>
      <c r="G8883">
        <v>99</v>
      </c>
      <c r="H8883">
        <v>107.62</v>
      </c>
      <c r="I8883">
        <v>107.61</v>
      </c>
      <c r="J8883">
        <v>0.01</v>
      </c>
    </row>
    <row r="8884" spans="1:10" x14ac:dyDescent="0.3">
      <c r="A8884" t="str">
        <f>HYPERLINK("https://us2.cloudbeds.com/connect/10074733072513#/reservations/31686457962727?display=MHG7EM1T6&amp;reservation_id=31686457962727", "MHG7EM1T6")</f>
        <v>MHG7EM1T6</v>
      </c>
      <c r="B8884" t="s">
        <v>10</v>
      </c>
      <c r="C8884" t="s">
        <v>42</v>
      </c>
      <c r="D8884" t="str">
        <f>HYPERLINK("https://us2.cloudbeds.com/connect/10074733072513#/reservations/31686457962727?display=Dewey%20Hlavac&amp;reservation_id=31686457962727&amp;guest_id=31681864011998", "Dewey Hlavac")</f>
        <v>Dewey Hlavac</v>
      </c>
      <c r="E8884" t="s">
        <v>7322</v>
      </c>
      <c r="F8884" t="s">
        <v>5567</v>
      </c>
      <c r="G8884">
        <v>594</v>
      </c>
      <c r="H8884">
        <v>645.69000000000005</v>
      </c>
      <c r="I8884">
        <v>645.67999999999995</v>
      </c>
      <c r="J8884">
        <v>0.01</v>
      </c>
    </row>
    <row r="8885" spans="1:10" x14ac:dyDescent="0.3">
      <c r="A8885" t="str">
        <f>HYPERLINK("https://us2.cloudbeds.com/connect/10074733072513#/reservations/31686822527184?display=MHGGP2JQW&amp;reservation_id=31686822527184", "MHGGP2JQW")</f>
        <v>MHGGP2JQW</v>
      </c>
      <c r="B8885" t="s">
        <v>10</v>
      </c>
      <c r="C8885" t="s">
        <v>42</v>
      </c>
      <c r="D8885" t="str">
        <f>HYPERLINK("https://us2.cloudbeds.com/connect/10074733072513#/reservations/31686822527184?display=Dewey%20Hlavac&amp;reservation_id=31686822527184&amp;guest_id=31681864011998", "Dewey Hlavac")</f>
        <v>Dewey Hlavac</v>
      </c>
      <c r="E8885" t="s">
        <v>7322</v>
      </c>
      <c r="F8885" t="s">
        <v>7326</v>
      </c>
      <c r="G8885">
        <v>198</v>
      </c>
      <c r="H8885">
        <v>215.24</v>
      </c>
      <c r="I8885">
        <v>215.23</v>
      </c>
      <c r="J8885">
        <v>0.01</v>
      </c>
    </row>
    <row r="8886" spans="1:10" x14ac:dyDescent="0.3">
      <c r="A8886" t="str">
        <f>HYPERLINK("https://us2.cloudbeds.com/connect/10074733072513#/reservations/31689449971934?display=MHXHTK42S&amp;reservation_id=31689449971934", "MHXHTK42S")</f>
        <v>MHXHTK42S</v>
      </c>
      <c r="B8886" t="s">
        <v>10</v>
      </c>
      <c r="C8886" t="s">
        <v>42</v>
      </c>
      <c r="D8886" t="str">
        <f>HYPERLINK("https://us2.cloudbeds.com/connect/10074733072513#/reservations/31689449971934?display=Dewey%20Hlavac&amp;reservation_id=31689449971934&amp;guest_id=31681864011998", "Dewey Hlavac")</f>
        <v>Dewey Hlavac</v>
      </c>
      <c r="E8886" t="s">
        <v>7322</v>
      </c>
      <c r="F8886" t="s">
        <v>5583</v>
      </c>
      <c r="G8886">
        <v>594</v>
      </c>
      <c r="H8886">
        <v>645.69000000000005</v>
      </c>
      <c r="I8886">
        <v>645.67999999999995</v>
      </c>
      <c r="J8886">
        <v>0.01</v>
      </c>
    </row>
    <row r="8887" spans="1:10" x14ac:dyDescent="0.3">
      <c r="A8887" t="str">
        <f>HYPERLINK("https://us2.cloudbeds.com/connect/10074733072513#/reservations/31689216839919?display=MHXBV0T3B&amp;reservation_id=31689216839919", "MHXBV0T3B")</f>
        <v>MHXBV0T3B</v>
      </c>
      <c r="B8887" t="s">
        <v>10</v>
      </c>
      <c r="C8887" t="s">
        <v>20</v>
      </c>
      <c r="D8887" t="str">
        <f>HYPERLINK("https://us2.cloudbeds.com/connect/10074733072513#/reservations/31689216839919?display=Lou%20Worthington&amp;reservation_id=31689216839919&amp;guest_id=31689207337112", "Lou Worthington")</f>
        <v>Lou Worthington</v>
      </c>
      <c r="E8887" t="s">
        <v>7329</v>
      </c>
      <c r="F8887" t="s">
        <v>7308</v>
      </c>
      <c r="G8887">
        <v>129</v>
      </c>
      <c r="H8887">
        <v>140.22999999999999</v>
      </c>
      <c r="I8887">
        <v>140.22</v>
      </c>
      <c r="J8887">
        <v>0.01</v>
      </c>
    </row>
    <row r="8888" spans="1:10" x14ac:dyDescent="0.3">
      <c r="A8888" t="str">
        <f>HYPERLINK("https://us2.cloudbeds.com/connect/10074733072513#/reservations/31689220718724?display=MHXC19QTT&amp;reservation_id=31689220718724", "MHXC19QTT")</f>
        <v>MHXC19QTT</v>
      </c>
      <c r="B8888" t="s">
        <v>10</v>
      </c>
      <c r="C8888" t="s">
        <v>42</v>
      </c>
      <c r="D8888" t="str">
        <f>HYPERLINK("https://us2.cloudbeds.com/connect/10074733072513#/reservations/31689220718724?display=Douglas%20Burn&amp;reservation_id=31689220718724&amp;guest_id=31679598481585", "Douglas Burn")</f>
        <v>Douglas Burn</v>
      </c>
      <c r="E8888" t="s">
        <v>6260</v>
      </c>
      <c r="F8888" t="s">
        <v>7308</v>
      </c>
      <c r="G8888">
        <v>89</v>
      </c>
      <c r="H8888">
        <v>96.75</v>
      </c>
      <c r="I8888">
        <v>96.74</v>
      </c>
      <c r="J8888">
        <v>0.01</v>
      </c>
    </row>
    <row r="8889" spans="1:10" x14ac:dyDescent="0.3">
      <c r="A8889" t="str">
        <f>HYPERLINK("https://us2.cloudbeds.com/connect/10074733072513#/reservations/31684132159733?display=MHEE0G59J&amp;reservation_id=31684132159733", "MHEE0G59J")</f>
        <v>MHEE0G59J</v>
      </c>
      <c r="B8889" t="s">
        <v>10</v>
      </c>
      <c r="C8889" t="s">
        <v>42</v>
      </c>
      <c r="D8889" t="str">
        <f>HYPERLINK("https://us2.cloudbeds.com/connect/10074733072513#/reservations/31684132159733?display=Raymond%20Velyan&amp;reservation_id=31684132159733&amp;guest_id=30682309091555", "Raymond Velyan")</f>
        <v>Raymond Velyan</v>
      </c>
      <c r="E8889" t="s">
        <v>4324</v>
      </c>
      <c r="F8889" t="s">
        <v>5567</v>
      </c>
      <c r="G8889">
        <v>73</v>
      </c>
      <c r="H8889">
        <v>79.36</v>
      </c>
      <c r="I8889">
        <v>79.349999999999994</v>
      </c>
      <c r="J8889">
        <v>0.01</v>
      </c>
    </row>
    <row r="8890" spans="1:10" x14ac:dyDescent="0.3">
      <c r="A8890" t="str">
        <f>HYPERLINK("https://us2.cloudbeds.com/connect/10074733072513#/reservations/31685926871289?display=MHFQSRYK8&amp;reservation_id=31685926871289", "MHFQSRYK8")</f>
        <v>MHFQSRYK8</v>
      </c>
      <c r="B8890" t="s">
        <v>10</v>
      </c>
      <c r="C8890" t="s">
        <v>42</v>
      </c>
      <c r="D8890" t="str">
        <f>HYPERLINK("https://us2.cloudbeds.com/connect/10074733072513#/reservations/31685926871289?display=Richard%20Bad%20Milk&amp;reservation_id=31685926871289&amp;guest_id=31685926871284", "Richard Bad Milk")</f>
        <v>Richard Bad Milk</v>
      </c>
      <c r="E8890" t="s">
        <v>7330</v>
      </c>
      <c r="F8890" t="s">
        <v>7331</v>
      </c>
      <c r="G8890">
        <v>222</v>
      </c>
      <c r="H8890">
        <v>241.32</v>
      </c>
      <c r="I8890">
        <v>241.31</v>
      </c>
      <c r="J8890">
        <v>0.01</v>
      </c>
    </row>
    <row r="8891" spans="1:10" x14ac:dyDescent="0.3">
      <c r="A8891" t="str">
        <f>HYPERLINK("https://us2.cloudbeds.com/connect/10074733072513#/reservations/31688764129413?display=MHX0C9HW5&amp;reservation_id=31688764129413", "MHX0C9HW5")</f>
        <v>MHX0C9HW5</v>
      </c>
      <c r="B8891" t="s">
        <v>10</v>
      </c>
      <c r="C8891" t="s">
        <v>42</v>
      </c>
      <c r="D8891" t="str">
        <f>HYPERLINK("https://us2.cloudbeds.com/connect/10074733072513#/reservations/31688764129413?display=Allen%20Lindsey&amp;reservation_id=31688764129413&amp;guest_id=31688764125375", "Allen Lindsey")</f>
        <v>Allen Lindsey</v>
      </c>
      <c r="E8891" t="s">
        <v>7332</v>
      </c>
      <c r="F8891" t="s">
        <v>7333</v>
      </c>
      <c r="G8891">
        <v>73</v>
      </c>
      <c r="H8891">
        <v>79.36</v>
      </c>
      <c r="I8891">
        <v>79.349999999999994</v>
      </c>
      <c r="J8891">
        <v>0.01</v>
      </c>
    </row>
    <row r="8892" spans="1:10" x14ac:dyDescent="0.3">
      <c r="A8892" t="str">
        <f>HYPERLINK("https://us2.cloudbeds.com/connect/10074733072513#/reservations/31689756180709?display=MHXPNQRHY&amp;reservation_id=31689756180709", "MHXPNQRHY")</f>
        <v>MHXPNQRHY</v>
      </c>
      <c r="B8892" t="s">
        <v>10</v>
      </c>
      <c r="C8892" t="s">
        <v>42</v>
      </c>
      <c r="D8892" t="str">
        <f>HYPERLINK("https://us2.cloudbeds.com/connect/10074733072513#/reservations/31689756180709?display=Greg%20Brusven&amp;reservation_id=31689756180709&amp;guest_id=17963408818374", "Greg Brusven")</f>
        <v>Greg Brusven</v>
      </c>
      <c r="E8892" t="s">
        <v>2398</v>
      </c>
      <c r="F8892" t="s">
        <v>7308</v>
      </c>
      <c r="G8892">
        <v>89</v>
      </c>
      <c r="H8892">
        <v>96.75</v>
      </c>
      <c r="I8892">
        <v>96.74</v>
      </c>
      <c r="J8892">
        <v>0.01</v>
      </c>
    </row>
    <row r="8893" spans="1:10" x14ac:dyDescent="0.3">
      <c r="A8893" t="str">
        <f>HYPERLINK("https://us2.cloudbeds.com/connect/10074733072513#/reservations/31685919752400?display=MHFQMRXHB&amp;reservation_id=31685919752400", "MHFQMRXHB")</f>
        <v>MHFQMRXHB</v>
      </c>
      <c r="B8893" t="s">
        <v>10</v>
      </c>
      <c r="C8893" t="s">
        <v>42</v>
      </c>
      <c r="D8893" t="str">
        <f>HYPERLINK("https://us2.cloudbeds.com/connect/10074733072513#/reservations/31685919752400?display=Ghena%20Curren&amp;reservation_id=31685919752400&amp;guest_id=31685913297086", "Ghena Curren")</f>
        <v>Ghena Curren</v>
      </c>
      <c r="E8893" t="s">
        <v>7330</v>
      </c>
      <c r="F8893" t="s">
        <v>7331</v>
      </c>
      <c r="G8893">
        <v>222</v>
      </c>
      <c r="H8893">
        <v>241.32</v>
      </c>
      <c r="I8893">
        <v>241.31</v>
      </c>
      <c r="J8893">
        <v>0.01</v>
      </c>
    </row>
    <row r="8894" spans="1:10" x14ac:dyDescent="0.3">
      <c r="A8894" t="str">
        <f>HYPERLINK("https://us2.cloudbeds.com/connect/10074733072513#/reservations/31688802078897?display=MHX1B9HWH&amp;reservation_id=31688802078897", "MHX1B9HWH")</f>
        <v>MHX1B9HWH</v>
      </c>
      <c r="B8894" t="s">
        <v>10</v>
      </c>
      <c r="C8894" t="s">
        <v>121</v>
      </c>
      <c r="D8894" t="str">
        <f>HYPERLINK("https://us2.cloudbeds.com/connect/10074733072513#/reservations/31688802078897?display=Jeremy%20Allen%20Hugeback&amp;reservation_id=31688802078897&amp;guest_id=31686160695480", "Jeremy Allen Hugeback")</f>
        <v>Jeremy Allen Hugeback</v>
      </c>
      <c r="E8894" t="s">
        <v>7334</v>
      </c>
      <c r="F8894" t="s">
        <v>5567</v>
      </c>
      <c r="G8894">
        <v>225</v>
      </c>
      <c r="H8894">
        <v>244.59</v>
      </c>
      <c r="I8894">
        <v>244.58</v>
      </c>
      <c r="J8894">
        <v>0.01</v>
      </c>
    </row>
    <row r="8895" spans="1:10" x14ac:dyDescent="0.3">
      <c r="A8895" t="str">
        <f>HYPERLINK("https://us2.cloudbeds.com/connect/10074733072513#/reservations/31685943136388?display=MHFR9X8E1&amp;reservation_id=31685943136388", "MHFR9X8E1")</f>
        <v>MHFR9X8E1</v>
      </c>
      <c r="B8895" t="s">
        <v>10</v>
      </c>
      <c r="C8895" t="s">
        <v>42</v>
      </c>
      <c r="D8895" t="str">
        <f>HYPERLINK("https://us2.cloudbeds.com/connect/10074733072513#/reservations/31685943136388?display=Sandra%20Spotted%20Tail&amp;reservation_id=31685943136388&amp;guest_id=31685932458197", "Sandra Spotted Tail")</f>
        <v>Sandra Spotted Tail</v>
      </c>
      <c r="E8895" t="s">
        <v>7330</v>
      </c>
      <c r="F8895" t="s">
        <v>7331</v>
      </c>
      <c r="G8895">
        <v>222</v>
      </c>
      <c r="H8895">
        <v>241.32</v>
      </c>
      <c r="I8895">
        <v>241.31</v>
      </c>
      <c r="J8895">
        <v>0.01</v>
      </c>
    </row>
    <row r="8896" spans="1:10" x14ac:dyDescent="0.3">
      <c r="A8896" t="str">
        <f>HYPERLINK("https://us2.cloudbeds.com/connect/10074733072513#/reservations/31687706816751?display=MHH6BZ8KH&amp;reservation_id=31687706816751", "MHH6BZ8KH")</f>
        <v>MHH6BZ8KH</v>
      </c>
      <c r="B8896" t="s">
        <v>10</v>
      </c>
      <c r="C8896" t="s">
        <v>42</v>
      </c>
      <c r="D8896" t="str">
        <f>HYPERLINK("https://us2.cloudbeds.com/connect/10074733072513#/reservations/31687706816751?display=James%20Edward%20Torborg&amp;reservation_id=31687706816751&amp;guest_id=31676351418594", "James Edward Torborg")</f>
        <v>James Edward Torborg</v>
      </c>
      <c r="E8896" t="s">
        <v>7337</v>
      </c>
      <c r="F8896" t="s">
        <v>7333</v>
      </c>
      <c r="G8896">
        <v>99</v>
      </c>
      <c r="H8896">
        <v>107.62</v>
      </c>
      <c r="I8896">
        <v>107.61</v>
      </c>
      <c r="J8896">
        <v>0.01</v>
      </c>
    </row>
    <row r="8897" spans="1:10" x14ac:dyDescent="0.3">
      <c r="A8897" t="str">
        <f>HYPERLINK("https://us2.cloudbeds.com/connect/10074733072513#/reservations/31684621467875?display=MHEQH2T21&amp;reservation_id=31684621467875", "MHEQH2T21")</f>
        <v>MHEQH2T21</v>
      </c>
      <c r="B8897" t="s">
        <v>10</v>
      </c>
      <c r="C8897" t="s">
        <v>42</v>
      </c>
      <c r="D8897" t="str">
        <f>HYPERLINK("https://us2.cloudbeds.com/connect/10074733072513#/reservations/31684621467875?display=Joe%20Tewksbury%20Great%20Planes%20Structures&amp;reservation_id=31684621467875&amp;guest_id=31684621467863", "Joe Tewksbury Great Planes Structures")</f>
        <v>Joe Tewksbury Great Planes Structures</v>
      </c>
      <c r="E8897" t="s">
        <v>5244</v>
      </c>
      <c r="F8897" t="s">
        <v>5567</v>
      </c>
      <c r="G8897">
        <v>79</v>
      </c>
      <c r="H8897">
        <v>85.88</v>
      </c>
      <c r="I8897">
        <v>85.87</v>
      </c>
      <c r="J8897">
        <v>0.01</v>
      </c>
    </row>
    <row r="8898" spans="1:10" x14ac:dyDescent="0.3">
      <c r="A8898" t="str">
        <f>HYPERLINK("https://us2.cloudbeds.com/connect/10074733072513#/reservations/31684628783289?display=MHEQN8EK8&amp;reservation_id=31684628783289", "MHEQN8EK8")</f>
        <v>MHEQN8EK8</v>
      </c>
      <c r="B8898" t="s">
        <v>10</v>
      </c>
      <c r="C8898" t="s">
        <v>42</v>
      </c>
      <c r="D8898" t="str">
        <f>HYPERLINK("https://us2.cloudbeds.com/connect/10074733072513#/reservations/31684628783289?display=Shawne%20Anderson%20Great%20Planes%20Structures&amp;reservation_id=31684628783289&amp;guest_id=31684628783279", "Shawne Anderson Great Planes Structures")</f>
        <v>Shawne Anderson Great Planes Structures</v>
      </c>
      <c r="E8898" t="s">
        <v>5244</v>
      </c>
      <c r="F8898" t="s">
        <v>5567</v>
      </c>
      <c r="G8898">
        <v>79</v>
      </c>
      <c r="H8898">
        <v>85.88</v>
      </c>
      <c r="I8898">
        <v>85.87</v>
      </c>
      <c r="J8898">
        <v>0.01</v>
      </c>
    </row>
    <row r="8899" spans="1:10" x14ac:dyDescent="0.3">
      <c r="A8899" t="str">
        <f>HYPERLINK("https://us2.cloudbeds.com/connect/10074733072513#/reservations/31684634267854?display=MHEQRT1V6&amp;reservation_id=31684634267854", "MHEQRT1V6")</f>
        <v>MHEQRT1V6</v>
      </c>
      <c r="B8899" t="s">
        <v>10</v>
      </c>
      <c r="C8899" t="s">
        <v>42</v>
      </c>
      <c r="D8899" t="str">
        <f>HYPERLINK("https://us2.cloudbeds.com/connect/10074733072513#/reservations/31684634267854?display=David%20Grose%20Great%20Planes%20Structures&amp;reservation_id=31684634267854&amp;guest_id=31684634267849", "David Grose Great Planes Structures")</f>
        <v>David Grose Great Planes Structures</v>
      </c>
      <c r="E8899" t="s">
        <v>5244</v>
      </c>
      <c r="F8899" t="s">
        <v>5567</v>
      </c>
      <c r="G8899">
        <v>79</v>
      </c>
      <c r="H8899">
        <v>85.88</v>
      </c>
      <c r="I8899">
        <v>85.87</v>
      </c>
      <c r="J8899">
        <v>0.01</v>
      </c>
    </row>
    <row r="8900" spans="1:10" x14ac:dyDescent="0.3">
      <c r="A8900" t="str">
        <f>HYPERLINK("https://us2.cloudbeds.com/connect/10074733072513#/reservations/31682825445543?display=MHDDKKU2T&amp;reservation_id=31682825445543", "MHDDKKU2T")</f>
        <v>MHDDKKU2T</v>
      </c>
      <c r="B8900" t="s">
        <v>10</v>
      </c>
      <c r="C8900" t="s">
        <v>42</v>
      </c>
      <c r="D8900" t="str">
        <f>HYPERLINK("https://us2.cloudbeds.com/connect/10074733072513#/reservations/31682825445543?display=Cory%20Glick&amp;reservation_id=31682825445543&amp;guest_id=31676961386701", "Cory Glick")</f>
        <v>Cory Glick</v>
      </c>
      <c r="E8900" t="s">
        <v>2769</v>
      </c>
      <c r="F8900" t="s">
        <v>7339</v>
      </c>
      <c r="G8900">
        <v>158</v>
      </c>
      <c r="H8900">
        <v>171.76</v>
      </c>
      <c r="I8900">
        <v>171.75</v>
      </c>
      <c r="J8900">
        <v>0.01</v>
      </c>
    </row>
    <row r="8901" spans="1:10" x14ac:dyDescent="0.3">
      <c r="A8901" t="str">
        <f>HYPERLINK("https://us2.cloudbeds.com/connect/10074733072513#/reservations/31688772989086?display=MHX0JP2J3&amp;reservation_id=31688772989086", "MHX0JP2J3")</f>
        <v>MHX0JP2J3</v>
      </c>
      <c r="B8901" t="s">
        <v>10</v>
      </c>
      <c r="C8901" t="s">
        <v>14</v>
      </c>
      <c r="D8901" t="str">
        <f>HYPERLINK("https://us2.cloudbeds.com/connect/10074733072513#/reservations/31688772989086?display=Alexander%20Gardner&amp;reservation_id=31688772989086&amp;guest_id=31688772989084", "Alexander Gardner")</f>
        <v>Alexander Gardner</v>
      </c>
      <c r="E8901" t="s">
        <v>7340</v>
      </c>
      <c r="F8901" t="s">
        <v>7333</v>
      </c>
      <c r="G8901">
        <v>97.74</v>
      </c>
      <c r="H8901">
        <v>106.25</v>
      </c>
      <c r="I8901">
        <v>106.24</v>
      </c>
      <c r="J8901">
        <v>0.01</v>
      </c>
    </row>
    <row r="8902" spans="1:10" x14ac:dyDescent="0.3">
      <c r="A8902" t="str">
        <f>HYPERLINK("https://us2.cloudbeds.com/connect/10074733072513#/reservations/31684587319507?display=MHEPY9YH0&amp;reservation_id=31684587319507", "MHEPY9YH0")</f>
        <v>MHEPY9YH0</v>
      </c>
      <c r="B8902" t="s">
        <v>10</v>
      </c>
      <c r="C8902" t="s">
        <v>14</v>
      </c>
      <c r="D8902" t="str">
        <f>HYPERLINK("https://us2.cloudbeds.com/connect/10074733072513#/reservations/31684587319507?display=Jeffrey%20Barstow&amp;reservation_id=31684587319507&amp;guest_id=31684587315422", "Jeffrey Barstow")</f>
        <v>Jeffrey Barstow</v>
      </c>
      <c r="E8902" t="s">
        <v>7341</v>
      </c>
      <c r="F8902" t="s">
        <v>5567</v>
      </c>
      <c r="G8902">
        <v>97.74</v>
      </c>
      <c r="H8902">
        <v>106.25</v>
      </c>
      <c r="I8902">
        <v>106.24</v>
      </c>
      <c r="J8902">
        <v>0.01</v>
      </c>
    </row>
    <row r="8903" spans="1:10" x14ac:dyDescent="0.3">
      <c r="A8903" t="str">
        <f>HYPERLINK("https://us2.cloudbeds.com/connect/10074733072513#/reservations/31684136984779?display=MHEE4XE03&amp;reservation_id=31684136984779", "MHEE4XE03")</f>
        <v>MHEE4XE03</v>
      </c>
      <c r="B8903" t="s">
        <v>10</v>
      </c>
      <c r="C8903" t="s">
        <v>14</v>
      </c>
      <c r="D8903" t="str">
        <f>HYPERLINK("https://us2.cloudbeds.com/connect/10074733072513#/reservations/31684136984779?display=Alexander%20Gardner&amp;reservation_id=31684136984779&amp;guest_id=31684136980693", "Alexander Gardner")</f>
        <v>Alexander Gardner</v>
      </c>
      <c r="E8903" t="s">
        <v>7342</v>
      </c>
      <c r="F8903" t="s">
        <v>5567</v>
      </c>
      <c r="G8903">
        <v>110.86</v>
      </c>
      <c r="H8903">
        <v>120.51</v>
      </c>
      <c r="I8903">
        <v>120.5</v>
      </c>
      <c r="J8903">
        <v>0.01</v>
      </c>
    </row>
    <row r="8904" spans="1:10" x14ac:dyDescent="0.3">
      <c r="A8904" t="str">
        <f>HYPERLINK("https://us2.cloudbeds.com/connect/10074733072513#/reservations/31684151705729?display=MHEEGW1SG&amp;reservation_id=31684151705729", "MHEEGW1SG")</f>
        <v>MHEEGW1SG</v>
      </c>
      <c r="B8904" t="s">
        <v>10</v>
      </c>
      <c r="C8904" t="s">
        <v>121</v>
      </c>
      <c r="D8904" t="str">
        <f>HYPERLINK("https://us2.cloudbeds.com/connect/10074733072513#/reservations/31684151705729?display=Jason%20Ehlers&amp;reservation_id=31684151705729&amp;guest_id=31684144378090", "Jason Ehlers")</f>
        <v>Jason Ehlers</v>
      </c>
      <c r="E8904" t="s">
        <v>7343</v>
      </c>
      <c r="F8904" t="s">
        <v>5567</v>
      </c>
      <c r="G8904">
        <v>73</v>
      </c>
      <c r="H8904">
        <v>79.36</v>
      </c>
      <c r="I8904">
        <v>79.349999999999994</v>
      </c>
      <c r="J8904">
        <v>0.01</v>
      </c>
    </row>
    <row r="8905" spans="1:10" x14ac:dyDescent="0.3">
      <c r="A8905" t="str">
        <f>HYPERLINK("https://us2.cloudbeds.com/connect/10074733072513#/reservations/31682796695714?display=MHDCTCTSV&amp;reservation_id=31682796695714", "MHDCTCTSV")</f>
        <v>MHDCTCTSV</v>
      </c>
      <c r="B8905" t="s">
        <v>10</v>
      </c>
      <c r="C8905" t="s">
        <v>42</v>
      </c>
      <c r="D8905" t="str">
        <f>HYPERLINK("https://us2.cloudbeds.com/connect/10074733072513#/reservations/31682796695714?display=Nathan%20Hisel&amp;reservation_id=31682796695714&amp;guest_id=31682765832355", "Nathan Hisel")</f>
        <v>Nathan Hisel</v>
      </c>
      <c r="E8905" t="s">
        <v>7344</v>
      </c>
      <c r="F8905" t="s">
        <v>7130</v>
      </c>
      <c r="G8905">
        <v>407</v>
      </c>
      <c r="H8905">
        <v>442.42</v>
      </c>
      <c r="I8905">
        <v>442.41</v>
      </c>
      <c r="J8905">
        <v>0.01</v>
      </c>
    </row>
    <row r="8906" spans="1:10" x14ac:dyDescent="0.3">
      <c r="A8906" t="str">
        <f>HYPERLINK("https://us2.cloudbeds.com/connect/10074733072513#/reservations/31682779594958?display=MHDCEW1N7&amp;reservation_id=31682779594958", "MHDCEW1N7")</f>
        <v>MHDCEW1N7</v>
      </c>
      <c r="B8906" t="s">
        <v>10</v>
      </c>
      <c r="C8906" t="s">
        <v>42</v>
      </c>
      <c r="D8906" t="str">
        <f>HYPERLINK("https://us2.cloudbeds.com/connect/10074733072513#/reservations/31682779594958?display=Nathan%20Hisel&amp;reservation_id=31682779594958&amp;guest_id=31682765832355", "Nathan Hisel")</f>
        <v>Nathan Hisel</v>
      </c>
      <c r="E8906" t="s">
        <v>7344</v>
      </c>
      <c r="F8906" t="s">
        <v>7130</v>
      </c>
      <c r="G8906">
        <v>407</v>
      </c>
      <c r="H8906">
        <v>442.42</v>
      </c>
      <c r="I8906">
        <v>442.41</v>
      </c>
      <c r="J8906">
        <v>0.01</v>
      </c>
    </row>
    <row r="8907" spans="1:10" x14ac:dyDescent="0.3">
      <c r="A8907" t="str">
        <f>HYPERLINK("https://us2.cloudbeds.com/connect/10074733072513#/reservations/31685400752272?display=MHFDE6KCZ&amp;reservation_id=31685400752272", "MHFDE6KCZ")</f>
        <v>MHFDE6KCZ</v>
      </c>
      <c r="B8907" t="s">
        <v>10</v>
      </c>
      <c r="C8907" t="s">
        <v>42</v>
      </c>
      <c r="D8907" t="str">
        <f>HYPERLINK("https://us2.cloudbeds.com/connect/10074733072513#/reservations/31685400752272?display=Katie%20Logan%20Legacy%20Cross%20Country&amp;reservation_id=31685400752272&amp;guest_id=31685400752260", "Katie Logan Legacy Cross Country")</f>
        <v>Katie Logan Legacy Cross Country</v>
      </c>
      <c r="E8907" t="s">
        <v>7345</v>
      </c>
      <c r="F8907" t="s">
        <v>7269</v>
      </c>
      <c r="G8907">
        <v>129</v>
      </c>
      <c r="H8907">
        <v>140.22999999999999</v>
      </c>
      <c r="I8907">
        <v>140.22</v>
      </c>
      <c r="J8907">
        <v>0.01</v>
      </c>
    </row>
    <row r="8908" spans="1:10" x14ac:dyDescent="0.3">
      <c r="A8908" t="str">
        <f>HYPERLINK("https://us2.cloudbeds.com/connect/10074733072513#/reservations/31693224775817?display=MHYFBKK0A&amp;reservation_id=31693224775817", "MHYFBKK0A")</f>
        <v>MHYFBKK0A</v>
      </c>
      <c r="B8908" t="s">
        <v>10</v>
      </c>
      <c r="C8908" t="s">
        <v>42</v>
      </c>
      <c r="D8908" t="str">
        <f>HYPERLINK("https://us2.cloudbeds.com/connect/10074733072513#/reservations/31693224775817?display=Mindy%20Hildremyr&amp;reservation_id=31693224775817&amp;guest_id=31693224775812", "Mindy Hildremyr")</f>
        <v>Mindy Hildremyr</v>
      </c>
      <c r="E8908" t="s">
        <v>7346</v>
      </c>
      <c r="F8908" t="s">
        <v>7269</v>
      </c>
      <c r="G8908">
        <v>258</v>
      </c>
      <c r="H8908">
        <v>280.45999999999998</v>
      </c>
      <c r="I8908">
        <v>280.45</v>
      </c>
      <c r="J8908">
        <v>0.01</v>
      </c>
    </row>
    <row r="8909" spans="1:10" x14ac:dyDescent="0.3">
      <c r="A8909" t="str">
        <f>HYPERLINK("https://us2.cloudbeds.com/connect/10074733072513#/reservations/31685394735340?display=MHFD9466F&amp;reservation_id=31685394735340", "MHFD9466F")</f>
        <v>MHFD9466F</v>
      </c>
      <c r="B8909" t="s">
        <v>10</v>
      </c>
      <c r="C8909" t="s">
        <v>42</v>
      </c>
      <c r="D8909" t="str">
        <f>HYPERLINK("https://us2.cloudbeds.com/connect/10074733072513#/reservations/31685394735340?display=High%20School%20Cross%20Country%20Legacy&amp;reservation_id=31685394735340&amp;guest_id=31685384990862", "High School Cross Country Legacy")</f>
        <v>High School Cross Country Legacy</v>
      </c>
      <c r="E8909" t="s">
        <v>7347</v>
      </c>
      <c r="F8909" t="s">
        <v>7269</v>
      </c>
      <c r="G8909">
        <v>258</v>
      </c>
      <c r="H8909">
        <v>280.45999999999998</v>
      </c>
      <c r="I8909">
        <v>280.45</v>
      </c>
      <c r="J8909">
        <v>0.01</v>
      </c>
    </row>
    <row r="8910" spans="1:10" x14ac:dyDescent="0.3">
      <c r="A8910" t="str">
        <f>HYPERLINK("https://us2.cloudbeds.com/connect/10074733072513#/reservations/31684406796535?display=MHEY12B0U&amp;reservation_id=31684406796535", "MHEY12B0U")</f>
        <v>MHEY12B0U</v>
      </c>
      <c r="B8910" t="s">
        <v>10</v>
      </c>
      <c r="C8910" t="s">
        <v>42</v>
      </c>
      <c r="D8910" t="str">
        <f>HYPERLINK("https://us2.cloudbeds.com/connect/10074733072513#/reservations/31684406796535?display=Arthur%20Mack&amp;reservation_id=31684406796535&amp;guest_id=31684395917471", "Arthur Mack")</f>
        <v>Arthur Mack</v>
      </c>
      <c r="E8910" t="s">
        <v>7241</v>
      </c>
      <c r="F8910" t="s">
        <v>7130</v>
      </c>
      <c r="G8910">
        <v>129</v>
      </c>
      <c r="H8910">
        <v>140.22999999999999</v>
      </c>
      <c r="I8910">
        <v>140.22</v>
      </c>
      <c r="J8910">
        <v>0.01</v>
      </c>
    </row>
    <row r="8911" spans="1:10" x14ac:dyDescent="0.3">
      <c r="A8911" t="str">
        <f>HYPERLINK("https://us2.cloudbeds.com/connect/10074733072513#/reservations/31682917617834?display=MHDFWBZFK&amp;reservation_id=31682917617834", "MHDFWBZFK")</f>
        <v>MHDFWBZFK</v>
      </c>
      <c r="B8911" t="s">
        <v>10</v>
      </c>
      <c r="C8911" t="s">
        <v>14</v>
      </c>
      <c r="D8911" t="str">
        <f>HYPERLINK("https://us2.cloudbeds.com/connect/10074733072513#/reservations/31682917617834?display=Alexander%20Gardner&amp;reservation_id=31682917617834&amp;guest_id=31682909442264", "Alexander Gardner")</f>
        <v>Alexander Gardner</v>
      </c>
      <c r="E8911" t="s">
        <v>7348</v>
      </c>
      <c r="F8911" t="s">
        <v>7130</v>
      </c>
      <c r="G8911">
        <v>110.86</v>
      </c>
      <c r="H8911">
        <v>120.51</v>
      </c>
      <c r="I8911">
        <v>120.5</v>
      </c>
      <c r="J8911">
        <v>0.01</v>
      </c>
    </row>
    <row r="8912" spans="1:10" x14ac:dyDescent="0.3">
      <c r="A8912" t="str">
        <f>HYPERLINK("https://us2.cloudbeds.com/connect/10074733072513#/reservations/31684072222952?display=MHECFVAUG&amp;reservation_id=31684072222952", "MHECFVAUG")</f>
        <v>MHECFVAUG</v>
      </c>
      <c r="B8912" t="s">
        <v>10</v>
      </c>
      <c r="C8912" t="s">
        <v>23</v>
      </c>
      <c r="D8912" t="str">
        <f>HYPERLINK("https://us2.cloudbeds.com/connect/10074733072513#/reservations/31684072222952?display=Jeanette%20Miller&amp;reservation_id=31684072222952&amp;guest_id=31682854617299", "Jeanette Miller")</f>
        <v>Jeanette Miller</v>
      </c>
      <c r="E8912" t="s">
        <v>7349</v>
      </c>
      <c r="F8912" t="s">
        <v>5567</v>
      </c>
      <c r="G8912">
        <v>149</v>
      </c>
      <c r="H8912">
        <v>161.97</v>
      </c>
      <c r="I8912">
        <v>161.96</v>
      </c>
      <c r="J8912">
        <v>0.01</v>
      </c>
    </row>
    <row r="8913" spans="1:10" x14ac:dyDescent="0.3">
      <c r="A8913" t="str">
        <f>HYPERLINK("https://us2.cloudbeds.com/connect/10074733072513#/reservations/31685357650165?display=MHFCAS7R2&amp;reservation_id=31685357650165", "MHFCAS7R2")</f>
        <v>MHFCAS7R2</v>
      </c>
      <c r="B8913" t="s">
        <v>10</v>
      </c>
      <c r="C8913" t="s">
        <v>42</v>
      </c>
      <c r="D8913" t="str">
        <f>HYPERLINK("https://us2.cloudbeds.com/connect/10074733072513#/reservations/31685357650165?display=Elizabeth%20Legacy%20Cross%20Country&amp;reservation_id=31685357650165&amp;guest_id=31685357650119", "Elizabeth Legacy Cross Country")</f>
        <v>Elizabeth Legacy Cross Country</v>
      </c>
      <c r="E8913" t="s">
        <v>7350</v>
      </c>
      <c r="F8913" t="s">
        <v>7269</v>
      </c>
      <c r="G8913">
        <v>129</v>
      </c>
      <c r="H8913">
        <v>140.22999999999999</v>
      </c>
      <c r="I8913">
        <v>140.22</v>
      </c>
      <c r="J8913">
        <v>0.01</v>
      </c>
    </row>
    <row r="8914" spans="1:10" x14ac:dyDescent="0.3">
      <c r="A8914" t="str">
        <f>HYPERLINK("https://us2.cloudbeds.com/connect/10074733072513#/reservations/31693257035935?display=MHYG5R9KY&amp;reservation_id=31693257035935", "MHYG5R9KY")</f>
        <v>MHYG5R9KY</v>
      </c>
      <c r="B8914" t="s">
        <v>10</v>
      </c>
      <c r="C8914" t="s">
        <v>42</v>
      </c>
      <c r="D8914" t="str">
        <f>HYPERLINK("https://us2.cloudbeds.com/connect/10074733072513#/reservations/31693257035935?display=High%20School%20Cross%20Country%20Legacy&amp;reservation_id=31693257035935&amp;guest_id=31693241270401", "High School Cross Country Legacy")</f>
        <v>High School Cross Country Legacy</v>
      </c>
      <c r="E8914" t="s">
        <v>7347</v>
      </c>
      <c r="F8914" t="s">
        <v>7269</v>
      </c>
      <c r="G8914">
        <v>258</v>
      </c>
      <c r="H8914">
        <v>280.45999999999998</v>
      </c>
      <c r="I8914">
        <v>280.45</v>
      </c>
      <c r="J8914">
        <v>0.01</v>
      </c>
    </row>
    <row r="8915" spans="1:10" x14ac:dyDescent="0.3">
      <c r="A8915" t="str">
        <f>HYPERLINK("https://us2.cloudbeds.com/connect/10074733072513#/reservations/31685352992931?display=MHFC6UY7W&amp;reservation_id=31685352992931", "MHFC6UY7W")</f>
        <v>MHFC6UY7W</v>
      </c>
      <c r="B8915" t="s">
        <v>10</v>
      </c>
      <c r="C8915" t="s">
        <v>42</v>
      </c>
      <c r="D8915" t="str">
        <f>HYPERLINK("https://us2.cloudbeds.com/connect/10074733072513#/reservations/31685352992931?display=Dave%20Axt&amp;reservation_id=31685352992931&amp;guest_id=31685327302865", "Dave Axt")</f>
        <v>Dave Axt</v>
      </c>
      <c r="E8915" t="s">
        <v>7351</v>
      </c>
      <c r="F8915" t="s">
        <v>7269</v>
      </c>
      <c r="G8915">
        <v>129</v>
      </c>
      <c r="H8915">
        <v>140.22999999999999</v>
      </c>
      <c r="I8915">
        <v>140.22</v>
      </c>
      <c r="J8915">
        <v>0.01</v>
      </c>
    </row>
    <row r="8916" spans="1:10" x14ac:dyDescent="0.3">
      <c r="A8916" t="str">
        <f>HYPERLINK("https://us2.cloudbeds.com/connect/10074733072513#/reservations/31692198318318?display=MHKM42U4K&amp;reservation_id=31692198318318", "MHKM42U4K")</f>
        <v>MHKM42U4K</v>
      </c>
      <c r="B8916" t="s">
        <v>10</v>
      </c>
      <c r="C8916" t="s">
        <v>23</v>
      </c>
      <c r="D8916" t="str">
        <f>HYPERLINK("https://us2.cloudbeds.com/connect/10074733072513#/reservations/31692198318318?display=Jeff%20Karelitz&amp;reservation_id=31692198318318&amp;guest_id=31692185858277", "Jeff Karelitz")</f>
        <v>Jeff Karelitz</v>
      </c>
      <c r="E8916" t="s">
        <v>7352</v>
      </c>
      <c r="F8916" t="s">
        <v>7269</v>
      </c>
      <c r="G8916">
        <v>308</v>
      </c>
      <c r="H8916">
        <v>334.81</v>
      </c>
      <c r="I8916">
        <v>334.8</v>
      </c>
      <c r="J8916">
        <v>0.01</v>
      </c>
    </row>
    <row r="8917" spans="1:10" x14ac:dyDescent="0.3">
      <c r="A8917" t="str">
        <f>HYPERLINK("https://us2.cloudbeds.com/connect/10074733072513#/reservations/31693186277534?display=MHYEC5B1M&amp;reservation_id=31693186277534", "MHYEC5B1M")</f>
        <v>MHYEC5B1M</v>
      </c>
      <c r="B8917" t="s">
        <v>10</v>
      </c>
      <c r="C8917" t="s">
        <v>42</v>
      </c>
      <c r="D8917" t="str">
        <f>HYPERLINK("https://us2.cloudbeds.com/connect/10074733072513#/reservations/31693186277534?display=Valerie%20Woeste%20Legacy%20Cross%20Country&amp;reservation_id=31693186277534&amp;guest_id=31693186277530", "Valerie Woeste Legacy Cross Country")</f>
        <v>Valerie Woeste Legacy Cross Country</v>
      </c>
      <c r="E8917" t="s">
        <v>7353</v>
      </c>
      <c r="F8917" t="s">
        <v>7269</v>
      </c>
      <c r="G8917">
        <v>129</v>
      </c>
      <c r="H8917">
        <v>140.22999999999999</v>
      </c>
      <c r="I8917">
        <v>140.22</v>
      </c>
      <c r="J8917">
        <v>0.01</v>
      </c>
    </row>
    <row r="8918" spans="1:10" x14ac:dyDescent="0.3">
      <c r="A8918" t="str">
        <f>HYPERLINK("https://us2.cloudbeds.com/connect/10074733072513#/reservations/31686383358171?display=MHG5HP2G2&amp;reservation_id=31686383358171", "MHG5HP2G2")</f>
        <v>MHG5HP2G2</v>
      </c>
      <c r="B8918" t="s">
        <v>10</v>
      </c>
      <c r="C8918" t="s">
        <v>42</v>
      </c>
      <c r="D8918" t="str">
        <f>HYPERLINK("https://us2.cloudbeds.com/connect/10074733072513#/reservations/31686383358171?display=Stotts%20Keith&amp;reservation_id=31686383358171&amp;guest_id=31686383358169", "Stotts Keith")</f>
        <v>Stotts Keith</v>
      </c>
      <c r="E8918" t="s">
        <v>7354</v>
      </c>
      <c r="F8918" t="s">
        <v>5567</v>
      </c>
      <c r="G8918">
        <v>169</v>
      </c>
      <c r="H8918">
        <v>183.71</v>
      </c>
      <c r="I8918">
        <v>183.7</v>
      </c>
      <c r="J8918">
        <v>0.01</v>
      </c>
    </row>
    <row r="8919" spans="1:10" x14ac:dyDescent="0.3">
      <c r="A8919" t="str">
        <f>HYPERLINK("https://us2.cloudbeds.com/connect/10074733072513#/reservations/31686444056711?display=MHG72V3BP&amp;reservation_id=31686444056711", "MHG72V3BP")</f>
        <v>MHG72V3BP</v>
      </c>
      <c r="B8919" t="s">
        <v>10</v>
      </c>
      <c r="C8919" t="s">
        <v>42</v>
      </c>
      <c r="D8919" t="str">
        <f>HYPERLINK("https://us2.cloudbeds.com/connect/10074733072513#/reservations/31686444056711?display=Serdyutskiy%20Viktor&amp;reservation_id=31686444056711&amp;guest_id=31686444056709", "Serdyutskiy Viktor")</f>
        <v>Serdyutskiy Viktor</v>
      </c>
      <c r="E8919" t="s">
        <v>7355</v>
      </c>
      <c r="F8919" t="s">
        <v>5567</v>
      </c>
      <c r="G8919">
        <v>129</v>
      </c>
      <c r="H8919">
        <v>140.22999999999999</v>
      </c>
      <c r="I8919">
        <v>140.22</v>
      </c>
      <c r="J8919">
        <v>0.01</v>
      </c>
    </row>
    <row r="8920" spans="1:10" x14ac:dyDescent="0.3">
      <c r="A8920" t="str">
        <f>HYPERLINK("https://us2.cloudbeds.com/connect/10074733072513#/reservations/31683079880840?display=MHDK45VAB&amp;reservation_id=31683079880840", "MHDK45VAB")</f>
        <v>MHDK45VAB</v>
      </c>
      <c r="B8920" t="s">
        <v>10</v>
      </c>
      <c r="C8920" t="s">
        <v>42</v>
      </c>
      <c r="D8920" t="str">
        <f>HYPERLINK("https://us2.cloudbeds.com/connect/10074733072513#/reservations/31683079880840?display=Lynette%20Simonson&amp;reservation_id=31683079880840&amp;guest_id=31683079880835", "Lynette Simonson")</f>
        <v>Lynette Simonson</v>
      </c>
      <c r="E8920" t="s">
        <v>7356</v>
      </c>
      <c r="F8920" t="s">
        <v>7269</v>
      </c>
      <c r="G8920">
        <v>129</v>
      </c>
      <c r="H8920">
        <v>140.22999999999999</v>
      </c>
      <c r="I8920">
        <v>140.22</v>
      </c>
      <c r="J8920">
        <v>0.01</v>
      </c>
    </row>
    <row r="8921" spans="1:10" x14ac:dyDescent="0.3">
      <c r="A8921" t="str">
        <f>HYPERLINK("https://us2.cloudbeds.com/connect/10074733072513#/reservations/31693214535894?display=MHYF2WYVX&amp;reservation_id=31693214535894", "MHYF2WYVX")</f>
        <v>MHYF2WYVX</v>
      </c>
      <c r="B8921" t="s">
        <v>10</v>
      </c>
      <c r="C8921" t="s">
        <v>42</v>
      </c>
      <c r="D8921" t="str">
        <f>HYPERLINK("https://us2.cloudbeds.com/connect/10074733072513#/reservations/31693214535894?display=Cross%20Country%20Terran%20Wurrgler%20Legacy&amp;reservation_id=31693214535894&amp;guest_id=31693214531810", "Cross Country Terran Wurrgler Legacy")</f>
        <v>Cross Country Terran Wurrgler Legacy</v>
      </c>
      <c r="E8921" t="s">
        <v>7358</v>
      </c>
      <c r="F8921" t="s">
        <v>7269</v>
      </c>
      <c r="G8921">
        <v>129</v>
      </c>
      <c r="H8921">
        <v>140.22999999999999</v>
      </c>
      <c r="I8921">
        <v>140.22</v>
      </c>
      <c r="J8921">
        <v>0.01</v>
      </c>
    </row>
    <row r="8922" spans="1:10" x14ac:dyDescent="0.3">
      <c r="A8922" t="str">
        <f>HYPERLINK("https://us2.cloudbeds.com/connect/10074733072513#/reservations/31682854617301?display=MHDEC7YZX&amp;reservation_id=31682854617301", "MHDEC7YZX")</f>
        <v>MHDEC7YZX</v>
      </c>
      <c r="B8922" t="s">
        <v>10</v>
      </c>
      <c r="C8922" t="s">
        <v>23</v>
      </c>
      <c r="D8922" t="str">
        <f>HYPERLINK("https://us2.cloudbeds.com/connect/10074733072513#/reservations/31682854617301?display=Jeanette%20Miller&amp;reservation_id=31682854617301&amp;guest_id=31682854617299", "Jeanette Miller")</f>
        <v>Jeanette Miller</v>
      </c>
      <c r="E8922" t="s">
        <v>7349</v>
      </c>
      <c r="F8922" t="s">
        <v>7130</v>
      </c>
      <c r="G8922">
        <v>149</v>
      </c>
      <c r="H8922">
        <v>161.97</v>
      </c>
      <c r="I8922">
        <v>161.96</v>
      </c>
      <c r="J8922">
        <v>0.01</v>
      </c>
    </row>
    <row r="8923" spans="1:10" x14ac:dyDescent="0.3">
      <c r="A8923" t="str">
        <f>HYPERLINK("https://us2.cloudbeds.com/connect/10074733072513#/reservations/31682933842079?display=MHDGD16PD&amp;reservation_id=31682933842079", "MHDGD16PD")</f>
        <v>MHDGD16PD</v>
      </c>
      <c r="B8923" t="s">
        <v>10</v>
      </c>
      <c r="C8923" t="s">
        <v>42</v>
      </c>
      <c r="D8923" t="str">
        <f>HYPERLINK("https://us2.cloudbeds.com/connect/10074733072513#/reservations/31682933842079?display=Quincy%20Stroggins&amp;reservation_id=31682933842079&amp;guest_id=31682933837968", "Quincy Stroggins")</f>
        <v>Quincy Stroggins</v>
      </c>
      <c r="E8923" t="s">
        <v>7360</v>
      </c>
      <c r="F8923" t="s">
        <v>7130</v>
      </c>
      <c r="G8923">
        <v>196</v>
      </c>
      <c r="H8923">
        <v>213.06</v>
      </c>
      <c r="I8923">
        <v>213.05</v>
      </c>
      <c r="J8923">
        <v>0.01</v>
      </c>
    </row>
    <row r="8924" spans="1:10" x14ac:dyDescent="0.3">
      <c r="A8924" t="str">
        <f>HYPERLINK("https://us2.cloudbeds.com/connect/10074733072513#/reservations/31684418916506?display=MHEYB9JFZ&amp;reservation_id=31684418916506", "MHEYB9JFZ")</f>
        <v>MHEYB9JFZ</v>
      </c>
      <c r="B8924" t="s">
        <v>10</v>
      </c>
      <c r="C8924" t="s">
        <v>121</v>
      </c>
      <c r="D8924" t="str">
        <f>HYPERLINK("https://us2.cloudbeds.com/connect/10074733072513#/reservations/31684418916506?display=Anderson%20Brian&amp;reservation_id=31684418916506&amp;guest_id=31684418912422", "Anderson Brian")</f>
        <v>Anderson Brian</v>
      </c>
      <c r="E8924" t="s">
        <v>7361</v>
      </c>
      <c r="F8924" t="s">
        <v>7130</v>
      </c>
      <c r="G8924">
        <v>129</v>
      </c>
      <c r="H8924">
        <v>140.22999999999999</v>
      </c>
      <c r="I8924">
        <v>140.22</v>
      </c>
      <c r="J8924">
        <v>0.01</v>
      </c>
    </row>
    <row r="8925" spans="1:10" x14ac:dyDescent="0.3">
      <c r="A8925" t="str">
        <f>HYPERLINK("https://us2.cloudbeds.com/connect/10074733072513#/reservations/31684351701202?display=MHEJKK7EC&amp;reservation_id=31684351701202", "MHEJKK7EC")</f>
        <v>MHEJKK7EC</v>
      </c>
      <c r="B8925" t="s">
        <v>10</v>
      </c>
      <c r="C8925" t="s">
        <v>121</v>
      </c>
      <c r="D8925" t="str">
        <f>HYPERLINK("https://us2.cloudbeds.com/connect/10074733072513#/reservations/31684351701202?display=Joel%20Dahlin&amp;reservation_id=31684351701202&amp;guest_id=31684351697111", "Joel Dahlin")</f>
        <v>Joel Dahlin</v>
      </c>
      <c r="E8925" t="s">
        <v>7363</v>
      </c>
      <c r="F8925" t="s">
        <v>7130</v>
      </c>
      <c r="G8925">
        <v>129</v>
      </c>
      <c r="H8925">
        <v>140.22999999999999</v>
      </c>
      <c r="I8925">
        <v>140.22</v>
      </c>
      <c r="J8925">
        <v>0.01</v>
      </c>
    </row>
    <row r="8926" spans="1:10" x14ac:dyDescent="0.3">
      <c r="A8926" t="str">
        <f>HYPERLINK("https://us2.cloudbeds.com/connect/10074733072513#/reservations/31684264456402?display=MHEHD1GRX&amp;reservation_id=31684264456402", "MHEHD1GRX")</f>
        <v>MHEHD1GRX</v>
      </c>
      <c r="B8926" t="s">
        <v>10</v>
      </c>
      <c r="C8926" t="s">
        <v>42</v>
      </c>
      <c r="D8926" t="str">
        <f>HYPERLINK("https://us2.cloudbeds.com/connect/10074733072513#/reservations/31684264456402?display=Lisa%20Obrien&amp;reservation_id=31684264456402&amp;guest_id=31684264456400", "Lisa Obrien")</f>
        <v>Lisa Obrien</v>
      </c>
      <c r="E8926" t="s">
        <v>7364</v>
      </c>
      <c r="F8926" t="s">
        <v>5247</v>
      </c>
      <c r="G8926">
        <v>169</v>
      </c>
      <c r="H8926">
        <v>183.71</v>
      </c>
      <c r="I8926">
        <v>183.7</v>
      </c>
      <c r="J8926">
        <v>0.01</v>
      </c>
    </row>
    <row r="8927" spans="1:10" x14ac:dyDescent="0.3">
      <c r="A8927" t="str">
        <f>HYPERLINK("https://us2.cloudbeds.com/connect/10074733072513#/reservations/31683828773063?display=MHE68YWA4&amp;reservation_id=31683828773063", "MHE68YWA4")</f>
        <v>MHE68YWA4</v>
      </c>
      <c r="B8927" t="s">
        <v>10</v>
      </c>
      <c r="C8927" t="s">
        <v>42</v>
      </c>
      <c r="D8927" t="str">
        <f>HYPERLINK("https://us2.cloudbeds.com/connect/10074733072513#/reservations/31683828773063?display=Jon%20Street&amp;reservation_id=31683828773063&amp;guest_id=31683828768968", "Jon Street")</f>
        <v>Jon Street</v>
      </c>
      <c r="E8927" t="s">
        <v>7365</v>
      </c>
      <c r="F8927" t="s">
        <v>7136</v>
      </c>
      <c r="G8927">
        <v>129</v>
      </c>
      <c r="H8927">
        <v>140.22999999999999</v>
      </c>
      <c r="I8927">
        <v>140.22</v>
      </c>
      <c r="J8927">
        <v>0.01</v>
      </c>
    </row>
    <row r="8928" spans="1:10" x14ac:dyDescent="0.3">
      <c r="A8928" t="str">
        <f>HYPERLINK("https://us2.cloudbeds.com/connect/10074733072513#/reservations/31682878648515?display=MHDEWGBW5&amp;reservation_id=31682878648515", "MHDEWGBW5")</f>
        <v>MHDEWGBW5</v>
      </c>
      <c r="B8928" t="s">
        <v>10</v>
      </c>
      <c r="C8928" t="s">
        <v>23</v>
      </c>
      <c r="D8928" t="str">
        <f>HYPERLINK("https://us2.cloudbeds.com/connect/10074733072513#/reservations/31682878648515?display=Jeanette%20Miller&amp;reservation_id=31682878648515&amp;guest_id=31682870452465", "Jeanette Miller")</f>
        <v>Jeanette Miller</v>
      </c>
      <c r="E8928" t="s">
        <v>7349</v>
      </c>
      <c r="F8928" t="s">
        <v>7339</v>
      </c>
      <c r="G8928">
        <v>199</v>
      </c>
      <c r="H8928">
        <v>216.32</v>
      </c>
      <c r="I8928">
        <v>216.31</v>
      </c>
      <c r="J8928">
        <v>0.01</v>
      </c>
    </row>
    <row r="8929" spans="1:10" x14ac:dyDescent="0.3">
      <c r="A8929" t="str">
        <f>HYPERLINK("https://us2.cloudbeds.com/connect/10074733072513#/reservations/31688125575352?display=MHHH1RRK3&amp;reservation_id=31688125575352", "MHHH1RRK3")</f>
        <v>MHHH1RRK3</v>
      </c>
      <c r="B8929" t="s">
        <v>10</v>
      </c>
      <c r="C8929" t="s">
        <v>20</v>
      </c>
      <c r="D8929" t="str">
        <f>HYPERLINK("https://us2.cloudbeds.com/connect/10074733072513#/reservations/31688125575352?display=Christa%20Horn&amp;reservation_id=31688125575352&amp;guest_id=31688125575347", "Christa Horn")</f>
        <v>Christa Horn</v>
      </c>
      <c r="E8929" t="s">
        <v>7366</v>
      </c>
      <c r="F8929" t="s">
        <v>7367</v>
      </c>
      <c r="G8929">
        <v>298</v>
      </c>
      <c r="H8929">
        <v>323.94</v>
      </c>
      <c r="I8929">
        <v>323.93</v>
      </c>
      <c r="J8929">
        <v>0.01</v>
      </c>
    </row>
    <row r="8930" spans="1:10" x14ac:dyDescent="0.3">
      <c r="A8930" t="str">
        <f>HYPERLINK("https://us2.cloudbeds.com/connect/10074733072513#/reservations/31683291775153?display=MHDPHS794&amp;reservation_id=31683291775153", "MHDPHS794")</f>
        <v>MHDPHS794</v>
      </c>
      <c r="B8930" t="s">
        <v>10</v>
      </c>
      <c r="C8930" t="s">
        <v>42</v>
      </c>
      <c r="D8930" t="str">
        <f>HYPERLINK("https://us2.cloudbeds.com/connect/10074733072513#/reservations/31683291775153?display=Cole%20Shawd&amp;reservation_id=31683291775153&amp;guest_id=31683291775147", "Cole Shawd")</f>
        <v>Cole Shawd</v>
      </c>
      <c r="E8930" t="s">
        <v>7368</v>
      </c>
      <c r="F8930" t="s">
        <v>4853</v>
      </c>
      <c r="G8930">
        <v>129</v>
      </c>
      <c r="H8930">
        <v>140.22999999999999</v>
      </c>
      <c r="I8930">
        <v>140.22</v>
      </c>
      <c r="J8930">
        <v>0.01</v>
      </c>
    </row>
    <row r="8931" spans="1:10" x14ac:dyDescent="0.3">
      <c r="A8931" t="str">
        <f>HYPERLINK("https://us2.cloudbeds.com/connect/10074733072513#/reservations/31684920045760?display=MHF0TBDH7&amp;reservation_id=31684920045760", "MHF0TBDH7")</f>
        <v>MHF0TBDH7</v>
      </c>
      <c r="B8931" t="s">
        <v>10</v>
      </c>
      <c r="C8931" t="s">
        <v>42</v>
      </c>
      <c r="D8931" t="str">
        <f>HYPERLINK("https://us2.cloudbeds.com/connect/10074733072513#/reservations/31684920045760?display=Kip%20Gearey&amp;reservation_id=31684920045760&amp;guest_id=31684909949096", "Kip Gearey")</f>
        <v>Kip Gearey</v>
      </c>
      <c r="E8931" t="s">
        <v>7021</v>
      </c>
      <c r="F8931" t="s">
        <v>7136</v>
      </c>
      <c r="G8931">
        <v>278</v>
      </c>
      <c r="H8931">
        <v>302.2</v>
      </c>
      <c r="I8931">
        <v>302.19</v>
      </c>
      <c r="J8931">
        <v>0.01</v>
      </c>
    </row>
    <row r="8932" spans="1:10" x14ac:dyDescent="0.3">
      <c r="A8932" t="str">
        <f>HYPERLINK("https://us2.cloudbeds.com/connect/10074733072513#/reservations/31682736169159?display=MHDBBBYUU&amp;reservation_id=31682736169159", "MHDBBBYUU")</f>
        <v>MHDBBBYUU</v>
      </c>
      <c r="B8932" t="s">
        <v>10</v>
      </c>
      <c r="C8932" t="s">
        <v>42</v>
      </c>
      <c r="D8932" t="str">
        <f>HYPERLINK("https://us2.cloudbeds.com/connect/10074733072513#/reservations/31682736169159?display=Brian%20Epperson&amp;reservation_id=31682736169159&amp;guest_id=31682726998189", "Brian Epperson")</f>
        <v>Brian Epperson</v>
      </c>
      <c r="E8932" t="s">
        <v>7369</v>
      </c>
      <c r="F8932" t="s">
        <v>4853</v>
      </c>
      <c r="G8932">
        <v>129</v>
      </c>
      <c r="H8932">
        <v>140.22999999999999</v>
      </c>
      <c r="I8932">
        <v>140.22</v>
      </c>
      <c r="J8932">
        <v>0.01</v>
      </c>
    </row>
    <row r="8933" spans="1:10" x14ac:dyDescent="0.3">
      <c r="A8933" t="str">
        <f>HYPERLINK("https://us2.cloudbeds.com/connect/10074733072513#/reservations/31682718458019?display=MHDATDR8N&amp;reservation_id=31682718458019", "MHDATDR8N")</f>
        <v>MHDATDR8N</v>
      </c>
      <c r="B8933" t="s">
        <v>10</v>
      </c>
      <c r="C8933" t="s">
        <v>42</v>
      </c>
      <c r="D8933" t="str">
        <f>HYPERLINK("https://us2.cloudbeds.com/connect/10074733072513#/reservations/31682718458019?display=Laurie%20Curtis&amp;reservation_id=31682718458019&amp;guest_id=31682710577362", "Laurie Curtis")</f>
        <v>Laurie Curtis</v>
      </c>
      <c r="E8933" t="s">
        <v>892</v>
      </c>
      <c r="F8933" t="s">
        <v>4853</v>
      </c>
      <c r="G8933">
        <v>139</v>
      </c>
      <c r="H8933">
        <v>151.1</v>
      </c>
      <c r="I8933">
        <v>151.09</v>
      </c>
      <c r="J8933">
        <v>0.01</v>
      </c>
    </row>
    <row r="8934" spans="1:10" x14ac:dyDescent="0.3">
      <c r="A8934" t="str">
        <f>HYPERLINK("https://us2.cloudbeds.com/connect/10074733072513#/reservations/31688491876489?display=MHHQDNN9X&amp;reservation_id=31688491876489", "MHHQDNN9X")</f>
        <v>MHHQDNN9X</v>
      </c>
      <c r="B8934" t="s">
        <v>10</v>
      </c>
      <c r="C8934" t="s">
        <v>42</v>
      </c>
      <c r="D8934" t="str">
        <f>HYPERLINK("https://us2.cloudbeds.com/connect/10074733072513#/reservations/31688491876489?display=Nate%20Stellrecht&amp;reservation_id=31688491876489&amp;guest_id=31688483999933", "Nate Stellrecht")</f>
        <v>Nate Stellrecht</v>
      </c>
      <c r="E8934" t="s">
        <v>7320</v>
      </c>
      <c r="F8934" t="s">
        <v>5554</v>
      </c>
      <c r="G8934">
        <v>225</v>
      </c>
      <c r="H8934">
        <v>244.59</v>
      </c>
      <c r="I8934">
        <v>244.58</v>
      </c>
      <c r="J8934">
        <v>0.01</v>
      </c>
    </row>
    <row r="8935" spans="1:10" x14ac:dyDescent="0.3">
      <c r="A8935" t="str">
        <f>HYPERLINK("https://us2.cloudbeds.com/connect/10074733072513#/reservations/31683813503192?display=MHE5SQ2CP&amp;reservation_id=31683813503192", "MHE5SQ2CP")</f>
        <v>MHE5SQ2CP</v>
      </c>
      <c r="B8935" t="s">
        <v>10</v>
      </c>
      <c r="C8935" t="s">
        <v>42</v>
      </c>
      <c r="D8935" t="str">
        <f>HYPERLINK("https://us2.cloudbeds.com/connect/10074733072513#/reservations/31683813503192?display=Brian%20Epperson&amp;reservation_id=31683813503192&amp;guest_id=31682726998189", "Brian Epperson")</f>
        <v>Brian Epperson</v>
      </c>
      <c r="E8935" t="s">
        <v>7369</v>
      </c>
      <c r="F8935" t="s">
        <v>7136</v>
      </c>
      <c r="G8935">
        <v>129</v>
      </c>
      <c r="H8935">
        <v>140.22999999999999</v>
      </c>
      <c r="I8935">
        <v>140.22</v>
      </c>
      <c r="J8935">
        <v>0.01</v>
      </c>
    </row>
    <row r="8936" spans="1:10" x14ac:dyDescent="0.3">
      <c r="A8936" t="str">
        <f>HYPERLINK("https://us2.cloudbeds.com/connect/10074733072513#/reservations/31689486512280?display=MHXXRDU42&amp;reservation_id=31689486512280", "MHXXRDU42")</f>
        <v>MHXXRDU42</v>
      </c>
      <c r="B8936" t="s">
        <v>10</v>
      </c>
      <c r="C8936" t="s">
        <v>20</v>
      </c>
      <c r="D8936" t="str">
        <f>HYPERLINK("https://us2.cloudbeds.com/connect/10074733072513#/reservations/31689486512280?display=Dillon%20Prissel&amp;reservation_id=31689486512280&amp;guest_id=31689486508188", "Dillon Prissel")</f>
        <v>Dillon Prissel</v>
      </c>
      <c r="E8936" t="s">
        <v>7371</v>
      </c>
      <c r="F8936" t="s">
        <v>7200</v>
      </c>
      <c r="G8936">
        <v>129</v>
      </c>
      <c r="H8936">
        <v>140.22999999999999</v>
      </c>
      <c r="I8936">
        <v>140.22</v>
      </c>
      <c r="J8936">
        <v>0.01</v>
      </c>
    </row>
    <row r="8937" spans="1:10" x14ac:dyDescent="0.3">
      <c r="A8937" t="str">
        <f>HYPERLINK("https://us2.cloudbeds.com/connect/10074733072513#/reservations/31688088019110?display=MHHG35PN5&amp;reservation_id=31688088019110", "MHHG35PN5")</f>
        <v>MHHG35PN5</v>
      </c>
      <c r="B8937" t="s">
        <v>10</v>
      </c>
      <c r="C8937" t="s">
        <v>42</v>
      </c>
      <c r="D8937" t="str">
        <f>HYPERLINK("https://us2.cloudbeds.com/connect/10074733072513#/reservations/31688088019110?display=Jessica/%20Casey%20Voelker&amp;reservation_id=31688088019110&amp;guest_id=31688076435669", "Jessica/ Casey Voelker")</f>
        <v>Jessica/ Casey Voelker</v>
      </c>
      <c r="E8937" t="s">
        <v>3773</v>
      </c>
      <c r="F8937" t="s">
        <v>7372</v>
      </c>
      <c r="G8937">
        <v>139</v>
      </c>
      <c r="H8937">
        <v>151.1</v>
      </c>
      <c r="I8937">
        <v>151.09</v>
      </c>
      <c r="J8937">
        <v>0.01</v>
      </c>
    </row>
    <row r="8938" spans="1:10" x14ac:dyDescent="0.3">
      <c r="A8938" t="str">
        <f>HYPERLINK("https://us2.cloudbeds.com/connect/10074733072513#/reservations/31684221014164?display=MHEG9DYW3&amp;reservation_id=31684221014164", "MHEG9DYW3")</f>
        <v>MHEG9DYW3</v>
      </c>
      <c r="B8938" t="s">
        <v>10</v>
      </c>
      <c r="C8938" t="s">
        <v>42</v>
      </c>
      <c r="D8938" t="str">
        <f>HYPERLINK("https://us2.cloudbeds.com/connect/10074733072513#/reservations/31684221014164?display=Abbey%20Vanverwerf&amp;reservation_id=31684221014164&amp;guest_id=31684221014159", "Abbey Vanverwerf")</f>
        <v>Abbey Vanverwerf</v>
      </c>
      <c r="E8938" t="s">
        <v>7373</v>
      </c>
      <c r="F8938" t="s">
        <v>7372</v>
      </c>
      <c r="G8938">
        <v>139</v>
      </c>
      <c r="H8938">
        <v>151.1</v>
      </c>
      <c r="I8938">
        <v>151.09</v>
      </c>
      <c r="J8938">
        <v>0.01</v>
      </c>
    </row>
    <row r="8939" spans="1:10" x14ac:dyDescent="0.3">
      <c r="A8939" t="str">
        <f>HYPERLINK("https://us2.cloudbeds.com/connect/10074733072513#/reservations/31689624715476?display=MHXMBVKFN&amp;reservation_id=31689624715476", "MHXMBVKFN")</f>
        <v>MHXMBVKFN</v>
      </c>
      <c r="B8939" t="s">
        <v>10</v>
      </c>
      <c r="C8939" t="s">
        <v>23</v>
      </c>
      <c r="D8939" t="str">
        <f>HYPERLINK("https://us2.cloudbeds.com/connect/10074733072513#/reservations/31689624715476?display=Ryan%20Johnson&amp;reservation_id=31689624715476&amp;guest_id=31689624715474", "Ryan Johnson")</f>
        <v>Ryan Johnson</v>
      </c>
      <c r="E8939" t="s">
        <v>7374</v>
      </c>
      <c r="F8939" t="s">
        <v>5554</v>
      </c>
      <c r="G8939">
        <v>129</v>
      </c>
      <c r="H8939">
        <v>140.22999999999999</v>
      </c>
      <c r="I8939">
        <v>140.22</v>
      </c>
      <c r="J8939">
        <v>0.01</v>
      </c>
    </row>
    <row r="8940" spans="1:10" x14ac:dyDescent="0.3">
      <c r="A8940" t="str">
        <f>HYPERLINK("https://us2.cloudbeds.com/connect/10074733072513#/reservations/31683797426312?display=MHE5F7NDJ&amp;reservation_id=31683797426312", "MHE5F7NDJ")</f>
        <v>MHE5F7NDJ</v>
      </c>
      <c r="B8940" t="s">
        <v>10</v>
      </c>
      <c r="C8940" t="s">
        <v>42</v>
      </c>
      <c r="D8940" t="str">
        <f>HYPERLINK("https://us2.cloudbeds.com/connect/10074733072513#/reservations/31683797426312?display=Marcus%20Vaughn&amp;reservation_id=31683797426312&amp;guest_id=31678152696055", "Marcus Vaughn")</f>
        <v>Marcus Vaughn</v>
      </c>
      <c r="E8940" t="s">
        <v>6437</v>
      </c>
      <c r="F8940" t="s">
        <v>7136</v>
      </c>
      <c r="G8940">
        <v>73</v>
      </c>
      <c r="H8940">
        <v>79.36</v>
      </c>
      <c r="I8940">
        <v>79.349999999999994</v>
      </c>
      <c r="J8940">
        <v>0.01</v>
      </c>
    </row>
    <row r="8941" spans="1:10" x14ac:dyDescent="0.3">
      <c r="A8941" t="str">
        <f>HYPERLINK("https://us2.cloudbeds.com/connect/10074733072513#/reservations/31683779588318?display=MHE506B8A&amp;reservation_id=31683779588318", "MHE506B8A")</f>
        <v>MHE506B8A</v>
      </c>
      <c r="B8941" t="s">
        <v>10</v>
      </c>
      <c r="C8941" t="s">
        <v>42</v>
      </c>
      <c r="D8941" t="str">
        <f>HYPERLINK("https://us2.cloudbeds.com/connect/10074733072513#/reservations/31683779588318?display=Daryle%20Petrzilka&amp;reservation_id=31683779588318&amp;guest_id=31683779588313", "Daryle Petrzilka")</f>
        <v>Daryle Petrzilka</v>
      </c>
      <c r="E8941" t="s">
        <v>5614</v>
      </c>
      <c r="F8941" t="s">
        <v>7136</v>
      </c>
      <c r="G8941">
        <v>129</v>
      </c>
      <c r="H8941">
        <v>140.22999999999999</v>
      </c>
      <c r="I8941">
        <v>140.22</v>
      </c>
      <c r="J8941">
        <v>0.01</v>
      </c>
    </row>
    <row r="8942" spans="1:10" x14ac:dyDescent="0.3">
      <c r="A8942" t="str">
        <f>HYPERLINK("https://us2.cloudbeds.com/connect/10074733072513#/reservations/31688499695861?display=MHHQKA9K7&amp;reservation_id=31688499695861", "MHHQKA9K7")</f>
        <v>MHHQKA9K7</v>
      </c>
      <c r="B8942" t="s">
        <v>10</v>
      </c>
      <c r="C8942" t="s">
        <v>42</v>
      </c>
      <c r="D8942" t="str">
        <f>HYPERLINK("https://us2.cloudbeds.com/connect/10074733072513#/reservations/31688499695861?display=Carl%20Peterson&amp;reservation_id=31688499695861&amp;guest_id=31683231355111", "Carl Peterson")</f>
        <v>Carl Peterson</v>
      </c>
      <c r="E8942" t="s">
        <v>6943</v>
      </c>
      <c r="F8942" t="s">
        <v>5554</v>
      </c>
      <c r="G8942">
        <v>225</v>
      </c>
      <c r="H8942">
        <v>244.59</v>
      </c>
      <c r="I8942">
        <v>244.58</v>
      </c>
      <c r="J8942">
        <v>0.01</v>
      </c>
    </row>
    <row r="8943" spans="1:10" x14ac:dyDescent="0.3">
      <c r="A8943" t="str">
        <f>HYPERLINK("https://us2.cloudbeds.com/connect/10074733072513#/reservations/31683779592402?display=MHE506F02&amp;reservation_id=31683779592402", "MHE506F02")</f>
        <v>MHE506F02</v>
      </c>
      <c r="B8943" t="s">
        <v>10</v>
      </c>
      <c r="C8943" t="s">
        <v>17</v>
      </c>
      <c r="D8943" t="str">
        <f>HYPERLINK("https://us2.cloudbeds.com/connect/10074733072513#/reservations/31683779592402?display=Brooke%20Amundson&amp;reservation_id=31683779592402&amp;guest_id=31683779588316", "Brooke Amundson")</f>
        <v>Brooke Amundson</v>
      </c>
      <c r="E8943" t="s">
        <v>7379</v>
      </c>
      <c r="F8943" t="s">
        <v>6507</v>
      </c>
      <c r="G8943">
        <v>169</v>
      </c>
      <c r="H8943">
        <v>183.71</v>
      </c>
      <c r="I8943">
        <v>183.7</v>
      </c>
      <c r="J8943">
        <v>0.01</v>
      </c>
    </row>
    <row r="8944" spans="1:10" x14ac:dyDescent="0.3">
      <c r="A8944" t="str">
        <f>HYPERLINK("https://us2.cloudbeds.com/connect/10074733072513#/reservations/31683402760336?display=MHDSCEX1H&amp;reservation_id=31683402760336", "MHDSCEX1H")</f>
        <v>MHDSCEX1H</v>
      </c>
      <c r="B8944" t="s">
        <v>10</v>
      </c>
      <c r="C8944" t="s">
        <v>121</v>
      </c>
      <c r="D8944" t="str">
        <f>HYPERLINK("https://us2.cloudbeds.com/connect/10074733072513#/reservations/31683402760336?display=Joel%20Alberts&amp;reservation_id=31683402760336&amp;guest_id=31680721637623", "Joel Alberts")</f>
        <v>Joel Alberts</v>
      </c>
      <c r="E8944" t="s">
        <v>6626</v>
      </c>
      <c r="F8944" t="s">
        <v>7136</v>
      </c>
      <c r="G8944">
        <v>129</v>
      </c>
      <c r="H8944">
        <v>140.22999999999999</v>
      </c>
      <c r="I8944">
        <v>140.22</v>
      </c>
      <c r="J8944">
        <v>0.01</v>
      </c>
    </row>
    <row r="8945" spans="1:10" x14ac:dyDescent="0.3">
      <c r="A8945" t="str">
        <f>HYPERLINK("https://us2.cloudbeds.com/connect/10074733072513#/reservations/31692099514591?display=MHKJJPX99&amp;reservation_id=31692099514591", "MHKJJPX99")</f>
        <v>MHKJJPX99</v>
      </c>
      <c r="B8945" t="s">
        <v>10</v>
      </c>
      <c r="C8945" t="s">
        <v>23</v>
      </c>
      <c r="D8945" t="str">
        <f>HYPERLINK("https://us2.cloudbeds.com/connect/10074733072513#/reservations/31692099514591?display=Carol%20Ewert&amp;reservation_id=31692099514591&amp;guest_id=31692099514589", "Carol Ewert")</f>
        <v>Carol Ewert</v>
      </c>
      <c r="E8945" t="s">
        <v>7381</v>
      </c>
      <c r="F8945" t="s">
        <v>6507</v>
      </c>
      <c r="G8945">
        <v>179</v>
      </c>
      <c r="H8945">
        <v>194.58</v>
      </c>
      <c r="I8945">
        <v>194.57</v>
      </c>
      <c r="J8945">
        <v>0.01</v>
      </c>
    </row>
    <row r="8946" spans="1:10" x14ac:dyDescent="0.3">
      <c r="A8946" t="str">
        <f>HYPERLINK("https://us2.cloudbeds.com/connect/10074733072513#/reservations/31688424575126?display=MHHZMVV7A&amp;reservation_id=31688424575126", "MHHZMVV7A")</f>
        <v>MHHZMVV7A</v>
      </c>
      <c r="B8946" t="s">
        <v>10</v>
      </c>
      <c r="C8946" t="s">
        <v>42</v>
      </c>
      <c r="D8946" t="str">
        <f>HYPERLINK("https://us2.cloudbeds.com/connect/10074733072513#/reservations/31688424575126?display=Keith%20Loberg&amp;reservation_id=31688424575126&amp;guest_id=30667674366083", "Keith Loberg")</f>
        <v>Keith Loberg</v>
      </c>
      <c r="E8946" t="s">
        <v>5138</v>
      </c>
      <c r="F8946" t="s">
        <v>7382</v>
      </c>
      <c r="G8946">
        <v>73</v>
      </c>
      <c r="H8946">
        <v>79.36</v>
      </c>
      <c r="I8946">
        <v>79.349999999999994</v>
      </c>
      <c r="J8946">
        <v>0.01</v>
      </c>
    </row>
    <row r="8947" spans="1:10" x14ac:dyDescent="0.3">
      <c r="A8947" t="str">
        <f>HYPERLINK("https://us2.cloudbeds.com/connect/10074733072513#/reservations/31684974428308?display=MHF2HNHAZ&amp;reservation_id=31684974428308", "MHF2HNHAZ")</f>
        <v>MHF2HNHAZ</v>
      </c>
      <c r="B8947" t="s">
        <v>10</v>
      </c>
      <c r="C8947" t="s">
        <v>121</v>
      </c>
      <c r="D8947" t="str">
        <f>HYPERLINK("https://us2.cloudbeds.com/connect/10074733072513#/reservations/31684974428308?display=Katie%20Lienert&amp;reservation_id=31684974428308&amp;guest_id=31684974428303", "Katie Lienert")</f>
        <v>Katie Lienert</v>
      </c>
      <c r="E8947" t="s">
        <v>7383</v>
      </c>
      <c r="F8947" t="s">
        <v>7382</v>
      </c>
      <c r="G8947">
        <v>109</v>
      </c>
      <c r="H8947">
        <v>118.49</v>
      </c>
      <c r="I8947">
        <v>118.48</v>
      </c>
      <c r="J8947">
        <v>0.01</v>
      </c>
    </row>
    <row r="8948" spans="1:10" x14ac:dyDescent="0.3">
      <c r="A8948" t="str">
        <f>HYPERLINK("https://us2.cloudbeds.com/connect/10074733072513#/reservations/31684418912424?display=MHEYB9FZ2&amp;reservation_id=31684418912424", "MHEYB9FZ2")</f>
        <v>MHEYB9FZ2</v>
      </c>
      <c r="B8948" t="s">
        <v>10</v>
      </c>
      <c r="C8948" t="s">
        <v>42</v>
      </c>
      <c r="D8948" t="str">
        <f>HYPERLINK("https://us2.cloudbeds.com/connect/10074733072513#/reservations/31684418912424?display=Julie%20Maas&amp;reservation_id=31684418912424&amp;guest_id=31684418912421", "Julie Maas")</f>
        <v>Julie Maas</v>
      </c>
      <c r="E8948" t="s">
        <v>7384</v>
      </c>
      <c r="F8948" t="s">
        <v>5247</v>
      </c>
      <c r="G8948">
        <v>119</v>
      </c>
      <c r="H8948">
        <v>129.36000000000001</v>
      </c>
      <c r="I8948">
        <v>129.35</v>
      </c>
      <c r="J8948">
        <v>0.01</v>
      </c>
    </row>
    <row r="8949" spans="1:10" x14ac:dyDescent="0.3">
      <c r="A8949" t="str">
        <f>HYPERLINK("https://us2.cloudbeds.com/connect/10074733072513#/reservations/31692099510493?display=MHKJJPEH3&amp;reservation_id=31692099510493", "MHKJJPEH3")</f>
        <v>MHKJJPEH3</v>
      </c>
      <c r="B8949" t="s">
        <v>10</v>
      </c>
      <c r="C8949" t="s">
        <v>17</v>
      </c>
      <c r="D8949" t="str">
        <f>HYPERLINK("https://us2.cloudbeds.com/connect/10074733072513#/reservations/31692099510493?display=Margaret%20Matheson&amp;reservation_id=31692099510493&amp;guest_id=31692099510491", "Margaret Matheson")</f>
        <v>Margaret Matheson</v>
      </c>
      <c r="E8949" t="s">
        <v>7385</v>
      </c>
      <c r="F8949" t="s">
        <v>6507</v>
      </c>
      <c r="G8949">
        <v>338</v>
      </c>
      <c r="H8949">
        <v>367.42</v>
      </c>
      <c r="I8949">
        <v>367.41</v>
      </c>
      <c r="J8949">
        <v>0.01</v>
      </c>
    </row>
    <row r="8950" spans="1:10" x14ac:dyDescent="0.3">
      <c r="A8950" t="str">
        <f>HYPERLINK("https://us2.cloudbeds.com/connect/10074733072513#/reservations/31689623650538?display=MHXMB1WXS&amp;reservation_id=31689623650538", "MHXMB1WXS")</f>
        <v>MHXMB1WXS</v>
      </c>
      <c r="B8950" t="s">
        <v>10</v>
      </c>
      <c r="C8950" t="s">
        <v>42</v>
      </c>
      <c r="D8950" t="str">
        <f>HYPERLINK("https://us2.cloudbeds.com/connect/10074733072513#/reservations/31689623650538?display=David%20Nahnsen&amp;reservation_id=31689623650538&amp;guest_id=31676178182356", "David Nahnsen")</f>
        <v>David Nahnsen</v>
      </c>
      <c r="E8950" t="s">
        <v>7036</v>
      </c>
      <c r="F8950" t="s">
        <v>5554</v>
      </c>
      <c r="G8950">
        <v>258</v>
      </c>
      <c r="H8950">
        <v>280.45999999999998</v>
      </c>
      <c r="I8950">
        <v>280.45</v>
      </c>
      <c r="J8950">
        <v>0.01</v>
      </c>
    </row>
    <row r="8951" spans="1:10" x14ac:dyDescent="0.3">
      <c r="A8951" t="str">
        <f>HYPERLINK("https://us2.cloudbeds.com/connect/10074733072513#/reservations/31684964937882?display=MHF29NEH2&amp;reservation_id=31684964937882", "MHF29NEH2")</f>
        <v>MHF29NEH2</v>
      </c>
      <c r="B8951" t="s">
        <v>10</v>
      </c>
      <c r="C8951" t="s">
        <v>121</v>
      </c>
      <c r="D8951" t="str">
        <f>HYPERLINK("https://us2.cloudbeds.com/connect/10074733072513#/reservations/31684964937882?display=Sean%20Mcdannel&amp;reservation_id=31684964937882&amp;guest_id=31679616999574", "Sean Mcdannel")</f>
        <v>Sean Mcdannel</v>
      </c>
      <c r="E8951" t="s">
        <v>5956</v>
      </c>
      <c r="F8951" t="s">
        <v>7382</v>
      </c>
      <c r="G8951">
        <v>129</v>
      </c>
      <c r="H8951">
        <v>140.22999999999999</v>
      </c>
      <c r="I8951">
        <v>140.22</v>
      </c>
      <c r="J8951">
        <v>0.01</v>
      </c>
    </row>
    <row r="8952" spans="1:10" x14ac:dyDescent="0.3">
      <c r="A8952" t="str">
        <f>HYPERLINK("https://us2.cloudbeds.com/connect/10074733072513#/reservations/31683735908564?display=MHE3TBT9D&amp;reservation_id=31683735908564", "MHE3TBT9D")</f>
        <v>MHE3TBT9D</v>
      </c>
      <c r="B8952" t="s">
        <v>10</v>
      </c>
      <c r="C8952" t="s">
        <v>42</v>
      </c>
      <c r="D8952" t="str">
        <f>HYPERLINK("https://us2.cloudbeds.com/connect/10074733072513#/reservations/31683735908564?display=Jetty%20Steelman&amp;reservation_id=31683735908564&amp;guest_id=30670156488918", "Jetty Steelman")</f>
        <v>Jetty Steelman</v>
      </c>
      <c r="E8952" t="s">
        <v>5528</v>
      </c>
      <c r="F8952" t="s">
        <v>5554</v>
      </c>
      <c r="G8952">
        <v>73</v>
      </c>
      <c r="H8952">
        <v>79.36</v>
      </c>
      <c r="I8952">
        <v>79.349999999999994</v>
      </c>
      <c r="J8952">
        <v>0.01</v>
      </c>
    </row>
    <row r="8953" spans="1:10" x14ac:dyDescent="0.3">
      <c r="A8953" t="str">
        <f>HYPERLINK("https://us2.cloudbeds.com/connect/10074733072513#/reservations/31690865135813?display=MHJY1U4PP&amp;reservation_id=31690865135813", "MHJY1U4PP")</f>
        <v>MHJY1U4PP</v>
      </c>
      <c r="B8953" t="s">
        <v>10</v>
      </c>
      <c r="C8953" t="s">
        <v>42</v>
      </c>
      <c r="D8953" t="str">
        <f>HYPERLINK("https://us2.cloudbeds.com/connect/10074733072513#/reservations/31690865135813?display=Joe%20Hanson&amp;reservation_id=31690865135813&amp;guest_id=31690865131731", "Joe Hanson")</f>
        <v>Joe Hanson</v>
      </c>
      <c r="E8953" t="s">
        <v>7389</v>
      </c>
      <c r="F8953" t="s">
        <v>7387</v>
      </c>
      <c r="G8953">
        <v>225</v>
      </c>
      <c r="H8953">
        <v>244.59</v>
      </c>
      <c r="I8953">
        <v>244.58</v>
      </c>
      <c r="J8953">
        <v>0.01</v>
      </c>
    </row>
    <row r="8954" spans="1:10" x14ac:dyDescent="0.3">
      <c r="A8954" t="str">
        <f>HYPERLINK("https://us2.cloudbeds.com/connect/10074733072513#/reservations/31686917349561?display=MHGJ615NB&amp;reservation_id=31686917349561", "MHGJ615NB")</f>
        <v>MHGJ615NB</v>
      </c>
      <c r="B8954" t="s">
        <v>10</v>
      </c>
      <c r="C8954" t="s">
        <v>42</v>
      </c>
      <c r="D8954" t="str">
        <f>HYPERLINK("https://us2.cloudbeds.com/connect/10074733072513#/reservations/31686917349561?display=Gene%20Westerbuhr&amp;reservation_id=31686917349561&amp;guest_id=31679248928909", "Gene Westerbuhr")</f>
        <v>Gene Westerbuhr</v>
      </c>
      <c r="E8954" t="s">
        <v>4927</v>
      </c>
      <c r="F8954" t="s">
        <v>5661</v>
      </c>
      <c r="G8954">
        <v>79</v>
      </c>
      <c r="H8954">
        <v>85.88</v>
      </c>
      <c r="I8954">
        <v>85.87</v>
      </c>
      <c r="J8954">
        <v>0.01</v>
      </c>
    </row>
    <row r="8955" spans="1:10" x14ac:dyDescent="0.3">
      <c r="A8955" t="str">
        <f>HYPERLINK("https://us2.cloudbeds.com/connect/10074733072513#/reservations/31688440578291?display=MHHP3F8GN&amp;reservation_id=31688440578291", "MHHP3F8GN")</f>
        <v>MHHP3F8GN</v>
      </c>
      <c r="B8955" t="s">
        <v>10</v>
      </c>
      <c r="C8955" t="s">
        <v>121</v>
      </c>
      <c r="D8955" t="str">
        <f>HYPERLINK("https://us2.cloudbeds.com/connect/10074733072513#/reservations/31688440578291?display=Gustavo%20Argueta&amp;reservation_id=31688440578291&amp;guest_id=31688440578287", "Gustavo Argueta")</f>
        <v>Gustavo Argueta</v>
      </c>
      <c r="E8955" t="s">
        <v>7391</v>
      </c>
      <c r="F8955" t="s">
        <v>7382</v>
      </c>
      <c r="G8955">
        <v>129</v>
      </c>
      <c r="H8955">
        <v>140.22999999999999</v>
      </c>
      <c r="I8955">
        <v>140.22</v>
      </c>
      <c r="J8955">
        <v>0.01</v>
      </c>
    </row>
    <row r="8956" spans="1:10" x14ac:dyDescent="0.3">
      <c r="A8956" t="str">
        <f>HYPERLINK("https://us2.cloudbeds.com/connect/10074733072513#/reservations/31689641173209?display=MHXMPRJ5T&amp;reservation_id=31689641173209", "MHXMPRJ5T")</f>
        <v>MHXMPRJ5T</v>
      </c>
      <c r="B8956" t="s">
        <v>10</v>
      </c>
      <c r="C8956" t="s">
        <v>42</v>
      </c>
      <c r="D8956" t="str">
        <f>HYPERLINK("https://us2.cloudbeds.com/connect/10074733072513#/reservations/31689641173209?display=Arthur%20Mack&amp;reservation_id=31689641173209&amp;guest_id=31684395917471", "Arthur Mack")</f>
        <v>Arthur Mack</v>
      </c>
      <c r="E8956" t="s">
        <v>7241</v>
      </c>
      <c r="F8956" t="s">
        <v>5554</v>
      </c>
      <c r="G8956">
        <v>149</v>
      </c>
      <c r="H8956">
        <v>161.97</v>
      </c>
      <c r="I8956">
        <v>161.96</v>
      </c>
      <c r="J8956">
        <v>0.01</v>
      </c>
    </row>
    <row r="8957" spans="1:10" x14ac:dyDescent="0.3">
      <c r="A8957" t="str">
        <f>HYPERLINK("https://us2.cloudbeds.com/connect/10074733072513#/reservations/31691870531716?display=MHKDZMPB9&amp;reservation_id=31691870531716", "MHKDZMPB9")</f>
        <v>MHKDZMPB9</v>
      </c>
      <c r="B8957" t="s">
        <v>10</v>
      </c>
      <c r="C8957" t="s">
        <v>23</v>
      </c>
      <c r="D8957" t="str">
        <f>HYPERLINK("https://us2.cloudbeds.com/connect/10074733072513#/reservations/31691870531716?display=Tasha%20Stahl&amp;reservation_id=31691870531716&amp;guest_id=31691863441644", "Tasha Stahl")</f>
        <v>Tasha Stahl</v>
      </c>
      <c r="E8957" t="s">
        <v>7392</v>
      </c>
      <c r="F8957" t="s">
        <v>7367</v>
      </c>
      <c r="G8957">
        <v>379</v>
      </c>
      <c r="H8957">
        <v>411.98</v>
      </c>
      <c r="I8957">
        <v>411.97</v>
      </c>
      <c r="J8957">
        <v>0.01</v>
      </c>
    </row>
    <row r="8958" spans="1:10" x14ac:dyDescent="0.3">
      <c r="A8958" t="str">
        <f>HYPERLINK("https://us2.cloudbeds.com/connect/10074733072513#/reservations/31683765883098?display=MHE4YKW3K&amp;reservation_id=31683765883098", "MHE4YKW3K")</f>
        <v>MHE4YKW3K</v>
      </c>
      <c r="B8958" t="s">
        <v>10</v>
      </c>
      <c r="C8958" t="s">
        <v>23</v>
      </c>
      <c r="D8958" t="str">
        <f>HYPERLINK("https://us2.cloudbeds.com/connect/10074733072513#/reservations/31683765883098?display=Paul%20Smith&amp;reservation_id=31683765883098&amp;guest_id=31683765883093", "Paul Smith")</f>
        <v>Paul Smith</v>
      </c>
      <c r="E8958" t="s">
        <v>7393</v>
      </c>
      <c r="F8958" t="s">
        <v>5554</v>
      </c>
      <c r="G8958">
        <v>129</v>
      </c>
      <c r="H8958">
        <v>140.22999999999999</v>
      </c>
      <c r="I8958">
        <v>140.22</v>
      </c>
      <c r="J8958">
        <v>0.01</v>
      </c>
    </row>
    <row r="8959" spans="1:10" x14ac:dyDescent="0.3">
      <c r="A8959" t="str">
        <f>HYPERLINK("https://us2.cloudbeds.com/connect/10074733072513#/reservations/31685500367008?display=MHFFW6HW3&amp;reservation_id=31685500367008", "MHFFW6HW3")</f>
        <v>MHFFW6HW3</v>
      </c>
      <c r="B8959" t="s">
        <v>10</v>
      </c>
      <c r="C8959" t="s">
        <v>42</v>
      </c>
      <c r="D8959" t="str">
        <f>HYPERLINK("https://us2.cloudbeds.com/connect/10074733072513#/reservations/31685500367008?display=Kenneth%20Anderson&amp;reservation_id=31685500367008&amp;guest_id=31685500362915", "Kenneth Anderson")</f>
        <v>Kenneth Anderson</v>
      </c>
      <c r="E8959" t="s">
        <v>7394</v>
      </c>
      <c r="F8959" t="s">
        <v>6175</v>
      </c>
      <c r="G8959">
        <v>258</v>
      </c>
      <c r="H8959">
        <v>280.45999999999998</v>
      </c>
      <c r="I8959">
        <v>280.45</v>
      </c>
      <c r="J8959">
        <v>0.01</v>
      </c>
    </row>
    <row r="8960" spans="1:10" x14ac:dyDescent="0.3">
      <c r="A8960" t="str">
        <f>HYPERLINK("https://us2.cloudbeds.com/connect/10074733072513#/reservations/31686566518946?display=MHGA76Q6J&amp;reservation_id=31686566518946", "MHGA76Q6J")</f>
        <v>MHGA76Q6J</v>
      </c>
      <c r="B8960" t="s">
        <v>10</v>
      </c>
      <c r="C8960" t="s">
        <v>121</v>
      </c>
      <c r="D8960" t="str">
        <f>HYPERLINK("https://us2.cloudbeds.com/connect/10074733072513#/reservations/31686566518946?display=Robert%20Portscheller&amp;reservation_id=31686566518946&amp;guest_id=31686566518944", "Robert Portscheller")</f>
        <v>Robert Portscheller</v>
      </c>
      <c r="E8960" t="s">
        <v>7396</v>
      </c>
      <c r="F8960" t="s">
        <v>7377</v>
      </c>
      <c r="G8960">
        <v>129</v>
      </c>
      <c r="H8960">
        <v>140.22999999999999</v>
      </c>
      <c r="I8960">
        <v>140.22</v>
      </c>
      <c r="J8960">
        <v>0.01</v>
      </c>
    </row>
    <row r="8961" spans="1:10" x14ac:dyDescent="0.3">
      <c r="A8961" t="str">
        <f>HYPERLINK("https://us2.cloudbeds.com/connect/10074733072513#/reservations/31683696701586?display=MHE2T9TX5&amp;reservation_id=31683696701586", "MHE2T9TX5")</f>
        <v>MHE2T9TX5</v>
      </c>
      <c r="B8961" t="s">
        <v>10</v>
      </c>
      <c r="C8961" t="s">
        <v>42</v>
      </c>
      <c r="D8961" t="str">
        <f>HYPERLINK("https://us2.cloudbeds.com/connect/10074733072513#/reservations/31683696701586?display=Sharon%20Petersma&amp;reservation_id=31683696701586&amp;guest_id=31683689177328", "Sharon Petersma")</f>
        <v>Sharon Petersma</v>
      </c>
      <c r="E8961" t="s">
        <v>3847</v>
      </c>
      <c r="F8961" t="s">
        <v>5822</v>
      </c>
      <c r="G8961">
        <v>338</v>
      </c>
      <c r="H8961">
        <v>367.42</v>
      </c>
      <c r="I8961">
        <v>367.41</v>
      </c>
      <c r="J8961">
        <v>0.01</v>
      </c>
    </row>
    <row r="8962" spans="1:10" x14ac:dyDescent="0.3">
      <c r="A8962" t="str">
        <f>HYPERLINK("https://us2.cloudbeds.com/connect/10074733072513#/reservations/31687638483185?display=MHH4K3PND&amp;reservation_id=31687638483185", "MHH4K3PND")</f>
        <v>MHH4K3PND</v>
      </c>
      <c r="B8962" t="s">
        <v>10</v>
      </c>
      <c r="C8962" t="s">
        <v>42</v>
      </c>
      <c r="D8962" t="str">
        <f>HYPERLINK("https://us2.cloudbeds.com/connect/10074733072513#/reservations/31687638483185?display=Joyce%20Jolene%20Van%20Kooten&amp;reservation_id=31687638483185&amp;guest_id=31687631134879", "Joyce Jolene Van Kooten")</f>
        <v>Joyce Jolene Van Kooten</v>
      </c>
      <c r="E8962" t="s">
        <v>7397</v>
      </c>
      <c r="F8962" t="s">
        <v>5822</v>
      </c>
      <c r="G8962">
        <v>338</v>
      </c>
      <c r="H8962">
        <v>367.42</v>
      </c>
      <c r="I8962">
        <v>367.41</v>
      </c>
      <c r="J8962">
        <v>0.01</v>
      </c>
    </row>
    <row r="8963" spans="1:10" x14ac:dyDescent="0.3">
      <c r="A8963" t="str">
        <f>HYPERLINK("https://us2.cloudbeds.com/connect/10074733072513#/reservations/31690686435576?display=MHJGG7X21&amp;reservation_id=31690686435576", "MHJGG7X21")</f>
        <v>MHJGG7X21</v>
      </c>
      <c r="B8963" t="s">
        <v>10</v>
      </c>
      <c r="C8963" t="s">
        <v>42</v>
      </c>
      <c r="D8963" t="str">
        <f>HYPERLINK("https://us2.cloudbeds.com/connect/10074733072513#/reservations/31690686435576?display=Calderon%20Castro&amp;reservation_id=31690686435576&amp;guest_id=31690686435522", "Calderon Castro")</f>
        <v>Calderon Castro</v>
      </c>
      <c r="E8963" t="s">
        <v>7398</v>
      </c>
      <c r="F8963" t="s">
        <v>7377</v>
      </c>
      <c r="G8963">
        <v>79</v>
      </c>
      <c r="H8963">
        <v>85.88</v>
      </c>
      <c r="I8963">
        <v>85.87</v>
      </c>
      <c r="J8963">
        <v>0.01</v>
      </c>
    </row>
    <row r="8964" spans="1:10" x14ac:dyDescent="0.3">
      <c r="A8964" t="str">
        <f>HYPERLINK("https://us2.cloudbeds.com/connect/10074733072513#/reservations/31683414835337?display=MHDSMKX6M&amp;reservation_id=31683414835337", "MHDSMKX6M")</f>
        <v>MHDSMKX6M</v>
      </c>
      <c r="B8964" t="s">
        <v>10</v>
      </c>
      <c r="C8964" t="s">
        <v>20</v>
      </c>
      <c r="D8964" t="str">
        <f>HYPERLINK("https://us2.cloudbeds.com/connect/10074733072513#/reservations/31683414835337?display=Sharon%20Heying&amp;reservation_id=31683414835337&amp;guest_id=31683414835334", "Sharon Heying")</f>
        <v>Sharon Heying</v>
      </c>
      <c r="E8964" t="s">
        <v>7399</v>
      </c>
      <c r="F8964" t="s">
        <v>6321</v>
      </c>
      <c r="G8964">
        <v>169</v>
      </c>
      <c r="H8964">
        <v>183.71</v>
      </c>
      <c r="I8964">
        <v>183.7</v>
      </c>
      <c r="J8964">
        <v>0.01</v>
      </c>
    </row>
    <row r="8965" spans="1:10" x14ac:dyDescent="0.3">
      <c r="A8965" t="str">
        <f>HYPERLINK("https://us2.cloudbeds.com/connect/10074733072513#/reservations/31690676957417?display=MHJG87QH4&amp;reservation_id=31690676957417", "MHJG87QH4")</f>
        <v>MHJG87QH4</v>
      </c>
      <c r="B8965" t="s">
        <v>10</v>
      </c>
      <c r="C8965" t="s">
        <v>42</v>
      </c>
      <c r="D8965" t="str">
        <f>HYPERLINK("https://us2.cloudbeds.com/connect/10074733072513#/reservations/31690676957417?display=Davion%20Hurst&amp;reservation_id=31690676957417&amp;guest_id=31677882019986", "Davion Hurst")</f>
        <v>Davion Hurst</v>
      </c>
      <c r="E8965" t="s">
        <v>6230</v>
      </c>
      <c r="F8965" t="s">
        <v>7377</v>
      </c>
      <c r="G8965">
        <v>73</v>
      </c>
      <c r="H8965">
        <v>79.36</v>
      </c>
      <c r="I8965">
        <v>79.349999999999994</v>
      </c>
      <c r="J8965">
        <v>0.01</v>
      </c>
    </row>
    <row r="8966" spans="1:10" x14ac:dyDescent="0.3">
      <c r="A8966" t="str">
        <f>HYPERLINK("https://us2.cloudbeds.com/connect/10074733072513#/reservations/31689479282885?display=MHXXYAZXG&amp;reservation_id=31689479282885", "MHXXYAZXG")</f>
        <v>MHXXYAZXG</v>
      </c>
      <c r="B8966" t="s">
        <v>10</v>
      </c>
      <c r="C8966" t="s">
        <v>42</v>
      </c>
      <c r="D8966" t="str">
        <f>HYPERLINK("https://us2.cloudbeds.com/connect/10074733072513#/reservations/31689479282885?display=Betty%20Risseeu&amp;reservation_id=31689479282885&amp;guest_id=31689479282883", "Betty Risseeu")</f>
        <v>Betty Risseeu</v>
      </c>
      <c r="E8966" t="s">
        <v>7401</v>
      </c>
      <c r="F8966" t="s">
        <v>7200</v>
      </c>
      <c r="G8966">
        <v>129</v>
      </c>
      <c r="H8966">
        <v>140.22999999999999</v>
      </c>
      <c r="I8966">
        <v>140.22</v>
      </c>
      <c r="J8966">
        <v>0.01</v>
      </c>
    </row>
    <row r="8967" spans="1:10" x14ac:dyDescent="0.3">
      <c r="A8967" t="str">
        <f>HYPERLINK("https://us2.cloudbeds.com/connect/10074733072513#/reservations/31687631130774?display=MHH4DU662&amp;reservation_id=31687631130774", "MHH4DU662")</f>
        <v>MHH4DU662</v>
      </c>
      <c r="B8967" t="s">
        <v>10</v>
      </c>
      <c r="C8967" t="s">
        <v>42</v>
      </c>
      <c r="D8967" t="str">
        <f>HYPERLINK("https://us2.cloudbeds.com/connect/10074733072513#/reservations/31687631130774?display=Jeffrey%20Dean%20Van%20Kooten&amp;reservation_id=31687631130774&amp;guest_id=31687620301047", "Jeffrey Dean Van Kooten")</f>
        <v>Jeffrey Dean Van Kooten</v>
      </c>
      <c r="E8967" t="s">
        <v>7402</v>
      </c>
      <c r="F8967" t="s">
        <v>5822</v>
      </c>
      <c r="G8967">
        <v>338</v>
      </c>
      <c r="H8967">
        <v>367.42</v>
      </c>
      <c r="I8967">
        <v>367.41</v>
      </c>
      <c r="J8967">
        <v>0.01</v>
      </c>
    </row>
    <row r="8968" spans="1:10" x14ac:dyDescent="0.3">
      <c r="A8968" t="str">
        <f>HYPERLINK("https://us2.cloudbeds.com/connect/10074733072513#/reservations/31686566514826?display=MHGA76MDN&amp;reservation_id=31686566514826", "MHGA76MDN")</f>
        <v>MHGA76MDN</v>
      </c>
      <c r="B8968" t="s">
        <v>10</v>
      </c>
      <c r="C8968" t="s">
        <v>42</v>
      </c>
      <c r="D8968" t="str">
        <f>HYPERLINK("https://us2.cloudbeds.com/connect/10074733072513#/reservations/31686566514826?display=Barry%20John&amp;reservation_id=31686566514826&amp;guest_id=31686551117952", "Barry John")</f>
        <v>Barry John</v>
      </c>
      <c r="E8968" t="s">
        <v>7403</v>
      </c>
      <c r="F8968" t="s">
        <v>7377</v>
      </c>
      <c r="G8968">
        <v>129</v>
      </c>
      <c r="H8968">
        <v>140.22999999999999</v>
      </c>
      <c r="I8968">
        <v>140.22</v>
      </c>
      <c r="J8968">
        <v>0.01</v>
      </c>
    </row>
    <row r="8969" spans="1:10" x14ac:dyDescent="0.3">
      <c r="A8969" t="str">
        <f>HYPERLINK("https://us2.cloudbeds.com/connect/10074733072513#/reservations/31685866172561?display=MHFPAYKXS&amp;reservation_id=31685866172561", "MHFPAYKXS")</f>
        <v>MHFPAYKXS</v>
      </c>
      <c r="B8969" t="s">
        <v>10</v>
      </c>
      <c r="C8969" t="s">
        <v>17</v>
      </c>
      <c r="D8969" t="str">
        <f>HYPERLINK("https://us2.cloudbeds.com/connect/10074733072513#/reservations/31685866172561?display=Anthony%20Escoubat&amp;reservation_id=31685866172561&amp;guest_id=31685857611972", "Anthony Escoubat")</f>
        <v>Anthony Escoubat</v>
      </c>
      <c r="E8969" t="s">
        <v>7404</v>
      </c>
      <c r="F8969" t="s">
        <v>7405</v>
      </c>
      <c r="G8969">
        <v>159</v>
      </c>
      <c r="H8969">
        <v>172.84</v>
      </c>
      <c r="I8969">
        <v>172.83</v>
      </c>
      <c r="J8969">
        <v>0.01</v>
      </c>
    </row>
    <row r="8970" spans="1:10" x14ac:dyDescent="0.3">
      <c r="A8970" t="str">
        <f>HYPERLINK("https://us2.cloudbeds.com/connect/10074733072513#/reservations/31684305064073?display=MHEXE9FQ1&amp;reservation_id=31684305064073", "MHEXE9FQ1")</f>
        <v>MHEXE9FQ1</v>
      </c>
      <c r="B8970" t="s">
        <v>10</v>
      </c>
      <c r="C8970" t="s">
        <v>42</v>
      </c>
      <c r="D8970" t="str">
        <f>HYPERLINK("https://us2.cloudbeds.com/connect/10074733072513#/reservations/31684305064073?display=Joet%20Wetovick&amp;reservation_id=31684305064073&amp;guest_id=31684296593660", "Joet Wetovick")</f>
        <v>Joet Wetovick</v>
      </c>
      <c r="E8970" t="s">
        <v>7406</v>
      </c>
      <c r="F8970" t="s">
        <v>5717</v>
      </c>
      <c r="G8970">
        <v>129</v>
      </c>
      <c r="H8970">
        <v>140.22999999999999</v>
      </c>
      <c r="I8970">
        <v>140.22</v>
      </c>
      <c r="J8970">
        <v>0.01</v>
      </c>
    </row>
    <row r="8971" spans="1:10" x14ac:dyDescent="0.3">
      <c r="A8971" t="str">
        <f>HYPERLINK("https://us2.cloudbeds.com/connect/10074733072513#/reservations/31690617458820?display=MHJEZ25HA&amp;reservation_id=31690617458820", "MHJEZ25HA")</f>
        <v>MHJEZ25HA</v>
      </c>
      <c r="B8971" t="s">
        <v>10</v>
      </c>
      <c r="C8971" t="s">
        <v>42</v>
      </c>
      <c r="D8971" t="str">
        <f>HYPERLINK("https://us2.cloudbeds.com/connect/10074733072513#/reservations/31690617458820?display=Alvin%20Deboer&amp;reservation_id=31690617458820&amp;guest_id=31690617454734", "Alvin Deboer")</f>
        <v>Alvin Deboer</v>
      </c>
      <c r="E8971" t="s">
        <v>7407</v>
      </c>
      <c r="F8971" t="s">
        <v>7377</v>
      </c>
      <c r="G8971">
        <v>149</v>
      </c>
      <c r="H8971">
        <v>161.97</v>
      </c>
      <c r="I8971">
        <v>161.96</v>
      </c>
      <c r="J8971">
        <v>0.01</v>
      </c>
    </row>
    <row r="8972" spans="1:10" x14ac:dyDescent="0.3">
      <c r="A8972" t="str">
        <f>HYPERLINK("https://us2.cloudbeds.com/connect/10074733072513#/reservations/31686651814071?display=MHGCD48FB&amp;reservation_id=31686651814071", "MHGCD48FB")</f>
        <v>MHGCD48FB</v>
      </c>
      <c r="B8972" t="s">
        <v>10</v>
      </c>
      <c r="C8972" t="s">
        <v>121</v>
      </c>
      <c r="D8972" t="str">
        <f>HYPERLINK("https://us2.cloudbeds.com/connect/10074733072513#/reservations/31686651814071?display=Mason%20Kumashiro&amp;reservation_id=31686651814071&amp;guest_id=31686642327776", "Mason Kumashiro")</f>
        <v>Mason Kumashiro</v>
      </c>
      <c r="E8972" t="s">
        <v>7408</v>
      </c>
      <c r="F8972" t="s">
        <v>7377</v>
      </c>
      <c r="G8972">
        <v>159</v>
      </c>
      <c r="H8972">
        <v>172.84</v>
      </c>
      <c r="I8972">
        <v>172.83</v>
      </c>
      <c r="J8972">
        <v>0.01</v>
      </c>
    </row>
    <row r="8973" spans="1:10" x14ac:dyDescent="0.3">
      <c r="A8973" t="str">
        <f>HYPERLINK("https://us2.cloudbeds.com/connect/10074733072513#/reservations/31686632730768?display=MHGBU17PE&amp;reservation_id=31686632730768", "MHGBU17PE")</f>
        <v>MHGBU17PE</v>
      </c>
      <c r="B8973" t="s">
        <v>10</v>
      </c>
      <c r="C8973" t="s">
        <v>121</v>
      </c>
      <c r="D8973" t="str">
        <f>HYPERLINK("https://us2.cloudbeds.com/connect/10074733072513#/reservations/31686632730768?display=Eston%20Ross&amp;reservation_id=31686632730768&amp;guest_id=31686628151479", "Eston Ross")</f>
        <v>Eston Ross</v>
      </c>
      <c r="E8973" t="s">
        <v>7409</v>
      </c>
      <c r="F8973" t="s">
        <v>7377</v>
      </c>
      <c r="G8973">
        <v>129</v>
      </c>
      <c r="H8973">
        <v>140.22999999999999</v>
      </c>
      <c r="I8973">
        <v>140.22</v>
      </c>
      <c r="J8973">
        <v>0.01</v>
      </c>
    </row>
    <row r="8974" spans="1:10" x14ac:dyDescent="0.3">
      <c r="A8974" t="str">
        <f>HYPERLINK("https://us2.cloudbeds.com/connect/10074733072513#/reservations/31690901229715?display=MHJYWBGSC&amp;reservation_id=31690901229715", "MHJYWBGSC")</f>
        <v>MHJYWBGSC</v>
      </c>
      <c r="B8974" t="s">
        <v>10</v>
      </c>
      <c r="C8974" t="s">
        <v>23</v>
      </c>
      <c r="D8974" t="str">
        <f>HYPERLINK("https://us2.cloudbeds.com/connect/10074733072513#/reservations/31690901229715?display=Kaitlyn%20Bendewald&amp;reservation_id=31690901229715&amp;guest_id=31690901225623", "Kaitlyn Bendewald")</f>
        <v>Kaitlyn Bendewald</v>
      </c>
      <c r="E8974" t="s">
        <v>7410</v>
      </c>
      <c r="F8974" t="s">
        <v>7387</v>
      </c>
      <c r="G8974">
        <v>129</v>
      </c>
      <c r="H8974">
        <v>140.22999999999999</v>
      </c>
      <c r="I8974">
        <v>140.22</v>
      </c>
      <c r="J8974">
        <v>0.01</v>
      </c>
    </row>
    <row r="8975" spans="1:10" x14ac:dyDescent="0.3">
      <c r="A8975" t="str">
        <f>HYPERLINK("https://us2.cloudbeds.com/connect/10074733072513#/reservations/31690711118022?display=MHJH41C9W&amp;reservation_id=31690711118022", "MHJH41C9W")</f>
        <v>MHJH41C9W</v>
      </c>
      <c r="B8975" t="s">
        <v>10</v>
      </c>
      <c r="C8975" t="s">
        <v>121</v>
      </c>
      <c r="D8975" t="str">
        <f>HYPERLINK("https://us2.cloudbeds.com/connect/10074733072513#/reservations/31690711118022?display=Sepp%20Samuel&amp;reservation_id=31690711118022&amp;guest_id=31690701627628", "Sepp Samuel")</f>
        <v>Sepp Samuel</v>
      </c>
      <c r="E8975" t="s">
        <v>7411</v>
      </c>
      <c r="F8975" t="s">
        <v>7377</v>
      </c>
      <c r="G8975">
        <v>258</v>
      </c>
      <c r="H8975">
        <v>280.45999999999998</v>
      </c>
      <c r="I8975">
        <v>280.45</v>
      </c>
      <c r="J8975">
        <v>0.01</v>
      </c>
    </row>
    <row r="8976" spans="1:10" x14ac:dyDescent="0.3">
      <c r="A8976" t="str">
        <f>HYPERLINK("https://us2.cloudbeds.com/connect/10074733072513#/reservations/31686551113862?display=MHG9R743S&amp;reservation_id=31686551113862", "MHG9R743S")</f>
        <v>MHG9R743S</v>
      </c>
      <c r="B8976" t="s">
        <v>10</v>
      </c>
      <c r="C8976" t="s">
        <v>42</v>
      </c>
      <c r="D8976" t="str">
        <f>HYPERLINK("https://us2.cloudbeds.com/connect/10074733072513#/reservations/31686551113862?display=Daniel%20Samuel&amp;reservation_id=31686551113862&amp;guest_id=31686551113856", "Daniel Samuel")</f>
        <v>Daniel Samuel</v>
      </c>
      <c r="E8976" t="s">
        <v>7412</v>
      </c>
      <c r="F8976" t="s">
        <v>7377</v>
      </c>
      <c r="G8976">
        <v>129</v>
      </c>
      <c r="H8976">
        <v>140.22999999999999</v>
      </c>
      <c r="I8976">
        <v>140.22</v>
      </c>
      <c r="J8976">
        <v>0.01</v>
      </c>
    </row>
    <row r="8977" spans="1:10" x14ac:dyDescent="0.3">
      <c r="A8977" t="str">
        <f>HYPERLINK("https://us2.cloudbeds.com/connect/10074733072513#/reservations/31691750289621?display=MHKAM9S6E&amp;reservation_id=31691750289621", "MHKAM9S6E")</f>
        <v>MHKAM9S6E</v>
      </c>
      <c r="B8977" t="s">
        <v>10</v>
      </c>
      <c r="C8977" t="s">
        <v>121</v>
      </c>
      <c r="D8977" t="str">
        <f>HYPERLINK("https://us2.cloudbeds.com/connect/10074733072513#/reservations/31691750289621?display=Daniel%20Samuel&amp;reservation_id=31691750289621&amp;guest_id=31691741204670", "Daniel Samuel")</f>
        <v>Daniel Samuel</v>
      </c>
      <c r="E8977" t="s">
        <v>7412</v>
      </c>
      <c r="F8977" t="s">
        <v>5935</v>
      </c>
      <c r="G8977">
        <v>298</v>
      </c>
      <c r="H8977">
        <v>323.94</v>
      </c>
      <c r="I8977">
        <v>323.93</v>
      </c>
      <c r="J8977">
        <v>0.01</v>
      </c>
    </row>
    <row r="8978" spans="1:10" x14ac:dyDescent="0.3">
      <c r="A8978" t="str">
        <f>HYPERLINK("https://us2.cloudbeds.com/connect/10074733072513#/reservations/31686614728928?display=MHGBESA54&amp;reservation_id=31686614728928", "MHGBESA54")</f>
        <v>MHGBESA54</v>
      </c>
      <c r="B8978" t="s">
        <v>10</v>
      </c>
      <c r="C8978" t="s">
        <v>121</v>
      </c>
      <c r="D8978" t="str">
        <f>HYPERLINK("https://us2.cloudbeds.com/connect/10074733072513#/reservations/31686614728928?display=Justin%20Blade&amp;reservation_id=31686614728928&amp;guest_id=31686614728913", "Justin Blade")</f>
        <v>Justin Blade</v>
      </c>
      <c r="E8978" t="s">
        <v>7413</v>
      </c>
      <c r="F8978" t="s">
        <v>7377</v>
      </c>
      <c r="G8978">
        <v>129</v>
      </c>
      <c r="H8978">
        <v>140.22999999999999</v>
      </c>
      <c r="I8978">
        <v>140.22</v>
      </c>
      <c r="J8978">
        <v>0.01</v>
      </c>
    </row>
    <row r="8979" spans="1:10" x14ac:dyDescent="0.3">
      <c r="A8979" t="str">
        <f>HYPERLINK("https://us2.cloudbeds.com/connect/10074733072513#/reservations/31690692612235?display=MHJGYEDUX&amp;reservation_id=31690692612235", "MHJGYEDUX")</f>
        <v>MHJGYEDUX</v>
      </c>
      <c r="B8979" t="s">
        <v>10</v>
      </c>
      <c r="C8979" t="s">
        <v>121</v>
      </c>
      <c r="D8979" t="str">
        <f>HYPERLINK("https://us2.cloudbeds.com/connect/10074733072513#/reservations/31690692612235?display=Samuel%20Seppanen&amp;reservation_id=31690692612235&amp;guest_id=31690692608151", "Samuel Seppanen")</f>
        <v>Samuel Seppanen</v>
      </c>
      <c r="E8979" t="s">
        <v>7414</v>
      </c>
      <c r="F8979" t="s">
        <v>7377</v>
      </c>
      <c r="G8979">
        <v>129</v>
      </c>
      <c r="H8979">
        <v>140.22999999999999</v>
      </c>
      <c r="I8979">
        <v>140.22</v>
      </c>
      <c r="J8979">
        <v>0.01</v>
      </c>
    </row>
    <row r="8980" spans="1:10" x14ac:dyDescent="0.3">
      <c r="A8980" t="str">
        <f>HYPERLINK("https://us2.cloudbeds.com/connect/10074733072513#/reservations/31686483706056?display=MHG83CDA2&amp;reservation_id=31686483706056", "MHG83CDA2")</f>
        <v>MHG83CDA2</v>
      </c>
      <c r="B8980" t="s">
        <v>10</v>
      </c>
      <c r="C8980" t="s">
        <v>42</v>
      </c>
      <c r="D8980" t="str">
        <f>HYPERLINK("https://us2.cloudbeds.com/connect/10074733072513#/reservations/31686483706056?display=Jerry%20Busman&amp;reservation_id=31686483706056&amp;guest_id=31686483706052", "Jerry Busman")</f>
        <v>Jerry Busman</v>
      </c>
      <c r="E8980" t="s">
        <v>7415</v>
      </c>
      <c r="F8980" t="s">
        <v>5563</v>
      </c>
      <c r="G8980">
        <v>64.5</v>
      </c>
      <c r="H8980">
        <v>70.12</v>
      </c>
      <c r="I8980">
        <v>70.11</v>
      </c>
      <c r="J8980">
        <v>0.01</v>
      </c>
    </row>
    <row r="8981" spans="1:10" x14ac:dyDescent="0.3">
      <c r="A8981" t="str">
        <f>HYPERLINK("https://us2.cloudbeds.com/connect/10074733072513#/reservations/31690630140125?display=MHJF1P1EA&amp;reservation_id=31690630140125", "MHJF1P1EA")</f>
        <v>MHJF1P1EA</v>
      </c>
      <c r="B8981" t="s">
        <v>10</v>
      </c>
      <c r="C8981" t="s">
        <v>42</v>
      </c>
      <c r="D8981" t="str">
        <f>HYPERLINK("https://us2.cloudbeds.com/connect/10074733072513#/reservations/31690630140125?display=Baron%20Pennington&amp;reservation_id=31690630140125&amp;guest_id=31690630136034", "Baron Pennington")</f>
        <v>Baron Pennington</v>
      </c>
      <c r="E8981" t="s">
        <v>7416</v>
      </c>
      <c r="F8981" t="s">
        <v>5935</v>
      </c>
      <c r="G8981">
        <v>73</v>
      </c>
      <c r="H8981">
        <v>79.36</v>
      </c>
      <c r="I8981">
        <v>79.349999999999994</v>
      </c>
      <c r="J8981">
        <v>0.01</v>
      </c>
    </row>
    <row r="8982" spans="1:10" x14ac:dyDescent="0.3">
      <c r="A8982" t="str">
        <f>HYPERLINK("https://us2.cloudbeds.com/connect/10074733072513#/reservations/31683617382548?display=MHE0SDNVV&amp;reservation_id=31683617382548", "MHE0SDNVV")</f>
        <v>MHE0SDNVV</v>
      </c>
      <c r="B8982" t="s">
        <v>10</v>
      </c>
      <c r="C8982" t="s">
        <v>42</v>
      </c>
      <c r="D8982" t="str">
        <f>HYPERLINK("https://us2.cloudbeds.com/connect/10074733072513#/reservations/31683617382548?display=Shiela%20Wetovick&amp;reservation_id=31683617382548&amp;guest_id=31683617382535", "Shiela Wetovick")</f>
        <v>Shiela Wetovick</v>
      </c>
      <c r="E8982" t="s">
        <v>7417</v>
      </c>
      <c r="F8982" t="s">
        <v>5717</v>
      </c>
      <c r="G8982">
        <v>129</v>
      </c>
      <c r="H8982">
        <v>140.22999999999999</v>
      </c>
      <c r="I8982">
        <v>140.22</v>
      </c>
      <c r="J8982">
        <v>0.01</v>
      </c>
    </row>
    <row r="8983" spans="1:10" x14ac:dyDescent="0.3">
      <c r="A8983" t="str">
        <f>HYPERLINK("https://us2.cloudbeds.com/connect/10074733072513#/reservations/31684917842049?display=MHF12WUYK&amp;reservation_id=31684917842049", "MHF12WUYK")</f>
        <v>MHF12WUYK</v>
      </c>
      <c r="B8983" t="s">
        <v>10</v>
      </c>
      <c r="C8983" t="s">
        <v>42</v>
      </c>
      <c r="D8983" t="str">
        <f>HYPERLINK("https://us2.cloudbeds.com/connect/10074733072513#/reservations/31684917842049?display=Kimberly%20Sands&amp;reservation_id=31684917842049&amp;guest_id=31684905504995", "Kimberly Sands")</f>
        <v>Kimberly Sands</v>
      </c>
      <c r="E8983" t="s">
        <v>7418</v>
      </c>
      <c r="F8983" t="s">
        <v>6175</v>
      </c>
      <c r="G8983">
        <v>129</v>
      </c>
      <c r="H8983">
        <v>140.22999999999999</v>
      </c>
      <c r="I8983">
        <v>140.22</v>
      </c>
      <c r="J8983">
        <v>0.01</v>
      </c>
    </row>
    <row r="8984" spans="1:10" x14ac:dyDescent="0.3">
      <c r="A8984" t="str">
        <f>HYPERLINK("https://us2.cloudbeds.com/connect/10074733072513#/reservations/31685952110821?display=MHFRH3WDX&amp;reservation_id=31685952110821", "MHFRH3WDX")</f>
        <v>MHFRH3WDX</v>
      </c>
      <c r="B8984" t="s">
        <v>10</v>
      </c>
      <c r="C8984" t="s">
        <v>23</v>
      </c>
      <c r="D8984" t="str">
        <f>HYPERLINK("https://us2.cloudbeds.com/connect/10074733072513#/reservations/31685952110821?display=Laura%20Talley&amp;reservation_id=31685952110821&amp;guest_id=31685952110817", "Laura Talley")</f>
        <v>Laura Talley</v>
      </c>
      <c r="E8984" t="s">
        <v>7419</v>
      </c>
      <c r="F8984" t="s">
        <v>5822</v>
      </c>
      <c r="G8984">
        <v>338</v>
      </c>
      <c r="H8984">
        <v>367.42</v>
      </c>
      <c r="I8984">
        <v>367.41</v>
      </c>
      <c r="J8984">
        <v>0.01</v>
      </c>
    </row>
    <row r="8985" spans="1:10" x14ac:dyDescent="0.3">
      <c r="A8985" t="str">
        <f>HYPERLINK("https://us2.cloudbeds.com/connect/10074733072513#/reservations/31686908399837?display=MHGXVG4DJ&amp;reservation_id=31686908399837", "MHGXVG4DJ")</f>
        <v>MHGXVG4DJ</v>
      </c>
      <c r="B8985" t="s">
        <v>10</v>
      </c>
      <c r="C8985" t="s">
        <v>20</v>
      </c>
      <c r="D8985" t="str">
        <f>HYPERLINK("https://us2.cloudbeds.com/connect/10074733072513#/reservations/31686908399837?display=Rodney%20Chana&amp;reservation_id=31686908399837&amp;guest_id=31686908395740", "Rodney Chana")</f>
        <v>Rodney Chana</v>
      </c>
      <c r="E8985" t="s">
        <v>7420</v>
      </c>
      <c r="F8985" t="s">
        <v>5661</v>
      </c>
      <c r="G8985">
        <v>189</v>
      </c>
      <c r="H8985">
        <v>205.45</v>
      </c>
      <c r="I8985">
        <v>205.44</v>
      </c>
      <c r="J8985">
        <v>0.01</v>
      </c>
    </row>
    <row r="8986" spans="1:10" x14ac:dyDescent="0.3">
      <c r="A8986" t="str">
        <f>HYPERLINK("https://us2.cloudbeds.com/connect/10074733072513#/reservations/31685666255031?display=MHFK72KXT&amp;reservation_id=31685666255031", "MHFK72KXT")</f>
        <v>MHFK72KXT</v>
      </c>
      <c r="B8986" t="s">
        <v>10</v>
      </c>
      <c r="C8986" t="s">
        <v>23</v>
      </c>
      <c r="D8986" t="str">
        <f>HYPERLINK("https://us2.cloudbeds.com/connect/10074733072513#/reservations/31685666255031?display=Katie%20Preston&amp;reservation_id=31685666255031&amp;guest_id=31685666255029", "Katie Preston")</f>
        <v>Katie Preston</v>
      </c>
      <c r="E8986" t="s">
        <v>7421</v>
      </c>
      <c r="F8986" t="s">
        <v>7422</v>
      </c>
      <c r="G8986">
        <v>258</v>
      </c>
      <c r="H8986">
        <v>280.45999999999998</v>
      </c>
      <c r="I8986">
        <v>280.45</v>
      </c>
      <c r="J8986">
        <v>0.01</v>
      </c>
    </row>
    <row r="8987" spans="1:10" x14ac:dyDescent="0.3">
      <c r="A8987" t="str">
        <f>HYPERLINK("https://us2.cloudbeds.com/connect/10074733072513#/reservations/31682855334083?display=MHDECRJV7&amp;reservation_id=31682855334083", "MHDECRJV7")</f>
        <v>MHDECRJV7</v>
      </c>
      <c r="B8987" t="s">
        <v>10</v>
      </c>
      <c r="C8987" t="s">
        <v>20</v>
      </c>
      <c r="D8987" t="str">
        <f>HYPERLINK("https://us2.cloudbeds.com/connect/10074733072513#/reservations/31682855334083?display=Stephanie%20Metzger&amp;reservation_id=31682855334083&amp;guest_id=31682847432930", "Stephanie Metzger")</f>
        <v>Stephanie Metzger</v>
      </c>
      <c r="E8987" t="s">
        <v>7423</v>
      </c>
      <c r="F8987" t="s">
        <v>5661</v>
      </c>
      <c r="G8987">
        <v>169</v>
      </c>
      <c r="H8987">
        <v>183.71</v>
      </c>
      <c r="I8987">
        <v>183.7</v>
      </c>
      <c r="J8987">
        <v>0.01</v>
      </c>
    </row>
    <row r="8988" spans="1:10" x14ac:dyDescent="0.3">
      <c r="A8988" t="str">
        <f>HYPERLINK("https://us2.cloudbeds.com/connect/10074733072513#/reservations/31684305068186?display=MHEXE9JXM&amp;reservation_id=31684305068186", "MHEXE9JXM")</f>
        <v>MHEXE9JXM</v>
      </c>
      <c r="B8988" t="s">
        <v>10</v>
      </c>
      <c r="C8988" t="s">
        <v>42</v>
      </c>
      <c r="D8988" t="str">
        <f>HYPERLINK("https://us2.cloudbeds.com/connect/10074733072513#/reservations/31684305068186?display=Kevin%20Campbell&amp;reservation_id=31684305068186&amp;guest_id=31684305068182", "Kevin Campbell")</f>
        <v>Kevin Campbell</v>
      </c>
      <c r="E8988" t="s">
        <v>7425</v>
      </c>
      <c r="F8988" t="s">
        <v>7200</v>
      </c>
      <c r="G8988">
        <v>89</v>
      </c>
      <c r="H8988">
        <v>96.75</v>
      </c>
      <c r="I8988">
        <v>96.74</v>
      </c>
      <c r="J8988">
        <v>0.01</v>
      </c>
    </row>
    <row r="8989" spans="1:10" x14ac:dyDescent="0.3">
      <c r="A8989" t="str">
        <f>HYPERLINK("https://us2.cloudbeds.com/connect/10074733072513#/reservations/31692105625760?display=MHKJZUK07&amp;reservation_id=31692105625760", "MHKJZUK07")</f>
        <v>MHKJZUK07</v>
      </c>
      <c r="B8989" t="s">
        <v>10</v>
      </c>
      <c r="C8989" t="s">
        <v>42</v>
      </c>
      <c r="D8989" t="str">
        <f>HYPERLINK("https://us2.cloudbeds.com/connect/10074733072513#/reservations/31692105625760?display=Bruins%20Mr.%20&amp;%20Mrs.&amp;reservation_id=31692105625760&amp;guest_id=31692096053456", "Bruins Mr. &amp; Mrs.")</f>
        <v>Bruins Mr. &amp; Mrs.</v>
      </c>
      <c r="E8989" t="s">
        <v>1853</v>
      </c>
      <c r="F8989" t="s">
        <v>7426</v>
      </c>
      <c r="G8989">
        <v>139</v>
      </c>
      <c r="H8989">
        <v>151.1</v>
      </c>
      <c r="I8989">
        <v>151.09</v>
      </c>
      <c r="J8989">
        <v>0.01</v>
      </c>
    </row>
    <row r="8990" spans="1:10" x14ac:dyDescent="0.3">
      <c r="A8990" t="str">
        <f>HYPERLINK("https://us2.cloudbeds.com/connect/10074733072513#/reservations/31684438265992?display=MHEYRK0JR&amp;reservation_id=31684438265992", "MHEYRK0JR")</f>
        <v>MHEYRK0JR</v>
      </c>
      <c r="B8990" t="s">
        <v>10</v>
      </c>
      <c r="C8990" t="s">
        <v>42</v>
      </c>
      <c r="D8990" t="str">
        <f>HYPERLINK("https://us2.cloudbeds.com/connect/10074733072513#/reservations/31684438265992?display=Timothy%20Sickler&amp;reservation_id=31684438265992&amp;guest_id=31684438265989", "Timothy Sickler")</f>
        <v>Timothy Sickler</v>
      </c>
      <c r="E8990" t="s">
        <v>7427</v>
      </c>
      <c r="F8990" t="s">
        <v>5563</v>
      </c>
      <c r="G8990">
        <v>73</v>
      </c>
      <c r="H8990">
        <v>79.36</v>
      </c>
      <c r="I8990">
        <v>79.349999999999994</v>
      </c>
      <c r="J8990">
        <v>0.01</v>
      </c>
    </row>
    <row r="8991" spans="1:10" x14ac:dyDescent="0.3">
      <c r="A8991" t="str">
        <f>HYPERLINK("https://us2.cloudbeds.com/connect/10074733072513#/reservations/31684430455020?display=MHEYY0YWN&amp;reservation_id=31684430455020", "MHEYY0YWN")</f>
        <v>MHEYY0YWN</v>
      </c>
      <c r="B8991" t="s">
        <v>10</v>
      </c>
      <c r="C8991" t="s">
        <v>42</v>
      </c>
      <c r="D8991" t="str">
        <f>HYPERLINK("https://us2.cloudbeds.com/connect/10074733072513#/reservations/31684430455020?display=Jennifer%20Harrell&amp;reservation_id=31684430455020&amp;guest_id=31684430455018", "Jennifer Harrell")</f>
        <v>Jennifer Harrell</v>
      </c>
      <c r="E8991" t="s">
        <v>7428</v>
      </c>
      <c r="F8991" t="s">
        <v>5563</v>
      </c>
      <c r="G8991">
        <v>73</v>
      </c>
      <c r="H8991">
        <v>79.36</v>
      </c>
      <c r="I8991">
        <v>79.349999999999994</v>
      </c>
      <c r="J8991">
        <v>0.01</v>
      </c>
    </row>
    <row r="8992" spans="1:10" x14ac:dyDescent="0.3">
      <c r="A8992" t="str">
        <f>HYPERLINK("https://us2.cloudbeds.com/connect/10074733072513#/reservations/31683758223545?display=MHE4F5RHV&amp;reservation_id=31683758223545", "MHE4F5RHV")</f>
        <v>MHE4F5RHV</v>
      </c>
      <c r="B8992" t="s">
        <v>10</v>
      </c>
      <c r="C8992" t="s">
        <v>42</v>
      </c>
      <c r="D8992" t="str">
        <f>HYPERLINK("https://us2.cloudbeds.com/connect/10074733072513#/reservations/31683758223545?display=Glen%20Charles%20Sr%20Jealous%20Of%20Him&amp;reservation_id=31683758223545&amp;guest_id=31683758223491", "Glen Charles Sr Jealous Of Him")</f>
        <v>Glen Charles Sr Jealous Of Him</v>
      </c>
      <c r="E8992" t="s">
        <v>7429</v>
      </c>
      <c r="F8992" t="s">
        <v>5717</v>
      </c>
      <c r="G8992">
        <v>129</v>
      </c>
      <c r="H8992">
        <v>140.22999999999999</v>
      </c>
      <c r="I8992">
        <v>140.22</v>
      </c>
      <c r="J8992">
        <v>0.01</v>
      </c>
    </row>
    <row r="8993" spans="1:10" x14ac:dyDescent="0.3">
      <c r="A8993" t="str">
        <f>HYPERLINK("https://us2.cloudbeds.com/connect/10074733072513#/reservations/31684428894449?display=MHEYJN7VM&amp;reservation_id=31684428894449", "MHEYJN7VM")</f>
        <v>MHEYJN7VM</v>
      </c>
      <c r="B8993" t="s">
        <v>10</v>
      </c>
      <c r="C8993" t="s">
        <v>42</v>
      </c>
      <c r="D8993" t="str">
        <f>HYPERLINK("https://us2.cloudbeds.com/connect/10074733072513#/reservations/31684428894449?display=Eric%20Penn&amp;reservation_id=31684428894449&amp;guest_id=31684414447769", "Eric Penn")</f>
        <v>Eric Penn</v>
      </c>
      <c r="E8993" t="s">
        <v>7430</v>
      </c>
      <c r="F8993" t="s">
        <v>5563</v>
      </c>
      <c r="G8993">
        <v>73</v>
      </c>
      <c r="H8993">
        <v>79.36</v>
      </c>
      <c r="I8993">
        <v>79.349999999999994</v>
      </c>
      <c r="J8993">
        <v>0.01</v>
      </c>
    </row>
    <row r="8994" spans="1:10" x14ac:dyDescent="0.3">
      <c r="A8994" t="str">
        <f>HYPERLINK("https://us2.cloudbeds.com/connect/10074733072513#/reservations/31682180878500?display=MHCU53T58&amp;reservation_id=31682180878500", "MHCU53T58")</f>
        <v>MHCU53T58</v>
      </c>
      <c r="B8994" t="s">
        <v>10</v>
      </c>
      <c r="C8994" t="s">
        <v>42</v>
      </c>
      <c r="D8994" t="str">
        <f>HYPERLINK("https://us2.cloudbeds.com/connect/10074733072513#/reservations/31682180878500?display=Crystal%20Harrison&amp;reservation_id=31682180878500&amp;guest_id=30684108001507", "Crystal Harrison")</f>
        <v>Crystal Harrison</v>
      </c>
      <c r="E8994" t="s">
        <v>2791</v>
      </c>
      <c r="F8994" t="s">
        <v>7431</v>
      </c>
      <c r="G8994">
        <v>252</v>
      </c>
      <c r="H8994">
        <v>273.93</v>
      </c>
      <c r="I8994">
        <v>273.92</v>
      </c>
      <c r="J8994">
        <v>0.01</v>
      </c>
    </row>
    <row r="8995" spans="1:10" x14ac:dyDescent="0.3">
      <c r="A8995" t="str">
        <f>HYPERLINK("https://us2.cloudbeds.com/connect/10074733072513#/reservations/31686648500440?display=MHGCAB1Y9&amp;reservation_id=31686648500440", "MHGCAB1Y9")</f>
        <v>MHGCAB1Y9</v>
      </c>
      <c r="B8995" t="s">
        <v>10</v>
      </c>
      <c r="C8995" t="s">
        <v>42</v>
      </c>
      <c r="D8995" t="str">
        <f>HYPERLINK("https://us2.cloudbeds.com/connect/10074733072513#/reservations/31686648500440?display=John%20O'Donnell&amp;reservation_id=31686648500440&amp;guest_id=31686648500422", "John O'Donnell")</f>
        <v>John O'Donnell</v>
      </c>
      <c r="E8995" t="s">
        <v>7432</v>
      </c>
      <c r="F8995" t="s">
        <v>6570</v>
      </c>
      <c r="G8995">
        <v>119</v>
      </c>
      <c r="H8995">
        <v>129.36000000000001</v>
      </c>
      <c r="I8995">
        <v>129.35</v>
      </c>
      <c r="J8995">
        <v>0.01</v>
      </c>
    </row>
    <row r="8996" spans="1:10" x14ac:dyDescent="0.3">
      <c r="A8996" t="str">
        <f>HYPERLINK("https://us2.cloudbeds.com/connect/10074733072513#/reservations/31689508413652?display=MHXJCTBXW&amp;reservation_id=31689508413652", "MHXJCTBXW")</f>
        <v>MHXJCTBXW</v>
      </c>
      <c r="B8996" t="s">
        <v>10</v>
      </c>
      <c r="C8996" t="s">
        <v>17</v>
      </c>
      <c r="D8996" t="str">
        <f>HYPERLINK("https://us2.cloudbeds.com/connect/10074733072513#/reservations/31689508413652?display=Nathan%20Maher&amp;reservation_id=31689508413652&amp;guest_id=31673369776338", "Nathan Maher")</f>
        <v>Nathan Maher</v>
      </c>
      <c r="E8996" t="s">
        <v>5343</v>
      </c>
      <c r="F8996" t="s">
        <v>7200</v>
      </c>
      <c r="G8996">
        <v>139</v>
      </c>
      <c r="H8996">
        <v>151.1</v>
      </c>
      <c r="I8996">
        <v>151.09</v>
      </c>
      <c r="J8996">
        <v>0.01</v>
      </c>
    </row>
    <row r="8997" spans="1:10" x14ac:dyDescent="0.3">
      <c r="A8997" t="str">
        <f>HYPERLINK("https://us2.cloudbeds.com/connect/10074733072513#/reservations/31683811152056?display=MHE5QQYD7&amp;reservation_id=31683811152056", "MHE5QQYD7")</f>
        <v>MHE5QQYD7</v>
      </c>
      <c r="B8997" t="s">
        <v>10</v>
      </c>
      <c r="C8997" t="s">
        <v>23</v>
      </c>
      <c r="D8997" t="str">
        <f>HYPERLINK("https://us2.cloudbeds.com/connect/10074733072513#/reservations/31683811152056?display=Michael%20Bietz&amp;reservation_id=31683811152056&amp;guest_id=31683803656411", "Michael Bietz")</f>
        <v>Michael Bietz</v>
      </c>
      <c r="E8997" t="s">
        <v>7433</v>
      </c>
      <c r="F8997" t="s">
        <v>6507</v>
      </c>
      <c r="G8997">
        <v>338</v>
      </c>
      <c r="H8997">
        <v>367.42</v>
      </c>
      <c r="I8997">
        <v>367.41</v>
      </c>
      <c r="J8997">
        <v>0.01</v>
      </c>
    </row>
    <row r="8998" spans="1:10" x14ac:dyDescent="0.3">
      <c r="A8998" t="str">
        <f>HYPERLINK("https://us2.cloudbeds.com/connect/10074733072513#/reservations/31684381610202?display=MHEKCRG2M&amp;reservation_id=31684381610202", "MHEKCRG2M")</f>
        <v>MHEKCRG2M</v>
      </c>
      <c r="B8998" t="s">
        <v>10</v>
      </c>
      <c r="C8998" t="s">
        <v>42</v>
      </c>
      <c r="D8998" t="str">
        <f>HYPERLINK("https://us2.cloudbeds.com/connect/10074733072513#/reservations/31684381610202?display=Terri%20Janssen&amp;reservation_id=31684381610202&amp;guest_id=31684381606109", "Terri Janssen")</f>
        <v>Terri Janssen</v>
      </c>
      <c r="E8998" t="s">
        <v>7434</v>
      </c>
      <c r="F8998" t="s">
        <v>7431</v>
      </c>
      <c r="G8998">
        <v>159</v>
      </c>
      <c r="H8998">
        <v>172.84</v>
      </c>
      <c r="I8998">
        <v>172.83</v>
      </c>
      <c r="J8998">
        <v>0.01</v>
      </c>
    </row>
    <row r="8999" spans="1:10" x14ac:dyDescent="0.3">
      <c r="A8999" t="str">
        <f>HYPERLINK("https://us2.cloudbeds.com/connect/10074733072513#/reservations/31686663549128?display=MHGCN0QF4&amp;reservation_id=31686663549128", "MHGCN0QF4")</f>
        <v>MHGCN0QF4</v>
      </c>
      <c r="B8999" t="s">
        <v>10</v>
      </c>
      <c r="C8999" t="s">
        <v>42</v>
      </c>
      <c r="D8999" t="str">
        <f>HYPERLINK("https://us2.cloudbeds.com/connect/10074733072513#/reservations/31686663549128?display=Tim%20Dewaard&amp;reservation_id=31686663549128&amp;guest_id=31686657261744", "Tim Dewaard")</f>
        <v>Tim Dewaard</v>
      </c>
      <c r="E8999" t="s">
        <v>7436</v>
      </c>
      <c r="F8999" t="s">
        <v>6570</v>
      </c>
      <c r="G8999">
        <v>119</v>
      </c>
      <c r="H8999">
        <v>129.36000000000001</v>
      </c>
      <c r="I8999">
        <v>129.35</v>
      </c>
      <c r="J8999">
        <v>0.01</v>
      </c>
    </row>
    <row r="9000" spans="1:10" x14ac:dyDescent="0.3">
      <c r="A9000" t="str">
        <f>HYPERLINK("https://us2.cloudbeds.com/connect/10074733072513#/reservations/31690271793404?display=MHJ5TJH2P&amp;reservation_id=31690271793404", "MHJ5TJH2P")</f>
        <v>MHJ5TJH2P</v>
      </c>
      <c r="B9000" t="s">
        <v>10</v>
      </c>
      <c r="C9000" t="s">
        <v>121</v>
      </c>
      <c r="D9000" t="str">
        <f>HYPERLINK("https://us2.cloudbeds.com/connect/10074733072513#/reservations/31690271793404?display=Ricky%20Hurd&amp;reservation_id=31690271793404&amp;guest_id=31690271793344", "Ricky Hurd")</f>
        <v>Ricky Hurd</v>
      </c>
      <c r="E9000" t="s">
        <v>7438</v>
      </c>
      <c r="F9000" t="s">
        <v>7431</v>
      </c>
      <c r="G9000">
        <v>258</v>
      </c>
      <c r="H9000">
        <v>280.45999999999998</v>
      </c>
      <c r="I9000">
        <v>280.45</v>
      </c>
      <c r="J9000">
        <v>0.01</v>
      </c>
    </row>
    <row r="9001" spans="1:10" x14ac:dyDescent="0.3">
      <c r="A9001" t="str">
        <f>HYPERLINK("https://us2.cloudbeds.com/connect/10074733072513#/reservations/31690203582592?display=MHJ452B68&amp;reservation_id=31690203582592", "MHJ452B68")</f>
        <v>MHJ452B68</v>
      </c>
      <c r="B9001" t="s">
        <v>10</v>
      </c>
      <c r="C9001" t="s">
        <v>42</v>
      </c>
      <c r="D9001" t="str">
        <f>HYPERLINK("https://us2.cloudbeds.com/connect/10074733072513#/reservations/31690203582592?display=Clarence%20Devney&amp;reservation_id=31690203582592&amp;guest_id=31689082441939", "Clarence Devney")</f>
        <v>Clarence Devney</v>
      </c>
      <c r="E9001" t="s">
        <v>7439</v>
      </c>
      <c r="F9001" t="s">
        <v>7200</v>
      </c>
      <c r="G9001">
        <v>89</v>
      </c>
      <c r="H9001">
        <v>96.75</v>
      </c>
      <c r="I9001">
        <v>96.74</v>
      </c>
      <c r="J9001">
        <v>0.01</v>
      </c>
    </row>
    <row r="9002" spans="1:10" x14ac:dyDescent="0.3">
      <c r="A9002" t="str">
        <f>HYPERLINK("https://us2.cloudbeds.com/connect/10074733072513#/reservations/31682168606880?display=MHCTRPDEW&amp;reservation_id=31682168606880", "MHCTRPDEW")</f>
        <v>MHCTRPDEW</v>
      </c>
      <c r="B9002" t="s">
        <v>10</v>
      </c>
      <c r="C9002" t="s">
        <v>42</v>
      </c>
      <c r="D9002" t="str">
        <f>HYPERLINK("https://us2.cloudbeds.com/connect/10074733072513#/reservations/31682168606880?display=Edward%20Gilbert&amp;reservation_id=31682168606880&amp;guest_id=31682152837267", "Edward Gilbert")</f>
        <v>Edward Gilbert</v>
      </c>
      <c r="E9002" t="s">
        <v>7440</v>
      </c>
      <c r="F9002" t="s">
        <v>7431</v>
      </c>
      <c r="G9002">
        <v>258</v>
      </c>
      <c r="H9002">
        <v>280.45999999999998</v>
      </c>
      <c r="I9002">
        <v>280.45</v>
      </c>
      <c r="J9002">
        <v>0.01</v>
      </c>
    </row>
    <row r="9003" spans="1:10" x14ac:dyDescent="0.3">
      <c r="A9003" t="str">
        <f>HYPERLINK("https://us2.cloudbeds.com/connect/10074733072513#/reservations/31686477770897?display=MHG7VC86P&amp;reservation_id=31686477770897", "MHG7VC86P")</f>
        <v>MHG7VC86P</v>
      </c>
      <c r="B9003" t="s">
        <v>10</v>
      </c>
      <c r="C9003" t="s">
        <v>42</v>
      </c>
      <c r="D9003" t="str">
        <f>HYPERLINK("https://us2.cloudbeds.com/connect/10074733072513#/reservations/31686477770897?display=Nate%20Stellricht&amp;reservation_id=31686477770897&amp;guest_id=31686463946944", "Nate Stellricht")</f>
        <v>Nate Stellricht</v>
      </c>
      <c r="E9003" t="s">
        <v>7087</v>
      </c>
      <c r="F9003" t="s">
        <v>5563</v>
      </c>
      <c r="G9003">
        <v>225</v>
      </c>
      <c r="H9003">
        <v>244.59</v>
      </c>
      <c r="I9003">
        <v>244.58</v>
      </c>
      <c r="J9003">
        <v>0.01</v>
      </c>
    </row>
    <row r="9004" spans="1:10" x14ac:dyDescent="0.3">
      <c r="A9004" t="str">
        <f>HYPERLINK("https://us2.cloudbeds.com/connect/10074733072513#/reservations/31686981484717?display=MHGKR3RAU&amp;reservation_id=31686981484717", "MHGKR3RAU")</f>
        <v>MHGKR3RAU</v>
      </c>
      <c r="B9004" t="s">
        <v>10</v>
      </c>
      <c r="C9004" t="s">
        <v>17</v>
      </c>
      <c r="D9004" t="str">
        <f>HYPERLINK("https://us2.cloudbeds.com/connect/10074733072513#/reservations/31686981484717?display=Jonathan%20Jundt&amp;reservation_id=31686981484717&amp;guest_id=31686981484712", "Jonathan Jundt")</f>
        <v>Jonathan Jundt</v>
      </c>
      <c r="E9004" t="s">
        <v>7441</v>
      </c>
      <c r="F9004" t="s">
        <v>5573</v>
      </c>
      <c r="G9004">
        <v>159</v>
      </c>
      <c r="H9004">
        <v>172.84</v>
      </c>
      <c r="I9004">
        <v>172.83</v>
      </c>
      <c r="J9004">
        <v>0.01</v>
      </c>
    </row>
    <row r="9005" spans="1:10" x14ac:dyDescent="0.3">
      <c r="A9005" t="str">
        <f>HYPERLINK("https://us2.cloudbeds.com/connect/10074733072513#/reservations/31690210967762?display=MHJ4B9VGG&amp;reservation_id=31690210967762", "MHJ4B9VGG")</f>
        <v>MHJ4B9VGG</v>
      </c>
      <c r="B9005" t="s">
        <v>10</v>
      </c>
      <c r="C9005" t="s">
        <v>121</v>
      </c>
      <c r="D9005" t="str">
        <f>HYPERLINK("https://us2.cloudbeds.com/connect/10074733072513#/reservations/31690210967762?display=Keith%20Loberg&amp;reservation_id=31690210967762&amp;guest_id=30667674366083", "Keith Loberg")</f>
        <v>Keith Loberg</v>
      </c>
      <c r="E9005" t="s">
        <v>5138</v>
      </c>
      <c r="F9005" t="s">
        <v>7200</v>
      </c>
      <c r="G9005">
        <v>73</v>
      </c>
      <c r="H9005">
        <v>79.36</v>
      </c>
      <c r="I9005">
        <v>79.349999999999994</v>
      </c>
      <c r="J9005">
        <v>0.01</v>
      </c>
    </row>
    <row r="9006" spans="1:10" x14ac:dyDescent="0.3">
      <c r="A9006" t="str">
        <f>HYPERLINK("https://us2.cloudbeds.com/connect/10074733072513#/reservations/31688355737768?display=MHHMUUEMP&amp;reservation_id=31688355737768", "MHHMUUEMP")</f>
        <v>MHHMUUEMP</v>
      </c>
      <c r="B9006" t="s">
        <v>10</v>
      </c>
      <c r="C9006" t="s">
        <v>23</v>
      </c>
      <c r="D9006" t="str">
        <f>HYPERLINK("https://us2.cloudbeds.com/connect/10074733072513#/reservations/31688355737768?display=Candice%20Gardea&amp;reservation_id=31688355737768&amp;guest_id=31688344379544", "Candice Gardea")</f>
        <v>Candice Gardea</v>
      </c>
      <c r="E9006" t="s">
        <v>7442</v>
      </c>
      <c r="F9006" t="s">
        <v>5247</v>
      </c>
      <c r="G9006">
        <v>179</v>
      </c>
      <c r="H9006">
        <v>194.58</v>
      </c>
      <c r="I9006">
        <v>194.57</v>
      </c>
      <c r="J9006">
        <v>0.01</v>
      </c>
    </row>
    <row r="9007" spans="1:10" x14ac:dyDescent="0.3">
      <c r="A9007" t="str">
        <f>HYPERLINK("https://us2.cloudbeds.com/connect/10074733072513#/reservations/31682122694906?display=MHCSM1RN1&amp;reservation_id=31682122694906", "MHCSM1RN1")</f>
        <v>MHCSM1RN1</v>
      </c>
      <c r="B9007" t="s">
        <v>10</v>
      </c>
      <c r="C9007" t="s">
        <v>42</v>
      </c>
      <c r="D9007" t="str">
        <f>HYPERLINK("https://us2.cloudbeds.com/connect/10074733072513#/reservations/31682122694906?display=Robert%20Reemts&amp;reservation_id=31682122694906&amp;guest_id=31682122694903", "Robert Reemts")</f>
        <v>Robert Reemts</v>
      </c>
      <c r="E9007" t="s">
        <v>5405</v>
      </c>
      <c r="F9007" t="s">
        <v>7431</v>
      </c>
      <c r="G9007">
        <v>73</v>
      </c>
      <c r="H9007">
        <v>79.36</v>
      </c>
      <c r="I9007">
        <v>79.349999999999994</v>
      </c>
      <c r="J9007">
        <v>0.01</v>
      </c>
    </row>
    <row r="9008" spans="1:10" x14ac:dyDescent="0.3">
      <c r="A9008" t="str">
        <f>HYPERLINK("https://us2.cloudbeds.com/connect/10074733072513#/reservations/31682152833175?display=MHCTEFFSU&amp;reservation_id=31682152833175", "MHCTEFFSU")</f>
        <v>MHCTEFFSU</v>
      </c>
      <c r="B9008" t="s">
        <v>10</v>
      </c>
      <c r="C9008" t="s">
        <v>42</v>
      </c>
      <c r="D9008" t="str">
        <f>HYPERLINK("https://us2.cloudbeds.com/connect/10074733072513#/reservations/31682152833175?display=Cody%20Weaver&amp;reservation_id=31682152833175&amp;guest_id=31682152833171", "Cody Weaver")</f>
        <v>Cody Weaver</v>
      </c>
      <c r="E9008" t="s">
        <v>7443</v>
      </c>
      <c r="F9008" t="s">
        <v>7431</v>
      </c>
      <c r="G9008">
        <v>129</v>
      </c>
      <c r="H9008">
        <v>140.22999999999999</v>
      </c>
      <c r="I9008">
        <v>140.22</v>
      </c>
      <c r="J9008">
        <v>0.01</v>
      </c>
    </row>
    <row r="9009" spans="1:10" x14ac:dyDescent="0.3">
      <c r="A9009" t="str">
        <f>HYPERLINK("https://us2.cloudbeds.com/connect/10074733072513#/reservations/31684369694873?display=MHEK2PUX4&amp;reservation_id=31684369694873", "MHEK2PUX4")</f>
        <v>MHEK2PUX4</v>
      </c>
      <c r="B9009" t="s">
        <v>10</v>
      </c>
      <c r="C9009" t="s">
        <v>42</v>
      </c>
      <c r="D9009" t="str">
        <f>HYPERLINK("https://us2.cloudbeds.com/connect/10074733072513#/reservations/31684369694873?display=Marie%20Palmer&amp;reservation_id=31684369694873&amp;guest_id=31676282900680", "Marie Palmer")</f>
        <v>Marie Palmer</v>
      </c>
      <c r="E9009" t="s">
        <v>7444</v>
      </c>
      <c r="F9009" t="s">
        <v>7431</v>
      </c>
      <c r="G9009">
        <v>129</v>
      </c>
      <c r="H9009">
        <v>140.22999999999999</v>
      </c>
      <c r="I9009">
        <v>140.22</v>
      </c>
      <c r="J9009">
        <v>0.01</v>
      </c>
    </row>
    <row r="9010" spans="1:10" x14ac:dyDescent="0.3">
      <c r="A9010" t="str">
        <f>HYPERLINK("https://us2.cloudbeds.com/connect/10074733072513#/reservations/31689534787724?display=MHXK2486A&amp;reservation_id=31689534787724", "MHXK2486A")</f>
        <v>MHXK2486A</v>
      </c>
      <c r="B9010" t="s">
        <v>10</v>
      </c>
      <c r="C9010" t="s">
        <v>17</v>
      </c>
      <c r="D9010" t="str">
        <f>HYPERLINK("https://us2.cloudbeds.com/connect/10074733072513#/reservations/31689534787724?display=John%20Tschetter&amp;reservation_id=31689534787724&amp;guest_id=31689529090223", "John Tschetter")</f>
        <v>John Tschetter</v>
      </c>
      <c r="E9010" t="s">
        <v>7445</v>
      </c>
      <c r="F9010" t="s">
        <v>7200</v>
      </c>
      <c r="G9010">
        <v>139</v>
      </c>
      <c r="H9010">
        <v>151.1</v>
      </c>
      <c r="I9010">
        <v>151.09</v>
      </c>
      <c r="J9010">
        <v>0.01</v>
      </c>
    </row>
    <row r="9011" spans="1:10" x14ac:dyDescent="0.3">
      <c r="A9011" t="str">
        <f>HYPERLINK("https://us2.cloudbeds.com/connect/10074733072513#/reservations/31684050632908?display=MHEBUZXBZ&amp;reservation_id=31684050632908", "MHEBUZXBZ")</f>
        <v>MHEBUZXBZ</v>
      </c>
      <c r="B9011" t="s">
        <v>10</v>
      </c>
      <c r="C9011" t="s">
        <v>42</v>
      </c>
      <c r="D9011" t="str">
        <f>HYPERLINK("https://us2.cloudbeds.com/connect/10074733072513#/reservations/31684050632908?display=Cara%20Neises&amp;reservation_id=31684050632908&amp;guest_id=31684050632903", "Cara Neises")</f>
        <v>Cara Neises</v>
      </c>
      <c r="E9011" t="s">
        <v>7446</v>
      </c>
      <c r="F9011" t="s">
        <v>6507</v>
      </c>
      <c r="G9011">
        <v>169</v>
      </c>
      <c r="H9011">
        <v>183.71</v>
      </c>
      <c r="I9011">
        <v>183.7</v>
      </c>
      <c r="J9011">
        <v>0.01</v>
      </c>
    </row>
    <row r="9012" spans="1:10" x14ac:dyDescent="0.3">
      <c r="A9012" t="str">
        <f>HYPERLINK("https://us2.cloudbeds.com/connect/10074733072513#/reservations/31686377357440?display=MHG5CMWFX&amp;reservation_id=31686377357440", "MHG5CMWFX")</f>
        <v>MHG5CMWFX</v>
      </c>
      <c r="B9012" t="s">
        <v>10</v>
      </c>
      <c r="C9012" t="s">
        <v>42</v>
      </c>
      <c r="D9012" t="str">
        <f>HYPERLINK("https://us2.cloudbeds.com/connect/10074733072513#/reservations/31686377357440?display=Arthur%20Mack&amp;reservation_id=31686377357440&amp;guest_id=31686377353347", "Arthur Mack")</f>
        <v>Arthur Mack</v>
      </c>
      <c r="E9012" t="s">
        <v>7241</v>
      </c>
      <c r="F9012" t="s">
        <v>5563</v>
      </c>
      <c r="G9012">
        <v>129</v>
      </c>
      <c r="H9012">
        <v>140.22999999999999</v>
      </c>
      <c r="I9012">
        <v>140.22</v>
      </c>
      <c r="J9012">
        <v>0.01</v>
      </c>
    </row>
    <row r="9013" spans="1:10" x14ac:dyDescent="0.3">
      <c r="A9013" t="str">
        <f>HYPERLINK("https://us2.cloudbeds.com/connect/10074733072513#/reservations/31685647671518?display=MHFJZDGR4&amp;reservation_id=31685647671518", "MHFJZDGR4")</f>
        <v>MHFJZDGR4</v>
      </c>
      <c r="B9013" t="s">
        <v>10</v>
      </c>
      <c r="C9013" t="s">
        <v>42</v>
      </c>
      <c r="D9013" t="str">
        <f>HYPERLINK("https://us2.cloudbeds.com/connect/10074733072513#/reservations/31685647671518?display=Gene%20Westerbuhr&amp;reservation_id=31685647671518&amp;guest_id=31685647671516", "Gene Westerbuhr")</f>
        <v>Gene Westerbuhr</v>
      </c>
      <c r="E9013" t="s">
        <v>3803</v>
      </c>
      <c r="F9013" t="s">
        <v>7422</v>
      </c>
      <c r="G9013">
        <v>79</v>
      </c>
      <c r="H9013">
        <v>85.88</v>
      </c>
      <c r="I9013">
        <v>85.87</v>
      </c>
      <c r="J9013">
        <v>0.01</v>
      </c>
    </row>
    <row r="9014" spans="1:10" x14ac:dyDescent="0.3">
      <c r="A9014" t="str">
        <f>HYPERLINK("https://us2.cloudbeds.com/connect/10074733072513#/reservations/31686494261395?display=MHG8C93WR&amp;reservation_id=31686494261395", "MHG8C93WR")</f>
        <v>MHG8C93WR</v>
      </c>
      <c r="B9014" t="s">
        <v>10</v>
      </c>
      <c r="C9014" t="s">
        <v>42</v>
      </c>
      <c r="D9014" t="str">
        <f>HYPERLINK("https://us2.cloudbeds.com/connect/10074733072513#/reservations/31686494261395?display=Michael%20Erickson&amp;reservation_id=31686494261395&amp;guest_id=22284156469415", "Michael Erickson")</f>
        <v>Michael Erickson</v>
      </c>
      <c r="E9014" t="s">
        <v>7447</v>
      </c>
      <c r="F9014" t="s">
        <v>5563</v>
      </c>
      <c r="G9014">
        <v>129</v>
      </c>
      <c r="H9014">
        <v>140.22999999999999</v>
      </c>
      <c r="I9014">
        <v>140.22</v>
      </c>
      <c r="J9014">
        <v>0.01</v>
      </c>
    </row>
    <row r="9015" spans="1:10" x14ac:dyDescent="0.3">
      <c r="A9015" t="str">
        <f>HYPERLINK("https://us2.cloudbeds.com/connect/10074733072513#/reservations/31682209288419?display=MHCUT2E7T&amp;reservation_id=31682209288419", "MHCUT2E7T")</f>
        <v>MHCUT2E7T</v>
      </c>
      <c r="B9015" t="s">
        <v>10</v>
      </c>
      <c r="C9015" t="s">
        <v>121</v>
      </c>
      <c r="D9015" t="str">
        <f>HYPERLINK("https://us2.cloudbeds.com/connect/10074733072513#/reservations/31682209288419?display=Shane%20Wiedemann&amp;reservation_id=31682209288419&amp;guest_id=31682199875734", "Shane Wiedemann")</f>
        <v>Shane Wiedemann</v>
      </c>
      <c r="E9015" t="s">
        <v>7448</v>
      </c>
      <c r="F9015" t="s">
        <v>7431</v>
      </c>
      <c r="G9015">
        <v>139</v>
      </c>
      <c r="H9015">
        <v>151.1</v>
      </c>
      <c r="I9015">
        <v>151.09</v>
      </c>
      <c r="J9015">
        <v>0.01</v>
      </c>
    </row>
    <row r="9016" spans="1:10" x14ac:dyDescent="0.3">
      <c r="A9016" t="str">
        <f>HYPERLINK("https://us2.cloudbeds.com/connect/10074733072513#/reservations/31684408123588?display=MHEY268KY&amp;reservation_id=31684408123588", "MHEY268KY")</f>
        <v>MHEY268KY</v>
      </c>
      <c r="B9016" t="s">
        <v>10</v>
      </c>
      <c r="C9016" t="s">
        <v>42</v>
      </c>
      <c r="D9016" t="str">
        <f>HYPERLINK("https://us2.cloudbeds.com/connect/10074733072513#/reservations/31684408123588?display=Robert%20Reemts&amp;reservation_id=31684408123588&amp;guest_id=31682122694903", "Robert Reemts")</f>
        <v>Robert Reemts</v>
      </c>
      <c r="E9016" t="s">
        <v>5405</v>
      </c>
      <c r="F9016" t="s">
        <v>5563</v>
      </c>
      <c r="G9016">
        <v>73</v>
      </c>
      <c r="H9016">
        <v>79.36</v>
      </c>
      <c r="I9016">
        <v>79.349999999999994</v>
      </c>
      <c r="J9016">
        <v>0.01</v>
      </c>
    </row>
    <row r="9017" spans="1:10" x14ac:dyDescent="0.3">
      <c r="A9017" t="str">
        <f>HYPERLINK("https://us2.cloudbeds.com/connect/10074733072513#/reservations/31687283540130?display=MHGSHQVS8&amp;reservation_id=31687283540130", "MHGSHQVS8")</f>
        <v>MHGSHQVS8</v>
      </c>
      <c r="B9017" t="s">
        <v>10</v>
      </c>
      <c r="C9017" t="s">
        <v>42</v>
      </c>
      <c r="D9017" t="str">
        <f>HYPERLINK("https://us2.cloudbeds.com/connect/10074733072513#/reservations/31687283540130?display=Robert%20Reemts&amp;reservation_id=31687283540130&amp;guest_id=31682122694903", "Robert Reemts")</f>
        <v>Robert Reemts</v>
      </c>
      <c r="E9017" t="s">
        <v>5405</v>
      </c>
      <c r="F9017" t="s">
        <v>7387</v>
      </c>
      <c r="G9017">
        <v>73</v>
      </c>
      <c r="H9017">
        <v>79.36</v>
      </c>
      <c r="I9017">
        <v>79.349999999999994</v>
      </c>
      <c r="J9017">
        <v>0.01</v>
      </c>
    </row>
    <row r="9018" spans="1:10" x14ac:dyDescent="0.3">
      <c r="A9018" t="str">
        <f>HYPERLINK("https://us2.cloudbeds.com/connect/10074733072513#/reservations/31690888110221?display=MHJYY9EXU&amp;reservation_id=31690888110221", "MHJYY9EXU")</f>
        <v>MHJYY9EXU</v>
      </c>
      <c r="B9018" t="s">
        <v>10</v>
      </c>
      <c r="C9018" t="s">
        <v>17</v>
      </c>
      <c r="D9018" t="str">
        <f>HYPERLINK("https://us2.cloudbeds.com/connect/10074733072513#/reservations/31690888110221?display=Elsie%20Simonton&amp;reservation_id=31690888110221&amp;guest_id=31690875408573", "Elsie Simonton")</f>
        <v>Elsie Simonton</v>
      </c>
      <c r="E9018" t="s">
        <v>7449</v>
      </c>
      <c r="F9018" t="s">
        <v>7387</v>
      </c>
      <c r="G9018">
        <v>129</v>
      </c>
      <c r="H9018">
        <v>140.22999999999999</v>
      </c>
      <c r="I9018">
        <v>140.22</v>
      </c>
      <c r="J9018">
        <v>0.01</v>
      </c>
    </row>
    <row r="9019" spans="1:10" x14ac:dyDescent="0.3">
      <c r="A9019" t="str">
        <f>HYPERLINK("https://us2.cloudbeds.com/connect/10074733072513#/reservations/31684033339596?display=MHEBG5BBW&amp;reservation_id=31684033339596", "MHEBG5BBW")</f>
        <v>MHEBG5BBW</v>
      </c>
      <c r="B9019" t="s">
        <v>10</v>
      </c>
      <c r="C9019" t="s">
        <v>42</v>
      </c>
      <c r="D9019" t="str">
        <f>HYPERLINK("https://us2.cloudbeds.com/connect/10074733072513#/reservations/31684033339596?display=Renee%20Osborne&amp;reservation_id=31684033339596&amp;guest_id=31684033339591", "Renee Osborne")</f>
        <v>Renee Osborne</v>
      </c>
      <c r="E9019" t="s">
        <v>7450</v>
      </c>
      <c r="F9019" t="s">
        <v>6507</v>
      </c>
      <c r="G9019">
        <v>338</v>
      </c>
      <c r="H9019">
        <v>367.42</v>
      </c>
      <c r="I9019">
        <v>367.41</v>
      </c>
      <c r="J9019">
        <v>0.01</v>
      </c>
    </row>
    <row r="9020" spans="1:10" x14ac:dyDescent="0.3">
      <c r="A9020" t="str">
        <f>HYPERLINK("https://us2.cloudbeds.com/connect/10074733072513#/reservations/31684033335500?display=MHEBG57JS&amp;reservation_id=31684033335500", "MHEBG57JS")</f>
        <v>MHEBG57JS</v>
      </c>
      <c r="B9020" t="s">
        <v>10</v>
      </c>
      <c r="C9020" t="s">
        <v>17</v>
      </c>
      <c r="D9020" t="str">
        <f>HYPERLINK("https://us2.cloudbeds.com/connect/10074733072513#/reservations/31684033335500?display=Barbara%20Shiell&amp;reservation_id=31684033335500&amp;guest_id=31684033335498", "Barbara Shiell")</f>
        <v>Barbara Shiell</v>
      </c>
      <c r="E9020" t="s">
        <v>7451</v>
      </c>
      <c r="F9020" t="s">
        <v>6507</v>
      </c>
      <c r="G9020">
        <v>199</v>
      </c>
      <c r="H9020">
        <v>216.32</v>
      </c>
      <c r="I9020">
        <v>216.31</v>
      </c>
      <c r="J9020">
        <v>0.01</v>
      </c>
    </row>
    <row r="9021" spans="1:10" x14ac:dyDescent="0.3">
      <c r="A9021" t="str">
        <f>HYPERLINK("https://us2.cloudbeds.com/connect/10074733072513#/reservations/31687189418187?display=MHGQ4ET54&amp;reservation_id=31687189418187", "MHGQ4ET54")</f>
        <v>MHGQ4ET54</v>
      </c>
      <c r="B9021" t="s">
        <v>10</v>
      </c>
      <c r="C9021" t="s">
        <v>42</v>
      </c>
      <c r="D9021" t="str">
        <f>HYPERLINK("https://us2.cloudbeds.com/connect/10074733072513#/reservations/31687189418187?display=Danny%20Ayers&amp;reservation_id=31687189418187&amp;guest_id=30672376099037", "Danny Ayers")</f>
        <v>Danny Ayers</v>
      </c>
      <c r="E9021" t="s">
        <v>4757</v>
      </c>
      <c r="F9021" t="s">
        <v>7387</v>
      </c>
      <c r="G9021">
        <v>129</v>
      </c>
      <c r="H9021">
        <v>140.22999999999999</v>
      </c>
      <c r="I9021">
        <v>140.22</v>
      </c>
      <c r="J9021">
        <v>0.01</v>
      </c>
    </row>
    <row r="9022" spans="1:10" x14ac:dyDescent="0.3">
      <c r="A9022" t="str">
        <f>HYPERLINK("https://us2.cloudbeds.com/connect/10074733072513#/reservations/31687245467848?display=MHGRXNX2Z&amp;reservation_id=31687245467848", "MHGRXNX2Z")</f>
        <v>MHGRXNX2Z</v>
      </c>
      <c r="B9022" t="s">
        <v>10</v>
      </c>
      <c r="C9022" t="s">
        <v>23</v>
      </c>
      <c r="D9022" t="str">
        <f>HYPERLINK("https://us2.cloudbeds.com/connect/10074733072513#/reservations/31687245467848?display=Nathan%20Pohl&amp;reservation_id=31687245467848&amp;guest_id=31687245467843", "Nathan Pohl")</f>
        <v>Nathan Pohl</v>
      </c>
      <c r="E9022" t="s">
        <v>7452</v>
      </c>
      <c r="F9022" t="s">
        <v>7387</v>
      </c>
      <c r="G9022">
        <v>119</v>
      </c>
      <c r="H9022">
        <v>129.36000000000001</v>
      </c>
      <c r="I9022">
        <v>129.35</v>
      </c>
      <c r="J9022">
        <v>0.01</v>
      </c>
    </row>
    <row r="9023" spans="1:10" x14ac:dyDescent="0.3">
      <c r="A9023" t="str">
        <f>HYPERLINK("https://us2.cloudbeds.com/connect/10074733072513#/reservations/31687269413067?display=MHGS5TSBE&amp;reservation_id=31687269413067", "MHGS5TSBE")</f>
        <v>MHGS5TSBE</v>
      </c>
      <c r="B9023" t="s">
        <v>10</v>
      </c>
      <c r="C9023" t="s">
        <v>42</v>
      </c>
      <c r="D9023" t="str">
        <f>HYPERLINK("https://us2.cloudbeds.com/connect/10074733072513#/reservations/31687269413067?display=Wesley%20Schmidt&amp;reservation_id=31687269413067&amp;guest_id=31687269413065", "Wesley Schmidt")</f>
        <v>Wesley Schmidt</v>
      </c>
      <c r="E9023" t="s">
        <v>7453</v>
      </c>
      <c r="F9023" t="s">
        <v>7387</v>
      </c>
      <c r="G9023">
        <v>119</v>
      </c>
      <c r="H9023">
        <v>129.36000000000001</v>
      </c>
      <c r="I9023">
        <v>129.35</v>
      </c>
      <c r="J9023">
        <v>0.01</v>
      </c>
    </row>
    <row r="9024" spans="1:10" x14ac:dyDescent="0.3">
      <c r="A9024" t="str">
        <f>HYPERLINK("https://us2.cloudbeds.com/connect/10074733072513#/reservations/31692794310793?display=MHY4BY9AY&amp;reservation_id=31692794310793", "MHY4BY9AY")</f>
        <v>MHY4BY9AY</v>
      </c>
      <c r="B9024" t="s">
        <v>10</v>
      </c>
      <c r="C9024" t="s">
        <v>23</v>
      </c>
      <c r="D9024" t="str">
        <f>HYPERLINK("https://us2.cloudbeds.com/connect/10074733072513#/reservations/31692794310793?display=Dale%20Fredrickson&amp;reservation_id=31692794310793&amp;guest_id=31692794310788", "Dale Fredrickson")</f>
        <v>Dale Fredrickson</v>
      </c>
      <c r="E9024" t="s">
        <v>7455</v>
      </c>
      <c r="F9024" t="s">
        <v>4181</v>
      </c>
      <c r="G9024">
        <v>338</v>
      </c>
      <c r="H9024">
        <v>367.42</v>
      </c>
      <c r="I9024">
        <v>367.41</v>
      </c>
      <c r="J9024">
        <v>0.01</v>
      </c>
    </row>
    <row r="9025" spans="1:10" x14ac:dyDescent="0.3">
      <c r="A9025" t="str">
        <f>HYPERLINK("https://us2.cloudbeds.com/connect/10074733072513#/reservations/31683813507281?display=MHE5SQ64M&amp;reservation_id=31683813507281", "MHE5SQ64M")</f>
        <v>MHE5SQ64M</v>
      </c>
      <c r="B9025" t="s">
        <v>10</v>
      </c>
      <c r="C9025" t="s">
        <v>121</v>
      </c>
      <c r="D9025" t="str">
        <f>HYPERLINK("https://us2.cloudbeds.com/connect/10074733072513#/reservations/31683813507281?display=Tracy%20Kleven&amp;reservation_id=31683813507281&amp;guest_id=31683813503190", "Tracy Kleven")</f>
        <v>Tracy Kleven</v>
      </c>
      <c r="E9025" t="s">
        <v>7456</v>
      </c>
      <c r="F9025" t="s">
        <v>6507</v>
      </c>
      <c r="G9025">
        <v>338</v>
      </c>
      <c r="H9025">
        <v>367.42</v>
      </c>
      <c r="I9025">
        <v>367.41</v>
      </c>
      <c r="J9025">
        <v>0.01</v>
      </c>
    </row>
    <row r="9026" spans="1:10" x14ac:dyDescent="0.3">
      <c r="A9026" t="str">
        <f>HYPERLINK("https://us2.cloudbeds.com/connect/10074733072513#/reservations/31692077326505?display=MHKJ124X1&amp;reservation_id=31692077326505", "MHKJ124X1")</f>
        <v>MHKJ124X1</v>
      </c>
      <c r="B9026" t="s">
        <v>10</v>
      </c>
      <c r="C9026" t="s">
        <v>23</v>
      </c>
      <c r="D9026" t="str">
        <f>HYPERLINK("https://us2.cloudbeds.com/connect/10074733072513#/reservations/31692077326505?display=Katrina%20Gilpin&amp;reservation_id=31692077326505&amp;guest_id=31692077326503", "Katrina Gilpin")</f>
        <v>Katrina Gilpin</v>
      </c>
      <c r="E9026" t="s">
        <v>7457</v>
      </c>
      <c r="F9026" t="s">
        <v>7205</v>
      </c>
      <c r="G9026">
        <v>159</v>
      </c>
      <c r="H9026">
        <v>172.84</v>
      </c>
      <c r="I9026">
        <v>172.83</v>
      </c>
      <c r="J9026">
        <v>0.01</v>
      </c>
    </row>
    <row r="9027" spans="1:10" x14ac:dyDescent="0.3">
      <c r="A9027" t="str">
        <f>HYPERLINK("https://us2.cloudbeds.com/connect/10074733072513#/reservations/31686937546991?display=MHGJN26FM&amp;reservation_id=31686937546991", "MHGJN26FM")</f>
        <v>MHGJN26FM</v>
      </c>
      <c r="B9027" t="s">
        <v>10</v>
      </c>
      <c r="C9027" t="s">
        <v>42</v>
      </c>
      <c r="D9027" t="str">
        <f>HYPERLINK("https://us2.cloudbeds.com/connect/10074733072513#/reservations/31686937546991?display=Jamie%20Peloquin&amp;reservation_id=31686937546991&amp;guest_id=31681789509870", "Jamie Peloquin")</f>
        <v>Jamie Peloquin</v>
      </c>
      <c r="E9027" t="s">
        <v>7310</v>
      </c>
      <c r="F9027" t="s">
        <v>5573</v>
      </c>
      <c r="G9027">
        <v>225</v>
      </c>
      <c r="H9027">
        <v>244.59</v>
      </c>
      <c r="I9027">
        <v>244.58</v>
      </c>
      <c r="J9027">
        <v>0.01</v>
      </c>
    </row>
    <row r="9028" spans="1:10" x14ac:dyDescent="0.3">
      <c r="A9028" t="str">
        <f>HYPERLINK("https://us2.cloudbeds.com/connect/10074733072513#/reservations/31687252959398?display=MHGRP10CD&amp;reservation_id=31687252959398", "MHGRP10CD")</f>
        <v>MHGRP10CD</v>
      </c>
      <c r="B9028" t="s">
        <v>10</v>
      </c>
      <c r="C9028" t="s">
        <v>121</v>
      </c>
      <c r="D9028" t="str">
        <f>HYPERLINK("https://us2.cloudbeds.com/connect/10074733072513#/reservations/31687252959398?display=Marc%20Alewelt&amp;reservation_id=31687252959398&amp;guest_id=31681731166428", "Marc Alewelt")</f>
        <v>Marc Alewelt</v>
      </c>
      <c r="E9028" t="s">
        <v>7113</v>
      </c>
      <c r="F9028" t="s">
        <v>7387</v>
      </c>
      <c r="G9028">
        <v>119</v>
      </c>
      <c r="H9028">
        <v>129.36000000000001</v>
      </c>
      <c r="I9028">
        <v>129.35</v>
      </c>
      <c r="J9028">
        <v>0.01</v>
      </c>
    </row>
    <row r="9029" spans="1:10" x14ac:dyDescent="0.3">
      <c r="A9029" t="str">
        <f>HYPERLINK("https://us2.cloudbeds.com/connect/10074733072513#/reservations/31690947743965?display=MHJN5XRM3&amp;reservation_id=31690947743965", "MHJN5XRM3")</f>
        <v>MHJN5XRM3</v>
      </c>
      <c r="B9029" t="s">
        <v>10</v>
      </c>
      <c r="C9029" t="s">
        <v>121</v>
      </c>
      <c r="D9029" t="str">
        <f>HYPERLINK("https://us2.cloudbeds.com/connect/10074733072513#/reservations/31690947743965?display=Amanda%20Phillips&amp;reservation_id=31690947743965&amp;guest_id=31690947743960", "Amanda Phillips")</f>
        <v>Amanda Phillips</v>
      </c>
      <c r="E9029" t="s">
        <v>7458</v>
      </c>
      <c r="F9029" t="s">
        <v>7205</v>
      </c>
      <c r="G9029">
        <v>179</v>
      </c>
      <c r="H9029">
        <v>194.58</v>
      </c>
      <c r="I9029">
        <v>194.57</v>
      </c>
      <c r="J9029">
        <v>0.01</v>
      </c>
    </row>
    <row r="9030" spans="1:10" x14ac:dyDescent="0.3">
      <c r="A9030" t="str">
        <f>HYPERLINK("https://us2.cloudbeds.com/connect/10074733072513#/reservations/31684030562483?display=MHEBDR271&amp;reservation_id=31684030562483", "MHEBDR271")</f>
        <v>MHEBDR271</v>
      </c>
      <c r="B9030" t="s">
        <v>10</v>
      </c>
      <c r="C9030" t="s">
        <v>23</v>
      </c>
      <c r="D9030" t="str">
        <f>HYPERLINK("https://us2.cloudbeds.com/connect/10074733072513#/reservations/31684030562483?display=Paul%20Amundson&amp;reservation_id=31684030562483&amp;guest_id=31684025311412", "Paul Amundson")</f>
        <v>Paul Amundson</v>
      </c>
      <c r="E9030" t="s">
        <v>7459</v>
      </c>
      <c r="F9030" t="s">
        <v>6507</v>
      </c>
      <c r="G9030">
        <v>169</v>
      </c>
      <c r="H9030">
        <v>183.71</v>
      </c>
      <c r="I9030">
        <v>183.7</v>
      </c>
      <c r="J9030">
        <v>0.01</v>
      </c>
    </row>
    <row r="9031" spans="1:10" x14ac:dyDescent="0.3">
      <c r="A9031" t="str">
        <f>HYPERLINK("https://us2.cloudbeds.com/connect/10074733072513#/reservations/31684883296448?display=MHF06SHY1&amp;reservation_id=31684883296448", "MHF06SHY1")</f>
        <v>MHF06SHY1</v>
      </c>
      <c r="B9031" t="s">
        <v>10</v>
      </c>
      <c r="C9031" t="s">
        <v>42</v>
      </c>
      <c r="D9031" t="str">
        <f>HYPERLINK("https://us2.cloudbeds.com/connect/10074733072513#/reservations/31684883296448?display=Tom%20Benney&amp;reservation_id=31684883296448&amp;guest_id=31684883292413", "Tom Benney")</f>
        <v>Tom Benney</v>
      </c>
      <c r="E9031" t="s">
        <v>7011</v>
      </c>
      <c r="F9031" t="s">
        <v>7460</v>
      </c>
      <c r="G9031">
        <v>318</v>
      </c>
      <c r="H9031">
        <v>345.68</v>
      </c>
      <c r="I9031">
        <v>345.67</v>
      </c>
      <c r="J9031">
        <v>0.01</v>
      </c>
    </row>
    <row r="9032" spans="1:10" x14ac:dyDescent="0.3">
      <c r="A9032" t="str">
        <f>HYPERLINK("https://us2.cloudbeds.com/connect/10074733072513#/reservations/31690664513672?display=MHJFUZHZV&amp;reservation_id=31690664513672", "MHJFUZHZV")</f>
        <v>MHJFUZHZV</v>
      </c>
      <c r="B9032" t="s">
        <v>10</v>
      </c>
      <c r="C9032" t="s">
        <v>42</v>
      </c>
      <c r="D9032" t="str">
        <f>HYPERLINK("https://us2.cloudbeds.com/connect/10074733072513#/reservations/31690664513672?display=Joe%20Hanson&amp;reservation_id=31690664513672&amp;guest_id=31684253069481", "Joe Hanson")</f>
        <v>Joe Hanson</v>
      </c>
      <c r="E9032" t="s">
        <v>7389</v>
      </c>
      <c r="F9032" t="s">
        <v>5583</v>
      </c>
      <c r="G9032">
        <v>225</v>
      </c>
      <c r="H9032">
        <v>244.59</v>
      </c>
      <c r="I9032">
        <v>244.58</v>
      </c>
      <c r="J9032">
        <v>0.01</v>
      </c>
    </row>
    <row r="9033" spans="1:10" x14ac:dyDescent="0.3">
      <c r="A9033" t="str">
        <f>HYPERLINK("https://us2.cloudbeds.com/connect/10074733072513#/reservations/31690924974230?display=MHJMJC7R4&amp;reservation_id=31690924974230", "MHJMJC7R4")</f>
        <v>MHJMJC7R4</v>
      </c>
      <c r="B9033" t="s">
        <v>10</v>
      </c>
      <c r="C9033" t="s">
        <v>23</v>
      </c>
      <c r="D9033" t="str">
        <f>HYPERLINK("https://us2.cloudbeds.com/connect/10074733072513#/reservations/31690924974230?display=Ade%20Okesanjo&amp;reservation_id=31690924974230&amp;guest_id=31690924974226", "Ade Okesanjo")</f>
        <v>Ade Okesanjo</v>
      </c>
      <c r="E9033" t="s">
        <v>7461</v>
      </c>
      <c r="F9033" t="s">
        <v>7205</v>
      </c>
      <c r="G9033">
        <v>149</v>
      </c>
      <c r="H9033">
        <v>161.97</v>
      </c>
      <c r="I9033">
        <v>161.96</v>
      </c>
      <c r="J9033">
        <v>0.01</v>
      </c>
    </row>
    <row r="9034" spans="1:10" x14ac:dyDescent="0.3">
      <c r="A9034" t="str">
        <f>HYPERLINK("https://us2.cloudbeds.com/connect/10074733072513#/reservations/31692031586499?display=MHKHSGBN8&amp;reservation_id=31692031586499", "MHKHSGBN8")</f>
        <v>MHKHSGBN8</v>
      </c>
      <c r="B9034" t="s">
        <v>10</v>
      </c>
      <c r="C9034" t="s">
        <v>42</v>
      </c>
      <c r="D9034" t="str">
        <f>HYPERLINK("https://us2.cloudbeds.com/connect/10074733072513#/reservations/31692031586499?display=Whitehead%20Sheri&amp;reservation_id=31692031586499&amp;guest_id=31692031586497", "Whitehead Sheri")</f>
        <v>Whitehead Sheri</v>
      </c>
      <c r="E9034" t="s">
        <v>7462</v>
      </c>
      <c r="F9034" t="s">
        <v>7205</v>
      </c>
      <c r="G9034">
        <v>149</v>
      </c>
      <c r="H9034">
        <v>161.97</v>
      </c>
      <c r="I9034">
        <v>161.96</v>
      </c>
      <c r="J9034">
        <v>0.01</v>
      </c>
    </row>
    <row r="9035" spans="1:10" x14ac:dyDescent="0.3">
      <c r="A9035" t="str">
        <f>HYPERLINK("https://us2.cloudbeds.com/connect/10074733072513#/reservations/31693271728275?display=MHYGX7472&amp;reservation_id=31693271728275", "MHYGX7472")</f>
        <v>MHYGX7472</v>
      </c>
      <c r="B9035" t="s">
        <v>10</v>
      </c>
      <c r="C9035" t="s">
        <v>23</v>
      </c>
      <c r="D9035" t="str">
        <f>HYPERLINK("https://us2.cloudbeds.com/connect/10074733072513#/reservations/31693271728275?display=Eric%20Hasby&amp;reservation_id=31693271728275&amp;guest_id=31693271724184", "Eric Hasby")</f>
        <v>Eric Hasby</v>
      </c>
      <c r="E9035" t="s">
        <v>7463</v>
      </c>
      <c r="F9035" t="s">
        <v>7269</v>
      </c>
      <c r="G9035">
        <v>258</v>
      </c>
      <c r="H9035">
        <v>280.45999999999998</v>
      </c>
      <c r="I9035">
        <v>280.45</v>
      </c>
      <c r="J9035">
        <v>0.01</v>
      </c>
    </row>
    <row r="9036" spans="1:10" x14ac:dyDescent="0.3">
      <c r="A9036" t="str">
        <f>HYPERLINK("https://us2.cloudbeds.com/connect/10074733072513#/reservations/31683844636912?display=MHE6M1DYR&amp;reservation_id=31683844636912", "MHE6M1DYR")</f>
        <v>MHE6M1DYR</v>
      </c>
      <c r="B9036" t="s">
        <v>10</v>
      </c>
      <c r="C9036" t="s">
        <v>121</v>
      </c>
      <c r="D9036" t="str">
        <f>HYPERLINK("https://us2.cloudbeds.com/connect/10074733072513#/reservations/31683844636912?display=Jordan%20Fitch&amp;reservation_id=31683844636912&amp;guest_id=31683835207833", "Jordan Fitch")</f>
        <v>Jordan Fitch</v>
      </c>
      <c r="E9036" t="s">
        <v>7464</v>
      </c>
      <c r="F9036" t="s">
        <v>6507</v>
      </c>
      <c r="G9036">
        <v>179</v>
      </c>
      <c r="H9036">
        <v>194.58</v>
      </c>
      <c r="I9036">
        <v>194.57</v>
      </c>
      <c r="J9036">
        <v>0.01</v>
      </c>
    </row>
    <row r="9037" spans="1:10" x14ac:dyDescent="0.3">
      <c r="A9037" t="str">
        <f>HYPERLINK("https://us2.cloudbeds.com/connect/10074733072513#/reservations/31690956779697?display=MHJND68V5&amp;reservation_id=31690956779697", "MHJND68V5")</f>
        <v>MHJND68V5</v>
      </c>
      <c r="B9037" t="s">
        <v>10</v>
      </c>
      <c r="C9037" t="s">
        <v>121</v>
      </c>
      <c r="D9037" t="str">
        <f>HYPERLINK("https://us2.cloudbeds.com/connect/10074733072513#/reservations/31690956779697?display=Karl%20Redelfs&amp;reservation_id=31690956779697&amp;guest_id=31690956779692", "Karl Redelfs")</f>
        <v>Karl Redelfs</v>
      </c>
      <c r="E9037" t="s">
        <v>7465</v>
      </c>
      <c r="F9037" t="s">
        <v>7205</v>
      </c>
      <c r="G9037">
        <v>149</v>
      </c>
      <c r="H9037">
        <v>161.97</v>
      </c>
      <c r="I9037">
        <v>161.96</v>
      </c>
      <c r="J9037">
        <v>0.01</v>
      </c>
    </row>
    <row r="9038" spans="1:10" x14ac:dyDescent="0.3">
      <c r="A9038" t="str">
        <f>HYPERLINK("https://us2.cloudbeds.com/connect/10074733072513#/reservations/31729720156390?display=MXGNTGC5Z&amp;reservation_id=31729720156390", "MXGNTGC5Z")</f>
        <v>MXGNTGC5Z</v>
      </c>
      <c r="B9038" t="s">
        <v>10</v>
      </c>
      <c r="C9038" t="s">
        <v>42</v>
      </c>
      <c r="D9038" t="str">
        <f>HYPERLINK("https://us2.cloudbeds.com/connect/10074733072513#/reservations/31729720156390?display=Diann%20Killion&amp;reservation_id=31729720156390&amp;guest_id=31729704702085", "Diann Killion")</f>
        <v>Diann Killion</v>
      </c>
      <c r="E9038" t="s">
        <v>7467</v>
      </c>
      <c r="F9038" t="s">
        <v>7468</v>
      </c>
      <c r="G9038">
        <v>368</v>
      </c>
      <c r="H9038">
        <v>400.03</v>
      </c>
      <c r="I9038">
        <v>400.02</v>
      </c>
      <c r="J9038">
        <v>0.01</v>
      </c>
    </row>
    <row r="9039" spans="1:10" x14ac:dyDescent="0.3">
      <c r="A9039" t="str">
        <f>HYPERLINK("https://us2.cloudbeds.com/connect/10074733072513#/reservations/31683470172314?display=MHDU39CMP&amp;reservation_id=31683470172314", "MHDU39CMP")</f>
        <v>MHDU39CMP</v>
      </c>
      <c r="B9039" t="s">
        <v>10</v>
      </c>
      <c r="C9039" t="s">
        <v>20</v>
      </c>
      <c r="D9039" t="str">
        <f>HYPERLINK("https://us2.cloudbeds.com/connect/10074733072513#/reservations/31683470172314?display=Sharri%20Wirth&amp;reservation_id=31683470172314&amp;guest_id=31683470172308", "Sharri Wirth")</f>
        <v>Sharri Wirth</v>
      </c>
      <c r="E9039" t="s">
        <v>7470</v>
      </c>
      <c r="F9039" t="s">
        <v>6321</v>
      </c>
      <c r="G9039">
        <v>378</v>
      </c>
      <c r="H9039">
        <v>410.9</v>
      </c>
      <c r="I9039">
        <v>410.89</v>
      </c>
      <c r="J9039">
        <v>0.01</v>
      </c>
    </row>
    <row r="9040" spans="1:10" x14ac:dyDescent="0.3">
      <c r="A9040" t="str">
        <f>HYPERLINK("https://us2.cloudbeds.com/connect/10074733072513#/reservations/31685754073249?display=MHFMF49Z0&amp;reservation_id=31685754073249", "MHFMF49Z0")</f>
        <v>MHFMF49Z0</v>
      </c>
      <c r="B9040" t="s">
        <v>10</v>
      </c>
      <c r="C9040" t="s">
        <v>42</v>
      </c>
      <c r="D9040" t="str">
        <f>HYPERLINK("https://us2.cloudbeds.com/connect/10074733072513#/reservations/31685754073249?display=Usman%20Nasar&amp;reservation_id=31685754073249&amp;guest_id=31685754073246", "Usman Nasar")</f>
        <v>Usman Nasar</v>
      </c>
      <c r="E9040" t="s">
        <v>7472</v>
      </c>
      <c r="F9040" t="s">
        <v>7422</v>
      </c>
      <c r="G9040">
        <v>252</v>
      </c>
      <c r="H9040">
        <v>273.93</v>
      </c>
      <c r="I9040">
        <v>273.92</v>
      </c>
      <c r="J9040">
        <v>0.01</v>
      </c>
    </row>
    <row r="9041" spans="1:10" x14ac:dyDescent="0.3">
      <c r="A9041" t="str">
        <f>HYPERLINK("https://us2.cloudbeds.com/connect/10074733072513#/reservations/31685682794707?display=MHFKY0SH6&amp;reservation_id=31685682794707", "MHFKY0SH6")</f>
        <v>MHFKY0SH6</v>
      </c>
      <c r="B9041" t="s">
        <v>10</v>
      </c>
      <c r="C9041" t="s">
        <v>42</v>
      </c>
      <c r="D9041" t="str">
        <f>HYPERLINK("https://us2.cloudbeds.com/connect/10074733072513#/reservations/31685682794707?display=Robert%20Reemts&amp;reservation_id=31685682794707&amp;guest_id=31685682794705", "Robert Reemts")</f>
        <v>Robert Reemts</v>
      </c>
      <c r="E9041" t="s">
        <v>5405</v>
      </c>
      <c r="F9041" t="s">
        <v>7422</v>
      </c>
      <c r="G9041">
        <v>73</v>
      </c>
      <c r="H9041">
        <v>79.36</v>
      </c>
      <c r="I9041">
        <v>79.349999999999994</v>
      </c>
      <c r="J9041">
        <v>0.01</v>
      </c>
    </row>
    <row r="9042" spans="1:10" x14ac:dyDescent="0.3">
      <c r="A9042" t="str">
        <f>HYPERLINK("https://us2.cloudbeds.com/connect/10074733072513#/reservations/31686914293964?display=MHGJ3F4RG&amp;reservation_id=31686914293964", "MHGJ3F4RG")</f>
        <v>MHGJ3F4RG</v>
      </c>
      <c r="B9042" t="s">
        <v>10</v>
      </c>
      <c r="C9042" t="s">
        <v>42</v>
      </c>
      <c r="D9042" t="str">
        <f>HYPERLINK("https://us2.cloudbeds.com/connect/10074733072513#/reservations/31686914293964?display=Carl%20Peterson&amp;reservation_id=31686914293964&amp;guest_id=31683231355111", "Carl Peterson")</f>
        <v>Carl Peterson</v>
      </c>
      <c r="E9042" t="s">
        <v>6943</v>
      </c>
      <c r="F9042" t="s">
        <v>5573</v>
      </c>
      <c r="G9042">
        <v>225</v>
      </c>
      <c r="H9042">
        <v>244.59</v>
      </c>
      <c r="I9042">
        <v>244.58</v>
      </c>
      <c r="J9042">
        <v>0.01</v>
      </c>
    </row>
    <row r="9043" spans="1:10" x14ac:dyDescent="0.3">
      <c r="A9043" t="str">
        <f>HYPERLINK("https://us2.cloudbeds.com/connect/10074733072513#/reservations/31685730496674?display=MHFYS87WB&amp;reservation_id=31685730496674", "MHFYS87WB")</f>
        <v>MHFYS87WB</v>
      </c>
      <c r="B9043" t="s">
        <v>10</v>
      </c>
      <c r="C9043" t="s">
        <v>42</v>
      </c>
      <c r="D9043" t="str">
        <f>HYPERLINK("https://us2.cloudbeds.com/connect/10074733072513#/reservations/31685730496674?display=Jetty%20Steelman&amp;reservation_id=31685730496674&amp;guest_id=30670156488918", "Jetty Steelman")</f>
        <v>Jetty Steelman</v>
      </c>
      <c r="E9043" t="s">
        <v>5528</v>
      </c>
      <c r="F9043" t="s">
        <v>7422</v>
      </c>
      <c r="G9043">
        <v>73</v>
      </c>
      <c r="H9043">
        <v>79.36</v>
      </c>
      <c r="I9043">
        <v>79.349999999999994</v>
      </c>
      <c r="J9043">
        <v>0.01</v>
      </c>
    </row>
    <row r="9044" spans="1:10" x14ac:dyDescent="0.3">
      <c r="A9044" t="str">
        <f>HYPERLINK("https://us2.cloudbeds.com/connect/10074733072513#/reservations/31686930370759?display=MHGJH0GZ3&amp;reservation_id=31686930370759", "MHGJH0GZ3")</f>
        <v>MHGJH0GZ3</v>
      </c>
      <c r="B9044" t="s">
        <v>10</v>
      </c>
      <c r="C9044" t="s">
        <v>121</v>
      </c>
      <c r="D9044" t="str">
        <f>HYPERLINK("https://us2.cloudbeds.com/connect/10074733072513#/reservations/31686930370759?display=Brian%20Brimer&amp;reservation_id=31686930370759&amp;guest_id=31686930370754", "Brian Brimer")</f>
        <v>Brian Brimer</v>
      </c>
      <c r="E9044" t="s">
        <v>7473</v>
      </c>
      <c r="F9044" t="s">
        <v>5573</v>
      </c>
      <c r="G9044">
        <v>321.3</v>
      </c>
      <c r="H9044">
        <v>349.26</v>
      </c>
      <c r="I9044">
        <v>349.25</v>
      </c>
      <c r="J9044">
        <v>0.01</v>
      </c>
    </row>
    <row r="9045" spans="1:10" x14ac:dyDescent="0.3">
      <c r="A9045" t="str">
        <f>HYPERLINK("https://us2.cloudbeds.com/connect/10074733072513#/reservations/31685625626845?display=MHFJ5R2PZ&amp;reservation_id=31685625626845", "MHFJ5R2PZ")</f>
        <v>MHFJ5R2PZ</v>
      </c>
      <c r="B9045" t="s">
        <v>10</v>
      </c>
      <c r="C9045" t="s">
        <v>121</v>
      </c>
      <c r="D9045" t="str">
        <f>HYPERLINK("https://us2.cloudbeds.com/connect/10074733072513#/reservations/31685625626845?display=Gary%20Hudson&amp;reservation_id=31685625626845&amp;guest_id=31685612716162", "Gary Hudson")</f>
        <v>Gary Hudson</v>
      </c>
      <c r="E9045" t="s">
        <v>7474</v>
      </c>
      <c r="F9045" t="s">
        <v>7248</v>
      </c>
      <c r="G9045">
        <v>238</v>
      </c>
      <c r="H9045">
        <v>258.72000000000003</v>
      </c>
      <c r="I9045">
        <v>258.70999999999998</v>
      </c>
      <c r="J9045">
        <v>0.01</v>
      </c>
    </row>
    <row r="9046" spans="1:10" x14ac:dyDescent="0.3">
      <c r="A9046" t="str">
        <f>HYPERLINK("https://us2.cloudbeds.com/connect/10074733072513#/reservations/31683554590869?display=MHDW8FF0Q&amp;reservation_id=31683554590869", "MHDW8FF0Q")</f>
        <v>MHDW8FF0Q</v>
      </c>
      <c r="B9046" t="s">
        <v>10</v>
      </c>
      <c r="C9046" t="s">
        <v>42</v>
      </c>
      <c r="D9046" t="str">
        <f>HYPERLINK("https://us2.cloudbeds.com/connect/10074733072513#/reservations/31683554590869?display=Zane%20Page&amp;reservation_id=31683554590869&amp;guest_id=31683554590857", "Zane Page")</f>
        <v>Zane Page</v>
      </c>
      <c r="E9046" t="s">
        <v>7475</v>
      </c>
      <c r="F9046" t="s">
        <v>7248</v>
      </c>
      <c r="G9046">
        <v>149</v>
      </c>
      <c r="H9046">
        <v>161.97</v>
      </c>
      <c r="I9046">
        <v>161.96</v>
      </c>
      <c r="J9046">
        <v>0.01</v>
      </c>
    </row>
    <row r="9047" spans="1:10" x14ac:dyDescent="0.3">
      <c r="A9047" t="str">
        <f>HYPERLINK("https://us2.cloudbeds.com/connect/10074733072513#/reservations/31685576048787?display=MHFHU0GXB&amp;reservation_id=31685576048787", "MHFHU0GXB")</f>
        <v>MHFHU0GXB</v>
      </c>
      <c r="B9047" t="s">
        <v>10</v>
      </c>
      <c r="C9047" t="s">
        <v>23</v>
      </c>
      <c r="D9047" t="str">
        <f>HYPERLINK("https://us2.cloudbeds.com/connect/10074733072513#/reservations/31685576048787?display=Melissa%20Anderson&amp;reservation_id=31685576048787&amp;guest_id=31685576044702", "Melissa Anderson")</f>
        <v>Melissa Anderson</v>
      </c>
      <c r="E9047" t="s">
        <v>7477</v>
      </c>
      <c r="F9047" t="s">
        <v>7248</v>
      </c>
      <c r="G9047">
        <v>119</v>
      </c>
      <c r="H9047">
        <v>129.36000000000001</v>
      </c>
      <c r="I9047">
        <v>129.35</v>
      </c>
      <c r="J9047">
        <v>0.01</v>
      </c>
    </row>
    <row r="9048" spans="1:10" x14ac:dyDescent="0.3">
      <c r="A9048" t="str">
        <f>HYPERLINK("https://us2.cloudbeds.com/connect/10074733072513#/reservations/31687497707738?display=MHH10DGAP&amp;reservation_id=31687497707738", "MHH10DGAP")</f>
        <v>MHH10DGAP</v>
      </c>
      <c r="B9048" t="s">
        <v>10</v>
      </c>
      <c r="C9048" t="s">
        <v>42</v>
      </c>
      <c r="D9048" t="str">
        <f>HYPERLINK("https://us2.cloudbeds.com/connect/10074733072513#/reservations/31687497707738?display=Nate%20Stellricht&amp;reservation_id=31687497707738&amp;guest_id=31686463946944", "Nate Stellricht")</f>
        <v>Nate Stellricht</v>
      </c>
      <c r="E9048" t="s">
        <v>7087</v>
      </c>
      <c r="F9048" t="s">
        <v>5573</v>
      </c>
      <c r="G9048">
        <v>225</v>
      </c>
      <c r="H9048">
        <v>244.59</v>
      </c>
      <c r="I9048">
        <v>244.58</v>
      </c>
      <c r="J9048">
        <v>0.01</v>
      </c>
    </row>
    <row r="9049" spans="1:10" x14ac:dyDescent="0.3">
      <c r="A9049" t="str">
        <f>HYPERLINK("https://us2.cloudbeds.com/connect/10074733072513#/reservations/31687549034651?display=MHH2AMZFP&amp;reservation_id=31687549034651", "MHH2AMZFP")</f>
        <v>MHH2AMZFP</v>
      </c>
      <c r="B9049" t="s">
        <v>10</v>
      </c>
      <c r="C9049" t="s">
        <v>42</v>
      </c>
      <c r="D9049" t="str">
        <f>HYPERLINK("https://us2.cloudbeds.com/connect/10074733072513#/reservations/31687549034651?display=David%20Wright&amp;reservation_id=31687549034651&amp;guest_id=31682171633869", "David Wright")</f>
        <v>David Wright</v>
      </c>
      <c r="E9049" t="s">
        <v>7478</v>
      </c>
      <c r="F9049" t="s">
        <v>7479</v>
      </c>
      <c r="G9049">
        <v>428.4</v>
      </c>
      <c r="H9049">
        <v>465.68</v>
      </c>
      <c r="I9049">
        <v>465.67</v>
      </c>
      <c r="J9049">
        <v>0.01</v>
      </c>
    </row>
    <row r="9050" spans="1:10" x14ac:dyDescent="0.3">
      <c r="A9050" t="str">
        <f>HYPERLINK("https://us2.cloudbeds.com/connect/10074733072513#/reservations/31686079623328?display=MHFUPY6PU&amp;reservation_id=31686079623328", "MHFUPY6PU")</f>
        <v>MHFUPY6PU</v>
      </c>
      <c r="B9050" t="s">
        <v>10</v>
      </c>
      <c r="C9050" t="s">
        <v>42</v>
      </c>
      <c r="D9050" t="str">
        <f>HYPERLINK("https://us2.cloudbeds.com/connect/10074733072513#/reservations/31686079623328?display=Justin%20Kettwig&amp;reservation_id=31686079623328&amp;guest_id=31686079623315", "Justin Kettwig")</f>
        <v>Justin Kettwig</v>
      </c>
      <c r="E9050" t="s">
        <v>7480</v>
      </c>
      <c r="F9050" t="s">
        <v>7327</v>
      </c>
      <c r="G9050">
        <v>119</v>
      </c>
      <c r="H9050">
        <v>129.36000000000001</v>
      </c>
      <c r="I9050">
        <v>129.35</v>
      </c>
      <c r="J9050">
        <v>0.01</v>
      </c>
    </row>
    <row r="9051" spans="1:10" x14ac:dyDescent="0.3">
      <c r="A9051" t="str">
        <f>HYPERLINK("https://us2.cloudbeds.com/connect/10074733072513#/reservations/31685746962636?display=MHFM94E7T&amp;reservation_id=31685746962636", "MHFM94E7T")</f>
        <v>MHFM94E7T</v>
      </c>
      <c r="B9051" t="s">
        <v>10</v>
      </c>
      <c r="C9051" t="s">
        <v>42</v>
      </c>
      <c r="D9051" t="str">
        <f>HYPERLINK("https://us2.cloudbeds.com/connect/10074733072513#/reservations/31685746962636?display=Gurpreet%20Singh%20Brar%20Northern%20Lights%20Diesel&amp;reservation_id=31685746962636&amp;guest_id=31685746962631", "Gurpreet Singh Brar Northern Lights Diesel")</f>
        <v>Gurpreet Singh Brar Northern Lights Diesel</v>
      </c>
      <c r="E9051" t="s">
        <v>7481</v>
      </c>
      <c r="F9051" t="s">
        <v>7422</v>
      </c>
      <c r="G9051">
        <v>119</v>
      </c>
      <c r="H9051">
        <v>129.36000000000001</v>
      </c>
      <c r="I9051">
        <v>129.35</v>
      </c>
      <c r="J9051">
        <v>0.01</v>
      </c>
    </row>
    <row r="9052" spans="1:10" x14ac:dyDescent="0.3">
      <c r="A9052" t="str">
        <f>HYPERLINK("https://us2.cloudbeds.com/connect/10074733072513#/reservations/31685739122935?display=MHFM2H986&amp;reservation_id=31685739122935", "MHFM2H986")</f>
        <v>MHFM2H986</v>
      </c>
      <c r="B9052" t="s">
        <v>10</v>
      </c>
      <c r="C9052" t="s">
        <v>42</v>
      </c>
      <c r="D9052" t="str">
        <f>HYPERLINK("https://us2.cloudbeds.com/connect/10074733072513#/reservations/31685739122935?display=Josue%20Moreno%20Corral%20Northern%20Lights%20Diesel&amp;reservation_id=31685739122935&amp;guest_id=31685739122930", "Josue Moreno Corral Northern Lights Diesel")</f>
        <v>Josue Moreno Corral Northern Lights Diesel</v>
      </c>
      <c r="E9052" t="s">
        <v>4970</v>
      </c>
      <c r="F9052" t="s">
        <v>7422</v>
      </c>
      <c r="G9052">
        <v>119</v>
      </c>
      <c r="H9052">
        <v>129.36000000000001</v>
      </c>
      <c r="I9052">
        <v>129.35</v>
      </c>
      <c r="J9052">
        <v>0.01</v>
      </c>
    </row>
    <row r="9053" spans="1:10" x14ac:dyDescent="0.3">
      <c r="A9053" t="str">
        <f>HYPERLINK("https://us2.cloudbeds.com/connect/10074733072513#/reservations/31691937480893?display=MHKFF4Z07&amp;reservation_id=31691937480893", "MHKFF4Z07")</f>
        <v>MHKFF4Z07</v>
      </c>
      <c r="B9053" t="s">
        <v>10</v>
      </c>
      <c r="C9053" t="s">
        <v>42</v>
      </c>
      <c r="D9053" t="str">
        <f>HYPERLINK("https://us2.cloudbeds.com/connect/10074733072513#/reservations/31691937480893?display=Josh%20Mcgillvrui&amp;reservation_id=31691937480893&amp;guest_id=31691870535816", "Josh Mcgillvrui")</f>
        <v>Josh Mcgillvrui</v>
      </c>
      <c r="E9053" t="s">
        <v>7482</v>
      </c>
      <c r="F9053" t="s">
        <v>7367</v>
      </c>
      <c r="G9053">
        <v>358</v>
      </c>
      <c r="H9053">
        <v>389.16</v>
      </c>
      <c r="I9053">
        <v>389.15</v>
      </c>
      <c r="J9053">
        <v>0.01</v>
      </c>
    </row>
    <row r="9054" spans="1:10" x14ac:dyDescent="0.3">
      <c r="A9054" t="str">
        <f>HYPERLINK("https://us2.cloudbeds.com/connect/10074733072513#/reservations/31685974597802?display=MHFS32NK7&amp;reservation_id=31685974597802", "MHFS32NK7")</f>
        <v>MHFS32NK7</v>
      </c>
      <c r="B9054" t="s">
        <v>10</v>
      </c>
      <c r="C9054" t="s">
        <v>42</v>
      </c>
      <c r="D9054" t="str">
        <f>HYPERLINK("https://us2.cloudbeds.com/connect/10074733072513#/reservations/31685974597802?display=Nicky%20Gilbertson&amp;reservation_id=31685974597802&amp;guest_id=31685966921939", "Nicky Gilbertson")</f>
        <v>Nicky Gilbertson</v>
      </c>
      <c r="E9054" t="s">
        <v>7483</v>
      </c>
      <c r="F9054" t="s">
        <v>5822</v>
      </c>
      <c r="G9054">
        <v>149</v>
      </c>
      <c r="H9054">
        <v>161.97</v>
      </c>
      <c r="I9054">
        <v>161.96</v>
      </c>
      <c r="J9054">
        <v>0.01</v>
      </c>
    </row>
    <row r="9055" spans="1:10" x14ac:dyDescent="0.3">
      <c r="A9055" t="str">
        <f>HYPERLINK("https://us2.cloudbeds.com/connect/10074733072513#/reservations/31683489439975?display=MHDUJHHM9&amp;reservation_id=31683489439975", "MHDUJHHM9")</f>
        <v>MHDUJHHM9</v>
      </c>
      <c r="B9055" t="s">
        <v>10</v>
      </c>
      <c r="C9055" t="s">
        <v>17</v>
      </c>
      <c r="D9055" t="str">
        <f>HYPERLINK("https://us2.cloudbeds.com/connect/10074733072513#/reservations/31683489439975?display=Kim%20Thompson&amp;reservation_id=31683489439975&amp;guest_id=31683470176411", "Kim Thompson")</f>
        <v>Kim Thompson</v>
      </c>
      <c r="E9055" t="s">
        <v>7484</v>
      </c>
      <c r="F9055" t="s">
        <v>6321</v>
      </c>
      <c r="G9055">
        <v>149</v>
      </c>
      <c r="H9055">
        <v>161.97</v>
      </c>
      <c r="I9055">
        <v>161.96</v>
      </c>
      <c r="J9055">
        <v>0.01</v>
      </c>
    </row>
    <row r="9056" spans="1:10" x14ac:dyDescent="0.3">
      <c r="A9056" t="str">
        <f>HYPERLINK("https://us2.cloudbeds.com/connect/10074733072513#/reservations/31691876847779?display=MHKDU0H74&amp;reservation_id=31691876847779", "MHKDU0H74")</f>
        <v>MHKDU0H74</v>
      </c>
      <c r="B9056" t="s">
        <v>10</v>
      </c>
      <c r="C9056" t="s">
        <v>42</v>
      </c>
      <c r="D9056" t="str">
        <f>HYPERLINK("https://us2.cloudbeds.com/connect/10074733072513#/reservations/31691876847779?display=Josh%20Mcgillvrui&amp;reservation_id=31691876847779&amp;guest_id=31691870535816", "Josh Mcgillvrui")</f>
        <v>Josh Mcgillvrui</v>
      </c>
      <c r="E9056" t="s">
        <v>7482</v>
      </c>
      <c r="F9056" t="s">
        <v>7367</v>
      </c>
      <c r="G9056">
        <v>358</v>
      </c>
      <c r="H9056">
        <v>389.16</v>
      </c>
      <c r="I9056">
        <v>389.15</v>
      </c>
      <c r="J9056">
        <v>0.01</v>
      </c>
    </row>
    <row r="9057" spans="1:10" x14ac:dyDescent="0.3">
      <c r="A9057" t="str">
        <f>HYPERLINK("https://us2.cloudbeds.com/connect/10074733072513#/reservations/31685978185856?display=MHFS63ENV&amp;reservation_id=31685978185856", "MHFS63ENV")</f>
        <v>MHFS63ENV</v>
      </c>
      <c r="B9057" t="s">
        <v>10</v>
      </c>
      <c r="C9057" t="s">
        <v>42</v>
      </c>
      <c r="D9057" t="str">
        <f>HYPERLINK("https://us2.cloudbeds.com/connect/10074733072513#/reservations/31685978185856?display=Gilbertson%20Nicholle&amp;reservation_id=31685978185856&amp;guest_id=31685978181764", "Gilbertson Nicholle")</f>
        <v>Gilbertson Nicholle</v>
      </c>
      <c r="E9057" t="s">
        <v>7485</v>
      </c>
      <c r="F9057" t="s">
        <v>5822</v>
      </c>
      <c r="G9057">
        <v>149</v>
      </c>
      <c r="H9057">
        <v>161.97</v>
      </c>
      <c r="I9057">
        <v>161.96</v>
      </c>
      <c r="J9057">
        <v>0.01</v>
      </c>
    </row>
    <row r="9058" spans="1:10" x14ac:dyDescent="0.3">
      <c r="A9058" t="str">
        <f>HYPERLINK("https://us2.cloudbeds.com/connect/10074733072513#/reservations/31686167703764?display=MHG00U5Z1&amp;reservation_id=31686167703764", "MHG00U5Z1")</f>
        <v>MHG00U5Z1</v>
      </c>
      <c r="B9058" t="s">
        <v>10</v>
      </c>
      <c r="C9058" t="s">
        <v>42</v>
      </c>
      <c r="D9058" t="str">
        <f>HYPERLINK("https://us2.cloudbeds.com/connect/10074733072513#/reservations/31686167703764?display=Jeremy%20Allen%20Hugeback&amp;reservation_id=31686167703764&amp;guest_id=31686160695480", "Jeremy Allen Hugeback")</f>
        <v>Jeremy Allen Hugeback</v>
      </c>
      <c r="E9058" t="s">
        <v>7334</v>
      </c>
      <c r="F9058" t="s">
        <v>5573</v>
      </c>
      <c r="G9058">
        <v>225</v>
      </c>
      <c r="H9058">
        <v>244.59</v>
      </c>
      <c r="I9058">
        <v>244.58</v>
      </c>
      <c r="J9058">
        <v>0.01</v>
      </c>
    </row>
    <row r="9059" spans="1:10" x14ac:dyDescent="0.3">
      <c r="A9059" t="str">
        <f>HYPERLINK("https://us2.cloudbeds.com/connect/10074733072513#/reservations/31684361011374?display=MHEJSF9NQ&amp;reservation_id=31684361011374", "MHEJSF9NQ")</f>
        <v>MHEJSF9NQ</v>
      </c>
      <c r="B9059" t="s">
        <v>10</v>
      </c>
      <c r="C9059" t="s">
        <v>42</v>
      </c>
      <c r="D9059" t="str">
        <f>HYPERLINK("https://us2.cloudbeds.com/connect/10074733072513#/reservations/31684361011374?display=Susan%20Winker&amp;reservation_id=31684361011374&amp;guest_id=31684361011362", "Susan Winker")</f>
        <v>Susan Winker</v>
      </c>
      <c r="E9059" t="s">
        <v>7487</v>
      </c>
      <c r="F9059" t="s">
        <v>5247</v>
      </c>
      <c r="G9059">
        <v>73</v>
      </c>
      <c r="H9059">
        <v>79.36</v>
      </c>
      <c r="I9059">
        <v>79.349999999999994</v>
      </c>
      <c r="J9059">
        <v>0.01</v>
      </c>
    </row>
    <row r="9060" spans="1:10" x14ac:dyDescent="0.3">
      <c r="A9060" t="str">
        <f>HYPERLINK("https://us2.cloudbeds.com/connect/10074733072513#/reservations/31685464801515?display=MHFF26T3T&amp;reservation_id=31685464801515", "MHFF26T3T")</f>
        <v>MHFF26T3T</v>
      </c>
      <c r="B9060" t="s">
        <v>10</v>
      </c>
      <c r="C9060" t="s">
        <v>42</v>
      </c>
      <c r="D9060" t="str">
        <f>HYPERLINK("https://us2.cloudbeds.com/connect/10074733072513#/reservations/31685464801515?display=Breanna%20Oveson&amp;reservation_id=31685464801515&amp;guest_id=31685447995545", "Breanna Oveson")</f>
        <v>Breanna Oveson</v>
      </c>
      <c r="E9060" t="s">
        <v>7488</v>
      </c>
      <c r="F9060" t="s">
        <v>6175</v>
      </c>
      <c r="G9060">
        <v>338</v>
      </c>
      <c r="H9060">
        <v>367.42</v>
      </c>
      <c r="I9060">
        <v>367.41</v>
      </c>
      <c r="J9060">
        <v>0.01</v>
      </c>
    </row>
    <row r="9061" spans="1:10" x14ac:dyDescent="0.3">
      <c r="A9061" t="str">
        <f>HYPERLINK("https://us2.cloudbeds.com/connect/10074733072513#/reservations/31685781053581?display=MHFN4T21R&amp;reservation_id=31685781053581", "MHFN4T21R")</f>
        <v>MHFN4T21R</v>
      </c>
      <c r="B9061" t="s">
        <v>10</v>
      </c>
      <c r="C9061" t="s">
        <v>121</v>
      </c>
      <c r="D9061" t="str">
        <f>HYPERLINK("https://us2.cloudbeds.com/connect/10074733072513#/reservations/31685781053581?display=Kyle%20Fritze&amp;reservation_id=31685781053581&amp;guest_id=31685781053579", "Kyle Fritze")</f>
        <v>Kyle Fritze</v>
      </c>
      <c r="E9061" t="s">
        <v>7489</v>
      </c>
      <c r="F9061" t="s">
        <v>7327</v>
      </c>
      <c r="G9061">
        <v>119</v>
      </c>
      <c r="H9061">
        <v>129.36000000000001</v>
      </c>
      <c r="I9061">
        <v>129.35</v>
      </c>
      <c r="J9061">
        <v>0.01</v>
      </c>
    </row>
    <row r="9062" spans="1:10" x14ac:dyDescent="0.3">
      <c r="A9062" t="str">
        <f>HYPERLINK("https://us2.cloudbeds.com/connect/10074733072513#/reservations/31690437804241?display=MHJA4J0F6&amp;reservation_id=31690437804241", "MHJA4J0F6")</f>
        <v>MHJA4J0F6</v>
      </c>
      <c r="B9062" t="s">
        <v>10</v>
      </c>
      <c r="C9062" t="s">
        <v>42</v>
      </c>
      <c r="D9062" t="str">
        <f>HYPERLINK("https://us2.cloudbeds.com/connect/10074733072513#/reservations/31690437804241?display=Kelly%20Grone&amp;reservation_id=31690437804241&amp;guest_id=31690437804230", "Kelly Grone")</f>
        <v>Kelly Grone</v>
      </c>
      <c r="E9062" t="s">
        <v>7490</v>
      </c>
      <c r="F9062" t="s">
        <v>5247</v>
      </c>
      <c r="G9062">
        <v>119</v>
      </c>
      <c r="H9062">
        <v>129.36000000000001</v>
      </c>
      <c r="I9062">
        <v>129.35</v>
      </c>
      <c r="J9062">
        <v>0.01</v>
      </c>
    </row>
    <row r="9063" spans="1:10" x14ac:dyDescent="0.3">
      <c r="A9063" t="str">
        <f>HYPERLINK("https://us2.cloudbeds.com/connect/10074733072513#/reservations/31688308617365?display=MHHYZ688P&amp;reservation_id=31688308617365", "MHHYZ688P")</f>
        <v>MHHYZ688P</v>
      </c>
      <c r="B9063" t="s">
        <v>10</v>
      </c>
      <c r="C9063" t="s">
        <v>23</v>
      </c>
      <c r="D9063" t="str">
        <f>HYPERLINK("https://us2.cloudbeds.com/connect/10074733072513#/reservations/31688308617365?display=Charity%20Potter&amp;reservation_id=31688308617365&amp;guest_id=31688308613284", "Charity Potter")</f>
        <v>Charity Potter</v>
      </c>
      <c r="E9063" t="s">
        <v>7491</v>
      </c>
      <c r="F9063" t="s">
        <v>5247</v>
      </c>
      <c r="G9063">
        <v>169</v>
      </c>
      <c r="H9063">
        <v>183.71</v>
      </c>
      <c r="I9063">
        <v>183.7</v>
      </c>
      <c r="J9063">
        <v>0.01</v>
      </c>
    </row>
    <row r="9064" spans="1:10" x14ac:dyDescent="0.3">
      <c r="A9064" t="str">
        <f>HYPERLINK("https://us2.cloudbeds.com/connect/10074733072513#/reservations/31686068465868?display=MHFUG7Z62&amp;reservation_id=31686068465868", "MHFUG7Z62")</f>
        <v>MHFUG7Z62</v>
      </c>
      <c r="B9064" t="s">
        <v>10</v>
      </c>
      <c r="C9064" t="s">
        <v>121</v>
      </c>
      <c r="D9064" t="str">
        <f>HYPERLINK("https://us2.cloudbeds.com/connect/10074733072513#/reservations/31686068465868?display=Arthur%20Mack&amp;reservation_id=31686068465868&amp;guest_id=31686055846043", "Arthur Mack")</f>
        <v>Arthur Mack</v>
      </c>
      <c r="E9064" t="s">
        <v>7241</v>
      </c>
      <c r="F9064" t="s">
        <v>7327</v>
      </c>
      <c r="G9064">
        <v>159</v>
      </c>
      <c r="H9064">
        <v>172.84</v>
      </c>
      <c r="I9064">
        <v>172.83</v>
      </c>
      <c r="J9064">
        <v>0.01</v>
      </c>
    </row>
    <row r="9065" spans="1:10" x14ac:dyDescent="0.3">
      <c r="A9065" t="str">
        <f>HYPERLINK("https://us2.cloudbeds.com/connect/10074733072513#/reservations/31681856696457?display=MHCYSP1AW&amp;reservation_id=31681856696457", "MHCYSP1AW")</f>
        <v>MHCYSP1AW</v>
      </c>
      <c r="B9065" t="s">
        <v>10</v>
      </c>
      <c r="C9065" t="s">
        <v>23</v>
      </c>
      <c r="D9065" t="str">
        <f>HYPERLINK("https://us2.cloudbeds.com/connect/10074733072513#/reservations/31681856696457?display=Rachell%20Henning&amp;reservation_id=31681856696457&amp;guest_id=31681851134110", "Rachell Henning")</f>
        <v>Rachell Henning</v>
      </c>
      <c r="E9065" t="s">
        <v>7493</v>
      </c>
      <c r="F9065" t="s">
        <v>6321</v>
      </c>
      <c r="G9065">
        <v>149</v>
      </c>
      <c r="H9065">
        <v>161.97</v>
      </c>
      <c r="I9065">
        <v>161.96</v>
      </c>
      <c r="J9065">
        <v>0.01</v>
      </c>
    </row>
    <row r="9066" spans="1:10" x14ac:dyDescent="0.3">
      <c r="A9066" t="str">
        <f>HYPERLINK("https://us2.cloudbeds.com/connect/10074733072513#/reservations/31687656747207?display=MHH52H02K&amp;reservation_id=31687656747207", "MHH52H02K")</f>
        <v>MHH52H02K</v>
      </c>
      <c r="B9066" t="s">
        <v>10</v>
      </c>
      <c r="C9066" t="s">
        <v>17</v>
      </c>
      <c r="D9066" t="str">
        <f>HYPERLINK("https://us2.cloudbeds.com/connect/10074733072513#/reservations/31687656747207?display=Travis%20Monick&amp;reservation_id=31687656747207&amp;guest_id=31687650123947", "Travis Monick")</f>
        <v>Travis Monick</v>
      </c>
      <c r="E9066" t="s">
        <v>7494</v>
      </c>
      <c r="F9066" t="s">
        <v>5822</v>
      </c>
      <c r="G9066">
        <v>169</v>
      </c>
      <c r="H9066">
        <v>183.71</v>
      </c>
      <c r="I9066">
        <v>183.7</v>
      </c>
      <c r="J9066">
        <v>0.01</v>
      </c>
    </row>
    <row r="9067" spans="1:10" x14ac:dyDescent="0.3">
      <c r="A9067" t="str">
        <f>HYPERLINK("https://us2.cloudbeds.com/connect/10074733072513#/reservations/31684285796522?display=MHEHV1ATS&amp;reservation_id=31684285796522", "MHEHV1ATS")</f>
        <v>MHEHV1ATS</v>
      </c>
      <c r="B9067" t="s">
        <v>10</v>
      </c>
      <c r="C9067" t="s">
        <v>42</v>
      </c>
      <c r="D9067" t="str">
        <f>HYPERLINK("https://us2.cloudbeds.com/connect/10074733072513#/reservations/31684285796522?display=Loren%20Victor&amp;reservation_id=31684285796522&amp;guest_id=31684285796519", "Loren Victor")</f>
        <v>Loren Victor</v>
      </c>
      <c r="E9067" t="s">
        <v>7495</v>
      </c>
      <c r="F9067" t="s">
        <v>5247</v>
      </c>
      <c r="G9067">
        <v>119</v>
      </c>
      <c r="H9067">
        <v>129.36000000000001</v>
      </c>
      <c r="I9067">
        <v>129.35</v>
      </c>
      <c r="J9067">
        <v>0.01</v>
      </c>
    </row>
    <row r="9068" spans="1:10" x14ac:dyDescent="0.3">
      <c r="A9068" t="str">
        <f>HYPERLINK("https://us2.cloudbeds.com/connect/10074733072513#/reservations/31683671445752?display=MHE2803PS&amp;reservation_id=31683671445752", "MHE2803PS")</f>
        <v>MHE2803PS</v>
      </c>
      <c r="B9068" t="s">
        <v>10</v>
      </c>
      <c r="C9068" t="s">
        <v>23</v>
      </c>
      <c r="D9068" t="str">
        <f>HYPERLINK("https://us2.cloudbeds.com/connect/10074733072513#/reservations/31683671445752?display=Kristin%20Buckmaster&amp;reservation_id=31683671445752&amp;guest_id=31683671445736", "Kristin Buckmaster")</f>
        <v>Kristin Buckmaster</v>
      </c>
      <c r="E9068" t="s">
        <v>7496</v>
      </c>
      <c r="F9068" t="s">
        <v>5822</v>
      </c>
      <c r="G9068">
        <v>318</v>
      </c>
      <c r="H9068">
        <v>345.68</v>
      </c>
      <c r="I9068">
        <v>345.67</v>
      </c>
      <c r="J9068">
        <v>0.01</v>
      </c>
    </row>
    <row r="9069" spans="1:10" x14ac:dyDescent="0.3">
      <c r="A9069" t="str">
        <f>HYPERLINK("https://us2.cloudbeds.com/connect/10074733072513#/reservations/31687530496203?display=MHH1S1T3K&amp;reservation_id=31687530496203", "MHH1S1T3K")</f>
        <v>MHH1S1T3K</v>
      </c>
      <c r="B9069" t="s">
        <v>10</v>
      </c>
      <c r="C9069" t="s">
        <v>23</v>
      </c>
      <c r="D9069" t="str">
        <f>HYPERLINK("https://us2.cloudbeds.com/connect/10074733072513#/reservations/31687530496203?display=Marc%20Alewelt&amp;reservation_id=31687530496203&amp;guest_id=31687524618413", "Marc Alewelt")</f>
        <v>Marc Alewelt</v>
      </c>
      <c r="E9069" t="s">
        <v>7113</v>
      </c>
      <c r="F9069" t="s">
        <v>7479</v>
      </c>
      <c r="G9069">
        <v>129</v>
      </c>
      <c r="H9069">
        <v>140.22999999999999</v>
      </c>
      <c r="I9069">
        <v>140.22</v>
      </c>
      <c r="J9069">
        <v>0.01</v>
      </c>
    </row>
    <row r="9070" spans="1:10" x14ac:dyDescent="0.3">
      <c r="A9070" t="str">
        <f>HYPERLINK("https://us2.cloudbeds.com/connect/10074733072513#/reservations/31683016319180?display=MHDXGJ8AG&amp;reservation_id=31683016319180", "MHDXGJ8AG")</f>
        <v>MHDXGJ8AG</v>
      </c>
      <c r="B9070" t="s">
        <v>10</v>
      </c>
      <c r="C9070" t="s">
        <v>20</v>
      </c>
      <c r="D9070" t="str">
        <f>HYPERLINK("https://us2.cloudbeds.com/connect/10074733072513#/reservations/31683016319180?display=Sherry%20Anderson&amp;reservation_id=31683016319180&amp;guest_id=31683016319168", "Sherry Anderson")</f>
        <v>Sherry Anderson</v>
      </c>
      <c r="E9070" t="s">
        <v>7499</v>
      </c>
      <c r="F9070" t="s">
        <v>7460</v>
      </c>
      <c r="G9070">
        <v>119</v>
      </c>
      <c r="H9070">
        <v>129.36000000000001</v>
      </c>
      <c r="I9070">
        <v>129.35</v>
      </c>
      <c r="J9070">
        <v>0.01</v>
      </c>
    </row>
    <row r="9071" spans="1:10" x14ac:dyDescent="0.3">
      <c r="A9071" t="str">
        <f>HYPERLINK("https://us2.cloudbeds.com/connect/10074733072513#/reservations/31685745561837?display=MHFM7VEUE&amp;reservation_id=31685745561837", "MHFM7VEUE")</f>
        <v>MHFM7VEUE</v>
      </c>
      <c r="B9071" t="s">
        <v>10</v>
      </c>
      <c r="C9071" t="s">
        <v>17</v>
      </c>
      <c r="D9071" t="str">
        <f>HYPERLINK("https://us2.cloudbeds.com/connect/10074733072513#/reservations/31685745561837?display=Marianne%20Linebaugh&amp;reservation_id=31685745561837&amp;guest_id=31685735510171", "Marianne Linebaugh")</f>
        <v>Marianne Linebaugh</v>
      </c>
      <c r="E9071" t="s">
        <v>7500</v>
      </c>
      <c r="F9071" t="s">
        <v>4181</v>
      </c>
      <c r="G9071">
        <v>278</v>
      </c>
      <c r="H9071">
        <v>302.2</v>
      </c>
      <c r="I9071">
        <v>302.19</v>
      </c>
      <c r="J9071">
        <v>0.01</v>
      </c>
    </row>
    <row r="9072" spans="1:10" x14ac:dyDescent="0.3">
      <c r="A9072" t="str">
        <f>HYPERLINK("https://us2.cloudbeds.com/connect/10074733072513#/reservations/31684194390174?display=MHEFJVQSH&amp;reservation_id=31684194390174", "MHEFJVQSH")</f>
        <v>MHEFJVQSH</v>
      </c>
      <c r="B9072" t="s">
        <v>10</v>
      </c>
      <c r="C9072" t="s">
        <v>42</v>
      </c>
      <c r="D9072" t="str">
        <f>HYPERLINK("https://us2.cloudbeds.com/connect/10074733072513#/reservations/31684194390174?display=Brady%20Miner&amp;reservation_id=31684194390174&amp;guest_id=31684194390172", "Brady Miner")</f>
        <v>Brady Miner</v>
      </c>
      <c r="E9072" t="s">
        <v>7501</v>
      </c>
      <c r="F9072" t="s">
        <v>7479</v>
      </c>
      <c r="G9072">
        <v>119</v>
      </c>
      <c r="H9072">
        <v>129.36000000000001</v>
      </c>
      <c r="I9072">
        <v>129.35</v>
      </c>
      <c r="J9072">
        <v>0.01</v>
      </c>
    </row>
    <row r="9073" spans="1:10" x14ac:dyDescent="0.3">
      <c r="A9073" t="str">
        <f>HYPERLINK("https://us2.cloudbeds.com/connect/10074733072513#/reservations/31685631365358?display=MHFJAYPA2&amp;reservation_id=31685631365358", "MHFJAYPA2")</f>
        <v>MHFJAYPA2</v>
      </c>
      <c r="B9073" t="s">
        <v>10</v>
      </c>
      <c r="C9073" t="s">
        <v>42</v>
      </c>
      <c r="D9073" t="str">
        <f>HYPERLINK("https://us2.cloudbeds.com/connect/10074733072513#/reservations/31685631365358?display=Monique%20Walters&amp;reservation_id=31685631365358&amp;guest_id=31685631365355", "Monique Walters")</f>
        <v>Monique Walters</v>
      </c>
      <c r="E9073" t="s">
        <v>7504</v>
      </c>
      <c r="F9073" t="s">
        <v>7424</v>
      </c>
      <c r="G9073">
        <v>225</v>
      </c>
      <c r="H9073">
        <v>244.59</v>
      </c>
      <c r="I9073">
        <v>244.58</v>
      </c>
      <c r="J9073">
        <v>0.01</v>
      </c>
    </row>
    <row r="9074" spans="1:10" x14ac:dyDescent="0.3">
      <c r="A9074" t="str">
        <f>HYPERLINK("https://us2.cloudbeds.com/connect/10074733072513#/reservations/31684231749845?display=MHEGXFD8P&amp;reservation_id=31684231749845", "MHEGXFD8P")</f>
        <v>MHEGXFD8P</v>
      </c>
      <c r="B9074" t="s">
        <v>10</v>
      </c>
      <c r="C9074" t="s">
        <v>42</v>
      </c>
      <c r="D9074" t="str">
        <f>HYPERLINK("https://us2.cloudbeds.com/connect/10074733072513#/reservations/31684231749845?display=Frank%20Nanchtman&amp;reservation_id=31684231749845&amp;guest_id=31684231749843", "Frank Nanchtman")</f>
        <v>Frank Nanchtman</v>
      </c>
      <c r="E9074" t="s">
        <v>7505</v>
      </c>
      <c r="F9074" t="s">
        <v>7479</v>
      </c>
      <c r="G9074">
        <v>119</v>
      </c>
      <c r="H9074">
        <v>129.36000000000001</v>
      </c>
      <c r="I9074">
        <v>129.35</v>
      </c>
      <c r="J9074">
        <v>0.01</v>
      </c>
    </row>
    <row r="9075" spans="1:10" x14ac:dyDescent="0.3">
      <c r="A9075" t="str">
        <f>HYPERLINK("https://us2.cloudbeds.com/connect/10074733072513#/reservations/31685966917840?display=MHFRTK0A3&amp;reservation_id=31685966917840", "MHFRTK0A3")</f>
        <v>MHFRTK0A3</v>
      </c>
      <c r="B9075" t="s">
        <v>10</v>
      </c>
      <c r="C9075" t="s">
        <v>42</v>
      </c>
      <c r="D9075" t="str">
        <f>HYPERLINK("https://us2.cloudbeds.com/connect/10074733072513#/reservations/31685966917840?display=Cameron%20Wyly&amp;reservation_id=31685966917840&amp;guest_id=31676340576486", "Cameron Wyly")</f>
        <v>Cameron Wyly</v>
      </c>
      <c r="E9075" t="s">
        <v>5570</v>
      </c>
      <c r="F9075" t="s">
        <v>5822</v>
      </c>
      <c r="G9075">
        <v>89</v>
      </c>
      <c r="H9075">
        <v>96.75</v>
      </c>
      <c r="I9075">
        <v>96.74</v>
      </c>
      <c r="J9075">
        <v>0.01</v>
      </c>
    </row>
    <row r="9076" spans="1:10" x14ac:dyDescent="0.3">
      <c r="A9076" t="str">
        <f>HYPERLINK("https://us2.cloudbeds.com/connect/10074733072513#/reservations/31684231753938?display=MHEGXFH0Q&amp;reservation_id=31684231753938", "MHEGXFH0Q")</f>
        <v>MHEGXFH0Q</v>
      </c>
      <c r="B9076" t="s">
        <v>10</v>
      </c>
      <c r="C9076" t="s">
        <v>121</v>
      </c>
      <c r="D9076" t="str">
        <f>HYPERLINK("https://us2.cloudbeds.com/connect/10074733072513#/reservations/31684231753938?display=Nathaniel%20Robert%20Hoferer&amp;reservation_id=31684231753938&amp;guest_id=31684231753936", "Nathaniel Robert Hoferer")</f>
        <v>Nathaniel Robert Hoferer</v>
      </c>
      <c r="E9076" t="s">
        <v>7506</v>
      </c>
      <c r="F9076" t="s">
        <v>7479</v>
      </c>
      <c r="G9076">
        <v>119</v>
      </c>
      <c r="H9076">
        <v>129.36000000000001</v>
      </c>
      <c r="I9076">
        <v>129.35</v>
      </c>
      <c r="J9076">
        <v>0.01</v>
      </c>
    </row>
    <row r="9077" spans="1:10" x14ac:dyDescent="0.3">
      <c r="A9077" t="str">
        <f>HYPERLINK("https://us2.cloudbeds.com/connect/10074733072513#/reservations/31684264460494?display=MHEHD1KJX&amp;reservation_id=31684264460494", "MHEHD1KJX")</f>
        <v>MHEHD1KJX</v>
      </c>
      <c r="B9077" t="s">
        <v>10</v>
      </c>
      <c r="C9077" t="s">
        <v>42</v>
      </c>
      <c r="D9077" t="str">
        <f>HYPERLINK("https://us2.cloudbeds.com/connect/10074733072513#/reservations/31684264460494?display=Betty%20Rager&amp;reservation_id=31684264460494&amp;guest_id=31684264460492", "Betty Rager")</f>
        <v>Betty Rager</v>
      </c>
      <c r="E9077" t="s">
        <v>7507</v>
      </c>
      <c r="F9077" t="s">
        <v>5247</v>
      </c>
      <c r="G9077">
        <v>119</v>
      </c>
      <c r="H9077">
        <v>129.36000000000001</v>
      </c>
      <c r="I9077">
        <v>129.35</v>
      </c>
      <c r="J9077">
        <v>0.01</v>
      </c>
    </row>
    <row r="9078" spans="1:10" x14ac:dyDescent="0.3">
      <c r="A9078" t="str">
        <f>HYPERLINK("https://us2.cloudbeds.com/connect/10074733072513#/reservations/31684194386082?display=MHEFJVN3H&amp;reservation_id=31684194386082", "MHEFJVN3H")</f>
        <v>MHEFJVN3H</v>
      </c>
      <c r="B9078" t="s">
        <v>10</v>
      </c>
      <c r="C9078" t="s">
        <v>121</v>
      </c>
      <c r="D9078" t="str">
        <f>HYPERLINK("https://us2.cloudbeds.com/connect/10074733072513#/reservations/31684194386082?display=Milan%20Batula&amp;reservation_id=31684194386082&amp;guest_id=30666330194057", "Milan Batula")</f>
        <v>Milan Batula</v>
      </c>
      <c r="E9078" t="s">
        <v>7508</v>
      </c>
      <c r="F9078" t="s">
        <v>7479</v>
      </c>
      <c r="G9078">
        <v>119</v>
      </c>
      <c r="H9078">
        <v>129.36000000000001</v>
      </c>
      <c r="I9078">
        <v>129.35</v>
      </c>
      <c r="J9078">
        <v>0.01</v>
      </c>
    </row>
    <row r="9079" spans="1:10" x14ac:dyDescent="0.3">
      <c r="A9079" t="str">
        <f>HYPERLINK("https://us2.cloudbeds.com/connect/10074733072513#/reservations/31686949720270?display=MHGK0AUSU&amp;reservation_id=31686949720270", "MHGK0AUSU")</f>
        <v>MHGK0AUSU</v>
      </c>
      <c r="B9079" t="s">
        <v>10</v>
      </c>
      <c r="C9079" t="s">
        <v>42</v>
      </c>
      <c r="D9079" t="str">
        <f>HYPERLINK("https://us2.cloudbeds.com/connect/10074733072513#/reservations/31686949720270?display=Jennifer%20Wagner&amp;reservation_id=31686949720270&amp;guest_id=31686937546989", "Jennifer Wagner")</f>
        <v>Jennifer Wagner</v>
      </c>
      <c r="E9079" t="s">
        <v>7510</v>
      </c>
      <c r="F9079" t="s">
        <v>7268</v>
      </c>
      <c r="G9079">
        <v>218</v>
      </c>
      <c r="H9079">
        <v>236.98</v>
      </c>
      <c r="I9079">
        <v>236.97</v>
      </c>
      <c r="J9079">
        <v>0.01</v>
      </c>
    </row>
    <row r="9080" spans="1:10" x14ac:dyDescent="0.3">
      <c r="A9080" t="str">
        <f>HYPERLINK("https://us2.cloudbeds.com/connect/10074733072513#/reservations/31683048665237?display=MHDJASAS1&amp;reservation_id=31683048665237", "MHDJASAS1")</f>
        <v>MHDJASAS1</v>
      </c>
      <c r="B9080" t="s">
        <v>10</v>
      </c>
      <c r="C9080" t="s">
        <v>42</v>
      </c>
      <c r="D9080" t="str">
        <f>HYPERLINK("https://us2.cloudbeds.com/connect/10074733072513#/reservations/31683048665237?display=Kevin%20Kamphuis&amp;reservation_id=31683048665237&amp;guest_id=31683048665235", "Kevin Kamphuis")</f>
        <v>Kevin Kamphuis</v>
      </c>
      <c r="E9080" t="s">
        <v>7511</v>
      </c>
      <c r="F9080" t="s">
        <v>7460</v>
      </c>
      <c r="G9080">
        <v>109</v>
      </c>
      <c r="H9080">
        <v>118.49</v>
      </c>
      <c r="I9080">
        <v>118.48</v>
      </c>
      <c r="J9080">
        <v>0.01</v>
      </c>
    </row>
    <row r="9081" spans="1:10" x14ac:dyDescent="0.3">
      <c r="A9081" t="str">
        <f>HYPERLINK("https://us2.cloudbeds.com/connect/10074733072513#/reservations/31692116918492?display=MHKK1ERR7&amp;reservation_id=31692116918492", "MHKK1ERR7")</f>
        <v>MHKK1ERR7</v>
      </c>
      <c r="B9081" t="s">
        <v>10</v>
      </c>
      <c r="C9081" t="s">
        <v>42</v>
      </c>
      <c r="D9081" t="str">
        <f>HYPERLINK("https://us2.cloudbeds.com/connect/10074733072513#/reservations/31692116918492?display=Kandace%20Gustafson&amp;reservation_id=31692116918492&amp;guest_id=31692116918489", "Kandace Gustafson")</f>
        <v>Kandace Gustafson</v>
      </c>
      <c r="E9081" t="s">
        <v>7512</v>
      </c>
      <c r="F9081" t="s">
        <v>7426</v>
      </c>
      <c r="G9081">
        <v>139</v>
      </c>
      <c r="H9081">
        <v>151.1</v>
      </c>
      <c r="I9081">
        <v>151.09</v>
      </c>
      <c r="J9081">
        <v>0.01</v>
      </c>
    </row>
    <row r="9082" spans="1:10" x14ac:dyDescent="0.3">
      <c r="A9082" t="str">
        <f>HYPERLINK("https://us2.cloudbeds.com/connect/10074733072513#/reservations/31684454490351?display=MHEM89G02&amp;reservation_id=31684454490351", "MHEM89G02")</f>
        <v>MHEM89G02</v>
      </c>
      <c r="B9082" t="s">
        <v>10</v>
      </c>
      <c r="C9082" t="s">
        <v>17</v>
      </c>
      <c r="D9082" t="str">
        <f>HYPERLINK("https://us2.cloudbeds.com/connect/10074733072513#/reservations/31684454490351?display=Sandra%20Gaspar&amp;reservation_id=31684454490351&amp;guest_id=31684444287124", "Sandra Gaspar")</f>
        <v>Sandra Gaspar</v>
      </c>
      <c r="E9082" t="s">
        <v>7513</v>
      </c>
      <c r="F9082" t="s">
        <v>7211</v>
      </c>
      <c r="G9082">
        <v>258</v>
      </c>
      <c r="H9082">
        <v>280.45999999999998</v>
      </c>
      <c r="I9082">
        <v>280.45</v>
      </c>
      <c r="J9082">
        <v>0.01</v>
      </c>
    </row>
    <row r="9083" spans="1:10" x14ac:dyDescent="0.3">
      <c r="A9083" t="str">
        <f>HYPERLINK("https://us2.cloudbeds.com/connect/10074733072513#/reservations/31684474282221?display=MHEMZW7BM&amp;reservation_id=31684474282221", "MHEMZW7BM")</f>
        <v>MHEMZW7BM</v>
      </c>
      <c r="B9083" t="s">
        <v>10</v>
      </c>
      <c r="C9083" t="s">
        <v>17</v>
      </c>
      <c r="D9083" t="str">
        <f>HYPERLINK("https://us2.cloudbeds.com/connect/10074733072513#/reservations/31684474282221?display=Sandra%20Gaspar&amp;reservation_id=31684474282221&amp;guest_id=31684444287124", "Sandra Gaspar")</f>
        <v>Sandra Gaspar</v>
      </c>
      <c r="E9083" t="s">
        <v>7513</v>
      </c>
      <c r="F9083" t="s">
        <v>7211</v>
      </c>
      <c r="G9083">
        <v>258</v>
      </c>
      <c r="H9083">
        <v>280.45999999999998</v>
      </c>
      <c r="I9083">
        <v>280.45</v>
      </c>
      <c r="J9083">
        <v>0.01</v>
      </c>
    </row>
    <row r="9084" spans="1:10" x14ac:dyDescent="0.3">
      <c r="A9084" t="str">
        <f>HYPERLINK("https://us2.cloudbeds.com/connect/10074733072513#/reservations/31685198139638?display=MHF88BKHV&amp;reservation_id=31685198139638", "MHF88BKHV")</f>
        <v>MHF88BKHV</v>
      </c>
      <c r="B9084" t="s">
        <v>10</v>
      </c>
      <c r="C9084" t="s">
        <v>42</v>
      </c>
      <c r="D9084" t="str">
        <f>HYPERLINK("https://us2.cloudbeds.com/connect/10074733072513#/reservations/31685198139638?display=Joe%20Hanson&amp;reservation_id=31685198139638&amp;guest_id=31685198139632", "Joe Hanson")</f>
        <v>Joe Hanson</v>
      </c>
      <c r="E9084" t="s">
        <v>7389</v>
      </c>
      <c r="F9084" t="s">
        <v>5572</v>
      </c>
      <c r="G9084">
        <v>225</v>
      </c>
      <c r="H9084">
        <v>244.59</v>
      </c>
      <c r="I9084">
        <v>244.58</v>
      </c>
      <c r="J9084">
        <v>0.01</v>
      </c>
    </row>
    <row r="9085" spans="1:10" x14ac:dyDescent="0.3">
      <c r="A9085" t="str">
        <f>HYPERLINK("https://us2.cloudbeds.com/connect/10074733072513#/reservations/31683433816312?display=MHDT5KNUZ&amp;reservation_id=31683433816312", "MHDT5KNUZ")</f>
        <v>MHDT5KNUZ</v>
      </c>
      <c r="B9085" t="s">
        <v>10</v>
      </c>
      <c r="C9085" t="s">
        <v>23</v>
      </c>
      <c r="D9085" t="str">
        <f>HYPERLINK("https://us2.cloudbeds.com/connect/10074733072513#/reservations/31683433816312?display=Lori%20Kokes&amp;reservation_id=31683433816312&amp;guest_id=31683433816307", "Lori Kokes")</f>
        <v>Lori Kokes</v>
      </c>
      <c r="E9085" t="s">
        <v>7515</v>
      </c>
      <c r="F9085" t="s">
        <v>6321</v>
      </c>
      <c r="G9085">
        <v>149</v>
      </c>
      <c r="H9085">
        <v>161.97</v>
      </c>
      <c r="I9085">
        <v>161.96</v>
      </c>
      <c r="J9085">
        <v>0.01</v>
      </c>
    </row>
    <row r="9086" spans="1:10" x14ac:dyDescent="0.3">
      <c r="A9086" t="str">
        <f>HYPERLINK("https://us2.cloudbeds.com/connect/10074733072513#/reservations/31684902580369?display=MHF0N488F&amp;reservation_id=31684902580369", "MHF0N488F")</f>
        <v>MHF0N488F</v>
      </c>
      <c r="B9086" t="s">
        <v>10</v>
      </c>
      <c r="C9086" t="s">
        <v>17</v>
      </c>
      <c r="D9086" t="str">
        <f>HYPERLINK("https://us2.cloudbeds.com/connect/10074733072513#/reservations/31684902580369?display=Anthony%20Sommerfeld&amp;reservation_id=31684902580369&amp;guest_id=31684902580364", "Anthony Sommerfeld")</f>
        <v>Anthony Sommerfeld</v>
      </c>
      <c r="E9086" t="s">
        <v>7516</v>
      </c>
      <c r="F9086" t="s">
        <v>7460</v>
      </c>
      <c r="G9086">
        <v>129</v>
      </c>
      <c r="H9086">
        <v>140.22999999999999</v>
      </c>
      <c r="I9086">
        <v>140.22</v>
      </c>
      <c r="J9086">
        <v>0.01</v>
      </c>
    </row>
    <row r="9087" spans="1:10" x14ac:dyDescent="0.3">
      <c r="A9087" t="str">
        <f>HYPERLINK("https://us2.cloudbeds.com/connect/10074733072513#/reservations/31681906176152?display=MHCN4FT7M&amp;reservation_id=31681906176152", "MHCN4FT7M")</f>
        <v>MHCN4FT7M</v>
      </c>
      <c r="B9087" t="s">
        <v>10</v>
      </c>
      <c r="C9087" t="s">
        <v>42</v>
      </c>
      <c r="D9087" t="str">
        <f>HYPERLINK("https://us2.cloudbeds.com/connect/10074733072513#/reservations/31681906176152?display=Errin%20Glines&amp;reservation_id=31681906176152&amp;guest_id=31681906176147", "Errin Glines")</f>
        <v>Errin Glines</v>
      </c>
      <c r="E9087" t="s">
        <v>7518</v>
      </c>
      <c r="F9087" t="s">
        <v>7460</v>
      </c>
      <c r="G9087">
        <v>119</v>
      </c>
      <c r="H9087">
        <v>129.36000000000001</v>
      </c>
      <c r="I9087">
        <v>129.35</v>
      </c>
      <c r="J9087">
        <v>0.01</v>
      </c>
    </row>
    <row r="9088" spans="1:10" x14ac:dyDescent="0.3">
      <c r="A9088" t="str">
        <f>HYPERLINK("https://us2.cloudbeds.com/connect/10074733072513#/reservations/31682987360386?display=MHDHP5E79&amp;reservation_id=31682987360386", "MHDHP5E79")</f>
        <v>MHDHP5E79</v>
      </c>
      <c r="B9088" t="s">
        <v>10</v>
      </c>
      <c r="C9088" t="s">
        <v>20</v>
      </c>
      <c r="D9088" t="str">
        <f>HYPERLINK("https://us2.cloudbeds.com/connect/10074733072513#/reservations/31682987360386?display=Barry%20Willemssen&amp;reservation_id=31682987360386&amp;guest_id=31682987360384", "Barry Willemssen")</f>
        <v>Barry Willemssen</v>
      </c>
      <c r="E9088" t="s">
        <v>7519</v>
      </c>
      <c r="F9088" t="s">
        <v>7460</v>
      </c>
      <c r="G9088">
        <v>119</v>
      </c>
      <c r="H9088">
        <v>129.36000000000001</v>
      </c>
      <c r="I9088">
        <v>129.35</v>
      </c>
      <c r="J9088">
        <v>0.01</v>
      </c>
    </row>
    <row r="9089" spans="1:10" x14ac:dyDescent="0.3">
      <c r="A9089" t="str">
        <f>HYPERLINK("https://us2.cloudbeds.com/connect/10074733072513#/reservations/31684850626747?display=MHEWCAXK9&amp;reservation_id=31684850626747", "MHEWCAXK9")</f>
        <v>MHEWCAXK9</v>
      </c>
      <c r="B9089" t="s">
        <v>10</v>
      </c>
      <c r="C9089" t="s">
        <v>23</v>
      </c>
      <c r="D9089" t="str">
        <f>HYPERLINK("https://us2.cloudbeds.com/connect/10074733072513#/reservations/31684850626747?display=Ryan%20Vick&amp;reservation_id=31684850626747&amp;guest_id=31684850626745", "Ryan Vick")</f>
        <v>Ryan Vick</v>
      </c>
      <c r="E9089" t="s">
        <v>7520</v>
      </c>
      <c r="F9089" t="s">
        <v>7460</v>
      </c>
      <c r="G9089">
        <v>238</v>
      </c>
      <c r="H9089">
        <v>258.72000000000003</v>
      </c>
      <c r="I9089">
        <v>258.70999999999998</v>
      </c>
      <c r="J9089">
        <v>0.01</v>
      </c>
    </row>
    <row r="9090" spans="1:10" x14ac:dyDescent="0.3">
      <c r="A9090" t="str">
        <f>HYPERLINK("https://us2.cloudbeds.com/connect/10074733072513#/reservations/31684883292353?display=MHF06SHJ4&amp;reservation_id=31684883292353", "MHF06SHJ4")</f>
        <v>MHF06SHJ4</v>
      </c>
      <c r="B9090" t="s">
        <v>10</v>
      </c>
      <c r="C9090" t="s">
        <v>42</v>
      </c>
      <c r="D9090" t="str">
        <f>HYPERLINK("https://us2.cloudbeds.com/connect/10074733072513#/reservations/31684883292353?display=Kacie%20Crom&amp;reservation_id=31684883292353&amp;guest_id=31684861370595", "Kacie Crom")</f>
        <v>Kacie Crom</v>
      </c>
      <c r="E9090" t="s">
        <v>7521</v>
      </c>
      <c r="F9090" t="s">
        <v>7460</v>
      </c>
      <c r="G9090">
        <v>119</v>
      </c>
      <c r="H9090">
        <v>129.36000000000001</v>
      </c>
      <c r="I9090">
        <v>129.35</v>
      </c>
      <c r="J9090">
        <v>0.01</v>
      </c>
    </row>
    <row r="9091" spans="1:10" x14ac:dyDescent="0.3">
      <c r="A9091" t="str">
        <f>HYPERLINK("https://us2.cloudbeds.com/connect/10074733072513#/reservations/31683455451334?display=MHDTNSZQF&amp;reservation_id=31683455451334", "MHDTNSZQF")</f>
        <v>MHDTNSZQF</v>
      </c>
      <c r="B9091" t="s">
        <v>10</v>
      </c>
      <c r="C9091" t="s">
        <v>42</v>
      </c>
      <c r="D9091" t="str">
        <f>HYPERLINK("https://us2.cloudbeds.com/connect/10074733072513#/reservations/31683455451334?display=Jodi%20Wagner&amp;reservation_id=31683455451334&amp;guest_id=31683455451329", "Jodi Wagner")</f>
        <v>Jodi Wagner</v>
      </c>
      <c r="E9091" t="s">
        <v>7523</v>
      </c>
      <c r="F9091" t="s">
        <v>6321</v>
      </c>
      <c r="G9091">
        <v>159</v>
      </c>
      <c r="H9091">
        <v>172.84</v>
      </c>
      <c r="I9091">
        <v>172.83</v>
      </c>
      <c r="J9091">
        <v>0.01</v>
      </c>
    </row>
    <row r="9092" spans="1:10" x14ac:dyDescent="0.3">
      <c r="A9092" t="str">
        <f>HYPERLINK("https://us2.cloudbeds.com/connect/10074733072513#/reservations/31693801447614?display=MHYU2TBH8&amp;reservation_id=31693801447614", "MHYU2TBH8")</f>
        <v>MHYU2TBH8</v>
      </c>
      <c r="B9092" t="s">
        <v>10</v>
      </c>
      <c r="C9092" t="s">
        <v>42</v>
      </c>
      <c r="D9092" t="str">
        <f>HYPERLINK("https://us2.cloudbeds.com/connect/10074733072513#/reservations/31693801447614?display=Michael%20Daniels&amp;reservation_id=31693801447614&amp;guest_id=30671090090186", "Michael Daniels")</f>
        <v>Michael Daniels</v>
      </c>
      <c r="E9092" t="s">
        <v>3262</v>
      </c>
      <c r="F9092" t="s">
        <v>7524</v>
      </c>
      <c r="G9092">
        <v>73</v>
      </c>
      <c r="H9092">
        <v>79.36</v>
      </c>
      <c r="I9092">
        <v>79.349999999999994</v>
      </c>
      <c r="J9092">
        <v>0.01</v>
      </c>
    </row>
    <row r="9093" spans="1:10" x14ac:dyDescent="0.3">
      <c r="A9093" t="str">
        <f>HYPERLINK("https://us2.cloudbeds.com/connect/10074733072513#/reservations/31683010506934?display=MHDXBMH2R&amp;reservation_id=31683010506934", "MHDXBMH2R")</f>
        <v>MHDXBMH2R</v>
      </c>
      <c r="B9093" t="s">
        <v>10</v>
      </c>
      <c r="C9093" t="s">
        <v>42</v>
      </c>
      <c r="D9093" t="str">
        <f>HYPERLINK("https://us2.cloudbeds.com/connect/10074733072513#/reservations/31683010506934?display=Molly%20Sybesma&amp;reservation_id=31683010506934&amp;guest_id=31683010506922", "Molly Sybesma")</f>
        <v>Molly Sybesma</v>
      </c>
      <c r="E9093" t="s">
        <v>7525</v>
      </c>
      <c r="F9093" t="s">
        <v>7460</v>
      </c>
      <c r="G9093">
        <v>119</v>
      </c>
      <c r="H9093">
        <v>129.36000000000001</v>
      </c>
      <c r="I9093">
        <v>129.35</v>
      </c>
      <c r="J9093">
        <v>0.01</v>
      </c>
    </row>
    <row r="9094" spans="1:10" x14ac:dyDescent="0.3">
      <c r="A9094" t="str">
        <f>HYPERLINK("https://us2.cloudbeds.com/connect/10074733072513#/reservations/31690140774542?display=MHJ2X3NU7&amp;reservation_id=31690140774542", "MHJ2X3NU7")</f>
        <v>MHJ2X3NU7</v>
      </c>
      <c r="B9094" t="s">
        <v>10</v>
      </c>
      <c r="C9094" t="s">
        <v>42</v>
      </c>
      <c r="D9094" t="str">
        <f>HYPERLINK("https://us2.cloudbeds.com/connect/10074733072513#/reservations/31690140774542?display=Heather%20Fischer&amp;reservation_id=31690140774542&amp;guest_id=31690136494241", "Heather Fischer")</f>
        <v>Heather Fischer</v>
      </c>
      <c r="E9094" t="s">
        <v>7526</v>
      </c>
      <c r="F9094" t="s">
        <v>7331</v>
      </c>
      <c r="G9094">
        <v>149</v>
      </c>
      <c r="H9094">
        <v>161.97</v>
      </c>
      <c r="I9094">
        <v>161.96</v>
      </c>
      <c r="J9094">
        <v>0.01</v>
      </c>
    </row>
    <row r="9095" spans="1:10" x14ac:dyDescent="0.3">
      <c r="A9095" t="str">
        <f>HYPERLINK("https://us2.cloudbeds.com/connect/10074733072513#/reservations/31684203897027?display=MHEFRWBZW&amp;reservation_id=31684203897027", "MHEFRWBZW")</f>
        <v>MHEFRWBZW</v>
      </c>
      <c r="B9095" t="s">
        <v>10</v>
      </c>
      <c r="C9095" t="s">
        <v>20</v>
      </c>
      <c r="D9095" t="str">
        <f>HYPERLINK("https://us2.cloudbeds.com/connect/10074733072513#/reservations/31684203897027?display=Allyson%20Perry&amp;reservation_id=31684203897027&amp;guest_id=31684203897025", "Allyson Perry")</f>
        <v>Allyson Perry</v>
      </c>
      <c r="E9095" t="s">
        <v>7527</v>
      </c>
      <c r="F9095" t="s">
        <v>7372</v>
      </c>
      <c r="G9095">
        <v>179</v>
      </c>
      <c r="H9095">
        <v>194.58</v>
      </c>
      <c r="I9095">
        <v>194.57</v>
      </c>
      <c r="J9095">
        <v>0.01</v>
      </c>
    </row>
    <row r="9096" spans="1:10" x14ac:dyDescent="0.3">
      <c r="A9096" t="str">
        <f>HYPERLINK("https://us2.cloudbeds.com/connect/10074733072513#/reservations/31692751052932?display=MHY385XPC&amp;reservation_id=31692751052932", "MHY385XPC")</f>
        <v>MHY385XPC</v>
      </c>
      <c r="B9096" t="s">
        <v>10</v>
      </c>
      <c r="C9096" t="s">
        <v>20</v>
      </c>
      <c r="D9096" t="str">
        <f>HYPERLINK("https://us2.cloudbeds.com/connect/10074733072513#/reservations/31692751052932?display=Sharrie%20Girres&amp;reservation_id=31692751052932&amp;guest_id=31692741632163", "Sharrie Girres")</f>
        <v>Sharrie Girres</v>
      </c>
      <c r="E9096" t="s">
        <v>7528</v>
      </c>
      <c r="F9096" t="s">
        <v>7027</v>
      </c>
      <c r="G9096">
        <v>149</v>
      </c>
      <c r="H9096">
        <v>161.97</v>
      </c>
      <c r="I9096">
        <v>161.96</v>
      </c>
      <c r="J9096">
        <v>0.01</v>
      </c>
    </row>
    <row r="9097" spans="1:10" x14ac:dyDescent="0.3">
      <c r="A9097" t="str">
        <f>HYPERLINK("https://us2.cloudbeds.com/connect/10074733072513#/reservations/31682975412458?display=MHDHF2VZS&amp;reservation_id=31682975412458", "MHDHF2VZS")</f>
        <v>MHDHF2VZS</v>
      </c>
      <c r="B9097" t="s">
        <v>10</v>
      </c>
      <c r="C9097" t="s">
        <v>42</v>
      </c>
      <c r="D9097" t="str">
        <f>HYPERLINK("https://us2.cloudbeds.com/connect/10074733072513#/reservations/31682975412458?display=Ronald%20Brant&amp;reservation_id=31682975412458&amp;guest_id=31680169230554", "Ronald Brant")</f>
        <v>Ronald Brant</v>
      </c>
      <c r="E9097" t="s">
        <v>1740</v>
      </c>
      <c r="F9097" t="s">
        <v>7460</v>
      </c>
      <c r="G9097">
        <v>139</v>
      </c>
      <c r="H9097">
        <v>151.1</v>
      </c>
      <c r="I9097">
        <v>151.09</v>
      </c>
      <c r="J9097">
        <v>0.01</v>
      </c>
    </row>
    <row r="9098" spans="1:10" x14ac:dyDescent="0.3">
      <c r="A9098" t="str">
        <f>HYPERLINK("https://us2.cloudbeds.com/connect/10074733072513#/reservations/31694326775966?display=MHMAGSCN7&amp;reservation_id=31694326775966", "MHMAGSCN7")</f>
        <v>MHMAGSCN7</v>
      </c>
      <c r="B9098" t="s">
        <v>10</v>
      </c>
      <c r="C9098" t="s">
        <v>42</v>
      </c>
      <c r="D9098" t="str">
        <f>HYPERLINK("https://us2.cloudbeds.com/connect/10074733072513#/reservations/31694326775966?display=Cynthia%20Loeschke&amp;reservation_id=31694326775966&amp;guest_id=31694326771882", "Cynthia Loeschke")</f>
        <v>Cynthia Loeschke</v>
      </c>
      <c r="E9098" t="s">
        <v>7529</v>
      </c>
      <c r="F9098" t="s">
        <v>7530</v>
      </c>
      <c r="G9098">
        <v>278</v>
      </c>
      <c r="H9098">
        <v>302.2</v>
      </c>
      <c r="I9098">
        <v>302.19</v>
      </c>
      <c r="J9098">
        <v>0.01</v>
      </c>
    </row>
    <row r="9099" spans="1:10" x14ac:dyDescent="0.3">
      <c r="A9099" t="str">
        <f>HYPERLINK("https://us2.cloudbeds.com/connect/10074733072513#/reservations/31683024056485?display=MHDXN3X99&amp;reservation_id=31683024056485", "MHDXN3X99")</f>
        <v>MHDXN3X99</v>
      </c>
      <c r="B9099" t="s">
        <v>10</v>
      </c>
      <c r="C9099" t="s">
        <v>20</v>
      </c>
      <c r="D9099" t="str">
        <f>HYPERLINK("https://us2.cloudbeds.com/connect/10074733072513#/reservations/31683024056485?display=Nicholas%20Atkocaitis&amp;reservation_id=31683024056485&amp;guest_id=31683024056483", "Nicholas Atkocaitis")</f>
        <v>Nicholas Atkocaitis</v>
      </c>
      <c r="E9099" t="s">
        <v>7531</v>
      </c>
      <c r="F9099" t="s">
        <v>7460</v>
      </c>
      <c r="G9099">
        <v>119</v>
      </c>
      <c r="H9099">
        <v>129.36000000000001</v>
      </c>
      <c r="I9099">
        <v>129.35</v>
      </c>
      <c r="J9099">
        <v>0.01</v>
      </c>
    </row>
    <row r="9100" spans="1:10" x14ac:dyDescent="0.3">
      <c r="A9100" t="str">
        <f>HYPERLINK("https://us2.cloudbeds.com/connect/10074733072513#/reservations/31684834656483?display=MHEVVS5HT&amp;reservation_id=31684834656483", "MHEVVS5HT")</f>
        <v>MHEVVS5HT</v>
      </c>
      <c r="B9100" t="s">
        <v>10</v>
      </c>
      <c r="C9100" t="s">
        <v>42</v>
      </c>
      <c r="D9100" t="str">
        <f>HYPERLINK("https://us2.cloudbeds.com/connect/10074733072513#/reservations/31684834656483?display=Richard%20Illies&amp;reservation_id=31684834656483&amp;guest_id=31684834656481", "Richard Illies")</f>
        <v>Richard Illies</v>
      </c>
      <c r="E9100" t="s">
        <v>7532</v>
      </c>
      <c r="F9100" t="s">
        <v>7460</v>
      </c>
      <c r="G9100">
        <v>99</v>
      </c>
      <c r="H9100">
        <v>107.62</v>
      </c>
      <c r="I9100">
        <v>107.61</v>
      </c>
      <c r="J9100">
        <v>0.01</v>
      </c>
    </row>
    <row r="9101" spans="1:10" x14ac:dyDescent="0.3">
      <c r="A9101" t="str">
        <f>HYPERLINK("https://us2.cloudbeds.com/connect/10074733072513#/reservations/31684890665115?display=MHF0D2MQ5&amp;reservation_id=31684890665115", "MHF0D2MQ5")</f>
        <v>MHF0D2MQ5</v>
      </c>
      <c r="B9101" t="s">
        <v>10</v>
      </c>
      <c r="C9101" t="s">
        <v>42</v>
      </c>
      <c r="D9101" t="str">
        <f>HYPERLINK("https://us2.cloudbeds.com/connect/10074733072513#/reservations/31684890665115?display=Gerimo%20Great%20Plains%20Structure&amp;reservation_id=31684890665115&amp;guest_id=31684890665110", "Gerimo Great Plains Structure")</f>
        <v>Gerimo Great Plains Structure</v>
      </c>
      <c r="E9101" t="s">
        <v>5244</v>
      </c>
      <c r="F9101" t="s">
        <v>7460</v>
      </c>
      <c r="G9101">
        <v>79</v>
      </c>
      <c r="H9101">
        <v>85.88</v>
      </c>
      <c r="I9101">
        <v>85.87</v>
      </c>
      <c r="J9101">
        <v>0.01</v>
      </c>
    </row>
    <row r="9102" spans="1:10" x14ac:dyDescent="0.3">
      <c r="A9102" t="str">
        <f>HYPERLINK("https://us2.cloudbeds.com/connect/10074733072513#/reservations/31683314188493?display=MHDQ3ZTSA&amp;reservation_id=31683314188493", "MHDQ3ZTSA")</f>
        <v>MHDQ3ZTSA</v>
      </c>
      <c r="B9102" t="s">
        <v>10</v>
      </c>
      <c r="C9102" t="s">
        <v>23</v>
      </c>
      <c r="D9102" t="str">
        <f>HYPERLINK("https://us2.cloudbeds.com/connect/10074733072513#/reservations/31683314188493?display=Patrick%20Nate&amp;reservation_id=31683314188493&amp;guest_id=31683305726080", "Patrick Nate")</f>
        <v>Patrick Nate</v>
      </c>
      <c r="E9102" t="s">
        <v>7533</v>
      </c>
      <c r="F9102" t="s">
        <v>5572</v>
      </c>
      <c r="G9102">
        <v>119</v>
      </c>
      <c r="H9102">
        <v>129.36000000000001</v>
      </c>
      <c r="I9102">
        <v>129.35</v>
      </c>
      <c r="J9102">
        <v>0.01</v>
      </c>
    </row>
    <row r="9103" spans="1:10" x14ac:dyDescent="0.3">
      <c r="A9103" t="str">
        <f>HYPERLINK("https://us2.cloudbeds.com/connect/10074733072513#/reservations/31692155900060?display=MHKY1AXXS&amp;reservation_id=31692155900060", "MHKY1AXXS")</f>
        <v>MHKY1AXXS</v>
      </c>
      <c r="B9103" t="s">
        <v>10</v>
      </c>
      <c r="C9103" t="s">
        <v>23</v>
      </c>
      <c r="D9103" t="str">
        <f>HYPERLINK("https://us2.cloudbeds.com/connect/10074733072513#/reservations/31692155900060?display=Alexandria%20Lass&amp;reservation_id=31692155900060&amp;guest_id=31692147257547", "Alexandria Lass")</f>
        <v>Alexandria Lass</v>
      </c>
      <c r="E9103" t="s">
        <v>7535</v>
      </c>
      <c r="F9103" t="s">
        <v>7027</v>
      </c>
      <c r="G9103">
        <v>149</v>
      </c>
      <c r="H9103">
        <v>161.97</v>
      </c>
      <c r="I9103">
        <v>161.96</v>
      </c>
      <c r="J9103">
        <v>0.01</v>
      </c>
    </row>
    <row r="9104" spans="1:10" x14ac:dyDescent="0.3">
      <c r="A9104" t="str">
        <f>HYPERLINK("https://us2.cloudbeds.com/connect/10074733072513#/reservations/31694627733678?display=MHMX6KW7T&amp;reservation_id=31694627733678", "MHMX6KW7T")</f>
        <v>MHMX6KW7T</v>
      </c>
      <c r="B9104" t="s">
        <v>10</v>
      </c>
      <c r="C9104" t="s">
        <v>42</v>
      </c>
      <c r="D9104" t="str">
        <f>HYPERLINK("https://us2.cloudbeds.com/connect/10074733072513#/reservations/31694627733678?display=Angela%20Manwarren&amp;reservation_id=31694627733678&amp;guest_id=31694615900379", "Angela Manwarren")</f>
        <v>Angela Manwarren</v>
      </c>
      <c r="E9104" t="s">
        <v>7536</v>
      </c>
      <c r="F9104" t="s">
        <v>7006</v>
      </c>
      <c r="G9104">
        <v>358</v>
      </c>
      <c r="H9104">
        <v>389.16</v>
      </c>
      <c r="I9104">
        <v>389.15</v>
      </c>
      <c r="J9104">
        <v>0.01</v>
      </c>
    </row>
    <row r="9105" spans="1:10" x14ac:dyDescent="0.3">
      <c r="A9105" t="str">
        <f>HYPERLINK("https://us2.cloudbeds.com/connect/10074733072513#/reservations/31686215585953?display=MHG189XMF&amp;reservation_id=31686215585953", "MHG189XMF")</f>
        <v>MHG189XMF</v>
      </c>
      <c r="B9105" t="s">
        <v>10</v>
      </c>
      <c r="C9105" t="s">
        <v>42</v>
      </c>
      <c r="D9105" t="str">
        <f>HYPERLINK("https://us2.cloudbeds.com/connect/10074733072513#/reservations/31686215585953?display=Josh%20Leth&amp;reservation_id=31686215585953&amp;guest_id=31686215585942", "Josh Leth")</f>
        <v>Josh Leth</v>
      </c>
      <c r="E9105" t="s">
        <v>7537</v>
      </c>
      <c r="F9105" t="s">
        <v>7303</v>
      </c>
      <c r="G9105">
        <v>179</v>
      </c>
      <c r="H9105">
        <v>194.58</v>
      </c>
      <c r="I9105">
        <v>194.57</v>
      </c>
      <c r="J9105">
        <v>0.01</v>
      </c>
    </row>
    <row r="9106" spans="1:10" x14ac:dyDescent="0.3">
      <c r="A9106" t="str">
        <f>HYPERLINK("https://us2.cloudbeds.com/connect/10074733072513#/reservations/31685841698963?display=MHFZN0K3M&amp;reservation_id=31685841698963", "MHFZN0K3M")</f>
        <v>MHFZN0K3M</v>
      </c>
      <c r="B9106" t="s">
        <v>10</v>
      </c>
      <c r="C9106" t="s">
        <v>42</v>
      </c>
      <c r="D9106" t="str">
        <f>HYPERLINK("https://us2.cloudbeds.com/connect/10074733072513#/reservations/31685841698963?display=Guillermo%20Enrique%20Great%20Plains%20Structure&amp;reservation_id=31685841698963&amp;guest_id=31685841694870", "Guillermo Enrique Great Plains Structure")</f>
        <v>Guillermo Enrique Great Plains Structure</v>
      </c>
      <c r="E9106" t="s">
        <v>5244</v>
      </c>
      <c r="F9106" t="s">
        <v>7405</v>
      </c>
      <c r="G9106">
        <v>79</v>
      </c>
      <c r="H9106">
        <v>85.88</v>
      </c>
      <c r="I9106">
        <v>85.87</v>
      </c>
      <c r="J9106">
        <v>0.01</v>
      </c>
    </row>
    <row r="9107" spans="1:10" x14ac:dyDescent="0.3">
      <c r="A9107" t="str">
        <f>HYPERLINK("https://us2.cloudbeds.com/connect/10074733072513#/reservations/31695076405434?display=MHMTYVUMN&amp;reservation_id=31695076405434", "MHMTYVUMN")</f>
        <v>MHMTYVUMN</v>
      </c>
      <c r="B9107" t="s">
        <v>10</v>
      </c>
      <c r="C9107" t="s">
        <v>42</v>
      </c>
      <c r="D9107" t="str">
        <f>HYPERLINK("https://us2.cloudbeds.com/connect/10074733072513#/reservations/31695076405434?display=Angela%20Manwarren&amp;reservation_id=31695076405434&amp;guest_id=31695076405430", "Angela Manwarren")</f>
        <v>Angela Manwarren</v>
      </c>
      <c r="E9107" t="s">
        <v>7077</v>
      </c>
      <c r="F9107" t="s">
        <v>7006</v>
      </c>
      <c r="G9107">
        <v>358</v>
      </c>
      <c r="H9107">
        <v>389.16</v>
      </c>
      <c r="I9107">
        <v>389.15</v>
      </c>
      <c r="J9107">
        <v>0.01</v>
      </c>
    </row>
    <row r="9108" spans="1:10" x14ac:dyDescent="0.3">
      <c r="A9108" t="str">
        <f>HYPERLINK("https://us2.cloudbeds.com/connect/10074733072513#/reservations/31689397076112?display=MHXGX0785&amp;reservation_id=31689397076112", "MHXGX0785")</f>
        <v>MHXGX0785</v>
      </c>
      <c r="B9108" t="s">
        <v>10</v>
      </c>
      <c r="C9108" t="s">
        <v>42</v>
      </c>
      <c r="D9108" t="str">
        <f>HYPERLINK("https://us2.cloudbeds.com/connect/10074733072513#/reservations/31689397076112?display=Carl%20Peterson&amp;reservation_id=31689397076112&amp;guest_id=31683231355111", "Carl Peterson")</f>
        <v>Carl Peterson</v>
      </c>
      <c r="E9108" t="s">
        <v>6943</v>
      </c>
      <c r="F9108" t="s">
        <v>5583</v>
      </c>
      <c r="G9108">
        <v>225</v>
      </c>
      <c r="H9108">
        <v>244.59</v>
      </c>
      <c r="I9108">
        <v>244.58</v>
      </c>
      <c r="J9108">
        <v>0.01</v>
      </c>
    </row>
    <row r="9109" spans="1:10" x14ac:dyDescent="0.3">
      <c r="A9109" t="str">
        <f>HYPERLINK("https://us2.cloudbeds.com/connect/10074733072513#/reservations/31685825741013?display=MHFZ9XXBE&amp;reservation_id=31685825741013", "MHFZ9XXBE")</f>
        <v>MHFZ9XXBE</v>
      </c>
      <c r="B9109" t="s">
        <v>10</v>
      </c>
      <c r="C9109" t="s">
        <v>42</v>
      </c>
      <c r="D9109" t="str">
        <f>HYPERLINK("https://us2.cloudbeds.com/connect/10074733072513#/reservations/31685825741013?display=Alan%20Kuchenbaker&amp;reservation_id=31685825741013&amp;guest_id=31685825741010", "Alan Kuchenbaker")</f>
        <v>Alan Kuchenbaker</v>
      </c>
      <c r="E9109" t="s">
        <v>7538</v>
      </c>
      <c r="F9109" t="s">
        <v>7405</v>
      </c>
      <c r="G9109">
        <v>119</v>
      </c>
      <c r="H9109">
        <v>129.36000000000001</v>
      </c>
      <c r="I9109">
        <v>129.35</v>
      </c>
      <c r="J9109">
        <v>0.01</v>
      </c>
    </row>
    <row r="9110" spans="1:10" x14ac:dyDescent="0.3">
      <c r="A9110" t="str">
        <f>HYPERLINK("https://us2.cloudbeds.com/connect/10074733072513#/reservations/31689378656468?display=MHXG2FYW4&amp;reservation_id=31689378656468", "MHXG2FYW4")</f>
        <v>MHXG2FYW4</v>
      </c>
      <c r="B9110" t="s">
        <v>10</v>
      </c>
      <c r="C9110" t="s">
        <v>42</v>
      </c>
      <c r="D9110" t="str">
        <f>HYPERLINK("https://us2.cloudbeds.com/connect/10074733072513#/reservations/31689378656468?display=Nate%20Stellrecht&amp;reservation_id=31689378656468&amp;guest_id=31685099724991", "Nate Stellrecht")</f>
        <v>Nate Stellrecht</v>
      </c>
      <c r="E9110" t="s">
        <v>7087</v>
      </c>
      <c r="F9110" t="s">
        <v>5583</v>
      </c>
      <c r="G9110">
        <v>225</v>
      </c>
      <c r="H9110">
        <v>244.59</v>
      </c>
      <c r="I9110">
        <v>244.58</v>
      </c>
      <c r="J9110">
        <v>0.01</v>
      </c>
    </row>
    <row r="9111" spans="1:10" x14ac:dyDescent="0.3">
      <c r="A9111" t="str">
        <f>HYPERLINK("https://us2.cloudbeds.com/connect/10074733072513#/reservations/31686557094133?display=MHG9W8HY6&amp;reservation_id=31686557094133", "MHG9W8HY6")</f>
        <v>MHG9W8HY6</v>
      </c>
      <c r="B9111" t="s">
        <v>10</v>
      </c>
      <c r="C9111" t="s">
        <v>23</v>
      </c>
      <c r="D9111" t="str">
        <f>HYPERLINK("https://us2.cloudbeds.com/connect/10074733072513#/reservations/31686557094133?display=Tim%20Pilant&amp;reservation_id=31686557094133&amp;guest_id=31686557094081", "Tim Pilant")</f>
        <v>Tim Pilant</v>
      </c>
      <c r="E9111" t="s">
        <v>7539</v>
      </c>
      <c r="F9111" t="s">
        <v>7167</v>
      </c>
      <c r="G9111">
        <v>129</v>
      </c>
      <c r="H9111">
        <v>140.22999999999999</v>
      </c>
      <c r="I9111">
        <v>140.22</v>
      </c>
      <c r="J9111">
        <v>0.01</v>
      </c>
    </row>
    <row r="9112" spans="1:10" x14ac:dyDescent="0.3">
      <c r="A9112" t="str">
        <f>HYPERLINK("https://us2.cloudbeds.com/connect/10074733072513#/reservations/31691667751120?display=MHK8XN38Z&amp;reservation_id=31691667751120", "MHK8XN38Z")</f>
        <v>MHK8XN38Z</v>
      </c>
      <c r="B9112" t="s">
        <v>10</v>
      </c>
      <c r="C9112" t="s">
        <v>23</v>
      </c>
      <c r="D9112" t="str">
        <f>HYPERLINK("https://us2.cloudbeds.com/connect/10074733072513#/reservations/31691667751120?display=Amanda%20Black&amp;reservation_id=31691667751120&amp;guest_id=31691664076961", "Amanda Black")</f>
        <v>Amanda Black</v>
      </c>
      <c r="E9112" t="s">
        <v>7540</v>
      </c>
      <c r="F9112" t="s">
        <v>6175</v>
      </c>
      <c r="G9112">
        <v>322.2</v>
      </c>
      <c r="H9112">
        <v>350.24</v>
      </c>
      <c r="I9112">
        <v>350.23</v>
      </c>
      <c r="J9112">
        <v>0.01</v>
      </c>
    </row>
    <row r="9113" spans="1:10" x14ac:dyDescent="0.3">
      <c r="A9113" t="str">
        <f>HYPERLINK("https://us2.cloudbeds.com/connect/10074733072513#/reservations/31684046938318?display=MHEBRKZNF&amp;reservation_id=31684046938318", "MHEBRKZNF")</f>
        <v>MHEBRKZNF</v>
      </c>
      <c r="B9113" t="s">
        <v>10</v>
      </c>
      <c r="C9113" t="s">
        <v>42</v>
      </c>
      <c r="D9113" t="str">
        <f>HYPERLINK("https://us2.cloudbeds.com/connect/10074733072513#/reservations/31684046938318?display=Linda%20Vanderwerf&amp;reservation_id=31684046938318&amp;guest_id=31684046938316", "Linda Vanderwerf")</f>
        <v>Linda Vanderwerf</v>
      </c>
      <c r="E9113" t="s">
        <v>7541</v>
      </c>
      <c r="F9113" t="s">
        <v>7372</v>
      </c>
      <c r="G9113">
        <v>139</v>
      </c>
      <c r="H9113">
        <v>151.1</v>
      </c>
      <c r="I9113">
        <v>151.09</v>
      </c>
      <c r="J9113">
        <v>0.01</v>
      </c>
    </row>
    <row r="9114" spans="1:10" x14ac:dyDescent="0.3">
      <c r="A9114" t="str">
        <f>HYPERLINK("https://us2.cloudbeds.com/connect/10074733072513#/reservations/31686510629010?display=MHG8Q2XV5&amp;reservation_id=31686510629010", "MHG8Q2XV5")</f>
        <v>MHG8Q2XV5</v>
      </c>
      <c r="B9114" t="s">
        <v>10</v>
      </c>
      <c r="C9114" t="s">
        <v>121</v>
      </c>
      <c r="D9114" t="str">
        <f>HYPERLINK("https://us2.cloudbeds.com/connect/10074733072513#/reservations/31686510629010?display=Nickolas%20Greiner&amp;reservation_id=31686510629010&amp;guest_id=31686510629006", "Nickolas Greiner")</f>
        <v>Nickolas Greiner</v>
      </c>
      <c r="E9114" t="s">
        <v>7543</v>
      </c>
      <c r="F9114" t="s">
        <v>7167</v>
      </c>
      <c r="G9114">
        <v>150</v>
      </c>
      <c r="H9114">
        <v>163.06</v>
      </c>
      <c r="I9114">
        <v>163.05000000000001</v>
      </c>
      <c r="J9114">
        <v>0.01</v>
      </c>
    </row>
    <row r="9115" spans="1:10" x14ac:dyDescent="0.3">
      <c r="A9115" t="str">
        <f>HYPERLINK("https://us2.cloudbeds.com/connect/10074733072513#/reservations/31689442898062?display=MHXHNY9B3&amp;reservation_id=31689442898062", "MHXHNY9B3")</f>
        <v>MHXHNY9B3</v>
      </c>
      <c r="B9115" t="s">
        <v>10</v>
      </c>
      <c r="C9115" t="s">
        <v>23</v>
      </c>
      <c r="D9115" t="str">
        <f>HYPERLINK("https://us2.cloudbeds.com/connect/10074733072513#/reservations/31689442898062?display=Elvin%20Tado&amp;reservation_id=31689442898062&amp;guest_id=31689442898057", "Elvin Tado")</f>
        <v>Elvin Tado</v>
      </c>
      <c r="E9115" t="s">
        <v>7546</v>
      </c>
      <c r="F9115" t="s">
        <v>5583</v>
      </c>
      <c r="G9115">
        <v>129</v>
      </c>
      <c r="H9115">
        <v>140.22999999999999</v>
      </c>
      <c r="I9115">
        <v>140.22</v>
      </c>
      <c r="J9115">
        <v>0.01</v>
      </c>
    </row>
    <row r="9116" spans="1:10" x14ac:dyDescent="0.3">
      <c r="A9116" t="str">
        <f>HYPERLINK("https://us2.cloudbeds.com/connect/10074733072513#/reservations/31692743561370?display=MHY31S3FB&amp;reservation_id=31692743561370", "MHY31S3FB")</f>
        <v>MHY31S3FB</v>
      </c>
      <c r="B9116" t="s">
        <v>10</v>
      </c>
      <c r="C9116" t="s">
        <v>42</v>
      </c>
      <c r="D9116" t="str">
        <f>HYPERLINK("https://us2.cloudbeds.com/connect/10074733072513#/reservations/31692743561370?display=Abigail%20Bruins&amp;reservation_id=31692743561370&amp;guest_id=31692736864448", "Abigail Bruins")</f>
        <v>Abigail Bruins</v>
      </c>
      <c r="E9116" t="s">
        <v>7547</v>
      </c>
      <c r="F9116" t="s">
        <v>7426</v>
      </c>
      <c r="G9116">
        <v>119</v>
      </c>
      <c r="H9116">
        <v>129.36000000000001</v>
      </c>
      <c r="I9116">
        <v>129.35</v>
      </c>
      <c r="J9116">
        <v>0.01</v>
      </c>
    </row>
    <row r="9117" spans="1:10" x14ac:dyDescent="0.3">
      <c r="A9117" t="str">
        <f>HYPERLINK("https://us2.cloudbeds.com/connect/10074733072513#/reservations/31686538453244?display=MHG9GHR6P&amp;reservation_id=31686538453244", "MHG9GHR6P")</f>
        <v>MHG9GHR6P</v>
      </c>
      <c r="B9117" t="s">
        <v>10</v>
      </c>
      <c r="C9117" t="s">
        <v>42</v>
      </c>
      <c r="D9117" t="str">
        <f>HYPERLINK("https://us2.cloudbeds.com/connect/10074733072513#/reservations/31686538453244?display=Lesly%20Midhquiri&amp;reservation_id=31686538453244&amp;guest_id=31686538453239", "Lesly Midhquiri")</f>
        <v>Lesly Midhquiri</v>
      </c>
      <c r="E9117" t="s">
        <v>7548</v>
      </c>
      <c r="F9117" t="s">
        <v>7167</v>
      </c>
      <c r="G9117">
        <v>99</v>
      </c>
      <c r="H9117">
        <v>107.62</v>
      </c>
      <c r="I9117">
        <v>107.61</v>
      </c>
      <c r="J9117">
        <v>0.01</v>
      </c>
    </row>
    <row r="9118" spans="1:10" x14ac:dyDescent="0.3">
      <c r="A9118" t="str">
        <f>HYPERLINK("https://us2.cloudbeds.com/connect/10074733072513#/reservations/31690148393187?display=MHJ2ZHNU8&amp;reservation_id=31690148393187", "MHJ2ZHNU8")</f>
        <v>MHJ2ZHNU8</v>
      </c>
      <c r="B9118" t="s">
        <v>10</v>
      </c>
      <c r="C9118" t="s">
        <v>42</v>
      </c>
      <c r="D9118" t="str">
        <f>HYPERLINK("https://us2.cloudbeds.com/connect/10074733072513#/reservations/31690148393187?display=Rick%20Hurd&amp;reservation_id=31690148393187&amp;guest_id=31680841072768", "Rick Hurd")</f>
        <v>Rick Hurd</v>
      </c>
      <c r="E9118" t="s">
        <v>6824</v>
      </c>
      <c r="F9118" t="s">
        <v>7331</v>
      </c>
      <c r="G9118">
        <v>258</v>
      </c>
      <c r="H9118">
        <v>280.45999999999998</v>
      </c>
      <c r="I9118">
        <v>280.45</v>
      </c>
      <c r="J9118">
        <v>0.01</v>
      </c>
    </row>
    <row r="9119" spans="1:10" x14ac:dyDescent="0.3">
      <c r="A9119" t="str">
        <f>HYPERLINK("https://us2.cloudbeds.com/connect/10074733072513#/reservations/31690179563651?display=MHJ3HR2UN&amp;reservation_id=31690179563651", "MHJ3HR2UN")</f>
        <v>MHJ3HR2UN</v>
      </c>
      <c r="B9119" t="s">
        <v>10</v>
      </c>
      <c r="C9119" t="s">
        <v>42</v>
      </c>
      <c r="D9119" t="str">
        <f>HYPERLINK("https://us2.cloudbeds.com/connect/10074733072513#/reservations/31690179563651?display=Russ%20Furby&amp;reservation_id=31690179563651&amp;guest_id=31690171756771", "Russ Furby")</f>
        <v>Russ Furby</v>
      </c>
      <c r="E9119" t="s">
        <v>7549</v>
      </c>
      <c r="F9119" t="s">
        <v>7331</v>
      </c>
      <c r="G9119">
        <v>179</v>
      </c>
      <c r="H9119">
        <v>194.58</v>
      </c>
      <c r="I9119">
        <v>194.57</v>
      </c>
      <c r="J9119">
        <v>0.01</v>
      </c>
    </row>
    <row r="9120" spans="1:10" x14ac:dyDescent="0.3">
      <c r="A9120" t="str">
        <f>HYPERLINK("https://us2.cloudbeds.com/connect/10074733072513#/reservations/31690771005645?display=MHJXYHRHE&amp;reservation_id=31690771005645", "MHJXYHRHE")</f>
        <v>MHJXYHRHE</v>
      </c>
      <c r="B9120" t="s">
        <v>10</v>
      </c>
      <c r="C9120" t="s">
        <v>42</v>
      </c>
      <c r="D9120" t="str">
        <f>HYPERLINK("https://us2.cloudbeds.com/connect/10074733072513#/reservations/31690771005645?display=Arthur%20Owen%20Mack&amp;reservation_id=31690771005645&amp;guest_id=31685221609605", "Arthur Owen Mack")</f>
        <v>Arthur Owen Mack</v>
      </c>
      <c r="E9120" t="s">
        <v>7181</v>
      </c>
      <c r="F9120" t="s">
        <v>5593</v>
      </c>
      <c r="G9120">
        <v>139</v>
      </c>
      <c r="H9120">
        <v>151.1</v>
      </c>
      <c r="I9120">
        <v>151.09</v>
      </c>
      <c r="J9120">
        <v>0.01</v>
      </c>
    </row>
    <row r="9121" spans="1:10" x14ac:dyDescent="0.3">
      <c r="A9121" t="str">
        <f>HYPERLINK("https://us2.cloudbeds.com/connect/10074733072513#/reservations/31691741208704?display=MHKAEY1NV&amp;reservation_id=31691741208704", "MHKAEY1NV")</f>
        <v>MHKAEY1NV</v>
      </c>
      <c r="B9121" t="s">
        <v>10</v>
      </c>
      <c r="C9121" t="s">
        <v>42</v>
      </c>
      <c r="D9121" t="str">
        <f>HYPERLINK("https://us2.cloudbeds.com/connect/10074733072513#/reservations/31691741208704?display=Dwayne%20Brown&amp;reservation_id=31691741208704&amp;guest_id=31691741204656", "Dwayne Brown")</f>
        <v>Dwayne Brown</v>
      </c>
      <c r="E9121" t="s">
        <v>7550</v>
      </c>
      <c r="F9121" t="s">
        <v>5593</v>
      </c>
      <c r="G9121">
        <v>73</v>
      </c>
      <c r="H9121">
        <v>79.36</v>
      </c>
      <c r="I9121">
        <v>79.349999999999994</v>
      </c>
      <c r="J9121">
        <v>0.01</v>
      </c>
    </row>
    <row r="9122" spans="1:10" x14ac:dyDescent="0.3">
      <c r="A9122" t="str">
        <f>HYPERLINK("https://us2.cloudbeds.com/connect/10074733072513#/reservations/31690711122121?display=MHJH41G26&amp;reservation_id=31690711122121", "MHJH41G26")</f>
        <v>MHJH41G26</v>
      </c>
      <c r="B9122" t="s">
        <v>10</v>
      </c>
      <c r="C9122" t="s">
        <v>121</v>
      </c>
      <c r="D9122" t="str">
        <f>HYPERLINK("https://us2.cloudbeds.com/connect/10074733072513#/reservations/31690711122121?display=Scott%20Dries&amp;reservation_id=31690711122121&amp;guest_id=31690711118020", "Scott Dries")</f>
        <v>Scott Dries</v>
      </c>
      <c r="E9122" t="s">
        <v>7551</v>
      </c>
      <c r="F9122" t="s">
        <v>5593</v>
      </c>
      <c r="G9122">
        <v>169</v>
      </c>
      <c r="H9122">
        <v>183.71</v>
      </c>
      <c r="I9122">
        <v>183.7</v>
      </c>
      <c r="J9122">
        <v>0.01</v>
      </c>
    </row>
    <row r="9123" spans="1:10" x14ac:dyDescent="0.3">
      <c r="A9123" t="str">
        <f>HYPERLINK("https://us2.cloudbeds.com/connect/10074733072513#/reservations/31690128662679?display=MHJ27TMU2&amp;reservation_id=31690128662679", "MHJ27TMU2")</f>
        <v>MHJ27TMU2</v>
      </c>
      <c r="B9123" t="s">
        <v>10</v>
      </c>
      <c r="C9123" t="s">
        <v>17</v>
      </c>
      <c r="D9123" t="str">
        <f>HYPERLINK("https://us2.cloudbeds.com/connect/10074733072513#/reservations/31690128662679?display=Jerome%20Nesheim&amp;reservation_id=31690128662679&amp;guest_id=31687987245233", "Jerome Nesheim")</f>
        <v>Jerome Nesheim</v>
      </c>
      <c r="E9123" t="s">
        <v>7552</v>
      </c>
      <c r="F9123" t="s">
        <v>7331</v>
      </c>
      <c r="G9123">
        <v>149</v>
      </c>
      <c r="H9123">
        <v>161.97</v>
      </c>
      <c r="I9123">
        <v>161.96</v>
      </c>
      <c r="J9123">
        <v>0.01</v>
      </c>
    </row>
    <row r="9124" spans="1:10" x14ac:dyDescent="0.3">
      <c r="A9124" t="str">
        <f>HYPERLINK("https://us2.cloudbeds.com/connect/10074733072513#/reservations/31686907408557?display=MHGXUYX4P&amp;reservation_id=31686907408557", "MHGXUYX4P")</f>
        <v>MHGXUYX4P</v>
      </c>
      <c r="B9124" t="s">
        <v>10</v>
      </c>
      <c r="C9124" t="s">
        <v>23</v>
      </c>
      <c r="D9124" t="str">
        <f>HYPERLINK("https://us2.cloudbeds.com/connect/10074733072513#/reservations/31686907408557?display=Bryan%20Dixon&amp;reservation_id=31686907408557&amp;guest_id=31686895448286", "Bryan Dixon")</f>
        <v>Bryan Dixon</v>
      </c>
      <c r="E9124" t="s">
        <v>7553</v>
      </c>
      <c r="F9124" t="s">
        <v>7211</v>
      </c>
      <c r="G9124">
        <v>119</v>
      </c>
      <c r="H9124">
        <v>129.36000000000001</v>
      </c>
      <c r="I9124">
        <v>129.35</v>
      </c>
      <c r="J9124">
        <v>0.01</v>
      </c>
    </row>
    <row r="9125" spans="1:10" x14ac:dyDescent="0.3">
      <c r="A9125" t="str">
        <f>HYPERLINK("https://us2.cloudbeds.com/connect/10074733072513#/reservations/31686617645215?display=MHGBHAF3F&amp;reservation_id=31686617645215", "MHGBHAF3F")</f>
        <v>MHGBHAF3F</v>
      </c>
      <c r="B9125" t="s">
        <v>10</v>
      </c>
      <c r="C9125" t="s">
        <v>121</v>
      </c>
      <c r="D9125" t="str">
        <f>HYPERLINK("https://us2.cloudbeds.com/connect/10074733072513#/reservations/31686617645215?display=Shawn%20Vanderveer&amp;reservation_id=31686617645215&amp;guest_id=31686612537577", "Shawn Vanderveer")</f>
        <v>Shawn Vanderveer</v>
      </c>
      <c r="E9125" t="s">
        <v>7554</v>
      </c>
      <c r="F9125" t="s">
        <v>5583</v>
      </c>
      <c r="G9125">
        <v>119</v>
      </c>
      <c r="H9125">
        <v>129.36000000000001</v>
      </c>
      <c r="I9125">
        <v>129.35</v>
      </c>
      <c r="J9125">
        <v>0.01</v>
      </c>
    </row>
    <row r="9126" spans="1:10" x14ac:dyDescent="0.3">
      <c r="A9126" t="str">
        <f>HYPERLINK("https://us2.cloudbeds.com/connect/10074733072513#/reservations/31687600636138?display=MHH3Y6KP6&amp;reservation_id=31687600636138", "MHH3Y6KP6")</f>
        <v>MHH3Y6KP6</v>
      </c>
      <c r="B9126" t="s">
        <v>10</v>
      </c>
      <c r="C9126" t="s">
        <v>23</v>
      </c>
      <c r="D9126" t="str">
        <f>HYPERLINK("https://us2.cloudbeds.com/connect/10074733072513#/reservations/31687600636138?display=Darrel%20Twiss&amp;reservation_id=31687600636138&amp;guest_id=31687600636134", "Darrel Twiss")</f>
        <v>Darrel Twiss</v>
      </c>
      <c r="E9126" t="s">
        <v>7555</v>
      </c>
      <c r="F9126" t="s">
        <v>5822</v>
      </c>
      <c r="G9126">
        <v>358</v>
      </c>
      <c r="H9126">
        <v>389.16</v>
      </c>
      <c r="I9126">
        <v>389.15</v>
      </c>
      <c r="J9126">
        <v>0.01</v>
      </c>
    </row>
    <row r="9127" spans="1:10" x14ac:dyDescent="0.3">
      <c r="A9127" t="str">
        <f>HYPERLINK("https://us2.cloudbeds.com/connect/10074733072513#/reservations/31690171752664?display=MHJ34GFQP&amp;reservation_id=31690171752664", "MHJ34GFQP")</f>
        <v>MHJ34GFQP</v>
      </c>
      <c r="B9127" t="s">
        <v>10</v>
      </c>
      <c r="C9127" t="s">
        <v>42</v>
      </c>
      <c r="D9127" t="str">
        <f>HYPERLINK("https://us2.cloudbeds.com/connect/10074733072513#/reservations/31690171752664?display=Cory%20Atchison&amp;reservation_id=31690171752664&amp;guest_id=31677010882767", "Cory Atchison")</f>
        <v>Cory Atchison</v>
      </c>
      <c r="E9127" t="s">
        <v>7556</v>
      </c>
      <c r="F9127" t="s">
        <v>7331</v>
      </c>
      <c r="G9127">
        <v>149</v>
      </c>
      <c r="H9127">
        <v>161.97</v>
      </c>
      <c r="I9127">
        <v>161.96</v>
      </c>
      <c r="J9127">
        <v>0.01</v>
      </c>
    </row>
    <row r="9128" spans="1:10" x14ac:dyDescent="0.3">
      <c r="A9128" t="str">
        <f>HYPERLINK("https://us2.cloudbeds.com/connect/10074733072513#/reservations/31690128658563?display=MHJ27TJ4B&amp;reservation_id=31690128658563", "MHJ27TJ4B")</f>
        <v>MHJ27TJ4B</v>
      </c>
      <c r="B9128" t="s">
        <v>10</v>
      </c>
      <c r="C9128" t="s">
        <v>23</v>
      </c>
      <c r="D9128" t="str">
        <f>HYPERLINK("https://us2.cloudbeds.com/connect/10074733072513#/reservations/31690128658563?display=Carna%20Hoglund&amp;reservation_id=31690128658563&amp;guest_id=31690111459569", "Carna Hoglund")</f>
        <v>Carna Hoglund</v>
      </c>
      <c r="E9128" t="s">
        <v>7560</v>
      </c>
      <c r="F9128" t="s">
        <v>7331</v>
      </c>
      <c r="G9128">
        <v>149</v>
      </c>
      <c r="H9128">
        <v>161.97</v>
      </c>
      <c r="I9128">
        <v>161.96</v>
      </c>
      <c r="J9128">
        <v>0.01</v>
      </c>
    </row>
    <row r="9129" spans="1:10" x14ac:dyDescent="0.3">
      <c r="A9129" t="str">
        <f>HYPERLINK("https://us2.cloudbeds.com/connect/10074733072513#/reservations/31685895700688?display=MHFQ2X9FJ&amp;reservation_id=31685895700688", "MHFQ2X9FJ")</f>
        <v>MHFQ2X9FJ</v>
      </c>
      <c r="B9129" t="s">
        <v>10</v>
      </c>
      <c r="C9129" t="s">
        <v>23</v>
      </c>
      <c r="D9129" t="str">
        <f>HYPERLINK("https://us2.cloudbeds.com/connect/10074733072513#/reservations/31685895700688?display=Dean%20Jacobson&amp;reservation_id=31685895700688&amp;guest_id=31685895696592", "Dean Jacobson")</f>
        <v>Dean Jacobson</v>
      </c>
      <c r="E9129" t="s">
        <v>7561</v>
      </c>
      <c r="F9129" t="s">
        <v>7331</v>
      </c>
      <c r="G9129">
        <v>159</v>
      </c>
      <c r="H9129">
        <v>172.84</v>
      </c>
      <c r="I9129">
        <v>172.83</v>
      </c>
      <c r="J9129">
        <v>0.01</v>
      </c>
    </row>
    <row r="9130" spans="1:10" x14ac:dyDescent="0.3">
      <c r="A9130" t="str">
        <f>HYPERLINK("https://us2.cloudbeds.com/connect/10074733072513#/reservations/31695100469453?display=MHMU98X1D&amp;reservation_id=31695100469453", "MHMU98X1D")</f>
        <v>MHMU98X1D</v>
      </c>
      <c r="B9130" t="s">
        <v>10</v>
      </c>
      <c r="C9130" t="s">
        <v>42</v>
      </c>
      <c r="D9130" t="str">
        <f>HYPERLINK("https://us2.cloudbeds.com/connect/10074733072513#/reservations/31695100469453?display=Patty%20Zeigler&amp;reservation_id=31695100469453&amp;guest_id=31695094808735", "Patty Zeigler")</f>
        <v>Patty Zeigler</v>
      </c>
      <c r="E9130" t="s">
        <v>7077</v>
      </c>
      <c r="F9130" t="s">
        <v>7006</v>
      </c>
      <c r="G9130">
        <v>139</v>
      </c>
      <c r="H9130">
        <v>151.1</v>
      </c>
      <c r="I9130">
        <v>151.09</v>
      </c>
      <c r="J9130">
        <v>0.01</v>
      </c>
    </row>
    <row r="9131" spans="1:10" x14ac:dyDescent="0.3">
      <c r="A9131" t="str">
        <f>HYPERLINK("https://us2.cloudbeds.com/connect/10074733072513#/reservations/31692769935539?display=MHY3Z305J&amp;reservation_id=31692769935539", "MHY3Z305J")</f>
        <v>MHY3Z305J</v>
      </c>
      <c r="B9131" t="s">
        <v>10</v>
      </c>
      <c r="C9131" t="s">
        <v>20</v>
      </c>
      <c r="D9131" t="str">
        <f>HYPERLINK("https://us2.cloudbeds.com/connect/10074733072513#/reservations/31692769935539?display=Sandra%20Vazquez&amp;reservation_id=31692769935539&amp;guest_id=31692755468507", "Sandra Vazquez")</f>
        <v>Sandra Vazquez</v>
      </c>
      <c r="E9131" t="s">
        <v>7562</v>
      </c>
      <c r="F9131" t="s">
        <v>7027</v>
      </c>
      <c r="G9131">
        <v>169</v>
      </c>
      <c r="H9131">
        <v>183.71</v>
      </c>
      <c r="I9131">
        <v>183.7</v>
      </c>
      <c r="J9131">
        <v>0.01</v>
      </c>
    </row>
    <row r="9132" spans="1:10" x14ac:dyDescent="0.3">
      <c r="A9132" t="str">
        <f>HYPERLINK("https://us2.cloudbeds.com/connect/10074733072513#/reservations/31690701627630?display=MHJGT19HB&amp;reservation_id=31690701627630", "MHJGT19HB")</f>
        <v>MHJGT19HB</v>
      </c>
      <c r="B9132" t="s">
        <v>10</v>
      </c>
      <c r="C9132" t="s">
        <v>121</v>
      </c>
      <c r="D9132" t="str">
        <f>HYPERLINK("https://us2.cloudbeds.com/connect/10074733072513#/reservations/31690701627630?display=Daniel%20Patch&amp;reservation_id=31690701627630&amp;guest_id=31690701627625", "Daniel Patch")</f>
        <v>Daniel Patch</v>
      </c>
      <c r="E9132" t="s">
        <v>7565</v>
      </c>
      <c r="F9132" t="s">
        <v>5593</v>
      </c>
      <c r="G9132">
        <v>159</v>
      </c>
      <c r="H9132">
        <v>172.84</v>
      </c>
      <c r="I9132">
        <v>172.83</v>
      </c>
      <c r="J9132">
        <v>0.01</v>
      </c>
    </row>
    <row r="9133" spans="1:10" x14ac:dyDescent="0.3">
      <c r="A9133" t="str">
        <f>HYPERLINK("https://us2.cloudbeds.com/connect/10074733072513#/reservations/31685913297026?display=MHFQHCUNV&amp;reservation_id=31685913297026", "MHFQHCUNV")</f>
        <v>MHFQHCUNV</v>
      </c>
      <c r="B9133" t="s">
        <v>10</v>
      </c>
      <c r="C9133" t="s">
        <v>42</v>
      </c>
      <c r="D9133" t="str">
        <f>HYPERLINK("https://us2.cloudbeds.com/connect/10074733072513#/reservations/31685913297026?display=Errol%20Soto&amp;reservation_id=31685913297026&amp;guest_id=31685904138409", "Errol Soto")</f>
        <v>Errol Soto</v>
      </c>
      <c r="E9133" t="s">
        <v>7569</v>
      </c>
      <c r="F9133" t="s">
        <v>5822</v>
      </c>
      <c r="G9133">
        <v>73</v>
      </c>
      <c r="H9133">
        <v>79.36</v>
      </c>
      <c r="I9133">
        <v>79.349999999999994</v>
      </c>
      <c r="J9133">
        <v>0.01</v>
      </c>
    </row>
    <row r="9134" spans="1:10" x14ac:dyDescent="0.3">
      <c r="A9134" t="str">
        <f>HYPERLINK("https://us2.cloudbeds.com/connect/10074733072513#/reservations/31683662278813?display=MHE20910R&amp;reservation_id=31683662278813", "MHE20910R")</f>
        <v>MHE20910R</v>
      </c>
      <c r="B9134" t="s">
        <v>10</v>
      </c>
      <c r="C9134" t="s">
        <v>121</v>
      </c>
      <c r="D9134" t="str">
        <f>HYPERLINK("https://us2.cloudbeds.com/connect/10074733072513#/reservations/31683662278813?display=Kyle%20Gratke&amp;reservation_id=31683662278813&amp;guest_id=31683662278803", "Kyle Gratke")</f>
        <v>Kyle Gratke</v>
      </c>
      <c r="E9134" t="s">
        <v>7570</v>
      </c>
      <c r="F9134" t="s">
        <v>5822</v>
      </c>
      <c r="G9134">
        <v>149</v>
      </c>
      <c r="H9134">
        <v>161.97</v>
      </c>
      <c r="I9134">
        <v>161.96</v>
      </c>
      <c r="J9134">
        <v>0.01</v>
      </c>
    </row>
    <row r="9135" spans="1:10" x14ac:dyDescent="0.3">
      <c r="A9135" t="str">
        <f>HYPERLINK("https://us2.cloudbeds.com/connect/10074733072513#/reservations/31691575857322?display=MHK6770K6&amp;reservation_id=31691575857322", "MHK6770K6")</f>
        <v>MHK6770K6</v>
      </c>
      <c r="B9135" t="s">
        <v>10</v>
      </c>
      <c r="C9135" t="s">
        <v>42</v>
      </c>
      <c r="D9135" t="str">
        <f>HYPERLINK("https://us2.cloudbeds.com/connect/10074733072513#/reservations/31691575857322?display=Paul%20Hemann&amp;reservation_id=31691575857322&amp;guest_id=31691575857320", "Paul Hemann")</f>
        <v>Paul Hemann</v>
      </c>
      <c r="E9135" t="s">
        <v>7571</v>
      </c>
      <c r="F9135" t="s">
        <v>7372</v>
      </c>
      <c r="G9135">
        <v>139</v>
      </c>
      <c r="H9135">
        <v>151.1</v>
      </c>
      <c r="I9135">
        <v>151.09</v>
      </c>
      <c r="J9135">
        <v>0.01</v>
      </c>
    </row>
    <row r="9136" spans="1:10" x14ac:dyDescent="0.3">
      <c r="A9136" t="str">
        <f>HYPERLINK("https://us2.cloudbeds.com/connect/10074733072513#/reservations/31685735506068?display=MHFYWFKW5&amp;reservation_id=31685735506068", "MHFYWFKW5")</f>
        <v>MHFYWFKW5</v>
      </c>
      <c r="B9136" t="s">
        <v>10</v>
      </c>
      <c r="C9136" t="s">
        <v>23</v>
      </c>
      <c r="D9136" t="str">
        <f>HYPERLINK("https://us2.cloudbeds.com/connect/10074733072513#/reservations/31685735506068?display=Claudia%20Ramirez&amp;reservation_id=31685735506068&amp;guest_id=31685727002756", "Claudia Ramirez")</f>
        <v>Claudia Ramirez</v>
      </c>
      <c r="E9136" t="s">
        <v>7572</v>
      </c>
      <c r="F9136" t="s">
        <v>4181</v>
      </c>
      <c r="G9136">
        <v>159</v>
      </c>
      <c r="H9136">
        <v>172.84</v>
      </c>
      <c r="I9136">
        <v>172.83</v>
      </c>
      <c r="J9136">
        <v>0.01</v>
      </c>
    </row>
    <row r="9137" spans="1:10" x14ac:dyDescent="0.3">
      <c r="A9137" t="str">
        <f>HYPERLINK("https://us2.cloudbeds.com/connect/10074733072513#/reservations/31685617279168?display=MHFXVPMKY&amp;reservation_id=31685617279168", "MHFXVPMKY")</f>
        <v>MHFXVPMKY</v>
      </c>
      <c r="B9137" t="s">
        <v>10</v>
      </c>
      <c r="C9137" t="s">
        <v>121</v>
      </c>
      <c r="D9137" t="str">
        <f>HYPERLINK("https://us2.cloudbeds.com/connect/10074733072513#/reservations/31685617279168?display=Maunuel%20Pinto%20Brizuela&amp;reservation_id=31685617279168&amp;guest_id=31685617275073", "Maunuel Pinto Brizuela")</f>
        <v>Maunuel Pinto Brizuela</v>
      </c>
      <c r="E9137" t="s">
        <v>7573</v>
      </c>
      <c r="F9137" t="s">
        <v>7424</v>
      </c>
      <c r="G9137">
        <v>119</v>
      </c>
      <c r="H9137">
        <v>129.36000000000001</v>
      </c>
      <c r="I9137">
        <v>129.35</v>
      </c>
      <c r="J9137">
        <v>0.01</v>
      </c>
    </row>
    <row r="9138" spans="1:10" x14ac:dyDescent="0.3">
      <c r="A9138" t="str">
        <f>HYPERLINK("https://us2.cloudbeds.com/connect/10074733072513#/reservations/31684037271736?display=MHEBJFP4Z&amp;reservation_id=31684037271736", "MHEBJFP4Z")</f>
        <v>MHEBJFP4Z</v>
      </c>
      <c r="B9138" t="s">
        <v>10</v>
      </c>
      <c r="C9138" t="s">
        <v>42</v>
      </c>
      <c r="D9138" t="str">
        <f>HYPERLINK("https://us2.cloudbeds.com/connect/10074733072513#/reservations/31684037271736?display=Brittany%20Bueckers&amp;reservation_id=31684037271736&amp;guest_id=31684037271734", "Brittany Bueckers")</f>
        <v>Brittany Bueckers</v>
      </c>
      <c r="E9138" t="s">
        <v>7574</v>
      </c>
      <c r="F9138" t="s">
        <v>7372</v>
      </c>
      <c r="G9138">
        <v>139</v>
      </c>
      <c r="H9138">
        <v>151.1</v>
      </c>
      <c r="I9138">
        <v>151.09</v>
      </c>
      <c r="J9138">
        <v>0.01</v>
      </c>
    </row>
    <row r="9139" spans="1:10" x14ac:dyDescent="0.3">
      <c r="A9139" t="str">
        <f>HYPERLINK("https://us2.cloudbeds.com/connect/10074733072513#/reservations/31685623902344?display=MHFJ4C374&amp;reservation_id=31685623902344", "MHFJ4C374")</f>
        <v>MHFJ4C374</v>
      </c>
      <c r="B9139" t="s">
        <v>10</v>
      </c>
      <c r="C9139" t="s">
        <v>23</v>
      </c>
      <c r="D9139" t="str">
        <f>HYPERLINK("https://us2.cloudbeds.com/connect/10074733072513#/reservations/31685623902344?display=Pat%20Leitheiser&amp;reservation_id=31685623902344&amp;guest_id=31685623898264", "Pat Leitheiser")</f>
        <v>Pat Leitheiser</v>
      </c>
      <c r="E9139" t="s">
        <v>7575</v>
      </c>
      <c r="F9139" t="s">
        <v>7424</v>
      </c>
      <c r="G9139">
        <v>119</v>
      </c>
      <c r="H9139">
        <v>129.36000000000001</v>
      </c>
      <c r="I9139">
        <v>129.35</v>
      </c>
      <c r="J9139">
        <v>0.01</v>
      </c>
    </row>
    <row r="9140" spans="1:10" x14ac:dyDescent="0.3">
      <c r="A9140" t="str">
        <f>HYPERLINK("https://us2.cloudbeds.com/connect/10074733072513#/reservations/31686960447713?display=MHGK9CEJV&amp;reservation_id=31686960447713", "MHGK9CEJV")</f>
        <v>MHGK9CEJV</v>
      </c>
      <c r="B9140" t="s">
        <v>10</v>
      </c>
      <c r="C9140" t="s">
        <v>42</v>
      </c>
      <c r="D9140" t="str">
        <f>HYPERLINK("https://us2.cloudbeds.com/connect/10074733072513#/reservations/31686960447713?display=Becky%20Poehls&amp;reservation_id=31686960447713&amp;guest_id=31686949724368", "Becky Poehls")</f>
        <v>Becky Poehls</v>
      </c>
      <c r="E9140" t="s">
        <v>7577</v>
      </c>
      <c r="F9140" t="s">
        <v>7268</v>
      </c>
      <c r="G9140">
        <v>109</v>
      </c>
      <c r="H9140">
        <v>118.49</v>
      </c>
      <c r="I9140">
        <v>118.48</v>
      </c>
      <c r="J9140">
        <v>0.01</v>
      </c>
    </row>
    <row r="9141" spans="1:10" x14ac:dyDescent="0.3">
      <c r="A9141" t="str">
        <f>HYPERLINK("https://us2.cloudbeds.com/connect/10074733072513#/reservations/31687962284238?display=MHHCT50MH&amp;reservation_id=31687962284238", "MHHCT50MH")</f>
        <v>MHHCT50MH</v>
      </c>
      <c r="B9141" t="s">
        <v>10</v>
      </c>
      <c r="C9141" t="s">
        <v>42</v>
      </c>
      <c r="D9141" t="str">
        <f>HYPERLINK("https://us2.cloudbeds.com/connect/10074733072513#/reservations/31687962284238?display=Tami%20Burkhart&amp;reservation_id=31687962284238&amp;guest_id=31687962284236", "Tami Burkhart")</f>
        <v>Tami Burkhart</v>
      </c>
      <c r="E9141" t="s">
        <v>7578</v>
      </c>
      <c r="F9141" t="s">
        <v>7027</v>
      </c>
      <c r="G9141">
        <v>149</v>
      </c>
      <c r="H9141">
        <v>161.97</v>
      </c>
      <c r="I9141">
        <v>161.96</v>
      </c>
      <c r="J9141">
        <v>0.01</v>
      </c>
    </row>
    <row r="9142" spans="1:10" x14ac:dyDescent="0.3">
      <c r="A9142" t="str">
        <f>HYPERLINK("https://us2.cloudbeds.com/connect/10074733072513#/reservations/31684084351168?display=MHECAGJC9&amp;reservation_id=31684084351168", "MHECAGJC9")</f>
        <v>MHECAGJC9</v>
      </c>
      <c r="B9142" t="s">
        <v>10</v>
      </c>
      <c r="C9142" t="s">
        <v>42</v>
      </c>
      <c r="D9142" t="str">
        <f>HYPERLINK("https://us2.cloudbeds.com/connect/10074733072513#/reservations/31684084351168?display=Rhonda%20Roe&amp;reservation_id=31684084351168&amp;guest_id=31684065763490", "Rhonda Roe")</f>
        <v>Rhonda Roe</v>
      </c>
      <c r="E9142" t="s">
        <v>4035</v>
      </c>
      <c r="F9142" t="s">
        <v>7372</v>
      </c>
      <c r="G9142">
        <v>139</v>
      </c>
      <c r="H9142">
        <v>151.1</v>
      </c>
      <c r="I9142">
        <v>151.09</v>
      </c>
      <c r="J9142">
        <v>0.01</v>
      </c>
    </row>
    <row r="9143" spans="1:10" x14ac:dyDescent="0.3">
      <c r="A9143" t="str">
        <f>HYPERLINK("https://us2.cloudbeds.com/connect/10074733072513#/reservations/31687992721622?display=MHHDYQWHG&amp;reservation_id=31687992721622", "MHHDYQWHG")</f>
        <v>MHHDYQWHG</v>
      </c>
      <c r="B9143" t="s">
        <v>10</v>
      </c>
      <c r="C9143" t="s">
        <v>23</v>
      </c>
      <c r="D9143" t="str">
        <f>HYPERLINK("https://us2.cloudbeds.com/connect/10074733072513#/reservations/31687992721622?display=Angela%20Waldschmitt&amp;reservation_id=31687992721622&amp;guest_id=31687992721607", "Angela Waldschmitt")</f>
        <v>Angela Waldschmitt</v>
      </c>
      <c r="E9143" t="s">
        <v>7579</v>
      </c>
      <c r="F9143" t="s">
        <v>7027</v>
      </c>
      <c r="G9143">
        <v>169</v>
      </c>
      <c r="H9143">
        <v>183.71</v>
      </c>
      <c r="I9143">
        <v>183.7</v>
      </c>
      <c r="J9143">
        <v>0.01</v>
      </c>
    </row>
    <row r="9144" spans="1:10" x14ac:dyDescent="0.3">
      <c r="A9144" t="str">
        <f>HYPERLINK("https://us2.cloudbeds.com/connect/10074733072513#/reservations/31685106319579?display=MHF5TUJJU&amp;reservation_id=31685106319579", "MHF5TUJJU")</f>
        <v>MHF5TUJJU</v>
      </c>
      <c r="B9144" t="s">
        <v>10</v>
      </c>
      <c r="C9144" t="s">
        <v>42</v>
      </c>
      <c r="D9144" t="str">
        <f>HYPERLINK("https://us2.cloudbeds.com/connect/10074733072513#/reservations/31685106319579?display=Nate%20Stellrecht&amp;reservation_id=31685106319579&amp;guest_id=31685099724991", "Nate Stellrecht")</f>
        <v>Nate Stellrecht</v>
      </c>
      <c r="E9144" t="s">
        <v>7087</v>
      </c>
      <c r="F9144" t="s">
        <v>5572</v>
      </c>
      <c r="G9144">
        <v>225</v>
      </c>
      <c r="H9144">
        <v>244.59</v>
      </c>
      <c r="I9144">
        <v>244.58</v>
      </c>
      <c r="J9144">
        <v>0.01</v>
      </c>
    </row>
    <row r="9145" spans="1:10" x14ac:dyDescent="0.3">
      <c r="A9145" t="str">
        <f>HYPERLINK("https://us2.cloudbeds.com/connect/10074733072513#/reservations/31683729678502?display=MHE3Z3HCY&amp;reservation_id=31683729678502", "MHE3Z3HCY")</f>
        <v>MHE3Z3HCY</v>
      </c>
      <c r="B9145" t="s">
        <v>10</v>
      </c>
      <c r="C9145" t="s">
        <v>121</v>
      </c>
      <c r="D9145" t="str">
        <f>HYPERLINK("https://us2.cloudbeds.com/connect/10074733072513#/reservations/31683729678502?display=Brett%20Jackson&amp;reservation_id=31683729678502&amp;guest_id=31683718717640", "Brett Jackson")</f>
        <v>Brett Jackson</v>
      </c>
      <c r="E9145" t="s">
        <v>7580</v>
      </c>
      <c r="F9145" t="s">
        <v>7424</v>
      </c>
      <c r="G9145">
        <v>238</v>
      </c>
      <c r="H9145">
        <v>258.72000000000003</v>
      </c>
      <c r="I9145">
        <v>258.70999999999998</v>
      </c>
      <c r="J9145">
        <v>0.01</v>
      </c>
    </row>
    <row r="9146" spans="1:10" x14ac:dyDescent="0.3">
      <c r="A9146" t="str">
        <f>HYPERLINK("https://us2.cloudbeds.com/connect/10074733072513#/reservations/31691586252998?display=MHK6FW9MM&amp;reservation_id=31691586252998", "MHK6FW9MM")</f>
        <v>MHK6FW9MM</v>
      </c>
      <c r="B9146" t="s">
        <v>10</v>
      </c>
      <c r="C9146" t="s">
        <v>42</v>
      </c>
      <c r="D9146" t="str">
        <f>HYPERLINK("https://us2.cloudbeds.com/connect/10074733072513#/reservations/31691586252998?display=Cassandra%20Krenz&amp;reservation_id=31691586252998&amp;guest_id=31691586252993", "Cassandra Krenz")</f>
        <v>Cassandra Krenz</v>
      </c>
      <c r="E9146" t="s">
        <v>7581</v>
      </c>
      <c r="F9146" t="s">
        <v>7372</v>
      </c>
      <c r="G9146">
        <v>139</v>
      </c>
      <c r="H9146">
        <v>151.1</v>
      </c>
      <c r="I9146">
        <v>151.09</v>
      </c>
      <c r="J9146">
        <v>0.01</v>
      </c>
    </row>
    <row r="9147" spans="1:10" x14ac:dyDescent="0.3">
      <c r="A9147" t="str">
        <f>HYPERLINK("https://us2.cloudbeds.com/connect/10074733072513#/reservations/31695085019348?display=MHMTT7KKD&amp;reservation_id=31695085019348", "MHMTT7KKD")</f>
        <v>MHMTT7KKD</v>
      </c>
      <c r="B9147" t="s">
        <v>10</v>
      </c>
      <c r="C9147" t="s">
        <v>42</v>
      </c>
      <c r="D9147" t="str">
        <f>HYPERLINK("https://us2.cloudbeds.com/connect/10074733072513#/reservations/31695085019348?display=Abigail%20Gackey&amp;reservation_id=31695085019348&amp;guest_id=31695085015254", "Abigail Gackey")</f>
        <v>Abigail Gackey</v>
      </c>
      <c r="E9147" t="s">
        <v>7077</v>
      </c>
      <c r="F9147" t="s">
        <v>7006</v>
      </c>
      <c r="G9147">
        <v>278</v>
      </c>
      <c r="H9147">
        <v>302.2</v>
      </c>
      <c r="I9147">
        <v>302.19</v>
      </c>
      <c r="J9147">
        <v>0.01</v>
      </c>
    </row>
    <row r="9148" spans="1:10" x14ac:dyDescent="0.3">
      <c r="A9148" t="str">
        <f>HYPERLINK("https://us2.cloudbeds.com/connect/10074733072513#/reservations/31683324768461?display=MHDQCMA5D&amp;reservation_id=31683324768461", "MHDQCMA5D")</f>
        <v>MHDQCMA5D</v>
      </c>
      <c r="B9148" t="s">
        <v>10</v>
      </c>
      <c r="C9148" t="s">
        <v>42</v>
      </c>
      <c r="D9148" t="str">
        <f>HYPERLINK("https://us2.cloudbeds.com/connect/10074733072513#/reservations/31683324768461?display=Chance%20Davies&amp;reservation_id=31683324768461&amp;guest_id=31683324768456", "Chance Davies")</f>
        <v>Chance Davies</v>
      </c>
      <c r="E9148" t="s">
        <v>7164</v>
      </c>
      <c r="F9148" t="s">
        <v>5572</v>
      </c>
      <c r="G9148">
        <v>225</v>
      </c>
      <c r="H9148">
        <v>244.59</v>
      </c>
      <c r="I9148">
        <v>244.58</v>
      </c>
      <c r="J9148">
        <v>0.01</v>
      </c>
    </row>
    <row r="9149" spans="1:10" x14ac:dyDescent="0.3">
      <c r="A9149" t="str">
        <f>HYPERLINK("https://us2.cloudbeds.com/connect/10074733072513#/reservations/31686868721849?display=MHGHV115A&amp;reservation_id=31686868721849", "MHGHV115A")</f>
        <v>MHGHV115A</v>
      </c>
      <c r="B9149" t="s">
        <v>10</v>
      </c>
      <c r="C9149" t="s">
        <v>42</v>
      </c>
      <c r="D9149" t="str">
        <f>HYPERLINK("https://us2.cloudbeds.com/connect/10074733072513#/reservations/31686868721849?display=Kari%20Bartling&amp;reservation_id=31686868721849&amp;guest_id=31686868721794", "Kari Bartling")</f>
        <v>Kari Bartling</v>
      </c>
      <c r="E9149" t="s">
        <v>7585</v>
      </c>
      <c r="F9149" t="s">
        <v>5561</v>
      </c>
      <c r="G9149">
        <v>321.3</v>
      </c>
      <c r="H9149">
        <v>349.26</v>
      </c>
      <c r="I9149">
        <v>349.25</v>
      </c>
      <c r="J9149">
        <v>0.01</v>
      </c>
    </row>
    <row r="9150" spans="1:10" x14ac:dyDescent="0.3">
      <c r="A9150" t="str">
        <f>HYPERLINK("https://us2.cloudbeds.com/connect/10074733072513#/reservations/31686207434956?display=MHG11DZRX&amp;reservation_id=31686207434956", "MHG11DZRX")</f>
        <v>MHG11DZRX</v>
      </c>
      <c r="B9150" t="s">
        <v>10</v>
      </c>
      <c r="C9150" t="s">
        <v>20</v>
      </c>
      <c r="D9150" t="str">
        <f>HYPERLINK("https://us2.cloudbeds.com/connect/10074733072513#/reservations/31686207434956?display=Douglas%20Sipma&amp;reservation_id=31686207434956&amp;guest_id=31686207434945", "Douglas Sipma")</f>
        <v>Douglas Sipma</v>
      </c>
      <c r="E9150" t="s">
        <v>7586</v>
      </c>
      <c r="F9150" t="s">
        <v>7303</v>
      </c>
      <c r="G9150">
        <v>179</v>
      </c>
      <c r="H9150">
        <v>194.58</v>
      </c>
      <c r="I9150">
        <v>194.57</v>
      </c>
      <c r="J9150">
        <v>0.01</v>
      </c>
    </row>
    <row r="9151" spans="1:10" x14ac:dyDescent="0.3">
      <c r="A9151" t="str">
        <f>HYPERLINK("https://us2.cloudbeds.com/connect/10074733072513#/reservations/31685203845257?display=MHF8D5CSG&amp;reservation_id=31685203845257", "MHF8D5CSG")</f>
        <v>MHF8D5CSG</v>
      </c>
      <c r="B9151" t="s">
        <v>10</v>
      </c>
      <c r="C9151" t="s">
        <v>23</v>
      </c>
      <c r="D9151" t="str">
        <f>HYPERLINK("https://us2.cloudbeds.com/connect/10074733072513#/reservations/31685203845257?display=Kyle%20Notch&amp;reservation_id=31685203845257&amp;guest_id=31685203841176", "Kyle Notch")</f>
        <v>Kyle Notch</v>
      </c>
      <c r="E9151" t="s">
        <v>7587</v>
      </c>
      <c r="F9151" t="s">
        <v>5572</v>
      </c>
      <c r="G9151">
        <v>129</v>
      </c>
      <c r="H9151">
        <v>140.22999999999999</v>
      </c>
      <c r="I9151">
        <v>140.22</v>
      </c>
      <c r="J9151">
        <v>0.01</v>
      </c>
    </row>
    <row r="9152" spans="1:10" x14ac:dyDescent="0.3">
      <c r="A9152" t="str">
        <f>HYPERLINK("https://us2.cloudbeds.com/connect/10074733072513#/reservations/31684726001911?display=MHET67MU3&amp;reservation_id=31684726001911", "MHET67MU3")</f>
        <v>MHET67MU3</v>
      </c>
      <c r="B9152" t="s">
        <v>10</v>
      </c>
      <c r="C9152" t="s">
        <v>42</v>
      </c>
      <c r="D9152" t="str">
        <f>HYPERLINK("https://us2.cloudbeds.com/connect/10074733072513#/reservations/31684726001911?display=Aaron%20Kuhs&amp;reservation_id=31684726001911&amp;guest_id=31684306088146", "Aaron Kuhs")</f>
        <v>Aaron Kuhs</v>
      </c>
      <c r="E9152" t="s">
        <v>5919</v>
      </c>
      <c r="F9152" t="s">
        <v>7564</v>
      </c>
      <c r="G9152">
        <v>73</v>
      </c>
      <c r="H9152">
        <v>79.36</v>
      </c>
      <c r="I9152">
        <v>79.349999999999994</v>
      </c>
      <c r="J9152">
        <v>0.01</v>
      </c>
    </row>
    <row r="9153" spans="1:10" x14ac:dyDescent="0.3">
      <c r="A9153" t="str">
        <f>HYPERLINK("https://us2.cloudbeds.com/connect/10074733072513#/reservations/31684065759399?display=MHECAGFK8&amp;reservation_id=31684065759399", "MHECAGFK8")</f>
        <v>MHECAGFK8</v>
      </c>
      <c r="B9153" t="s">
        <v>10</v>
      </c>
      <c r="C9153" t="s">
        <v>42</v>
      </c>
      <c r="D9153" t="str">
        <f>HYPERLINK("https://us2.cloudbeds.com/connect/10074733072513#/reservations/31684065759399?display=Donna%20Steever&amp;reservation_id=31684065759399&amp;guest_id=31684065759397", "Donna Steever")</f>
        <v>Donna Steever</v>
      </c>
      <c r="E9153" t="s">
        <v>7588</v>
      </c>
      <c r="F9153" t="s">
        <v>7372</v>
      </c>
      <c r="G9153">
        <v>139</v>
      </c>
      <c r="H9153">
        <v>151.1</v>
      </c>
      <c r="I9153">
        <v>151.09</v>
      </c>
      <c r="J9153">
        <v>0.01</v>
      </c>
    </row>
    <row r="9154" spans="1:10" x14ac:dyDescent="0.3">
      <c r="A9154" t="str">
        <f>HYPERLINK("https://us2.cloudbeds.com/connect/10074733072513#/reservations/31683361763457?display=MHDRASZMT&amp;reservation_id=31683361763457", "MHDRASZMT")</f>
        <v>MHDRASZMT</v>
      </c>
      <c r="B9154" t="s">
        <v>10</v>
      </c>
      <c r="C9154" t="s">
        <v>42</v>
      </c>
      <c r="D9154" t="str">
        <f>HYPERLINK("https://us2.cloudbeds.com/connect/10074733072513#/reservations/31683361763457?display=Sherri%20Schneck&amp;reservation_id=31683361763457&amp;guest_id=31683361759421", "Sherri Schneck")</f>
        <v>Sherri Schneck</v>
      </c>
      <c r="E9154" t="s">
        <v>4851</v>
      </c>
      <c r="F9154" t="s">
        <v>7590</v>
      </c>
      <c r="G9154">
        <v>119</v>
      </c>
      <c r="H9154">
        <v>129.36000000000001</v>
      </c>
      <c r="I9154">
        <v>129.35</v>
      </c>
      <c r="J9154">
        <v>0.01</v>
      </c>
    </row>
    <row r="9155" spans="1:10" x14ac:dyDescent="0.3">
      <c r="A9155" t="str">
        <f>HYPERLINK("https://us2.cloudbeds.com/connect/10074733072513#/reservations/31692719354096?display=MHY2EEGXJ&amp;reservation_id=31692719354096", "MHY2EEGXJ")</f>
        <v>MHY2EEGXJ</v>
      </c>
      <c r="B9155" t="s">
        <v>10</v>
      </c>
      <c r="C9155" t="s">
        <v>20</v>
      </c>
      <c r="D9155" t="str">
        <f>HYPERLINK("https://us2.cloudbeds.com/connect/10074733072513#/reservations/31692719354096?display=Trisha%20Gates&amp;reservation_id=31692719354096&amp;guest_id=31692719354094", "Trisha Gates")</f>
        <v>Trisha Gates</v>
      </c>
      <c r="E9155" t="s">
        <v>7591</v>
      </c>
      <c r="F9155" t="s">
        <v>7027</v>
      </c>
      <c r="G9155">
        <v>149</v>
      </c>
      <c r="H9155">
        <v>161.97</v>
      </c>
      <c r="I9155">
        <v>161.96</v>
      </c>
      <c r="J9155">
        <v>0.01</v>
      </c>
    </row>
    <row r="9156" spans="1:10" x14ac:dyDescent="0.3">
      <c r="A9156" t="str">
        <f>HYPERLINK("https://us2.cloudbeds.com/connect/10074733072513#/reservations/31685769023626?display=MHFMRZA8Z&amp;reservation_id=31685769023626", "MHFMRZA8Z")</f>
        <v>MHFMRZA8Z</v>
      </c>
      <c r="B9156" t="s">
        <v>10</v>
      </c>
      <c r="C9156" t="s">
        <v>42</v>
      </c>
      <c r="D9156" t="str">
        <f>HYPERLINK("https://us2.cloudbeds.com/connect/10074733072513#/reservations/31685769023626?display=Lauralee%20Miller&amp;reservation_id=31685769023626&amp;guest_id=31685759934706", "Lauralee Miller")</f>
        <v>Lauralee Miller</v>
      </c>
      <c r="E9156" t="s">
        <v>7592</v>
      </c>
      <c r="F9156" t="s">
        <v>4181</v>
      </c>
      <c r="G9156">
        <v>129</v>
      </c>
      <c r="H9156">
        <v>140.22999999999999</v>
      </c>
      <c r="I9156">
        <v>140.22</v>
      </c>
      <c r="J9156">
        <v>0.01</v>
      </c>
    </row>
    <row r="9157" spans="1:10" x14ac:dyDescent="0.3">
      <c r="A9157" t="str">
        <f>HYPERLINK("https://us2.cloudbeds.com/connect/10074733072513#/reservations/31685229117650?display=MHF91FKRX&amp;reservation_id=31685229117650", "MHF91FKRX")</f>
        <v>MHF91FKRX</v>
      </c>
      <c r="B9157" t="s">
        <v>10</v>
      </c>
      <c r="C9157" t="s">
        <v>42</v>
      </c>
      <c r="D9157" t="str">
        <f>HYPERLINK("https://us2.cloudbeds.com/connect/10074733072513#/reservations/31685229117650?display=Arthur%20Owen%20Mack&amp;reservation_id=31685229117650&amp;guest_id=31685221609605", "Arthur Owen Mack")</f>
        <v>Arthur Owen Mack</v>
      </c>
      <c r="E9157" t="s">
        <v>7181</v>
      </c>
      <c r="F9157" t="s">
        <v>5572</v>
      </c>
      <c r="G9157">
        <v>129</v>
      </c>
      <c r="H9157">
        <v>140.22999999999999</v>
      </c>
      <c r="I9157">
        <v>140.22</v>
      </c>
      <c r="J9157">
        <v>0.01</v>
      </c>
    </row>
    <row r="9158" spans="1:10" x14ac:dyDescent="0.3">
      <c r="A9158" t="str">
        <f>HYPERLINK("https://us2.cloudbeds.com/connect/10074733072513#/reservations/31686037704849?display=MHFTN9P4W&amp;reservation_id=31686037704849", "MHFTN9P4W")</f>
        <v>MHFTN9P4W</v>
      </c>
      <c r="B9158" t="s">
        <v>10</v>
      </c>
      <c r="C9158" t="s">
        <v>42</v>
      </c>
      <c r="D9158" t="str">
        <f>HYPERLINK("https://us2.cloudbeds.com/connect/10074733072513#/reservations/31686037704849?display=Joe%20Hanson&amp;reservation_id=31686037704849&amp;guest_id=31685198139632", "Joe Hanson")</f>
        <v>Joe Hanson</v>
      </c>
      <c r="E9158" t="s">
        <v>7389</v>
      </c>
      <c r="F9158" t="s">
        <v>7593</v>
      </c>
      <c r="G9158">
        <v>225</v>
      </c>
      <c r="H9158">
        <v>244.59</v>
      </c>
      <c r="I9158">
        <v>244.58</v>
      </c>
      <c r="J9158">
        <v>0.01</v>
      </c>
    </row>
    <row r="9159" spans="1:10" x14ac:dyDescent="0.3">
      <c r="A9159" t="str">
        <f>HYPERLINK("https://us2.cloudbeds.com/connect/10074733072513#/reservations/31686782902401?display=MHGFZYWDW&amp;reservation_id=31686782902401", "MHGFZYWDW")</f>
        <v>MHGFZYWDW</v>
      </c>
      <c r="B9159" t="s">
        <v>10</v>
      </c>
      <c r="C9159" t="s">
        <v>42</v>
      </c>
      <c r="D9159" t="str">
        <f>HYPERLINK("https://us2.cloudbeds.com/connect/10074733072513#/reservations/31686782902401?display=Collin%20Lafrance&amp;reservation_id=31686782902401&amp;guest_id=31686770278628", "Collin Lafrance")</f>
        <v>Collin Lafrance</v>
      </c>
      <c r="E9159" t="s">
        <v>7594</v>
      </c>
      <c r="F9159" t="s">
        <v>7323</v>
      </c>
      <c r="G9159">
        <v>119</v>
      </c>
      <c r="H9159">
        <v>129.36000000000001</v>
      </c>
      <c r="I9159">
        <v>129.35</v>
      </c>
      <c r="J9159">
        <v>0.01</v>
      </c>
    </row>
    <row r="9160" spans="1:10" x14ac:dyDescent="0.3">
      <c r="A9160" t="str">
        <f>HYPERLINK("https://us2.cloudbeds.com/connect/10074733072513#/reservations/31683331305653?display=MHDQX6734&amp;reservation_id=31683331305653", "MHDQX6734")</f>
        <v>MHDQX6734</v>
      </c>
      <c r="B9160" t="s">
        <v>10</v>
      </c>
      <c r="C9160" t="s">
        <v>42</v>
      </c>
      <c r="D9160" t="str">
        <f>HYPERLINK("https://us2.cloudbeds.com/connect/10074733072513#/reservations/31683331305653?display=Dale%20Opdahl&amp;reservation_id=31683331305653&amp;guest_id=30662970474655", "Dale Opdahl")</f>
        <v>Dale Opdahl</v>
      </c>
      <c r="E9160" t="s">
        <v>7595</v>
      </c>
      <c r="F9160" t="s">
        <v>5572</v>
      </c>
      <c r="G9160">
        <v>119</v>
      </c>
      <c r="H9160">
        <v>129.36000000000001</v>
      </c>
      <c r="I9160">
        <v>129.35</v>
      </c>
      <c r="J9160">
        <v>0.01</v>
      </c>
    </row>
    <row r="9161" spans="1:10" x14ac:dyDescent="0.3">
      <c r="A9161" t="str">
        <f>HYPERLINK("https://us2.cloudbeds.com/connect/10074733072513#/reservations/31687937585336?display=MHHC8AZAV&amp;reservation_id=31687937585336", "MHHC8AZAV")</f>
        <v>MHHC8AZAV</v>
      </c>
      <c r="B9161" t="s">
        <v>10</v>
      </c>
      <c r="C9161" t="s">
        <v>121</v>
      </c>
      <c r="D9161" t="str">
        <f>HYPERLINK("https://us2.cloudbeds.com/connect/10074733072513#/reservations/31687937585336?display=Kristopher%20William%20Evans&amp;reservation_id=31687937585336&amp;guest_id=31686738358480", "Kristopher William Evans")</f>
        <v>Kristopher William Evans</v>
      </c>
      <c r="E9161" t="s">
        <v>7596</v>
      </c>
      <c r="F9161" t="s">
        <v>7590</v>
      </c>
      <c r="G9161">
        <v>150</v>
      </c>
      <c r="H9161">
        <v>163.06</v>
      </c>
      <c r="I9161">
        <v>163.05000000000001</v>
      </c>
      <c r="J9161">
        <v>0.01</v>
      </c>
    </row>
    <row r="9162" spans="1:10" x14ac:dyDescent="0.3">
      <c r="A9162" t="str">
        <f>HYPERLINK("https://us2.cloudbeds.com/connect/10074733072513#/reservations/31685213589744?display=MHF8YCHVW&amp;reservation_id=31685213589744", "MHF8YCHVW")</f>
        <v>MHF8YCHVW</v>
      </c>
      <c r="B9162" t="s">
        <v>10</v>
      </c>
      <c r="C9162" t="s">
        <v>23</v>
      </c>
      <c r="D9162" t="str">
        <f>HYPERLINK("https://us2.cloudbeds.com/connect/10074733072513#/reservations/31685213589744?display=Troy%20Schumacher&amp;reservation_id=31685213589744&amp;guest_id=31685213589741", "Troy Schumacher")</f>
        <v>Troy Schumacher</v>
      </c>
      <c r="E9162" t="s">
        <v>7597</v>
      </c>
      <c r="F9162" t="s">
        <v>5572</v>
      </c>
      <c r="G9162">
        <v>119</v>
      </c>
      <c r="H9162">
        <v>129.36000000000001</v>
      </c>
      <c r="I9162">
        <v>129.35</v>
      </c>
      <c r="J9162">
        <v>0.01</v>
      </c>
    </row>
    <row r="9163" spans="1:10" x14ac:dyDescent="0.3">
      <c r="A9163" t="str">
        <f>HYPERLINK("https://us2.cloudbeds.com/connect/10074733072513#/reservations/31685189595295?display=MHF814SGF&amp;reservation_id=31685189595295", "MHF814SGF")</f>
        <v>MHF814SGF</v>
      </c>
      <c r="B9163" t="s">
        <v>10</v>
      </c>
      <c r="C9163" t="s">
        <v>17</v>
      </c>
      <c r="D9163" t="str">
        <f>HYPERLINK("https://us2.cloudbeds.com/connect/10074733072513#/reservations/31685189595295?display=Doug%20Thorson&amp;reservation_id=31685189595295&amp;guest_id=31685189595290", "Doug Thorson")</f>
        <v>Doug Thorson</v>
      </c>
      <c r="E9163" t="s">
        <v>7598</v>
      </c>
      <c r="F9163" t="s">
        <v>5572</v>
      </c>
      <c r="G9163">
        <v>149</v>
      </c>
      <c r="H9163">
        <v>161.97</v>
      </c>
      <c r="I9163">
        <v>161.96</v>
      </c>
      <c r="J9163">
        <v>0.01</v>
      </c>
    </row>
    <row r="9164" spans="1:10" x14ac:dyDescent="0.3">
      <c r="A9164" t="str">
        <f>HYPERLINK("https://us2.cloudbeds.com/connect/10074733072513#/reservations/31692793213141?display=MHY4ANZCF&amp;reservation_id=31692793213141", "MHY4ANZCF")</f>
        <v>MHY4ANZCF</v>
      </c>
      <c r="B9164" t="s">
        <v>10</v>
      </c>
      <c r="C9164" t="s">
        <v>42</v>
      </c>
      <c r="D9164" t="str">
        <f>HYPERLINK("https://us2.cloudbeds.com/connect/10074733072513#/reservations/31692793213141?display=Karen%20Korzan&amp;reservation_id=31692793213141&amp;guest_id=31692793213125", "Karen Korzan")</f>
        <v>Karen Korzan</v>
      </c>
      <c r="E9164" t="s">
        <v>7599</v>
      </c>
      <c r="F9164" t="s">
        <v>7426</v>
      </c>
      <c r="G9164">
        <v>119</v>
      </c>
      <c r="H9164">
        <v>129.36000000000001</v>
      </c>
      <c r="I9164">
        <v>129.35</v>
      </c>
      <c r="J9164">
        <v>0.01</v>
      </c>
    </row>
    <row r="9165" spans="1:10" x14ac:dyDescent="0.3">
      <c r="A9165" t="str">
        <f>HYPERLINK("https://us2.cloudbeds.com/connect/10074733072513#/reservations/31683354919117?display=MHDR539NY&amp;reservation_id=31683354919117", "MHDR539NY")</f>
        <v>MHDR539NY</v>
      </c>
      <c r="B9165" t="s">
        <v>10</v>
      </c>
      <c r="C9165" t="s">
        <v>42</v>
      </c>
      <c r="D9165" t="str">
        <f>HYPERLINK("https://us2.cloudbeds.com/connect/10074733072513#/reservations/31683354919117?display=Kevin%20Great%20Plains%20Structure&amp;reservation_id=31683354919117&amp;guest_id=31683354915030", "Kevin Great Plains Structure")</f>
        <v>Kevin Great Plains Structure</v>
      </c>
      <c r="E9165" t="s">
        <v>5244</v>
      </c>
      <c r="F9165" t="s">
        <v>7590</v>
      </c>
      <c r="G9165">
        <v>79</v>
      </c>
      <c r="H9165">
        <v>85.88</v>
      </c>
      <c r="I9165">
        <v>85.87</v>
      </c>
      <c r="J9165">
        <v>0.01</v>
      </c>
    </row>
    <row r="9166" spans="1:10" x14ac:dyDescent="0.3">
      <c r="A9166" t="str">
        <f>HYPERLINK("https://us2.cloudbeds.com/connect/10074733072513#/reservations/31687987249280?display=MHHDH6JNP&amp;reservation_id=31687987249280", "MHHDH6JNP")</f>
        <v>MHHDH6JNP</v>
      </c>
      <c r="B9166" t="s">
        <v>10</v>
      </c>
      <c r="C9166" t="s">
        <v>17</v>
      </c>
      <c r="D9166" t="str">
        <f>HYPERLINK("https://us2.cloudbeds.com/connect/10074733072513#/reservations/31687987249280?display=Jerome%20Nesheim&amp;reservation_id=31687987249280&amp;guest_id=31687987245233", "Jerome Nesheim")</f>
        <v>Jerome Nesheim</v>
      </c>
      <c r="E9166" t="s">
        <v>7552</v>
      </c>
      <c r="F9166" t="s">
        <v>7027</v>
      </c>
      <c r="G9166">
        <v>169</v>
      </c>
      <c r="H9166">
        <v>183.71</v>
      </c>
      <c r="I9166">
        <v>183.7</v>
      </c>
      <c r="J9166">
        <v>0.01</v>
      </c>
    </row>
    <row r="9167" spans="1:10" x14ac:dyDescent="0.3">
      <c r="A9167" t="str">
        <f>HYPERLINK("https://us2.cloudbeds.com/connect/10074733072513#/reservations/31683347452093?display=MHDQVQGV6&amp;reservation_id=31683347452093", "MHDQVQGV6")</f>
        <v>MHDQVQGV6</v>
      </c>
      <c r="B9167" t="s">
        <v>10</v>
      </c>
      <c r="C9167" t="s">
        <v>121</v>
      </c>
      <c r="D9167" t="str">
        <f>HYPERLINK("https://us2.cloudbeds.com/connect/10074733072513#/reservations/31683347452093?display=Jose%20Cruz&amp;reservation_id=31683347452093&amp;guest_id=31683347452091", "Jose Cruz")</f>
        <v>Jose Cruz</v>
      </c>
      <c r="E9167" t="s">
        <v>7600</v>
      </c>
      <c r="F9167" t="s">
        <v>7590</v>
      </c>
      <c r="G9167">
        <v>109</v>
      </c>
      <c r="H9167">
        <v>118.49</v>
      </c>
      <c r="I9167">
        <v>118.48</v>
      </c>
      <c r="J9167">
        <v>0.01</v>
      </c>
    </row>
    <row r="9168" spans="1:10" x14ac:dyDescent="0.3">
      <c r="A9168" t="str">
        <f>HYPERLINK("https://us2.cloudbeds.com/connect/10074733072513#/reservations/31687903822054?display=MHHBCS7D6&amp;reservation_id=31687903822054", "MHHBCS7D6")</f>
        <v>MHHBCS7D6</v>
      </c>
      <c r="B9168" t="s">
        <v>10</v>
      </c>
      <c r="C9168" t="s">
        <v>42</v>
      </c>
      <c r="D9168" t="str">
        <f>HYPERLINK("https://us2.cloudbeds.com/connect/10074733072513#/reservations/31687903822054?display=Frank%20Davis&amp;reservation_id=31687903822054&amp;guest_id=31687903822050", "Frank Davis")</f>
        <v>Frank Davis</v>
      </c>
      <c r="E9168" t="s">
        <v>4679</v>
      </c>
      <c r="F9168" t="s">
        <v>7590</v>
      </c>
      <c r="G9168">
        <v>73</v>
      </c>
      <c r="H9168">
        <v>79.36</v>
      </c>
      <c r="I9168">
        <v>79.349999999999994</v>
      </c>
      <c r="J9168">
        <v>0.01</v>
      </c>
    </row>
    <row r="9169" spans="1:10" x14ac:dyDescent="0.3">
      <c r="A9169" t="str">
        <f>HYPERLINK("https://us2.cloudbeds.com/connect/10074733072513#/reservations/31685769027721?display=MHFMRZE0R&amp;reservation_id=31685769027721", "MHFMRZE0R")</f>
        <v>MHFMRZE0R</v>
      </c>
      <c r="B9169" t="s">
        <v>10</v>
      </c>
      <c r="C9169" t="s">
        <v>23</v>
      </c>
      <c r="D9169" t="str">
        <f>HYPERLINK("https://us2.cloudbeds.com/connect/10074733072513#/reservations/31685769027721?display=Graham%20David%20Mcpherson&amp;reservation_id=31685769027721&amp;guest_id=31685769023678", "Graham David Mcpherson")</f>
        <v>Graham David Mcpherson</v>
      </c>
      <c r="E9169" t="s">
        <v>7601</v>
      </c>
      <c r="F9169" t="s">
        <v>4181</v>
      </c>
      <c r="G9169">
        <v>378</v>
      </c>
      <c r="H9169">
        <v>410.9</v>
      </c>
      <c r="I9169">
        <v>410.89</v>
      </c>
      <c r="J9169">
        <v>0.01</v>
      </c>
    </row>
    <row r="9170" spans="1:10" x14ac:dyDescent="0.3">
      <c r="A9170" t="str">
        <f>HYPERLINK("https://us2.cloudbeds.com/connect/10074733072513#/reservations/31695288225931?display=MHN22J4SY&amp;reservation_id=31695288225931", "MHN22J4SY")</f>
        <v>MHN22J4SY</v>
      </c>
      <c r="B9170" t="s">
        <v>10</v>
      </c>
      <c r="C9170" t="s">
        <v>42</v>
      </c>
      <c r="D9170" t="str">
        <f>HYPERLINK("https://us2.cloudbeds.com/connect/10074733072513#/reservations/31695288225931?display=Tami%20Gerhard&amp;reservation_id=31695288225931&amp;guest_id=31695271907491", "Tami Gerhard")</f>
        <v>Tami Gerhard</v>
      </c>
      <c r="E9170" t="s">
        <v>7603</v>
      </c>
      <c r="F9170" t="s">
        <v>6604</v>
      </c>
      <c r="G9170">
        <v>258</v>
      </c>
      <c r="H9170">
        <v>280.45999999999998</v>
      </c>
      <c r="I9170">
        <v>280.45</v>
      </c>
      <c r="J9170">
        <v>0.01</v>
      </c>
    </row>
    <row r="9171" spans="1:10" x14ac:dyDescent="0.3">
      <c r="A9171" t="str">
        <f>HYPERLINK("https://us2.cloudbeds.com/connect/10074733072513#/reservations/31685707067582?display=MHFY8G9YS&amp;reservation_id=31685707067582", "MHFY8G9YS")</f>
        <v>MHFY8G9YS</v>
      </c>
      <c r="B9171" t="s">
        <v>10</v>
      </c>
      <c r="C9171" t="s">
        <v>14</v>
      </c>
      <c r="D9171" t="str">
        <f>HYPERLINK("https://us2.cloudbeds.com/connect/10074733072513#/reservations/31685707067582?display=Kelly%20Helgeland&amp;reservation_id=31685707067582&amp;guest_id=31685707067530", "Kelly Helgeland")</f>
        <v>Kelly Helgeland</v>
      </c>
      <c r="E9171" t="s">
        <v>7604</v>
      </c>
      <c r="F9171" t="s">
        <v>4181</v>
      </c>
      <c r="G9171">
        <v>221.72</v>
      </c>
      <c r="H9171">
        <v>241.02</v>
      </c>
      <c r="I9171">
        <v>241.01</v>
      </c>
      <c r="J9171">
        <v>0.01</v>
      </c>
    </row>
    <row r="9172" spans="1:10" x14ac:dyDescent="0.3">
      <c r="A9172" t="str">
        <f>HYPERLINK("https://us2.cloudbeds.com/connect/10074733072513#/reservations/31691151564928?display=MHJS0UU5C&amp;reservation_id=31691151564928", "MHJS0UU5C")</f>
        <v>MHJS0UU5C</v>
      </c>
      <c r="B9172" t="s">
        <v>10</v>
      </c>
      <c r="C9172" t="s">
        <v>11</v>
      </c>
      <c r="D9172" t="str">
        <f>HYPERLINK("https://us2.cloudbeds.com/connect/10074733072513#/reservations/31691151564928?display=Oxana%20Gorbatenko&amp;reservation_id=31691151564928&amp;guest_id=31691137921191", "Oxana Gorbatenko")</f>
        <v>Oxana Gorbatenko</v>
      </c>
      <c r="E9172" t="s">
        <v>7605</v>
      </c>
      <c r="F9172" t="s">
        <v>4181</v>
      </c>
      <c r="G9172">
        <v>221.72</v>
      </c>
      <c r="H9172">
        <v>241.02</v>
      </c>
      <c r="I9172">
        <v>241.01</v>
      </c>
      <c r="J9172">
        <v>0.01</v>
      </c>
    </row>
    <row r="9173" spans="1:10" x14ac:dyDescent="0.3">
      <c r="A9173" t="str">
        <f>HYPERLINK("https://us2.cloudbeds.com/connect/10074733072513#/reservations/31685791096986?display=MHFNDBHYE&amp;reservation_id=31685791096986", "MHFNDBHYE")</f>
        <v>MHFNDBHYE</v>
      </c>
      <c r="B9173" t="s">
        <v>10</v>
      </c>
      <c r="C9173" t="s">
        <v>42</v>
      </c>
      <c r="D9173" t="str">
        <f>HYPERLINK("https://us2.cloudbeds.com/connect/10074733072513#/reservations/31685791096986?display=Richard%20Illies&amp;reservation_id=31685791096986&amp;guest_id=31684834656481", "Richard Illies")</f>
        <v>Richard Illies</v>
      </c>
      <c r="E9173" t="s">
        <v>7532</v>
      </c>
      <c r="F9173" t="s">
        <v>7606</v>
      </c>
      <c r="G9173">
        <v>196</v>
      </c>
      <c r="H9173">
        <v>213.06</v>
      </c>
      <c r="I9173">
        <v>213.05</v>
      </c>
      <c r="J9173">
        <v>0.01</v>
      </c>
    </row>
    <row r="9174" spans="1:10" x14ac:dyDescent="0.3">
      <c r="A9174" t="str">
        <f>HYPERLINK("https://us2.cloudbeds.com/connect/10074733072513#/reservations/31686997176528?display=MHGY7BFNB&amp;reservation_id=31686997176528", "MHGY7BFNB")</f>
        <v>MHGY7BFNB</v>
      </c>
      <c r="B9174" t="s">
        <v>10</v>
      </c>
      <c r="C9174" t="s">
        <v>20</v>
      </c>
      <c r="D9174" t="str">
        <f>HYPERLINK("https://us2.cloudbeds.com/connect/10074733072513#/reservations/31686997176528?display=Andy%20Moon&amp;reservation_id=31686997176528&amp;guest_id=31686992724192", "Andy Moon")</f>
        <v>Andy Moon</v>
      </c>
      <c r="E9174" t="s">
        <v>7607</v>
      </c>
      <c r="F9174" t="s">
        <v>7608</v>
      </c>
      <c r="G9174">
        <v>218</v>
      </c>
      <c r="H9174">
        <v>236.98</v>
      </c>
      <c r="I9174">
        <v>236.97</v>
      </c>
      <c r="J9174">
        <v>0.01</v>
      </c>
    </row>
    <row r="9175" spans="1:10" x14ac:dyDescent="0.3">
      <c r="A9175" t="str">
        <f>HYPERLINK("https://us2.cloudbeds.com/connect/10074733072513#/reservations/31690512482503?display=MHJC1X1HR&amp;reservation_id=31690512482503", "MHJC1X1HR")</f>
        <v>MHJC1X1HR</v>
      </c>
      <c r="B9175" t="s">
        <v>10</v>
      </c>
      <c r="C9175" t="s">
        <v>42</v>
      </c>
      <c r="D9175" t="str">
        <f>HYPERLINK("https://us2.cloudbeds.com/connect/10074733072513#/reservations/31690512482503?display=Paige%20Olson&amp;reservation_id=31690512482503&amp;guest_id=31690512482497", "Paige Olson")</f>
        <v>Paige Olson</v>
      </c>
      <c r="E9175" t="s">
        <v>7609</v>
      </c>
      <c r="F9175" t="s">
        <v>7530</v>
      </c>
      <c r="G9175">
        <v>139</v>
      </c>
      <c r="H9175">
        <v>151.1</v>
      </c>
      <c r="I9175">
        <v>151.09</v>
      </c>
      <c r="J9175">
        <v>0.01</v>
      </c>
    </row>
    <row r="9176" spans="1:10" x14ac:dyDescent="0.3">
      <c r="A9176" t="str">
        <f>HYPERLINK("https://us2.cloudbeds.com/connect/10074733072513#/reservations/31686815088825?display=MHGGXQKC5&amp;reservation_id=31686815088825", "MHGGXQKC5")</f>
        <v>MHGGXQKC5</v>
      </c>
      <c r="B9176" t="s">
        <v>10</v>
      </c>
      <c r="C9176" t="s">
        <v>23</v>
      </c>
      <c r="D9176" t="str">
        <f>HYPERLINK("https://us2.cloudbeds.com/connect/10074733072513#/reservations/31686815088825?display=Kristin%20Kluin&amp;reservation_id=31686815088825&amp;guest_id=30682335727832", "Kristin Kluin")</f>
        <v>Kristin Kluin</v>
      </c>
      <c r="E9176" t="s">
        <v>4389</v>
      </c>
      <c r="F9176" t="s">
        <v>7326</v>
      </c>
      <c r="G9176">
        <v>278</v>
      </c>
      <c r="H9176">
        <v>302.2</v>
      </c>
      <c r="I9176">
        <v>302.19</v>
      </c>
      <c r="J9176">
        <v>0.01</v>
      </c>
    </row>
    <row r="9177" spans="1:10" x14ac:dyDescent="0.3">
      <c r="A9177" t="str">
        <f>HYPERLINK("https://us2.cloudbeds.com/connect/10074733072513#/reservations/31687962288321?display=MHHCT54E8&amp;reservation_id=31687962288321", "MHHCT54E8")</f>
        <v>MHHCT54E8</v>
      </c>
      <c r="B9177" t="s">
        <v>10</v>
      </c>
      <c r="C9177" t="s">
        <v>20</v>
      </c>
      <c r="D9177" t="str">
        <f>HYPERLINK("https://us2.cloudbeds.com/connect/10074733072513#/reservations/31687962288321?display=Andy%20Moon&amp;reservation_id=31687962288321&amp;guest_id=31686992724192", "Andy Moon")</f>
        <v>Andy Moon</v>
      </c>
      <c r="E9177" t="s">
        <v>7607</v>
      </c>
      <c r="F9177" t="s">
        <v>7608</v>
      </c>
      <c r="G9177">
        <v>218</v>
      </c>
      <c r="H9177">
        <v>236.98</v>
      </c>
      <c r="I9177">
        <v>236.97</v>
      </c>
      <c r="J9177">
        <v>0.01</v>
      </c>
    </row>
    <row r="9178" spans="1:10" x14ac:dyDescent="0.3">
      <c r="A9178" t="str">
        <f>HYPERLINK("https://us2.cloudbeds.com/connect/10074733072513#/reservations/31686768607429?display=MHGFCK6Z0&amp;reservation_id=31686768607429", "MHGFCK6Z0")</f>
        <v>MHGFCK6Z0</v>
      </c>
      <c r="B9178" t="s">
        <v>10</v>
      </c>
      <c r="C9178" t="s">
        <v>23</v>
      </c>
      <c r="D9178" t="str">
        <f>HYPERLINK("https://us2.cloudbeds.com/connect/10074733072513#/reservations/31686768607429?display=James%20Holland&amp;reservation_id=31686768607429&amp;guest_id=31686758965432", "James Holland")</f>
        <v>James Holland</v>
      </c>
      <c r="E9178" t="s">
        <v>7611</v>
      </c>
      <c r="F9178" t="s">
        <v>4181</v>
      </c>
      <c r="G9178">
        <v>169</v>
      </c>
      <c r="H9178">
        <v>183.71</v>
      </c>
      <c r="I9178">
        <v>183.7</v>
      </c>
      <c r="J9178">
        <v>0.01</v>
      </c>
    </row>
    <row r="9179" spans="1:10" x14ac:dyDescent="0.3">
      <c r="A9179" t="str">
        <f>HYPERLINK("https://us2.cloudbeds.com/connect/10074733072513#/reservations/31685800272121?display=MHFNY2RUR&amp;reservation_id=31685800272121", "MHFNY2RUR")</f>
        <v>MHFNY2RUR</v>
      </c>
      <c r="B9179" t="s">
        <v>10</v>
      </c>
      <c r="C9179" t="s">
        <v>42</v>
      </c>
      <c r="D9179" t="str">
        <f>HYPERLINK("https://us2.cloudbeds.com/connect/10074733072513#/reservations/31685800272121?display=Guillermo%20Castro%20Great%20Plains%20Structures&amp;reservation_id=31685800272121&amp;guest_id=31685800272117", "Guillermo Castro Great Plains Structures")</f>
        <v>Guillermo Castro Great Plains Structures</v>
      </c>
      <c r="E9179" t="s">
        <v>5244</v>
      </c>
      <c r="F9179" t="s">
        <v>7606</v>
      </c>
      <c r="G9179">
        <v>79</v>
      </c>
      <c r="H9179">
        <v>85.88</v>
      </c>
      <c r="I9179">
        <v>85.87</v>
      </c>
      <c r="J9179">
        <v>0.01</v>
      </c>
    </row>
    <row r="9180" spans="1:10" x14ac:dyDescent="0.3">
      <c r="A9180" t="str">
        <f>HYPERLINK("https://us2.cloudbeds.com/connect/10074733072513#/reservations/31683989541001?display=MHEAC7J8R&amp;reservation_id=31683989541001", "MHEAC7J8R")</f>
        <v>MHEAC7J8R</v>
      </c>
      <c r="B9180" t="s">
        <v>10</v>
      </c>
      <c r="C9180" t="s">
        <v>42</v>
      </c>
      <c r="D9180" t="str">
        <f>HYPERLINK("https://us2.cloudbeds.com/connect/10074733072513#/reservations/31683989541001?display=Linda%20Shearen&amp;reservation_id=31683989541001&amp;guest_id=31683989540999", "Linda Shearen")</f>
        <v>Linda Shearen</v>
      </c>
      <c r="E9180" t="s">
        <v>7616</v>
      </c>
      <c r="F9180" t="s">
        <v>7372</v>
      </c>
      <c r="G9180">
        <v>139</v>
      </c>
      <c r="H9180">
        <v>151.1</v>
      </c>
      <c r="I9180">
        <v>151.09</v>
      </c>
      <c r="J9180">
        <v>0.01</v>
      </c>
    </row>
    <row r="9181" spans="1:10" x14ac:dyDescent="0.3">
      <c r="A9181" t="str">
        <f>HYPERLINK("https://us2.cloudbeds.com/connect/10074733072513#/reservations/31685984915666?display=MHFSBPR7Z&amp;reservation_id=31685984915666", "MHFSBPR7Z")</f>
        <v>MHFSBPR7Z</v>
      </c>
      <c r="B9181" t="s">
        <v>10</v>
      </c>
      <c r="C9181" t="s">
        <v>17</v>
      </c>
      <c r="D9181" t="str">
        <f>HYPERLINK("https://us2.cloudbeds.com/connect/10074733072513#/reservations/31685984915666?display=Nicole%20Steinhofer&amp;reservation_id=31685984915666&amp;guest_id=31685984911581", "Nicole Steinhofer")</f>
        <v>Nicole Steinhofer</v>
      </c>
      <c r="E9181" t="s">
        <v>7617</v>
      </c>
      <c r="F9181" t="s">
        <v>7618</v>
      </c>
      <c r="G9181">
        <v>119</v>
      </c>
      <c r="H9181">
        <v>129.36000000000001</v>
      </c>
      <c r="I9181">
        <v>129.35</v>
      </c>
      <c r="J9181">
        <v>0.01</v>
      </c>
    </row>
    <row r="9182" spans="1:10" x14ac:dyDescent="0.3">
      <c r="A9182" t="str">
        <f>HYPERLINK("https://us2.cloudbeds.com/connect/10074733072513#/reservations/31687947047123?display=MHHCGA0RP&amp;reservation_id=31687947047123", "MHHCGA0RP")</f>
        <v>MHHCGA0RP</v>
      </c>
      <c r="B9182" t="s">
        <v>10</v>
      </c>
      <c r="C9182" t="s">
        <v>42</v>
      </c>
      <c r="D9182" t="str">
        <f>HYPERLINK("https://us2.cloudbeds.com/connect/10074733072513#/reservations/31687947047123?display=Patrica%20Hahn&amp;reservation_id=31687947047123&amp;guest_id=31687937585334", "Patrica Hahn")</f>
        <v>Patrica Hahn</v>
      </c>
      <c r="E9182" t="s">
        <v>7619</v>
      </c>
      <c r="F9182" t="s">
        <v>7608</v>
      </c>
      <c r="G9182">
        <v>109</v>
      </c>
      <c r="H9182">
        <v>118.49</v>
      </c>
      <c r="I9182">
        <v>118.48</v>
      </c>
      <c r="J9182">
        <v>0.01</v>
      </c>
    </row>
    <row r="9183" spans="1:10" x14ac:dyDescent="0.3">
      <c r="A9183" t="str">
        <f>HYPERLINK("https://us2.cloudbeds.com/connect/10074733072513#/reservations/31686838997135?display=MHGH5VTZD&amp;reservation_id=31686838997135", "MHGH5VTZD")</f>
        <v>MHGH5VTZD</v>
      </c>
      <c r="B9183" t="s">
        <v>10</v>
      </c>
      <c r="C9183" t="s">
        <v>23</v>
      </c>
      <c r="D9183" t="str">
        <f>HYPERLINK("https://us2.cloudbeds.com/connect/10074733072513#/reservations/31686838997135?display=Kip%20Gearey&amp;reservation_id=31686838997135&amp;guest_id=31684756287656", "Kip Gearey")</f>
        <v>Kip Gearey</v>
      </c>
      <c r="E9183" t="s">
        <v>7621</v>
      </c>
      <c r="F9183" t="s">
        <v>7326</v>
      </c>
      <c r="G9183">
        <v>150</v>
      </c>
      <c r="H9183">
        <v>163.06</v>
      </c>
      <c r="I9183">
        <v>163.05000000000001</v>
      </c>
      <c r="J9183">
        <v>0.01</v>
      </c>
    </row>
    <row r="9184" spans="1:10" x14ac:dyDescent="0.3">
      <c r="A9184" t="str">
        <f>HYPERLINK("https://us2.cloudbeds.com/connect/10074733072513#/reservations/31691256836248?display=MHJV26PVU&amp;reservation_id=31691256836248", "MHJV26PVU")</f>
        <v>MHJV26PVU</v>
      </c>
      <c r="B9184" t="s">
        <v>10</v>
      </c>
      <c r="C9184" t="s">
        <v>42</v>
      </c>
      <c r="D9184" t="str">
        <f>HYPERLINK("https://us2.cloudbeds.com/connect/10074733072513#/reservations/31691256836248?display=Josh%20Grooters&amp;reservation_id=31691256836248&amp;guest_id=31687021785246", "Josh Grooters")</f>
        <v>Josh Grooters</v>
      </c>
      <c r="E9184" t="s">
        <v>7622</v>
      </c>
      <c r="F9184" t="s">
        <v>5552</v>
      </c>
      <c r="G9184">
        <v>218</v>
      </c>
      <c r="H9184">
        <v>236.98</v>
      </c>
      <c r="I9184">
        <v>236.97</v>
      </c>
      <c r="J9184">
        <v>0.01</v>
      </c>
    </row>
    <row r="9185" spans="1:10" x14ac:dyDescent="0.3">
      <c r="A9185" t="str">
        <f>HYPERLINK("https://us2.cloudbeds.com/connect/10074733072513#/reservations/31685035368661?display=MHF433983&amp;reservation_id=31685035368661", "MHF433983")</f>
        <v>MHF433983</v>
      </c>
      <c r="B9185" t="s">
        <v>10</v>
      </c>
      <c r="C9185" t="s">
        <v>121</v>
      </c>
      <c r="D9185" t="str">
        <f>HYPERLINK("https://us2.cloudbeds.com/connect/10074733072513#/reservations/31685035368661?display=Abraham%20Muhammad&amp;reservation_id=31685035368661&amp;guest_id=31685035364576", "Abraham Muhammad")</f>
        <v>Abraham Muhammad</v>
      </c>
      <c r="E9185" t="s">
        <v>7623</v>
      </c>
      <c r="F9185" t="s">
        <v>7323</v>
      </c>
      <c r="G9185">
        <v>109</v>
      </c>
      <c r="H9185">
        <v>118.49</v>
      </c>
      <c r="I9185">
        <v>118.48</v>
      </c>
      <c r="J9185">
        <v>0.01</v>
      </c>
    </row>
    <row r="9186" spans="1:10" x14ac:dyDescent="0.3">
      <c r="A9186" t="str">
        <f>HYPERLINK("https://us2.cloudbeds.com/connect/10074733072513#/reservations/31694577852592?display=MHMGUXVZR&amp;reservation_id=31694577852592", "MHMGUXVZR")</f>
        <v>MHMGUXVZR</v>
      </c>
      <c r="B9186" t="s">
        <v>10</v>
      </c>
      <c r="C9186" t="s">
        <v>42</v>
      </c>
      <c r="D9186" t="str">
        <f>HYPERLINK("https://us2.cloudbeds.com/connect/10074733072513#/reservations/31694577852592?display=John%20Debondt&amp;reservation_id=31694577852592&amp;guest_id=31694577852580", "John Debondt")</f>
        <v>John Debondt</v>
      </c>
      <c r="E9186" t="s">
        <v>7624</v>
      </c>
      <c r="F9186" t="s">
        <v>7006</v>
      </c>
      <c r="G9186">
        <v>278</v>
      </c>
      <c r="H9186">
        <v>302.2</v>
      </c>
      <c r="I9186">
        <v>302.19</v>
      </c>
      <c r="J9186">
        <v>0.01</v>
      </c>
    </row>
    <row r="9187" spans="1:10" x14ac:dyDescent="0.3">
      <c r="A9187" t="str">
        <f>HYPERLINK("https://us2.cloudbeds.com/connect/10074733072513#/reservations/31685083291857?display=MHF5AGQS5&amp;reservation_id=31685083291857", "MHF5AGQS5")</f>
        <v>MHF5AGQS5</v>
      </c>
      <c r="B9187" t="s">
        <v>10</v>
      </c>
      <c r="C9187" t="s">
        <v>23</v>
      </c>
      <c r="D9187" t="str">
        <f>HYPERLINK("https://us2.cloudbeds.com/connect/10074733072513#/reservations/31685083291857?display=Henry%20Castle&amp;reservation_id=31685083291857&amp;guest_id=31685083291841", "Henry Castle")</f>
        <v>Henry Castle</v>
      </c>
      <c r="E9187" t="s">
        <v>7625</v>
      </c>
      <c r="F9187" t="s">
        <v>7323</v>
      </c>
      <c r="G9187">
        <v>119</v>
      </c>
      <c r="H9187">
        <v>129.36000000000001</v>
      </c>
      <c r="I9187">
        <v>129.35</v>
      </c>
      <c r="J9187">
        <v>0.01</v>
      </c>
    </row>
    <row r="9188" spans="1:10" x14ac:dyDescent="0.3">
      <c r="A9188" t="str">
        <f>HYPERLINK("https://us2.cloudbeds.com/connect/10074733072513#/reservations/31692780081383?display=MHY3WYARD&amp;reservation_id=31692780081383", "MHY3WYARD")</f>
        <v>MHY3WYARD</v>
      </c>
      <c r="B9188" t="s">
        <v>10</v>
      </c>
      <c r="C9188" t="s">
        <v>23</v>
      </c>
      <c r="D9188" t="str">
        <f>HYPERLINK("https://us2.cloudbeds.com/connect/10074733072513#/reservations/31692780081383?display=Christian%20Draper&amp;reservation_id=31692780081383&amp;guest_id=31692780081367", "Christian Draper")</f>
        <v>Christian Draper</v>
      </c>
      <c r="E9188" t="s">
        <v>7626</v>
      </c>
      <c r="F9188" t="s">
        <v>7627</v>
      </c>
      <c r="G9188">
        <v>159</v>
      </c>
      <c r="H9188">
        <v>172.84</v>
      </c>
      <c r="I9188">
        <v>172.83</v>
      </c>
      <c r="J9188">
        <v>0.01</v>
      </c>
    </row>
    <row r="9189" spans="1:10" x14ac:dyDescent="0.3">
      <c r="A9189" t="str">
        <f>HYPERLINK("https://us2.cloudbeds.com/connect/10074733072513#/reservations/31684503261324?display=MHENGDK3B&amp;reservation_id=31684503261324", "MHENGDK3B")</f>
        <v>MHENGDK3B</v>
      </c>
      <c r="B9189" t="s">
        <v>10</v>
      </c>
      <c r="C9189" t="s">
        <v>42</v>
      </c>
      <c r="D9189" t="str">
        <f>HYPERLINK("https://us2.cloudbeds.com/connect/10074733072513#/reservations/31684503261324?display=Rich%20Widman&amp;reservation_id=31684503261324&amp;guest_id=31684503257238", "Rich Widman")</f>
        <v>Rich Widman</v>
      </c>
      <c r="E9189" t="s">
        <v>7629</v>
      </c>
      <c r="F9189" t="s">
        <v>7211</v>
      </c>
      <c r="G9189">
        <v>238</v>
      </c>
      <c r="H9189">
        <v>258.72000000000003</v>
      </c>
      <c r="I9189">
        <v>258.70999999999998</v>
      </c>
      <c r="J9189">
        <v>0.01</v>
      </c>
    </row>
    <row r="9190" spans="1:10" x14ac:dyDescent="0.3">
      <c r="A9190" t="str">
        <f>HYPERLINK("https://us2.cloudbeds.com/connect/10074733072513#/reservations/31692808106239?display=MHY4N95AF&amp;reservation_id=31692808106239", "MHY4N95AF")</f>
        <v>MHY4N95AF</v>
      </c>
      <c r="B9190" t="s">
        <v>10</v>
      </c>
      <c r="C9190" t="s">
        <v>23</v>
      </c>
      <c r="D9190" t="str">
        <f>HYPERLINK("https://us2.cloudbeds.com/connect/10074733072513#/reservations/31692808106239?display=Alexis%20Volkers&amp;reservation_id=31692808106239&amp;guest_id=31692808106227", "Alexis Volkers")</f>
        <v>Alexis Volkers</v>
      </c>
      <c r="E9190" t="s">
        <v>7630</v>
      </c>
      <c r="F9190" t="s">
        <v>7426</v>
      </c>
      <c r="G9190">
        <v>169</v>
      </c>
      <c r="H9190">
        <v>183.71</v>
      </c>
      <c r="I9190">
        <v>183.7</v>
      </c>
      <c r="J9190">
        <v>0.01</v>
      </c>
    </row>
    <row r="9191" spans="1:10" x14ac:dyDescent="0.3">
      <c r="A9191" t="str">
        <f>HYPERLINK("https://us2.cloudbeds.com/connect/10074733072513#/reservations/31691242668193?display=MHJUN8HQU&amp;reservation_id=31691242668193", "MHJUN8HQU")</f>
        <v>MHJUN8HQU</v>
      </c>
      <c r="B9191" t="s">
        <v>10</v>
      </c>
      <c r="C9191" t="s">
        <v>42</v>
      </c>
      <c r="D9191" t="str">
        <f>HYPERLINK("https://us2.cloudbeds.com/connect/10074733072513#/reservations/31691242668193?display=Stacey%20Tschetter&amp;reservation_id=31691242668193&amp;guest_id=31691233456324", "Stacey Tschetter")</f>
        <v>Stacey Tschetter</v>
      </c>
      <c r="E9191" t="s">
        <v>7632</v>
      </c>
      <c r="F9191" t="s">
        <v>5552</v>
      </c>
      <c r="G9191">
        <v>139</v>
      </c>
      <c r="H9191">
        <v>151.1</v>
      </c>
      <c r="I9191">
        <v>151.09</v>
      </c>
      <c r="J9191">
        <v>0.01</v>
      </c>
    </row>
    <row r="9192" spans="1:10" x14ac:dyDescent="0.3">
      <c r="A9192" t="str">
        <f>HYPERLINK("https://us2.cloudbeds.com/connect/10074733072513#/reservations/31683057119421?display=MHDJHWJ3E&amp;reservation_id=31683057119421", "MHDJHWJ3E")</f>
        <v>MHDJHWJ3E</v>
      </c>
      <c r="B9192" t="s">
        <v>10</v>
      </c>
      <c r="C9192" t="s">
        <v>42</v>
      </c>
      <c r="D9192" t="str">
        <f>HYPERLINK("https://us2.cloudbeds.com/connect/10074733072513#/reservations/31683057119421?display=Edward%20Townsley&amp;reservation_id=31683057119421&amp;guest_id=31683057119409", "Edward Townsley")</f>
        <v>Edward Townsley</v>
      </c>
      <c r="E9192" t="s">
        <v>7634</v>
      </c>
      <c r="F9192" t="s">
        <v>7269</v>
      </c>
      <c r="G9192">
        <v>189</v>
      </c>
      <c r="H9192">
        <v>205.45</v>
      </c>
      <c r="I9192">
        <v>205.44</v>
      </c>
      <c r="J9192">
        <v>0.01</v>
      </c>
    </row>
    <row r="9193" spans="1:10" x14ac:dyDescent="0.3">
      <c r="A9193" t="str">
        <f>HYPERLINK("https://us2.cloudbeds.com/connect/10074733072513#/reservations/31686977659071?display=MHGKNTCB8&amp;reservation_id=31686977659071", "MHGKNTCB8")</f>
        <v>MHGKNTCB8</v>
      </c>
      <c r="B9193" t="s">
        <v>10</v>
      </c>
      <c r="C9193" t="s">
        <v>23</v>
      </c>
      <c r="D9193" t="str">
        <f>HYPERLINK("https://us2.cloudbeds.com/connect/10074733072513#/reservations/31686977659071?display=Leann%20Conn&amp;reservation_id=31686977659071&amp;guest_id=31686977659052", "Leann Conn")</f>
        <v>Leann Conn</v>
      </c>
      <c r="E9193" t="s">
        <v>7635</v>
      </c>
      <c r="F9193" t="s">
        <v>7608</v>
      </c>
      <c r="G9193">
        <v>218</v>
      </c>
      <c r="H9193">
        <v>236.98</v>
      </c>
      <c r="I9193">
        <v>236.97</v>
      </c>
      <c r="J9193">
        <v>0.01</v>
      </c>
    </row>
    <row r="9194" spans="1:10" x14ac:dyDescent="0.3">
      <c r="A9194" t="str">
        <f>HYPERLINK("https://us2.cloudbeds.com/connect/10074733072513#/reservations/31686081126547?display=MHFUQU150&amp;reservation_id=31686081126547", "MHFUQU150")</f>
        <v>MHFUQU150</v>
      </c>
      <c r="B9194" t="s">
        <v>10</v>
      </c>
      <c r="C9194" t="s">
        <v>42</v>
      </c>
      <c r="D9194" t="str">
        <f>HYPERLINK("https://us2.cloudbeds.com/connect/10074733072513#/reservations/31686081126547?display=Kelly%20Varilek&amp;reservation_id=31686081126547&amp;guest_id=31686081126544", "Kelly Varilek")</f>
        <v>Kelly Varilek</v>
      </c>
      <c r="E9194" t="s">
        <v>7636</v>
      </c>
      <c r="F9194" t="s">
        <v>7593</v>
      </c>
      <c r="G9194">
        <v>119</v>
      </c>
      <c r="H9194">
        <v>129.36000000000001</v>
      </c>
      <c r="I9194">
        <v>129.35</v>
      </c>
      <c r="J9194">
        <v>0.01</v>
      </c>
    </row>
    <row r="9195" spans="1:10" x14ac:dyDescent="0.3">
      <c r="A9195" t="str">
        <f>HYPERLINK("https://us2.cloudbeds.com/connect/10074733072513#/reservations/31691272732847?display=MHJVFK4D1&amp;reservation_id=31691272732847", "MHJVFK4D1")</f>
        <v>MHJVFK4D1</v>
      </c>
      <c r="B9195" t="s">
        <v>10</v>
      </c>
      <c r="C9195" t="s">
        <v>23</v>
      </c>
      <c r="D9195" t="str">
        <f>HYPERLINK("https://us2.cloudbeds.com/connect/10074733072513#/reservations/31691272732847?display=Ryan%20Johnson&amp;reservation_id=31691272732847&amp;guest_id=31689624715474", "Ryan Johnson")</f>
        <v>Ryan Johnson</v>
      </c>
      <c r="E9195" t="s">
        <v>7374</v>
      </c>
      <c r="F9195" t="s">
        <v>5552</v>
      </c>
      <c r="G9195">
        <v>109</v>
      </c>
      <c r="H9195">
        <v>118.49</v>
      </c>
      <c r="I9195">
        <v>118.48</v>
      </c>
      <c r="J9195">
        <v>0.01</v>
      </c>
    </row>
    <row r="9196" spans="1:10" x14ac:dyDescent="0.3">
      <c r="A9196" t="str">
        <f>HYPERLINK("https://us2.cloudbeds.com/connect/10074733072513#/reservations/31691312013474?display=MHJWFZ5P2&amp;reservation_id=31691312013474", "MHJWFZ5P2")</f>
        <v>MHJWFZ5P2</v>
      </c>
      <c r="B9196" t="s">
        <v>10</v>
      </c>
      <c r="C9196" t="s">
        <v>42</v>
      </c>
      <c r="D9196" t="str">
        <f>HYPERLINK("https://us2.cloudbeds.com/connect/10074733072513#/reservations/31691312013474?display=Brent%20Stadt&amp;reservation_id=31691312013474&amp;guest_id=31691303239881", "Brent Stadt")</f>
        <v>Brent Stadt</v>
      </c>
      <c r="E9196" t="s">
        <v>7637</v>
      </c>
      <c r="F9196" t="s">
        <v>5552</v>
      </c>
      <c r="G9196">
        <v>129</v>
      </c>
      <c r="H9196">
        <v>140.22999999999999</v>
      </c>
      <c r="I9196">
        <v>140.22</v>
      </c>
      <c r="J9196">
        <v>0.01</v>
      </c>
    </row>
    <row r="9197" spans="1:10" x14ac:dyDescent="0.3">
      <c r="A9197" t="str">
        <f>HYPERLINK("https://us2.cloudbeds.com/connect/10074733072513#/reservations/31686116434098?display=MHFVNMH4Q&amp;reservation_id=31686116434098", "MHFVNMH4Q")</f>
        <v>MHFVNMH4Q</v>
      </c>
      <c r="B9197" t="s">
        <v>10</v>
      </c>
      <c r="C9197" t="s">
        <v>42</v>
      </c>
      <c r="D9197" t="str">
        <f>HYPERLINK("https://us2.cloudbeds.com/connect/10074733072513#/reservations/31686116434098?display=Paul%20Stevenson&amp;reservation_id=31686116434098&amp;guest_id=31679659221242", "Paul Stevenson")</f>
        <v>Paul Stevenson</v>
      </c>
      <c r="E9197" t="s">
        <v>6445</v>
      </c>
      <c r="F9197" t="s">
        <v>7638</v>
      </c>
      <c r="G9197">
        <v>150</v>
      </c>
      <c r="H9197">
        <v>163.06</v>
      </c>
      <c r="I9197">
        <v>163.05000000000001</v>
      </c>
      <c r="J9197">
        <v>0.01</v>
      </c>
    </row>
    <row r="9198" spans="1:10" x14ac:dyDescent="0.3">
      <c r="A9198" t="str">
        <f>HYPERLINK("https://us2.cloudbeds.com/connect/10074733072513#/reservations/31686835490961?display=MHGH30B3N&amp;reservation_id=31686835490961", "MHGH30B3N")</f>
        <v>MHGH30B3N</v>
      </c>
      <c r="B9198" t="s">
        <v>10</v>
      </c>
      <c r="C9198" t="s">
        <v>23</v>
      </c>
      <c r="D9198" t="str">
        <f>HYPERLINK("https://us2.cloudbeds.com/connect/10074733072513#/reservations/31686835490961?display=Edward%20Townsley&amp;reservation_id=31686835490961&amp;guest_id=31683057119409", "Edward Townsley")</f>
        <v>Edward Townsley</v>
      </c>
      <c r="E9198" t="s">
        <v>7634</v>
      </c>
      <c r="F9198" t="s">
        <v>7593</v>
      </c>
      <c r="G9198">
        <v>535.5</v>
      </c>
      <c r="H9198">
        <v>582.1</v>
      </c>
      <c r="I9198">
        <v>582.09</v>
      </c>
      <c r="J9198">
        <v>0.01</v>
      </c>
    </row>
    <row r="9199" spans="1:10" x14ac:dyDescent="0.3">
      <c r="A9199" t="str">
        <f>HYPERLINK("https://us2.cloudbeds.com/connect/10074733072513#/reservations/31686796730610?display=MHGG3APGK&amp;reservation_id=31686796730610", "MHGG3APGK")</f>
        <v>MHGG3APGK</v>
      </c>
      <c r="B9199" t="s">
        <v>10</v>
      </c>
      <c r="C9199" t="s">
        <v>23</v>
      </c>
      <c r="D9199" t="str">
        <f>HYPERLINK("https://us2.cloudbeds.com/connect/10074733072513#/reservations/31686796730610?display=Pat%20Lawler&amp;reservation_id=31686796730610&amp;guest_id=31686789013653", "Pat Lawler")</f>
        <v>Pat Lawler</v>
      </c>
      <c r="E9199" t="s">
        <v>7640</v>
      </c>
      <c r="F9199" t="s">
        <v>7326</v>
      </c>
      <c r="G9199">
        <v>109</v>
      </c>
      <c r="H9199">
        <v>118.49</v>
      </c>
      <c r="I9199">
        <v>118.48</v>
      </c>
      <c r="J9199">
        <v>0.01</v>
      </c>
    </row>
    <row r="9200" spans="1:10" x14ac:dyDescent="0.3">
      <c r="A9200" t="str">
        <f>HYPERLINK("https://us2.cloudbeds.com/connect/10074733072513#/reservations/31685412323546?display=MHFDNVJWD&amp;reservation_id=31685412323546", "MHFDNVJWD")</f>
        <v>MHFDNVJWD</v>
      </c>
      <c r="B9200" t="s">
        <v>10</v>
      </c>
      <c r="C9200" t="s">
        <v>17</v>
      </c>
      <c r="D9200" t="str">
        <f>HYPERLINK("https://us2.cloudbeds.com/connect/10074733072513#/reservations/31685412323546?display=Susan%20Benney&amp;reservation_id=31685412323546&amp;guest_id=31685406519488", "Susan Benney")</f>
        <v>Susan Benney</v>
      </c>
      <c r="E9200" t="s">
        <v>7011</v>
      </c>
      <c r="F9200" t="s">
        <v>6899</v>
      </c>
      <c r="G9200">
        <v>322.2</v>
      </c>
      <c r="H9200">
        <v>350.24</v>
      </c>
      <c r="I9200">
        <v>350.23</v>
      </c>
      <c r="J9200">
        <v>0.01</v>
      </c>
    </row>
    <row r="9201" spans="1:10" x14ac:dyDescent="0.3">
      <c r="A9201" t="str">
        <f>HYPERLINK("https://us2.cloudbeds.com/connect/10074733072513#/reservations/31684917842109?display=MHF12WUNE&amp;reservation_id=31684917842109", "MHF12WUNE")</f>
        <v>MHF12WUNE</v>
      </c>
      <c r="B9201" t="s">
        <v>10</v>
      </c>
      <c r="C9201" t="s">
        <v>42</v>
      </c>
      <c r="D9201" t="str">
        <f>HYPERLINK("https://us2.cloudbeds.com/connect/10074733072513#/reservations/31684917842109?display=Janet%20Sands-Anderegg&amp;reservation_id=31684917842109&amp;guest_id=31684917842107", "Janet Sands-Anderegg")</f>
        <v>Janet Sands-Anderegg</v>
      </c>
      <c r="E9201" t="s">
        <v>7641</v>
      </c>
      <c r="F9201" t="s">
        <v>6175</v>
      </c>
      <c r="G9201">
        <v>129</v>
      </c>
      <c r="H9201">
        <v>140.22999999999999</v>
      </c>
      <c r="I9201">
        <v>140.22</v>
      </c>
      <c r="J9201">
        <v>0.01</v>
      </c>
    </row>
    <row r="9202" spans="1:10" x14ac:dyDescent="0.3">
      <c r="A9202" t="str">
        <f>HYPERLINK("https://us2.cloudbeds.com/connect/10074733072513#/reservations/31688091676918?display=MHHG68XXR&amp;reservation_id=31688091676918", "MHHG68XXR")</f>
        <v>MHHG68XXR</v>
      </c>
      <c r="B9202" t="s">
        <v>10</v>
      </c>
      <c r="C9202" t="s">
        <v>42</v>
      </c>
      <c r="D9202" t="str">
        <f>HYPERLINK("https://us2.cloudbeds.com/connect/10074733072513#/reservations/31688091676918?display=Diana%20Roe&amp;reservation_id=31688091676918&amp;guest_id=31688091676868", "Diana Roe")</f>
        <v>Diana Roe</v>
      </c>
      <c r="E9202" t="s">
        <v>4393</v>
      </c>
      <c r="F9202" t="s">
        <v>7372</v>
      </c>
      <c r="G9202">
        <v>139</v>
      </c>
      <c r="H9202">
        <v>151.1</v>
      </c>
      <c r="I9202">
        <v>151.09</v>
      </c>
      <c r="J9202">
        <v>0.01</v>
      </c>
    </row>
    <row r="9203" spans="1:10" x14ac:dyDescent="0.3">
      <c r="A9203" t="str">
        <f>HYPERLINK("https://us2.cloudbeds.com/connect/10074733072513#/reservations/31688067313846?display=MHHFXNKJU&amp;reservation_id=31688067313846", "MHHFXNKJU")</f>
        <v>MHHFXNKJU</v>
      </c>
      <c r="B9203" t="s">
        <v>10</v>
      </c>
      <c r="C9203" t="s">
        <v>42</v>
      </c>
      <c r="D9203" t="str">
        <f>HYPERLINK("https://us2.cloudbeds.com/connect/10074733072513#/reservations/31688067313846?display=Suzanne%20Hamilton&amp;reservation_id=31688067313846&amp;guest_id=31688067313841", "Suzanne Hamilton")</f>
        <v>Suzanne Hamilton</v>
      </c>
      <c r="E9203" t="s">
        <v>7642</v>
      </c>
      <c r="F9203" t="s">
        <v>7367</v>
      </c>
      <c r="G9203">
        <v>278</v>
      </c>
      <c r="H9203">
        <v>302.2</v>
      </c>
      <c r="I9203">
        <v>302.19</v>
      </c>
      <c r="J9203">
        <v>0.01</v>
      </c>
    </row>
    <row r="9204" spans="1:10" x14ac:dyDescent="0.3">
      <c r="A9204" t="str">
        <f>HYPERLINK("https://us2.cloudbeds.com/connect/10074733072513#/reservations/31690367324291?display=MHJ8B4QJ4&amp;reservation_id=31690367324291", "MHJ8B4QJ4")</f>
        <v>MHJ8B4QJ4</v>
      </c>
      <c r="B9204" t="s">
        <v>10</v>
      </c>
      <c r="C9204" t="s">
        <v>42</v>
      </c>
      <c r="D9204" t="str">
        <f>HYPERLINK("https://us2.cloudbeds.com/connect/10074733072513#/reservations/31690367324291?display=Kate%20Ortner&amp;reservation_id=31690367324291&amp;guest_id=31690367320197", "Kate Ortner")</f>
        <v>Kate Ortner</v>
      </c>
      <c r="E9204" t="s">
        <v>7643</v>
      </c>
      <c r="F9204" t="s">
        <v>5552</v>
      </c>
      <c r="G9204">
        <v>109</v>
      </c>
      <c r="H9204">
        <v>118.49</v>
      </c>
      <c r="I9204">
        <v>118.48</v>
      </c>
      <c r="J9204">
        <v>0.01</v>
      </c>
    </row>
    <row r="9205" spans="1:10" x14ac:dyDescent="0.3">
      <c r="A9205" t="str">
        <f>HYPERLINK("https://us2.cloudbeds.com/connect/10074733072513#/reservations/31690348679347?display=MHJ7SDWDR&amp;reservation_id=31690348679347", "MHJ7SDWDR")</f>
        <v>MHJ7SDWDR</v>
      </c>
      <c r="B9205" t="s">
        <v>10</v>
      </c>
      <c r="C9205" t="s">
        <v>42</v>
      </c>
      <c r="D9205" t="str">
        <f>HYPERLINK("https://us2.cloudbeds.com/connect/10074733072513#/reservations/31690348679347?display=Alejandro%20Cesar&amp;reservation_id=31690348679347&amp;guest_id=31690333065436", "Alejandro Cesar")</f>
        <v>Alejandro Cesar</v>
      </c>
      <c r="E9205" t="s">
        <v>7645</v>
      </c>
      <c r="F9205" t="s">
        <v>5552</v>
      </c>
      <c r="G9205">
        <v>218</v>
      </c>
      <c r="H9205">
        <v>236.98</v>
      </c>
      <c r="I9205">
        <v>236.97</v>
      </c>
      <c r="J9205">
        <v>0.01</v>
      </c>
    </row>
    <row r="9206" spans="1:10" x14ac:dyDescent="0.3">
      <c r="A9206" t="str">
        <f>HYPERLINK("https://us2.cloudbeds.com/connect/10074733072513#/reservations/31687992717529?display=MHHDYQSPF&amp;reservation_id=31687992717529", "MHHDYQSPF")</f>
        <v>MHHDYQSPF</v>
      </c>
      <c r="B9206" t="s">
        <v>10</v>
      </c>
      <c r="C9206" t="s">
        <v>42</v>
      </c>
      <c r="D9206" t="str">
        <f>HYPERLINK("https://us2.cloudbeds.com/connect/10074733072513#/reservations/31687992717529?display=Christopher%20Flitton&amp;reservation_id=31687992717529&amp;guest_id=31687987245246", "Christopher Flitton")</f>
        <v>Christopher Flitton</v>
      </c>
      <c r="E9206" t="s">
        <v>7646</v>
      </c>
      <c r="F9206" t="s">
        <v>7608</v>
      </c>
      <c r="G9206">
        <v>73</v>
      </c>
      <c r="H9206">
        <v>79.36</v>
      </c>
      <c r="I9206">
        <v>79.349999999999994</v>
      </c>
      <c r="J9206">
        <v>0.01</v>
      </c>
    </row>
    <row r="9207" spans="1:10" x14ac:dyDescent="0.3">
      <c r="A9207" t="str">
        <f>HYPERLINK("https://us2.cloudbeds.com/connect/10074733072513#/reservations/31687987245187?display=MHHDH6JYU&amp;reservation_id=31687987245187", "MHHDH6JYU")</f>
        <v>MHHDH6JYU</v>
      </c>
      <c r="B9207" t="s">
        <v>10</v>
      </c>
      <c r="C9207" t="s">
        <v>42</v>
      </c>
      <c r="D9207" t="str">
        <f>HYPERLINK("https://us2.cloudbeds.com/connect/10074733072513#/reservations/31687987245187?display=Kevin%20Stalter&amp;reservation_id=31687987245187&amp;guest_id=31687975850153", "Kevin Stalter")</f>
        <v>Kevin Stalter</v>
      </c>
      <c r="E9207" t="s">
        <v>7647</v>
      </c>
      <c r="F9207" t="s">
        <v>7608</v>
      </c>
      <c r="G9207">
        <v>73</v>
      </c>
      <c r="H9207">
        <v>79.36</v>
      </c>
      <c r="I9207">
        <v>79.349999999999994</v>
      </c>
      <c r="J9207">
        <v>0.01</v>
      </c>
    </row>
    <row r="9208" spans="1:10" x14ac:dyDescent="0.3">
      <c r="A9208" t="str">
        <f>HYPERLINK("https://us2.cloudbeds.com/connect/10074733072513#/reservations/31691286876315?display=MHJVRHMVW&amp;reservation_id=31691286876315", "MHJVRHMVW")</f>
        <v>MHJVRHMVW</v>
      </c>
      <c r="B9208" t="s">
        <v>10</v>
      </c>
      <c r="C9208" t="s">
        <v>121</v>
      </c>
      <c r="D9208" t="str">
        <f>HYPERLINK("https://us2.cloudbeds.com/connect/10074733072513#/reservations/31691286876315?display=Nicasio%20Iii%20Moya&amp;reservation_id=31691286876315&amp;guest_id=31691286872223", "Nicasio Iii Moya")</f>
        <v>Nicasio Iii Moya</v>
      </c>
      <c r="E9208" t="s">
        <v>7651</v>
      </c>
      <c r="F9208" t="s">
        <v>5552</v>
      </c>
      <c r="G9208">
        <v>109</v>
      </c>
      <c r="H9208">
        <v>118.49</v>
      </c>
      <c r="I9208">
        <v>118.48</v>
      </c>
      <c r="J9208">
        <v>0.01</v>
      </c>
    </row>
    <row r="9209" spans="1:10" x14ac:dyDescent="0.3">
      <c r="A9209" t="str">
        <f>HYPERLINK("https://us2.cloudbeds.com/connect/10074733072513#/reservations/31690296541343?display=MHJ6HF5FA&amp;reservation_id=31690296541343", "MHJ6HF5FA")</f>
        <v>MHJ6HF5FA</v>
      </c>
      <c r="B9209" t="s">
        <v>10</v>
      </c>
      <c r="C9209" t="s">
        <v>23</v>
      </c>
      <c r="D9209" t="str">
        <f>HYPERLINK("https://us2.cloudbeds.com/connect/10074733072513#/reservations/31690296541343?display=Kelly%20Mcdonald&amp;reservation_id=31690296541343&amp;guest_id=31690296541318", "Kelly Mcdonald")</f>
        <v>Kelly Mcdonald</v>
      </c>
      <c r="E9209" t="s">
        <v>7652</v>
      </c>
      <c r="F9209" t="s">
        <v>5552</v>
      </c>
      <c r="G9209">
        <v>218</v>
      </c>
      <c r="H9209">
        <v>236.98</v>
      </c>
      <c r="I9209">
        <v>236.97</v>
      </c>
      <c r="J9209">
        <v>0.01</v>
      </c>
    </row>
    <row r="9210" spans="1:10" x14ac:dyDescent="0.3">
      <c r="A9210" t="str">
        <f>HYPERLINK("https://us2.cloudbeds.com/connect/10074733072513#/reservations/31687557329151?display=MHH2HMX38&amp;reservation_id=31687557329151", "MHH2HMX38")</f>
        <v>MHH2HMX38</v>
      </c>
      <c r="B9210" t="s">
        <v>10</v>
      </c>
      <c r="C9210" t="s">
        <v>20</v>
      </c>
      <c r="D9210" t="str">
        <f>HYPERLINK("https://us2.cloudbeds.com/connect/10074733072513#/reservations/31687557329151?display=Jim%20Garvin&amp;reservation_id=31687557329151&amp;guest_id=31687557329146", "Jim Garvin")</f>
        <v>Jim Garvin</v>
      </c>
      <c r="E9210" t="s">
        <v>7653</v>
      </c>
      <c r="F9210" t="s">
        <v>7211</v>
      </c>
      <c r="G9210">
        <v>258</v>
      </c>
      <c r="H9210">
        <v>280.45999999999998</v>
      </c>
      <c r="I9210">
        <v>280.45</v>
      </c>
      <c r="J9210">
        <v>0.01</v>
      </c>
    </row>
    <row r="9211" spans="1:10" x14ac:dyDescent="0.3">
      <c r="A9211" t="str">
        <f>HYPERLINK("https://us2.cloudbeds.com/connect/10074733072513#/reservations/31685694718147?display=MHFKV2YGX&amp;reservation_id=31685694718147", "MHFKV2YGX")</f>
        <v>MHFKV2YGX</v>
      </c>
      <c r="B9211" t="s">
        <v>10</v>
      </c>
      <c r="C9211" t="s">
        <v>42</v>
      </c>
      <c r="D9211" t="str">
        <f>HYPERLINK("https://us2.cloudbeds.com/connect/10074733072513#/reservations/31685694718147?display=John%20Lafave&amp;reservation_id=31685694718147&amp;guest_id=31685685395683", "John Lafave")</f>
        <v>John Lafave</v>
      </c>
      <c r="E9211" t="s">
        <v>7654</v>
      </c>
      <c r="F9211" t="s">
        <v>7303</v>
      </c>
      <c r="G9211">
        <v>411.3</v>
      </c>
      <c r="H9211">
        <v>447.09</v>
      </c>
      <c r="I9211">
        <v>447.08</v>
      </c>
      <c r="J9211">
        <v>0.01</v>
      </c>
    </row>
    <row r="9212" spans="1:10" x14ac:dyDescent="0.3">
      <c r="A9212" t="str">
        <f>HYPERLINK("https://us2.cloudbeds.com/connect/10074733072513#/reservations/31684563292292?display=MHEP111VJ&amp;reservation_id=31684563292292", "MHEP111VJ")</f>
        <v>MHEP111VJ</v>
      </c>
      <c r="B9212" t="s">
        <v>10</v>
      </c>
      <c r="C9212" t="s">
        <v>23</v>
      </c>
      <c r="D9212" t="str">
        <f>HYPERLINK("https://us2.cloudbeds.com/connect/10074733072513#/reservations/31684563292292?display=Barbara%20Meekhof&amp;reservation_id=31684563292292&amp;guest_id=31684552425715", "Barbara Meekhof")</f>
        <v>Barbara Meekhof</v>
      </c>
      <c r="E9212" t="s">
        <v>7655</v>
      </c>
      <c r="F9212" t="s">
        <v>7303</v>
      </c>
      <c r="G9212">
        <v>179</v>
      </c>
      <c r="H9212">
        <v>194.58</v>
      </c>
      <c r="I9212">
        <v>194.57</v>
      </c>
      <c r="J9212">
        <v>0.01</v>
      </c>
    </row>
    <row r="9213" spans="1:10" x14ac:dyDescent="0.3">
      <c r="A9213" t="str">
        <f>HYPERLINK("https://us2.cloudbeds.com/connect/10074733072513#/reservations/31687524618415?display=MHH1N3AMR&amp;reservation_id=31687524618415", "MHH1N3AMR")</f>
        <v>MHH1N3AMR</v>
      </c>
      <c r="B9213" t="s">
        <v>10</v>
      </c>
      <c r="C9213" t="s">
        <v>17</v>
      </c>
      <c r="D9213" t="str">
        <f>HYPERLINK("https://us2.cloudbeds.com/connect/10074733072513#/reservations/31687524618415?display=Brian%20Herbst&amp;reservation_id=31687524618415&amp;guest_id=31687524618395", "Brian Herbst")</f>
        <v>Brian Herbst</v>
      </c>
      <c r="E9213" t="s">
        <v>4333</v>
      </c>
      <c r="F9213" t="s">
        <v>7211</v>
      </c>
      <c r="G9213">
        <v>238</v>
      </c>
      <c r="H9213">
        <v>258.72000000000003</v>
      </c>
      <c r="I9213">
        <v>258.70999999999998</v>
      </c>
      <c r="J9213">
        <v>0.01</v>
      </c>
    </row>
    <row r="9214" spans="1:10" x14ac:dyDescent="0.3">
      <c r="A9214" t="str">
        <f>HYPERLINK("https://us2.cloudbeds.com/connect/10074733072513#/reservations/31686088831223?display=MHFV0DE51&amp;reservation_id=31686088831223", "MHFV0DE51")</f>
        <v>MHFV0DE51</v>
      </c>
      <c r="B9214" t="s">
        <v>10</v>
      </c>
      <c r="C9214" t="s">
        <v>42</v>
      </c>
      <c r="D9214" t="str">
        <f>HYPERLINK("https://us2.cloudbeds.com/connect/10074733072513#/reservations/31686088831223?display=Josh%20Grooters&amp;reservation_id=31686088831223&amp;guest_id=31686079623326", "Josh Grooters")</f>
        <v>Josh Grooters</v>
      </c>
      <c r="E9214" t="s">
        <v>7622</v>
      </c>
      <c r="F9214" t="s">
        <v>7638</v>
      </c>
      <c r="G9214">
        <v>416</v>
      </c>
      <c r="H9214">
        <v>452.2</v>
      </c>
      <c r="I9214">
        <v>452.19</v>
      </c>
      <c r="J9214">
        <v>0.01</v>
      </c>
    </row>
    <row r="9215" spans="1:10" x14ac:dyDescent="0.3">
      <c r="A9215" t="str">
        <f>HYPERLINK("https://us2.cloudbeds.com/connect/10074733072513#/reservations/31683108286682?display=MHDKS4CYF&amp;reservation_id=31683108286682", "MHDKS4CYF")</f>
        <v>MHDKS4CYF</v>
      </c>
      <c r="B9215" t="s">
        <v>10</v>
      </c>
      <c r="C9215" t="s">
        <v>121</v>
      </c>
      <c r="D9215" t="str">
        <f>HYPERLINK("https://us2.cloudbeds.com/connect/10074733072513#/reservations/31683108286682?display=Hugo%20Mora%20Bautista&amp;reservation_id=31683108286682&amp;guest_id=31683108282588", "Hugo Mora Bautista")</f>
        <v>Hugo Mora Bautista</v>
      </c>
      <c r="E9215" t="s">
        <v>7660</v>
      </c>
      <c r="F9215" t="s">
        <v>7661</v>
      </c>
      <c r="G9215">
        <v>119</v>
      </c>
      <c r="H9215">
        <v>129.36000000000001</v>
      </c>
      <c r="I9215">
        <v>129.35</v>
      </c>
      <c r="J9215">
        <v>0.01</v>
      </c>
    </row>
    <row r="9216" spans="1:10" x14ac:dyDescent="0.3">
      <c r="A9216" t="str">
        <f>HYPERLINK("https://us2.cloudbeds.com/connect/10074733072513#/reservations/31686050128000?display=MHFU0PB9U&amp;reservation_id=31686050128000", "MHFU0PB9U")</f>
        <v>MHFU0PB9U</v>
      </c>
      <c r="B9216" t="s">
        <v>10</v>
      </c>
      <c r="C9216" t="s">
        <v>42</v>
      </c>
      <c r="D9216" t="str">
        <f>HYPERLINK("https://us2.cloudbeds.com/connect/10074733072513#/reservations/31686050128000?display=Jeff%20Ven&amp;reservation_id=31686050128000&amp;guest_id=31686050123904", "Jeff Ven")</f>
        <v>Jeff Ven</v>
      </c>
      <c r="E9216" t="s">
        <v>7662</v>
      </c>
      <c r="F9216" t="s">
        <v>7663</v>
      </c>
      <c r="G9216">
        <v>99</v>
      </c>
      <c r="H9216">
        <v>107.62</v>
      </c>
      <c r="I9216">
        <v>107.61</v>
      </c>
      <c r="J9216">
        <v>0.01</v>
      </c>
    </row>
    <row r="9217" spans="1:10" x14ac:dyDescent="0.3">
      <c r="A9217" t="str">
        <f>HYPERLINK("https://us2.cloudbeds.com/connect/10074733072513#/reservations/31686020567192?display=MHFT8RT31&amp;reservation_id=31686020567192", "MHFT8RT31")</f>
        <v>MHFT8RT31</v>
      </c>
      <c r="B9217" t="s">
        <v>10</v>
      </c>
      <c r="C9217" t="s">
        <v>121</v>
      </c>
      <c r="D9217" t="str">
        <f>HYPERLINK("https://us2.cloudbeds.com/connect/10074733072513#/reservations/31686020567192?display=Matthew%20Ashley&amp;reservation_id=31686020567192&amp;guest_id=31686020567187", "Matthew Ashley")</f>
        <v>Matthew Ashley</v>
      </c>
      <c r="E9217" t="s">
        <v>7664</v>
      </c>
      <c r="F9217" t="s">
        <v>7618</v>
      </c>
      <c r="G9217">
        <v>225</v>
      </c>
      <c r="H9217">
        <v>244.59</v>
      </c>
      <c r="I9217">
        <v>244.58</v>
      </c>
      <c r="J9217">
        <v>0.01</v>
      </c>
    </row>
    <row r="9218" spans="1:10" x14ac:dyDescent="0.3">
      <c r="A9218" t="str">
        <f>HYPERLINK("https://us2.cloudbeds.com/connect/10074733072513#/reservations/31686140846281?display=MHFWB8R6U&amp;reservation_id=31686140846281", "MHFWB8R6U")</f>
        <v>MHFWB8R6U</v>
      </c>
      <c r="B9218" t="s">
        <v>10</v>
      </c>
      <c r="C9218" t="s">
        <v>42</v>
      </c>
      <c r="D9218" t="str">
        <f>HYPERLINK("https://us2.cloudbeds.com/connect/10074733072513#/reservations/31686140846281?display=Paul%20Gerber&amp;reservation_id=31686140846281&amp;guest_id=31686132793508", "Paul Gerber")</f>
        <v>Paul Gerber</v>
      </c>
      <c r="E9218" t="s">
        <v>7667</v>
      </c>
      <c r="F9218" t="s">
        <v>7638</v>
      </c>
      <c r="G9218">
        <v>150</v>
      </c>
      <c r="H9218">
        <v>163.06</v>
      </c>
      <c r="I9218">
        <v>163.05000000000001</v>
      </c>
      <c r="J9218">
        <v>0.01</v>
      </c>
    </row>
    <row r="9219" spans="1:10" x14ac:dyDescent="0.3">
      <c r="A9219" t="str">
        <f>HYPERLINK("https://us2.cloudbeds.com/connect/10074733072513#/reservations/31686064402579?display=MHFUCQYW3&amp;reservation_id=31686064402579", "MHFUCQYW3")</f>
        <v>MHFUCQYW3</v>
      </c>
      <c r="B9219" t="s">
        <v>10</v>
      </c>
      <c r="C9219" t="s">
        <v>42</v>
      </c>
      <c r="D9219" t="str">
        <f>HYPERLINK("https://us2.cloudbeds.com/connect/10074733072513#/reservations/31686064402579?display=Denise%20Duffy&amp;reservation_id=31686064402579&amp;guest_id=31678748758211", "Denise Duffy")</f>
        <v>Denise Duffy</v>
      </c>
      <c r="E9219" t="s">
        <v>6566</v>
      </c>
      <c r="F9219" t="s">
        <v>7593</v>
      </c>
      <c r="G9219">
        <v>178</v>
      </c>
      <c r="H9219">
        <v>193.5</v>
      </c>
      <c r="I9219">
        <v>193.49</v>
      </c>
      <c r="J9219">
        <v>0.01</v>
      </c>
    </row>
    <row r="9220" spans="1:10" x14ac:dyDescent="0.3">
      <c r="A9220" t="str">
        <f>HYPERLINK("https://us2.cloudbeds.com/connect/10074733072513#/reservations/31686789386440?display=MHGFU4DX0&amp;reservation_id=31686789386440", "MHGFU4DX0")</f>
        <v>MHGFU4DX0</v>
      </c>
      <c r="B9220" t="s">
        <v>10</v>
      </c>
      <c r="C9220" t="s">
        <v>42</v>
      </c>
      <c r="D9220" t="str">
        <f>HYPERLINK("https://us2.cloudbeds.com/connect/10074733072513#/reservations/31686789386440?display=Gary%20Neshem&amp;reservation_id=31686789386440&amp;guest_id=31686789386435", "Gary Neshem")</f>
        <v>Gary Neshem</v>
      </c>
      <c r="E9220" t="s">
        <v>7668</v>
      </c>
      <c r="F9220" t="s">
        <v>7593</v>
      </c>
      <c r="G9220">
        <v>119</v>
      </c>
      <c r="H9220">
        <v>129.36000000000001</v>
      </c>
      <c r="I9220">
        <v>129.35</v>
      </c>
      <c r="J9220">
        <v>0.01</v>
      </c>
    </row>
    <row r="9221" spans="1:10" x14ac:dyDescent="0.3">
      <c r="A9221" t="str">
        <f>HYPERLINK("https://us2.cloudbeds.com/connect/10074733072513#/reservations/31691926364378?display=MHKF5PD04&amp;reservation_id=31691926364378", "MHKF5PD04")</f>
        <v>MHKF5PD04</v>
      </c>
      <c r="B9221" t="s">
        <v>10</v>
      </c>
      <c r="C9221" t="s">
        <v>42</v>
      </c>
      <c r="D9221" t="str">
        <f>HYPERLINK("https://us2.cloudbeds.com/connect/10074733072513#/reservations/31691926364378?display=Constantinos%20Economopoulos&amp;reservation_id=31691926364378&amp;guest_id=31691918405763", "Constantinos Economopoulos")</f>
        <v>Constantinos Economopoulos</v>
      </c>
      <c r="E9221" t="s">
        <v>7669</v>
      </c>
      <c r="F9221" t="s">
        <v>7367</v>
      </c>
      <c r="G9221">
        <v>339</v>
      </c>
      <c r="H9221">
        <v>368.5</v>
      </c>
      <c r="I9221">
        <v>368.49</v>
      </c>
      <c r="J9221">
        <v>0.01</v>
      </c>
    </row>
    <row r="9222" spans="1:10" x14ac:dyDescent="0.3">
      <c r="A9222" t="str">
        <f>HYPERLINK("https://us2.cloudbeds.com/connect/10074733072513#/reservations/31684120355053?display=MHEDNHMC0&amp;reservation_id=31684120355053", "MHEDNHMC0")</f>
        <v>MHEDNHMC0</v>
      </c>
      <c r="B9222" t="s">
        <v>10</v>
      </c>
      <c r="C9222" t="s">
        <v>42</v>
      </c>
      <c r="D9222" t="str">
        <f>HYPERLINK("https://us2.cloudbeds.com/connect/10074733072513#/reservations/31684120355053?display=Bryan%20Epperson&amp;reservation_id=31684120355053&amp;guest_id=31684120355051", "Bryan Epperson")</f>
        <v>Bryan Epperson</v>
      </c>
      <c r="E9222" t="s">
        <v>7369</v>
      </c>
      <c r="F9222" t="s">
        <v>7618</v>
      </c>
      <c r="G9222">
        <v>109</v>
      </c>
      <c r="H9222">
        <v>118.49</v>
      </c>
      <c r="I9222">
        <v>118.48</v>
      </c>
      <c r="J9222">
        <v>0.01</v>
      </c>
    </row>
    <row r="9223" spans="1:10" x14ac:dyDescent="0.3">
      <c r="A9223" t="str">
        <f>HYPERLINK("https://us2.cloudbeds.com/connect/10074733072513#/reservations/31686048342145?display=MHFTW8P39&amp;reservation_id=31686048342145", "MHFTW8P39")</f>
        <v>MHFTW8P39</v>
      </c>
      <c r="B9223" t="s">
        <v>10</v>
      </c>
      <c r="C9223" t="s">
        <v>42</v>
      </c>
      <c r="D9223" t="str">
        <f>HYPERLINK("https://us2.cloudbeds.com/connect/10074733072513#/reservations/31686048342145?display=Brian%20Reynoldson&amp;reservation_id=31686048342145&amp;guest_id=31686048338059", "Brian Reynoldson")</f>
        <v>Brian Reynoldson</v>
      </c>
      <c r="E9223" t="s">
        <v>7671</v>
      </c>
      <c r="F9223" t="s">
        <v>7593</v>
      </c>
      <c r="G9223">
        <v>109</v>
      </c>
      <c r="H9223">
        <v>118.49</v>
      </c>
      <c r="I9223">
        <v>118.48</v>
      </c>
      <c r="J9223">
        <v>0.01</v>
      </c>
    </row>
    <row r="9224" spans="1:10" x14ac:dyDescent="0.3">
      <c r="A9224" t="str">
        <f>HYPERLINK("https://us2.cloudbeds.com/connect/10074733072513#/reservations/31684177608907?display=MHEF5QS29&amp;reservation_id=31684177608907", "MHEF5QS29")</f>
        <v>MHEF5QS29</v>
      </c>
      <c r="B9224" t="s">
        <v>10</v>
      </c>
      <c r="C9224" t="s">
        <v>14</v>
      </c>
      <c r="D9224" t="str">
        <f>HYPERLINK("https://us2.cloudbeds.com/connect/10074733072513#/reservations/31684177608907?display=Greg%20Fry&amp;reservation_id=31684177608907&amp;guest_id=31684177608905", "Greg Fry")</f>
        <v>Greg Fry</v>
      </c>
      <c r="E9224" t="s">
        <v>7672</v>
      </c>
      <c r="F9224" t="s">
        <v>7618</v>
      </c>
      <c r="G9224">
        <v>87.82</v>
      </c>
      <c r="H9224">
        <v>95.47</v>
      </c>
      <c r="I9224">
        <v>95.46</v>
      </c>
      <c r="J9224">
        <v>0.01</v>
      </c>
    </row>
    <row r="9225" spans="1:10" x14ac:dyDescent="0.3">
      <c r="A9225" t="str">
        <f>HYPERLINK("https://us2.cloudbeds.com/connect/10074733072513#/reservations/31688101359792?display=MHHGEE038&amp;reservation_id=31688101359792", "MHHGEE038")</f>
        <v>MHHGEE038</v>
      </c>
      <c r="B9225" t="s">
        <v>10</v>
      </c>
      <c r="C9225" t="s">
        <v>23</v>
      </c>
      <c r="D9225" t="str">
        <f>HYPERLINK("https://us2.cloudbeds.com/connect/10074733072513#/reservations/31688101359792?display=Breanna%20Brunello&amp;reservation_id=31688101359792&amp;guest_id=31688101359790", "Breanna Brunello")</f>
        <v>Breanna Brunello</v>
      </c>
      <c r="E9225" t="s">
        <v>7674</v>
      </c>
      <c r="F9225" t="s">
        <v>7367</v>
      </c>
      <c r="G9225">
        <v>179</v>
      </c>
      <c r="H9225">
        <v>194.58</v>
      </c>
      <c r="I9225">
        <v>194.57</v>
      </c>
      <c r="J9225">
        <v>0.01</v>
      </c>
    </row>
    <row r="9226" spans="1:10" x14ac:dyDescent="0.3">
      <c r="A9226" t="str">
        <f>HYPERLINK("https://us2.cloudbeds.com/connect/10074733072513#/reservations/31686028267773?display=MHFTFB5AW&amp;reservation_id=31686028267773", "MHFTFB5AW")</f>
        <v>MHFTFB5AW</v>
      </c>
      <c r="B9226" t="s">
        <v>10</v>
      </c>
      <c r="C9226" t="s">
        <v>14</v>
      </c>
      <c r="D9226" t="str">
        <f>HYPERLINK("https://us2.cloudbeds.com/connect/10074733072513#/reservations/31686028267773?display=Shane%20Smetana&amp;reservation_id=31686028267773&amp;guest_id=31686028267771", "Shane Smetana")</f>
        <v>Shane Smetana</v>
      </c>
      <c r="E9226" t="s">
        <v>7675</v>
      </c>
      <c r="F9226" t="s">
        <v>7618</v>
      </c>
      <c r="G9226">
        <v>87.82</v>
      </c>
      <c r="H9226">
        <v>95.47</v>
      </c>
      <c r="I9226">
        <v>95.46</v>
      </c>
      <c r="J9226">
        <v>0.01</v>
      </c>
    </row>
    <row r="9227" spans="1:10" x14ac:dyDescent="0.3">
      <c r="A9227" t="str">
        <f>HYPERLINK("https://us2.cloudbeds.com/connect/10074733072513#/reservations/31688091791490?display=MHHG6BZPM&amp;reservation_id=31688091791490", "MHHG6BZPM")</f>
        <v>MHHG6BZPM</v>
      </c>
      <c r="B9227" t="s">
        <v>10</v>
      </c>
      <c r="C9227" t="s">
        <v>20</v>
      </c>
      <c r="D9227" t="str">
        <f>HYPERLINK("https://us2.cloudbeds.com/connect/10074733072513#/reservations/31688091791490?display=Britt%20Gay&amp;reservation_id=31688091791490&amp;guest_id=31688083947746", "Britt Gay")</f>
        <v>Britt Gay</v>
      </c>
      <c r="E9227" t="s">
        <v>7676</v>
      </c>
      <c r="F9227" t="s">
        <v>7367</v>
      </c>
      <c r="G9227">
        <v>179</v>
      </c>
      <c r="H9227">
        <v>194.58</v>
      </c>
      <c r="I9227">
        <v>194.57</v>
      </c>
      <c r="J9227">
        <v>0.01</v>
      </c>
    </row>
    <row r="9228" spans="1:10" x14ac:dyDescent="0.3">
      <c r="A9228" t="str">
        <f>HYPERLINK("https://us2.cloudbeds.com/connect/10074733072513#/reservations/31684148011224?display=MHEEDS89Q&amp;reservation_id=31684148011224", "MHEEDS89Q")</f>
        <v>MHEEDS89Q</v>
      </c>
      <c r="B9228" t="s">
        <v>10</v>
      </c>
      <c r="C9228" t="s">
        <v>23</v>
      </c>
      <c r="D9228" t="str">
        <f>HYPERLINK("https://us2.cloudbeds.com/connect/10074733072513#/reservations/31684148011224?display=Brianna%20Howard&amp;reservation_id=31684148011224&amp;guest_id=31684148011222", "Brianna Howard")</f>
        <v>Brianna Howard</v>
      </c>
      <c r="E9228" t="s">
        <v>7677</v>
      </c>
      <c r="F9228" t="s">
        <v>7618</v>
      </c>
      <c r="G9228">
        <v>139</v>
      </c>
      <c r="H9228">
        <v>151.1</v>
      </c>
      <c r="I9228">
        <v>151.09</v>
      </c>
      <c r="J9228">
        <v>0.01</v>
      </c>
    </row>
    <row r="9229" spans="1:10" x14ac:dyDescent="0.3">
      <c r="A9229" t="str">
        <f>HYPERLINK("https://us2.cloudbeds.com/connect/10074733072513#/reservations/31686151082216?display=MHFWJTYJP&amp;reservation_id=31686151082216", "MHFWJTYJP")</f>
        <v>MHFWJTYJP</v>
      </c>
      <c r="B9229" t="s">
        <v>10</v>
      </c>
      <c r="C9229" t="s">
        <v>121</v>
      </c>
      <c r="D9229" t="str">
        <f>HYPERLINK("https://us2.cloudbeds.com/connect/10074733072513#/reservations/31686151082216?display=Alex%20Lopez%20Lopez&amp;reservation_id=31686151082216&amp;guest_id=31686151082211", "Alex Lopez Lopez")</f>
        <v>Alex Lopez Lopez</v>
      </c>
      <c r="E9229" t="s">
        <v>7678</v>
      </c>
      <c r="F9229" t="s">
        <v>7593</v>
      </c>
      <c r="G9229">
        <v>119</v>
      </c>
      <c r="H9229">
        <v>129.36000000000001</v>
      </c>
      <c r="I9229">
        <v>129.35</v>
      </c>
      <c r="J9229">
        <v>0.01</v>
      </c>
    </row>
    <row r="9230" spans="1:10" x14ac:dyDescent="0.3">
      <c r="A9230" t="str">
        <f>HYPERLINK("https://us2.cloudbeds.com/connect/10074733072513#/reservations/31686825898220?display=MHGGRUDBJ&amp;reservation_id=31686825898220", "MHGGRUDBJ")</f>
        <v>MHGGRUDBJ</v>
      </c>
      <c r="B9230" t="s">
        <v>10</v>
      </c>
      <c r="C9230" t="s">
        <v>42</v>
      </c>
      <c r="D9230" t="str">
        <f>HYPERLINK("https://us2.cloudbeds.com/connect/10074733072513#/reservations/31686825898220?display=Hanna%20Lee%20Nagel&amp;reservation_id=31686825898220&amp;guest_id=31686825898218", "Hanna Lee Nagel")</f>
        <v>Hanna Lee Nagel</v>
      </c>
      <c r="E9230" t="s">
        <v>7679</v>
      </c>
      <c r="F9230" t="s">
        <v>7593</v>
      </c>
      <c r="G9230">
        <v>159</v>
      </c>
      <c r="H9230">
        <v>172.84</v>
      </c>
      <c r="I9230">
        <v>172.83</v>
      </c>
      <c r="J9230">
        <v>0.01</v>
      </c>
    </row>
    <row r="9231" spans="1:10" x14ac:dyDescent="0.3">
      <c r="A9231" t="str">
        <f>HYPERLINK("https://us2.cloudbeds.com/connect/10074733072513#/reservations/31686812037360?display=MHGGG7N9H&amp;reservation_id=31686812037360", "MHGGG7N9H")</f>
        <v>MHGGG7N9H</v>
      </c>
      <c r="B9231" t="s">
        <v>10</v>
      </c>
      <c r="C9231" t="s">
        <v>42</v>
      </c>
      <c r="D9231" t="str">
        <f>HYPERLINK("https://us2.cloudbeds.com/connect/10074733072513#/reservations/31686812037360?display=Robert%20Tucker&amp;reservation_id=31686812037360&amp;guest_id=31686797906071", "Robert Tucker")</f>
        <v>Robert Tucker</v>
      </c>
      <c r="E9231" t="s">
        <v>7682</v>
      </c>
      <c r="F9231" t="s">
        <v>7593</v>
      </c>
      <c r="G9231">
        <v>129</v>
      </c>
      <c r="H9231">
        <v>140.22999999999999</v>
      </c>
      <c r="I9231">
        <v>140.22</v>
      </c>
      <c r="J9231">
        <v>0.01</v>
      </c>
    </row>
    <row r="9232" spans="1:10" x14ac:dyDescent="0.3">
      <c r="A9232" t="str">
        <f>HYPERLINK("https://us2.cloudbeds.com/connect/10074733072513#/reservations/31687093960849?display=MHGNMVY6X&amp;reservation_id=31687093960849", "MHGNMVY6X")</f>
        <v>MHGNMVY6X</v>
      </c>
      <c r="B9232" t="s">
        <v>10</v>
      </c>
      <c r="C9232" t="s">
        <v>42</v>
      </c>
      <c r="D9232" t="str">
        <f>HYPERLINK("https://us2.cloudbeds.com/connect/10074733072513#/reservations/31687093960849?display=Jamie%20Overacker&amp;reservation_id=31687093960849&amp;guest_id=31687093960847", "Jamie Overacker")</f>
        <v>Jamie Overacker</v>
      </c>
      <c r="E9232" t="s">
        <v>7683</v>
      </c>
      <c r="F9232" t="s">
        <v>6175</v>
      </c>
      <c r="G9232">
        <v>189</v>
      </c>
      <c r="H9232">
        <v>205.45</v>
      </c>
      <c r="I9232">
        <v>205.44</v>
      </c>
      <c r="J9232">
        <v>0.01</v>
      </c>
    </row>
    <row r="9233" spans="1:10" x14ac:dyDescent="0.3">
      <c r="A9233" t="str">
        <f>HYPERLINK("https://us2.cloudbeds.com/connect/10074733072513#/reservations/31691080904959?display=MHJQXS7TZ&amp;reservation_id=31691080904959", "MHJQXS7TZ")</f>
        <v>MHJQXS7TZ</v>
      </c>
      <c r="B9233" t="s">
        <v>10</v>
      </c>
      <c r="C9233" t="s">
        <v>42</v>
      </c>
      <c r="D9233" t="str">
        <f>HYPERLINK("https://us2.cloudbeds.com/connect/10074733072513#/reservations/31691080904959?display=Joe%20Hanson&amp;reservation_id=31691080904959&amp;guest_id=31685198139632", "Joe Hanson")</f>
        <v>Joe Hanson</v>
      </c>
      <c r="E9233" t="s">
        <v>7389</v>
      </c>
      <c r="F9233" t="s">
        <v>7324</v>
      </c>
      <c r="G9233">
        <v>150</v>
      </c>
      <c r="H9233">
        <v>163.06</v>
      </c>
      <c r="I9233">
        <v>163.05000000000001</v>
      </c>
      <c r="J9233">
        <v>0.01</v>
      </c>
    </row>
    <row r="9234" spans="1:10" x14ac:dyDescent="0.3">
      <c r="A9234" t="str">
        <f>HYPERLINK("https://us2.cloudbeds.com/connect/10074733072513#/reservations/31691918401669?display=MHKEW1R1U&amp;reservation_id=31691918401669", "MHKEW1R1U")</f>
        <v>MHKEW1R1U</v>
      </c>
      <c r="B9234" t="s">
        <v>10</v>
      </c>
      <c r="C9234" t="s">
        <v>23</v>
      </c>
      <c r="D9234" t="str">
        <f>HYPERLINK("https://us2.cloudbeds.com/connect/10074733072513#/reservations/31691918401669?display=Patrick%20Gustin&amp;reservation_id=31691918401669&amp;guest_id=31688215707842", "Patrick Gustin")</f>
        <v>Patrick Gustin</v>
      </c>
      <c r="E9234" t="s">
        <v>7685</v>
      </c>
      <c r="F9234" t="s">
        <v>7367</v>
      </c>
      <c r="G9234">
        <v>179</v>
      </c>
      <c r="H9234">
        <v>194.58</v>
      </c>
      <c r="I9234">
        <v>194.57</v>
      </c>
      <c r="J9234">
        <v>0.01</v>
      </c>
    </row>
    <row r="9235" spans="1:10" x14ac:dyDescent="0.3">
      <c r="A9235" t="str">
        <f>HYPERLINK("https://us2.cloudbeds.com/connect/10074733072513#/reservations/31688111296648?display=MHHGMQGS3&amp;reservation_id=31688111296648", "MHHGMQGS3")</f>
        <v>MHHGMQGS3</v>
      </c>
      <c r="B9235" t="s">
        <v>10</v>
      </c>
      <c r="C9235" t="s">
        <v>14</v>
      </c>
      <c r="D9235" t="str">
        <f>HYPERLINK("https://us2.cloudbeds.com/connect/10074733072513#/reservations/31688111296648?display=Thomas%20Griffin&amp;reservation_id=31688111296648&amp;guest_id=31688111296642", "Thomas Griffin")</f>
        <v>Thomas Griffin</v>
      </c>
      <c r="E9235" t="s">
        <v>7686</v>
      </c>
      <c r="F9235" t="s">
        <v>7367</v>
      </c>
      <c r="G9235">
        <v>137.76</v>
      </c>
      <c r="H9235">
        <v>149.76</v>
      </c>
      <c r="I9235">
        <v>149.75</v>
      </c>
      <c r="J9235">
        <v>0.01</v>
      </c>
    </row>
    <row r="9236" spans="1:10" x14ac:dyDescent="0.3">
      <c r="A9236" t="str">
        <f>HYPERLINK("https://us2.cloudbeds.com/connect/10074733072513#/reservations/31686822523094?display=MHGGP2G21&amp;reservation_id=31686822523094", "MHGGP2G21")</f>
        <v>MHGGP2G21</v>
      </c>
      <c r="B9236" t="s">
        <v>10</v>
      </c>
      <c r="C9236" t="s">
        <v>23</v>
      </c>
      <c r="D9236" t="str">
        <f>HYPERLINK("https://us2.cloudbeds.com/connect/10074733072513#/reservations/31686822523094?display=Jen%20Stroschein&amp;reservation_id=31686822523094&amp;guest_id=31686815088823", "Jen Stroschein")</f>
        <v>Jen Stroschein</v>
      </c>
      <c r="E9236" t="s">
        <v>7689</v>
      </c>
      <c r="F9236" t="s">
        <v>5561</v>
      </c>
      <c r="G9236">
        <v>149</v>
      </c>
      <c r="H9236">
        <v>161.97</v>
      </c>
      <c r="I9236">
        <v>161.96</v>
      </c>
      <c r="J9236">
        <v>0.01</v>
      </c>
    </row>
    <row r="9237" spans="1:10" x14ac:dyDescent="0.3">
      <c r="A9237" t="str">
        <f>HYPERLINK("https://us2.cloudbeds.com/connect/10074733072513#/reservations/31685080088765?display=MHF57QMHP&amp;reservation_id=31685080088765", "MHF57QMHP")</f>
        <v>MHF57QMHP</v>
      </c>
      <c r="B9237" t="s">
        <v>10</v>
      </c>
      <c r="C9237" t="s">
        <v>42</v>
      </c>
      <c r="D9237" t="str">
        <f>HYPERLINK("https://us2.cloudbeds.com/connect/10074733072513#/reservations/31685080088765?display=Tami%20Saue&amp;reservation_id=31685080088765&amp;guest_id=31685080088762", "Tami Saue")</f>
        <v>Tami Saue</v>
      </c>
      <c r="E9237" t="s">
        <v>7690</v>
      </c>
      <c r="F9237" t="s">
        <v>7530</v>
      </c>
      <c r="G9237">
        <v>278</v>
      </c>
      <c r="H9237">
        <v>302.2</v>
      </c>
      <c r="I9237">
        <v>302.19</v>
      </c>
      <c r="J9237">
        <v>0.01</v>
      </c>
    </row>
    <row r="9238" spans="1:10" x14ac:dyDescent="0.3">
      <c r="A9238" t="str">
        <f>HYPERLINK("https://us2.cloudbeds.com/connect/10074733072513#/reservations/31694347100362?display=MHMB0WV20&amp;reservation_id=31694347100362", "MHMB0WV20")</f>
        <v>MHMB0WV20</v>
      </c>
      <c r="B9238" t="s">
        <v>10</v>
      </c>
      <c r="C9238" t="s">
        <v>42</v>
      </c>
      <c r="D9238" t="str">
        <f>HYPERLINK("https://us2.cloudbeds.com/connect/10074733072513#/reservations/31694347100362?display=Kevin%20Brent&amp;reservation_id=31694347100362&amp;guest_id=31694347100357", "Kevin Brent")</f>
        <v>Kevin Brent</v>
      </c>
      <c r="E9238" t="s">
        <v>7691</v>
      </c>
      <c r="F9238" t="s">
        <v>7530</v>
      </c>
      <c r="G9238">
        <v>278</v>
      </c>
      <c r="H9238">
        <v>302.2</v>
      </c>
      <c r="I9238">
        <v>302.19</v>
      </c>
      <c r="J9238">
        <v>0.01</v>
      </c>
    </row>
    <row r="9239" spans="1:10" x14ac:dyDescent="0.3">
      <c r="A9239" t="str">
        <f>HYPERLINK("https://us2.cloudbeds.com/connect/10074733072513#/reservations/31694343618794?display=MHMAV220V&amp;reservation_id=31694343618794", "MHMAV220V")</f>
        <v>MHMAV220V</v>
      </c>
      <c r="B9239" t="s">
        <v>10</v>
      </c>
      <c r="C9239" t="s">
        <v>42</v>
      </c>
      <c r="D9239" t="str">
        <f>HYPERLINK("https://us2.cloudbeds.com/connect/10074733072513#/reservations/31694343618794?display=Amanda%20Henneberg&amp;reservation_id=31694343618794&amp;guest_id=31694335807620", "Amanda Henneberg")</f>
        <v>Amanda Henneberg</v>
      </c>
      <c r="E9239" t="s">
        <v>7692</v>
      </c>
      <c r="F9239" t="s">
        <v>7530</v>
      </c>
      <c r="G9239">
        <v>278</v>
      </c>
      <c r="H9239">
        <v>302.2</v>
      </c>
      <c r="I9239">
        <v>302.19</v>
      </c>
      <c r="J9239">
        <v>0.01</v>
      </c>
    </row>
    <row r="9240" spans="1:10" x14ac:dyDescent="0.3">
      <c r="A9240" t="str">
        <f>HYPERLINK("https://us2.cloudbeds.com/connect/10074733072513#/reservations/31684989083781?display=MHF2U2B1W&amp;reservation_id=31684989083781", "MHF2U2B1W")</f>
        <v>MHF2U2B1W</v>
      </c>
      <c r="B9240" t="s">
        <v>10</v>
      </c>
      <c r="C9240" t="s">
        <v>121</v>
      </c>
      <c r="D9240" t="str">
        <f>HYPERLINK("https://us2.cloudbeds.com/connect/10074733072513#/reservations/31684989083781?display=Auston%20Darnel&amp;reservation_id=31684989083781&amp;guest_id=31684989079686", "Auston Darnel")</f>
        <v>Auston Darnel</v>
      </c>
      <c r="E9240" t="s">
        <v>7693</v>
      </c>
      <c r="F9240" t="s">
        <v>7469</v>
      </c>
      <c r="G9240">
        <v>218</v>
      </c>
      <c r="H9240">
        <v>236.98</v>
      </c>
      <c r="I9240">
        <v>236.97</v>
      </c>
      <c r="J9240">
        <v>0.01</v>
      </c>
    </row>
    <row r="9241" spans="1:10" x14ac:dyDescent="0.3">
      <c r="A9241" t="str">
        <f>HYPERLINK("https://us2.cloudbeds.com/connect/10074733072513#/reservations/31684965777600?display=MHF222AY8&amp;reservation_id=31684965777600", "MHF222AY8")</f>
        <v>MHF222AY8</v>
      </c>
      <c r="B9241" t="s">
        <v>10</v>
      </c>
      <c r="C9241" t="s">
        <v>121</v>
      </c>
      <c r="D9241" t="str">
        <f>HYPERLINK("https://us2.cloudbeds.com/connect/10074733072513#/reservations/31684965777600?display=David%20Wright&amp;reservation_id=31684965777600&amp;guest_id=31684955877534", "David Wright")</f>
        <v>David Wright</v>
      </c>
      <c r="E9241" t="s">
        <v>7478</v>
      </c>
      <c r="F9241" t="s">
        <v>6175</v>
      </c>
      <c r="G9241">
        <v>169</v>
      </c>
      <c r="H9241">
        <v>183.71</v>
      </c>
      <c r="I9241">
        <v>183.7</v>
      </c>
      <c r="J9241">
        <v>0.01</v>
      </c>
    </row>
    <row r="9242" spans="1:10" x14ac:dyDescent="0.3">
      <c r="A9242" t="str">
        <f>HYPERLINK("https://us2.cloudbeds.com/connect/10074733072513#/reservations/31686273962170?display=MHG2ZGW0Z&amp;reservation_id=31686273962170", "MHG2ZGW0Z")</f>
        <v>MHG2ZGW0Z</v>
      </c>
      <c r="B9242" t="s">
        <v>10</v>
      </c>
      <c r="C9242" t="s">
        <v>23</v>
      </c>
      <c r="D9242" t="str">
        <f>HYPERLINK("https://us2.cloudbeds.com/connect/10074733072513#/reservations/31686273962170?display=Cindy%20Schmitz&amp;reservation_id=31686273962170&amp;guest_id=31686273962118", "Cindy Schmitz")</f>
        <v>Cindy Schmitz</v>
      </c>
      <c r="E9242" t="s">
        <v>7695</v>
      </c>
      <c r="F9242" t="s">
        <v>6899</v>
      </c>
      <c r="G9242">
        <v>139</v>
      </c>
      <c r="H9242">
        <v>151.1</v>
      </c>
      <c r="I9242">
        <v>151.09</v>
      </c>
      <c r="J9242">
        <v>0.01</v>
      </c>
    </row>
    <row r="9243" spans="1:10" x14ac:dyDescent="0.3">
      <c r="A9243" t="str">
        <f>HYPERLINK("https://us2.cloudbeds.com/connect/10074733072513#/reservations/31690449793217?display=MHJAEMKKG&amp;reservation_id=31690449793217", "MHJAEMKKG")</f>
        <v>MHJAEMKKG</v>
      </c>
      <c r="B9243" t="s">
        <v>10</v>
      </c>
      <c r="C9243" t="s">
        <v>42</v>
      </c>
      <c r="D9243" t="str">
        <f>HYPERLINK("https://us2.cloudbeds.com/connect/10074733072513#/reservations/31690449793217?display=Teresa%20Schwegel&amp;reservation_id=31690449793217&amp;guest_id=31690449789125", "Teresa Schwegel")</f>
        <v>Teresa Schwegel</v>
      </c>
      <c r="E9243" t="s">
        <v>7698</v>
      </c>
      <c r="F9243" t="s">
        <v>7530</v>
      </c>
      <c r="G9243">
        <v>149</v>
      </c>
      <c r="H9243">
        <v>161.97</v>
      </c>
      <c r="I9243">
        <v>161.96</v>
      </c>
      <c r="J9243">
        <v>0.01</v>
      </c>
    </row>
    <row r="9244" spans="1:10" x14ac:dyDescent="0.3">
      <c r="A9244" t="str">
        <f>HYPERLINK("https://us2.cloudbeds.com/connect/10074733072513#/reservations/31691109183702?display=MHJR9N4HB&amp;reservation_id=31691109183702", "MHJR9N4HB")</f>
        <v>MHJR9N4HB</v>
      </c>
      <c r="B9244" t="s">
        <v>10</v>
      </c>
      <c r="C9244" t="s">
        <v>23</v>
      </c>
      <c r="D9244" t="str">
        <f>HYPERLINK("https://us2.cloudbeds.com/connect/10074733072513#/reservations/31691109183702?display=Gavin%20Polson&amp;reservation_id=31691109183702&amp;guest_id=31691109183700", "Gavin Polson")</f>
        <v>Gavin Polson</v>
      </c>
      <c r="E9244" t="s">
        <v>7699</v>
      </c>
      <c r="F9244" t="s">
        <v>7324</v>
      </c>
      <c r="G9244">
        <v>119</v>
      </c>
      <c r="H9244">
        <v>129.36000000000001</v>
      </c>
      <c r="I9244">
        <v>129.35</v>
      </c>
      <c r="J9244">
        <v>0.01</v>
      </c>
    </row>
    <row r="9245" spans="1:10" x14ac:dyDescent="0.3">
      <c r="A9245" t="str">
        <f>HYPERLINK("https://us2.cloudbeds.com/connect/10074733072513#/reservations/31692447273166?display=MHKSG0EQU&amp;reservation_id=31692447273166", "MHKSG0EQU")</f>
        <v>MHKSG0EQU</v>
      </c>
      <c r="B9245" t="s">
        <v>10</v>
      </c>
      <c r="C9245" t="s">
        <v>42</v>
      </c>
      <c r="D9245" t="str">
        <f>HYPERLINK("https://us2.cloudbeds.com/connect/10074733072513#/reservations/31692447273166?display=Laramie%20Northern-Lights&amp;reservation_id=31692447273166&amp;guest_id=31692447273162", "Laramie Northern-Lights")</f>
        <v>Laramie Northern-Lights</v>
      </c>
      <c r="E9245" t="s">
        <v>7700</v>
      </c>
      <c r="F9245" t="s">
        <v>7324</v>
      </c>
      <c r="G9245">
        <v>252</v>
      </c>
      <c r="H9245">
        <v>273.93</v>
      </c>
      <c r="I9245">
        <v>273.92</v>
      </c>
      <c r="J9245">
        <v>0.01</v>
      </c>
    </row>
    <row r="9246" spans="1:10" x14ac:dyDescent="0.3">
      <c r="A9246" t="str">
        <f>HYPERLINK("https://us2.cloudbeds.com/connect/10074733072513#/reservations/31693250506996?display=MHYG0AK90&amp;reservation_id=31693250506996", "MHYG0AK90")</f>
        <v>MHYG0AK90</v>
      </c>
      <c r="B9246" t="s">
        <v>10</v>
      </c>
      <c r="C9246" t="s">
        <v>42</v>
      </c>
      <c r="D9246" t="str">
        <f>HYPERLINK("https://us2.cloudbeds.com/connect/10074733072513#/reservations/31693250506996?display=Alex%20Ourada&amp;reservation_id=31693250506996&amp;guest_id=31693243363479", "Alex Ourada")</f>
        <v>Alex Ourada</v>
      </c>
      <c r="E9246" t="s">
        <v>7702</v>
      </c>
      <c r="F9246" t="s">
        <v>7530</v>
      </c>
      <c r="G9246">
        <v>298</v>
      </c>
      <c r="H9246">
        <v>323.94</v>
      </c>
      <c r="I9246">
        <v>323.93</v>
      </c>
      <c r="J9246">
        <v>0.01</v>
      </c>
    </row>
    <row r="9247" spans="1:10" x14ac:dyDescent="0.3">
      <c r="A9247" t="str">
        <f>HYPERLINK("https://us2.cloudbeds.com/connect/10074733072513#/reservations/31685699018924?display=MHFY1NAQ4&amp;reservation_id=31685699018924", "MHFY1NAQ4")</f>
        <v>MHFY1NAQ4</v>
      </c>
      <c r="B9247" t="s">
        <v>10</v>
      </c>
      <c r="C9247" t="s">
        <v>23</v>
      </c>
      <c r="D9247" t="str">
        <f>HYPERLINK("https://us2.cloudbeds.com/connect/10074733072513#/reservations/31685699018924?display=Kathleen%20Tolton&amp;reservation_id=31685699018924&amp;guest_id=31685699018919", "Kathleen Tolton")</f>
        <v>Kathleen Tolton</v>
      </c>
      <c r="E9247" t="s">
        <v>7703</v>
      </c>
      <c r="F9247" t="s">
        <v>7303</v>
      </c>
      <c r="G9247">
        <v>411.3</v>
      </c>
      <c r="H9247">
        <v>447.09</v>
      </c>
      <c r="I9247">
        <v>447.08</v>
      </c>
      <c r="J9247">
        <v>0.01</v>
      </c>
    </row>
    <row r="9248" spans="1:10" x14ac:dyDescent="0.3">
      <c r="A9248" t="str">
        <f>HYPERLINK("https://us2.cloudbeds.com/connect/10074733072513#/reservations/31692494192769?display=MHKTMJ1S2&amp;reservation_id=31692494192769", "MHKTMJ1S2")</f>
        <v>MHKTMJ1S2</v>
      </c>
      <c r="B9248" t="s">
        <v>10</v>
      </c>
      <c r="C9248" t="s">
        <v>42</v>
      </c>
      <c r="D9248" t="str">
        <f>HYPERLINK("https://us2.cloudbeds.com/connect/10074733072513#/reservations/31692494192769?display=Richard%20Montgomery&amp;reservation_id=31692494192769&amp;guest_id=31692478656673", "Richard Montgomery")</f>
        <v>Richard Montgomery</v>
      </c>
      <c r="E9248" t="s">
        <v>7705</v>
      </c>
      <c r="F9248" t="s">
        <v>7324</v>
      </c>
      <c r="G9248">
        <v>109</v>
      </c>
      <c r="H9248">
        <v>118.49</v>
      </c>
      <c r="I9248">
        <v>118.48</v>
      </c>
      <c r="J9248">
        <v>0.01</v>
      </c>
    </row>
    <row r="9249" spans="1:10" x14ac:dyDescent="0.3">
      <c r="A9249" t="str">
        <f>HYPERLINK("https://us2.cloudbeds.com/connect/10074733072513#/reservations/31692243148956?display=MHKN8TCUQ&amp;reservation_id=31692243148956", "MHKN8TCUQ")</f>
        <v>MHKN8TCUQ</v>
      </c>
      <c r="B9249" t="s">
        <v>10</v>
      </c>
      <c r="C9249" t="s">
        <v>121</v>
      </c>
      <c r="D9249" t="str">
        <f>HYPERLINK("https://us2.cloudbeds.com/connect/10074733072513#/reservations/31692243148956?display=Matthew%20Ashley&amp;reservation_id=31692243148956&amp;guest_id=31686020567187", "Matthew Ashley")</f>
        <v>Matthew Ashley</v>
      </c>
      <c r="E9249" t="s">
        <v>7664</v>
      </c>
      <c r="F9249" t="s">
        <v>7324</v>
      </c>
      <c r="G9249">
        <v>150</v>
      </c>
      <c r="H9249">
        <v>163.06</v>
      </c>
      <c r="I9249">
        <v>163.05000000000001</v>
      </c>
      <c r="J9249">
        <v>0.01</v>
      </c>
    </row>
    <row r="9250" spans="1:10" x14ac:dyDescent="0.3">
      <c r="A9250" t="str">
        <f>HYPERLINK("https://us2.cloudbeds.com/connect/10074733072513#/reservations/31685658267781?display=MHFK0BC30&amp;reservation_id=31685658267781", "MHFK0BC30")</f>
        <v>MHFK0BC30</v>
      </c>
      <c r="B9250" t="s">
        <v>10</v>
      </c>
      <c r="C9250" t="s">
        <v>20</v>
      </c>
      <c r="D9250" t="str">
        <f>HYPERLINK("https://us2.cloudbeds.com/connect/10074733072513#/reservations/31685658267781?display=Paul%20Hauswald&amp;reservation_id=31685658267781&amp;guest_id=31685658267779", "Paul Hauswald")</f>
        <v>Paul Hauswald</v>
      </c>
      <c r="E9250" t="s">
        <v>7706</v>
      </c>
      <c r="F9250" t="s">
        <v>7303</v>
      </c>
      <c r="G9250">
        <v>159</v>
      </c>
      <c r="H9250">
        <v>172.84</v>
      </c>
      <c r="I9250">
        <v>172.83</v>
      </c>
      <c r="J9250">
        <v>0.01</v>
      </c>
    </row>
    <row r="9251" spans="1:10" x14ac:dyDescent="0.3">
      <c r="A9251" t="str">
        <f>HYPERLINK("https://us2.cloudbeds.com/connect/10074733072513#/reservations/31691606638766?display=MHK705XD7&amp;reservation_id=31691606638766", "MHK705XD7")</f>
        <v>MHK705XD7</v>
      </c>
      <c r="B9251" t="s">
        <v>10</v>
      </c>
      <c r="C9251" t="s">
        <v>17</v>
      </c>
      <c r="D9251" t="str">
        <f>HYPERLINK("https://us2.cloudbeds.com/connect/10074733072513#/reservations/31691606638766?display=Christine%20Sanders&amp;reservation_id=31691606638766&amp;guest_id=31691606638761", "Christine Sanders")</f>
        <v>Christine Sanders</v>
      </c>
      <c r="E9251" t="s">
        <v>593</v>
      </c>
      <c r="F9251" t="s">
        <v>7524</v>
      </c>
      <c r="G9251">
        <v>822.6</v>
      </c>
      <c r="H9251">
        <v>894.18</v>
      </c>
      <c r="I9251">
        <v>894.17</v>
      </c>
      <c r="J9251">
        <v>0.01</v>
      </c>
    </row>
    <row r="9252" spans="1:10" x14ac:dyDescent="0.3">
      <c r="A9252" t="str">
        <f>HYPERLINK("https://us2.cloudbeds.com/connect/10074733072513#/reservations/31694615896281?display=MHMHTYJ8T&amp;reservation_id=31694615896281", "MHMHTYJ8T")</f>
        <v>MHMHTYJ8T</v>
      </c>
      <c r="B9252" t="s">
        <v>10</v>
      </c>
      <c r="C9252" t="s">
        <v>42</v>
      </c>
      <c r="D9252" t="str">
        <f>HYPERLINK("https://us2.cloudbeds.com/connect/10074733072513#/reservations/31694615896281?display=Lisa%20Amdahl&amp;reservation_id=31694615896281&amp;guest_id=31694607876284", "Lisa Amdahl")</f>
        <v>Lisa Amdahl</v>
      </c>
      <c r="E9252" t="s">
        <v>7707</v>
      </c>
      <c r="F9252" t="s">
        <v>7006</v>
      </c>
      <c r="G9252">
        <v>278</v>
      </c>
      <c r="H9252">
        <v>302.2</v>
      </c>
      <c r="I9252">
        <v>302.19</v>
      </c>
      <c r="J9252">
        <v>0.01</v>
      </c>
    </row>
    <row r="9253" spans="1:10" x14ac:dyDescent="0.3">
      <c r="A9253" t="str">
        <f>HYPERLINK("https://us2.cloudbeds.com/connect/10074733072513#/reservations/31686895444193?display=MHGXKXKJ9&amp;reservation_id=31686895444193", "MHGXKXKJ9")</f>
        <v>MHGXKXKJ9</v>
      </c>
      <c r="B9253" t="s">
        <v>10</v>
      </c>
      <c r="C9253" t="s">
        <v>42</v>
      </c>
      <c r="D9253" t="str">
        <f>HYPERLINK("https://us2.cloudbeds.com/connect/10074733072513#/reservations/31686895444193?display=Lindsey%20Koppie&amp;reservation_id=31686895444193&amp;guest_id=31686144958658", "Lindsey Koppie")</f>
        <v>Lindsey Koppie</v>
      </c>
      <c r="E9253" t="s">
        <v>7710</v>
      </c>
      <c r="F9253" t="s">
        <v>5561</v>
      </c>
      <c r="G9253">
        <v>159</v>
      </c>
      <c r="H9253">
        <v>172.84</v>
      </c>
      <c r="I9253">
        <v>172.83</v>
      </c>
      <c r="J9253">
        <v>0.01</v>
      </c>
    </row>
    <row r="9254" spans="1:10" x14ac:dyDescent="0.3">
      <c r="A9254" t="str">
        <f>HYPERLINK("https://us2.cloudbeds.com/connect/10074733072513#/reservations/31687548113089?display=MHH29U37Y&amp;reservation_id=31687548113089", "MHH29U37Y")</f>
        <v>MHH29U37Y</v>
      </c>
      <c r="B9254" t="s">
        <v>10</v>
      </c>
      <c r="C9254" t="s">
        <v>42</v>
      </c>
      <c r="D9254" t="str">
        <f>HYPERLINK("https://us2.cloudbeds.com/connect/10074733072513#/reservations/31687548113089?display=Julie%20Dagenais&amp;reservation_id=31687548113089&amp;guest_id=31687538368675", "Julie Dagenais")</f>
        <v>Julie Dagenais</v>
      </c>
      <c r="E9254" t="s">
        <v>7711</v>
      </c>
      <c r="F9254" t="s">
        <v>7211</v>
      </c>
      <c r="G9254">
        <v>218</v>
      </c>
      <c r="H9254">
        <v>236.98</v>
      </c>
      <c r="I9254">
        <v>236.97</v>
      </c>
      <c r="J9254">
        <v>0.01</v>
      </c>
    </row>
    <row r="9255" spans="1:10" x14ac:dyDescent="0.3">
      <c r="A9255" t="str">
        <f>HYPERLINK("https://us2.cloudbeds.com/connect/10074733072513#/reservations/31693241270404?display=MHYFPHJX9&amp;reservation_id=31693241270404", "MHYFPHJX9")</f>
        <v>MHYFPHJX9</v>
      </c>
      <c r="B9255" t="s">
        <v>10</v>
      </c>
      <c r="C9255" t="s">
        <v>11</v>
      </c>
      <c r="D9255" t="str">
        <f>HYPERLINK("https://us2.cloudbeds.com/connect/10074733072513#/reservations/31693241270404?display=Jeffrey%20Schober&amp;reservation_id=31693241270404&amp;guest_id=31693241270402", "Jeffrey Schober")</f>
        <v>Jeffrey Schober</v>
      </c>
      <c r="E9255" t="s">
        <v>7713</v>
      </c>
      <c r="F9255" t="s">
        <v>7714</v>
      </c>
      <c r="G9255">
        <v>195.48</v>
      </c>
      <c r="H9255">
        <v>212.5</v>
      </c>
      <c r="I9255">
        <v>212.49</v>
      </c>
      <c r="J9255">
        <v>0.01</v>
      </c>
    </row>
    <row r="9256" spans="1:10" x14ac:dyDescent="0.3">
      <c r="A9256" t="str">
        <f>HYPERLINK("https://us2.cloudbeds.com/connect/10074733072513#/reservations/31684196507805?display=MHEFYZZE4&amp;reservation_id=31684196507805", "MHEFYZZE4")</f>
        <v>MHEFYZZE4</v>
      </c>
      <c r="B9256" t="s">
        <v>10</v>
      </c>
      <c r="C9256" t="s">
        <v>42</v>
      </c>
      <c r="D9256" t="str">
        <f>HYPERLINK("https://us2.cloudbeds.com/connect/10074733072513#/reservations/31684196507805?display=Will%20/%20Sara%20Goddard&amp;reservation_id=31684196507805&amp;guest_id=31684196503725", "Will / Sara Goddard")</f>
        <v>Will / Sara Goddard</v>
      </c>
      <c r="E9256" t="s">
        <v>7715</v>
      </c>
      <c r="F9256" t="s">
        <v>7372</v>
      </c>
      <c r="G9256">
        <v>159</v>
      </c>
      <c r="H9256">
        <v>172.84</v>
      </c>
      <c r="I9256">
        <v>172.83</v>
      </c>
      <c r="J9256">
        <v>0.01</v>
      </c>
    </row>
    <row r="9257" spans="1:10" x14ac:dyDescent="0.3">
      <c r="A9257" t="str">
        <f>HYPERLINK("https://us2.cloudbeds.com/connect/10074733072513#/reservations/31684536815832?display=MHEZBNAAK&amp;reservation_id=31684536815832", "MHEZBNAAK")</f>
        <v>MHEZBNAAK</v>
      </c>
      <c r="B9257" t="s">
        <v>10</v>
      </c>
      <c r="C9257" t="s">
        <v>42</v>
      </c>
      <c r="D9257" t="str">
        <f>HYPERLINK("https://us2.cloudbeds.com/connect/10074733072513#/reservations/31684536815832?display=Cameron%20Wyly&amp;reservation_id=31684536815832&amp;guest_id=31676340576486", "Cameron Wyly")</f>
        <v>Cameron Wyly</v>
      </c>
      <c r="E9257" t="s">
        <v>5570</v>
      </c>
      <c r="F9257" t="s">
        <v>7303</v>
      </c>
      <c r="G9257">
        <v>170</v>
      </c>
      <c r="H9257">
        <v>184.8</v>
      </c>
      <c r="I9257">
        <v>184.79</v>
      </c>
      <c r="J9257">
        <v>0.01</v>
      </c>
    </row>
    <row r="9258" spans="1:10" x14ac:dyDescent="0.3">
      <c r="A9258" t="str">
        <f>HYPERLINK("https://us2.cloudbeds.com/connect/10074733072513#/reservations/31685451075797?display=MHFENKV51&amp;reservation_id=31685451075797", "MHFENKV51")</f>
        <v>MHFENKV51</v>
      </c>
      <c r="B9258" t="s">
        <v>10</v>
      </c>
      <c r="C9258" t="s">
        <v>23</v>
      </c>
      <c r="D9258" t="str">
        <f>HYPERLINK("https://us2.cloudbeds.com/connect/10074733072513#/reservations/31685451075797?display=Dave%20Truesdell&amp;reservation_id=31685451075797&amp;guest_id=31685451075785", "Dave Truesdell")</f>
        <v>Dave Truesdell</v>
      </c>
      <c r="E9258" t="s">
        <v>7717</v>
      </c>
      <c r="F9258" t="s">
        <v>6899</v>
      </c>
      <c r="G9258">
        <v>139</v>
      </c>
      <c r="H9258">
        <v>151.1</v>
      </c>
      <c r="I9258">
        <v>151.09</v>
      </c>
      <c r="J9258">
        <v>0.01</v>
      </c>
    </row>
    <row r="9259" spans="1:10" x14ac:dyDescent="0.3">
      <c r="A9259" t="str">
        <f>HYPERLINK("https://us2.cloudbeds.com/connect/10074733072513#/reservations/31685443653822?display=MHFEHCDZN&amp;reservation_id=31685443653822", "MHFEHCDZN")</f>
        <v>MHFEHCDZN</v>
      </c>
      <c r="B9259" t="s">
        <v>10</v>
      </c>
      <c r="C9259" t="s">
        <v>14</v>
      </c>
      <c r="D9259" t="str">
        <f>HYPERLINK("https://us2.cloudbeds.com/connect/10074733072513#/reservations/31685443653822?display=Stewart%20Waltner&amp;reservation_id=31685443653822&amp;guest_id=31685443653817", "Stewart Waltner")</f>
        <v>Stewart Waltner</v>
      </c>
      <c r="E9259" t="s">
        <v>7718</v>
      </c>
      <c r="F9259" t="s">
        <v>6899</v>
      </c>
      <c r="G9259">
        <v>97.74</v>
      </c>
      <c r="H9259">
        <v>106.25</v>
      </c>
      <c r="I9259">
        <v>106.24</v>
      </c>
      <c r="J9259">
        <v>0.01</v>
      </c>
    </row>
    <row r="9260" spans="1:10" x14ac:dyDescent="0.3">
      <c r="A9260" t="str">
        <f>HYPERLINK("https://us2.cloudbeds.com/connect/10074733072513#/reservations/31685651873989?display=MHFJRVERZ&amp;reservation_id=31685651873989", "MHFJRVERZ")</f>
        <v>MHFJRVERZ</v>
      </c>
      <c r="B9260" t="s">
        <v>10</v>
      </c>
      <c r="C9260" t="s">
        <v>121</v>
      </c>
      <c r="D9260" t="str">
        <f>HYPERLINK("https://us2.cloudbeds.com/connect/10074733072513#/reservations/31685651873989?display=Jeffrey%20Walz&amp;reservation_id=31685651873989&amp;guest_id=31685651873985", "Jeffrey Walz")</f>
        <v>Jeffrey Walz</v>
      </c>
      <c r="E9260" t="s">
        <v>7719</v>
      </c>
      <c r="F9260" t="s">
        <v>7303</v>
      </c>
      <c r="G9260">
        <v>411.3</v>
      </c>
      <c r="H9260">
        <v>447.09</v>
      </c>
      <c r="I9260">
        <v>447.08</v>
      </c>
      <c r="J9260">
        <v>0.01</v>
      </c>
    </row>
    <row r="9261" spans="1:10" x14ac:dyDescent="0.3">
      <c r="A9261" t="str">
        <f>HYPERLINK("https://us2.cloudbeds.com/connect/10074733072513#/reservations/31685707513996?display=MHFY8SNJX&amp;reservation_id=31685707513996", "MHFY8SNJX")</f>
        <v>MHFY8SNJX</v>
      </c>
      <c r="B9261" t="s">
        <v>10</v>
      </c>
      <c r="C9261" t="s">
        <v>11</v>
      </c>
      <c r="D9261" t="str">
        <f>HYPERLINK("https://us2.cloudbeds.com/connect/10074733072513#/reservations/31685707513996?display=Matthew%20Holbrook&amp;reservation_id=31685707513996&amp;guest_id=31685707513993", "Matthew Holbrook")</f>
        <v>Matthew Holbrook</v>
      </c>
      <c r="E9261" t="s">
        <v>7720</v>
      </c>
      <c r="F9261" t="s">
        <v>7303</v>
      </c>
      <c r="G9261">
        <v>110.86</v>
      </c>
      <c r="H9261">
        <v>120.51</v>
      </c>
      <c r="I9261">
        <v>120.5</v>
      </c>
      <c r="J9261">
        <v>0.01</v>
      </c>
    </row>
    <row r="9262" spans="1:10" x14ac:dyDescent="0.3">
      <c r="A9262" t="str">
        <f>HYPERLINK("https://us2.cloudbeds.com/connect/10074733072513#/reservations/31685385109645?display=MHFD10B5Z&amp;reservation_id=31685385109645", "MHFD10B5Z")</f>
        <v>MHFD10B5Z</v>
      </c>
      <c r="B9262" t="s">
        <v>10</v>
      </c>
      <c r="C9262" t="s">
        <v>23</v>
      </c>
      <c r="D9262" t="str">
        <f>HYPERLINK("https://us2.cloudbeds.com/connect/10074733072513#/reservations/31685385109645?display=Danielle%20Heilman&amp;reservation_id=31685385109645&amp;guest_id=31685375942911", "Danielle Heilman")</f>
        <v>Danielle Heilman</v>
      </c>
      <c r="E9262" t="s">
        <v>7717</v>
      </c>
      <c r="F9262" t="s">
        <v>6899</v>
      </c>
      <c r="G9262">
        <v>298</v>
      </c>
      <c r="H9262">
        <v>323.94</v>
      </c>
      <c r="I9262">
        <v>323.93</v>
      </c>
      <c r="J9262">
        <v>0.01</v>
      </c>
    </row>
    <row r="9263" spans="1:10" x14ac:dyDescent="0.3">
      <c r="A9263" t="str">
        <f>HYPERLINK("https://us2.cloudbeds.com/connect/10074733072513#/reservations/31687577411728?display=MHH31KCD6&amp;reservation_id=31687577411728", "MHH31KCD6")</f>
        <v>MHH31KCD6</v>
      </c>
      <c r="B9263" t="s">
        <v>10</v>
      </c>
      <c r="C9263" t="s">
        <v>23</v>
      </c>
      <c r="D9263" t="str">
        <f>HYPERLINK("https://us2.cloudbeds.com/connect/10074733072513#/reservations/31687577411728?display=Laurie%20Klein&amp;reservation_id=31687577411728&amp;guest_id=31687577411713", "Laurie Klein")</f>
        <v>Laurie Klein</v>
      </c>
      <c r="E9263" t="s">
        <v>7723</v>
      </c>
      <c r="F9263" t="s">
        <v>7211</v>
      </c>
      <c r="G9263">
        <v>179</v>
      </c>
      <c r="H9263">
        <v>194.58</v>
      </c>
      <c r="I9263">
        <v>194.57</v>
      </c>
      <c r="J9263">
        <v>0.01</v>
      </c>
    </row>
    <row r="9264" spans="1:10" x14ac:dyDescent="0.3">
      <c r="A9264" t="str">
        <f>HYPERLINK("https://us2.cloudbeds.com/connect/10074733072513#/reservations/31687161102590?display=MHGPDXVMP&amp;reservation_id=31687161102590", "MHGPDXVMP")</f>
        <v>MHGPDXVMP</v>
      </c>
      <c r="B9264" t="s">
        <v>10</v>
      </c>
      <c r="C9264" t="s">
        <v>17</v>
      </c>
      <c r="D9264" t="str">
        <f>HYPERLINK("https://us2.cloudbeds.com/connect/10074733072513#/reservations/31687161102590?display=Valerie%20Pherson&amp;reservation_id=31687161102590&amp;guest_id=31687161102586", "Valerie Pherson")</f>
        <v>Valerie Pherson</v>
      </c>
      <c r="E9264" t="s">
        <v>7726</v>
      </c>
      <c r="F9264" t="s">
        <v>7727</v>
      </c>
      <c r="G9264">
        <v>322.2</v>
      </c>
      <c r="H9264">
        <v>350.24</v>
      </c>
      <c r="I9264">
        <v>350.23</v>
      </c>
      <c r="J9264">
        <v>0.01</v>
      </c>
    </row>
    <row r="9265" spans="1:10" x14ac:dyDescent="0.3">
      <c r="A9265" t="str">
        <f>HYPERLINK("https://us2.cloudbeds.com/connect/10074733072513#/reservations/31685639643345?display=MHFJHY3P5&amp;reservation_id=31685639643345", "MHFJHY3P5")</f>
        <v>MHFJHY3P5</v>
      </c>
      <c r="B9265" t="s">
        <v>10</v>
      </c>
      <c r="C9265" t="s">
        <v>42</v>
      </c>
      <c r="D9265" t="str">
        <f>HYPERLINK("https://us2.cloudbeds.com/connect/10074733072513#/reservations/31685639643345?display=James%20Wynja&amp;reservation_id=31685639643345&amp;guest_id=31685639643343", "James Wynja")</f>
        <v>James Wynja</v>
      </c>
      <c r="E9265" t="s">
        <v>7728</v>
      </c>
      <c r="F9265" t="s">
        <v>7303</v>
      </c>
      <c r="G9265">
        <v>119</v>
      </c>
      <c r="H9265">
        <v>129.36000000000001</v>
      </c>
      <c r="I9265">
        <v>129.35</v>
      </c>
      <c r="J9265">
        <v>0.01</v>
      </c>
    </row>
    <row r="9266" spans="1:10" x14ac:dyDescent="0.3">
      <c r="A9266" t="str">
        <f>HYPERLINK("https://us2.cloudbeds.com/connect/10074733072513#/reservations/31688606105776?display=MHHTB1A13&amp;reservation_id=31688606105776", "MHHTB1A13")</f>
        <v>MHHTB1A13</v>
      </c>
      <c r="B9266" t="s">
        <v>10</v>
      </c>
      <c r="C9266" t="s">
        <v>17</v>
      </c>
      <c r="D9266" t="str">
        <f>HYPERLINK("https://us2.cloudbeds.com/connect/10074733072513#/reservations/31688606105776?display=Zack%20Fink&amp;reservation_id=31688606105776&amp;guest_id=31688606105759", "Zack Fink")</f>
        <v>Zack Fink</v>
      </c>
      <c r="E9266" t="s">
        <v>7732</v>
      </c>
      <c r="F9266" t="s">
        <v>7727</v>
      </c>
      <c r="G9266">
        <v>358</v>
      </c>
      <c r="H9266">
        <v>389.16</v>
      </c>
      <c r="I9266">
        <v>389.15</v>
      </c>
      <c r="J9266">
        <v>0.01</v>
      </c>
    </row>
    <row r="9267" spans="1:10" x14ac:dyDescent="0.3">
      <c r="A9267" t="str">
        <f>HYPERLINK("https://us2.cloudbeds.com/connect/10074733072513#/reservations/31687204810920?display=MHGQHE6TK&amp;reservation_id=31687204810920", "MHGQHE6TK")</f>
        <v>MHGQHE6TK</v>
      </c>
      <c r="B9267" t="s">
        <v>10</v>
      </c>
      <c r="C9267" t="s">
        <v>23</v>
      </c>
      <c r="D9267" t="str">
        <f>HYPERLINK("https://us2.cloudbeds.com/connect/10074733072513#/reservations/31687204810920?display=Ione%20Pherson&amp;reservation_id=31687204810920&amp;guest_id=31687204810918", "Ione Pherson")</f>
        <v>Ione Pherson</v>
      </c>
      <c r="E9267" t="s">
        <v>7733</v>
      </c>
      <c r="F9267" t="s">
        <v>7727</v>
      </c>
      <c r="G9267">
        <v>358</v>
      </c>
      <c r="H9267">
        <v>389.16</v>
      </c>
      <c r="I9267">
        <v>389.15</v>
      </c>
      <c r="J9267">
        <v>0.01</v>
      </c>
    </row>
    <row r="9268" spans="1:10" x14ac:dyDescent="0.3">
      <c r="A9268" t="str">
        <f>HYPERLINK("https://us2.cloudbeds.com/connect/10074733072513#/reservations/31692065099971?display=MHKXNZU80&amp;reservation_id=31692065099971", "MHKXNZU80")</f>
        <v>MHKXNZU80</v>
      </c>
      <c r="B9268" t="s">
        <v>10</v>
      </c>
      <c r="C9268" t="s">
        <v>20</v>
      </c>
      <c r="D9268" t="str">
        <f>HYPERLINK("https://us2.cloudbeds.com/connect/10074733072513#/reservations/31692065099971?display=Craig%20Bragdon&amp;reservation_id=31692065099971&amp;guest_id=31692007411938", "Craig Bragdon")</f>
        <v>Craig Bragdon</v>
      </c>
      <c r="E9268" t="s">
        <v>7736</v>
      </c>
      <c r="F9268" t="s">
        <v>7737</v>
      </c>
      <c r="G9268">
        <v>238</v>
      </c>
      <c r="H9268">
        <v>258.72000000000003</v>
      </c>
      <c r="I9268">
        <v>258.70999999999998</v>
      </c>
      <c r="J9268">
        <v>0.01</v>
      </c>
    </row>
    <row r="9269" spans="1:10" x14ac:dyDescent="0.3">
      <c r="A9269" t="str">
        <f>HYPERLINK("https://us2.cloudbeds.com/connect/10074733072513#/reservations/31692007416034?display=MHKH83PJU&amp;reservation_id=31692007416034", "MHKH83PJU")</f>
        <v>MHKH83PJU</v>
      </c>
      <c r="B9269" t="s">
        <v>10</v>
      </c>
      <c r="C9269" t="s">
        <v>20</v>
      </c>
      <c r="D9269" t="str">
        <f>HYPERLINK("https://us2.cloudbeds.com/connect/10074733072513#/reservations/31692007416034?display=Craig%20Bragdon&amp;reservation_id=31692007416034&amp;guest_id=31692007411938", "Craig Bragdon")</f>
        <v>Craig Bragdon</v>
      </c>
      <c r="E9269" t="s">
        <v>7736</v>
      </c>
      <c r="F9269" t="s">
        <v>7737</v>
      </c>
      <c r="G9269">
        <v>238</v>
      </c>
      <c r="H9269">
        <v>258.72000000000003</v>
      </c>
      <c r="I9269">
        <v>258.70999999999998</v>
      </c>
      <c r="J9269">
        <v>0.01</v>
      </c>
    </row>
    <row r="9270" spans="1:10" x14ac:dyDescent="0.3">
      <c r="A9270" t="str">
        <f>HYPERLINK("https://us2.cloudbeds.com/connect/10074733072513#/reservations/31687073017989?display=MHGN59SUE&amp;reservation_id=31687073017989", "MHGN59SUE")</f>
        <v>MHGN59SUE</v>
      </c>
      <c r="B9270" t="s">
        <v>10</v>
      </c>
      <c r="C9270" t="s">
        <v>23</v>
      </c>
      <c r="D9270" t="str">
        <f>HYPERLINK("https://us2.cloudbeds.com/connect/10074733072513#/reservations/31687073017989?display=Charles%20Beckman&amp;reservation_id=31687073017989&amp;guest_id=31687073013904", "Charles Beckman")</f>
        <v>Charles Beckman</v>
      </c>
      <c r="E9270" t="s">
        <v>7738</v>
      </c>
      <c r="F9270" t="s">
        <v>7291</v>
      </c>
      <c r="G9270">
        <v>318</v>
      </c>
      <c r="H9270">
        <v>345.68</v>
      </c>
      <c r="I9270">
        <v>345.67</v>
      </c>
      <c r="J9270">
        <v>0.01</v>
      </c>
    </row>
    <row r="9271" spans="1:10" x14ac:dyDescent="0.3">
      <c r="A9271" t="str">
        <f>HYPERLINK("https://us2.cloudbeds.com/connect/10074733072513#/reservations/31693054496968?display=MHYB01BE6&amp;reservation_id=31693054496968", "MHYB01BE6")</f>
        <v>MHYB01BE6</v>
      </c>
      <c r="B9271" t="s">
        <v>10</v>
      </c>
      <c r="C9271" t="s">
        <v>17</v>
      </c>
      <c r="D9271" t="str">
        <f>HYPERLINK("https://us2.cloudbeds.com/connect/10074733072513#/reservations/31693054496968?display=Roxy%20Downs&amp;reservation_id=31693054496968&amp;guest_id=31693048213675", "Roxy Downs")</f>
        <v>Roxy Downs</v>
      </c>
      <c r="E9271" t="s">
        <v>7739</v>
      </c>
      <c r="F9271" t="s">
        <v>7740</v>
      </c>
      <c r="G9271">
        <v>321.3</v>
      </c>
      <c r="H9271">
        <v>349.26</v>
      </c>
      <c r="I9271">
        <v>349.25</v>
      </c>
      <c r="J9271">
        <v>0.01</v>
      </c>
    </row>
    <row r="9272" spans="1:10" x14ac:dyDescent="0.3">
      <c r="A9272" t="str">
        <f>HYPERLINK("https://us2.cloudbeds.com/connect/10074733072513#/reservations/31691982500058?display=MHKGK3EUB&amp;reservation_id=31691982500058", "MHKGK3EUB")</f>
        <v>MHKGK3EUB</v>
      </c>
      <c r="B9272" t="s">
        <v>10</v>
      </c>
      <c r="C9272" t="s">
        <v>23</v>
      </c>
      <c r="D9272" t="str">
        <f>HYPERLINK("https://us2.cloudbeds.com/connect/10074733072513#/reservations/31691982500058?display=Brian%20Epperson&amp;reservation_id=31691982500058&amp;guest_id=31691982500042", "Brian Epperson")</f>
        <v>Brian Epperson</v>
      </c>
      <c r="E9272" t="s">
        <v>7741</v>
      </c>
      <c r="F9272" t="s">
        <v>7737</v>
      </c>
      <c r="G9272">
        <v>119</v>
      </c>
      <c r="H9272">
        <v>129.36000000000001</v>
      </c>
      <c r="I9272">
        <v>129.35</v>
      </c>
      <c r="J9272">
        <v>0.01</v>
      </c>
    </row>
    <row r="9273" spans="1:10" x14ac:dyDescent="0.3">
      <c r="A9273" t="str">
        <f>HYPERLINK("https://us2.cloudbeds.com/connect/10074733072513#/reservations/31692546732224?display=MHKV0SUZJ&amp;reservation_id=31692546732224", "MHKV0SUZJ")</f>
        <v>MHKV0SUZJ</v>
      </c>
      <c r="B9273" t="s">
        <v>10</v>
      </c>
      <c r="C9273" t="s">
        <v>121</v>
      </c>
      <c r="D9273" t="str">
        <f>HYPERLINK("https://us2.cloudbeds.com/connect/10074733072513#/reservations/31692546732224?display=Batula%20Aleksandar&amp;reservation_id=31692546732224&amp;guest_id=31692546728139", "Batula Aleksandar")</f>
        <v>Batula Aleksandar</v>
      </c>
      <c r="E9273" t="s">
        <v>7742</v>
      </c>
      <c r="F9273" t="s">
        <v>7743</v>
      </c>
      <c r="G9273">
        <v>119</v>
      </c>
      <c r="H9273">
        <v>129.36000000000001</v>
      </c>
      <c r="I9273">
        <v>129.35</v>
      </c>
      <c r="J9273">
        <v>0.01</v>
      </c>
    </row>
    <row r="9274" spans="1:10" x14ac:dyDescent="0.3">
      <c r="A9274" t="str">
        <f>HYPERLINK("https://us2.cloudbeds.com/connect/10074733072513#/reservations/31688697635030?display=MHHVM77US&amp;reservation_id=31688697635030", "MHHVM77US")</f>
        <v>MHHVM77US</v>
      </c>
      <c r="B9274" t="s">
        <v>10</v>
      </c>
      <c r="C9274" t="s">
        <v>23</v>
      </c>
      <c r="D9274" t="str">
        <f>HYPERLINK("https://us2.cloudbeds.com/connect/10074733072513#/reservations/31688697635030?display=Cassie%20Larsen&amp;reservation_id=31688697635030&amp;guest_id=31688697630944", "Cassie Larsen")</f>
        <v>Cassie Larsen</v>
      </c>
      <c r="E9274" t="s">
        <v>7744</v>
      </c>
      <c r="F9274" t="s">
        <v>7745</v>
      </c>
      <c r="G9274">
        <v>199</v>
      </c>
      <c r="H9274">
        <v>216.32</v>
      </c>
      <c r="I9274">
        <v>216.31</v>
      </c>
      <c r="J9274">
        <v>0.01</v>
      </c>
    </row>
    <row r="9275" spans="1:10" x14ac:dyDescent="0.3">
      <c r="A9275" t="str">
        <f>HYPERLINK("https://us2.cloudbeds.com/connect/10074733072513#/reservations/31692045160604?display=MHKX6V2EP&amp;reservation_id=31692045160604", "MHKX6V2EP")</f>
        <v>MHKX6V2EP</v>
      </c>
      <c r="B9275" t="s">
        <v>10</v>
      </c>
      <c r="C9275" t="s">
        <v>121</v>
      </c>
      <c r="D9275" t="str">
        <f>HYPERLINK("https://us2.cloudbeds.com/connect/10074733072513#/reservations/31692045160604?display=Derek%20Gors&amp;reservation_id=31692045160604&amp;guest_id=31692045160599", "Derek Gors")</f>
        <v>Derek Gors</v>
      </c>
      <c r="E9275" t="s">
        <v>7746</v>
      </c>
      <c r="F9275" t="s">
        <v>7737</v>
      </c>
      <c r="G9275">
        <v>119</v>
      </c>
      <c r="H9275">
        <v>129.36000000000001</v>
      </c>
      <c r="I9275">
        <v>129.35</v>
      </c>
      <c r="J9275">
        <v>0.01</v>
      </c>
    </row>
    <row r="9276" spans="1:10" x14ac:dyDescent="0.3">
      <c r="A9276" t="str">
        <f>HYPERLINK("https://us2.cloudbeds.com/connect/10074733072513#/reservations/31685912789177?display=MHFQGVQCJ&amp;reservation_id=31685912789177", "MHFQGVQCJ")</f>
        <v>MHFQGVQCJ</v>
      </c>
      <c r="B9276" t="s">
        <v>10</v>
      </c>
      <c r="C9276" t="s">
        <v>23</v>
      </c>
      <c r="D9276" t="str">
        <f>HYPERLINK("https://us2.cloudbeds.com/connect/10074733072513#/reservations/31685912789177?display=Tyler%20Lundberg&amp;reservation_id=31685912789177&amp;guest_id=31685912789123", "Tyler Lundberg")</f>
        <v>Tyler Lundberg</v>
      </c>
      <c r="E9276" t="s">
        <v>7749</v>
      </c>
      <c r="F9276" t="s">
        <v>7291</v>
      </c>
      <c r="G9276">
        <v>378</v>
      </c>
      <c r="H9276">
        <v>410.9</v>
      </c>
      <c r="I9276">
        <v>410.89</v>
      </c>
      <c r="J9276">
        <v>0.01</v>
      </c>
    </row>
    <row r="9277" spans="1:10" x14ac:dyDescent="0.3">
      <c r="A9277" t="str">
        <f>HYPERLINK("https://us2.cloudbeds.com/connect/10074733072513#/reservations/31692564787400?display=MHKVG3F1A&amp;reservation_id=31692564787400", "MHKVG3F1A")</f>
        <v>MHKVG3F1A</v>
      </c>
      <c r="B9277" t="s">
        <v>10</v>
      </c>
      <c r="C9277" t="s">
        <v>121</v>
      </c>
      <c r="D9277" t="str">
        <f>HYPERLINK("https://us2.cloudbeds.com/connect/10074733072513#/reservations/31692564787400?display=Patrick%20Gustin&amp;reservation_id=31692564787400&amp;guest_id=30681740333272", "Patrick Gustin")</f>
        <v>Patrick Gustin</v>
      </c>
      <c r="E9277" t="s">
        <v>4419</v>
      </c>
      <c r="F9277" t="s">
        <v>7743</v>
      </c>
      <c r="G9277">
        <v>119</v>
      </c>
      <c r="H9277">
        <v>129.36000000000001</v>
      </c>
      <c r="I9277">
        <v>129.35</v>
      </c>
      <c r="J9277">
        <v>0.01</v>
      </c>
    </row>
    <row r="9278" spans="1:10" x14ac:dyDescent="0.3">
      <c r="A9278" t="str">
        <f>HYPERLINK("https://us2.cloudbeds.com/connect/10074733072513#/reservations/31681878126818?display=MHCMDRC8S&amp;reservation_id=31681878126818", "MHCMDRC8S")</f>
        <v>MHCMDRC8S</v>
      </c>
      <c r="B9278" t="s">
        <v>10</v>
      </c>
      <c r="C9278" t="s">
        <v>121</v>
      </c>
      <c r="D9278" t="str">
        <f>HYPERLINK("https://us2.cloudbeds.com/connect/10074733072513#/reservations/31681878126818?display=Jeffrey%20Veen&amp;reservation_id=31681878126818&amp;guest_id=31681871241351", "Jeffrey Veen")</f>
        <v>Jeffrey Veen</v>
      </c>
      <c r="E9278" t="s">
        <v>7752</v>
      </c>
      <c r="F9278" t="s">
        <v>5558</v>
      </c>
      <c r="G9278">
        <v>347</v>
      </c>
      <c r="H9278">
        <v>377.2</v>
      </c>
      <c r="I9278">
        <v>377.19</v>
      </c>
      <c r="J9278">
        <v>0.01</v>
      </c>
    </row>
    <row r="9279" spans="1:10" x14ac:dyDescent="0.3">
      <c r="A9279" t="str">
        <f>HYPERLINK("https://us2.cloudbeds.com/connect/10074733072513#/reservations/31684229013736?display=MHEGG58PC&amp;reservation_id=31684229013736", "MHEGG58PC")</f>
        <v>MHEGG58PC</v>
      </c>
      <c r="B9279" t="s">
        <v>10</v>
      </c>
      <c r="C9279" t="s">
        <v>17</v>
      </c>
      <c r="D9279" t="str">
        <f>HYPERLINK("https://us2.cloudbeds.com/connect/10074733072513#/reservations/31684229013736?display=Kenny%20Reed&amp;reservation_id=31684229013736&amp;guest_id=31684229013720", "Kenny Reed")</f>
        <v>Kenny Reed</v>
      </c>
      <c r="E9279" t="s">
        <v>7753</v>
      </c>
      <c r="F9279" t="s">
        <v>7372</v>
      </c>
      <c r="G9279">
        <v>159</v>
      </c>
      <c r="H9279">
        <v>172.84</v>
      </c>
      <c r="I9279">
        <v>172.83</v>
      </c>
      <c r="J9279">
        <v>0.01</v>
      </c>
    </row>
    <row r="9280" spans="1:10" x14ac:dyDescent="0.3">
      <c r="A9280" t="str">
        <f>HYPERLINK("https://us2.cloudbeds.com/connect/10074733072513#/reservations/31692581028022?display=MHKVTQCCC&amp;reservation_id=31692581028022", "MHKVTQCCC")</f>
        <v>MHKVTQCCC</v>
      </c>
      <c r="B9280" t="s">
        <v>10</v>
      </c>
      <c r="C9280" t="s">
        <v>42</v>
      </c>
      <c r="D9280" t="str">
        <f>HYPERLINK("https://us2.cloudbeds.com/connect/10074733072513#/reservations/31692581028022?display=Sarah%20Varney&amp;reservation_id=31692581028022&amp;guest_id=31692581028019", "Sarah Varney")</f>
        <v>Sarah Varney</v>
      </c>
      <c r="E9280" t="s">
        <v>7755</v>
      </c>
      <c r="F9280" t="s">
        <v>7743</v>
      </c>
      <c r="G9280">
        <v>109</v>
      </c>
      <c r="H9280">
        <v>118.49</v>
      </c>
      <c r="I9280">
        <v>118.48</v>
      </c>
      <c r="J9280">
        <v>0.01</v>
      </c>
    </row>
    <row r="9281" spans="1:10" x14ac:dyDescent="0.3">
      <c r="A9281" t="str">
        <f>HYPERLINK("https://us2.cloudbeds.com/connect/10074733072513#/reservations/31688475742417?display=MHHQ03ZQ9&amp;reservation_id=31688475742417", "MHHQ03ZQ9")</f>
        <v>MHHQ03ZQ9</v>
      </c>
      <c r="B9281" t="s">
        <v>10</v>
      </c>
      <c r="C9281" t="s">
        <v>42</v>
      </c>
      <c r="D9281" t="str">
        <f>HYPERLINK("https://us2.cloudbeds.com/connect/10074733072513#/reservations/31688475742417?display=Rehab%20Everlast&amp;reservation_id=31688475742417&amp;guest_id=31688475742410", "Rehab Everlast")</f>
        <v>Rehab Everlast</v>
      </c>
      <c r="E9281" t="s">
        <v>7756</v>
      </c>
      <c r="F9281" t="s">
        <v>7714</v>
      </c>
      <c r="G9281">
        <v>376</v>
      </c>
      <c r="H9281">
        <v>408.72</v>
      </c>
      <c r="I9281">
        <v>408.71</v>
      </c>
      <c r="J9281">
        <v>0.01</v>
      </c>
    </row>
    <row r="9282" spans="1:10" x14ac:dyDescent="0.3">
      <c r="A9282" t="str">
        <f>HYPERLINK("https://us2.cloudbeds.com/connect/10074733072513#/reservations/31685513974002?display=MHFGAM5U8&amp;reservation_id=31685513974002", "MHFGAM5U8")</f>
        <v>MHFGAM5U8</v>
      </c>
      <c r="B9282" t="s">
        <v>10</v>
      </c>
      <c r="C9282" t="s">
        <v>42</v>
      </c>
      <c r="D9282" t="str">
        <f>HYPERLINK("https://us2.cloudbeds.com/connect/10074733072513#/reservations/31685513974002?display=Carl%20Peterson&amp;reservation_id=31685513974002&amp;guest_id=31683231355111", "Carl Peterson")</f>
        <v>Carl Peterson</v>
      </c>
      <c r="E9282" t="s">
        <v>6943</v>
      </c>
      <c r="F9282" t="s">
        <v>5558</v>
      </c>
      <c r="G9282">
        <v>225</v>
      </c>
      <c r="H9282">
        <v>244.59</v>
      </c>
      <c r="I9282">
        <v>244.58</v>
      </c>
      <c r="J9282">
        <v>0.01</v>
      </c>
    </row>
    <row r="9283" spans="1:10" x14ac:dyDescent="0.3">
      <c r="A9283" t="str">
        <f>HYPERLINK("https://us2.cloudbeds.com/connect/10074733072513#/reservations/31693336150241?display=MHYX6HP6S&amp;reservation_id=31693336150241", "MHYX6HP6S")</f>
        <v>MHYX6HP6S</v>
      </c>
      <c r="B9283" t="s">
        <v>10</v>
      </c>
      <c r="C9283" t="s">
        <v>42</v>
      </c>
      <c r="D9283" t="str">
        <f>HYPERLINK("https://us2.cloudbeds.com/connect/10074733072513#/reservations/31693336150241?display=Pat%20Brettschneider&amp;reservation_id=31693336150241&amp;guest_id=31688916963490", "Pat Brettschneider")</f>
        <v>Pat Brettschneider</v>
      </c>
      <c r="E9283" t="s">
        <v>7757</v>
      </c>
      <c r="F9283" t="s">
        <v>7714</v>
      </c>
      <c r="G9283">
        <v>119</v>
      </c>
      <c r="H9283">
        <v>129.36000000000001</v>
      </c>
      <c r="I9283">
        <v>129.35</v>
      </c>
      <c r="J9283">
        <v>0.01</v>
      </c>
    </row>
    <row r="9284" spans="1:10" x14ac:dyDescent="0.3">
      <c r="A9284" t="str">
        <f>HYPERLINK("https://us2.cloudbeds.com/connect/10074733072513#/reservations/31688410370199?display=MHHZAWM6W&amp;reservation_id=31688410370199", "MHHZAWM6W")</f>
        <v>MHHZAWM6W</v>
      </c>
      <c r="B9284" t="s">
        <v>10</v>
      </c>
      <c r="C9284" t="s">
        <v>121</v>
      </c>
      <c r="D9284" t="str">
        <f>HYPERLINK("https://us2.cloudbeds.com/connect/10074733072513#/reservations/31688410370199?display=Ryan%20Harr&amp;reservation_id=31688410370199&amp;guest_id=31688410370197", "Ryan Harr")</f>
        <v>Ryan Harr</v>
      </c>
      <c r="E9284" t="s">
        <v>7758</v>
      </c>
      <c r="F9284" t="s">
        <v>7714</v>
      </c>
      <c r="G9284">
        <v>278</v>
      </c>
      <c r="H9284">
        <v>302.2</v>
      </c>
      <c r="I9284">
        <v>302.19</v>
      </c>
      <c r="J9284">
        <v>0.01</v>
      </c>
    </row>
    <row r="9285" spans="1:10" x14ac:dyDescent="0.3">
      <c r="A9285" t="str">
        <f>HYPERLINK("https://us2.cloudbeds.com/connect/10074733072513#/reservations/31693345255606?display=MHYXE74E0&amp;reservation_id=31693345255606", "MHYXE74E0")</f>
        <v>MHYXE74E0</v>
      </c>
      <c r="B9285" t="s">
        <v>10</v>
      </c>
      <c r="C9285" t="s">
        <v>42</v>
      </c>
      <c r="D9285" t="str">
        <f>HYPERLINK("https://us2.cloudbeds.com/connect/10074733072513#/reservations/31693345255606?display=Steven%20Schook&amp;reservation_id=31693345255606&amp;guest_id=31693345255591", "Steven Schook")</f>
        <v>Steven Schook</v>
      </c>
      <c r="E9285" t="s">
        <v>7760</v>
      </c>
      <c r="F9285" t="s">
        <v>7714</v>
      </c>
      <c r="G9285">
        <v>99</v>
      </c>
      <c r="H9285">
        <v>107.62</v>
      </c>
      <c r="I9285">
        <v>107.61</v>
      </c>
      <c r="J9285">
        <v>0.01</v>
      </c>
    </row>
    <row r="9286" spans="1:10" x14ac:dyDescent="0.3">
      <c r="A9286" t="str">
        <f>HYPERLINK("https://us2.cloudbeds.com/connect/10074733072513#/reservations/31692504850649?display=MHKTVXKN4&amp;reservation_id=31692504850649", "MHKTVXKN4")</f>
        <v>MHKTVXKN4</v>
      </c>
      <c r="B9286" t="s">
        <v>10</v>
      </c>
      <c r="C9286" t="s">
        <v>121</v>
      </c>
      <c r="D9286" t="str">
        <f>HYPERLINK("https://us2.cloudbeds.com/connect/10074733072513#/reservations/31692504850649?display=Charles%20Hansen&amp;reservation_id=31692504850649&amp;guest_id=31692504850646", "Charles Hansen")</f>
        <v>Charles Hansen</v>
      </c>
      <c r="E9286" t="s">
        <v>7761</v>
      </c>
      <c r="F9286" t="s">
        <v>7743</v>
      </c>
      <c r="G9286">
        <v>119</v>
      </c>
      <c r="H9286">
        <v>129.36000000000001</v>
      </c>
      <c r="I9286">
        <v>129.35</v>
      </c>
      <c r="J9286">
        <v>0.01</v>
      </c>
    </row>
    <row r="9287" spans="1:10" x14ac:dyDescent="0.3">
      <c r="A9287" t="str">
        <f>HYPERLINK("https://us2.cloudbeds.com/connect/10074733072513#/reservations/31685895454869?display=MHFQ2BEZG&amp;reservation_id=31685895454869", "MHFQ2BEZG")</f>
        <v>MHFQ2BEZG</v>
      </c>
      <c r="B9287" t="s">
        <v>10</v>
      </c>
      <c r="C9287" t="s">
        <v>23</v>
      </c>
      <c r="D9287" t="str">
        <f>HYPERLINK("https://us2.cloudbeds.com/connect/10074733072513#/reservations/31685895454869?display=Lisa%20Collins&amp;reservation_id=31685895454869&amp;guest_id=31685895454851", "Lisa Collins")</f>
        <v>Lisa Collins</v>
      </c>
      <c r="E9287" t="s">
        <v>7762</v>
      </c>
      <c r="F9287" t="s">
        <v>7291</v>
      </c>
      <c r="G9287">
        <v>199</v>
      </c>
      <c r="H9287">
        <v>216.32</v>
      </c>
      <c r="I9287">
        <v>216.31</v>
      </c>
      <c r="J9287">
        <v>0.01</v>
      </c>
    </row>
    <row r="9288" spans="1:10" x14ac:dyDescent="0.3">
      <c r="A9288" t="str">
        <f>HYPERLINK("https://us2.cloudbeds.com/connect/10074733072513#/reservations/31692525043910?display=MHKUFJHY4&amp;reservation_id=31692525043910", "MHKUFJHY4")</f>
        <v>MHKUFJHY4</v>
      </c>
      <c r="B9288" t="s">
        <v>10</v>
      </c>
      <c r="C9288" t="s">
        <v>42</v>
      </c>
      <c r="D9288" t="str">
        <f>HYPERLINK("https://us2.cloudbeds.com/connect/10074733072513#/reservations/31692525043910?display=Daniel%20Kahlstorf&amp;reservation_id=31692525043910&amp;guest_id=31675447382154", "Daniel Kahlstorf")</f>
        <v>Daniel Kahlstorf</v>
      </c>
      <c r="E9288" t="s">
        <v>5683</v>
      </c>
      <c r="F9288" t="s">
        <v>7743</v>
      </c>
      <c r="G9288">
        <v>73</v>
      </c>
      <c r="H9288">
        <v>79.36</v>
      </c>
      <c r="I9288">
        <v>79.349999999999994</v>
      </c>
      <c r="J9288">
        <v>0.01</v>
      </c>
    </row>
    <row r="9289" spans="1:10" x14ac:dyDescent="0.3">
      <c r="A9289" t="str">
        <f>HYPERLINK("https://us2.cloudbeds.com/connect/10074733072513#/reservations/31691991961778?display=MHKGS2ZC4&amp;reservation_id=31691991961778", "MHKGS2ZC4")</f>
        <v>MHKGS2ZC4</v>
      </c>
      <c r="B9289" t="s">
        <v>10</v>
      </c>
      <c r="C9289" t="s">
        <v>121</v>
      </c>
      <c r="D9289" t="str">
        <f>HYPERLINK("https://us2.cloudbeds.com/connect/10074733072513#/reservations/31691991961778?display=Wayne%20Goodhart&amp;reservation_id=31691991961778&amp;guest_id=31691991961760", "Wayne Goodhart")</f>
        <v>Wayne Goodhart</v>
      </c>
      <c r="E9289" t="s">
        <v>7763</v>
      </c>
      <c r="F9289" t="s">
        <v>7737</v>
      </c>
      <c r="G9289">
        <v>119</v>
      </c>
      <c r="H9289">
        <v>129.36000000000001</v>
      </c>
      <c r="I9289">
        <v>129.35</v>
      </c>
      <c r="J9289">
        <v>0.01</v>
      </c>
    </row>
    <row r="9290" spans="1:10" x14ac:dyDescent="0.3">
      <c r="A9290" t="str">
        <f>HYPERLINK("https://us2.cloudbeds.com/connect/10074733072513#/reservations/31692554617071?display=MHKV7HETH&amp;reservation_id=31692554617071", "MHKV7HETH")</f>
        <v>MHKV7HETH</v>
      </c>
      <c r="B9290" t="s">
        <v>10</v>
      </c>
      <c r="C9290" t="s">
        <v>121</v>
      </c>
      <c r="D9290" t="str">
        <f>HYPERLINK("https://us2.cloudbeds.com/connect/10074733072513#/reservations/31692554617071?display=Joel%20Vanorder&amp;reservation_id=31692554617071&amp;guest_id=31692554617067", "Joel Vanorder")</f>
        <v>Joel Vanorder</v>
      </c>
      <c r="E9290" t="s">
        <v>7764</v>
      </c>
      <c r="F9290" t="s">
        <v>7714</v>
      </c>
      <c r="G9290">
        <v>119</v>
      </c>
      <c r="H9290">
        <v>129.36000000000001</v>
      </c>
      <c r="I9290">
        <v>129.35</v>
      </c>
      <c r="J9290">
        <v>0.01</v>
      </c>
    </row>
    <row r="9291" spans="1:10" x14ac:dyDescent="0.3">
      <c r="A9291" t="str">
        <f>HYPERLINK("https://us2.cloudbeds.com/connect/10074733072513#/reservations/31694393888976?display=MHMC7ETQQ&amp;reservation_id=31694393888976", "MHMC7ETQQ")</f>
        <v>MHMC7ETQQ</v>
      </c>
      <c r="B9291" t="s">
        <v>10</v>
      </c>
      <c r="C9291" t="s">
        <v>42</v>
      </c>
      <c r="D9291" t="str">
        <f>HYPERLINK("https://us2.cloudbeds.com/connect/10074733072513#/reservations/31694393888976?display=Lynn%20Marotzki&amp;reservation_id=31694393888976&amp;guest_id=31694393888974", "Lynn Marotzki")</f>
        <v>Lynn Marotzki</v>
      </c>
      <c r="E9291" t="s">
        <v>7765</v>
      </c>
      <c r="F9291" t="s">
        <v>7530</v>
      </c>
      <c r="G9291">
        <v>139</v>
      </c>
      <c r="H9291">
        <v>151.1</v>
      </c>
      <c r="I9291">
        <v>151.09</v>
      </c>
      <c r="J9291">
        <v>0.01</v>
      </c>
    </row>
    <row r="9292" spans="1:10" x14ac:dyDescent="0.3">
      <c r="A9292" t="str">
        <f>HYPERLINK("https://us2.cloudbeds.com/connect/10074733072513#/reservations/31681798619334?display=MHCKCPVY5&amp;reservation_id=31681798619334", "MHCKCPVY5")</f>
        <v>MHCKCPVY5</v>
      </c>
      <c r="B9292" t="s">
        <v>10</v>
      </c>
      <c r="C9292" t="s">
        <v>121</v>
      </c>
      <c r="D9292" t="str">
        <f>HYPERLINK("https://us2.cloudbeds.com/connect/10074733072513#/reservations/31681798619334?display=Jamie%20Peloquin&amp;reservation_id=31681798619334&amp;guest_id=31681789509870", "Jamie Peloquin")</f>
        <v>Jamie Peloquin</v>
      </c>
      <c r="E9292" t="s">
        <v>7310</v>
      </c>
      <c r="F9292" t="s">
        <v>5558</v>
      </c>
      <c r="G9292">
        <v>225</v>
      </c>
      <c r="H9292">
        <v>244.59</v>
      </c>
      <c r="I9292">
        <v>244.58</v>
      </c>
      <c r="J9292">
        <v>0.01</v>
      </c>
    </row>
    <row r="9293" spans="1:10" x14ac:dyDescent="0.3">
      <c r="A9293" t="str">
        <f>HYPERLINK("https://us2.cloudbeds.com/connect/10074733072513#/reservations/31692543725747?display=MHKUVBCMD&amp;reservation_id=31692543725747", "MHKUVBCMD")</f>
        <v>MHKUVBCMD</v>
      </c>
      <c r="B9293" t="s">
        <v>10</v>
      </c>
      <c r="C9293" t="s">
        <v>121</v>
      </c>
      <c r="D9293" t="str">
        <f>HYPERLINK("https://us2.cloudbeds.com/connect/10074733072513#/reservations/31692543725747?display=Annel%20Odobasic&amp;reservation_id=31692543725747&amp;guest_id=31692532367580", "Annel Odobasic")</f>
        <v>Annel Odobasic</v>
      </c>
      <c r="E9293" t="s">
        <v>7766</v>
      </c>
      <c r="F9293" t="s">
        <v>7743</v>
      </c>
      <c r="G9293">
        <v>119</v>
      </c>
      <c r="H9293">
        <v>129.36000000000001</v>
      </c>
      <c r="I9293">
        <v>129.35</v>
      </c>
      <c r="J9293">
        <v>0.01</v>
      </c>
    </row>
    <row r="9294" spans="1:10" x14ac:dyDescent="0.3">
      <c r="A9294" t="str">
        <f>HYPERLINK("https://us2.cloudbeds.com/connect/10074733072513#/reservations/31688394838259?display=MHHNUTFY4&amp;reservation_id=31688394838259", "MHHNUTFY4")</f>
        <v>MHHNUTFY4</v>
      </c>
      <c r="B9294" t="s">
        <v>10</v>
      </c>
      <c r="C9294" t="s">
        <v>42</v>
      </c>
      <c r="D9294" t="str">
        <f>HYPERLINK("https://us2.cloudbeds.com/connect/10074733072513#/reservations/31688394838259?display=Josh%20Grooters%20T%20Underground&amp;reservation_id=31688394838259&amp;guest_id=31688394838257", "Josh Grooters T Underground")</f>
        <v>Josh Grooters T Underground</v>
      </c>
      <c r="E9294" t="s">
        <v>7708</v>
      </c>
      <c r="F9294" t="s">
        <v>7743</v>
      </c>
      <c r="G9294">
        <v>158</v>
      </c>
      <c r="H9294">
        <v>171.76</v>
      </c>
      <c r="I9294">
        <v>171.75</v>
      </c>
      <c r="J9294">
        <v>0.01</v>
      </c>
    </row>
    <row r="9295" spans="1:10" x14ac:dyDescent="0.3">
      <c r="A9295" t="str">
        <f>HYPERLINK("https://us2.cloudbeds.com/connect/10074733072513#/reservations/31688410374295?display=MHHZAWPW3&amp;reservation_id=31688410374295", "MHHZAWPW3")</f>
        <v>MHHZAWPW3</v>
      </c>
      <c r="B9295" t="s">
        <v>10</v>
      </c>
      <c r="C9295" t="s">
        <v>42</v>
      </c>
      <c r="D9295" t="str">
        <f>HYPERLINK("https://us2.cloudbeds.com/connect/10074733072513#/reservations/31688410374295?display=Jason%20Kriz&amp;reservation_id=31688410374295&amp;guest_id=30662419071106", "Jason Kriz")</f>
        <v>Jason Kriz</v>
      </c>
      <c r="E9295" t="s">
        <v>7767</v>
      </c>
      <c r="F9295" t="s">
        <v>7714</v>
      </c>
      <c r="G9295">
        <v>73</v>
      </c>
      <c r="H9295">
        <v>79.36</v>
      </c>
      <c r="I9295">
        <v>79.349999999999994</v>
      </c>
      <c r="J9295">
        <v>0.01</v>
      </c>
    </row>
    <row r="9296" spans="1:10" x14ac:dyDescent="0.3">
      <c r="A9296" t="str">
        <f>HYPERLINK("https://us2.cloudbeds.com/connect/10074733072513#/reservations/31692651897052?display=MHY0NXDHZ&amp;reservation_id=31692651897052", "MHY0NXDHZ")</f>
        <v>MHY0NXDHZ</v>
      </c>
      <c r="B9296" t="s">
        <v>10</v>
      </c>
      <c r="C9296" t="s">
        <v>23</v>
      </c>
      <c r="D9296" t="str">
        <f>HYPERLINK("https://us2.cloudbeds.com/connect/10074733072513#/reservations/31692651897052?display=Dorothy%20Norris&amp;reservation_id=31692651897052&amp;guest_id=31692651897047", "Dorothy Norris")</f>
        <v>Dorothy Norris</v>
      </c>
      <c r="E9296" t="s">
        <v>7768</v>
      </c>
      <c r="F9296" t="s">
        <v>7268</v>
      </c>
      <c r="G9296">
        <v>189</v>
      </c>
      <c r="H9296">
        <v>205.45</v>
      </c>
      <c r="I9296">
        <v>205.44</v>
      </c>
      <c r="J9296">
        <v>0.01</v>
      </c>
    </row>
    <row r="9297" spans="1:10" x14ac:dyDescent="0.3">
      <c r="A9297" t="str">
        <f>HYPERLINK("https://us2.cloudbeds.com/connect/10074733072513#/reservations/31688432205999?display=MHHZTD9ET&amp;reservation_id=31688432205999", "MHHZTD9ET")</f>
        <v>MHHZTD9ET</v>
      </c>
      <c r="B9297" t="s">
        <v>10</v>
      </c>
      <c r="C9297" t="s">
        <v>42</v>
      </c>
      <c r="D9297" t="str">
        <f>HYPERLINK("https://us2.cloudbeds.com/connect/10074733072513#/reservations/31688432205999?display=Danny%20Ayers&amp;reservation_id=31688432205999&amp;guest_id=30672376099037", "Danny Ayers")</f>
        <v>Danny Ayers</v>
      </c>
      <c r="E9297" t="s">
        <v>4757</v>
      </c>
      <c r="F9297" t="s">
        <v>7714</v>
      </c>
      <c r="G9297">
        <v>129</v>
      </c>
      <c r="H9297">
        <v>140.22999999999999</v>
      </c>
      <c r="I9297">
        <v>140.22</v>
      </c>
      <c r="J9297">
        <v>0.01</v>
      </c>
    </row>
    <row r="9298" spans="1:10" x14ac:dyDescent="0.3">
      <c r="A9298" t="str">
        <f>HYPERLINK("https://us2.cloudbeds.com/connect/10074733072513#/reservations/31688444260550?display=MHHP6XNRA&amp;reservation_id=31688444260550", "MHHP6XNRA")</f>
        <v>MHHP6XNRA</v>
      </c>
      <c r="B9298" t="s">
        <v>10</v>
      </c>
      <c r="C9298" t="s">
        <v>42</v>
      </c>
      <c r="D9298" t="str">
        <f>HYPERLINK("https://us2.cloudbeds.com/connect/10074733072513#/reservations/31688444260550?display=Brock%20Smith&amp;reservation_id=31688444260550&amp;guest_id=30685118128301", "Brock Smith")</f>
        <v>Brock Smith</v>
      </c>
      <c r="E9298" t="s">
        <v>3409</v>
      </c>
      <c r="F9298" t="s">
        <v>7714</v>
      </c>
      <c r="G9298">
        <v>73</v>
      </c>
      <c r="H9298">
        <v>79.36</v>
      </c>
      <c r="I9298">
        <v>79.349999999999994</v>
      </c>
      <c r="J9298">
        <v>0.01</v>
      </c>
    </row>
    <row r="9299" spans="1:10" x14ac:dyDescent="0.3">
      <c r="A9299" t="str">
        <f>HYPERLINK("https://us2.cloudbeds.com/connect/10074733072513#/reservations/31685518717076?display=MHFGEM5BP&amp;reservation_id=31685518717076", "MHFGEM5BP")</f>
        <v>MHFGEM5BP</v>
      </c>
      <c r="B9299" t="s">
        <v>10</v>
      </c>
      <c r="C9299" t="s">
        <v>42</v>
      </c>
      <c r="D9299" t="str">
        <f>HYPERLINK("https://us2.cloudbeds.com/connect/10074733072513#/reservations/31685518717076?display=Laramie%20Goodsell%20Northern%20Lights%20Diesel&amp;reservation_id=31685518717076&amp;guest_id=31685518717064", "Laramie Goodsell Northern Lights Diesel")</f>
        <v>Laramie Goodsell Northern Lights Diesel</v>
      </c>
      <c r="E9299" t="s">
        <v>7769</v>
      </c>
      <c r="F9299" t="s">
        <v>7730</v>
      </c>
      <c r="G9299">
        <v>336</v>
      </c>
      <c r="H9299">
        <v>365.24</v>
      </c>
      <c r="I9299">
        <v>365.23</v>
      </c>
      <c r="J9299">
        <v>0.01</v>
      </c>
    </row>
    <row r="9300" spans="1:10" x14ac:dyDescent="0.3">
      <c r="A9300" t="str">
        <f>HYPERLINK("https://us2.cloudbeds.com/connect/10074733072513#/reservations/31686105264350?display=MHFVE8N8J&amp;reservation_id=31686105264350", "MHFVE8N8J")</f>
        <v>MHFVE8N8J</v>
      </c>
      <c r="B9300" t="s">
        <v>10</v>
      </c>
      <c r="C9300" t="s">
        <v>42</v>
      </c>
      <c r="D9300" t="str">
        <f>HYPERLINK("https://us2.cloudbeds.com/connect/10074733072513#/reservations/31686105264350?display=Lyndsee%20Pherson&amp;reservation_id=31686105264350&amp;guest_id=31686105260259", "Lyndsee Pherson")</f>
        <v>Lyndsee Pherson</v>
      </c>
      <c r="E9300" t="s">
        <v>7770</v>
      </c>
      <c r="F9300" t="s">
        <v>7727</v>
      </c>
      <c r="G9300">
        <v>338</v>
      </c>
      <c r="H9300">
        <v>367.42</v>
      </c>
      <c r="I9300">
        <v>367.41</v>
      </c>
      <c r="J9300">
        <v>0.01</v>
      </c>
    </row>
    <row r="9301" spans="1:10" x14ac:dyDescent="0.3">
      <c r="A9301" t="str">
        <f>HYPERLINK("https://us2.cloudbeds.com/connect/10074733072513#/reservations/31681871237248?display=MHCM1UNPB&amp;reservation_id=31681871237248", "MHCM1UNPB")</f>
        <v>MHCM1UNPB</v>
      </c>
      <c r="B9301" t="s">
        <v>10</v>
      </c>
      <c r="C9301" t="s">
        <v>42</v>
      </c>
      <c r="D9301" t="str">
        <f>HYPERLINK("https://us2.cloudbeds.com/connect/10074733072513#/reservations/31681871237248?display=Dewey%20Hlavac&amp;reservation_id=31681871237248&amp;guest_id=31681864011998", "Dewey Hlavac")</f>
        <v>Dewey Hlavac</v>
      </c>
      <c r="E9301" t="s">
        <v>7322</v>
      </c>
      <c r="F9301" t="s">
        <v>5558</v>
      </c>
      <c r="G9301">
        <v>495</v>
      </c>
      <c r="H9301">
        <v>538.08000000000004</v>
      </c>
      <c r="I9301">
        <v>538.07000000000005</v>
      </c>
      <c r="J9301">
        <v>0.01</v>
      </c>
    </row>
    <row r="9302" spans="1:10" x14ac:dyDescent="0.3">
      <c r="A9302" t="str">
        <f>HYPERLINK("https://us2.cloudbeds.com/connect/10074733072513#/reservations/31688563617989?display=MHHS870KD&amp;reservation_id=31688563617989", "MHHS870KD")</f>
        <v>MHHS870KD</v>
      </c>
      <c r="B9302" t="s">
        <v>10</v>
      </c>
      <c r="C9302" t="s">
        <v>42</v>
      </c>
      <c r="D9302" t="str">
        <f>HYPERLINK("https://us2.cloudbeds.com/connect/10074733072513#/reservations/31688563617989?display=Cory%20Glick&amp;reservation_id=31688563617989&amp;guest_id=31676961386701", "Cory Glick")</f>
        <v>Cory Glick</v>
      </c>
      <c r="E9302" t="s">
        <v>2769</v>
      </c>
      <c r="F9302" t="s">
        <v>7771</v>
      </c>
      <c r="G9302">
        <v>252</v>
      </c>
      <c r="H9302">
        <v>273.93</v>
      </c>
      <c r="I9302">
        <v>273.92</v>
      </c>
      <c r="J9302">
        <v>0.01</v>
      </c>
    </row>
    <row r="9303" spans="1:10" x14ac:dyDescent="0.3">
      <c r="A9303" t="str">
        <f>HYPERLINK("https://us2.cloudbeds.com/connect/10074733072513#/reservations/31688595738785?display=MHHT29R9S&amp;reservation_id=31688595738785", "MHHT29R9S")</f>
        <v>MHHT29R9S</v>
      </c>
      <c r="B9303" t="s">
        <v>10</v>
      </c>
      <c r="C9303" t="s">
        <v>14</v>
      </c>
      <c r="D9303" t="str">
        <f>HYPERLINK("https://us2.cloudbeds.com/connect/10074733072513#/reservations/31688595738785?display=Trevor%20Gunson&amp;reservation_id=31688595738785&amp;guest_id=31688595734694", "Trevor Gunson")</f>
        <v>Trevor Gunson</v>
      </c>
      <c r="E9303" t="s">
        <v>7772</v>
      </c>
      <c r="F9303" t="s">
        <v>7771</v>
      </c>
      <c r="G9303">
        <v>325.36</v>
      </c>
      <c r="H9303">
        <v>353.68</v>
      </c>
      <c r="I9303">
        <v>353.67</v>
      </c>
      <c r="J9303">
        <v>0.01</v>
      </c>
    </row>
    <row r="9304" spans="1:10" x14ac:dyDescent="0.3">
      <c r="A9304" t="str">
        <f>HYPERLINK("https://us2.cloudbeds.com/connect/10074733072513#/reservations/31692985385177?display=MHY97P6TG&amp;reservation_id=31692985385177", "MHY97P6TG")</f>
        <v>MHY97P6TG</v>
      </c>
      <c r="B9304" t="s">
        <v>10</v>
      </c>
      <c r="C9304" t="s">
        <v>42</v>
      </c>
      <c r="D9304" t="str">
        <f>HYPERLINK("https://us2.cloudbeds.com/connect/10074733072513#/reservations/31692985385177?display=Joe%20Hanson&amp;reservation_id=31692985385177&amp;guest_id=31685198139632", "Joe Hanson")</f>
        <v>Joe Hanson</v>
      </c>
      <c r="E9304" t="s">
        <v>7389</v>
      </c>
      <c r="F9304" t="s">
        <v>5557</v>
      </c>
      <c r="G9304">
        <v>225</v>
      </c>
      <c r="H9304">
        <v>244.59</v>
      </c>
      <c r="I9304">
        <v>244.58</v>
      </c>
      <c r="J9304">
        <v>0.01</v>
      </c>
    </row>
    <row r="9305" spans="1:10" x14ac:dyDescent="0.3">
      <c r="A9305" t="str">
        <f>HYPERLINK("https://us2.cloudbeds.com/connect/10074733072513#/reservations/31693281960178?display=MHYGQRRTZ&amp;reservation_id=31693281960178", "MHYGQRRTZ")</f>
        <v>MHYGQRRTZ</v>
      </c>
      <c r="B9305" t="s">
        <v>10</v>
      </c>
      <c r="C9305" t="s">
        <v>42</v>
      </c>
      <c r="D9305" t="str">
        <f>HYPERLINK("https://us2.cloudbeds.com/connect/10074733072513#/reservations/31693281960178?display=Dewey%20Hlavac&amp;reservation_id=31693281960178&amp;guest_id=31681864011998", "Dewey Hlavac")</f>
        <v>Dewey Hlavac</v>
      </c>
      <c r="E9305" t="s">
        <v>7322</v>
      </c>
      <c r="F9305" t="s">
        <v>7714</v>
      </c>
      <c r="G9305">
        <v>99</v>
      </c>
      <c r="H9305">
        <v>107.62</v>
      </c>
      <c r="I9305">
        <v>107.61</v>
      </c>
      <c r="J9305">
        <v>0.01</v>
      </c>
    </row>
    <row r="9306" spans="1:10" x14ac:dyDescent="0.3">
      <c r="A9306" t="str">
        <f>HYPERLINK("https://us2.cloudbeds.com/connect/10074733072513#/reservations/31686923059435?display=MHGJAS1UR&amp;reservation_id=31686923059435", "MHGJAS1UR")</f>
        <v>MHGJAS1UR</v>
      </c>
      <c r="B9306" t="s">
        <v>10</v>
      </c>
      <c r="C9306" t="s">
        <v>42</v>
      </c>
      <c r="D9306" t="str">
        <f>HYPERLINK("https://us2.cloudbeds.com/connect/10074733072513#/reservations/31686923059435?display=Allison%20Hendrickson&amp;reservation_id=31686923059435&amp;guest_id=31686914293962", "Allison Hendrickson")</f>
        <v>Allison Hendrickson</v>
      </c>
      <c r="E9306" t="s">
        <v>7773</v>
      </c>
      <c r="F9306" t="s">
        <v>7268</v>
      </c>
      <c r="G9306">
        <v>199</v>
      </c>
      <c r="H9306">
        <v>216.32</v>
      </c>
      <c r="I9306">
        <v>216.31</v>
      </c>
      <c r="J9306">
        <v>0.01</v>
      </c>
    </row>
    <row r="9307" spans="1:10" x14ac:dyDescent="0.3">
      <c r="A9307" t="str">
        <f>HYPERLINK("https://us2.cloudbeds.com/connect/10074733072513#/reservations/31690519101598?display=MHJC747MF&amp;reservation_id=31690519101598", "MHJC747MF")</f>
        <v>MHJC747MF</v>
      </c>
      <c r="B9307" t="s">
        <v>10</v>
      </c>
      <c r="C9307" t="s">
        <v>42</v>
      </c>
      <c r="D9307" t="str">
        <f>HYPERLINK("https://us2.cloudbeds.com/connect/10074733072513#/reservations/31690519101598?display=Alysha%20Mortenson&amp;reservation_id=31690519101598&amp;guest_id=31690519101595", "Alysha Mortenson")</f>
        <v>Alysha Mortenson</v>
      </c>
      <c r="E9307" t="s">
        <v>7774</v>
      </c>
      <c r="F9307" t="s">
        <v>7268</v>
      </c>
      <c r="G9307">
        <v>159</v>
      </c>
      <c r="H9307">
        <v>172.84</v>
      </c>
      <c r="I9307">
        <v>172.83</v>
      </c>
      <c r="J9307">
        <v>0.01</v>
      </c>
    </row>
    <row r="9308" spans="1:10" x14ac:dyDescent="0.3">
      <c r="A9308" t="str">
        <f>HYPERLINK("https://us2.cloudbeds.com/connect/10074733072513#/reservations/31684211196062?display=MHEG14F8S&amp;reservation_id=31684211196062", "MHEG14F8S")</f>
        <v>MHEG14F8S</v>
      </c>
      <c r="B9308" t="s">
        <v>10</v>
      </c>
      <c r="C9308" t="s">
        <v>42</v>
      </c>
      <c r="D9308" t="str">
        <f>HYPERLINK("https://us2.cloudbeds.com/connect/10074733072513#/reservations/31684211196062?display=Sarah%20/%20Jeremy%20Roe&amp;reservation_id=31684211196062&amp;guest_id=31684211196058", "Sarah / Jeremy Roe")</f>
        <v>Sarah / Jeremy Roe</v>
      </c>
      <c r="E9308" t="s">
        <v>4033</v>
      </c>
      <c r="F9308" t="s">
        <v>7372</v>
      </c>
      <c r="G9308">
        <v>139</v>
      </c>
      <c r="H9308">
        <v>151.1</v>
      </c>
      <c r="I9308">
        <v>151.09</v>
      </c>
      <c r="J9308">
        <v>0.01</v>
      </c>
    </row>
    <row r="9309" spans="1:10" x14ac:dyDescent="0.3">
      <c r="A9309" t="str">
        <f>HYPERLINK("https://us2.cloudbeds.com/connect/10074733072513#/reservations/31688901611672?display=MHX3T76A7&amp;reservation_id=31688901611672", "MHX3T76A7")</f>
        <v>MHX3T76A7</v>
      </c>
      <c r="B9309" t="s">
        <v>10</v>
      </c>
      <c r="C9309" t="s">
        <v>42</v>
      </c>
      <c r="D9309" t="str">
        <f>HYPERLINK("https://us2.cloudbeds.com/connect/10074733072513#/reservations/31688901611672?display=Aaron%20Walton&amp;reservation_id=31688901611672&amp;guest_id=31688901611659", "Aaron Walton")</f>
        <v>Aaron Walton</v>
      </c>
      <c r="E9309" t="s">
        <v>7777</v>
      </c>
      <c r="F9309" t="s">
        <v>7771</v>
      </c>
      <c r="G9309">
        <v>189</v>
      </c>
      <c r="H9309">
        <v>205.45</v>
      </c>
      <c r="I9309">
        <v>205.44</v>
      </c>
      <c r="J9309">
        <v>0.01</v>
      </c>
    </row>
    <row r="9310" spans="1:10" x14ac:dyDescent="0.3">
      <c r="A9310" t="str">
        <f>HYPERLINK("https://us2.cloudbeds.com/connect/10074733072513#/reservations/31688475746526?display=MHHQ03SXQ&amp;reservation_id=31688475746526", "MHHQ03SXQ")</f>
        <v>MHHQ03SXQ</v>
      </c>
      <c r="B9310" t="s">
        <v>10</v>
      </c>
      <c r="C9310" t="s">
        <v>17</v>
      </c>
      <c r="D9310" t="str">
        <f>HYPERLINK("https://us2.cloudbeds.com/connect/10074733072513#/reservations/31688475746526?display=Tom%20Tosch&amp;reservation_id=31688475746526&amp;guest_id=31688475742415", "Tom Tosch")</f>
        <v>Tom Tosch</v>
      </c>
      <c r="E9310" t="s">
        <v>7781</v>
      </c>
      <c r="F9310" t="s">
        <v>7730</v>
      </c>
      <c r="G9310">
        <v>109</v>
      </c>
      <c r="H9310">
        <v>118.49</v>
      </c>
      <c r="I9310">
        <v>118.48</v>
      </c>
      <c r="J9310">
        <v>0.01</v>
      </c>
    </row>
    <row r="9311" spans="1:10" x14ac:dyDescent="0.3">
      <c r="A9311" t="str">
        <f>HYPERLINK("https://us2.cloudbeds.com/connect/10074733072513#/reservations/31686481690756?display=MHG81MANC&amp;reservation_id=31686481690756", "MHG81MANC")</f>
        <v>MHG81MANC</v>
      </c>
      <c r="B9311" t="s">
        <v>10</v>
      </c>
      <c r="C9311" t="s">
        <v>42</v>
      </c>
      <c r="D9311" t="str">
        <f>HYPERLINK("https://us2.cloudbeds.com/connect/10074733072513#/reservations/31686481690756?display=Paul%20Stevenson&amp;reservation_id=31686481690756&amp;guest_id=31679659221242", "Paul Stevenson")</f>
        <v>Paul Stevenson</v>
      </c>
      <c r="E9311" t="s">
        <v>6445</v>
      </c>
      <c r="F9311" t="s">
        <v>7782</v>
      </c>
      <c r="G9311">
        <v>225</v>
      </c>
      <c r="H9311">
        <v>244.59</v>
      </c>
      <c r="I9311">
        <v>244.58</v>
      </c>
      <c r="J9311">
        <v>0.01</v>
      </c>
    </row>
    <row r="9312" spans="1:10" x14ac:dyDescent="0.3">
      <c r="A9312" t="str">
        <f>HYPERLINK("https://us2.cloudbeds.com/connect/10074733072513#/reservations/31691512377591?display=MHK4JMJRW&amp;reservation_id=31691512377591", "MHK4JMJRW")</f>
        <v>MHK4JMJRW</v>
      </c>
      <c r="B9312" t="s">
        <v>10</v>
      </c>
      <c r="C9312" t="s">
        <v>42</v>
      </c>
      <c r="D9312" t="str">
        <f>HYPERLINK("https://us2.cloudbeds.com/connect/10074733072513#/reservations/31691512377591?display=Jeff%20Potts&amp;reservation_id=31691512377591&amp;guest_id=31686514208925", "Jeff Potts")</f>
        <v>Jeff Potts</v>
      </c>
      <c r="E9312" t="s">
        <v>3400</v>
      </c>
      <c r="F9312" t="s">
        <v>7785</v>
      </c>
      <c r="G9312">
        <v>150</v>
      </c>
      <c r="H9312">
        <v>163.06</v>
      </c>
      <c r="I9312">
        <v>163.05000000000001</v>
      </c>
      <c r="J9312">
        <v>0.01</v>
      </c>
    </row>
    <row r="9313" spans="1:10" x14ac:dyDescent="0.3">
      <c r="A9313" t="str">
        <f>HYPERLINK("https://us2.cloudbeds.com/connect/10074733072513#/reservations/31691479302358?display=MHK3ZQ7Z6&amp;reservation_id=31691479302358", "MHK3ZQ7Z6")</f>
        <v>MHK3ZQ7Z6</v>
      </c>
      <c r="B9313" t="s">
        <v>10</v>
      </c>
      <c r="C9313" t="s">
        <v>23</v>
      </c>
      <c r="D9313" t="str">
        <f>HYPERLINK("https://us2.cloudbeds.com/connect/10074733072513#/reservations/31691479302358?display=Kary%20Peterson&amp;reservation_id=31691479302358&amp;guest_id=31691479302356", "Kary Peterson")</f>
        <v>Kary Peterson</v>
      </c>
      <c r="E9313" t="s">
        <v>7786</v>
      </c>
      <c r="F9313" t="s">
        <v>7785</v>
      </c>
      <c r="G9313">
        <v>109</v>
      </c>
      <c r="H9313">
        <v>118.49</v>
      </c>
      <c r="I9313">
        <v>118.48</v>
      </c>
      <c r="J9313">
        <v>0.01</v>
      </c>
    </row>
    <row r="9314" spans="1:10" x14ac:dyDescent="0.3">
      <c r="A9314" t="str">
        <f>HYPERLINK("https://us2.cloudbeds.com/connect/10074733072513#/reservations/31729677123771?display=MXGMQ6UEW&amp;reservation_id=31729677123771", "MXGMQ6UEW")</f>
        <v>MXGMQ6UEW</v>
      </c>
      <c r="B9314" t="s">
        <v>10</v>
      </c>
      <c r="C9314" t="s">
        <v>42</v>
      </c>
      <c r="D9314" t="str">
        <f>HYPERLINK("https://us2.cloudbeds.com/connect/10074733072513#/reservations/31729677123771?display=Mr%20&amp;%20Mrs%20Matthew%20Tvedt&amp;reservation_id=31729677123771&amp;guest_id=31729664299235", "Mr &amp; Mrs Matthew Tvedt")</f>
        <v>Mr &amp; Mrs Matthew Tvedt</v>
      </c>
      <c r="E9314" t="s">
        <v>7787</v>
      </c>
      <c r="F9314" t="s">
        <v>7468</v>
      </c>
      <c r="G9314">
        <v>318</v>
      </c>
      <c r="H9314">
        <v>345.68</v>
      </c>
      <c r="I9314">
        <v>345.67</v>
      </c>
      <c r="J9314">
        <v>0.01</v>
      </c>
    </row>
    <row r="9315" spans="1:10" x14ac:dyDescent="0.3">
      <c r="A9315" t="str">
        <f>HYPERLINK("https://us2.cloudbeds.com/connect/10074733072513#/reservations/31692719276238?display=MHY2ECB28&amp;reservation_id=31692719276238", "MHY2ECB28")</f>
        <v>MHY2ECB28</v>
      </c>
      <c r="B9315" t="s">
        <v>10</v>
      </c>
      <c r="C9315" t="s">
        <v>42</v>
      </c>
      <c r="D9315" t="str">
        <f>HYPERLINK("https://us2.cloudbeds.com/connect/10074733072513#/reservations/31692719276238?display=Derek%20Miles&amp;reservation_id=31692719276238&amp;guest_id=31692715180193", "Derek Miles")</f>
        <v>Derek Miles</v>
      </c>
      <c r="E9315" t="s">
        <v>7788</v>
      </c>
      <c r="F9315" t="s">
        <v>7268</v>
      </c>
      <c r="G9315">
        <v>298</v>
      </c>
      <c r="H9315">
        <v>323.94</v>
      </c>
      <c r="I9315">
        <v>323.93</v>
      </c>
      <c r="J9315">
        <v>0.01</v>
      </c>
    </row>
    <row r="9316" spans="1:10" x14ac:dyDescent="0.3">
      <c r="A9316" t="str">
        <f>HYPERLINK("https://us2.cloudbeds.com/connect/10074733072513#/reservations/31688901615766?display=MHX3T7A29&amp;reservation_id=31688901615766", "MHX3T7A29")</f>
        <v>MHX3T7A29</v>
      </c>
      <c r="B9316" t="s">
        <v>10</v>
      </c>
      <c r="C9316" t="s">
        <v>42</v>
      </c>
      <c r="D9316" t="str">
        <f>HYPERLINK("https://us2.cloudbeds.com/connect/10074733072513#/reservations/31688901615766?display=Chad%20Biedz&amp;reservation_id=31688901615766&amp;guest_id=31688901615763", "Chad Biedz")</f>
        <v>Chad Biedz</v>
      </c>
      <c r="E9316" t="s">
        <v>7789</v>
      </c>
      <c r="F9316" t="s">
        <v>7771</v>
      </c>
      <c r="G9316">
        <v>139</v>
      </c>
      <c r="H9316">
        <v>151.1</v>
      </c>
      <c r="I9316">
        <v>151.09</v>
      </c>
      <c r="J9316">
        <v>0.01</v>
      </c>
    </row>
    <row r="9317" spans="1:10" x14ac:dyDescent="0.3">
      <c r="A9317" t="str">
        <f>HYPERLINK("https://us2.cloudbeds.com/connect/10074733072513#/reservations/31688554086577?display=MHHS05Q5Z&amp;reservation_id=31688554086577", "MHHS05Q5Z")</f>
        <v>MHHS05Q5Z</v>
      </c>
      <c r="B9317" t="s">
        <v>10</v>
      </c>
      <c r="C9317" t="s">
        <v>42</v>
      </c>
      <c r="D9317" t="str">
        <f>HYPERLINK("https://us2.cloudbeds.com/connect/10074733072513#/reservations/31688554086577?display=Angela%20Kaney&amp;reservation_id=31688554086577&amp;guest_id=31688554086573", "Angela Kaney")</f>
        <v>Angela Kaney</v>
      </c>
      <c r="E9317" t="s">
        <v>7790</v>
      </c>
      <c r="F9317" t="s">
        <v>7771</v>
      </c>
      <c r="G9317">
        <v>149</v>
      </c>
      <c r="H9317">
        <v>161.97</v>
      </c>
      <c r="I9317">
        <v>161.96</v>
      </c>
      <c r="J9317">
        <v>0.01</v>
      </c>
    </row>
    <row r="9318" spans="1:10" x14ac:dyDescent="0.3">
      <c r="A9318" t="str">
        <f>HYPERLINK("https://us2.cloudbeds.com/connect/10074733072513#/reservations/31686914289869?display=MHGJ3F12D&amp;reservation_id=31686914289869", "MHGJ3F12D")</f>
        <v>MHGJ3F12D</v>
      </c>
      <c r="B9318" t="s">
        <v>10</v>
      </c>
      <c r="C9318" t="s">
        <v>42</v>
      </c>
      <c r="D9318" t="str">
        <f>HYPERLINK("https://us2.cloudbeds.com/connect/10074733072513#/reservations/31686914289869?display=Timothy%20Ollerich&amp;reservation_id=31686914289869&amp;guest_id=31686896619764", "Timothy Ollerich")</f>
        <v>Timothy Ollerich</v>
      </c>
      <c r="E9318" t="s">
        <v>7791</v>
      </c>
      <c r="F9318" t="s">
        <v>7268</v>
      </c>
      <c r="G9318">
        <v>159</v>
      </c>
      <c r="H9318">
        <v>172.84</v>
      </c>
      <c r="I9318">
        <v>172.83</v>
      </c>
      <c r="J9318">
        <v>0.01</v>
      </c>
    </row>
    <row r="9319" spans="1:10" x14ac:dyDescent="0.3">
      <c r="A9319" t="str">
        <f>HYPERLINK("https://us2.cloudbeds.com/connect/10074733072513#/reservations/31688583033080?display=MHHSZJ8WG&amp;reservation_id=31688583033080", "MHHSZJ8WG")</f>
        <v>MHHSZJ8WG</v>
      </c>
      <c r="B9319" t="s">
        <v>10</v>
      </c>
      <c r="C9319" t="s">
        <v>14</v>
      </c>
      <c r="D9319" t="str">
        <f>HYPERLINK("https://us2.cloudbeds.com/connect/10074733072513#/reservations/31688583033080?display=Douglas%20Persing&amp;reservation_id=31688583033080&amp;guest_id=31688571662497", "Douglas Persing")</f>
        <v>Douglas Persing</v>
      </c>
      <c r="E9319" t="s">
        <v>7792</v>
      </c>
      <c r="F9319" t="s">
        <v>7771</v>
      </c>
      <c r="G9319">
        <v>97.74</v>
      </c>
      <c r="H9319">
        <v>106.25</v>
      </c>
      <c r="I9319">
        <v>106.24</v>
      </c>
      <c r="J9319">
        <v>0.01</v>
      </c>
    </row>
    <row r="9320" spans="1:10" x14ac:dyDescent="0.3">
      <c r="A9320" t="str">
        <f>HYPERLINK("https://us2.cloudbeds.com/connect/10074733072513#/reservations/31694768382148?display=MHMYQ7Z0Z&amp;reservation_id=31694768382148", "MHMYQ7Z0Z")</f>
        <v>MHMYQ7Z0Z</v>
      </c>
      <c r="B9320" t="s">
        <v>10</v>
      </c>
      <c r="C9320" t="s">
        <v>42</v>
      </c>
      <c r="D9320" t="str">
        <f>HYPERLINK("https://us2.cloudbeds.com/connect/10074733072513#/reservations/31694768382148?display=Shanna%20Neubauer%20Bride%20And%20Groom%20Room&amp;reservation_id=31694768382148&amp;guest_id=31694768378111", "Shanna Neubauer Bride And Groom Room")</f>
        <v>Shanna Neubauer Bride And Groom Room</v>
      </c>
      <c r="E9320" t="s">
        <v>7794</v>
      </c>
      <c r="F9320" t="s">
        <v>7795</v>
      </c>
      <c r="G9320">
        <v>149</v>
      </c>
      <c r="H9320">
        <v>161.97</v>
      </c>
      <c r="I9320">
        <v>161.96</v>
      </c>
      <c r="J9320">
        <v>0.01</v>
      </c>
    </row>
    <row r="9321" spans="1:10" x14ac:dyDescent="0.3">
      <c r="A9321" t="str">
        <f>HYPERLINK("https://us2.cloudbeds.com/connect/10074733072513#/reservations/31694356721909?display=MHMB93M91&amp;reservation_id=31694356721909", "MHMB93M91")</f>
        <v>MHMB93M91</v>
      </c>
      <c r="B9321" t="s">
        <v>10</v>
      </c>
      <c r="C9321" t="s">
        <v>42</v>
      </c>
      <c r="D9321" t="str">
        <f>HYPERLINK("https://us2.cloudbeds.com/connect/10074733072513#/reservations/31694356721909?display=Crystal%20Plate&amp;reservation_id=31694356721909&amp;guest_id=31694356721907", "Crystal Plate")</f>
        <v>Crystal Plate</v>
      </c>
      <c r="E9321" t="s">
        <v>7796</v>
      </c>
      <c r="F9321" t="s">
        <v>7530</v>
      </c>
      <c r="G9321">
        <v>298</v>
      </c>
      <c r="H9321">
        <v>323.94</v>
      </c>
      <c r="I9321">
        <v>323.93</v>
      </c>
      <c r="J9321">
        <v>0.01</v>
      </c>
    </row>
    <row r="9322" spans="1:10" x14ac:dyDescent="0.3">
      <c r="A9322" t="str">
        <f>HYPERLINK("https://us2.cloudbeds.com/connect/10074733072513#/reservations/31688896970946?display=MHX3PA1S5&amp;reservation_id=31688896970946", "MHX3PA1S5")</f>
        <v>MHX3PA1S5</v>
      </c>
      <c r="B9322" t="s">
        <v>10</v>
      </c>
      <c r="C9322" t="s">
        <v>11</v>
      </c>
      <c r="D9322" t="str">
        <f>HYPERLINK("https://us2.cloudbeds.com/connect/10074733072513#/reservations/31688896970946?display=Becky%20Reardon&amp;reservation_id=31688896970946&amp;guest_id=31688888713369", "Becky Reardon")</f>
        <v>Becky Reardon</v>
      </c>
      <c r="E9322" t="s">
        <v>7797</v>
      </c>
      <c r="F9322" t="s">
        <v>7771</v>
      </c>
      <c r="G9322">
        <v>97.74</v>
      </c>
      <c r="H9322">
        <v>106.25</v>
      </c>
      <c r="I9322">
        <v>106.24</v>
      </c>
      <c r="J9322">
        <v>0.01</v>
      </c>
    </row>
    <row r="9323" spans="1:10" x14ac:dyDescent="0.3">
      <c r="A9323" t="str">
        <f>HYPERLINK("https://us2.cloudbeds.com/connect/10074733072513#/reservations/31685717020898?display=MHFYGT8HG&amp;reservation_id=31685717020898", "MHFYGT8HG")</f>
        <v>MHFYGT8HG</v>
      </c>
      <c r="B9323" t="s">
        <v>10</v>
      </c>
      <c r="C9323" t="s">
        <v>42</v>
      </c>
      <c r="D9323" t="str">
        <f>HYPERLINK("https://us2.cloudbeds.com/connect/10074733072513#/reservations/31685717020898?display=Kevin%20Becker&amp;reservation_id=31685717020898&amp;guest_id=31685707513994", "Kevin Becker")</f>
        <v>Kevin Becker</v>
      </c>
      <c r="E9323" t="s">
        <v>7798</v>
      </c>
      <c r="F9323" t="s">
        <v>5557</v>
      </c>
      <c r="G9323">
        <v>218</v>
      </c>
      <c r="H9323">
        <v>236.98</v>
      </c>
      <c r="I9323">
        <v>236.97</v>
      </c>
      <c r="J9323">
        <v>0.01</v>
      </c>
    </row>
    <row r="9324" spans="1:10" x14ac:dyDescent="0.3">
      <c r="A9324" t="str">
        <f>HYPERLINK("https://us2.cloudbeds.com/connect/10074733072513#/reservations/31688929206491?display=MHX4JG1TS&amp;reservation_id=31688929206491", "MHX4JG1TS")</f>
        <v>MHX4JG1TS</v>
      </c>
      <c r="B9324" t="s">
        <v>10</v>
      </c>
      <c r="C9324" t="s">
        <v>42</v>
      </c>
      <c r="D9324" t="str">
        <f>HYPERLINK("https://us2.cloudbeds.com/connect/10074733072513#/reservations/31688929206491?display=Aaron%20Wohlleber&amp;reservation_id=31688929206491&amp;guest_id=31688929206479", "Aaron Wohlleber")</f>
        <v>Aaron Wohlleber</v>
      </c>
      <c r="E9324" t="s">
        <v>7799</v>
      </c>
      <c r="F9324" t="s">
        <v>7771</v>
      </c>
      <c r="G9324">
        <v>298</v>
      </c>
      <c r="H9324">
        <v>323.94</v>
      </c>
      <c r="I9324">
        <v>323.93</v>
      </c>
      <c r="J9324">
        <v>0.01</v>
      </c>
    </row>
    <row r="9325" spans="1:10" x14ac:dyDescent="0.3">
      <c r="A9325" t="str">
        <f>HYPERLINK("https://us2.cloudbeds.com/connect/10074733072513#/reservations/31690484449442?display=MHJBATWH4&amp;reservation_id=31690484449442", "MHJBATWH4")</f>
        <v>MHJBATWH4</v>
      </c>
      <c r="B9325" t="s">
        <v>10</v>
      </c>
      <c r="C9325" t="s">
        <v>42</v>
      </c>
      <c r="D9325" t="str">
        <f>HYPERLINK("https://us2.cloudbeds.com/connect/10074733072513#/reservations/31690484449442?display=Larisa%20Stratmoen&amp;reservation_id=31690484449442&amp;guest_id=31690484449440", "Larisa Stratmoen")</f>
        <v>Larisa Stratmoen</v>
      </c>
      <c r="E9325" t="s">
        <v>7796</v>
      </c>
      <c r="F9325" t="s">
        <v>7530</v>
      </c>
      <c r="G9325">
        <v>298</v>
      </c>
      <c r="H9325">
        <v>323.94</v>
      </c>
      <c r="I9325">
        <v>323.93</v>
      </c>
      <c r="J9325">
        <v>0.01</v>
      </c>
    </row>
    <row r="9326" spans="1:10" x14ac:dyDescent="0.3">
      <c r="A9326" t="str">
        <f>HYPERLINK("https://us2.cloudbeds.com/connect/10074733072513#/reservations/31687213957251?display=MHGQP4NZ5&amp;reservation_id=31687213957251", "MHGQP4NZ5")</f>
        <v>MHGQP4NZ5</v>
      </c>
      <c r="B9326" t="s">
        <v>10</v>
      </c>
      <c r="C9326" t="s">
        <v>23</v>
      </c>
      <c r="D9326" t="str">
        <f>HYPERLINK("https://us2.cloudbeds.com/connect/10074733072513#/reservations/31687213957251?display=Karen%20Capra&amp;reservation_id=31687213957251&amp;guest_id=31687213957249", "Karen Capra")</f>
        <v>Karen Capra</v>
      </c>
      <c r="E9326" t="s">
        <v>7801</v>
      </c>
      <c r="F9326" t="s">
        <v>7802</v>
      </c>
      <c r="G9326">
        <v>338</v>
      </c>
      <c r="H9326">
        <v>367.42</v>
      </c>
      <c r="I9326">
        <v>367.41</v>
      </c>
      <c r="J9326">
        <v>0.01</v>
      </c>
    </row>
    <row r="9327" spans="1:10" x14ac:dyDescent="0.3">
      <c r="A9327" t="str">
        <f>HYPERLINK("https://us2.cloudbeds.com/connect/10074733072513#/reservations/31687641874584?display=MHH4MW4V2&amp;reservation_id=31687641874584", "MHH4MW4V2")</f>
        <v>MHH4MW4V2</v>
      </c>
      <c r="B9327" t="s">
        <v>10</v>
      </c>
      <c r="C9327" t="s">
        <v>42</v>
      </c>
      <c r="D9327" t="str">
        <f>HYPERLINK("https://us2.cloudbeds.com/connect/10074733072513#/reservations/31687641874584?display=Troy%20Poirier&amp;reservation_id=31687641874584&amp;guest_id=31687641874579", "Troy Poirier")</f>
        <v>Troy Poirier</v>
      </c>
      <c r="E9327" t="s">
        <v>7805</v>
      </c>
      <c r="F9327" t="s">
        <v>7666</v>
      </c>
      <c r="G9327">
        <v>109</v>
      </c>
      <c r="H9327">
        <v>118.49</v>
      </c>
      <c r="I9327">
        <v>118.48</v>
      </c>
      <c r="J9327">
        <v>0.01</v>
      </c>
    </row>
    <row r="9328" spans="1:10" x14ac:dyDescent="0.3">
      <c r="A9328" t="str">
        <f>HYPERLINK("https://us2.cloudbeds.com/connect/10074733072513#/reservations/31694798729360?display=MHMMXR627&amp;reservation_id=31694798729360", "MHMMXR627")</f>
        <v>MHMMXR627</v>
      </c>
      <c r="B9328" t="s">
        <v>10</v>
      </c>
      <c r="C9328" t="s">
        <v>17</v>
      </c>
      <c r="D9328" t="str">
        <f>HYPERLINK("https://us2.cloudbeds.com/connect/10074733072513#/reservations/31694798729360?display=Rachelle%20Waldon&amp;reservation_id=31694798729360&amp;guest_id=31694798725276", "Rachelle Waldon")</f>
        <v>Rachelle Waldon</v>
      </c>
      <c r="E9328" t="s">
        <v>7806</v>
      </c>
      <c r="F9328" t="s">
        <v>7807</v>
      </c>
      <c r="G9328">
        <v>139</v>
      </c>
      <c r="H9328">
        <v>151.1</v>
      </c>
      <c r="I9328">
        <v>151.09</v>
      </c>
      <c r="J9328">
        <v>0.01</v>
      </c>
    </row>
    <row r="9329" spans="1:10" x14ac:dyDescent="0.3">
      <c r="A9329" t="str">
        <f>HYPERLINK("https://us2.cloudbeds.com/connect/10074733072513#/reservations/31686971678929?display=MHGKXRVUR&amp;reservation_id=31686971678929", "MHGKXRVUR")</f>
        <v>MHGKXRVUR</v>
      </c>
      <c r="B9329" t="s">
        <v>10</v>
      </c>
      <c r="C9329" t="s">
        <v>42</v>
      </c>
      <c r="D9329" t="str">
        <f>HYPERLINK("https://us2.cloudbeds.com/connect/10074733072513#/reservations/31686971678929?display=Terry%20Haugan&amp;reservation_id=31686971678929&amp;guest_id=31686971674837", "Terry Haugan")</f>
        <v>Terry Haugan</v>
      </c>
      <c r="E9329" t="s">
        <v>7808</v>
      </c>
      <c r="F9329" t="s">
        <v>7666</v>
      </c>
      <c r="G9329">
        <v>109</v>
      </c>
      <c r="H9329">
        <v>118.49</v>
      </c>
      <c r="I9329">
        <v>118.48</v>
      </c>
      <c r="J9329">
        <v>0.01</v>
      </c>
    </row>
    <row r="9330" spans="1:10" x14ac:dyDescent="0.3">
      <c r="A9330" t="str">
        <f>HYPERLINK("https://us2.cloudbeds.com/connect/10074733072513#/reservations/31691463319688?display=MHK3BAG8S&amp;reservation_id=31691463319688", "MHK3BAG8S")</f>
        <v>MHK3BAG8S</v>
      </c>
      <c r="B9330" t="s">
        <v>10</v>
      </c>
      <c r="C9330" t="s">
        <v>121</v>
      </c>
      <c r="D9330" t="str">
        <f>HYPERLINK("https://us2.cloudbeds.com/connect/10074733072513#/reservations/31691463319688?display=Steven%20Skulborstad&amp;reservation_id=31691463319688&amp;guest_id=31691463319686", "Steven Skulborstad")</f>
        <v>Steven Skulborstad</v>
      </c>
      <c r="E9330" t="s">
        <v>7811</v>
      </c>
      <c r="F9330" t="s">
        <v>7785</v>
      </c>
      <c r="G9330">
        <v>109</v>
      </c>
      <c r="H9330">
        <v>118.49</v>
      </c>
      <c r="I9330">
        <v>118.48</v>
      </c>
      <c r="J9330">
        <v>0.01</v>
      </c>
    </row>
    <row r="9331" spans="1:10" x14ac:dyDescent="0.3">
      <c r="A9331" t="str">
        <f>HYPERLINK("https://us2.cloudbeds.com/connect/10074733072513#/reservations/31693003526358?display=MHY9N20F8&amp;reservation_id=31693003526358", "MHY9N20F8")</f>
        <v>MHY9N20F8</v>
      </c>
      <c r="B9331" t="s">
        <v>10</v>
      </c>
      <c r="C9331" t="s">
        <v>42</v>
      </c>
      <c r="D9331" t="str">
        <f>HYPERLINK("https://us2.cloudbeds.com/connect/10074733072513#/reservations/31693003526358?display=Denise%20Duffy&amp;reservation_id=31693003526358&amp;guest_id=31678748758211", "Denise Duffy")</f>
        <v>Denise Duffy</v>
      </c>
      <c r="E9331" t="s">
        <v>6566</v>
      </c>
      <c r="F9331" t="s">
        <v>5557</v>
      </c>
      <c r="G9331">
        <v>178</v>
      </c>
      <c r="H9331">
        <v>193.5</v>
      </c>
      <c r="I9331">
        <v>193.49</v>
      </c>
      <c r="J9331">
        <v>0.01</v>
      </c>
    </row>
    <row r="9332" spans="1:10" x14ac:dyDescent="0.3">
      <c r="A9332" t="str">
        <f>HYPERLINK("https://us2.cloudbeds.com/connect/10074733072513#/reservations/31692958322829?display=MHY8HV58B&amp;reservation_id=31692958322829", "MHY8HV58B")</f>
        <v>MHY8HV58B</v>
      </c>
      <c r="B9332" t="s">
        <v>10</v>
      </c>
      <c r="C9332" t="s">
        <v>11</v>
      </c>
      <c r="D9332" t="str">
        <f>HYPERLINK("https://us2.cloudbeds.com/connect/10074733072513#/reservations/31692958322829?display=Manfred%20Wise&amp;reservation_id=31692958322829&amp;guest_id=31692952830176", "Manfred Wise")</f>
        <v>Manfred Wise</v>
      </c>
      <c r="E9332" t="s">
        <v>7812</v>
      </c>
      <c r="F9332" t="s">
        <v>7785</v>
      </c>
      <c r="G9332">
        <v>97.74</v>
      </c>
      <c r="H9332">
        <v>106.25</v>
      </c>
      <c r="I9332">
        <v>106.24</v>
      </c>
      <c r="J9332">
        <v>0.01</v>
      </c>
    </row>
    <row r="9333" spans="1:10" x14ac:dyDescent="0.3">
      <c r="A9333" t="str">
        <f>HYPERLINK("https://us2.cloudbeds.com/connect/10074733072513#/reservations/31691549237430?display=MHK5HP98Q&amp;reservation_id=31691549237430", "MHK5HP98Q")</f>
        <v>MHK5HP98Q</v>
      </c>
      <c r="B9333" t="s">
        <v>10</v>
      </c>
      <c r="C9333" t="s">
        <v>42</v>
      </c>
      <c r="D9333" t="str">
        <f>HYPERLINK("https://us2.cloudbeds.com/connect/10074733072513#/reservations/31691549237430?display=Tamar%20Reed&amp;reservation_id=31691549237430&amp;guest_id=31691549237428", "Tamar Reed")</f>
        <v>Tamar Reed</v>
      </c>
      <c r="E9333" t="s">
        <v>7813</v>
      </c>
      <c r="F9333" t="s">
        <v>7372</v>
      </c>
      <c r="G9333">
        <v>159</v>
      </c>
      <c r="H9333">
        <v>172.84</v>
      </c>
      <c r="I9333">
        <v>172.83</v>
      </c>
      <c r="J9333">
        <v>0.01</v>
      </c>
    </row>
    <row r="9334" spans="1:10" x14ac:dyDescent="0.3">
      <c r="A9334" t="str">
        <f>HYPERLINK("https://us2.cloudbeds.com/connect/10074733072513#/reservations/31693023391887?display=MHYA6QQEW&amp;reservation_id=31693023391887", "MHYA6QQEW")</f>
        <v>MHYA6QQEW</v>
      </c>
      <c r="B9334" t="s">
        <v>10</v>
      </c>
      <c r="C9334" t="s">
        <v>121</v>
      </c>
      <c r="D9334" t="str">
        <f>HYPERLINK("https://us2.cloudbeds.com/connect/10074733072513#/reservations/31693023391887?display=Scott%20Endres&amp;reservation_id=31693023391887&amp;guest_id=31687924924634", "Scott Endres")</f>
        <v>Scott Endres</v>
      </c>
      <c r="E9334" t="s">
        <v>5417</v>
      </c>
      <c r="F9334" t="s">
        <v>5557</v>
      </c>
      <c r="G9334">
        <v>109</v>
      </c>
      <c r="H9334">
        <v>118.49</v>
      </c>
      <c r="I9334">
        <v>118.48</v>
      </c>
      <c r="J9334">
        <v>0.01</v>
      </c>
    </row>
    <row r="9335" spans="1:10" x14ac:dyDescent="0.3">
      <c r="A9335" t="str">
        <f>HYPERLINK("https://us2.cloudbeds.com/connect/10074733072513#/reservations/31685746958533?display=MHFM94AFX&amp;reservation_id=31685746958533", "MHFM94AFX")</f>
        <v>MHFM94AFX</v>
      </c>
      <c r="B9335" t="s">
        <v>10</v>
      </c>
      <c r="C9335" t="s">
        <v>42</v>
      </c>
      <c r="D9335" t="str">
        <f>HYPERLINK("https://us2.cloudbeds.com/connect/10074733072513#/reservations/31685746958533?display=Gene%20Westerbuhr&amp;reservation_id=31685746958533&amp;guest_id=31685739122933", "Gene Westerbuhr")</f>
        <v>Gene Westerbuhr</v>
      </c>
      <c r="E9335" t="s">
        <v>4927</v>
      </c>
      <c r="F9335" t="s">
        <v>7782</v>
      </c>
      <c r="G9335">
        <v>79</v>
      </c>
      <c r="H9335">
        <v>85.88</v>
      </c>
      <c r="I9335">
        <v>85.87</v>
      </c>
      <c r="J9335">
        <v>0.01</v>
      </c>
    </row>
    <row r="9336" spans="1:10" x14ac:dyDescent="0.3">
      <c r="A9336" t="str">
        <f>HYPERLINK("https://us2.cloudbeds.com/connect/10074733072513#/reservations/31692619464878?display=MHKWT6UUJ&amp;reservation_id=31692619464878", "MHKWT6UUJ")</f>
        <v>MHKWT6UUJ</v>
      </c>
      <c r="B9336" t="s">
        <v>10</v>
      </c>
      <c r="C9336" t="s">
        <v>42</v>
      </c>
      <c r="D9336" t="str">
        <f>HYPERLINK("https://us2.cloudbeds.com/connect/10074733072513#/reservations/31692619464878?display=Joe%20Hanson&amp;reservation_id=31692619464878&amp;guest_id=31685198139632", "Joe Hanson")</f>
        <v>Joe Hanson</v>
      </c>
      <c r="E9336" t="s">
        <v>7389</v>
      </c>
      <c r="F9336" t="s">
        <v>7820</v>
      </c>
      <c r="G9336">
        <v>225</v>
      </c>
      <c r="H9336">
        <v>244.59</v>
      </c>
      <c r="I9336">
        <v>244.58</v>
      </c>
      <c r="J9336">
        <v>0.01</v>
      </c>
    </row>
    <row r="9337" spans="1:10" x14ac:dyDescent="0.3">
      <c r="A9337" t="str">
        <f>HYPERLINK("https://us2.cloudbeds.com/connect/10074733072513#/reservations/31684018012386?display=MHEB37RQ2&amp;reservation_id=31684018012386", "MHEB37RQ2")</f>
        <v>MHEB37RQ2</v>
      </c>
      <c r="B9337" t="s">
        <v>10</v>
      </c>
      <c r="C9337" t="s">
        <v>17</v>
      </c>
      <c r="D9337" t="str">
        <f>HYPERLINK("https://us2.cloudbeds.com/connect/10074733072513#/reservations/31684018012386?display=Cindy%20Brockman&amp;reservation_id=31684018012386&amp;guest_id=31684018012384", "Cindy Brockman")</f>
        <v>Cindy Brockman</v>
      </c>
      <c r="E9337" t="s">
        <v>7821</v>
      </c>
      <c r="F9337" t="s">
        <v>7372</v>
      </c>
      <c r="G9337">
        <v>159</v>
      </c>
      <c r="H9337">
        <v>172.84</v>
      </c>
      <c r="I9337">
        <v>172.83</v>
      </c>
      <c r="J9337">
        <v>0.01</v>
      </c>
    </row>
    <row r="9338" spans="1:10" x14ac:dyDescent="0.3">
      <c r="A9338" t="str">
        <f>HYPERLINK("https://us2.cloudbeds.com/connect/10074733072513#/reservations/31686505070803?display=MHG8YCTWY&amp;reservation_id=31686505070803", "MHG8YCTWY")</f>
        <v>MHG8YCTWY</v>
      </c>
      <c r="B9338" t="s">
        <v>10</v>
      </c>
      <c r="C9338" t="s">
        <v>42</v>
      </c>
      <c r="D9338" t="str">
        <f>HYPERLINK("https://us2.cloudbeds.com/connect/10074733072513#/reservations/31686505070803?display=Justin%20Crowe&amp;reservation_id=31686505070803&amp;guest_id=31686505070798", "Justin Crowe")</f>
        <v>Justin Crowe</v>
      </c>
      <c r="E9338" t="s">
        <v>7822</v>
      </c>
      <c r="F9338" t="s">
        <v>7782</v>
      </c>
      <c r="G9338">
        <v>73</v>
      </c>
      <c r="H9338">
        <v>79.36</v>
      </c>
      <c r="I9338">
        <v>79.349999999999994</v>
      </c>
      <c r="J9338">
        <v>0.01</v>
      </c>
    </row>
    <row r="9339" spans="1:10" x14ac:dyDescent="0.3">
      <c r="A9339" t="str">
        <f>HYPERLINK("https://us2.cloudbeds.com/connect/10074733072513#/reservations/31686411411669?display=MHG68DN92&amp;reservation_id=31686411411669", "MHG68DN92")</f>
        <v>MHG68DN92</v>
      </c>
      <c r="B9339" t="s">
        <v>10</v>
      </c>
      <c r="C9339" t="s">
        <v>42</v>
      </c>
      <c r="D9339" t="str">
        <f>HYPERLINK("https://us2.cloudbeds.com/connect/10074733072513#/reservations/31686411411669?display=Greg%20Schaefer&amp;reservation_id=31686411411669&amp;guest_id=30679641145500", "Greg Schaefer")</f>
        <v>Greg Schaefer</v>
      </c>
      <c r="E9339" t="s">
        <v>7823</v>
      </c>
      <c r="F9339" t="s">
        <v>7782</v>
      </c>
      <c r="G9339">
        <v>109</v>
      </c>
      <c r="H9339">
        <v>118.49</v>
      </c>
      <c r="I9339">
        <v>118.48</v>
      </c>
      <c r="J9339">
        <v>0.01</v>
      </c>
    </row>
    <row r="9340" spans="1:10" x14ac:dyDescent="0.3">
      <c r="A9340" t="str">
        <f>HYPERLINK("https://us2.cloudbeds.com/connect/10074733072513#/reservations/31693471613079?display=MHYYYP75B&amp;reservation_id=31693471613079", "MHYYYP75B")</f>
        <v>MHYYYP75B</v>
      </c>
      <c r="B9340" t="s">
        <v>10</v>
      </c>
      <c r="C9340" t="s">
        <v>23</v>
      </c>
      <c r="D9340" t="str">
        <f>HYPERLINK("https://us2.cloudbeds.com/connect/10074733072513#/reservations/31693471613079?display=Cathy%20Weebers&amp;reservation_id=31693471613079&amp;guest_id=31693456699526", "Cathy Weebers")</f>
        <v>Cathy Weebers</v>
      </c>
      <c r="E9340" t="s">
        <v>7824</v>
      </c>
      <c r="F9340" t="s">
        <v>7735</v>
      </c>
      <c r="G9340">
        <v>139</v>
      </c>
      <c r="H9340">
        <v>151.1</v>
      </c>
      <c r="I9340">
        <v>151.09</v>
      </c>
      <c r="J9340">
        <v>0.01</v>
      </c>
    </row>
    <row r="9341" spans="1:10" x14ac:dyDescent="0.3">
      <c r="A9341" t="str">
        <f>HYPERLINK("https://us2.cloudbeds.com/connect/10074733072513#/reservations/31687227076821?display=MHGR36Q2T&amp;reservation_id=31687227076821", "MHGR36Q2T")</f>
        <v>MHGR36Q2T</v>
      </c>
      <c r="B9341" t="s">
        <v>10</v>
      </c>
      <c r="C9341" t="s">
        <v>17</v>
      </c>
      <c r="D9341" t="str">
        <f>HYPERLINK("https://us2.cloudbeds.com/connect/10074733072513#/reservations/31687227076821?display=Samantha%20Relph&amp;reservation_id=31687227076821&amp;guest_id=31687227076819", "Samantha Relph")</f>
        <v>Samantha Relph</v>
      </c>
      <c r="E9341" t="s">
        <v>7825</v>
      </c>
      <c r="F9341" t="s">
        <v>7802</v>
      </c>
      <c r="G9341">
        <v>179</v>
      </c>
      <c r="H9341">
        <v>194.58</v>
      </c>
      <c r="I9341">
        <v>194.57</v>
      </c>
      <c r="J9341">
        <v>0.01</v>
      </c>
    </row>
    <row r="9342" spans="1:10" x14ac:dyDescent="0.3">
      <c r="A9342" t="str">
        <f>HYPERLINK("https://us2.cloudbeds.com/connect/10074733072513#/reservations/31686489796770?display=MHG88GT85&amp;reservation_id=31686489796770", "MHG88GT85")</f>
        <v>MHG88GT85</v>
      </c>
      <c r="B9342" t="s">
        <v>10</v>
      </c>
      <c r="C9342" t="s">
        <v>121</v>
      </c>
      <c r="D9342" t="str">
        <f>HYPERLINK("https://us2.cloudbeds.com/connect/10074733072513#/reservations/31686489796770?display=Clint%20Lee%20Van%20Holland&amp;reservation_id=31686489796770&amp;guest_id=31686489796765", "Clint Lee Van Holland")</f>
        <v>Clint Lee Van Holland</v>
      </c>
      <c r="E9342" t="s">
        <v>7826</v>
      </c>
      <c r="F9342" t="s">
        <v>7782</v>
      </c>
      <c r="G9342">
        <v>109</v>
      </c>
      <c r="H9342">
        <v>118.49</v>
      </c>
      <c r="I9342">
        <v>118.48</v>
      </c>
      <c r="J9342">
        <v>0.01</v>
      </c>
    </row>
    <row r="9343" spans="1:10" x14ac:dyDescent="0.3">
      <c r="A9343" t="str">
        <f>HYPERLINK("https://us2.cloudbeds.com/connect/10074733072513#/reservations/31688076431570?display=MHHFQDB5J&amp;reservation_id=31688076431570", "MHHFQDB5J")</f>
        <v>MHHFQDB5J</v>
      </c>
      <c r="B9343" t="s">
        <v>10</v>
      </c>
      <c r="C9343" t="s">
        <v>11</v>
      </c>
      <c r="D9343" t="str">
        <f>HYPERLINK("https://us2.cloudbeds.com/connect/10074733072513#/reservations/31688076431570?display=Dan%20Ward&amp;reservation_id=31688076431570&amp;guest_id=31688069169339", "Dan Ward")</f>
        <v>Dan Ward</v>
      </c>
      <c r="E9343" t="s">
        <v>7828</v>
      </c>
      <c r="F9343" t="s">
        <v>7372</v>
      </c>
      <c r="G9343">
        <v>205.16</v>
      </c>
      <c r="H9343">
        <v>223.02</v>
      </c>
      <c r="I9343">
        <v>223.01</v>
      </c>
      <c r="J9343">
        <v>0.01</v>
      </c>
    </row>
    <row r="9344" spans="1:10" x14ac:dyDescent="0.3">
      <c r="A9344" t="str">
        <f>HYPERLINK("https://us2.cloudbeds.com/connect/10074733072513#/reservations/31686447497414?display=MHG75RRSG&amp;reservation_id=31686447497414", "MHG75RRSG")</f>
        <v>MHG75RRSG</v>
      </c>
      <c r="B9344" t="s">
        <v>10</v>
      </c>
      <c r="C9344" t="s">
        <v>121</v>
      </c>
      <c r="D9344" t="str">
        <f>HYPERLINK("https://us2.cloudbeds.com/connect/10074733072513#/reservations/31686447497414?display=Blake%20Wayne%20Anderson&amp;reservation_id=31686447497414&amp;guest_id=31686437744815", "Blake Wayne Anderson")</f>
        <v>Blake Wayne Anderson</v>
      </c>
      <c r="E9344" t="s">
        <v>7829</v>
      </c>
      <c r="F9344" t="s">
        <v>7782</v>
      </c>
      <c r="G9344">
        <v>109</v>
      </c>
      <c r="H9344">
        <v>118.49</v>
      </c>
      <c r="I9344">
        <v>118.48</v>
      </c>
      <c r="J9344">
        <v>0.01</v>
      </c>
    </row>
    <row r="9345" spans="1:10" x14ac:dyDescent="0.3">
      <c r="A9345" t="str">
        <f>HYPERLINK("https://us2.cloudbeds.com/connect/10074733072513#/reservations/31693843063000?display=MHYV4WBRX&amp;reservation_id=31693843063000", "MHYV4WBRX")</f>
        <v>MHYV4WBRX</v>
      </c>
      <c r="B9345" t="s">
        <v>10</v>
      </c>
      <c r="C9345" t="s">
        <v>23</v>
      </c>
      <c r="D9345" t="str">
        <f>HYPERLINK("https://us2.cloudbeds.com/connect/10074733072513#/reservations/31693843063000?display=Diane%20Schmidt&amp;reservation_id=31693843063000&amp;guest_id=31693838790844", "Diane Schmidt")</f>
        <v>Diane Schmidt</v>
      </c>
      <c r="E9345" t="s">
        <v>7830</v>
      </c>
      <c r="F9345" t="s">
        <v>7817</v>
      </c>
      <c r="G9345">
        <v>278</v>
      </c>
      <c r="H9345">
        <v>302.2</v>
      </c>
      <c r="I9345">
        <v>302.19</v>
      </c>
      <c r="J9345">
        <v>0.01</v>
      </c>
    </row>
    <row r="9346" spans="1:10" x14ac:dyDescent="0.3">
      <c r="A9346" t="str">
        <f>HYPERLINK("https://us2.cloudbeds.com/connect/10074733072513#/reservations/31684235784326?display=MHEGYSM0P&amp;reservation_id=31684235784326", "MHEGYSM0P")</f>
        <v>MHEGYSM0P</v>
      </c>
      <c r="B9346" t="s">
        <v>10</v>
      </c>
      <c r="C9346" t="s">
        <v>42</v>
      </c>
      <c r="D9346" t="str">
        <f>HYPERLINK("https://us2.cloudbeds.com/connect/10074733072513#/reservations/31684235784326?display=Chad%20Bent&amp;reservation_id=31684235784326&amp;guest_id=31684235780272", "Chad Bent")</f>
        <v>Chad Bent</v>
      </c>
      <c r="E9346" t="s">
        <v>7831</v>
      </c>
      <c r="F9346" t="s">
        <v>7372</v>
      </c>
      <c r="G9346">
        <v>199</v>
      </c>
      <c r="H9346">
        <v>216.32</v>
      </c>
      <c r="I9346">
        <v>216.31</v>
      </c>
      <c r="J9346">
        <v>0.01</v>
      </c>
    </row>
    <row r="9347" spans="1:10" x14ac:dyDescent="0.3">
      <c r="A9347" t="str">
        <f>HYPERLINK("https://us2.cloudbeds.com/connect/10074733072513#/reservations/31694159167697?display=MHM67HEEP&amp;reservation_id=31694159167697", "MHM67HEEP")</f>
        <v>MHM67HEEP</v>
      </c>
      <c r="B9347" t="s">
        <v>10</v>
      </c>
      <c r="C9347" t="s">
        <v>42</v>
      </c>
      <c r="D9347" t="str">
        <f>HYPERLINK("https://us2.cloudbeds.com/connect/10074733072513#/reservations/31694159167697?display=Richard%20Zbiaowski&amp;reservation_id=31694159167697&amp;guest_id=31694159163610", "Richard Zbiaowski")</f>
        <v>Richard Zbiaowski</v>
      </c>
      <c r="E9347" t="s">
        <v>7832</v>
      </c>
      <c r="F9347" t="s">
        <v>7006</v>
      </c>
      <c r="G9347">
        <v>139</v>
      </c>
      <c r="H9347">
        <v>151.1</v>
      </c>
      <c r="I9347">
        <v>151.09</v>
      </c>
      <c r="J9347">
        <v>0.01</v>
      </c>
    </row>
    <row r="9348" spans="1:10" x14ac:dyDescent="0.3">
      <c r="A9348" t="str">
        <f>HYPERLINK("https://us2.cloudbeds.com/connect/10074733072513#/reservations/31686825902296?display=MHGGRUH32&amp;reservation_id=31686825902296", "MHGGRUH32")</f>
        <v>MHGGRUH32</v>
      </c>
      <c r="B9348" t="s">
        <v>10</v>
      </c>
      <c r="C9348" t="s">
        <v>42</v>
      </c>
      <c r="D9348" t="str">
        <f>HYPERLINK("https://us2.cloudbeds.com/connect/10074733072513#/reservations/31686825902296?display=Cory%20Glick&amp;reservation_id=31686825902296&amp;guest_id=31676961386701", "Cory Glick")</f>
        <v>Cory Glick</v>
      </c>
      <c r="E9348" t="s">
        <v>2769</v>
      </c>
      <c r="F9348" t="s">
        <v>7291</v>
      </c>
      <c r="G9348">
        <v>420</v>
      </c>
      <c r="H9348">
        <v>456.55</v>
      </c>
      <c r="I9348">
        <v>456.54</v>
      </c>
      <c r="J9348">
        <v>0.01</v>
      </c>
    </row>
    <row r="9349" spans="1:10" x14ac:dyDescent="0.3">
      <c r="A9349" t="str">
        <f>HYPERLINK("https://us2.cloudbeds.com/connect/10074733072513#/reservations/31687126950078?display=MHGZHPKB5&amp;reservation_id=31687126950078", "MHGZHPKB5")</f>
        <v>MHGZHPKB5</v>
      </c>
      <c r="B9349" t="s">
        <v>10</v>
      </c>
      <c r="C9349" t="s">
        <v>42</v>
      </c>
      <c r="D9349" t="str">
        <f>HYPERLINK("https://us2.cloudbeds.com/connect/10074733072513#/reservations/31687126950078?display=Berniece%20Hansen&amp;reservation_id=31687126950078&amp;guest_id=31687115428002", "Berniece Hansen")</f>
        <v>Berniece Hansen</v>
      </c>
      <c r="E9349" t="s">
        <v>7834</v>
      </c>
      <c r="F9349" t="s">
        <v>7291</v>
      </c>
      <c r="G9349">
        <v>258</v>
      </c>
      <c r="H9349">
        <v>280.45999999999998</v>
      </c>
      <c r="I9349">
        <v>280.45</v>
      </c>
      <c r="J9349">
        <v>0.01</v>
      </c>
    </row>
    <row r="9350" spans="1:10" x14ac:dyDescent="0.3">
      <c r="A9350" t="str">
        <f>HYPERLINK("https://us2.cloudbeds.com/connect/10074733072513#/reservations/31685810258132?display=MHFNTGNR7&amp;reservation_id=31685810258132", "MHFNTGNR7")</f>
        <v>MHFNTGNR7</v>
      </c>
      <c r="B9350" t="s">
        <v>10</v>
      </c>
      <c r="C9350" t="s">
        <v>11</v>
      </c>
      <c r="D9350" t="str">
        <f>HYPERLINK("https://us2.cloudbeds.com/connect/10074733072513#/reservations/31685810258132?display=Jennifer%20Kos&amp;reservation_id=31685810258132&amp;guest_id=31685810258126", "Jennifer Kos")</f>
        <v>Jennifer Kos</v>
      </c>
      <c r="E9350" t="s">
        <v>7835</v>
      </c>
      <c r="F9350" t="s">
        <v>7291</v>
      </c>
      <c r="G9350">
        <v>110.86</v>
      </c>
      <c r="H9350">
        <v>120.51</v>
      </c>
      <c r="I9350">
        <v>120.5</v>
      </c>
      <c r="J9350">
        <v>0.01</v>
      </c>
    </row>
    <row r="9351" spans="1:10" x14ac:dyDescent="0.3">
      <c r="A9351" t="str">
        <f>HYPERLINK("https://us2.cloudbeds.com/connect/10074733072513#/reservations/31687166197924?display=MHGPHSZJR&amp;reservation_id=31687166197924", "MHGPHSZJR")</f>
        <v>MHGPHSZJR</v>
      </c>
      <c r="B9351" t="s">
        <v>10</v>
      </c>
      <c r="C9351" t="s">
        <v>11</v>
      </c>
      <c r="D9351" t="str">
        <f>HYPERLINK("https://us2.cloudbeds.com/connect/10074733072513#/reservations/31687166197924?display=Jennifer%20Kos&amp;reservation_id=31687166197924&amp;guest_id=31687155929300", "Jennifer Kos")</f>
        <v>Jennifer Kos</v>
      </c>
      <c r="E9351" t="s">
        <v>7836</v>
      </c>
      <c r="F9351" t="s">
        <v>7291</v>
      </c>
      <c r="G9351">
        <v>110.86</v>
      </c>
      <c r="H9351">
        <v>120.51</v>
      </c>
      <c r="I9351">
        <v>120.5</v>
      </c>
      <c r="J9351">
        <v>0.01</v>
      </c>
    </row>
    <row r="9352" spans="1:10" x14ac:dyDescent="0.3">
      <c r="A9352" t="str">
        <f>HYPERLINK("https://us2.cloudbeds.com/connect/10074733072513#/reservations/31691043901658?display=MHJPKYXZJ&amp;reservation_id=31691043901658", "MHJPKYXZJ")</f>
        <v>MHJPKYXZJ</v>
      </c>
      <c r="B9352" t="s">
        <v>10</v>
      </c>
      <c r="C9352" t="s">
        <v>20</v>
      </c>
      <c r="D9352" t="str">
        <f>HYPERLINK("https://us2.cloudbeds.com/connect/10074733072513#/reservations/31691043901658?display=Christy%20Skinner&amp;reservation_id=31691043901658&amp;guest_id=31691043901643", "Christy Skinner")</f>
        <v>Christy Skinner</v>
      </c>
      <c r="E9352" t="s">
        <v>7839</v>
      </c>
      <c r="F9352" t="s">
        <v>7840</v>
      </c>
      <c r="G9352">
        <v>218</v>
      </c>
      <c r="H9352">
        <v>236.98</v>
      </c>
      <c r="I9352">
        <v>236.97</v>
      </c>
      <c r="J9352">
        <v>0.01</v>
      </c>
    </row>
    <row r="9353" spans="1:10" x14ac:dyDescent="0.3">
      <c r="A9353" t="str">
        <f>HYPERLINK("https://us2.cloudbeds.com/connect/10074733072513#/reservations/31692574064892?display=MHKVNUKAE&amp;reservation_id=31692574064892", "MHKVNUKAE")</f>
        <v>MHKVNUKAE</v>
      </c>
      <c r="B9353" t="s">
        <v>10</v>
      </c>
      <c r="C9353" t="s">
        <v>42</v>
      </c>
      <c r="D9353" t="str">
        <f>HYPERLINK("https://us2.cloudbeds.com/connect/10074733072513#/reservations/31692574064892?display=Paul%20Gerber&amp;reservation_id=31692574064892&amp;guest_id=31686132793508", "Paul Gerber")</f>
        <v>Paul Gerber</v>
      </c>
      <c r="E9353" t="s">
        <v>7667</v>
      </c>
      <c r="F9353" t="s">
        <v>7840</v>
      </c>
      <c r="G9353">
        <v>150</v>
      </c>
      <c r="H9353">
        <v>163.06</v>
      </c>
      <c r="I9353">
        <v>163.05000000000001</v>
      </c>
      <c r="J9353">
        <v>0.01</v>
      </c>
    </row>
    <row r="9354" spans="1:10" x14ac:dyDescent="0.3">
      <c r="A9354" t="str">
        <f>HYPERLINK("https://us2.cloudbeds.com/connect/10074733072513#/reservations/31693838790786?display=MHYV1CFPH&amp;reservation_id=31693838790786", "MHYV1CFPH")</f>
        <v>MHYV1CFPH</v>
      </c>
      <c r="B9354" t="s">
        <v>10</v>
      </c>
      <c r="C9354" t="s">
        <v>42</v>
      </c>
      <c r="D9354" t="str">
        <f>HYPERLINK("https://us2.cloudbeds.com/connect/10074733072513#/reservations/31693838790786?display=Denis%20Roberts&amp;reservation_id=31693838790786&amp;guest_id=31693831086299", "Denis Roberts")</f>
        <v>Denis Roberts</v>
      </c>
      <c r="E9354" t="s">
        <v>6185</v>
      </c>
      <c r="F9354" t="s">
        <v>7817</v>
      </c>
      <c r="G9354">
        <v>89</v>
      </c>
      <c r="H9354">
        <v>96.75</v>
      </c>
      <c r="I9354">
        <v>96.74</v>
      </c>
      <c r="J9354">
        <v>0.01</v>
      </c>
    </row>
    <row r="9355" spans="1:10" x14ac:dyDescent="0.3">
      <c r="A9355" t="str">
        <f>HYPERLINK("https://us2.cloudbeds.com/connect/10074733072513#/reservations/31687804776607?display=MHH8SB4J0&amp;reservation_id=31687804776607", "MHH8SB4J0")</f>
        <v>MHH8SB4J0</v>
      </c>
      <c r="B9355" t="s">
        <v>10</v>
      </c>
      <c r="C9355" t="s">
        <v>42</v>
      </c>
      <c r="D9355" t="str">
        <f>HYPERLINK("https://us2.cloudbeds.com/connect/10074733072513#/reservations/31687804776607?display=Dewey%20Hlavac&amp;reservation_id=31687804776607&amp;guest_id=31681864011998", "Dewey Hlavac")</f>
        <v>Dewey Hlavac</v>
      </c>
      <c r="E9355" t="s">
        <v>7322</v>
      </c>
      <c r="F9355" t="s">
        <v>7842</v>
      </c>
      <c r="G9355">
        <v>198</v>
      </c>
      <c r="H9355">
        <v>215.24</v>
      </c>
      <c r="I9355">
        <v>215.23</v>
      </c>
      <c r="J9355">
        <v>0.01</v>
      </c>
    </row>
    <row r="9356" spans="1:10" x14ac:dyDescent="0.3">
      <c r="A9356" t="str">
        <f>HYPERLINK("https://us2.cloudbeds.com/connect/10074733072513#/reservations/31687831699662?display=MHH9X1AA5&amp;reservation_id=31687831699662", "MHH9X1AA5")</f>
        <v>MHH9X1AA5</v>
      </c>
      <c r="B9356" t="s">
        <v>10</v>
      </c>
      <c r="C9356" t="s">
        <v>121</v>
      </c>
      <c r="D9356" t="str">
        <f>HYPERLINK("https://us2.cloudbeds.com/connect/10074733072513#/reservations/31687831699662?display=Kristopher%20William%20Evans&amp;reservation_id=31687831699662&amp;guest_id=31686738358480", "Kristopher William Evans")</f>
        <v>Kristopher William Evans</v>
      </c>
      <c r="E9356" t="s">
        <v>7596</v>
      </c>
      <c r="F9356" t="s">
        <v>7820</v>
      </c>
      <c r="G9356">
        <v>225</v>
      </c>
      <c r="H9356">
        <v>244.59</v>
      </c>
      <c r="I9356">
        <v>244.58</v>
      </c>
      <c r="J9356">
        <v>0.01</v>
      </c>
    </row>
    <row r="9357" spans="1:10" x14ac:dyDescent="0.3">
      <c r="A9357" t="str">
        <f>HYPERLINK("https://us2.cloudbeds.com/connect/10074733072513#/reservations/31690986451125?display=MHJZ56UEB&amp;reservation_id=31690986451125", "MHJZ56UEB")</f>
        <v>MHJZ56UEB</v>
      </c>
      <c r="B9357" t="s">
        <v>10</v>
      </c>
      <c r="C9357" t="s">
        <v>23</v>
      </c>
      <c r="D9357" t="str">
        <f>HYPERLINK("https://us2.cloudbeds.com/connect/10074733072513#/reservations/31690986451125?display=Kevin%20Husby&amp;reservation_id=31690986451125&amp;guest_id=31690974400731", "Kevin Husby")</f>
        <v>Kevin Husby</v>
      </c>
      <c r="E9357" t="s">
        <v>7847</v>
      </c>
      <c r="F9357" t="s">
        <v>7817</v>
      </c>
      <c r="G9357">
        <v>149</v>
      </c>
      <c r="H9357">
        <v>161.97</v>
      </c>
      <c r="I9357">
        <v>161.96</v>
      </c>
      <c r="J9357">
        <v>0.01</v>
      </c>
    </row>
    <row r="9358" spans="1:10" x14ac:dyDescent="0.3">
      <c r="A9358" t="str">
        <f>HYPERLINK("https://us2.cloudbeds.com/connect/10074733072513#/reservations/31692551270552?display=MHKV4NASS&amp;reservation_id=31692551270552", "MHKV4NASS")</f>
        <v>MHKV4NASS</v>
      </c>
      <c r="B9358" t="s">
        <v>10</v>
      </c>
      <c r="C9358" t="s">
        <v>121</v>
      </c>
      <c r="D9358" t="str">
        <f>HYPERLINK("https://us2.cloudbeds.com/connect/10074733072513#/reservations/31692551270552?display=Swarray%20Mimi&amp;reservation_id=31692551270552&amp;guest_id=31692538663112", "Swarray Mimi")</f>
        <v>Swarray Mimi</v>
      </c>
      <c r="E9358" t="s">
        <v>7848</v>
      </c>
      <c r="F9358" t="s">
        <v>7840</v>
      </c>
      <c r="G9358">
        <v>109</v>
      </c>
      <c r="H9358">
        <v>118.49</v>
      </c>
      <c r="I9358">
        <v>118.48</v>
      </c>
      <c r="J9358">
        <v>0.01</v>
      </c>
    </row>
    <row r="9359" spans="1:10" x14ac:dyDescent="0.3">
      <c r="A9359" t="str">
        <f>HYPERLINK("https://us2.cloudbeds.com/connect/10074733072513#/reservations/31691055874230?display=MHJPUZNRQ&amp;reservation_id=31691055874230", "MHJPUZNRQ")</f>
        <v>MHJPUZNRQ</v>
      </c>
      <c r="B9359" t="s">
        <v>10</v>
      </c>
      <c r="C9359" t="s">
        <v>121</v>
      </c>
      <c r="D9359" t="str">
        <f>HYPERLINK("https://us2.cloudbeds.com/connect/10074733072513#/reservations/31691055874230?display=Lynn%20Oteri&amp;reservation_id=31691055874230&amp;guest_id=31691055874218", "Lynn Oteri")</f>
        <v>Lynn Oteri</v>
      </c>
      <c r="E9359" t="s">
        <v>7849</v>
      </c>
      <c r="F9359" t="s">
        <v>7840</v>
      </c>
      <c r="G9359">
        <v>109</v>
      </c>
      <c r="H9359">
        <v>118.49</v>
      </c>
      <c r="I9359">
        <v>118.48</v>
      </c>
      <c r="J9359">
        <v>0.01</v>
      </c>
    </row>
    <row r="9360" spans="1:10" x14ac:dyDescent="0.3">
      <c r="A9360" t="str">
        <f>HYPERLINK("https://us2.cloudbeds.com/connect/10074733072513#/reservations/31692579324064?display=MHKVSBVM9&amp;reservation_id=31692579324064", "MHKVSBVM9")</f>
        <v>MHKVSBVM9</v>
      </c>
      <c r="B9360" t="s">
        <v>10</v>
      </c>
      <c r="C9360" t="s">
        <v>42</v>
      </c>
      <c r="D9360" t="str">
        <f>HYPERLINK("https://us2.cloudbeds.com/connect/10074733072513#/reservations/31692579324064?display=Justin%20Or%20Johnathan%20Temme&amp;reservation_id=31692579324064&amp;guest_id=31692579319965", "Justin Or Johnathan Temme")</f>
        <v>Justin Or Johnathan Temme</v>
      </c>
      <c r="E9360" t="s">
        <v>7850</v>
      </c>
      <c r="F9360" t="s">
        <v>7840</v>
      </c>
      <c r="G9360">
        <v>150</v>
      </c>
      <c r="H9360">
        <v>163.06</v>
      </c>
      <c r="I9360">
        <v>163.05000000000001</v>
      </c>
      <c r="J9360">
        <v>0.01</v>
      </c>
    </row>
    <row r="9361" spans="1:10" x14ac:dyDescent="0.3">
      <c r="A9361" t="str">
        <f>HYPERLINK("https://us2.cloudbeds.com/connect/10074733072513#/reservations/31691080904896?display=MHJQAQM3X&amp;reservation_id=31691080904896", "MHJQAQM3X")</f>
        <v>MHJQAQM3X</v>
      </c>
      <c r="B9361" t="s">
        <v>10</v>
      </c>
      <c r="C9361" t="s">
        <v>42</v>
      </c>
      <c r="D9361" t="str">
        <f>HYPERLINK("https://us2.cloudbeds.com/connect/10074733072513#/reservations/31691080904896?display=Marc%20Hrdlicka&amp;reservation_id=31691080904896&amp;guest_id=31691071361169", "Marc Hrdlicka")</f>
        <v>Marc Hrdlicka</v>
      </c>
      <c r="E9361" t="s">
        <v>7855</v>
      </c>
      <c r="F9361" t="s">
        <v>7840</v>
      </c>
      <c r="G9361">
        <v>109</v>
      </c>
      <c r="H9361">
        <v>118.49</v>
      </c>
      <c r="I9361">
        <v>118.48</v>
      </c>
      <c r="J9361">
        <v>0.01</v>
      </c>
    </row>
    <row r="9362" spans="1:10" x14ac:dyDescent="0.3">
      <c r="A9362" t="str">
        <f>HYPERLINK("https://us2.cloudbeds.com/connect/10074733072513#/reservations/31692637556897?display=MHY0BFCBJ&amp;reservation_id=31692637556897", "MHY0BFCBJ")</f>
        <v>MHY0BFCBJ</v>
      </c>
      <c r="B9362" t="s">
        <v>10</v>
      </c>
      <c r="C9362" t="s">
        <v>42</v>
      </c>
      <c r="D9362" t="str">
        <f>HYPERLINK("https://us2.cloudbeds.com/connect/10074733072513#/reservations/31692637556897?display=Anthony%20Ray%20Staudt&amp;reservation_id=31692637556897&amp;guest_id=31692628525264", "Anthony Ray Staudt")</f>
        <v>Anthony Ray Staudt</v>
      </c>
      <c r="E9362" t="s">
        <v>7856</v>
      </c>
      <c r="F9362" t="s">
        <v>7820</v>
      </c>
      <c r="G9362">
        <v>73</v>
      </c>
      <c r="H9362">
        <v>79.36</v>
      </c>
      <c r="I9362">
        <v>79.349999999999994</v>
      </c>
      <c r="J9362">
        <v>0.01</v>
      </c>
    </row>
    <row r="9363" spans="1:10" x14ac:dyDescent="0.3">
      <c r="A9363" t="str">
        <f>HYPERLINK("https://us2.cloudbeds.com/connect/10074733072513#/reservations/31692597104869?display=MHKWABZAX&amp;reservation_id=31692597104869", "MHKWABZAX")</f>
        <v>MHKWABZAX</v>
      </c>
      <c r="B9363" t="s">
        <v>10</v>
      </c>
      <c r="C9363" t="s">
        <v>121</v>
      </c>
      <c r="D9363" t="str">
        <f>HYPERLINK("https://us2.cloudbeds.com/connect/10074733072513#/reservations/31692597104869?display=Cameron%20Jacob%20Whisler&amp;reservation_id=31692597104869&amp;guest_id=31692597104865", "Cameron Jacob Whisler")</f>
        <v>Cameron Jacob Whisler</v>
      </c>
      <c r="E9363" t="s">
        <v>7857</v>
      </c>
      <c r="F9363" t="s">
        <v>7820</v>
      </c>
      <c r="G9363">
        <v>73</v>
      </c>
      <c r="H9363">
        <v>79.36</v>
      </c>
      <c r="I9363">
        <v>79.349999999999994</v>
      </c>
      <c r="J9363">
        <v>0.01</v>
      </c>
    </row>
    <row r="9364" spans="1:10" x14ac:dyDescent="0.3">
      <c r="A9364" t="str">
        <f>HYPERLINK("https://us2.cloudbeds.com/connect/10074733072513#/reservations/31688968462464?display=MHX5JJ9UK&amp;reservation_id=31688968462464", "MHX5JJ9UK")</f>
        <v>MHX5JJ9UK</v>
      </c>
      <c r="B9364" t="s">
        <v>10</v>
      </c>
      <c r="C9364" t="s">
        <v>42</v>
      </c>
      <c r="D9364" t="str">
        <f>HYPERLINK("https://us2.cloudbeds.com/connect/10074733072513#/reservations/31688968462464?display=Thomas%20Duncan&amp;reservation_id=31688968462464&amp;guest_id=31686207434954", "Thomas Duncan")</f>
        <v>Thomas Duncan</v>
      </c>
      <c r="E9364" t="s">
        <v>7858</v>
      </c>
      <c r="F9364" t="s">
        <v>7854</v>
      </c>
      <c r="G9364">
        <v>73</v>
      </c>
      <c r="H9364">
        <v>79.36</v>
      </c>
      <c r="I9364">
        <v>79.349999999999994</v>
      </c>
      <c r="J9364">
        <v>0.01</v>
      </c>
    </row>
    <row r="9365" spans="1:10" x14ac:dyDescent="0.3">
      <c r="A9365" t="str">
        <f>HYPERLINK("https://us2.cloudbeds.com/connect/10074733072513#/reservations/31693445001395?display=MHYKWANBM&amp;reservation_id=31693445001395", "MHYKWANBM")</f>
        <v>MHYKWANBM</v>
      </c>
      <c r="B9365" t="s">
        <v>10</v>
      </c>
      <c r="C9365" t="s">
        <v>42</v>
      </c>
      <c r="D9365" t="str">
        <f>HYPERLINK("https://us2.cloudbeds.com/connect/10074733072513#/reservations/31693445001395?display=Quentin%20Miles&amp;reservation_id=31693445001395&amp;guest_id=31693431787683", "Quentin Miles")</f>
        <v>Quentin Miles</v>
      </c>
      <c r="E9365" t="s">
        <v>7859</v>
      </c>
      <c r="F9365" t="s">
        <v>7735</v>
      </c>
      <c r="G9365">
        <v>202</v>
      </c>
      <c r="H9365">
        <v>219.58</v>
      </c>
      <c r="I9365">
        <v>219.57</v>
      </c>
      <c r="J9365">
        <v>0.01</v>
      </c>
    </row>
    <row r="9366" spans="1:10" x14ac:dyDescent="0.3">
      <c r="A9366" t="str">
        <f>HYPERLINK("https://us2.cloudbeds.com/connect/10074733072513#/reservations/31691016503505?display=MHJZUX5ZH&amp;reservation_id=31691016503505", "MHJZUX5ZH")</f>
        <v>MHJZUX5ZH</v>
      </c>
      <c r="B9366" t="s">
        <v>10</v>
      </c>
      <c r="C9366" t="s">
        <v>42</v>
      </c>
      <c r="D9366" t="str">
        <f>HYPERLINK("https://us2.cloudbeds.com/connect/10074733072513#/reservations/31691016503505?display=Chad%20Wagner&amp;reservation_id=31691016503505&amp;guest_id=31691016503502", "Chad Wagner")</f>
        <v>Chad Wagner</v>
      </c>
      <c r="E9366" t="s">
        <v>7861</v>
      </c>
      <c r="F9366" t="s">
        <v>7840</v>
      </c>
      <c r="G9366">
        <v>89</v>
      </c>
      <c r="H9366">
        <v>96.75</v>
      </c>
      <c r="I9366">
        <v>96.74</v>
      </c>
      <c r="J9366">
        <v>0.01</v>
      </c>
    </row>
    <row r="9367" spans="1:10" x14ac:dyDescent="0.3">
      <c r="A9367" t="str">
        <f>HYPERLINK("https://us2.cloudbeds.com/connect/10074733072513#/reservations/31694182764778?display=MHM6RE20R&amp;reservation_id=31694182764778", "MHM6RE20R")</f>
        <v>MHM6RE20R</v>
      </c>
      <c r="B9367" t="s">
        <v>10</v>
      </c>
      <c r="C9367" t="s">
        <v>42</v>
      </c>
      <c r="D9367" t="str">
        <f>HYPERLINK("https://us2.cloudbeds.com/connect/10074733072513#/reservations/31694182764778?display=Joe%20Hanson&amp;reservation_id=31694182764778&amp;guest_id=31686505070801", "Joe Hanson")</f>
        <v>Joe Hanson</v>
      </c>
      <c r="E9367" t="s">
        <v>7389</v>
      </c>
      <c r="F9367" t="s">
        <v>7862</v>
      </c>
      <c r="G9367">
        <v>225</v>
      </c>
      <c r="H9367">
        <v>244.59</v>
      </c>
      <c r="I9367">
        <v>244.58</v>
      </c>
      <c r="J9367">
        <v>0.01</v>
      </c>
    </row>
    <row r="9368" spans="1:10" x14ac:dyDescent="0.3">
      <c r="A9368" t="str">
        <f>HYPERLINK("https://us2.cloudbeds.com/connect/10074733072513#/reservations/31687213953155?display=MHGQP4JW1&amp;reservation_id=31687213953155", "MHGQP4JW1")</f>
        <v>MHGQP4JW1</v>
      </c>
      <c r="B9368" t="s">
        <v>10</v>
      </c>
      <c r="C9368" t="s">
        <v>23</v>
      </c>
      <c r="D9368" t="str">
        <f>HYPERLINK("https://us2.cloudbeds.com/connect/10074733072513#/reservations/31687213953155?display=Amy%20Singsaath&amp;reservation_id=31687213953155&amp;guest_id=31687204810917", "Amy Singsaath")</f>
        <v>Amy Singsaath</v>
      </c>
      <c r="E9368" t="s">
        <v>7863</v>
      </c>
      <c r="F9368" t="s">
        <v>7802</v>
      </c>
      <c r="G9368">
        <v>109</v>
      </c>
      <c r="H9368">
        <v>118.49</v>
      </c>
      <c r="I9368">
        <v>118.48</v>
      </c>
      <c r="J9368">
        <v>0.01</v>
      </c>
    </row>
    <row r="9369" spans="1:10" x14ac:dyDescent="0.3">
      <c r="A9369" t="str">
        <f>HYPERLINK("https://us2.cloudbeds.com/connect/10074733072513#/reservations/31687865737374?display=MHHADZF7W&amp;reservation_id=31687865737374", "MHHADZF7W")</f>
        <v>MHHADZF7W</v>
      </c>
      <c r="B9369" t="s">
        <v>10</v>
      </c>
      <c r="C9369" t="s">
        <v>11</v>
      </c>
      <c r="D9369" t="str">
        <f>HYPERLINK("https://us2.cloudbeds.com/connect/10074733072513#/reservations/31687865737374?display=Arthur%20Pepper&amp;reservation_id=31687865737374&amp;guest_id=31687865737371", "Arthur Pepper")</f>
        <v>Arthur Pepper</v>
      </c>
      <c r="E9369" t="s">
        <v>7864</v>
      </c>
      <c r="F9369" t="s">
        <v>7854</v>
      </c>
      <c r="G9369">
        <v>102.58</v>
      </c>
      <c r="H9369">
        <v>111.51</v>
      </c>
      <c r="I9369">
        <v>111.5</v>
      </c>
      <c r="J9369">
        <v>0.01</v>
      </c>
    </row>
    <row r="9370" spans="1:10" x14ac:dyDescent="0.3">
      <c r="A9370" t="str">
        <f>HYPERLINK("https://us2.cloudbeds.com/connect/10074733072513#/reservations/31692608110776?display=MHKWJKWZT&amp;reservation_id=31692608110776", "MHKWJKWZT")</f>
        <v>MHKWJKWZT</v>
      </c>
      <c r="B9370" t="s">
        <v>10</v>
      </c>
      <c r="C9370" t="s">
        <v>121</v>
      </c>
      <c r="D9370" t="str">
        <f>HYPERLINK("https://us2.cloudbeds.com/connect/10074733072513#/reservations/31692608110776?display=Chad%20Wagner&amp;reservation_id=31692608110776&amp;guest_id=31691016503502", "Chad Wagner")</f>
        <v>Chad Wagner</v>
      </c>
      <c r="E9370" t="s">
        <v>7861</v>
      </c>
      <c r="F9370" t="s">
        <v>7820</v>
      </c>
      <c r="G9370">
        <v>89</v>
      </c>
      <c r="H9370">
        <v>96.75</v>
      </c>
      <c r="I9370">
        <v>96.74</v>
      </c>
      <c r="J9370">
        <v>0.01</v>
      </c>
    </row>
    <row r="9371" spans="1:10" x14ac:dyDescent="0.3">
      <c r="A9371" t="str">
        <f>HYPERLINK("https://us2.cloudbeds.com/connect/10074733072513#/reservations/31688941289635?display=MHX4TM9HZ&amp;reservation_id=31688941289635", "MHX4TM9HZ")</f>
        <v>MHX4TM9HZ</v>
      </c>
      <c r="B9371" t="s">
        <v>10</v>
      </c>
      <c r="C9371" t="s">
        <v>42</v>
      </c>
      <c r="D9371" t="str">
        <f>HYPERLINK("https://us2.cloudbeds.com/connect/10074733072513#/reservations/31688941289635?display=Adam%20Craig&amp;reservation_id=31688941289635&amp;guest_id=31688941289630", "Adam Craig")</f>
        <v>Adam Craig</v>
      </c>
      <c r="E9371" t="s">
        <v>7865</v>
      </c>
      <c r="F9371" t="s">
        <v>7854</v>
      </c>
      <c r="G9371">
        <v>73</v>
      </c>
      <c r="H9371">
        <v>79.36</v>
      </c>
      <c r="I9371">
        <v>79.349999999999994</v>
      </c>
      <c r="J9371">
        <v>0.01</v>
      </c>
    </row>
    <row r="9372" spans="1:10" x14ac:dyDescent="0.3">
      <c r="A9372" t="str">
        <f>HYPERLINK("https://us2.cloudbeds.com/connect/10074733072513#/reservations/31687838703795?display=MHH9NV70K&amp;reservation_id=31687838703795", "MHH9NV70K")</f>
        <v>MHH9NV70K</v>
      </c>
      <c r="B9372" t="s">
        <v>10</v>
      </c>
      <c r="C9372" t="s">
        <v>121</v>
      </c>
      <c r="D9372" t="str">
        <f>HYPERLINK("https://us2.cloudbeds.com/connect/10074733072513#/reservations/31687838703795?display=Donald%20George%20Heurchert&amp;reservation_id=31687838703795&amp;guest_id=31687838703790", "Donald George Heurchert")</f>
        <v>Donald George Heurchert</v>
      </c>
      <c r="E9372" t="s">
        <v>7866</v>
      </c>
      <c r="F9372" t="s">
        <v>7820</v>
      </c>
      <c r="G9372">
        <v>109</v>
      </c>
      <c r="H9372">
        <v>118.49</v>
      </c>
      <c r="I9372">
        <v>118.48</v>
      </c>
      <c r="J9372">
        <v>0.01</v>
      </c>
    </row>
    <row r="9373" spans="1:10" x14ac:dyDescent="0.3">
      <c r="A9373" t="str">
        <f>HYPERLINK("https://us2.cloudbeds.com/connect/10074733072513#/reservations/31692611289235?display=MHKWMAEER&amp;reservation_id=31692611289235", "MHKWMAEER")</f>
        <v>MHKWMAEER</v>
      </c>
      <c r="B9373" t="s">
        <v>10</v>
      </c>
      <c r="C9373" t="s">
        <v>121</v>
      </c>
      <c r="D9373" t="str">
        <f>HYPERLINK("https://us2.cloudbeds.com/connect/10074733072513#/reservations/31692611289235?display=Judson%20Maggert&amp;reservation_id=31692611289235&amp;guest_id=31692611285138", "Judson Maggert")</f>
        <v>Judson Maggert</v>
      </c>
      <c r="E9373" t="s">
        <v>7072</v>
      </c>
      <c r="F9373" t="s">
        <v>7820</v>
      </c>
      <c r="G9373">
        <v>109</v>
      </c>
      <c r="H9373">
        <v>118.49</v>
      </c>
      <c r="I9373">
        <v>118.48</v>
      </c>
      <c r="J9373">
        <v>0.01</v>
      </c>
    </row>
    <row r="9374" spans="1:10" x14ac:dyDescent="0.3">
      <c r="A9374" t="str">
        <f>HYPERLINK("https://us2.cloudbeds.com/connect/10074733072513#/reservations/31684211191948?display=MHEG14BG5&amp;reservation_id=31684211191948", "MHEG14BG5")</f>
        <v>MHEG14BG5</v>
      </c>
      <c r="B9374" t="s">
        <v>10</v>
      </c>
      <c r="C9374" t="s">
        <v>17</v>
      </c>
      <c r="D9374" t="str">
        <f>HYPERLINK("https://us2.cloudbeds.com/connect/10074733072513#/reservations/31684211191948?display=Erick%20Dabbs&amp;reservation_id=31684211191948&amp;guest_id=31684203897024", "Erick Dabbs")</f>
        <v>Erick Dabbs</v>
      </c>
      <c r="E9374" t="s">
        <v>7867</v>
      </c>
      <c r="F9374" t="s">
        <v>7842</v>
      </c>
      <c r="G9374">
        <v>218</v>
      </c>
      <c r="H9374">
        <v>236.98</v>
      </c>
      <c r="I9374">
        <v>236.97</v>
      </c>
      <c r="J9374">
        <v>0.01</v>
      </c>
    </row>
    <row r="9375" spans="1:10" x14ac:dyDescent="0.3">
      <c r="A9375" t="str">
        <f>HYPERLINK("https://us2.cloudbeds.com/connect/10074733072513#/reservations/31687896260742?display=MHHB6FR1H&amp;reservation_id=31687896260742", "MHHB6FR1H")</f>
        <v>MHHB6FR1H</v>
      </c>
      <c r="B9375" t="s">
        <v>10</v>
      </c>
      <c r="C9375" t="s">
        <v>42</v>
      </c>
      <c r="D9375" t="str">
        <f>HYPERLINK("https://us2.cloudbeds.com/connect/10074733072513#/reservations/31687896260742?display=Kathy%20Lewis&amp;reservation_id=31687896260742&amp;guest_id=31687890280683", "Kathy Lewis")</f>
        <v>Kathy Lewis</v>
      </c>
      <c r="E9375" t="s">
        <v>7869</v>
      </c>
      <c r="F9375" t="s">
        <v>7854</v>
      </c>
      <c r="G9375">
        <v>109</v>
      </c>
      <c r="H9375">
        <v>118.49</v>
      </c>
      <c r="I9375">
        <v>118.48</v>
      </c>
      <c r="J9375">
        <v>0.01</v>
      </c>
    </row>
    <row r="9376" spans="1:10" x14ac:dyDescent="0.3">
      <c r="A9376" t="str">
        <f>HYPERLINK("https://us2.cloudbeds.com/connect/10074733072513#/reservations/31685931593859?display=MHFQWR27D&amp;reservation_id=31685931593859", "MHFQWR27D")</f>
        <v>MHFQWR27D</v>
      </c>
      <c r="B9376" t="s">
        <v>10</v>
      </c>
      <c r="C9376" t="s">
        <v>23</v>
      </c>
      <c r="D9376" t="str">
        <f>HYPERLINK("https://us2.cloudbeds.com/connect/10074733072513#/reservations/31685931593859?display=Serenity%20Dougherty&amp;reservation_id=31685931593859&amp;guest_id=31685931593856", "Serenity Dougherty")</f>
        <v>Serenity Dougherty</v>
      </c>
      <c r="E9376" t="s">
        <v>7872</v>
      </c>
      <c r="F9376" t="s">
        <v>7291</v>
      </c>
      <c r="G9376">
        <v>159</v>
      </c>
      <c r="H9376">
        <v>172.84</v>
      </c>
      <c r="I9376">
        <v>172.83</v>
      </c>
      <c r="J9376">
        <v>0.01</v>
      </c>
    </row>
    <row r="9377" spans="1:10" x14ac:dyDescent="0.3">
      <c r="A9377" t="str">
        <f>HYPERLINK("https://us2.cloudbeds.com/connect/10074733072513#/reservations/31683063472268?display=MHDJNBBZV&amp;reservation_id=31683063472268", "MHDJNBBZV")</f>
        <v>MHDJNBBZV</v>
      </c>
      <c r="B9377" t="s">
        <v>10</v>
      </c>
      <c r="C9377" t="s">
        <v>42</v>
      </c>
      <c r="D9377" t="str">
        <f>HYPERLINK("https://us2.cloudbeds.com/connect/10074733072513#/reservations/31683063472268?display=Dan%20Sear&amp;reservation_id=31683063472268&amp;guest_id=31683057119419", "Dan Sear")</f>
        <v>Dan Sear</v>
      </c>
      <c r="E9377" t="s">
        <v>7873</v>
      </c>
      <c r="F9377" t="s">
        <v>7871</v>
      </c>
      <c r="G9377">
        <v>79</v>
      </c>
      <c r="H9377">
        <v>85.88</v>
      </c>
      <c r="I9377">
        <v>85.87</v>
      </c>
      <c r="J9377">
        <v>0.01</v>
      </c>
    </row>
    <row r="9378" spans="1:10" x14ac:dyDescent="0.3">
      <c r="A9378" t="str">
        <f>HYPERLINK("https://us2.cloudbeds.com/connect/10074733072513#/reservations/31687093956738?display=MHGNMVHDW&amp;reservation_id=31687093956738", "MHGNMVHDW")</f>
        <v>MHGNMVHDW</v>
      </c>
      <c r="B9378" t="s">
        <v>10</v>
      </c>
      <c r="C9378" t="s">
        <v>121</v>
      </c>
      <c r="D9378" t="str">
        <f>HYPERLINK("https://us2.cloudbeds.com/connect/10074733072513#/reservations/31687093956738?display=Gleen%20Waid&amp;reservation_id=31687093956738&amp;guest_id=31687082209521", "Gleen Waid")</f>
        <v>Gleen Waid</v>
      </c>
      <c r="E9378" t="s">
        <v>7876</v>
      </c>
      <c r="F9378" t="s">
        <v>7291</v>
      </c>
      <c r="G9378">
        <v>159</v>
      </c>
      <c r="H9378">
        <v>172.84</v>
      </c>
      <c r="I9378">
        <v>172.83</v>
      </c>
      <c r="J9378">
        <v>0.01</v>
      </c>
    </row>
    <row r="9379" spans="1:10" x14ac:dyDescent="0.3">
      <c r="A9379" t="str">
        <f>HYPERLINK("https://us2.cloudbeds.com/connect/10074733072513#/reservations/31686844731645?display=MHGHAQFJE&amp;reservation_id=31686844731645", "MHGHAQFJE")</f>
        <v>MHGHAQFJE</v>
      </c>
      <c r="B9379" t="s">
        <v>10</v>
      </c>
      <c r="C9379" t="s">
        <v>42</v>
      </c>
      <c r="D9379" t="str">
        <f>HYPERLINK("https://us2.cloudbeds.com/connect/10074733072513#/reservations/31686844731645?display=Joseph%20Klein&amp;reservation_id=31686844731645&amp;guest_id=31675232084200", "Joseph Klein")</f>
        <v>Joseph Klein</v>
      </c>
      <c r="E9379" t="s">
        <v>5759</v>
      </c>
      <c r="F9379" t="s">
        <v>7291</v>
      </c>
      <c r="G9379">
        <v>79</v>
      </c>
      <c r="H9379">
        <v>85.88</v>
      </c>
      <c r="I9379">
        <v>85.87</v>
      </c>
      <c r="J9379">
        <v>0.01</v>
      </c>
    </row>
    <row r="9380" spans="1:10" x14ac:dyDescent="0.3">
      <c r="A9380" t="str">
        <f>HYPERLINK("https://us2.cloudbeds.com/connect/10074733072513#/reservations/31686778867886?display=MHGFY8NKV&amp;reservation_id=31686778867886", "MHGFY8NKV")</f>
        <v>MHGFY8NKV</v>
      </c>
      <c r="B9380" t="s">
        <v>10</v>
      </c>
      <c r="C9380" t="s">
        <v>14</v>
      </c>
      <c r="D9380" t="str">
        <f>HYPERLINK("https://us2.cloudbeds.com/connect/10074733072513#/reservations/31686778867886?display=Destiny%20Bultena&amp;reservation_id=31686778867886&amp;guest_id=31686778867875", "Destiny Bultena")</f>
        <v>Destiny Bultena</v>
      </c>
      <c r="E9380" t="s">
        <v>7879</v>
      </c>
      <c r="F9380" t="s">
        <v>7871</v>
      </c>
      <c r="G9380">
        <v>110.86</v>
      </c>
      <c r="H9380">
        <v>120.51</v>
      </c>
      <c r="I9380">
        <v>120.5</v>
      </c>
      <c r="J9380">
        <v>0.01</v>
      </c>
    </row>
    <row r="9381" spans="1:10" x14ac:dyDescent="0.3">
      <c r="A9381" t="str">
        <f>HYPERLINK("https://us2.cloudbeds.com/connect/10074733072513#/reservations/31692812873946?display=MHY4R9RCE&amp;reservation_id=31692812873946", "MHY4R9RCE")</f>
        <v>MHY4R9RCE</v>
      </c>
      <c r="B9381" t="s">
        <v>10</v>
      </c>
      <c r="C9381" t="s">
        <v>17</v>
      </c>
      <c r="D9381" t="str">
        <f>HYPERLINK("https://us2.cloudbeds.com/connect/10074733072513#/reservations/31692812873946?display=Scott%20Thoms&amp;reservation_id=31692812873946&amp;guest_id=30665020055687", "Scott Thoms")</f>
        <v>Scott Thoms</v>
      </c>
      <c r="E9381" t="s">
        <v>4413</v>
      </c>
      <c r="F9381" t="s">
        <v>7844</v>
      </c>
      <c r="G9381">
        <v>189</v>
      </c>
      <c r="H9381">
        <v>205.45</v>
      </c>
      <c r="I9381">
        <v>205.44</v>
      </c>
      <c r="J9381">
        <v>0.01</v>
      </c>
    </row>
    <row r="9382" spans="1:10" x14ac:dyDescent="0.3">
      <c r="A9382" t="str">
        <f>HYPERLINK("https://us2.cloudbeds.com/connect/10074733072513#/reservations/31688993538205?display=MHX67Z60Z&amp;reservation_id=31688993538205", "MHX67Z60Z")</f>
        <v>MHX67Z60Z</v>
      </c>
      <c r="B9382" t="s">
        <v>10</v>
      </c>
      <c r="C9382" t="s">
        <v>11</v>
      </c>
      <c r="D9382" t="str">
        <f>HYPERLINK("https://us2.cloudbeds.com/connect/10074733072513#/reservations/31688993538205?display=Robert%20Rodriguez&amp;reservation_id=31688993538205&amp;guest_id=31688993538187", "Robert Rodriguez")</f>
        <v>Robert Rodriguez</v>
      </c>
      <c r="E9382" t="s">
        <v>7880</v>
      </c>
      <c r="F9382" t="s">
        <v>7658</v>
      </c>
      <c r="G9382">
        <v>102.58</v>
      </c>
      <c r="H9382">
        <v>111.51</v>
      </c>
      <c r="I9382">
        <v>111.5</v>
      </c>
      <c r="J9382">
        <v>0.01</v>
      </c>
    </row>
    <row r="9383" spans="1:10" x14ac:dyDescent="0.3">
      <c r="A9383" t="str">
        <f>HYPERLINK("https://us2.cloudbeds.com/connect/10074733072513#/reservations/31684196503727?display=MHEFYZKMJ&amp;reservation_id=31684196503727", "MHEFYZKMJ")</f>
        <v>MHEFYZKMJ</v>
      </c>
      <c r="B9383" t="s">
        <v>10</v>
      </c>
      <c r="C9383" t="s">
        <v>42</v>
      </c>
      <c r="D9383" t="str">
        <f>HYPERLINK("https://us2.cloudbeds.com/connect/10074733072513#/reservations/31684196503727?display=Adam%20Severson&amp;reservation_id=31684196503727&amp;guest_id=31684196503724", "Adam Severson")</f>
        <v>Adam Severson</v>
      </c>
      <c r="E9383" t="s">
        <v>7882</v>
      </c>
      <c r="F9383" t="s">
        <v>7883</v>
      </c>
      <c r="G9383">
        <v>109</v>
      </c>
      <c r="H9383">
        <v>118.49</v>
      </c>
      <c r="I9383">
        <v>118.48</v>
      </c>
      <c r="J9383">
        <v>0.01</v>
      </c>
    </row>
    <row r="9384" spans="1:10" x14ac:dyDescent="0.3">
      <c r="A9384" t="str">
        <f>HYPERLINK("https://us2.cloudbeds.com/connect/10074733072513#/reservations/31690657951914?display=MHJFP6V8Q&amp;reservation_id=31690657951914", "MHJFP6V8Q")</f>
        <v>MHJFP6V8Q</v>
      </c>
      <c r="B9384" t="s">
        <v>10</v>
      </c>
      <c r="C9384" t="s">
        <v>11</v>
      </c>
      <c r="D9384" t="str">
        <f>HYPERLINK("https://us2.cloudbeds.com/connect/10074733072513#/reservations/31690657951914?display=Abby%20Commerford&amp;reservation_id=31690657951914&amp;guest_id=31690649092250", "Abby Commerford")</f>
        <v>Abby Commerford</v>
      </c>
      <c r="E9384" t="s">
        <v>7886</v>
      </c>
      <c r="F9384" t="s">
        <v>7795</v>
      </c>
      <c r="G9384">
        <v>205.16</v>
      </c>
      <c r="H9384">
        <v>223.02</v>
      </c>
      <c r="I9384">
        <v>223.01</v>
      </c>
      <c r="J9384">
        <v>0.01</v>
      </c>
    </row>
    <row r="9385" spans="1:10" x14ac:dyDescent="0.3">
      <c r="A9385" t="str">
        <f>HYPERLINK("https://us2.cloudbeds.com/connect/10074733072513#/reservations/31688935252168?display=MHX4ZJ9G6&amp;reservation_id=31688935252168", "MHX4ZJ9G6")</f>
        <v>MHX4ZJ9G6</v>
      </c>
      <c r="B9385" t="s">
        <v>10</v>
      </c>
      <c r="C9385" t="s">
        <v>42</v>
      </c>
      <c r="D9385" t="str">
        <f>HYPERLINK("https://us2.cloudbeds.com/connect/10074733072513#/reservations/31688935252168?display=Kevin%20Bennett&amp;reservation_id=31688935252168&amp;guest_id=31688935248111", "Kevin Bennett")</f>
        <v>Kevin Bennett</v>
      </c>
      <c r="E9385" t="s">
        <v>7888</v>
      </c>
      <c r="F9385" t="s">
        <v>7883</v>
      </c>
      <c r="G9385">
        <v>73</v>
      </c>
      <c r="H9385">
        <v>79.36</v>
      </c>
      <c r="I9385">
        <v>79.349999999999994</v>
      </c>
      <c r="J9385">
        <v>0.01</v>
      </c>
    </row>
    <row r="9386" spans="1:10" x14ac:dyDescent="0.3">
      <c r="A9386" t="str">
        <f>HYPERLINK("https://us2.cloudbeds.com/connect/10074733072513#/reservations/31684218568948?display=MHEG7BKJY&amp;reservation_id=31684218568948", "MHEG7BKJY")</f>
        <v>MHEG7BKJY</v>
      </c>
      <c r="B9386" t="s">
        <v>10</v>
      </c>
      <c r="C9386" t="s">
        <v>121</v>
      </c>
      <c r="D9386" t="str">
        <f>HYPERLINK("https://us2.cloudbeds.com/connect/10074733072513#/reservations/31684218568948?display=Harlow%20Thompson&amp;reservation_id=31684218568948&amp;guest_id=31681205633241", "Harlow Thompson")</f>
        <v>Harlow Thompson</v>
      </c>
      <c r="E9386" t="s">
        <v>7892</v>
      </c>
      <c r="F9386" t="s">
        <v>7842</v>
      </c>
      <c r="G9386">
        <v>150</v>
      </c>
      <c r="H9386">
        <v>163.06</v>
      </c>
      <c r="I9386">
        <v>163.05000000000001</v>
      </c>
      <c r="J9386">
        <v>0.01</v>
      </c>
    </row>
    <row r="9387" spans="1:10" x14ac:dyDescent="0.3">
      <c r="A9387" t="str">
        <f>HYPERLINK("https://us2.cloudbeds.com/connect/10074733072513#/reservations/31692806451415?display=MHY4YT3Z9&amp;reservation_id=31692806451415", "MHY4YT3Z9")</f>
        <v>MHY4YT3Z9</v>
      </c>
      <c r="B9387" t="s">
        <v>10</v>
      </c>
      <c r="C9387" t="s">
        <v>23</v>
      </c>
      <c r="D9387" t="str">
        <f>HYPERLINK("https://us2.cloudbeds.com/connect/10074733072513#/reservations/31692806451415?display=Isaac%20Holst&amp;reservation_id=31692806451415&amp;guest_id=31692794310791", "Isaac Holst")</f>
        <v>Isaac Holst</v>
      </c>
      <c r="E9387" t="s">
        <v>7894</v>
      </c>
      <c r="F9387" t="s">
        <v>7838</v>
      </c>
      <c r="G9387">
        <v>119</v>
      </c>
      <c r="H9387">
        <v>129.36000000000001</v>
      </c>
      <c r="I9387">
        <v>129.35</v>
      </c>
      <c r="J9387">
        <v>0.01</v>
      </c>
    </row>
    <row r="9388" spans="1:10" x14ac:dyDescent="0.3">
      <c r="A9388" t="str">
        <f>HYPERLINK("https://us2.cloudbeds.com/connect/10074733072513#/reservations/31687828717765?display=MHH9FHB3Y&amp;reservation_id=31687828717765", "MHH9FHB3Y")</f>
        <v>MHH9FHB3Y</v>
      </c>
      <c r="B9388" t="s">
        <v>10</v>
      </c>
      <c r="C9388" t="s">
        <v>42</v>
      </c>
      <c r="D9388" t="str">
        <f>HYPERLINK("https://us2.cloudbeds.com/connect/10074733072513#/reservations/31687828717765?display=Andy%20Kolce&amp;reservation_id=31687828717765&amp;guest_id=31687828717760", "Andy Kolce")</f>
        <v>Andy Kolce</v>
      </c>
      <c r="E9388" t="s">
        <v>7895</v>
      </c>
      <c r="F9388" t="s">
        <v>7842</v>
      </c>
      <c r="G9388">
        <v>109</v>
      </c>
      <c r="H9388">
        <v>118.49</v>
      </c>
      <c r="I9388">
        <v>118.48</v>
      </c>
      <c r="J9388">
        <v>0.01</v>
      </c>
    </row>
    <row r="9389" spans="1:10" x14ac:dyDescent="0.3">
      <c r="A9389" t="str">
        <f>HYPERLINK("https://us2.cloudbeds.com/connect/10074733072513#/reservations/31687422582942?display=MHGW3216Q&amp;reservation_id=31687422582942", "MHGW3216Q")</f>
        <v>MHGW3216Q</v>
      </c>
      <c r="B9389" t="s">
        <v>10</v>
      </c>
      <c r="C9389" t="s">
        <v>42</v>
      </c>
      <c r="D9389" t="str">
        <f>HYPERLINK("https://us2.cloudbeds.com/connect/10074733072513#/reservations/31687422582942?display=Christopher%20Wielenga&amp;reservation_id=31687422582942&amp;guest_id=31687422582936", "Christopher Wielenga")</f>
        <v>Christopher Wielenga</v>
      </c>
      <c r="E9389" t="s">
        <v>7896</v>
      </c>
      <c r="F9389" t="s">
        <v>7897</v>
      </c>
      <c r="G9389">
        <v>139</v>
      </c>
      <c r="H9389">
        <v>151.1</v>
      </c>
      <c r="I9389">
        <v>151.09</v>
      </c>
      <c r="J9389">
        <v>0.01</v>
      </c>
    </row>
    <row r="9390" spans="1:10" x14ac:dyDescent="0.3">
      <c r="A9390" t="str">
        <f>HYPERLINK("https://us2.cloudbeds.com/connect/10074733072513#/reservations/31684240076958?display=MHEGPG3RH&amp;reservation_id=31684240076958", "MHEGPG3RH")</f>
        <v>MHEGPG3RH</v>
      </c>
      <c r="B9390" t="s">
        <v>10</v>
      </c>
      <c r="C9390" t="s">
        <v>23</v>
      </c>
      <c r="D9390" t="str">
        <f>HYPERLINK("https://us2.cloudbeds.com/connect/10074733072513#/reservations/31684240076958?display=Don%20Charlson&amp;reservation_id=31684240076958&amp;guest_id=31684240076956", "Don Charlson")</f>
        <v>Don Charlson</v>
      </c>
      <c r="E9390" t="s">
        <v>7898</v>
      </c>
      <c r="F9390" t="s">
        <v>7842</v>
      </c>
      <c r="G9390">
        <v>109</v>
      </c>
      <c r="H9390">
        <v>118.49</v>
      </c>
      <c r="I9390">
        <v>118.48</v>
      </c>
      <c r="J9390">
        <v>0.01</v>
      </c>
    </row>
    <row r="9391" spans="1:10" x14ac:dyDescent="0.3">
      <c r="A9391" t="str">
        <f>HYPERLINK("https://us2.cloudbeds.com/connect/10074733072513#/reservations/31684240072866?display=MHEGPG02H&amp;reservation_id=31684240072866", "MHEGPG02H")</f>
        <v>MHEGPG02H</v>
      </c>
      <c r="B9391" t="s">
        <v>10</v>
      </c>
      <c r="C9391" t="s">
        <v>121</v>
      </c>
      <c r="D9391" t="str">
        <f>HYPERLINK("https://us2.cloudbeds.com/connect/10074733072513#/reservations/31684240072866?display=Carla%20Benton&amp;reservation_id=31684240072866&amp;guest_id=31684240072861", "Carla Benton")</f>
        <v>Carla Benton</v>
      </c>
      <c r="E9391" t="s">
        <v>7899</v>
      </c>
      <c r="F9391" t="s">
        <v>7842</v>
      </c>
      <c r="G9391">
        <v>109</v>
      </c>
      <c r="H9391">
        <v>118.49</v>
      </c>
      <c r="I9391">
        <v>118.48</v>
      </c>
      <c r="J9391">
        <v>0.01</v>
      </c>
    </row>
    <row r="9392" spans="1:10" x14ac:dyDescent="0.3">
      <c r="A9392" t="str">
        <f>HYPERLINK("https://us2.cloudbeds.com/connect/10074733072513#/reservations/31687794888911?display=MHH8JWWVS&amp;reservation_id=31687794888911", "MHH8JWWVS")</f>
        <v>MHH8JWWVS</v>
      </c>
      <c r="B9392" t="s">
        <v>10</v>
      </c>
      <c r="C9392" t="s">
        <v>121</v>
      </c>
      <c r="D9392" t="str">
        <f>HYPERLINK("https://us2.cloudbeds.com/connect/10074733072513#/reservations/31687794888911?display=Lucas%20Wosje&amp;reservation_id=31687794888911&amp;guest_id=31687794884827", "Lucas Wosje")</f>
        <v>Lucas Wosje</v>
      </c>
      <c r="E9392" t="s">
        <v>7900</v>
      </c>
      <c r="F9392" t="s">
        <v>7842</v>
      </c>
      <c r="G9392">
        <v>109</v>
      </c>
      <c r="H9392">
        <v>118.49</v>
      </c>
      <c r="I9392">
        <v>118.48</v>
      </c>
      <c r="J9392">
        <v>0.01</v>
      </c>
    </row>
    <row r="9393" spans="1:10" x14ac:dyDescent="0.3">
      <c r="A9393" t="str">
        <f>HYPERLINK("https://us2.cloudbeds.com/connect/10074733072513#/reservations/31684221018256?display=MHEG9DPZ3&amp;reservation_id=31684221018256", "MHEG9DPZ3")</f>
        <v>MHEG9DPZ3</v>
      </c>
      <c r="B9393" t="s">
        <v>10</v>
      </c>
      <c r="C9393" t="s">
        <v>121</v>
      </c>
      <c r="D9393" t="str">
        <f>HYPERLINK("https://us2.cloudbeds.com/connect/10074733072513#/reservations/31684221018256?display=Keith%20Reinhard&amp;reservation_id=31684221018256&amp;guest_id=31684221014162", "Keith Reinhard")</f>
        <v>Keith Reinhard</v>
      </c>
      <c r="E9393" t="s">
        <v>7901</v>
      </c>
      <c r="F9393" t="s">
        <v>7842</v>
      </c>
      <c r="G9393">
        <v>109</v>
      </c>
      <c r="H9393">
        <v>118.49</v>
      </c>
      <c r="I9393">
        <v>118.48</v>
      </c>
      <c r="J9393">
        <v>0.01</v>
      </c>
    </row>
    <row r="9394" spans="1:10" x14ac:dyDescent="0.3">
      <c r="A9394" t="str">
        <f>HYPERLINK("https://us2.cloudbeds.com/connect/10074733072513#/reservations/31687813349587?display=MHH92XMU9&amp;reservation_id=31687813349587", "MHH92XMU9")</f>
        <v>MHH92XMU9</v>
      </c>
      <c r="B9394" t="s">
        <v>10</v>
      </c>
      <c r="C9394" t="s">
        <v>121</v>
      </c>
      <c r="D9394" t="str">
        <f>HYPERLINK("https://us2.cloudbeds.com/connect/10074733072513#/reservations/31687813349587?display=Edgar%20Jenkins&amp;reservation_id=31687813349587&amp;guest_id=31687813349582", "Edgar Jenkins")</f>
        <v>Edgar Jenkins</v>
      </c>
      <c r="E9394" t="s">
        <v>7902</v>
      </c>
      <c r="F9394" t="s">
        <v>7842</v>
      </c>
      <c r="G9394">
        <v>109</v>
      </c>
      <c r="H9394">
        <v>118.49</v>
      </c>
      <c r="I9394">
        <v>118.48</v>
      </c>
      <c r="J9394">
        <v>0.01</v>
      </c>
    </row>
    <row r="9395" spans="1:10" x14ac:dyDescent="0.3">
      <c r="A9395" t="str">
        <f>HYPERLINK("https://us2.cloudbeds.com/connect/10074733072513#/reservations/31687901134976?display=MHHAS74N3&amp;reservation_id=31687901134976", "MHHAS74N3")</f>
        <v>MHHAS74N3</v>
      </c>
      <c r="B9395" t="s">
        <v>10</v>
      </c>
      <c r="C9395" t="s">
        <v>42</v>
      </c>
      <c r="D9395" t="str">
        <f>HYPERLINK("https://us2.cloudbeds.com/connect/10074733072513#/reservations/31687901134976?display=Shante%20Woolet&amp;reservation_id=31687901134976&amp;guest_id=31687882903776", "Shante Woolet")</f>
        <v>Shante Woolet</v>
      </c>
      <c r="E9395" t="s">
        <v>7903</v>
      </c>
      <c r="F9395" t="s">
        <v>7842</v>
      </c>
      <c r="G9395">
        <v>119</v>
      </c>
      <c r="H9395">
        <v>129.36000000000001</v>
      </c>
      <c r="I9395">
        <v>129.35</v>
      </c>
      <c r="J9395">
        <v>0.01</v>
      </c>
    </row>
    <row r="9396" spans="1:10" x14ac:dyDescent="0.3">
      <c r="A9396" t="str">
        <f>HYPERLINK("https://us2.cloudbeds.com/connect/10074733072513#/reservations/31687882899686?display=MHHAS70V1&amp;reservation_id=31687882899686", "MHHAS70V1")</f>
        <v>MHHAS70V1</v>
      </c>
      <c r="B9396" t="s">
        <v>10</v>
      </c>
      <c r="C9396" t="s">
        <v>121</v>
      </c>
      <c r="D9396" t="str">
        <f>HYPERLINK("https://us2.cloudbeds.com/connect/10074733072513#/reservations/31687882899686?display=Swarray%20Mimi&amp;reservation_id=31687882899686&amp;guest_id=31687882899684", "Swarray Mimi")</f>
        <v>Swarray Mimi</v>
      </c>
      <c r="E9396" t="s">
        <v>7848</v>
      </c>
      <c r="F9396" t="s">
        <v>7842</v>
      </c>
      <c r="G9396">
        <v>109</v>
      </c>
      <c r="H9396">
        <v>118.49</v>
      </c>
      <c r="I9396">
        <v>118.48</v>
      </c>
      <c r="J9396">
        <v>0.01</v>
      </c>
    </row>
    <row r="9397" spans="1:10" x14ac:dyDescent="0.3">
      <c r="A9397" t="str">
        <f>HYPERLINK("https://us2.cloudbeds.com/connect/10074733072513#/reservations/31692950864025?display=MHY8BYK0W&amp;reservation_id=31692950864025", "MHY8BYK0W")</f>
        <v>MHY8BYK0W</v>
      </c>
      <c r="B9397" t="s">
        <v>10</v>
      </c>
      <c r="C9397" t="s">
        <v>42</v>
      </c>
      <c r="D9397" t="str">
        <f>HYPERLINK("https://us2.cloudbeds.com/connect/10074733072513#/reservations/31692950864025?display=Amber%20Braithwaite&amp;reservation_id=31692950864025&amp;guest_id=31692950859935", "Amber Braithwaite")</f>
        <v>Amber Braithwaite</v>
      </c>
      <c r="E9397" t="s">
        <v>7904</v>
      </c>
      <c r="F9397" t="s">
        <v>5580</v>
      </c>
      <c r="G9397">
        <v>109</v>
      </c>
      <c r="H9397">
        <v>118.49</v>
      </c>
      <c r="I9397">
        <v>118.48</v>
      </c>
      <c r="J9397">
        <v>0.01</v>
      </c>
    </row>
    <row r="9398" spans="1:10" x14ac:dyDescent="0.3">
      <c r="A9398" t="str">
        <f>HYPERLINK("https://us2.cloudbeds.com/connect/10074733072513#/reservations/31689720606927?display=MHXZQQV27&amp;reservation_id=31689720606927", "MHXZQQV27")</f>
        <v>MHXZQQV27</v>
      </c>
      <c r="B9398" t="s">
        <v>10</v>
      </c>
      <c r="C9398" t="s">
        <v>42</v>
      </c>
      <c r="D9398" t="str">
        <f>HYPERLINK("https://us2.cloudbeds.com/connect/10074733072513#/reservations/31689720606927?display=Debra%20Olson&amp;reservation_id=31689720606927&amp;guest_id=31689720602846", "Debra Olson")</f>
        <v>Debra Olson</v>
      </c>
      <c r="E9398" t="s">
        <v>7905</v>
      </c>
      <c r="F9398" t="s">
        <v>7740</v>
      </c>
      <c r="G9398">
        <v>205.2</v>
      </c>
      <c r="H9398">
        <v>223.06</v>
      </c>
      <c r="I9398">
        <v>223.05</v>
      </c>
      <c r="J9398">
        <v>0.01</v>
      </c>
    </row>
    <row r="9399" spans="1:10" x14ac:dyDescent="0.3">
      <c r="A9399" t="str">
        <f>HYPERLINK("https://us2.cloudbeds.com/connect/10074733072513#/reservations/31692913184977?display=MHY7CT4BY&amp;reservation_id=31692913184977", "MHY7CT4BY")</f>
        <v>MHY7CT4BY</v>
      </c>
      <c r="B9399" t="s">
        <v>10</v>
      </c>
      <c r="C9399" t="s">
        <v>121</v>
      </c>
      <c r="D9399" t="str">
        <f>HYPERLINK("https://us2.cloudbeds.com/connect/10074733072513#/reservations/31692913184977?display=Austin%20Pohlen&amp;reservation_id=31692913184977&amp;guest_id=31692913184974", "Austin Pohlen")</f>
        <v>Austin Pohlen</v>
      </c>
      <c r="E9399" t="s">
        <v>7906</v>
      </c>
      <c r="F9399" t="s">
        <v>5580</v>
      </c>
      <c r="G9399">
        <v>109</v>
      </c>
      <c r="H9399">
        <v>118.49</v>
      </c>
      <c r="I9399">
        <v>118.48</v>
      </c>
      <c r="J9399">
        <v>0.01</v>
      </c>
    </row>
    <row r="9400" spans="1:10" x14ac:dyDescent="0.3">
      <c r="A9400" t="str">
        <f>HYPERLINK("https://us2.cloudbeds.com/connect/10074733072513#/reservations/31692970496149?display=MHY8S6TMR&amp;reservation_id=31692970496149", "MHY8S6TMR")</f>
        <v>MHY8S6TMR</v>
      </c>
      <c r="B9400" t="s">
        <v>10</v>
      </c>
      <c r="C9400" t="s">
        <v>121</v>
      </c>
      <c r="D9400" t="str">
        <f>HYPERLINK("https://us2.cloudbeds.com/connect/10074733072513#/reservations/31692970496149?display=Eric%20Smith&amp;reservation_id=31692970496149&amp;guest_id=31692970496145", "Eric Smith")</f>
        <v>Eric Smith</v>
      </c>
      <c r="E9400" t="s">
        <v>7907</v>
      </c>
      <c r="F9400" t="s">
        <v>7891</v>
      </c>
      <c r="G9400">
        <v>109</v>
      </c>
      <c r="H9400">
        <v>118.49</v>
      </c>
      <c r="I9400">
        <v>118.48</v>
      </c>
      <c r="J9400">
        <v>0.01</v>
      </c>
    </row>
    <row r="9401" spans="1:10" x14ac:dyDescent="0.3">
      <c r="A9401" t="str">
        <f>HYPERLINK("https://us2.cloudbeds.com/connect/10074733072513#/reservations/31692812869847?display=MHY4R9NK6&amp;reservation_id=31692812869847", "MHY4R9NK6")</f>
        <v>MHY4R9NK6</v>
      </c>
      <c r="B9401" t="s">
        <v>10</v>
      </c>
      <c r="C9401" t="s">
        <v>42</v>
      </c>
      <c r="D9401" t="str">
        <f>HYPERLINK("https://us2.cloudbeds.com/connect/10074733072513#/reservations/31692812869847?display=Michelle%20Unruth&amp;reservation_id=31692812869847&amp;guest_id=31692808106237", "Michelle Unruth")</f>
        <v>Michelle Unruth</v>
      </c>
      <c r="E9401" t="s">
        <v>7908</v>
      </c>
      <c r="F9401" t="s">
        <v>7844</v>
      </c>
      <c r="G9401">
        <v>278</v>
      </c>
      <c r="H9401">
        <v>302.2</v>
      </c>
      <c r="I9401">
        <v>302.19</v>
      </c>
      <c r="J9401">
        <v>0.01</v>
      </c>
    </row>
    <row r="9402" spans="1:10" x14ac:dyDescent="0.3">
      <c r="A9402" t="str">
        <f>HYPERLINK("https://us2.cloudbeds.com/connect/10074733072513#/reservations/31692893806808?display=MHY6THTTD&amp;reservation_id=31692893806808", "MHY6THTTD")</f>
        <v>MHY6THTTD</v>
      </c>
      <c r="B9402" t="s">
        <v>10</v>
      </c>
      <c r="C9402" t="s">
        <v>42</v>
      </c>
      <c r="D9402" t="str">
        <f>HYPERLINK("https://us2.cloudbeds.com/connect/10074733072513#/reservations/31692893806808?display=Richard%20Blackelk&amp;reservation_id=31692893806808&amp;guest_id=31692893802713", "Richard Blackelk")</f>
        <v>Richard Blackelk</v>
      </c>
      <c r="E9402" t="s">
        <v>7909</v>
      </c>
      <c r="F9402" t="s">
        <v>7844</v>
      </c>
      <c r="G9402">
        <v>119</v>
      </c>
      <c r="H9402">
        <v>129.36000000000001</v>
      </c>
      <c r="I9402">
        <v>129.35</v>
      </c>
      <c r="J9402">
        <v>0.01</v>
      </c>
    </row>
    <row r="9403" spans="1:10" x14ac:dyDescent="0.3">
      <c r="A9403" t="str">
        <f>HYPERLINK("https://us2.cloudbeds.com/connect/10074733072513#/reservations/31693202514082?display=MHYEPS4Y9&amp;reservation_id=31693202514082", "MHYEPS4Y9")</f>
        <v>MHYEPS4Y9</v>
      </c>
      <c r="B9403" t="s">
        <v>10</v>
      </c>
      <c r="C9403" t="s">
        <v>23</v>
      </c>
      <c r="D9403" t="str">
        <f>HYPERLINK("https://us2.cloudbeds.com/connect/10074733072513#/reservations/31693202514082?display=Joseph%20Andrew%20Johnson&amp;reservation_id=31693202514082&amp;guest_id=31693202514078", "Joseph Andrew Johnson")</f>
        <v>Joseph Andrew Johnson</v>
      </c>
      <c r="E9403" t="s">
        <v>7910</v>
      </c>
      <c r="F9403" t="s">
        <v>7740</v>
      </c>
      <c r="G9403">
        <v>109</v>
      </c>
      <c r="H9403">
        <v>118.49</v>
      </c>
      <c r="I9403">
        <v>118.48</v>
      </c>
      <c r="J9403">
        <v>0.01</v>
      </c>
    </row>
    <row r="9404" spans="1:10" x14ac:dyDescent="0.3">
      <c r="A9404" t="str">
        <f>HYPERLINK("https://us2.cloudbeds.com/connect/10074733072513#/reservations/31692784337129?display=MHY437ZPD&amp;reservation_id=31692784337129", "MHY437ZPD")</f>
        <v>MHY437ZPD</v>
      </c>
      <c r="B9404" t="s">
        <v>10</v>
      </c>
      <c r="C9404" t="s">
        <v>42</v>
      </c>
      <c r="D9404" t="str">
        <f>HYPERLINK("https://us2.cloudbeds.com/connect/10074733072513#/reservations/31692784337129?display=Dennis%20Webber&amp;reservation_id=31692784337129&amp;guest_id=31692784337124", "Dennis Webber")</f>
        <v>Dennis Webber</v>
      </c>
      <c r="E9404" t="s">
        <v>7912</v>
      </c>
      <c r="F9404" t="s">
        <v>7838</v>
      </c>
      <c r="G9404">
        <v>321.3</v>
      </c>
      <c r="H9404">
        <v>349.26</v>
      </c>
      <c r="I9404">
        <v>349.25</v>
      </c>
      <c r="J9404">
        <v>0.01</v>
      </c>
    </row>
    <row r="9405" spans="1:10" x14ac:dyDescent="0.3">
      <c r="A9405" t="str">
        <f>HYPERLINK("https://us2.cloudbeds.com/connect/10074733072513#/reservations/31692032065693?display=MHKHSTMZ9&amp;reservation_id=31692032065693", "MHKHSTMZ9")</f>
        <v>MHKHSTMZ9</v>
      </c>
      <c r="B9405" t="s">
        <v>10</v>
      </c>
      <c r="C9405" t="s">
        <v>121</v>
      </c>
      <c r="D9405" t="str">
        <f>HYPERLINK("https://us2.cloudbeds.com/connect/10074733072513#/reservations/31692032065693?display=Matthew%20Fortin&amp;reservation_id=31692032065693&amp;guest_id=31692032065688", "Matthew Fortin")</f>
        <v>Matthew Fortin</v>
      </c>
      <c r="E9405" t="s">
        <v>7913</v>
      </c>
      <c r="F9405" t="s">
        <v>7914</v>
      </c>
      <c r="G9405">
        <v>496</v>
      </c>
      <c r="H9405">
        <v>539.16</v>
      </c>
      <c r="I9405">
        <v>539.15</v>
      </c>
      <c r="J9405">
        <v>0.01</v>
      </c>
    </row>
    <row r="9406" spans="1:10" x14ac:dyDescent="0.3">
      <c r="A9406" t="str">
        <f>HYPERLINK("https://us2.cloudbeds.com/connect/10074733072513#/reservations/31692958326919?display=MHY8HV909&amp;reservation_id=31692958326919", "MHY8HV909")</f>
        <v>MHY8HV909</v>
      </c>
      <c r="B9406" t="s">
        <v>10</v>
      </c>
      <c r="C9406" t="s">
        <v>23</v>
      </c>
      <c r="D9406" t="str">
        <f>HYPERLINK("https://us2.cloudbeds.com/connect/10074733072513#/reservations/31692958326919?display=Josh%20Wilson&amp;reservation_id=31692958326919&amp;guest_id=31692958322827", "Josh Wilson")</f>
        <v>Josh Wilson</v>
      </c>
      <c r="E9406" t="s">
        <v>7915</v>
      </c>
      <c r="F9406" t="s">
        <v>7735</v>
      </c>
      <c r="G9406">
        <v>109</v>
      </c>
      <c r="H9406">
        <v>118.49</v>
      </c>
      <c r="I9406">
        <v>118.48</v>
      </c>
      <c r="J9406">
        <v>0.01</v>
      </c>
    </row>
    <row r="9407" spans="1:10" x14ac:dyDescent="0.3">
      <c r="A9407" t="str">
        <f>HYPERLINK("https://us2.cloudbeds.com/connect/10074733072513#/reservations/31692800463011?display=MHY4GRFZG&amp;reservation_id=31692800463011", "MHY4GRFZG")</f>
        <v>MHY4GRFZG</v>
      </c>
      <c r="B9407" t="s">
        <v>10</v>
      </c>
      <c r="C9407" t="s">
        <v>23</v>
      </c>
      <c r="D9407" t="str">
        <f>HYPERLINK("https://us2.cloudbeds.com/connect/10074733072513#/reservations/31692800463011?display=Carla%20Benton&amp;reservation_id=31692800463011&amp;guest_id=31692800458919", "Carla Benton")</f>
        <v>Carla Benton</v>
      </c>
      <c r="E9407" t="s">
        <v>7918</v>
      </c>
      <c r="F9407" t="s">
        <v>7844</v>
      </c>
      <c r="G9407">
        <v>139</v>
      </c>
      <c r="H9407">
        <v>151.1</v>
      </c>
      <c r="I9407">
        <v>151.09</v>
      </c>
      <c r="J9407">
        <v>0.01</v>
      </c>
    </row>
    <row r="9408" spans="1:10" x14ac:dyDescent="0.3">
      <c r="A9408" t="str">
        <f>HYPERLINK("https://us2.cloudbeds.com/connect/10074733072513#/reservations/31693488341222?display=MHYM2SN5P&amp;reservation_id=31693488341222", "MHYM2SN5P")</f>
        <v>MHYM2SN5P</v>
      </c>
      <c r="B9408" t="s">
        <v>10</v>
      </c>
      <c r="C9408" t="s">
        <v>42</v>
      </c>
      <c r="D9408" t="str">
        <f>HYPERLINK("https://us2.cloudbeds.com/connect/10074733072513#/reservations/31693488341222?display=Caleb%20Larson&amp;reservation_id=31693488341222&amp;guest_id=31693488341211", "Caleb Larson")</f>
        <v>Caleb Larson</v>
      </c>
      <c r="E9408" t="s">
        <v>7919</v>
      </c>
      <c r="F9408" t="s">
        <v>7735</v>
      </c>
      <c r="G9408">
        <v>218</v>
      </c>
      <c r="H9408">
        <v>236.98</v>
      </c>
      <c r="I9408">
        <v>236.97</v>
      </c>
      <c r="J9408">
        <v>0.01</v>
      </c>
    </row>
    <row r="9409" spans="1:10" x14ac:dyDescent="0.3">
      <c r="A9409" t="str">
        <f>HYPERLINK("https://us2.cloudbeds.com/connect/10074733072513#/reservations/31688549626022?display=MHHRTDM5D&amp;reservation_id=31688549626022", "MHHRTDM5D")</f>
        <v>MHHRTDM5D</v>
      </c>
      <c r="B9409" t="s">
        <v>10</v>
      </c>
      <c r="C9409" t="s">
        <v>42</v>
      </c>
      <c r="D9409" t="str">
        <f>HYPERLINK("https://us2.cloudbeds.com/connect/10074733072513#/reservations/31688549626022?display=Bailey%20Hoffmann&amp;reservation_id=31688549626022&amp;guest_id=31688539357385", "Bailey Hoffmann")</f>
        <v>Bailey Hoffmann</v>
      </c>
      <c r="E9409" t="s">
        <v>7920</v>
      </c>
      <c r="F9409" t="s">
        <v>6570</v>
      </c>
      <c r="G9409">
        <v>109</v>
      </c>
      <c r="H9409">
        <v>118.49</v>
      </c>
      <c r="I9409">
        <v>118.48</v>
      </c>
      <c r="J9409">
        <v>0.01</v>
      </c>
    </row>
    <row r="9410" spans="1:10" x14ac:dyDescent="0.3">
      <c r="A9410" t="str">
        <f>HYPERLINK("https://us2.cloudbeds.com/connect/10074733072513#/reservations/31692021956743?display=MHKHKCCVF&amp;reservation_id=31692021956743", "MHKHKCCVF")</f>
        <v>MHKHKCCVF</v>
      </c>
      <c r="B9410" t="s">
        <v>10</v>
      </c>
      <c r="C9410" t="s">
        <v>23</v>
      </c>
      <c r="D9410" t="str">
        <f>HYPERLINK("https://us2.cloudbeds.com/connect/10074733072513#/reservations/31692021956743?display=Brent%20Van%20Schepen&amp;reservation_id=31692021956743&amp;guest_id=31692021956738", "Brent Van Schepen")</f>
        <v>Brent Van Schepen</v>
      </c>
      <c r="E9410" t="s">
        <v>7921</v>
      </c>
      <c r="F9410" t="s">
        <v>7914</v>
      </c>
      <c r="G9410">
        <v>139</v>
      </c>
      <c r="H9410">
        <v>151.1</v>
      </c>
      <c r="I9410">
        <v>151.09</v>
      </c>
      <c r="J9410">
        <v>0.01</v>
      </c>
    </row>
    <row r="9411" spans="1:10" x14ac:dyDescent="0.3">
      <c r="A9411" t="str">
        <f>HYPERLINK("https://us2.cloudbeds.com/connect/10074733072513#/reservations/31686296641715?display=MHG3AY21M&amp;reservation_id=31686296641715", "MHG3AY21M")</f>
        <v>MHG3AY21M</v>
      </c>
      <c r="B9411" t="s">
        <v>10</v>
      </c>
      <c r="C9411" t="s">
        <v>17</v>
      </c>
      <c r="D9411" t="str">
        <f>HYPERLINK("https://us2.cloudbeds.com/connect/10074733072513#/reservations/31686296641715?display=Cyndi%20Wudel&amp;reservation_id=31686296641715&amp;guest_id=31686296641712", "Cyndi Wudel")</f>
        <v>Cyndi Wudel</v>
      </c>
      <c r="E9411" t="s">
        <v>7922</v>
      </c>
      <c r="F9411" t="s">
        <v>7727</v>
      </c>
      <c r="G9411">
        <v>199</v>
      </c>
      <c r="H9411">
        <v>216.32</v>
      </c>
      <c r="I9411">
        <v>216.31</v>
      </c>
      <c r="J9411">
        <v>0.01</v>
      </c>
    </row>
    <row r="9412" spans="1:10" x14ac:dyDescent="0.3">
      <c r="A9412" t="str">
        <f>HYPERLINK("https://us2.cloudbeds.com/connect/10074733072513#/reservations/31693530345629?display=MHYN59HNJ&amp;reservation_id=31693530345629", "MHYN59HNJ")</f>
        <v>MHYN59HNJ</v>
      </c>
      <c r="B9412" t="s">
        <v>10</v>
      </c>
      <c r="C9412" t="s">
        <v>42</v>
      </c>
      <c r="D9412" t="str">
        <f>HYPERLINK("https://us2.cloudbeds.com/connect/10074733072513#/reservations/31693530345629?display=Nanci%20Wells&amp;reservation_id=31693530345629&amp;guest_id=31686997176526", "Nanci Wells")</f>
        <v>Nanci Wells</v>
      </c>
      <c r="E9412" t="s">
        <v>7923</v>
      </c>
      <c r="F9412" t="s">
        <v>7838</v>
      </c>
      <c r="G9412">
        <v>109</v>
      </c>
      <c r="H9412">
        <v>118.49</v>
      </c>
      <c r="I9412">
        <v>118.48</v>
      </c>
      <c r="J9412">
        <v>0.01</v>
      </c>
    </row>
    <row r="9413" spans="1:10" x14ac:dyDescent="0.3">
      <c r="A9413" t="str">
        <f>HYPERLINK("https://us2.cloudbeds.com/connect/10074733072513#/reservations/31690632224919?display=MHJF3H1RT&amp;reservation_id=31690632224919", "MHJF3H1RT")</f>
        <v>MHJF3H1RT</v>
      </c>
      <c r="B9413" t="s">
        <v>10</v>
      </c>
      <c r="C9413" t="s">
        <v>23</v>
      </c>
      <c r="D9413" t="str">
        <f>HYPERLINK("https://us2.cloudbeds.com/connect/10074733072513#/reservations/31690632224919?display=Layla%20Gertsema&amp;reservation_id=31690632224919&amp;guest_id=31690632220838", "Layla Gertsema")</f>
        <v>Layla Gertsema</v>
      </c>
      <c r="E9413" t="s">
        <v>7924</v>
      </c>
      <c r="F9413" t="s">
        <v>7795</v>
      </c>
      <c r="G9413">
        <v>278</v>
      </c>
      <c r="H9413">
        <v>302.2</v>
      </c>
      <c r="I9413">
        <v>302.19</v>
      </c>
      <c r="J9413">
        <v>0.01</v>
      </c>
    </row>
    <row r="9414" spans="1:10" x14ac:dyDescent="0.3">
      <c r="A9414" t="str">
        <f>HYPERLINK("https://us2.cloudbeds.com/connect/10074733072513#/reservations/31686172995760?display=MHG05CE7X&amp;reservation_id=31686172995760", "MHG05CE7X")</f>
        <v>MHG05CE7X</v>
      </c>
      <c r="B9414" t="s">
        <v>10</v>
      </c>
      <c r="C9414" t="s">
        <v>14</v>
      </c>
      <c r="D9414" t="str">
        <f>HYPERLINK("https://us2.cloudbeds.com/connect/10074733072513#/reservations/31686172995760?display=Mindy%20Kemper&amp;reservation_id=31686172995760&amp;guest_id=31686172995757", "Mindy Kemper")</f>
        <v>Mindy Kemper</v>
      </c>
      <c r="E9414" t="s">
        <v>7926</v>
      </c>
      <c r="F9414" t="s">
        <v>7927</v>
      </c>
      <c r="G9414">
        <v>110.86</v>
      </c>
      <c r="H9414">
        <v>120.51</v>
      </c>
      <c r="I9414">
        <v>120.5</v>
      </c>
      <c r="J9414">
        <v>0.01</v>
      </c>
    </row>
    <row r="9415" spans="1:10" x14ac:dyDescent="0.3">
      <c r="A9415" t="str">
        <f>HYPERLINK("https://us2.cloudbeds.com/connect/10074733072513#/reservations/31692096053458?display=MHKJGS80F&amp;reservation_id=31692096053458", "MHKJGS80F")</f>
        <v>MHKJGS80F</v>
      </c>
      <c r="B9415" t="s">
        <v>10</v>
      </c>
      <c r="C9415" t="s">
        <v>121</v>
      </c>
      <c r="D9415" t="str">
        <f>HYPERLINK("https://us2.cloudbeds.com/connect/10074733072513#/reservations/31692096053458?display=Maranda%20Slocum&amp;reservation_id=31692096053458&amp;guest_id=31692096053453", "Maranda Slocum")</f>
        <v>Maranda Slocum</v>
      </c>
      <c r="E9415" t="s">
        <v>7928</v>
      </c>
      <c r="F9415" t="s">
        <v>7914</v>
      </c>
      <c r="G9415">
        <v>218</v>
      </c>
      <c r="H9415">
        <v>236.98</v>
      </c>
      <c r="I9415">
        <v>236.97</v>
      </c>
      <c r="J9415">
        <v>0.01</v>
      </c>
    </row>
    <row r="9416" spans="1:10" x14ac:dyDescent="0.3">
      <c r="A9416" t="str">
        <f>HYPERLINK("https://us2.cloudbeds.com/connect/10074733072513#/reservations/31687254159587?display=MHGRQ1DFP&amp;reservation_id=31687254159587", "MHGRQ1DFP")</f>
        <v>MHGRQ1DFP</v>
      </c>
      <c r="B9416" t="s">
        <v>10</v>
      </c>
      <c r="C9416" t="s">
        <v>42</v>
      </c>
      <c r="D9416" t="str">
        <f>HYPERLINK("https://us2.cloudbeds.com/connect/10074733072513#/reservations/31687254159587?display=Dean%20Waldner&amp;reservation_id=31687254159587&amp;guest_id=31687254155496", "Dean Waldner")</f>
        <v>Dean Waldner</v>
      </c>
      <c r="E9416" t="s">
        <v>7930</v>
      </c>
      <c r="F9416" t="s">
        <v>7914</v>
      </c>
      <c r="G9416">
        <v>109</v>
      </c>
      <c r="H9416">
        <v>118.49</v>
      </c>
      <c r="I9416">
        <v>118.48</v>
      </c>
      <c r="J9416">
        <v>0.01</v>
      </c>
    </row>
    <row r="9417" spans="1:10" x14ac:dyDescent="0.3">
      <c r="A9417" t="str">
        <f>HYPERLINK("https://us2.cloudbeds.com/connect/10074733072513#/reservations/31687270428822?display=MHGS6P42T&amp;reservation_id=31687270428822", "MHGS6P42T")</f>
        <v>MHGS6P42T</v>
      </c>
      <c r="B9417" t="s">
        <v>10</v>
      </c>
      <c r="C9417" t="s">
        <v>42</v>
      </c>
      <c r="D9417" t="str">
        <f>HYPERLINK("https://us2.cloudbeds.com/connect/10074733072513#/reservations/31687270428822?display=Dave%20Bult&amp;reservation_id=31687270428822&amp;guest_id=31687265071356", "Dave Bult")</f>
        <v>Dave Bult</v>
      </c>
      <c r="E9417" t="s">
        <v>7931</v>
      </c>
      <c r="F9417" t="s">
        <v>7914</v>
      </c>
      <c r="G9417">
        <v>109</v>
      </c>
      <c r="H9417">
        <v>118.49</v>
      </c>
      <c r="I9417">
        <v>118.48</v>
      </c>
      <c r="J9417">
        <v>0.01</v>
      </c>
    </row>
    <row r="9418" spans="1:10" x14ac:dyDescent="0.3">
      <c r="A9418" t="str">
        <f>HYPERLINK("https://us2.cloudbeds.com/connect/10074733072513#/reservations/31686592110720?display=MHGAY4432&amp;reservation_id=31686592110720", "MHGAY4432")</f>
        <v>MHGAY4432</v>
      </c>
      <c r="B9418" t="s">
        <v>10</v>
      </c>
      <c r="C9418" t="s">
        <v>23</v>
      </c>
      <c r="D9418" t="str">
        <f>HYPERLINK("https://us2.cloudbeds.com/connect/10074733072513#/reservations/31686592110720?display=Brittany%20Massa&amp;reservation_id=31686592110720&amp;guest_id=31684614459528", "Brittany Massa")</f>
        <v>Brittany Massa</v>
      </c>
      <c r="E9418" t="s">
        <v>7321</v>
      </c>
      <c r="F9418" t="s">
        <v>6570</v>
      </c>
      <c r="G9418">
        <v>189</v>
      </c>
      <c r="H9418">
        <v>205.45</v>
      </c>
      <c r="I9418">
        <v>205.44</v>
      </c>
      <c r="J9418">
        <v>0.01</v>
      </c>
    </row>
    <row r="9419" spans="1:10" x14ac:dyDescent="0.3">
      <c r="A9419" t="str">
        <f>HYPERLINK("https://us2.cloudbeds.com/connect/10074733072513#/reservations/31692076720291?display=MHKJ0X8SU&amp;reservation_id=31692076720291", "MHKJ0X8SU")</f>
        <v>MHKJ0X8SU</v>
      </c>
      <c r="B9419" t="s">
        <v>10</v>
      </c>
      <c r="C9419" t="s">
        <v>121</v>
      </c>
      <c r="D9419" t="str">
        <f>HYPERLINK("https://us2.cloudbeds.com/connect/10074733072513#/reservations/31692076720291?display=William%20Samuelson&amp;reservation_id=31692076720291&amp;guest_id=31692076720285", "William Samuelson")</f>
        <v>William Samuelson</v>
      </c>
      <c r="E9419" t="s">
        <v>7933</v>
      </c>
      <c r="F9419" t="s">
        <v>7914</v>
      </c>
      <c r="G9419">
        <v>109</v>
      </c>
      <c r="H9419">
        <v>118.49</v>
      </c>
      <c r="I9419">
        <v>118.48</v>
      </c>
      <c r="J9419">
        <v>0.01</v>
      </c>
    </row>
    <row r="9420" spans="1:10" x14ac:dyDescent="0.3">
      <c r="A9420" t="str">
        <f>HYPERLINK("https://us2.cloudbeds.com/connect/10074733072513#/reservations/31693254365395?display=MHYG3XWB6&amp;reservation_id=31693254365395", "MHYG3XWB6")</f>
        <v>MHYG3XWB6</v>
      </c>
      <c r="B9420" t="s">
        <v>10</v>
      </c>
      <c r="C9420" t="s">
        <v>42</v>
      </c>
      <c r="D9420" t="str">
        <f>HYPERLINK("https://us2.cloudbeds.com/connect/10074733072513#/reservations/31693254365395?display=Andrew%20Pierce&amp;reservation_id=31693254365395&amp;guest_id=31688520413432", "Andrew Pierce")</f>
        <v>Andrew Pierce</v>
      </c>
      <c r="E9420" t="s">
        <v>7935</v>
      </c>
      <c r="F9420" t="s">
        <v>7740</v>
      </c>
      <c r="G9420">
        <v>178</v>
      </c>
      <c r="H9420">
        <v>193.5</v>
      </c>
      <c r="I9420">
        <v>193.49</v>
      </c>
      <c r="J9420">
        <v>0.01</v>
      </c>
    </row>
    <row r="9421" spans="1:10" x14ac:dyDescent="0.3">
      <c r="A9421" t="str">
        <f>HYPERLINK("https://us2.cloudbeds.com/connect/10074733072513#/reservations/31692110278838?display=MHKJSS2QJ&amp;reservation_id=31692110278838", "MHKJSS2QJ")</f>
        <v>MHKJSS2QJ</v>
      </c>
      <c r="B9421" t="s">
        <v>10</v>
      </c>
      <c r="C9421" t="s">
        <v>121</v>
      </c>
      <c r="D9421" t="str">
        <f>HYPERLINK("https://us2.cloudbeds.com/connect/10074733072513#/reservations/31692110278838?display=Annel%20Odobasic&amp;reservation_id=31692110278838&amp;guest_id=31692110278789", "Annel Odobasic")</f>
        <v>Annel Odobasic</v>
      </c>
      <c r="E9421" t="s">
        <v>7766</v>
      </c>
      <c r="F9421" t="s">
        <v>7914</v>
      </c>
      <c r="G9421">
        <v>109</v>
      </c>
      <c r="H9421">
        <v>118.49</v>
      </c>
      <c r="I9421">
        <v>118.48</v>
      </c>
      <c r="J9421">
        <v>0.01</v>
      </c>
    </row>
    <row r="9422" spans="1:10" x14ac:dyDescent="0.3">
      <c r="A9422" t="str">
        <f>HYPERLINK("https://us2.cloudbeds.com/connect/10074733072513#/reservations/31692076716175?display=MHKJ0X536&amp;reservation_id=31692076716175", "MHKJ0X536")</f>
        <v>MHKJ0X536</v>
      </c>
      <c r="B9422" t="s">
        <v>10</v>
      </c>
      <c r="C9422" t="s">
        <v>23</v>
      </c>
      <c r="D9422" t="str">
        <f>HYPERLINK("https://us2.cloudbeds.com/connect/10074733072513#/reservations/31692076716175?display=Cori%20Reisch&amp;reservation_id=31692076716175&amp;guest_id=31690349514973", "Cori Reisch")</f>
        <v>Cori Reisch</v>
      </c>
      <c r="E9422" t="s">
        <v>3811</v>
      </c>
      <c r="F9422" t="s">
        <v>7914</v>
      </c>
      <c r="G9422">
        <v>119</v>
      </c>
      <c r="H9422">
        <v>129.36000000000001</v>
      </c>
      <c r="I9422">
        <v>129.35</v>
      </c>
      <c r="J9422">
        <v>0.01</v>
      </c>
    </row>
    <row r="9423" spans="1:10" x14ac:dyDescent="0.3">
      <c r="A9423" t="str">
        <f>HYPERLINK("https://us2.cloudbeds.com/connect/10074733072513#/reservations/31686197833859?display=MHG0QAJD7&amp;reservation_id=31686197833859", "MHG0QAJD7")</f>
        <v>MHG0QAJD7</v>
      </c>
      <c r="B9423" t="s">
        <v>10</v>
      </c>
      <c r="C9423" t="s">
        <v>42</v>
      </c>
      <c r="D9423" t="str">
        <f>HYPERLINK("https://us2.cloudbeds.com/connect/10074733072513#/reservations/31686197833859?display=Gary%20Woodbury&amp;reservation_id=31686197833859&amp;guest_id=31686197829764", "Gary Woodbury")</f>
        <v>Gary Woodbury</v>
      </c>
      <c r="E9423" t="s">
        <v>3305</v>
      </c>
      <c r="F9423" t="s">
        <v>7927</v>
      </c>
      <c r="G9423">
        <v>178</v>
      </c>
      <c r="H9423">
        <v>193.5</v>
      </c>
      <c r="I9423">
        <v>193.49</v>
      </c>
      <c r="J9423">
        <v>0.01</v>
      </c>
    </row>
    <row r="9424" spans="1:10" x14ac:dyDescent="0.3">
      <c r="A9424" t="str">
        <f>HYPERLINK("https://us2.cloudbeds.com/connect/10074733072513#/reservations/31686304800967?display=MHG3HH3FZ&amp;reservation_id=31686304800967", "MHG3HH3FZ")</f>
        <v>MHG3HH3FZ</v>
      </c>
      <c r="B9424" t="s">
        <v>10</v>
      </c>
      <c r="C9424" t="s">
        <v>42</v>
      </c>
      <c r="D9424" t="str">
        <f>HYPERLINK("https://us2.cloudbeds.com/connect/10074733072513#/reservations/31686304800967?display=Rajanee%20Phommarasksa&amp;reservation_id=31686304800967&amp;guest_id=31686304796921", "Rajanee Phommarasksa")</f>
        <v>Rajanee Phommarasksa</v>
      </c>
      <c r="E9424" t="s">
        <v>7937</v>
      </c>
      <c r="F9424" t="s">
        <v>7727</v>
      </c>
      <c r="G9424">
        <v>179</v>
      </c>
      <c r="H9424">
        <v>194.58</v>
      </c>
      <c r="I9424">
        <v>194.57</v>
      </c>
      <c r="J9424">
        <v>0.01</v>
      </c>
    </row>
    <row r="9425" spans="1:10" x14ac:dyDescent="0.3">
      <c r="A9425" t="str">
        <f>HYPERLINK("https://us2.cloudbeds.com/connect/10074733072513#/reservations/31693020852360?display=MHYA4M4FK&amp;reservation_id=31693020852360", "MHYA4M4FK")</f>
        <v>MHYA4M4FK</v>
      </c>
      <c r="B9425" t="s">
        <v>10</v>
      </c>
      <c r="C9425" t="s">
        <v>42</v>
      </c>
      <c r="D9425" t="str">
        <f>HYPERLINK("https://us2.cloudbeds.com/connect/10074733072513#/reservations/31693020852360?display=Clinton%20Mcneil&amp;reservation_id=31693020852360&amp;guest_id=31693015294169", "Clinton Mcneil")</f>
        <v>Clinton Mcneil</v>
      </c>
      <c r="E9425" t="s">
        <v>7938</v>
      </c>
      <c r="F9425" t="s">
        <v>7740</v>
      </c>
      <c r="G9425">
        <v>129</v>
      </c>
      <c r="H9425">
        <v>140.22999999999999</v>
      </c>
      <c r="I9425">
        <v>140.22</v>
      </c>
      <c r="J9425">
        <v>0.01</v>
      </c>
    </row>
    <row r="9426" spans="1:10" x14ac:dyDescent="0.3">
      <c r="A9426" t="str">
        <f>HYPERLINK("https://us2.cloudbeds.com/connect/10074733072513#/reservations/31689728254143?display=MHXP08ZA2&amp;reservation_id=31689728254143", "MHXP08ZA2")</f>
        <v>MHXP08ZA2</v>
      </c>
      <c r="B9426" t="s">
        <v>10</v>
      </c>
      <c r="C9426" t="s">
        <v>42</v>
      </c>
      <c r="D9426" t="str">
        <f>HYPERLINK("https://us2.cloudbeds.com/connect/10074733072513#/reservations/31689728254143?display=Taylor%20Balling&amp;reservation_id=31689728254143&amp;guest_id=31689728254140", "Taylor Balling")</f>
        <v>Taylor Balling</v>
      </c>
      <c r="E9426" t="s">
        <v>7940</v>
      </c>
      <c r="F9426" t="s">
        <v>7740</v>
      </c>
      <c r="G9426">
        <v>109</v>
      </c>
      <c r="H9426">
        <v>118.49</v>
      </c>
      <c r="I9426">
        <v>118.48</v>
      </c>
      <c r="J9426">
        <v>0.01</v>
      </c>
    </row>
    <row r="9427" spans="1:10" x14ac:dyDescent="0.3">
      <c r="A9427" t="str">
        <f>HYPERLINK("https://us2.cloudbeds.com/connect/10074733072513#/reservations/31687324750021?display=MHGTJXMQR&amp;reservation_id=31687324750021", "MHGTJXMQR")</f>
        <v>MHGTJXMQR</v>
      </c>
      <c r="B9427" t="s">
        <v>10</v>
      </c>
      <c r="C9427" t="s">
        <v>121</v>
      </c>
      <c r="D9427" t="str">
        <f>HYPERLINK("https://us2.cloudbeds.com/connect/10074733072513#/reservations/31687324750021?display=Charlene%20Switzer&amp;reservation_id=31687324750021&amp;guest_id=31687324745937", "Charlene Switzer")</f>
        <v>Charlene Switzer</v>
      </c>
      <c r="E9427" t="s">
        <v>7941</v>
      </c>
      <c r="F9427" t="s">
        <v>5553</v>
      </c>
      <c r="G9427">
        <v>109</v>
      </c>
      <c r="H9427">
        <v>118.49</v>
      </c>
      <c r="I9427">
        <v>118.48</v>
      </c>
      <c r="J9427">
        <v>0.01</v>
      </c>
    </row>
    <row r="9428" spans="1:10" x14ac:dyDescent="0.3">
      <c r="A9428" t="str">
        <f>HYPERLINK("https://us2.cloudbeds.com/connect/10074733072513#/reservations/31693003690199?display=MHY9N6XU4&amp;reservation_id=31693003690199", "MHY9N6XU4")</f>
        <v>MHY9N6XU4</v>
      </c>
      <c r="B9428" t="s">
        <v>10</v>
      </c>
      <c r="C9428" t="s">
        <v>121</v>
      </c>
      <c r="D9428" t="str">
        <f>HYPERLINK("https://us2.cloudbeds.com/connect/10074733072513#/reservations/31693003690199?display=Brady%20Diamond&amp;reservation_id=31693003690199&amp;guest_id=31693003686105", "Brady Diamond")</f>
        <v>Brady Diamond</v>
      </c>
      <c r="E9428" t="s">
        <v>7942</v>
      </c>
      <c r="F9428" t="s">
        <v>7740</v>
      </c>
      <c r="G9428">
        <v>119</v>
      </c>
      <c r="H9428">
        <v>129.36000000000001</v>
      </c>
      <c r="I9428">
        <v>129.35</v>
      </c>
      <c r="J9428">
        <v>0.01</v>
      </c>
    </row>
    <row r="9429" spans="1:10" x14ac:dyDescent="0.3">
      <c r="A9429" t="str">
        <f>HYPERLINK("https://us2.cloudbeds.com/connect/10074733072513#/reservations/31693027156188?display=MHYA9WX3N&amp;reservation_id=31693027156188", "MHYA9WX3N")</f>
        <v>MHYA9WX3N</v>
      </c>
      <c r="B9429" t="s">
        <v>10</v>
      </c>
      <c r="C9429" t="s">
        <v>42</v>
      </c>
      <c r="D9429" t="str">
        <f>HYPERLINK("https://us2.cloudbeds.com/connect/10074733072513#/reservations/31693027156188?display=Anna%20Woinarowicz&amp;reservation_id=31693027156188&amp;guest_id=31693020856450", "Anna Woinarowicz")</f>
        <v>Anna Woinarowicz</v>
      </c>
      <c r="E9429" t="s">
        <v>7943</v>
      </c>
      <c r="F9429" t="s">
        <v>7740</v>
      </c>
      <c r="G9429">
        <v>109</v>
      </c>
      <c r="H9429">
        <v>118.49</v>
      </c>
      <c r="I9429">
        <v>118.48</v>
      </c>
      <c r="J9429">
        <v>0.01</v>
      </c>
    </row>
    <row r="9430" spans="1:10" x14ac:dyDescent="0.3">
      <c r="A9430" t="str">
        <f>HYPERLINK("https://us2.cloudbeds.com/connect/10074733072513#/reservations/31693038342289?display=MHYAJDR0F&amp;reservation_id=31693038342289", "MHYAJDR0F")</f>
        <v>MHYAJDR0F</v>
      </c>
      <c r="B9430" t="s">
        <v>10</v>
      </c>
      <c r="C9430" t="s">
        <v>23</v>
      </c>
      <c r="D9430" t="str">
        <f>HYPERLINK("https://us2.cloudbeds.com/connect/10074733072513#/reservations/31693038342289?display=Anna%20Perea&amp;reservation_id=31693038342289&amp;guest_id=31693038338198", "Anna Perea")</f>
        <v>Anna Perea</v>
      </c>
      <c r="E9430" t="s">
        <v>7944</v>
      </c>
      <c r="F9430" t="s">
        <v>7740</v>
      </c>
      <c r="G9430">
        <v>119</v>
      </c>
      <c r="H9430">
        <v>129.36000000000001</v>
      </c>
      <c r="I9430">
        <v>129.35</v>
      </c>
      <c r="J9430">
        <v>0.01</v>
      </c>
    </row>
    <row r="9431" spans="1:10" x14ac:dyDescent="0.3">
      <c r="A9431" t="str">
        <f>HYPERLINK("https://us2.cloudbeds.com/connect/10074733072513#/reservations/31686331011230?display=MHG46KEM4&amp;reservation_id=31686331011230", "MHG46KEM4")</f>
        <v>MHG46KEM4</v>
      </c>
      <c r="B9431" t="s">
        <v>10</v>
      </c>
      <c r="C9431" t="s">
        <v>42</v>
      </c>
      <c r="D9431" t="str">
        <f>HYPERLINK("https://us2.cloudbeds.com/connect/10074733072513#/reservations/31686331011230?display=Clayton%20Long&amp;reservation_id=31686331011230&amp;guest_id=31686324650181", "Clayton Long")</f>
        <v>Clayton Long</v>
      </c>
      <c r="E9431" t="s">
        <v>7945</v>
      </c>
      <c r="F9431" t="s">
        <v>7727</v>
      </c>
      <c r="G9431">
        <v>189</v>
      </c>
      <c r="H9431">
        <v>205.45</v>
      </c>
      <c r="I9431">
        <v>205.44</v>
      </c>
      <c r="J9431">
        <v>0.01</v>
      </c>
    </row>
    <row r="9432" spans="1:10" x14ac:dyDescent="0.3">
      <c r="A9432" t="str">
        <f>HYPERLINK("https://us2.cloudbeds.com/connect/10074733072513#/reservations/31693220995220?display=MHYF8EDCP&amp;reservation_id=31693220995220", "MHYF8EDCP")</f>
        <v>MHYF8EDCP</v>
      </c>
      <c r="B9432" t="s">
        <v>10</v>
      </c>
      <c r="C9432" t="s">
        <v>17</v>
      </c>
      <c r="D9432" t="str">
        <f>HYPERLINK("https://us2.cloudbeds.com/connect/10074733072513#/reservations/31693220995220?display=Layne%20Hantke&amp;reservation_id=31693220995220&amp;guest_id=31693215822012", "Layne Hantke")</f>
        <v>Layne Hantke</v>
      </c>
      <c r="E9432" t="s">
        <v>7946</v>
      </c>
      <c r="F9432" t="s">
        <v>7740</v>
      </c>
      <c r="G9432">
        <v>149</v>
      </c>
      <c r="H9432">
        <v>161.97</v>
      </c>
      <c r="I9432">
        <v>161.96</v>
      </c>
      <c r="J9432">
        <v>0.01</v>
      </c>
    </row>
    <row r="9433" spans="1:10" x14ac:dyDescent="0.3">
      <c r="A9433" t="str">
        <f>HYPERLINK("https://us2.cloudbeds.com/connect/10074733072513#/reservations/31687170384009?display=MHGPYD7XT&amp;reservation_id=31687170384009", "MHGPYD7XT")</f>
        <v>MHGPYD7XT</v>
      </c>
      <c r="B9433" t="s">
        <v>10</v>
      </c>
      <c r="C9433" t="s">
        <v>42</v>
      </c>
      <c r="D9433" t="str">
        <f>HYPERLINK("https://us2.cloudbeds.com/connect/10074733072513#/reservations/31687170384009?display=Mary%20Ellen%20Mertes&amp;reservation_id=31687170384009&amp;guest_id=31684354171084", "Mary Ellen Mertes")</f>
        <v>Mary Ellen Mertes</v>
      </c>
      <c r="E9433" t="s">
        <v>7290</v>
      </c>
      <c r="F9433" t="s">
        <v>7802</v>
      </c>
      <c r="G9433">
        <v>109</v>
      </c>
      <c r="H9433">
        <v>118.49</v>
      </c>
      <c r="I9433">
        <v>118.48</v>
      </c>
      <c r="J9433">
        <v>0.01</v>
      </c>
    </row>
    <row r="9434" spans="1:10" x14ac:dyDescent="0.3">
      <c r="A9434" t="str">
        <f>HYPERLINK("https://us2.cloudbeds.com/connect/10074733072513#/reservations/31686324646088?display=MHG418AZ1&amp;reservation_id=31686324646088", "MHG418AZ1")</f>
        <v>MHG418AZ1</v>
      </c>
      <c r="B9434" t="s">
        <v>10</v>
      </c>
      <c r="C9434" t="s">
        <v>23</v>
      </c>
      <c r="D9434" t="str">
        <f>HYPERLINK("https://us2.cloudbeds.com/connect/10074733072513#/reservations/31686324646088?display=Jennifer%20Thompson&amp;reservation_id=31686324646088&amp;guest_id=30670144794845", "Jennifer Thompson")</f>
        <v>Jennifer Thompson</v>
      </c>
      <c r="E9434" t="s">
        <v>7947</v>
      </c>
      <c r="F9434" t="s">
        <v>7727</v>
      </c>
      <c r="G9434">
        <v>179</v>
      </c>
      <c r="H9434">
        <v>194.58</v>
      </c>
      <c r="I9434">
        <v>194.57</v>
      </c>
      <c r="J9434">
        <v>0.01</v>
      </c>
    </row>
    <row r="9435" spans="1:10" x14ac:dyDescent="0.3">
      <c r="A9435" t="str">
        <f>HYPERLINK("https://us2.cloudbeds.com/connect/10074733072513#/reservations/31688590299325?display=MHHSUNFCZ&amp;reservation_id=31688590299325", "MHHSUNFCZ")</f>
        <v>MHHSUNFCZ</v>
      </c>
      <c r="B9435" t="s">
        <v>10</v>
      </c>
      <c r="C9435" t="s">
        <v>17</v>
      </c>
      <c r="D9435" t="str">
        <f>HYPERLINK("https://us2.cloudbeds.com/connect/10074733072513#/reservations/31688590299325?display=Kenny%20Bierschbach&amp;reservation_id=31688590299325&amp;guest_id=31688590299265", "Kenny Bierschbach")</f>
        <v>Kenny Bierschbach</v>
      </c>
      <c r="E9435" t="s">
        <v>7948</v>
      </c>
      <c r="F9435" t="s">
        <v>7727</v>
      </c>
      <c r="G9435">
        <v>189</v>
      </c>
      <c r="H9435">
        <v>205.45</v>
      </c>
      <c r="I9435">
        <v>205.44</v>
      </c>
      <c r="J9435">
        <v>0.01</v>
      </c>
    </row>
    <row r="9436" spans="1:10" x14ac:dyDescent="0.3">
      <c r="A9436" t="str">
        <f>HYPERLINK("https://us2.cloudbeds.com/connect/10074733072513#/reservations/31691952529552?display=MHKFRRFQ6&amp;reservation_id=31691952529552", "MHKFRRFQ6")</f>
        <v>MHKFRRFQ6</v>
      </c>
      <c r="B9436" t="s">
        <v>10</v>
      </c>
      <c r="C9436" t="s">
        <v>42</v>
      </c>
      <c r="D9436" t="str">
        <f>HYPERLINK("https://us2.cloudbeds.com/connect/10074733072513#/reservations/31691952529552?display=Mary%20Ellen%20Mertes&amp;reservation_id=31691952529552&amp;guest_id=31684354171084", "Mary Ellen Mertes")</f>
        <v>Mary Ellen Mertes</v>
      </c>
      <c r="E9436" t="s">
        <v>7290</v>
      </c>
      <c r="F9436" t="s">
        <v>7780</v>
      </c>
      <c r="G9436">
        <v>109</v>
      </c>
      <c r="H9436">
        <v>118.49</v>
      </c>
      <c r="I9436">
        <v>118.48</v>
      </c>
      <c r="J9436">
        <v>0.01</v>
      </c>
    </row>
    <row r="9437" spans="1:10" x14ac:dyDescent="0.3">
      <c r="A9437" t="str">
        <f>HYPERLINK("https://us2.cloudbeds.com/connect/10074733072513#/reservations/31688576102537?display=MHHSXZDS1&amp;reservation_id=31688576102537", "MHHSXZDS1")</f>
        <v>MHHSXZDS1</v>
      </c>
      <c r="B9437" t="s">
        <v>10</v>
      </c>
      <c r="C9437" t="s">
        <v>23</v>
      </c>
      <c r="D9437" t="str">
        <f>HYPERLINK("https://us2.cloudbeds.com/connect/10074733072513#/reservations/31688576102537?display=Vilaiphone%20Phommaracksa&amp;reservation_id=31688576102537&amp;guest_id=31688568926450", "Vilaiphone Phommaracksa")</f>
        <v>Vilaiphone Phommaracksa</v>
      </c>
      <c r="E9437" t="s">
        <v>7949</v>
      </c>
      <c r="F9437" t="s">
        <v>7727</v>
      </c>
      <c r="G9437">
        <v>179</v>
      </c>
      <c r="H9437">
        <v>194.58</v>
      </c>
      <c r="I9437">
        <v>194.57</v>
      </c>
      <c r="J9437">
        <v>0.01</v>
      </c>
    </row>
    <row r="9438" spans="1:10" x14ac:dyDescent="0.3">
      <c r="A9438" t="str">
        <f>HYPERLINK("https://us2.cloudbeds.com/connect/10074733072513#/reservations/31693085634757?display=MHYBQ9QEX&amp;reservation_id=31693085634757", "MHYBQ9QEX")</f>
        <v>MHYBQ9QEX</v>
      </c>
      <c r="B9438" t="s">
        <v>10</v>
      </c>
      <c r="C9438" t="s">
        <v>23</v>
      </c>
      <c r="D9438" t="str">
        <f>HYPERLINK("https://us2.cloudbeds.com/connect/10074733072513#/reservations/31693085634757?display=Zach%20Angelo&amp;reservation_id=31693085634757&amp;guest_id=31693085634755", "Zach Angelo")</f>
        <v>Zach Angelo</v>
      </c>
      <c r="E9438" t="s">
        <v>7950</v>
      </c>
      <c r="F9438" t="s">
        <v>7740</v>
      </c>
      <c r="G9438">
        <v>109</v>
      </c>
      <c r="H9438">
        <v>118.49</v>
      </c>
      <c r="I9438">
        <v>118.48</v>
      </c>
      <c r="J9438">
        <v>0.01</v>
      </c>
    </row>
    <row r="9439" spans="1:10" x14ac:dyDescent="0.3">
      <c r="A9439" t="str">
        <f>HYPERLINK("https://us2.cloudbeds.com/connect/10074733072513#/reservations/31694364778644?display=MHMBFTSXH&amp;reservation_id=31694364778644", "MHMBFTSXH")</f>
        <v>MHMBFTSXH</v>
      </c>
      <c r="B9439" t="s">
        <v>10</v>
      </c>
      <c r="C9439" t="s">
        <v>42</v>
      </c>
      <c r="D9439" t="str">
        <f>HYPERLINK("https://us2.cloudbeds.com/connect/10074733072513#/reservations/31694364778644?display=Mary%20Koept&amp;reservation_id=31694364778644&amp;guest_id=31694364778642", "Mary Koept")</f>
        <v>Mary Koept</v>
      </c>
      <c r="E9439" t="s">
        <v>7951</v>
      </c>
      <c r="F9439" t="s">
        <v>7530</v>
      </c>
      <c r="G9439">
        <v>278</v>
      </c>
      <c r="H9439">
        <v>302.2</v>
      </c>
      <c r="I9439">
        <v>302.19</v>
      </c>
      <c r="J9439">
        <v>0.01</v>
      </c>
    </row>
    <row r="9440" spans="1:10" x14ac:dyDescent="0.3">
      <c r="A9440" t="str">
        <f>HYPERLINK("https://us2.cloudbeds.com/connect/10074733072513#/reservations/31684354171086?display=MHEJMMVFB&amp;reservation_id=31684354171086", "MHEJMMVFB")</f>
        <v>MHEJMMVFB</v>
      </c>
      <c r="B9440" t="s">
        <v>10</v>
      </c>
      <c r="C9440" t="s">
        <v>42</v>
      </c>
      <c r="D9440" t="str">
        <f>HYPERLINK("https://us2.cloudbeds.com/connect/10074733072513#/reservations/31684354171086?display=Mary%20Ellen%20Mertes&amp;reservation_id=31684354171086&amp;guest_id=31684354171084", "Mary Ellen Mertes")</f>
        <v>Mary Ellen Mertes</v>
      </c>
      <c r="E9440" t="s">
        <v>7290</v>
      </c>
      <c r="F9440" t="s">
        <v>7952</v>
      </c>
      <c r="G9440">
        <v>109</v>
      </c>
      <c r="H9440">
        <v>118.49</v>
      </c>
      <c r="I9440">
        <v>118.48</v>
      </c>
      <c r="J9440">
        <v>0.01</v>
      </c>
    </row>
    <row r="9441" spans="1:10" x14ac:dyDescent="0.3">
      <c r="A9441" t="str">
        <f>HYPERLINK("https://us2.cloudbeds.com/connect/10074733072513#/reservations/31689737388244?display=MHXP7VTU0&amp;reservation_id=31689737388244", "MHXP7VTU0")</f>
        <v>MHXP7VTU0</v>
      </c>
      <c r="B9441" t="s">
        <v>10</v>
      </c>
      <c r="C9441" t="s">
        <v>121</v>
      </c>
      <c r="D9441" t="str">
        <f>HYPERLINK("https://us2.cloudbeds.com/connect/10074733072513#/reservations/31689737388244?display=Steven%20Hanson&amp;reservation_id=31689737388244&amp;guest_id=31689737388240", "Steven Hanson")</f>
        <v>Steven Hanson</v>
      </c>
      <c r="E9441" t="s">
        <v>7954</v>
      </c>
      <c r="F9441" t="s">
        <v>7740</v>
      </c>
      <c r="G9441">
        <v>109</v>
      </c>
      <c r="H9441">
        <v>118.49</v>
      </c>
      <c r="I9441">
        <v>118.48</v>
      </c>
      <c r="J9441">
        <v>0.01</v>
      </c>
    </row>
    <row r="9442" spans="1:10" x14ac:dyDescent="0.3">
      <c r="A9442" t="str">
        <f>HYPERLINK("https://us2.cloudbeds.com/connect/10074733072513#/reservations/31687170388121?display=MHGPYDBBG&amp;reservation_id=31687170388121", "MHGPYDBBG")</f>
        <v>MHGPYDBBG</v>
      </c>
      <c r="B9442" t="s">
        <v>10</v>
      </c>
      <c r="C9442" t="s">
        <v>14</v>
      </c>
      <c r="D9442" t="str">
        <f>HYPERLINK("https://us2.cloudbeds.com/connect/10074733072513#/reservations/31687170388121?display=Adam%20Kack&amp;reservation_id=31687170388121&amp;guest_id=31687170388119", "Adam Kack")</f>
        <v>Adam Kack</v>
      </c>
      <c r="E9442" t="s">
        <v>7960</v>
      </c>
      <c r="F9442" t="s">
        <v>7727</v>
      </c>
      <c r="G9442">
        <v>137.76</v>
      </c>
      <c r="H9442">
        <v>149.76</v>
      </c>
      <c r="I9442">
        <v>149.75</v>
      </c>
      <c r="J9442">
        <v>0.01</v>
      </c>
    </row>
    <row r="9443" spans="1:10" x14ac:dyDescent="0.3">
      <c r="A9443" t="str">
        <f>HYPERLINK("https://us2.cloudbeds.com/connect/10074733072513#/reservations/31687183065242?display=MHGPW33DM&amp;reservation_id=31687183065242", "MHGPW33DM")</f>
        <v>MHGPW33DM</v>
      </c>
      <c r="B9443" t="s">
        <v>10</v>
      </c>
      <c r="C9443" t="s">
        <v>121</v>
      </c>
      <c r="D9443" t="str">
        <f>HYPERLINK("https://us2.cloudbeds.com/connect/10074733072513#/reservations/31687183065242?display=Charles%20Greer&amp;reservation_id=31687183065242&amp;guest_id=31687183065240", "Charles Greer")</f>
        <v>Charles Greer</v>
      </c>
      <c r="E9443" t="s">
        <v>7962</v>
      </c>
      <c r="F9443" t="s">
        <v>7927</v>
      </c>
      <c r="G9443">
        <v>109</v>
      </c>
      <c r="H9443">
        <v>118.49</v>
      </c>
      <c r="I9443">
        <v>118.48</v>
      </c>
      <c r="J9443">
        <v>0.01</v>
      </c>
    </row>
    <row r="9444" spans="1:10" x14ac:dyDescent="0.3">
      <c r="A9444" t="str">
        <f>HYPERLINK("https://us2.cloudbeds.com/connect/10074733072513#/reservations/31693489946784?display=MHYM47CH5&amp;reservation_id=31693489946784", "MHYM47CH5")</f>
        <v>MHYM47CH5</v>
      </c>
      <c r="B9444" t="s">
        <v>10</v>
      </c>
      <c r="C9444" t="s">
        <v>42</v>
      </c>
      <c r="D9444" t="str">
        <f>HYPERLINK("https://us2.cloudbeds.com/connect/10074733072513#/reservations/31693489946784?display=Rajinder%20Pal%20Singh%20Sidhu%20Northern%20Lights%20Diesel&amp;reservation_id=31693489946784&amp;guest_id=31693489946779", "Rajinder Pal Singh Sidhu Northern Lights Diesel")</f>
        <v>Rajinder Pal Singh Sidhu Northern Lights Diesel</v>
      </c>
      <c r="E9444" t="s">
        <v>7963</v>
      </c>
      <c r="F9444" t="s">
        <v>7964</v>
      </c>
      <c r="G9444">
        <v>504</v>
      </c>
      <c r="H9444">
        <v>547.86</v>
      </c>
      <c r="I9444">
        <v>547.85</v>
      </c>
      <c r="J9444">
        <v>0.01</v>
      </c>
    </row>
    <row r="9445" spans="1:10" x14ac:dyDescent="0.3">
      <c r="A9445" t="str">
        <f>HYPERLINK("https://us2.cloudbeds.com/connect/10074733072513#/reservations/31689536467138?display=MHXK3HWBK&amp;reservation_id=31689536467138", "MHXK3HWBK")</f>
        <v>MHXK3HWBK</v>
      </c>
      <c r="B9445" t="s">
        <v>10</v>
      </c>
      <c r="C9445" t="s">
        <v>23</v>
      </c>
      <c r="D9445" t="str">
        <f>HYPERLINK("https://us2.cloudbeds.com/connect/10074733072513#/reservations/31689536467138?display=Teri%20Hood&amp;reservation_id=31689536467138&amp;guest_id=31689526120634", "Teri Hood")</f>
        <v>Teri Hood</v>
      </c>
      <c r="E9445" t="s">
        <v>4634</v>
      </c>
      <c r="F9445" t="s">
        <v>7802</v>
      </c>
      <c r="G9445">
        <v>139</v>
      </c>
      <c r="H9445">
        <v>151.1</v>
      </c>
      <c r="I9445">
        <v>151.09</v>
      </c>
      <c r="J9445">
        <v>0.01</v>
      </c>
    </row>
    <row r="9446" spans="1:10" x14ac:dyDescent="0.3">
      <c r="A9446" t="str">
        <f>HYPERLINK("https://us2.cloudbeds.com/connect/10074733072513#/reservations/31690473611488?display=MHJB1PDA9&amp;reservation_id=31690473611488", "MHJB1PDA9")</f>
        <v>MHJB1PDA9</v>
      </c>
      <c r="B9446" t="s">
        <v>10</v>
      </c>
      <c r="C9446" t="s">
        <v>42</v>
      </c>
      <c r="D9446" t="str">
        <f>HYPERLINK("https://us2.cloudbeds.com/connect/10074733072513#/reservations/31690473611488?display=Crystal%20Bothun&amp;reservation_id=31690473611488&amp;guest_id=31690473611483", "Crystal Bothun")</f>
        <v>Crystal Bothun</v>
      </c>
      <c r="E9446" t="s">
        <v>7965</v>
      </c>
      <c r="F9446" t="s">
        <v>7530</v>
      </c>
      <c r="G9446">
        <v>278</v>
      </c>
      <c r="H9446">
        <v>302.2</v>
      </c>
      <c r="I9446">
        <v>302.19</v>
      </c>
      <c r="J9446">
        <v>0.01</v>
      </c>
    </row>
    <row r="9447" spans="1:10" x14ac:dyDescent="0.3">
      <c r="A9447" t="str">
        <f>HYPERLINK("https://us2.cloudbeds.com/connect/10074733072513#/reservations/31686311624860?display=MHG3N8WMC&amp;reservation_id=31686311624860", "MHG3N8WMC")</f>
        <v>MHG3N8WMC</v>
      </c>
      <c r="B9447" t="s">
        <v>10</v>
      </c>
      <c r="C9447" t="s">
        <v>121</v>
      </c>
      <c r="D9447" t="str">
        <f>HYPERLINK("https://us2.cloudbeds.com/connect/10074733072513#/reservations/31686311624860?display=Spencer%20Olson&amp;reservation_id=31686311624860&amp;guest_id=31686311620766", "Spencer Olson")</f>
        <v>Spencer Olson</v>
      </c>
      <c r="E9447" t="s">
        <v>7966</v>
      </c>
      <c r="F9447" t="s">
        <v>7927</v>
      </c>
      <c r="G9447">
        <v>109</v>
      </c>
      <c r="H9447">
        <v>118.49</v>
      </c>
      <c r="I9447">
        <v>118.48</v>
      </c>
      <c r="J9447">
        <v>0.01</v>
      </c>
    </row>
    <row r="9448" spans="1:10" x14ac:dyDescent="0.3">
      <c r="A9448" t="str">
        <f>HYPERLINK("https://us2.cloudbeds.com/connect/10074733072513#/reservations/31686248706286?display=MHG23766U&amp;reservation_id=31686248706286", "MHG23766U")</f>
        <v>MHG23766U</v>
      </c>
      <c r="B9448" t="s">
        <v>10</v>
      </c>
      <c r="C9448" t="s">
        <v>20</v>
      </c>
      <c r="D9448" t="str">
        <f>HYPERLINK("https://us2.cloudbeds.com/connect/10074733072513#/reservations/31686248706286?display=Dustin%20White&amp;reservation_id=31686248706286&amp;guest_id=31686248706272", "Dustin White")</f>
        <v>Dustin White</v>
      </c>
      <c r="E9448" t="s">
        <v>7969</v>
      </c>
      <c r="F9448" t="s">
        <v>7970</v>
      </c>
      <c r="G9448">
        <v>129</v>
      </c>
      <c r="H9448">
        <v>140.22999999999999</v>
      </c>
      <c r="I9448">
        <v>140.22</v>
      </c>
      <c r="J9448">
        <v>0.01</v>
      </c>
    </row>
    <row r="9449" spans="1:10" x14ac:dyDescent="0.3">
      <c r="A9449" t="str">
        <f>HYPERLINK("https://us2.cloudbeds.com/connect/10074733072513#/reservations/31689245565183?display=MHXCM86ZT&amp;reservation_id=31689245565183", "MHXCM86ZT")</f>
        <v>MHXCM86ZT</v>
      </c>
      <c r="B9449" t="s">
        <v>10</v>
      </c>
      <c r="C9449" t="s">
        <v>42</v>
      </c>
      <c r="D9449" t="str">
        <f>HYPERLINK("https://us2.cloudbeds.com/connect/10074733072513#/reservations/31689245565183?display=Lesly%20Mizhquiri&amp;reservation_id=31689245565183&amp;guest_id=31689239584950", "Lesly Mizhquiri")</f>
        <v>Lesly Mizhquiri</v>
      </c>
      <c r="E9449" t="s">
        <v>7973</v>
      </c>
      <c r="F9449" t="s">
        <v>7974</v>
      </c>
      <c r="G9449">
        <v>407</v>
      </c>
      <c r="H9449">
        <v>442.42</v>
      </c>
      <c r="I9449">
        <v>442.41</v>
      </c>
      <c r="J9449">
        <v>0.01</v>
      </c>
    </row>
    <row r="9450" spans="1:10" x14ac:dyDescent="0.3">
      <c r="A9450" t="str">
        <f>HYPERLINK("https://us2.cloudbeds.com/connect/10074733072513#/reservations/31694728474847?display=MHMKPJ86X&amp;reservation_id=31694728474847", "MHMKPJ86X")</f>
        <v>MHMKPJ86X</v>
      </c>
      <c r="B9450" t="s">
        <v>10</v>
      </c>
      <c r="C9450" t="s">
        <v>17</v>
      </c>
      <c r="D9450" t="str">
        <f>HYPERLINK("https://us2.cloudbeds.com/connect/10074733072513#/reservations/31694728474847?display=Tami%20Bracht&amp;reservation_id=31694728474847&amp;guest_id=31694718017744", "Tami Bracht")</f>
        <v>Tami Bracht</v>
      </c>
      <c r="E9450" t="s">
        <v>7976</v>
      </c>
      <c r="F9450" t="s">
        <v>7977</v>
      </c>
      <c r="G9450">
        <v>139</v>
      </c>
      <c r="H9450">
        <v>151.1</v>
      </c>
      <c r="I9450">
        <v>151.09</v>
      </c>
      <c r="J9450">
        <v>0.01</v>
      </c>
    </row>
    <row r="9451" spans="1:10" x14ac:dyDescent="0.3">
      <c r="A9451" t="str">
        <f>HYPERLINK("https://us2.cloudbeds.com/connect/10074733072513#/reservations/31689209663687?display=MHXBZW6BP&amp;reservation_id=31689209663687", "MHXBZW6BP")</f>
        <v>MHXBZW6BP</v>
      </c>
      <c r="B9451" t="s">
        <v>10</v>
      </c>
      <c r="C9451" t="s">
        <v>42</v>
      </c>
      <c r="D9451" t="str">
        <f>HYPERLINK("https://us2.cloudbeds.com/connect/10074733072513#/reservations/31689209663687?display=Daniel%20Kahlstorf&amp;reservation_id=31689209663687&amp;guest_id=31675447382154", "Daniel Kahlstorf")</f>
        <v>Daniel Kahlstorf</v>
      </c>
      <c r="E9451" t="s">
        <v>5683</v>
      </c>
      <c r="F9451" t="s">
        <v>7974</v>
      </c>
      <c r="G9451">
        <v>73</v>
      </c>
      <c r="H9451">
        <v>79.36</v>
      </c>
      <c r="I9451">
        <v>79.349999999999994</v>
      </c>
      <c r="J9451">
        <v>0.01</v>
      </c>
    </row>
    <row r="9452" spans="1:10" x14ac:dyDescent="0.3">
      <c r="A9452" t="str">
        <f>HYPERLINK("https://us2.cloudbeds.com/connect/10074733072513#/reservations/31686677266626?display=MHGD1JGST&amp;reservation_id=31686677266626", "MHGD1JGST")</f>
        <v>MHGD1JGST</v>
      </c>
      <c r="B9452" t="s">
        <v>10</v>
      </c>
      <c r="C9452" t="s">
        <v>42</v>
      </c>
      <c r="D9452" t="str">
        <f>HYPERLINK("https://us2.cloudbeds.com/connect/10074733072513#/reservations/31686677266626?display=Teresa%20Sobiech&amp;reservation_id=31686677266626&amp;guest_id=31686677266624", "Teresa Sobiech")</f>
        <v>Teresa Sobiech</v>
      </c>
      <c r="E9452" t="s">
        <v>7979</v>
      </c>
      <c r="F9452" t="s">
        <v>7974</v>
      </c>
      <c r="G9452">
        <v>89</v>
      </c>
      <c r="H9452">
        <v>96.75</v>
      </c>
      <c r="I9452">
        <v>96.74</v>
      </c>
      <c r="J9452">
        <v>0.01</v>
      </c>
    </row>
    <row r="9453" spans="1:10" x14ac:dyDescent="0.3">
      <c r="A9453" t="str">
        <f>HYPERLINK("https://us2.cloudbeds.com/connect/10074733072513#/reservations/31686697214123?display=MHGDXDJ4F&amp;reservation_id=31686697214123", "MHGDXDJ4F")</f>
        <v>MHGDXDJ4F</v>
      </c>
      <c r="B9453" t="s">
        <v>10</v>
      </c>
      <c r="C9453" t="s">
        <v>42</v>
      </c>
      <c r="D9453" t="str">
        <f>HYPERLINK("https://us2.cloudbeds.com/connect/10074733072513#/reservations/31686697214123?display=Jesse%20Hamman&amp;reservation_id=31686697214123&amp;guest_id=31686684360860", "Jesse Hamman")</f>
        <v>Jesse Hamman</v>
      </c>
      <c r="E9453" t="s">
        <v>7980</v>
      </c>
      <c r="F9453" t="s">
        <v>7974</v>
      </c>
      <c r="G9453">
        <v>218</v>
      </c>
      <c r="H9453">
        <v>236.98</v>
      </c>
      <c r="I9453">
        <v>236.97</v>
      </c>
      <c r="J9453">
        <v>0.01</v>
      </c>
    </row>
    <row r="9454" spans="1:10" x14ac:dyDescent="0.3">
      <c r="A9454" t="str">
        <f>HYPERLINK("https://us2.cloudbeds.com/connect/10074733072513#/reservations/31686698942674?display=MHGDJSMDR&amp;reservation_id=31686698942674", "MHGDJSMDR")</f>
        <v>MHGDJSMDR</v>
      </c>
      <c r="B9454" t="s">
        <v>10</v>
      </c>
      <c r="C9454" t="s">
        <v>42</v>
      </c>
      <c r="D9454" t="str">
        <f>HYPERLINK("https://us2.cloudbeds.com/connect/10074733072513#/reservations/31686698942674?display=Shane%20Siemonsma&amp;reservation_id=31686698942674&amp;guest_id=31686698938580", "Shane Siemonsma")</f>
        <v>Shane Siemonsma</v>
      </c>
      <c r="E9454" t="s">
        <v>7981</v>
      </c>
      <c r="F9454" t="s">
        <v>7974</v>
      </c>
      <c r="G9454">
        <v>218</v>
      </c>
      <c r="H9454">
        <v>236.98</v>
      </c>
      <c r="I9454">
        <v>236.97</v>
      </c>
      <c r="J9454">
        <v>0.01</v>
      </c>
    </row>
    <row r="9455" spans="1:10" x14ac:dyDescent="0.3">
      <c r="A9455" t="str">
        <f>HYPERLINK("https://us2.cloudbeds.com/connect/10074733072513#/reservations/31686289158364?display=MHG34AR9F&amp;reservation_id=31686289158364", "MHG34AR9F")</f>
        <v>MHG34AR9F</v>
      </c>
      <c r="B9455" t="s">
        <v>10</v>
      </c>
      <c r="C9455" t="s">
        <v>42</v>
      </c>
      <c r="D9455" t="str">
        <f>HYPERLINK("https://us2.cloudbeds.com/connect/10074733072513#/reservations/31686289158364?display=Travis%20Allen&amp;reservation_id=31686289158364&amp;guest_id=31686281674882", "Travis Allen")</f>
        <v>Travis Allen</v>
      </c>
      <c r="E9455" t="s">
        <v>7982</v>
      </c>
      <c r="F9455" t="s">
        <v>7974</v>
      </c>
      <c r="G9455">
        <v>109</v>
      </c>
      <c r="H9455">
        <v>118.49</v>
      </c>
      <c r="I9455">
        <v>118.48</v>
      </c>
      <c r="J9455">
        <v>0.01</v>
      </c>
    </row>
    <row r="9456" spans="1:10" x14ac:dyDescent="0.3">
      <c r="A9456" t="str">
        <f>HYPERLINK("https://us2.cloudbeds.com/connect/10074733072513#/reservations/31693480120495?display=MHYYSUV9R&amp;reservation_id=31693480120495", "MHYYSUV9R")</f>
        <v>MHYYSUV9R</v>
      </c>
      <c r="B9456" t="s">
        <v>10</v>
      </c>
      <c r="C9456" t="s">
        <v>23</v>
      </c>
      <c r="D9456" t="str">
        <f>HYPERLINK("https://us2.cloudbeds.com/connect/10074733072513#/reservations/31693480120495?display=Daniel%20Borchardt&amp;reservation_id=31693480120495&amp;guest_id=31693470793939", "Daniel Borchardt")</f>
        <v>Daniel Borchardt</v>
      </c>
      <c r="E9456" t="s">
        <v>7983</v>
      </c>
      <c r="F9456" t="s">
        <v>7964</v>
      </c>
      <c r="G9456">
        <v>139</v>
      </c>
      <c r="H9456">
        <v>151.1</v>
      </c>
      <c r="I9456">
        <v>151.09</v>
      </c>
      <c r="J9456">
        <v>0.01</v>
      </c>
    </row>
    <row r="9457" spans="1:10" x14ac:dyDescent="0.3">
      <c r="A9457" t="str">
        <f>HYPERLINK("https://us2.cloudbeds.com/connect/10074733072513#/reservations/31689222111362?display=MHXC2FXZ1&amp;reservation_id=31689222111362", "MHXC2FXZ1")</f>
        <v>MHXC2FXZ1</v>
      </c>
      <c r="B9457" t="s">
        <v>10</v>
      </c>
      <c r="C9457" t="s">
        <v>121</v>
      </c>
      <c r="D9457" t="str">
        <f>HYPERLINK("https://us2.cloudbeds.com/connect/10074733072513#/reservations/31689222111362?display=Tyler%20Shiell&amp;reservation_id=31689222111362&amp;guest_id=31689222111360", "Tyler Shiell")</f>
        <v>Tyler Shiell</v>
      </c>
      <c r="E9457" t="s">
        <v>7984</v>
      </c>
      <c r="F9457" t="s">
        <v>7974</v>
      </c>
      <c r="G9457">
        <v>109</v>
      </c>
      <c r="H9457">
        <v>118.49</v>
      </c>
      <c r="I9457">
        <v>118.48</v>
      </c>
      <c r="J9457">
        <v>0.01</v>
      </c>
    </row>
    <row r="9458" spans="1:10" x14ac:dyDescent="0.3">
      <c r="A9458" t="str">
        <f>HYPERLINK("https://us2.cloudbeds.com/connect/10074733072513#/reservations/31694121324695?display=MHM58KD74&amp;reservation_id=31694121324695", "MHM58KD74")</f>
        <v>MHM58KD74</v>
      </c>
      <c r="B9458" t="s">
        <v>10</v>
      </c>
      <c r="C9458" t="s">
        <v>42</v>
      </c>
      <c r="D9458" t="str">
        <f>HYPERLINK("https://us2.cloudbeds.com/connect/10074733072513#/reservations/31694121324695?display=Matthew%20Souryachak&amp;reservation_id=31694121324695&amp;guest_id=31686437744812", "Matthew Souryachak")</f>
        <v>Matthew Souryachak</v>
      </c>
      <c r="E9458" t="s">
        <v>5543</v>
      </c>
      <c r="F9458" t="s">
        <v>7968</v>
      </c>
      <c r="G9458">
        <v>999</v>
      </c>
      <c r="H9458">
        <v>1085.92</v>
      </c>
      <c r="I9458">
        <v>1085.9100000000001</v>
      </c>
      <c r="J9458">
        <v>0.01</v>
      </c>
    </row>
    <row r="9459" spans="1:10" x14ac:dyDescent="0.3">
      <c r="A9459" t="str">
        <f>HYPERLINK("https://us2.cloudbeds.com/connect/10074733072513#/reservations/31694120063137?display=MHM57X9P3&amp;reservation_id=31694120063137", "MHM57X9P3")</f>
        <v>MHM57X9P3</v>
      </c>
      <c r="B9459" t="s">
        <v>10</v>
      </c>
      <c r="C9459" t="s">
        <v>42</v>
      </c>
      <c r="D9459" t="str">
        <f>HYPERLINK("https://us2.cloudbeds.com/connect/10074733072513#/reservations/31694120063137?display=Joe%20Gewksbury&amp;reservation_id=31694120063137&amp;guest_id=31694120059026", "Joe Gewksbury")</f>
        <v>Joe Gewksbury</v>
      </c>
      <c r="E9459" t="s">
        <v>7985</v>
      </c>
      <c r="F9459" t="s">
        <v>7968</v>
      </c>
      <c r="G9459">
        <v>158</v>
      </c>
      <c r="H9459">
        <v>171.76</v>
      </c>
      <c r="I9459">
        <v>171.75</v>
      </c>
      <c r="J9459">
        <v>0.01</v>
      </c>
    </row>
    <row r="9460" spans="1:10" x14ac:dyDescent="0.3">
      <c r="A9460" t="str">
        <f>HYPERLINK("https://us2.cloudbeds.com/connect/10074733072513#/reservations/31694104486042?display=MHM4RDRNU&amp;reservation_id=31694104486042", "MHM4RDRNU")</f>
        <v>MHM4RDRNU</v>
      </c>
      <c r="B9460" t="s">
        <v>10</v>
      </c>
      <c r="C9460" t="s">
        <v>121</v>
      </c>
      <c r="D9460" t="str">
        <f>HYPERLINK("https://us2.cloudbeds.com/connect/10074733072513#/reservations/31694104486042?display=Scott%20Sturtz&amp;reservation_id=31694104486042&amp;guest_id=31694104486040", "Scott Sturtz")</f>
        <v>Scott Sturtz</v>
      </c>
      <c r="E9460" t="s">
        <v>7986</v>
      </c>
      <c r="F9460" t="s">
        <v>7968</v>
      </c>
      <c r="G9460">
        <v>73</v>
      </c>
      <c r="H9460">
        <v>79.36</v>
      </c>
      <c r="I9460">
        <v>79.349999999999994</v>
      </c>
      <c r="J9460">
        <v>0.01</v>
      </c>
    </row>
    <row r="9461" spans="1:10" x14ac:dyDescent="0.3">
      <c r="A9461" t="str">
        <f>HYPERLINK("https://us2.cloudbeds.com/connect/10074733072513#/reservations/31689232376030?display=MHXCB46GJ&amp;reservation_id=31689232376030", "MHXCB46GJ")</f>
        <v>MHXCB46GJ</v>
      </c>
      <c r="B9461" t="s">
        <v>10</v>
      </c>
      <c r="C9461" t="s">
        <v>121</v>
      </c>
      <c r="D9461" t="str">
        <f>HYPERLINK("https://us2.cloudbeds.com/connect/10074733072513#/reservations/31689232376030?display=Timothy%20Tooley&amp;reservation_id=31689232376030&amp;guest_id=31689232376012", "Timothy Tooley")</f>
        <v>Timothy Tooley</v>
      </c>
      <c r="E9461" t="s">
        <v>7987</v>
      </c>
      <c r="F9461" t="s">
        <v>7974</v>
      </c>
      <c r="G9461">
        <v>109</v>
      </c>
      <c r="H9461">
        <v>118.49</v>
      </c>
      <c r="I9461">
        <v>118.48</v>
      </c>
      <c r="J9461">
        <v>0.01</v>
      </c>
    </row>
    <row r="9462" spans="1:10" x14ac:dyDescent="0.3">
      <c r="A9462" t="str">
        <f>HYPERLINK("https://us2.cloudbeds.com/connect/10074733072513#/reservations/31694364782741?display=MHMBFTWAM&amp;reservation_id=31694364782741", "MHMBFTWAM")</f>
        <v>MHMBFTWAM</v>
      </c>
      <c r="B9462" t="s">
        <v>10</v>
      </c>
      <c r="C9462" t="s">
        <v>42</v>
      </c>
      <c r="D9462" t="str">
        <f>HYPERLINK("https://us2.cloudbeds.com/connect/10074733072513#/reservations/31694364782741?display=Brad%20Schreier&amp;reservation_id=31694364782741&amp;guest_id=31694364782739", "Brad Schreier")</f>
        <v>Brad Schreier</v>
      </c>
      <c r="E9462" t="s">
        <v>7988</v>
      </c>
      <c r="F9462" t="s">
        <v>7530</v>
      </c>
      <c r="G9462">
        <v>278</v>
      </c>
      <c r="H9462">
        <v>302.2</v>
      </c>
      <c r="I9462">
        <v>302.19</v>
      </c>
      <c r="J9462">
        <v>0.01</v>
      </c>
    </row>
    <row r="9463" spans="1:10" x14ac:dyDescent="0.3">
      <c r="A9463" t="str">
        <f>HYPERLINK("https://us2.cloudbeds.com/connect/10074733072513#/reservations/31693470793941?display=MHYYY2DVW&amp;reservation_id=31693470793941", "MHYYY2DVW")</f>
        <v>MHYYY2DVW</v>
      </c>
      <c r="B9463" t="s">
        <v>10</v>
      </c>
      <c r="C9463" t="s">
        <v>121</v>
      </c>
      <c r="D9463" t="str">
        <f>HYPERLINK("https://us2.cloudbeds.com/connect/10074733072513#/reservations/31693470793941?display=Kristopher%20Evans&amp;reservation_id=31693470793941&amp;guest_id=31689137254608", "Kristopher Evans")</f>
        <v>Kristopher Evans</v>
      </c>
      <c r="E9463" t="s">
        <v>7990</v>
      </c>
      <c r="F9463" t="s">
        <v>7862</v>
      </c>
      <c r="G9463">
        <v>150</v>
      </c>
      <c r="H9463">
        <v>163.06</v>
      </c>
      <c r="I9463">
        <v>163.05000000000001</v>
      </c>
      <c r="J9463">
        <v>0.01</v>
      </c>
    </row>
    <row r="9464" spans="1:10" x14ac:dyDescent="0.3">
      <c r="A9464" t="str">
        <f>HYPERLINK("https://us2.cloudbeds.com/connect/10074733072513#/reservations/31694141075665?display=MHM5P900C&amp;reservation_id=31694141075665", "MHM5P900C")</f>
        <v>MHM5P900C</v>
      </c>
      <c r="B9464" t="s">
        <v>10</v>
      </c>
      <c r="C9464" t="s">
        <v>42</v>
      </c>
      <c r="D9464" t="str">
        <f>HYPERLINK("https://us2.cloudbeds.com/connect/10074733072513#/reservations/31694141075665?display=David%20Robledo&amp;reservation_id=31694141075665&amp;guest_id=31694141071567", "David Robledo")</f>
        <v>David Robledo</v>
      </c>
      <c r="E9464" t="s">
        <v>7991</v>
      </c>
      <c r="F9464" t="s">
        <v>7968</v>
      </c>
      <c r="G9464">
        <v>218</v>
      </c>
      <c r="H9464">
        <v>236.98</v>
      </c>
      <c r="I9464">
        <v>236.97</v>
      </c>
      <c r="J9464">
        <v>0.01</v>
      </c>
    </row>
    <row r="9465" spans="1:10" x14ac:dyDescent="0.3">
      <c r="A9465" t="str">
        <f>HYPERLINK("https://us2.cloudbeds.com/connect/10074733072513#/reservations/31694778286231?display=MHMM1JAMF&amp;reservation_id=31694778286231", "MHMM1JAMF")</f>
        <v>MHMM1JAMF</v>
      </c>
      <c r="B9465" t="s">
        <v>10</v>
      </c>
      <c r="C9465" t="s">
        <v>20</v>
      </c>
      <c r="D9465" t="str">
        <f>HYPERLINK("https://us2.cloudbeds.com/connect/10074733072513#/reservations/31694778286231?display=Sabrina%20Doolittle&amp;reservation_id=31694778286231&amp;guest_id=31694778286227", "Sabrina Doolittle")</f>
        <v>Sabrina Doolittle</v>
      </c>
      <c r="E9465" t="s">
        <v>7992</v>
      </c>
      <c r="F9465" t="s">
        <v>7795</v>
      </c>
      <c r="G9465">
        <v>159</v>
      </c>
      <c r="H9465">
        <v>172.84</v>
      </c>
      <c r="I9465">
        <v>172.83</v>
      </c>
      <c r="J9465">
        <v>0.01</v>
      </c>
    </row>
    <row r="9466" spans="1:10" x14ac:dyDescent="0.3">
      <c r="A9466" t="str">
        <f>HYPERLINK("https://us2.cloudbeds.com/connect/10074733072513#/reservations/31693561614506?display=MHYNVYY3A&amp;reservation_id=31693561614506", "MHYNVYY3A")</f>
        <v>MHYNVYY3A</v>
      </c>
      <c r="B9466" t="s">
        <v>10</v>
      </c>
      <c r="C9466" t="s">
        <v>17</v>
      </c>
      <c r="D9466" t="str">
        <f>HYPERLINK("https://us2.cloudbeds.com/connect/10074733072513#/reservations/31693561614506?display=Gregory%20Wetterich&amp;reservation_id=31693561614506&amp;guest_id=31693550825619", "Gregory Wetterich")</f>
        <v>Gregory Wetterich</v>
      </c>
      <c r="E9466" t="s">
        <v>7993</v>
      </c>
      <c r="F9466" t="s">
        <v>7994</v>
      </c>
      <c r="G9466">
        <v>109</v>
      </c>
      <c r="H9466">
        <v>118.49</v>
      </c>
      <c r="I9466">
        <v>118.48</v>
      </c>
      <c r="J9466">
        <v>0.01</v>
      </c>
    </row>
    <row r="9467" spans="1:10" x14ac:dyDescent="0.3">
      <c r="A9467" t="str">
        <f>HYPERLINK("https://us2.cloudbeds.com/connect/10074733072513#/reservations/31693535137923?display=MHYN9ATBK&amp;reservation_id=31693535137923", "MHYN9ATBK")</f>
        <v>MHYN9ATBK</v>
      </c>
      <c r="B9467" t="s">
        <v>10</v>
      </c>
      <c r="C9467" t="s">
        <v>42</v>
      </c>
      <c r="D9467" t="str">
        <f>HYPERLINK("https://us2.cloudbeds.com/connect/10074733072513#/reservations/31693535137923?display=Arnolodo%20Cantu-Northern%20Lights&amp;reservation_id=31693535137923&amp;guest_id=31693523386550", "Arnolodo Cantu-Northern Lights")</f>
        <v>Arnolodo Cantu-Northern Lights</v>
      </c>
      <c r="E9467" t="s">
        <v>7995</v>
      </c>
      <c r="F9467" t="s">
        <v>7996</v>
      </c>
      <c r="G9467">
        <v>420</v>
      </c>
      <c r="H9467">
        <v>456.55</v>
      </c>
      <c r="I9467">
        <v>456.54</v>
      </c>
      <c r="J9467">
        <v>0.01</v>
      </c>
    </row>
    <row r="9468" spans="1:10" x14ac:dyDescent="0.3">
      <c r="A9468" t="str">
        <f>HYPERLINK("https://us2.cloudbeds.com/connect/10074733072513#/reservations/31693483507914?display=MHYYVQ6ST&amp;reservation_id=31693483507914", "MHYYVQ6ST")</f>
        <v>MHYYVQ6ST</v>
      </c>
      <c r="B9468" t="s">
        <v>10</v>
      </c>
      <c r="C9468" t="s">
        <v>23</v>
      </c>
      <c r="D9468" t="str">
        <f>HYPERLINK("https://us2.cloudbeds.com/connect/10074733072513#/reservations/31693483507914?display=Jennifer%20Fink&amp;reservation_id=31693483507914&amp;guest_id=30681323528410", "Jennifer Fink")</f>
        <v>Jennifer Fink</v>
      </c>
      <c r="E9468" t="s">
        <v>7997</v>
      </c>
      <c r="F9468" t="s">
        <v>7862</v>
      </c>
      <c r="G9468">
        <v>109</v>
      </c>
      <c r="H9468">
        <v>118.49</v>
      </c>
      <c r="I9468">
        <v>118.48</v>
      </c>
      <c r="J9468">
        <v>0.01</v>
      </c>
    </row>
    <row r="9469" spans="1:10" x14ac:dyDescent="0.3">
      <c r="A9469" t="str">
        <f>HYPERLINK("https://us2.cloudbeds.com/connect/10074733072513#/reservations/31694030282956?display=MHM2US0WX&amp;reservation_id=31694030282956", "MHM2US0WX")</f>
        <v>MHM2US0WX</v>
      </c>
      <c r="B9469" t="s">
        <v>10</v>
      </c>
      <c r="C9469" t="s">
        <v>121</v>
      </c>
      <c r="D9469" t="str">
        <f>HYPERLINK("https://us2.cloudbeds.com/connect/10074733072513#/reservations/31694030282956?display=Andrea%20Hollis&amp;reservation_id=31694030282956&amp;guest_id=31694030278864", "Andrea Hollis")</f>
        <v>Andrea Hollis</v>
      </c>
      <c r="E9469" t="s">
        <v>7998</v>
      </c>
      <c r="F9469" t="s">
        <v>7968</v>
      </c>
      <c r="G9469">
        <v>109</v>
      </c>
      <c r="H9469">
        <v>118.49</v>
      </c>
      <c r="I9469">
        <v>118.48</v>
      </c>
      <c r="J9469">
        <v>0.01</v>
      </c>
    </row>
    <row r="9470" spans="1:10" x14ac:dyDescent="0.3">
      <c r="A9470" t="str">
        <f>HYPERLINK("https://us2.cloudbeds.com/connect/10074733072513#/reservations/31694087790749?display=MHM4DB8SV&amp;reservation_id=31694087790749", "MHM4DB8SV")</f>
        <v>MHM4DB8SV</v>
      </c>
      <c r="B9470" t="s">
        <v>10</v>
      </c>
      <c r="C9470" t="s">
        <v>121</v>
      </c>
      <c r="D9470" t="str">
        <f>HYPERLINK("https://us2.cloudbeds.com/connect/10074733072513#/reservations/31694087790749?display=Theresa%20Milinkovich&amp;reservation_id=31694087790749&amp;guest_id=31694087790744", "Theresa Milinkovich")</f>
        <v>Theresa Milinkovich</v>
      </c>
      <c r="E9470" t="s">
        <v>8003</v>
      </c>
      <c r="F9470" t="s">
        <v>7968</v>
      </c>
      <c r="G9470">
        <v>109</v>
      </c>
      <c r="H9470">
        <v>118.49</v>
      </c>
      <c r="I9470">
        <v>118.48</v>
      </c>
      <c r="J9470">
        <v>0.01</v>
      </c>
    </row>
    <row r="9471" spans="1:10" x14ac:dyDescent="0.3">
      <c r="A9471" t="str">
        <f>HYPERLINK("https://us2.cloudbeds.com/connect/10074733072513#/reservations/31694144901277?display=MHM5SGEW0&amp;reservation_id=31694144901277", "MHM5SGEW0")</f>
        <v>MHM5SGEW0</v>
      </c>
      <c r="B9471" t="s">
        <v>10</v>
      </c>
      <c r="C9471" t="s">
        <v>20</v>
      </c>
      <c r="D9471" t="str">
        <f>HYPERLINK("https://us2.cloudbeds.com/connect/10074733072513#/reservations/31694144901277?display=Niccolas%20Matranga&amp;reservation_id=31694144901277&amp;guest_id=31694137110724", "Niccolas Matranga")</f>
        <v>Niccolas Matranga</v>
      </c>
      <c r="E9471" t="s">
        <v>8004</v>
      </c>
      <c r="F9471" t="s">
        <v>7862</v>
      </c>
      <c r="G9471">
        <v>119</v>
      </c>
      <c r="H9471">
        <v>129.36000000000001</v>
      </c>
      <c r="I9471">
        <v>129.35</v>
      </c>
      <c r="J9471">
        <v>0.01</v>
      </c>
    </row>
    <row r="9472" spans="1:10" x14ac:dyDescent="0.3">
      <c r="A9472" t="str">
        <f>HYPERLINK("https://us2.cloudbeds.com/connect/10074733072513#/reservations/31694173221014?display=MHM6JCG7S&amp;reservation_id=31694173221014", "MHM6JCG7S")</f>
        <v>MHM6JCG7S</v>
      </c>
      <c r="B9472" t="s">
        <v>10</v>
      </c>
      <c r="C9472" t="s">
        <v>121</v>
      </c>
      <c r="D9472" t="str">
        <f>HYPERLINK("https://us2.cloudbeds.com/connect/10074733072513#/reservations/31694173221014?display=Holly%20Schendel&amp;reservation_id=31694173221014&amp;guest_id=31694173221009", "Holly Schendel")</f>
        <v>Holly Schendel</v>
      </c>
      <c r="E9472" t="s">
        <v>8005</v>
      </c>
      <c r="F9472" t="s">
        <v>7862</v>
      </c>
      <c r="G9472">
        <v>109</v>
      </c>
      <c r="H9472">
        <v>118.49</v>
      </c>
      <c r="I9472">
        <v>118.48</v>
      </c>
      <c r="J9472">
        <v>0.01</v>
      </c>
    </row>
    <row r="9473" spans="1:10" x14ac:dyDescent="0.3">
      <c r="A9473" t="str">
        <f>HYPERLINK("https://us2.cloudbeds.com/connect/10074733072513#/reservations/31685549863050?display=MHFH7URT5&amp;reservation_id=31685549863050", "MHFH7URT5")</f>
        <v>MHFH7URT5</v>
      </c>
      <c r="B9473" t="s">
        <v>10</v>
      </c>
      <c r="C9473" t="s">
        <v>23</v>
      </c>
      <c r="D9473" t="str">
        <f>HYPERLINK("https://us2.cloudbeds.com/connect/10074733072513#/reservations/31685549863050?display=Jessica%20Stevens&amp;reservation_id=31685549863050&amp;guest_id=31685539680493", "Jessica Stevens")</f>
        <v>Jessica Stevens</v>
      </c>
      <c r="E9473" t="s">
        <v>8006</v>
      </c>
      <c r="F9473" t="s">
        <v>8007</v>
      </c>
      <c r="G9473">
        <v>139</v>
      </c>
      <c r="H9473">
        <v>151.1</v>
      </c>
      <c r="I9473">
        <v>151.09</v>
      </c>
      <c r="J9473">
        <v>0.01</v>
      </c>
    </row>
    <row r="9474" spans="1:10" x14ac:dyDescent="0.3">
      <c r="A9474" t="str">
        <f>HYPERLINK("https://us2.cloudbeds.com/connect/10074733072513#/reservations/31694170824935?display=MHM6HBQWD&amp;reservation_id=31694170824935", "MHM6HBQWD")</f>
        <v>MHM6HBQWD</v>
      </c>
      <c r="B9474" t="s">
        <v>10</v>
      </c>
      <c r="C9474" t="s">
        <v>121</v>
      </c>
      <c r="D9474" t="str">
        <f>HYPERLINK("https://us2.cloudbeds.com/connect/10074733072513#/reservations/31694170824935?display=David%20Messineo&amp;reservation_id=31694170824935&amp;guest_id=31694155493520", "David Messineo")</f>
        <v>David Messineo</v>
      </c>
      <c r="E9474" t="s">
        <v>8010</v>
      </c>
      <c r="F9474" t="s">
        <v>7862</v>
      </c>
      <c r="G9474">
        <v>109</v>
      </c>
      <c r="H9474">
        <v>118.49</v>
      </c>
      <c r="I9474">
        <v>118.48</v>
      </c>
      <c r="J9474">
        <v>0.01</v>
      </c>
    </row>
    <row r="9475" spans="1:10" x14ac:dyDescent="0.3">
      <c r="A9475" t="str">
        <f>HYPERLINK("https://us2.cloudbeds.com/connect/10074733072513#/reservations/31688144289930?display=MHHHHKJNH&amp;reservation_id=31688144289930", "MHHHHKJNH")</f>
        <v>MHHHHKJNH</v>
      </c>
      <c r="B9475" t="s">
        <v>10</v>
      </c>
      <c r="C9475" t="s">
        <v>17</v>
      </c>
      <c r="D9475" t="str">
        <f>HYPERLINK("https://us2.cloudbeds.com/connect/10074733072513#/reservations/31688144289930?display=Russell%20Whitlock&amp;reservation_id=31688144289930&amp;guest_id=31688144289924", "Russell Whitlock")</f>
        <v>Russell Whitlock</v>
      </c>
      <c r="E9475" t="s">
        <v>8013</v>
      </c>
      <c r="F9475" t="s">
        <v>7748</v>
      </c>
      <c r="G9475">
        <v>149</v>
      </c>
      <c r="H9475">
        <v>161.97</v>
      </c>
      <c r="I9475">
        <v>161.96</v>
      </c>
      <c r="J9475">
        <v>0.01</v>
      </c>
    </row>
    <row r="9476" spans="1:10" x14ac:dyDescent="0.3">
      <c r="A9476" t="str">
        <f>HYPERLINK("https://us2.cloudbeds.com/connect/10074733072513#/reservations/31693452120211?display=MHYY5AQCC&amp;reservation_id=31693452120211", "MHYY5AQCC")</f>
        <v>MHYY5AQCC</v>
      </c>
      <c r="B9476" t="s">
        <v>10</v>
      </c>
      <c r="C9476" t="s">
        <v>23</v>
      </c>
      <c r="D9476" t="str">
        <f>HYPERLINK("https://us2.cloudbeds.com/connect/10074733072513#/reservations/31693452120211?display=Jesse%20Holte&amp;reservation_id=31693452120211&amp;guest_id=31688125575350", "Jesse Holte")</f>
        <v>Jesse Holte</v>
      </c>
      <c r="E9476" t="s">
        <v>8016</v>
      </c>
      <c r="F9476" t="s">
        <v>7964</v>
      </c>
      <c r="G9476">
        <v>139</v>
      </c>
      <c r="H9476">
        <v>151.1</v>
      </c>
      <c r="I9476">
        <v>151.09</v>
      </c>
      <c r="J9476">
        <v>0.01</v>
      </c>
    </row>
    <row r="9477" spans="1:10" x14ac:dyDescent="0.3">
      <c r="A9477" t="str">
        <f>HYPERLINK("https://us2.cloudbeds.com/connect/10074733072513#/reservations/31688133439688?display=MHHH8FM7A&amp;reservation_id=31688133439688", "MHHH8FM7A")</f>
        <v>MHHH8FM7A</v>
      </c>
      <c r="B9477" t="s">
        <v>10</v>
      </c>
      <c r="C9477" t="s">
        <v>42</v>
      </c>
      <c r="D9477" t="str">
        <f>HYPERLINK("https://us2.cloudbeds.com/connect/10074733072513#/reservations/31688133439688?display=Jesse%20Holte&amp;reservation_id=31688133439688&amp;guest_id=31688125575350", "Jesse Holte")</f>
        <v>Jesse Holte</v>
      </c>
      <c r="E9477" t="s">
        <v>8016</v>
      </c>
      <c r="F9477" t="s">
        <v>7748</v>
      </c>
      <c r="G9477">
        <v>129</v>
      </c>
      <c r="H9477">
        <v>140.22999999999999</v>
      </c>
      <c r="I9477">
        <v>140.22</v>
      </c>
      <c r="J9477">
        <v>0.01</v>
      </c>
    </row>
    <row r="9478" spans="1:10" x14ac:dyDescent="0.3">
      <c r="A9478" t="str">
        <f>HYPERLINK("https://us2.cloudbeds.com/connect/10074733072513#/reservations/31687245467901?display=MHGRXNX4B&amp;reservation_id=31687245467901", "MHGRXNX4B")</f>
        <v>MHGRXNX4B</v>
      </c>
      <c r="B9478" t="s">
        <v>10</v>
      </c>
      <c r="C9478" t="s">
        <v>42</v>
      </c>
      <c r="D9478" t="str">
        <f>HYPERLINK("https://us2.cloudbeds.com/connect/10074733072513#/reservations/31687245467901?display=Amber%20Davidson&amp;reservation_id=31687245467901&amp;guest_id=31687245467846", "Amber Davidson")</f>
        <v>Amber Davidson</v>
      </c>
      <c r="E9478" t="s">
        <v>8017</v>
      </c>
      <c r="F9478" t="s">
        <v>8018</v>
      </c>
      <c r="G9478">
        <v>377</v>
      </c>
      <c r="H9478">
        <v>409.81</v>
      </c>
      <c r="I9478">
        <v>409.8</v>
      </c>
      <c r="J9478">
        <v>0.01</v>
      </c>
    </row>
    <row r="9479" spans="1:10" x14ac:dyDescent="0.3">
      <c r="A9479" t="str">
        <f>HYPERLINK("https://us2.cloudbeds.com/connect/10074733072513#/reservations/31685310324943?display=MHFB3VBBY&amp;reservation_id=31685310324943", "MHFB3VBBY")</f>
        <v>MHFB3VBBY</v>
      </c>
      <c r="B9479" t="s">
        <v>10</v>
      </c>
      <c r="C9479" t="s">
        <v>23</v>
      </c>
      <c r="D9479" t="str">
        <f>HYPERLINK("https://us2.cloudbeds.com/connect/10074733072513#/reservations/31685310324943?display=Barbra%20Little&amp;reservation_id=31685310324943&amp;guest_id=31685310320835", "Barbra Little")</f>
        <v>Barbra Little</v>
      </c>
      <c r="E9479" t="s">
        <v>8019</v>
      </c>
      <c r="F9479" t="s">
        <v>7807</v>
      </c>
      <c r="G9479">
        <v>139</v>
      </c>
      <c r="H9479">
        <v>151.1</v>
      </c>
      <c r="I9479">
        <v>151.09</v>
      </c>
      <c r="J9479">
        <v>0.01</v>
      </c>
    </row>
    <row r="9480" spans="1:10" x14ac:dyDescent="0.3">
      <c r="A9480" t="str">
        <f>HYPERLINK("https://us2.cloudbeds.com/connect/10074733072513#/reservations/31687476048069?display=MHH0F4PR4&amp;reservation_id=31687476048069", "MHH0F4PR4")</f>
        <v>MHH0F4PR4</v>
      </c>
      <c r="B9480" t="s">
        <v>10</v>
      </c>
      <c r="C9480" t="s">
        <v>20</v>
      </c>
      <c r="D9480" t="str">
        <f>HYPERLINK("https://us2.cloudbeds.com/connect/10074733072513#/reservations/31687476048069?display=Delbert%20Tschakert&amp;reservation_id=31687476048069&amp;guest_id=31687476043988", "Delbert Tschakert")</f>
        <v>Delbert Tschakert</v>
      </c>
      <c r="E9480" t="s">
        <v>8020</v>
      </c>
      <c r="F9480" t="s">
        <v>7802</v>
      </c>
      <c r="G9480">
        <v>129</v>
      </c>
      <c r="H9480">
        <v>140.22999999999999</v>
      </c>
      <c r="I9480">
        <v>140.22</v>
      </c>
      <c r="J9480">
        <v>0.01</v>
      </c>
    </row>
    <row r="9481" spans="1:10" x14ac:dyDescent="0.3">
      <c r="A9481" t="str">
        <f>HYPERLINK("https://us2.cloudbeds.com/connect/10074733072513#/reservations/31689129672895?display=MHX9NHAUC&amp;reservation_id=31689129672895", "MHX9NHAUC")</f>
        <v>MHX9NHAUC</v>
      </c>
      <c r="B9481" t="s">
        <v>10</v>
      </c>
      <c r="C9481" t="s">
        <v>14</v>
      </c>
      <c r="D9481" t="str">
        <f>HYPERLINK("https://us2.cloudbeds.com/connect/10074733072513#/reservations/31689129672895?display=Reason%20Ford&amp;reservation_id=31689129672895&amp;guest_id=31689129672835", "Reason Ford")</f>
        <v>Reason Ford</v>
      </c>
      <c r="E9481" t="s">
        <v>8022</v>
      </c>
      <c r="F9481" t="s">
        <v>7759</v>
      </c>
      <c r="G9481">
        <v>97.74</v>
      </c>
      <c r="H9481">
        <v>106.25</v>
      </c>
      <c r="I9481">
        <v>106.24</v>
      </c>
      <c r="J9481">
        <v>0.01</v>
      </c>
    </row>
    <row r="9482" spans="1:10" x14ac:dyDescent="0.3">
      <c r="A9482" t="str">
        <f>HYPERLINK("https://us2.cloudbeds.com/connect/10074733072513#/reservations/31688133443794?display=MHHH8FPWZ&amp;reservation_id=31688133443794", "MHHH8FPWZ")</f>
        <v>MHHH8FPWZ</v>
      </c>
      <c r="B9482" t="s">
        <v>10</v>
      </c>
      <c r="C9482" t="s">
        <v>121</v>
      </c>
      <c r="D9482" t="str">
        <f>HYPERLINK("https://us2.cloudbeds.com/connect/10074733072513#/reservations/31688133443794?display=Karen%20Ann%20Roudabush&amp;reservation_id=31688133443794&amp;guest_id=31688133443789", "Karen Ann Roudabush")</f>
        <v>Karen Ann Roudabush</v>
      </c>
      <c r="E9482" t="s">
        <v>8024</v>
      </c>
      <c r="F9482" t="s">
        <v>7748</v>
      </c>
      <c r="G9482">
        <v>109</v>
      </c>
      <c r="H9482">
        <v>118.49</v>
      </c>
      <c r="I9482">
        <v>118.48</v>
      </c>
      <c r="J9482">
        <v>0.01</v>
      </c>
    </row>
    <row r="9483" spans="1:10" x14ac:dyDescent="0.3">
      <c r="A9483" t="str">
        <f>HYPERLINK("https://us2.cloudbeds.com/connect/10074733072513#/reservations/31694288724127?display=MHM9HPHN6&amp;reservation_id=31694288724127", "MHM9HPHN6")</f>
        <v>MHM9HPHN6</v>
      </c>
      <c r="B9483" t="s">
        <v>10</v>
      </c>
      <c r="C9483" t="s">
        <v>11</v>
      </c>
      <c r="D9483" t="str">
        <f>HYPERLINK("https://us2.cloudbeds.com/connect/10074733072513#/reservations/31694288724127?display=Jason%20Ward&amp;reservation_id=31694288724127&amp;guest_id=31694288720030", "Jason Ward")</f>
        <v>Jason Ward</v>
      </c>
      <c r="E9483" t="s">
        <v>8026</v>
      </c>
      <c r="F9483" t="s">
        <v>8027</v>
      </c>
      <c r="G9483">
        <v>129</v>
      </c>
      <c r="H9483">
        <v>140.22999999999999</v>
      </c>
      <c r="I9483">
        <v>140.22</v>
      </c>
      <c r="J9483">
        <v>0.01</v>
      </c>
    </row>
    <row r="9484" spans="1:10" x14ac:dyDescent="0.3">
      <c r="A9484" t="str">
        <f>HYPERLINK("https://us2.cloudbeds.com/connect/10074733072513#/reservations/31687437541580?display=MHGWFM9AS&amp;reservation_id=31687437541580", "MHGWFM9AS")</f>
        <v>MHGWFM9AS</v>
      </c>
      <c r="B9484" t="s">
        <v>10</v>
      </c>
      <c r="C9484" t="s">
        <v>42</v>
      </c>
      <c r="D9484" t="str">
        <f>HYPERLINK("https://us2.cloudbeds.com/connect/10074733072513#/reservations/31687437541580?display=Sheri%20Vant%20Hul&amp;reservation_id=31687437541580&amp;guest_id=31687437541575", "Sheri Vant Hul")</f>
        <v>Sheri Vant Hul</v>
      </c>
      <c r="E9484" t="s">
        <v>8028</v>
      </c>
      <c r="F9484" t="s">
        <v>7897</v>
      </c>
      <c r="G9484">
        <v>149</v>
      </c>
      <c r="H9484">
        <v>161.97</v>
      </c>
      <c r="I9484">
        <v>161.96</v>
      </c>
      <c r="J9484">
        <v>0.01</v>
      </c>
    </row>
    <row r="9485" spans="1:10" x14ac:dyDescent="0.3">
      <c r="A9485" t="str">
        <f>HYPERLINK("https://us2.cloudbeds.com/connect/10074733072513#/reservations/31694560264328?display=MHMGFZHU4&amp;reservation_id=31694560264328", "MHMGFZHU4")</f>
        <v>MHMGFZHU4</v>
      </c>
      <c r="B9485" t="s">
        <v>10</v>
      </c>
      <c r="C9485" t="s">
        <v>42</v>
      </c>
      <c r="D9485" t="str">
        <f>HYPERLINK("https://us2.cloudbeds.com/connect/10074733072513#/reservations/31694560264328?display=Terresa%20Netsch&amp;reservation_id=31694560264328&amp;guest_id=31694553501918", "Terresa Netsch")</f>
        <v>Terresa Netsch</v>
      </c>
      <c r="E9485" t="s">
        <v>8029</v>
      </c>
      <c r="F9485" t="s">
        <v>7006</v>
      </c>
      <c r="G9485">
        <v>139</v>
      </c>
      <c r="H9485">
        <v>151.1</v>
      </c>
      <c r="I9485">
        <v>151.09</v>
      </c>
      <c r="J9485">
        <v>0.01</v>
      </c>
    </row>
    <row r="9486" spans="1:10" x14ac:dyDescent="0.3">
      <c r="A9486" t="str">
        <f>HYPERLINK("https://us2.cloudbeds.com/connect/10074733072513#/reservations/31687416533192?display=MHGVUVMT1&amp;reservation_id=31687416533192", "MHGVUVMT1")</f>
        <v>MHGVUVMT1</v>
      </c>
      <c r="B9486" t="s">
        <v>10</v>
      </c>
      <c r="C9486" t="s">
        <v>17</v>
      </c>
      <c r="D9486" t="str">
        <f>HYPERLINK("https://us2.cloudbeds.com/connect/10074733072513#/reservations/31687416533192?display=David%20Nomsen&amp;reservation_id=31687416533192&amp;guest_id=31687408238765", "David Nomsen")</f>
        <v>David Nomsen</v>
      </c>
      <c r="E9486" t="s">
        <v>8030</v>
      </c>
      <c r="F9486" t="s">
        <v>7897</v>
      </c>
      <c r="G9486">
        <v>139</v>
      </c>
      <c r="H9486">
        <v>151.1</v>
      </c>
      <c r="I9486">
        <v>151.09</v>
      </c>
      <c r="J9486">
        <v>0.01</v>
      </c>
    </row>
    <row r="9487" spans="1:10" x14ac:dyDescent="0.3">
      <c r="A9487" t="str">
        <f>HYPERLINK("https://us2.cloudbeds.com/connect/10074733072513#/reservations/31693551153357?display=MHYNMRHTQ&amp;reservation_id=31693551153357", "MHYNMRHTQ")</f>
        <v>MHYNMRHTQ</v>
      </c>
      <c r="B9487" t="s">
        <v>10</v>
      </c>
      <c r="C9487" t="s">
        <v>23</v>
      </c>
      <c r="D9487" t="str">
        <f>HYPERLINK("https://us2.cloudbeds.com/connect/10074733072513#/reservations/31693551153357?display=Brandi%20Haaven&amp;reservation_id=31693551153357&amp;guest_id=31693551153352", "Brandi Haaven")</f>
        <v>Brandi Haaven</v>
      </c>
      <c r="E9487" t="s">
        <v>8031</v>
      </c>
      <c r="F9487" t="s">
        <v>7996</v>
      </c>
      <c r="G9487">
        <v>218</v>
      </c>
      <c r="H9487">
        <v>236.98</v>
      </c>
      <c r="I9487">
        <v>236.97</v>
      </c>
      <c r="J9487">
        <v>0.01</v>
      </c>
    </row>
    <row r="9488" spans="1:10" x14ac:dyDescent="0.3">
      <c r="A9488" t="str">
        <f>HYPERLINK("https://us2.cloudbeds.com/connect/10074733072513#/reservations/31736076341436?display=MXYYA6JCQ&amp;reservation_id=31736076341436", "MXYYA6JCQ")</f>
        <v>MXYYA6JCQ</v>
      </c>
      <c r="B9488" t="s">
        <v>10</v>
      </c>
      <c r="C9488" t="s">
        <v>42</v>
      </c>
      <c r="D9488" t="str">
        <f>HYPERLINK("https://us2.cloudbeds.com/connect/10074733072513#/reservations/31736076341436?display=Sharron%20Howells&amp;reservation_id=31736076341436&amp;guest_id=31736076341431", "Sharron Howells")</f>
        <v>Sharron Howells</v>
      </c>
      <c r="E9488" t="s">
        <v>8033</v>
      </c>
      <c r="F9488" t="s">
        <v>6916</v>
      </c>
      <c r="G9488">
        <v>318</v>
      </c>
      <c r="H9488">
        <v>345.68</v>
      </c>
      <c r="I9488">
        <v>345.67</v>
      </c>
      <c r="J9488">
        <v>0.01</v>
      </c>
    </row>
    <row r="9489" spans="1:10" x14ac:dyDescent="0.3">
      <c r="A9489" t="str">
        <f>HYPERLINK("https://us2.cloudbeds.com/connect/10074733072513#/reservations/31695446708406?display=MHN64754T&amp;reservation_id=31695446708406", "MHN64754T")</f>
        <v>MHN64754T</v>
      </c>
      <c r="B9489" t="s">
        <v>10</v>
      </c>
      <c r="C9489" t="s">
        <v>42</v>
      </c>
      <c r="D9489" t="str">
        <f>HYPERLINK("https://us2.cloudbeds.com/connect/10074733072513#/reservations/31695446708406?display=Doug%20Carlson&amp;reservation_id=31695446708406&amp;guest_id=31673241755885", "Doug Carlson")</f>
        <v>Doug Carlson</v>
      </c>
      <c r="E9489" t="s">
        <v>4466</v>
      </c>
      <c r="F9489" t="s">
        <v>8034</v>
      </c>
      <c r="G9489">
        <v>318</v>
      </c>
      <c r="H9489">
        <v>345.68</v>
      </c>
      <c r="I9489">
        <v>345.67</v>
      </c>
      <c r="J9489">
        <v>0.01</v>
      </c>
    </row>
    <row r="9490" spans="1:10" x14ac:dyDescent="0.3">
      <c r="A9490" t="str">
        <f>HYPERLINK("https://us2.cloudbeds.com/connect/10074733072513#/reservations/31689164890285?display=MHXAK7A40&amp;reservation_id=31689164890285", "MHXAK7A40")</f>
        <v>MHXAK7A40</v>
      </c>
      <c r="B9490" t="s">
        <v>10</v>
      </c>
      <c r="C9490" t="s">
        <v>42</v>
      </c>
      <c r="D9490" t="str">
        <f>HYPERLINK("https://us2.cloudbeds.com/connect/10074733072513#/reservations/31689164890285?display=Daniel%20Kahlstorf&amp;reservation_id=31689164890285&amp;guest_id=31675447382154", "Daniel Kahlstorf")</f>
        <v>Daniel Kahlstorf</v>
      </c>
      <c r="E9490" t="s">
        <v>5683</v>
      </c>
      <c r="F9490" t="s">
        <v>7996</v>
      </c>
      <c r="G9490">
        <v>73</v>
      </c>
      <c r="H9490">
        <v>79.36</v>
      </c>
      <c r="I9490">
        <v>79.349999999999994</v>
      </c>
      <c r="J9490">
        <v>0.01</v>
      </c>
    </row>
    <row r="9491" spans="1:10" x14ac:dyDescent="0.3">
      <c r="A9491" t="str">
        <f>HYPERLINK("https://us2.cloudbeds.com/connect/10074733072513#/reservations/31689536471250?display=MHXK3X348&amp;reservation_id=31689536471250", "MHXK3X348")</f>
        <v>MHXK3X348</v>
      </c>
      <c r="B9491" t="s">
        <v>10</v>
      </c>
      <c r="C9491" t="s">
        <v>42</v>
      </c>
      <c r="D9491" t="str">
        <f>HYPERLINK("https://us2.cloudbeds.com/connect/10074733072513#/reservations/31689536471250?display=Austin%20Patzel&amp;reservation_id=31689536471250&amp;guest_id=31689536471245", "Austin Patzel")</f>
        <v>Austin Patzel</v>
      </c>
      <c r="E9491" t="s">
        <v>8036</v>
      </c>
      <c r="F9491" t="s">
        <v>7802</v>
      </c>
      <c r="G9491">
        <v>278</v>
      </c>
      <c r="H9491">
        <v>302.2</v>
      </c>
      <c r="I9491">
        <v>302.19</v>
      </c>
      <c r="J9491">
        <v>0.01</v>
      </c>
    </row>
    <row r="9492" spans="1:10" x14ac:dyDescent="0.3">
      <c r="A9492" t="str">
        <f>HYPERLINK("https://us2.cloudbeds.com/connect/10074733072513#/reservations/31686483710149?display=MHG83CH23&amp;reservation_id=31686483710149", "MHG83CH23")</f>
        <v>MHG83CH23</v>
      </c>
      <c r="B9492" t="s">
        <v>10</v>
      </c>
      <c r="C9492" t="s">
        <v>42</v>
      </c>
      <c r="D9492" t="str">
        <f>HYPERLINK("https://us2.cloudbeds.com/connect/10074733072513#/reservations/31686483710149?display=Eric%20Weiler&amp;reservation_id=31686483710149&amp;guest_id=31686483706106", "Eric Weiler")</f>
        <v>Eric Weiler</v>
      </c>
      <c r="E9492" t="s">
        <v>8037</v>
      </c>
      <c r="F9492" t="s">
        <v>7807</v>
      </c>
      <c r="G9492">
        <v>139</v>
      </c>
      <c r="H9492">
        <v>151.1</v>
      </c>
      <c r="I9492">
        <v>151.09</v>
      </c>
      <c r="J9492">
        <v>0.01</v>
      </c>
    </row>
    <row r="9493" spans="1:10" x14ac:dyDescent="0.3">
      <c r="A9493" t="str">
        <f>HYPERLINK("https://us2.cloudbeds.com/connect/10074733072513#/reservations/31693622714497?display=MHYPH5RK6&amp;reservation_id=31693622714497", "MHYPH5RK6")</f>
        <v>MHYPH5RK6</v>
      </c>
      <c r="B9493" t="s">
        <v>10</v>
      </c>
      <c r="C9493" t="s">
        <v>121</v>
      </c>
      <c r="D9493" t="str">
        <f>HYPERLINK("https://us2.cloudbeds.com/connect/10074733072513#/reservations/31693622714497?display=Rick%20Hurd&amp;reservation_id=31693622714497&amp;guest_id=31680841072768", "Rick Hurd")</f>
        <v>Rick Hurd</v>
      </c>
      <c r="E9493" t="s">
        <v>6824</v>
      </c>
      <c r="F9493" t="s">
        <v>7994</v>
      </c>
      <c r="G9493">
        <v>484</v>
      </c>
      <c r="H9493">
        <v>526.12</v>
      </c>
      <c r="I9493">
        <v>526.11</v>
      </c>
      <c r="J9493">
        <v>0.01</v>
      </c>
    </row>
    <row r="9494" spans="1:10" x14ac:dyDescent="0.3">
      <c r="A9494" t="str">
        <f>HYPERLINK("https://us2.cloudbeds.com/connect/10074733072513#/reservations/31693595545735?display=MHYZR8R8C&amp;reservation_id=31693595545735", "MHYZR8R8C")</f>
        <v>MHYZR8R8C</v>
      </c>
      <c r="B9494" t="s">
        <v>10</v>
      </c>
      <c r="C9494" t="s">
        <v>121</v>
      </c>
      <c r="D9494" t="str">
        <f>HYPERLINK("https://us2.cloudbeds.com/connect/10074733072513#/reservations/31693595545735?display=Brian%20Barrett&amp;reservation_id=31693595545735&amp;guest_id=31693595541641", "Brian Barrett")</f>
        <v>Brian Barrett</v>
      </c>
      <c r="E9494" t="s">
        <v>8038</v>
      </c>
      <c r="F9494" t="s">
        <v>7994</v>
      </c>
      <c r="G9494">
        <v>150</v>
      </c>
      <c r="H9494">
        <v>163.06</v>
      </c>
      <c r="I9494">
        <v>163.05000000000001</v>
      </c>
      <c r="J9494">
        <v>0.01</v>
      </c>
    </row>
    <row r="9495" spans="1:10" x14ac:dyDescent="0.3">
      <c r="A9495" t="str">
        <f>HYPERLINK("https://us2.cloudbeds.com/connect/10074733072513#/reservations/31693568581772?display=MHYZ4HGVJ&amp;reservation_id=31693568581772", "MHYZ4HGVJ")</f>
        <v>MHYZ4HGVJ</v>
      </c>
      <c r="B9495" t="s">
        <v>10</v>
      </c>
      <c r="C9495" t="s">
        <v>42</v>
      </c>
      <c r="D9495" t="str">
        <f>HYPERLINK("https://us2.cloudbeds.com/connect/10074733072513#/reservations/31693568581772?display=Damion%20Davidson&amp;reservation_id=31693568581772&amp;guest_id=31690541482122", "Damion Davidson")</f>
        <v>Damion Davidson</v>
      </c>
      <c r="E9495" t="s">
        <v>8039</v>
      </c>
      <c r="F9495" t="s">
        <v>7996</v>
      </c>
      <c r="G9495">
        <v>79</v>
      </c>
      <c r="H9495">
        <v>85.88</v>
      </c>
      <c r="I9495">
        <v>85.87</v>
      </c>
      <c r="J9495">
        <v>0.01</v>
      </c>
    </row>
    <row r="9496" spans="1:10" x14ac:dyDescent="0.3">
      <c r="A9496" t="str">
        <f>HYPERLINK("https://us2.cloudbeds.com/connect/10074733072513#/reservations/31689156108500?display=MHXACQV1A&amp;reservation_id=31689156108500", "MHXACQV1A")</f>
        <v>MHXACQV1A</v>
      </c>
      <c r="B9496" t="s">
        <v>10</v>
      </c>
      <c r="C9496" t="s">
        <v>121</v>
      </c>
      <c r="D9496" t="str">
        <f>HYPERLINK("https://us2.cloudbeds.com/connect/10074733072513#/reservations/31689156108500?display=Suzie%20Smithburg&amp;reservation_id=31689156108500&amp;guest_id=31689156108494", "Suzie Smithburg")</f>
        <v>Suzie Smithburg</v>
      </c>
      <c r="E9496" t="s">
        <v>8042</v>
      </c>
      <c r="F9496" t="s">
        <v>7996</v>
      </c>
      <c r="G9496">
        <v>109</v>
      </c>
      <c r="H9496">
        <v>118.49</v>
      </c>
      <c r="I9496">
        <v>118.48</v>
      </c>
      <c r="J9496">
        <v>0.01</v>
      </c>
    </row>
    <row r="9497" spans="1:10" x14ac:dyDescent="0.3">
      <c r="A9497" t="str">
        <f>HYPERLINK("https://us2.cloudbeds.com/connect/10074733072513#/reservations/31684975079575?display=MHF2X8YC3&amp;reservation_id=31684975079575", "MHF2X8YC3")</f>
        <v>MHF2X8YC3</v>
      </c>
      <c r="B9497" t="s">
        <v>10</v>
      </c>
      <c r="C9497" t="s">
        <v>42</v>
      </c>
      <c r="D9497" t="str">
        <f>HYPERLINK("https://us2.cloudbeds.com/connect/10074733072513#/reservations/31684975079575?display=Martha%20Travino&amp;reservation_id=31684975079575&amp;guest_id=31684975079570", "Martha Travino")</f>
        <v>Martha Travino</v>
      </c>
      <c r="E9497" t="s">
        <v>8043</v>
      </c>
      <c r="F9497" t="s">
        <v>7530</v>
      </c>
      <c r="G9497">
        <v>159</v>
      </c>
      <c r="H9497">
        <v>172.84</v>
      </c>
      <c r="I9497">
        <v>172.83</v>
      </c>
      <c r="J9497">
        <v>0.01</v>
      </c>
    </row>
    <row r="9498" spans="1:10" x14ac:dyDescent="0.3">
      <c r="A9498" t="str">
        <f>HYPERLINK("https://us2.cloudbeds.com/connect/10074733072513#/reservations/31693659263130?display=MHYQEWS8H&amp;reservation_id=31693659263130", "MHYQEWS8H")</f>
        <v>MHYQEWS8H</v>
      </c>
      <c r="B9498" t="s">
        <v>10</v>
      </c>
      <c r="C9498" t="s">
        <v>42</v>
      </c>
      <c r="D9498" t="str">
        <f>HYPERLINK("https://us2.cloudbeds.com/connect/10074733072513#/reservations/31693659263130?display=Drewie%20Ruckman&amp;reservation_id=31693659263130&amp;guest_id=31693659263125", "Drewie Ruckman")</f>
        <v>Drewie Ruckman</v>
      </c>
      <c r="E9498" t="s">
        <v>8046</v>
      </c>
      <c r="F9498" t="s">
        <v>7994</v>
      </c>
      <c r="G9498">
        <v>139</v>
      </c>
      <c r="H9498">
        <v>151.1</v>
      </c>
      <c r="I9498">
        <v>151.09</v>
      </c>
      <c r="J9498">
        <v>0.01</v>
      </c>
    </row>
    <row r="9499" spans="1:10" x14ac:dyDescent="0.3">
      <c r="A9499" t="str">
        <f>HYPERLINK("https://us2.cloudbeds.com/connect/10074733072513#/reservations/31693648617616?display=MHYQ60KP6&amp;reservation_id=31693648617616", "MHYQ60KP6")</f>
        <v>MHYQ60KP6</v>
      </c>
      <c r="B9499" t="s">
        <v>10</v>
      </c>
      <c r="C9499" t="s">
        <v>14</v>
      </c>
      <c r="D9499" t="str">
        <f>HYPERLINK("https://us2.cloudbeds.com/connect/10074733072513#/reservations/31693648617616?display=Brittney%20Bodenhamer&amp;reservation_id=31693648617616&amp;guest_id=31693648617614", "Brittney Bodenhamer")</f>
        <v>Brittney Bodenhamer</v>
      </c>
      <c r="E9499" t="s">
        <v>8047</v>
      </c>
      <c r="F9499" t="s">
        <v>7994</v>
      </c>
      <c r="G9499">
        <v>102.58</v>
      </c>
      <c r="H9499">
        <v>111.51</v>
      </c>
      <c r="I9499">
        <v>111.5</v>
      </c>
      <c r="J9499">
        <v>0.01</v>
      </c>
    </row>
    <row r="9500" spans="1:10" x14ac:dyDescent="0.3">
      <c r="A9500" t="str">
        <f>HYPERLINK("https://us2.cloudbeds.com/connect/10074733072513#/reservations/31685676892354?display=MHFKG1KX0&amp;reservation_id=31685676892354", "MHFKG1KX0")</f>
        <v>MHFKG1KX0</v>
      </c>
      <c r="B9500" t="s">
        <v>10</v>
      </c>
      <c r="C9500" t="s">
        <v>42</v>
      </c>
      <c r="D9500" t="str">
        <f>HYPERLINK("https://us2.cloudbeds.com/connect/10074733072513#/reservations/31685676892354?display=Doug%20Olson&amp;reservation_id=31685676892354&amp;guest_id=31685647671496", "Doug Olson")</f>
        <v>Doug Olson</v>
      </c>
      <c r="E9500" t="s">
        <v>8048</v>
      </c>
      <c r="F9500" t="s">
        <v>8049</v>
      </c>
      <c r="G9500">
        <v>420</v>
      </c>
      <c r="H9500">
        <v>456.55</v>
      </c>
      <c r="I9500">
        <v>456.54</v>
      </c>
      <c r="J9500">
        <v>0.01</v>
      </c>
    </row>
    <row r="9501" spans="1:10" x14ac:dyDescent="0.3">
      <c r="A9501" t="str">
        <f>HYPERLINK("https://us2.cloudbeds.com/connect/10074733072513#/reservations/31687189418186?display=MHGQ4ET53&amp;reservation_id=31687189418186", "MHGQ4ET53")</f>
        <v>MHGQ4ET53</v>
      </c>
      <c r="B9501" t="s">
        <v>10</v>
      </c>
      <c r="C9501" t="s">
        <v>42</v>
      </c>
      <c r="D9501" t="str">
        <f>HYPERLINK("https://us2.cloudbeds.com/connect/10074733072513#/reservations/31687189418186?display=Don%20Pilkington&amp;reservation_id=31687189418186&amp;guest_id=30654026793146", "Don Pilkington")</f>
        <v>Don Pilkington</v>
      </c>
      <c r="E9501" t="s">
        <v>1088</v>
      </c>
      <c r="F9501" t="s">
        <v>7795</v>
      </c>
      <c r="G9501">
        <v>178</v>
      </c>
      <c r="H9501">
        <v>193.5</v>
      </c>
      <c r="I9501">
        <v>193.49</v>
      </c>
      <c r="J9501">
        <v>0.01</v>
      </c>
    </row>
    <row r="9502" spans="1:10" x14ac:dyDescent="0.3">
      <c r="A9502" t="str">
        <f>HYPERLINK("https://us2.cloudbeds.com/connect/10074733072513#/reservations/31693565984896?display=MHYZ2B4K6&amp;reservation_id=31693565984896", "MHYZ2B4K6")</f>
        <v>MHYZ2B4K6</v>
      </c>
      <c r="B9502" t="s">
        <v>10</v>
      </c>
      <c r="C9502" t="s">
        <v>14</v>
      </c>
      <c r="D9502" t="str">
        <f>HYPERLINK("https://us2.cloudbeds.com/connect/10074733072513#/reservations/31693565984896?display=Kyle%20Hainline&amp;reservation_id=31693565984896&amp;guest_id=31693565980805", "Kyle Hainline")</f>
        <v>Kyle Hainline</v>
      </c>
      <c r="E9502" t="s">
        <v>8053</v>
      </c>
      <c r="F9502" t="s">
        <v>7994</v>
      </c>
      <c r="G9502">
        <v>87.82</v>
      </c>
      <c r="H9502">
        <v>95.47</v>
      </c>
      <c r="I9502">
        <v>95.46</v>
      </c>
      <c r="J9502">
        <v>0.01</v>
      </c>
    </row>
    <row r="9503" spans="1:10" x14ac:dyDescent="0.3">
      <c r="A9503" t="str">
        <f>HYPERLINK("https://us2.cloudbeds.com/connect/10074733072513#/reservations/31687220674722?display=MHGQUQY6T&amp;reservation_id=31687220674722", "MHGQUQY6T")</f>
        <v>MHGQUQY6T</v>
      </c>
      <c r="B9503" t="s">
        <v>10</v>
      </c>
      <c r="C9503" t="s">
        <v>20</v>
      </c>
      <c r="D9503" t="str">
        <f>HYPERLINK("https://us2.cloudbeds.com/connect/10074733072513#/reservations/31687220674722?display=Sandra%20Hall&amp;reservation_id=31687220674722&amp;guest_id=31687220674707", "Sandra Hall")</f>
        <v>Sandra Hall</v>
      </c>
      <c r="E9503" t="s">
        <v>8054</v>
      </c>
      <c r="F9503" t="s">
        <v>8018</v>
      </c>
      <c r="G9503">
        <v>369.2</v>
      </c>
      <c r="H9503">
        <v>401.33</v>
      </c>
      <c r="I9503">
        <v>401.32</v>
      </c>
      <c r="J9503">
        <v>0.01</v>
      </c>
    </row>
    <row r="9504" spans="1:10" x14ac:dyDescent="0.3">
      <c r="A9504" t="str">
        <f>HYPERLINK("https://us2.cloudbeds.com/connect/10074733072513#/reservations/31685590065315?display=MHFX8RHXK&amp;reservation_id=31685590065315", "MHFX8RHXK")</f>
        <v>MHFX8RHXK</v>
      </c>
      <c r="B9504" t="s">
        <v>10</v>
      </c>
      <c r="C9504" t="s">
        <v>20</v>
      </c>
      <c r="D9504" t="str">
        <f>HYPERLINK("https://us2.cloudbeds.com/connect/10074733072513#/reservations/31685590065315?display=Brice%20Sifrit&amp;reservation_id=31685590065315&amp;guest_id=31685590065303", "Brice Sifrit")</f>
        <v>Brice Sifrit</v>
      </c>
      <c r="E9504" t="s">
        <v>8055</v>
      </c>
      <c r="F9504" t="s">
        <v>8007</v>
      </c>
      <c r="G9504">
        <v>149</v>
      </c>
      <c r="H9504">
        <v>161.97</v>
      </c>
      <c r="I9504">
        <v>161.96</v>
      </c>
      <c r="J9504">
        <v>0.01</v>
      </c>
    </row>
    <row r="9505" spans="1:10" x14ac:dyDescent="0.3">
      <c r="A9505" t="str">
        <f>HYPERLINK("https://us2.cloudbeds.com/connect/10074733072513#/reservations/31689808867463?display=MHXR27UCV&amp;reservation_id=31689808867463", "MHXR27UCV")</f>
        <v>MHXR27UCV</v>
      </c>
      <c r="B9505" t="s">
        <v>10</v>
      </c>
      <c r="C9505" t="s">
        <v>42</v>
      </c>
      <c r="D9505" t="str">
        <f>HYPERLINK("https://us2.cloudbeds.com/connect/10074733072513#/reservations/31689808867463?display=Rodney%20Minor&amp;reservation_id=31689808867463&amp;guest_id=31689801203963", "Rodney Minor")</f>
        <v>Rodney Minor</v>
      </c>
      <c r="E9505" t="s">
        <v>8056</v>
      </c>
      <c r="F9505" t="s">
        <v>8012</v>
      </c>
      <c r="G9505">
        <v>150</v>
      </c>
      <c r="H9505">
        <v>163.06</v>
      </c>
      <c r="I9505">
        <v>163.05000000000001</v>
      </c>
      <c r="J9505">
        <v>0.01</v>
      </c>
    </row>
    <row r="9506" spans="1:10" x14ac:dyDescent="0.3">
      <c r="A9506" t="str">
        <f>HYPERLINK("https://us2.cloudbeds.com/connect/10074733072513#/reservations/31691908288660?display=MHKENHDX3&amp;reservation_id=31691908288660", "MHKENHDX3")</f>
        <v>MHKENHDX3</v>
      </c>
      <c r="B9506" t="s">
        <v>10</v>
      </c>
      <c r="C9506" t="s">
        <v>42</v>
      </c>
      <c r="D9506" t="str">
        <f>HYPERLINK("https://us2.cloudbeds.com/connect/10074733072513#/reservations/31691908288660?display=Deanna%20Collins&amp;reservation_id=31691908288660&amp;guest_id=31691908288657", "Deanna Collins")</f>
        <v>Deanna Collins</v>
      </c>
      <c r="E9506" t="s">
        <v>8058</v>
      </c>
      <c r="F9506" t="s">
        <v>8034</v>
      </c>
      <c r="G9506">
        <v>139</v>
      </c>
      <c r="H9506">
        <v>151.1</v>
      </c>
      <c r="I9506">
        <v>151.09</v>
      </c>
      <c r="J9506">
        <v>0.01</v>
      </c>
    </row>
    <row r="9507" spans="1:10" x14ac:dyDescent="0.3">
      <c r="A9507" t="str">
        <f>HYPERLINK("https://us2.cloudbeds.com/connect/10074733072513#/reservations/31687198318796?display=MHGQBVXBJ&amp;reservation_id=31687198318796", "MHGQBVXBJ")</f>
        <v>MHGQBVXBJ</v>
      </c>
      <c r="B9507" t="s">
        <v>10</v>
      </c>
      <c r="C9507" t="s">
        <v>23</v>
      </c>
      <c r="D9507" t="str">
        <f>HYPERLINK("https://us2.cloudbeds.com/connect/10074733072513#/reservations/31687198318796?display=Haylee%20Huke&amp;reservation_id=31687198318796&amp;guest_id=31687198314695", "Haylee Huke")</f>
        <v>Haylee Huke</v>
      </c>
      <c r="E9507" t="s">
        <v>8059</v>
      </c>
      <c r="F9507" t="s">
        <v>7802</v>
      </c>
      <c r="G9507">
        <v>139</v>
      </c>
      <c r="H9507">
        <v>151.1</v>
      </c>
      <c r="I9507">
        <v>151.09</v>
      </c>
      <c r="J9507">
        <v>0.01</v>
      </c>
    </row>
    <row r="9508" spans="1:10" x14ac:dyDescent="0.3">
      <c r="A9508" t="str">
        <f>HYPERLINK("https://us2.cloudbeds.com/connect/10074733072513#/reservations/31688016683168?display=MHHE90ZPV&amp;reservation_id=31688016683168", "MHHE90ZPV")</f>
        <v>MHHE90ZPV</v>
      </c>
      <c r="B9508" t="s">
        <v>10</v>
      </c>
      <c r="C9508" t="s">
        <v>20</v>
      </c>
      <c r="D9508" t="str">
        <f>HYPERLINK("https://us2.cloudbeds.com/connect/10074733072513#/reservations/31688016683168?display=Trent%20Johnson&amp;reservation_id=31688016683168&amp;guest_id=31688016679074", "Trent Johnson")</f>
        <v>Trent Johnson</v>
      </c>
      <c r="E9508" t="s">
        <v>8063</v>
      </c>
      <c r="F9508" t="s">
        <v>8009</v>
      </c>
      <c r="G9508">
        <v>119</v>
      </c>
      <c r="H9508">
        <v>129.36000000000001</v>
      </c>
      <c r="I9508">
        <v>129.35</v>
      </c>
      <c r="J9508">
        <v>0.01</v>
      </c>
    </row>
    <row r="9509" spans="1:10" x14ac:dyDescent="0.3">
      <c r="A9509" t="str">
        <f>HYPERLINK("https://us2.cloudbeds.com/connect/10074733072513#/reservations/31689095590017?display=MHX8RPUGT&amp;reservation_id=31689095590017", "MHX8RPUGT")</f>
        <v>MHX8RPUGT</v>
      </c>
      <c r="B9509" t="s">
        <v>10</v>
      </c>
      <c r="C9509" t="s">
        <v>42</v>
      </c>
      <c r="D9509" t="str">
        <f>HYPERLINK("https://us2.cloudbeds.com/connect/10074733072513#/reservations/31689095590017?display=Jeremy%20Williamson&amp;reservation_id=31689095590017&amp;guest_id=31689080754404", "Jeremy Williamson")</f>
        <v>Jeremy Williamson</v>
      </c>
      <c r="E9509" t="s">
        <v>8065</v>
      </c>
      <c r="F9509" t="s">
        <v>8012</v>
      </c>
      <c r="G9509">
        <v>109</v>
      </c>
      <c r="H9509">
        <v>118.49</v>
      </c>
      <c r="I9509">
        <v>118.48</v>
      </c>
      <c r="J9509">
        <v>0.01</v>
      </c>
    </row>
    <row r="9510" spans="1:10" x14ac:dyDescent="0.3">
      <c r="A9510" t="str">
        <f>HYPERLINK("https://us2.cloudbeds.com/connect/10074733072513#/reservations/31687116243094?display=MHGZ8ZMD3&amp;reservation_id=31687116243094", "MHGZ8ZMD3")</f>
        <v>MHGZ8ZMD3</v>
      </c>
      <c r="B9510" t="s">
        <v>10</v>
      </c>
      <c r="C9510" t="s">
        <v>23</v>
      </c>
      <c r="D9510" t="str">
        <f>HYPERLINK("https://us2.cloudbeds.com/connect/10074733072513#/reservations/31687116243094?display=Mary%20Reider&amp;reservation_id=31687116243094&amp;guest_id=31687116243084", "Mary Reider")</f>
        <v>Mary Reider</v>
      </c>
      <c r="E9510" t="s">
        <v>8066</v>
      </c>
      <c r="F9510" t="s">
        <v>7802</v>
      </c>
      <c r="G9510">
        <v>179</v>
      </c>
      <c r="H9510">
        <v>194.58</v>
      </c>
      <c r="I9510">
        <v>194.57</v>
      </c>
      <c r="J9510">
        <v>0.01</v>
      </c>
    </row>
    <row r="9511" spans="1:10" x14ac:dyDescent="0.3">
      <c r="A9511" t="str">
        <f>HYPERLINK("https://us2.cloudbeds.com/connect/10074733072513#/reservations/31687129886860?display=MHGZK8B3X&amp;reservation_id=31687129886860", "MHGZK8B3X")</f>
        <v>MHGZK8B3X</v>
      </c>
      <c r="B9511" t="s">
        <v>10</v>
      </c>
      <c r="C9511" t="s">
        <v>23</v>
      </c>
      <c r="D9511" t="str">
        <f>HYPERLINK("https://us2.cloudbeds.com/connect/10074733072513#/reservations/31687129886860?display=Jessica%20Zeeb&amp;reservation_id=31687129886860&amp;guest_id=31687129886857", "Jessica Zeeb")</f>
        <v>Jessica Zeeb</v>
      </c>
      <c r="E9511" t="s">
        <v>8068</v>
      </c>
      <c r="F9511" t="s">
        <v>7802</v>
      </c>
      <c r="G9511">
        <v>159</v>
      </c>
      <c r="H9511">
        <v>172.84</v>
      </c>
      <c r="I9511">
        <v>172.83</v>
      </c>
      <c r="J9511">
        <v>0.01</v>
      </c>
    </row>
    <row r="9512" spans="1:10" x14ac:dyDescent="0.3">
      <c r="A9512" t="str">
        <f>HYPERLINK("https://us2.cloudbeds.com/connect/10074733072513#/reservations/31689827496098?display=MHXRHV9J1&amp;reservation_id=31689827496098", "MHXRHV9J1")</f>
        <v>MHXRHV9J1</v>
      </c>
      <c r="B9512" t="s">
        <v>10</v>
      </c>
      <c r="C9512" t="s">
        <v>42</v>
      </c>
      <c r="D9512" t="str">
        <f>HYPERLINK("https://us2.cloudbeds.com/connect/10074733072513#/reservations/31689827496098?display=Keith%20Anderson&amp;reservation_id=31689827496098&amp;guest_id=17963406844038", "Keith Anderson")</f>
        <v>Keith Anderson</v>
      </c>
      <c r="E9512" t="s">
        <v>8040</v>
      </c>
      <c r="F9512" t="s">
        <v>8012</v>
      </c>
      <c r="G9512">
        <v>79</v>
      </c>
      <c r="H9512">
        <v>85.88</v>
      </c>
      <c r="I9512">
        <v>85.87</v>
      </c>
      <c r="J9512">
        <v>0.01</v>
      </c>
    </row>
    <row r="9513" spans="1:10" x14ac:dyDescent="0.3">
      <c r="A9513" t="str">
        <f>HYPERLINK("https://us2.cloudbeds.com/connect/10074733072513#/reservations/31689842438292?display=MHXRUX2JQ&amp;reservation_id=31689842438292", "MHXRUX2JQ")</f>
        <v>MHXRUX2JQ</v>
      </c>
      <c r="B9513" t="s">
        <v>10</v>
      </c>
      <c r="C9513" t="s">
        <v>23</v>
      </c>
      <c r="D9513" t="str">
        <f>HYPERLINK("https://us2.cloudbeds.com/connect/10074733072513#/reservations/31689842438292?display=Emily%20Leitheiser&amp;reservation_id=31689842438292&amp;guest_id=31689842438276", "Emily Leitheiser")</f>
        <v>Emily Leitheiser</v>
      </c>
      <c r="E9513" t="s">
        <v>8069</v>
      </c>
      <c r="F9513" t="s">
        <v>7897</v>
      </c>
      <c r="G9513">
        <v>169</v>
      </c>
      <c r="H9513">
        <v>183.71</v>
      </c>
      <c r="I9513">
        <v>183.7</v>
      </c>
      <c r="J9513">
        <v>0.01</v>
      </c>
    </row>
    <row r="9514" spans="1:10" x14ac:dyDescent="0.3">
      <c r="A9514" t="str">
        <f>HYPERLINK("https://us2.cloudbeds.com/connect/10074733072513#/reservations/31693377761436?display=MHYJ8KYM5&amp;reservation_id=31693377761436", "MHYJ8KYM5")</f>
        <v>MHYJ8KYM5</v>
      </c>
      <c r="B9514" t="s">
        <v>10</v>
      </c>
      <c r="C9514" t="s">
        <v>42</v>
      </c>
      <c r="D9514" t="str">
        <f>HYPERLINK("https://us2.cloudbeds.com/connect/10074733072513#/reservations/31693377761436?display=Anthony%20Pritzaau&amp;reservation_id=31693377761436&amp;guest_id=31693377761431", "Anthony Pritzaau")</f>
        <v>Anthony Pritzaau</v>
      </c>
      <c r="E9514" t="s">
        <v>8070</v>
      </c>
      <c r="F9514" t="s">
        <v>8071</v>
      </c>
      <c r="G9514">
        <v>225</v>
      </c>
      <c r="H9514">
        <v>244.59</v>
      </c>
      <c r="I9514">
        <v>244.58</v>
      </c>
      <c r="J9514">
        <v>0.01</v>
      </c>
    </row>
    <row r="9515" spans="1:10" x14ac:dyDescent="0.3">
      <c r="A9515" t="str">
        <f>HYPERLINK("https://us2.cloudbeds.com/connect/10074733072513#/reservations/31689410048215?display=MHXGSV666&amp;reservation_id=31689410048215", "MHXGSV666")</f>
        <v>MHXGSV666</v>
      </c>
      <c r="B9515" t="s">
        <v>10</v>
      </c>
      <c r="C9515" t="s">
        <v>23</v>
      </c>
      <c r="D9515" t="str">
        <f>HYPERLINK("https://us2.cloudbeds.com/connect/10074733072513#/reservations/31689410048215?display=Crista%20Few&amp;reservation_id=31689410048215&amp;guest_id=31687035773137", "Crista Few")</f>
        <v>Crista Few</v>
      </c>
      <c r="E9515" t="s">
        <v>7061</v>
      </c>
      <c r="F9515" t="s">
        <v>8041</v>
      </c>
      <c r="G9515">
        <v>149</v>
      </c>
      <c r="H9515">
        <v>161.97</v>
      </c>
      <c r="I9515">
        <v>161.96</v>
      </c>
      <c r="J9515">
        <v>0.01</v>
      </c>
    </row>
    <row r="9516" spans="1:10" x14ac:dyDescent="0.3">
      <c r="A9516" t="str">
        <f>HYPERLINK("https://us2.cloudbeds.com/connect/10074733072513#/reservations/31687247261837?display=MHGRK7FF1&amp;reservation_id=31687247261837", "MHGRK7FF1")</f>
        <v>MHGRK7FF1</v>
      </c>
      <c r="B9516" t="s">
        <v>10</v>
      </c>
      <c r="C9516" t="s">
        <v>20</v>
      </c>
      <c r="D9516" t="str">
        <f>HYPERLINK("https://us2.cloudbeds.com/connect/10074733072513#/reservations/31687247261837?display=Chad%20Meinke&amp;reservation_id=31687247261837&amp;guest_id=31687241826466", "Chad Meinke")</f>
        <v>Chad Meinke</v>
      </c>
      <c r="E9516" t="s">
        <v>8073</v>
      </c>
      <c r="F9516" t="s">
        <v>7802</v>
      </c>
      <c r="G9516">
        <v>278</v>
      </c>
      <c r="H9516">
        <v>302.2</v>
      </c>
      <c r="I9516">
        <v>302.19</v>
      </c>
      <c r="J9516">
        <v>0.01</v>
      </c>
    </row>
    <row r="9517" spans="1:10" x14ac:dyDescent="0.3">
      <c r="A9517" t="str">
        <f>HYPERLINK("https://us2.cloudbeds.com/connect/10074733072513#/reservations/31687108358336?display=MHGNSZTYF&amp;reservation_id=31687108358336", "MHGNSZTYF")</f>
        <v>MHGNSZTYF</v>
      </c>
      <c r="B9517" t="s">
        <v>10</v>
      </c>
      <c r="C9517" t="s">
        <v>23</v>
      </c>
      <c r="D9517" t="str">
        <f>HYPERLINK("https://us2.cloudbeds.com/connect/10074733072513#/reservations/31687108358336?display=Alexandra%20Henry&amp;reservation_id=31687108358336&amp;guest_id=31687100829909", "Alexandra Henry")</f>
        <v>Alexandra Henry</v>
      </c>
      <c r="E9517" t="s">
        <v>8074</v>
      </c>
      <c r="F9517" t="s">
        <v>7802</v>
      </c>
      <c r="G9517">
        <v>129</v>
      </c>
      <c r="H9517">
        <v>140.22999999999999</v>
      </c>
      <c r="I9517">
        <v>140.22</v>
      </c>
      <c r="J9517">
        <v>0.01</v>
      </c>
    </row>
    <row r="9518" spans="1:10" x14ac:dyDescent="0.3">
      <c r="A9518" t="str">
        <f>HYPERLINK("https://us2.cloudbeds.com/connect/10074733072513#/reservations/31693396869313?display=MHYJGP2CQ&amp;reservation_id=31693396869313", "MHYJGP2CQ")</f>
        <v>MHYJGP2CQ</v>
      </c>
      <c r="B9518" t="s">
        <v>10</v>
      </c>
      <c r="C9518" t="s">
        <v>42</v>
      </c>
      <c r="D9518" t="str">
        <f>HYPERLINK("https://us2.cloudbeds.com/connect/10074733072513#/reservations/31693396869313?display=Amanda%20Morris&amp;reservation_id=31693396869313&amp;guest_id=31693387403453", "Amanda Morris")</f>
        <v>Amanda Morris</v>
      </c>
      <c r="E9518" t="s">
        <v>8070</v>
      </c>
      <c r="F9518" t="s">
        <v>8071</v>
      </c>
      <c r="G9518">
        <v>225</v>
      </c>
      <c r="H9518">
        <v>244.59</v>
      </c>
      <c r="I9518">
        <v>244.58</v>
      </c>
      <c r="J9518">
        <v>0.01</v>
      </c>
    </row>
    <row r="9519" spans="1:10" x14ac:dyDescent="0.3">
      <c r="A9519" t="str">
        <f>HYPERLINK("https://us2.cloudbeds.com/connect/10074733072513#/reservations/31689600053494?display=MHXYZ5C0U&amp;reservation_id=31689600053494", "MHXYZ5C0U")</f>
        <v>MHXYZ5C0U</v>
      </c>
      <c r="B9519" t="s">
        <v>10</v>
      </c>
      <c r="C9519" t="s">
        <v>42</v>
      </c>
      <c r="D9519" t="str">
        <f>HYPERLINK("https://us2.cloudbeds.com/connect/10074733072513#/reservations/31689600053494?display=Emily%20Breidenbach&amp;reservation_id=31689600053494&amp;guest_id=31689600053491", "Emily Breidenbach")</f>
        <v>Emily Breidenbach</v>
      </c>
      <c r="E9519" t="s">
        <v>8076</v>
      </c>
      <c r="F9519" t="s">
        <v>7807</v>
      </c>
      <c r="G9519">
        <v>139</v>
      </c>
      <c r="H9519">
        <v>151.1</v>
      </c>
      <c r="I9519">
        <v>151.09</v>
      </c>
      <c r="J9519">
        <v>0.01</v>
      </c>
    </row>
    <row r="9520" spans="1:10" x14ac:dyDescent="0.3">
      <c r="A9520" t="str">
        <f>HYPERLINK("https://us2.cloudbeds.com/connect/10074733072513#/reservations/31688709513400?display=MHHVW7PHF&amp;reservation_id=31688709513400", "MHHVW7PHF")</f>
        <v>MHHVW7PHF</v>
      </c>
      <c r="B9520" t="s">
        <v>10</v>
      </c>
      <c r="C9520" t="s">
        <v>20</v>
      </c>
      <c r="D9520" t="str">
        <f>HYPERLINK("https://us2.cloudbeds.com/connect/10074733072513#/reservations/31688709513400?display=Robyn%20Wright&amp;reservation_id=31688709513400&amp;guest_id=31688709513396", "Robyn Wright")</f>
        <v>Robyn Wright</v>
      </c>
      <c r="E9520" t="s">
        <v>8078</v>
      </c>
      <c r="F9520" t="s">
        <v>8007</v>
      </c>
      <c r="G9520">
        <v>149</v>
      </c>
      <c r="H9520">
        <v>161.97</v>
      </c>
      <c r="I9520">
        <v>161.96</v>
      </c>
      <c r="J9520">
        <v>0.01</v>
      </c>
    </row>
    <row r="9521" spans="1:10" x14ac:dyDescent="0.3">
      <c r="A9521" t="str">
        <f>HYPERLINK("https://us2.cloudbeds.com/connect/10074733072513#/reservations/31689873150206?display=MHXSNEMHS&amp;reservation_id=31689873150206", "MHXSNEMHS")</f>
        <v>MHXSNEMHS</v>
      </c>
      <c r="B9521" t="s">
        <v>10</v>
      </c>
      <c r="C9521" t="s">
        <v>42</v>
      </c>
      <c r="D9521" t="str">
        <f>HYPERLINK("https://us2.cloudbeds.com/connect/10074733072513#/reservations/31689873150206?display=Paul%20Gerber&amp;reservation_id=31689873150206&amp;guest_id=31687443480773", "Paul Gerber")</f>
        <v>Paul Gerber</v>
      </c>
      <c r="E9521" t="s">
        <v>7667</v>
      </c>
      <c r="F9521" t="s">
        <v>8061</v>
      </c>
      <c r="G9521">
        <v>150</v>
      </c>
      <c r="H9521">
        <v>163.06</v>
      </c>
      <c r="I9521">
        <v>163.05000000000001</v>
      </c>
      <c r="J9521">
        <v>0.01</v>
      </c>
    </row>
    <row r="9522" spans="1:10" x14ac:dyDescent="0.3">
      <c r="A9522" t="str">
        <f>HYPERLINK("https://us2.cloudbeds.com/connect/10074733072513#/reservations/31695119986849?display=MHMUPNYBY&amp;reservation_id=31695119986849", "MHMUPNYBY")</f>
        <v>MHMUPNYBY</v>
      </c>
      <c r="B9522" t="s">
        <v>10</v>
      </c>
      <c r="C9522" t="s">
        <v>42</v>
      </c>
      <c r="D9522" t="str">
        <f>HYPERLINK("https://us2.cloudbeds.com/connect/10074733072513#/reservations/31695119986849?display=Gene%20Sauder&amp;reservation_id=31695119986849&amp;guest_id=31695119986847", "Gene Sauder")</f>
        <v>Gene Sauder</v>
      </c>
      <c r="E9522" t="s">
        <v>8075</v>
      </c>
      <c r="F9522" t="s">
        <v>7006</v>
      </c>
      <c r="G9522">
        <v>139</v>
      </c>
      <c r="H9522">
        <v>151.1</v>
      </c>
      <c r="I9522">
        <v>151.09</v>
      </c>
      <c r="J9522">
        <v>0.01</v>
      </c>
    </row>
    <row r="9523" spans="1:10" x14ac:dyDescent="0.3">
      <c r="A9523" t="str">
        <f>HYPERLINK("https://us2.cloudbeds.com/connect/10074733072513#/reservations/31689619189908?display=MHXM79SG8&amp;reservation_id=31689619189908", "MHXM79SG8")</f>
        <v>MHXM79SG8</v>
      </c>
      <c r="B9523" t="s">
        <v>10</v>
      </c>
      <c r="C9523" t="s">
        <v>42</v>
      </c>
      <c r="D9523" t="str">
        <f>HYPERLINK("https://us2.cloudbeds.com/connect/10074733072513#/reservations/31689619189908?display=Spurling%20Njoh%20Northern%20Lights&amp;reservation_id=31689619189908&amp;guest_id=31689619189904", "Spurling Njoh Northern Lights")</f>
        <v>Spurling Njoh Northern Lights</v>
      </c>
      <c r="E9523" t="s">
        <v>8079</v>
      </c>
      <c r="F9523" t="s">
        <v>7852</v>
      </c>
      <c r="G9523">
        <v>336</v>
      </c>
      <c r="H9523">
        <v>365.24</v>
      </c>
      <c r="I9523">
        <v>365.23</v>
      </c>
      <c r="J9523">
        <v>0.01</v>
      </c>
    </row>
    <row r="9524" spans="1:10" x14ac:dyDescent="0.3">
      <c r="A9524" t="str">
        <f>HYPERLINK("https://us2.cloudbeds.com/connect/10074733072513#/reservations/31730127483089?display=MXH19VRX1&amp;reservation_id=31730127483089", "MXH19VRX1")</f>
        <v>MXH19VRX1</v>
      </c>
      <c r="B9524" t="s">
        <v>10</v>
      </c>
      <c r="C9524" t="s">
        <v>11</v>
      </c>
      <c r="D9524" t="str">
        <f>HYPERLINK("https://us2.cloudbeds.com/connect/10074733072513#/reservations/31730127483089?display=Gary%20Stahl&amp;reservation_id=31730127483089&amp;guest_id=31730127483077", "Gary Stahl")</f>
        <v>Gary Stahl</v>
      </c>
      <c r="E9524" t="s">
        <v>8082</v>
      </c>
      <c r="F9524" t="s">
        <v>6916</v>
      </c>
      <c r="G9524">
        <v>209</v>
      </c>
      <c r="H9524">
        <v>227.19</v>
      </c>
      <c r="I9524">
        <v>227.18</v>
      </c>
      <c r="J9524">
        <v>0.01</v>
      </c>
    </row>
    <row r="9525" spans="1:10" x14ac:dyDescent="0.3">
      <c r="A9525" t="str">
        <f>HYPERLINK("https://us2.cloudbeds.com/connect/10074733072513#/reservations/31687129882762?display=MHGZK87BC&amp;reservation_id=31687129882762", "MHGZK87BC")</f>
        <v>MHGZK87BC</v>
      </c>
      <c r="B9525" t="s">
        <v>10</v>
      </c>
      <c r="C9525" t="s">
        <v>20</v>
      </c>
      <c r="D9525" t="str">
        <f>HYPERLINK("https://us2.cloudbeds.com/connect/10074733072513#/reservations/31687129882762?display=Pete%20Eder&amp;reservation_id=31687129882762&amp;guest_id=31687123882221", "Pete Eder")</f>
        <v>Pete Eder</v>
      </c>
      <c r="E9525" t="s">
        <v>8083</v>
      </c>
      <c r="F9525" t="s">
        <v>7802</v>
      </c>
      <c r="G9525">
        <v>169</v>
      </c>
      <c r="H9525">
        <v>183.71</v>
      </c>
      <c r="I9525">
        <v>183.7</v>
      </c>
      <c r="J9525">
        <v>0.01</v>
      </c>
    </row>
    <row r="9526" spans="1:10" x14ac:dyDescent="0.3">
      <c r="A9526" t="str">
        <f>HYPERLINK("https://us2.cloudbeds.com/connect/10074733072513#/reservations/31694768378052?display=MHMYQ7K8K&amp;reservation_id=31694768378052", "MHMYQ7K8K")</f>
        <v>MHMYQ7K8K</v>
      </c>
      <c r="B9526" t="s">
        <v>10</v>
      </c>
      <c r="C9526" t="s">
        <v>23</v>
      </c>
      <c r="D9526" t="str">
        <f>HYPERLINK("https://us2.cloudbeds.com/connect/10074733072513#/reservations/31694768378052?display=Garry%20Steinhaus&amp;reservation_id=31694768378052&amp;guest_id=31694761693334", "Garry Steinhaus")</f>
        <v>Garry Steinhaus</v>
      </c>
      <c r="E9526" t="s">
        <v>8086</v>
      </c>
      <c r="F9526" t="s">
        <v>7807</v>
      </c>
      <c r="G9526">
        <v>139</v>
      </c>
      <c r="H9526">
        <v>151.1</v>
      </c>
      <c r="I9526">
        <v>151.09</v>
      </c>
      <c r="J9526">
        <v>0.01</v>
      </c>
    </row>
    <row r="9527" spans="1:10" x14ac:dyDescent="0.3">
      <c r="A9527" t="str">
        <f>HYPERLINK("https://us2.cloudbeds.com/connect/10074733072513#/reservations/31689484587195?display=MHXXPQBC5&amp;reservation_id=31689484587195", "MHXXPQBC5")</f>
        <v>MHXXPQBC5</v>
      </c>
      <c r="B9527" t="s">
        <v>10</v>
      </c>
      <c r="C9527" t="s">
        <v>42</v>
      </c>
      <c r="D9527" t="str">
        <f>HYPERLINK("https://us2.cloudbeds.com/connect/10074733072513#/reservations/31689484587195?display=Bo%20Anderson&amp;reservation_id=31689484587195&amp;guest_id=31689484587183", "Bo Anderson")</f>
        <v>Bo Anderson</v>
      </c>
      <c r="E9527" t="s">
        <v>6228</v>
      </c>
      <c r="F9527" t="s">
        <v>8041</v>
      </c>
      <c r="G9527">
        <v>294</v>
      </c>
      <c r="H9527">
        <v>319.58999999999997</v>
      </c>
      <c r="I9527">
        <v>319.58</v>
      </c>
      <c r="J9527">
        <v>0.01</v>
      </c>
    </row>
    <row r="9528" spans="1:10" x14ac:dyDescent="0.3">
      <c r="A9528" t="str">
        <f>HYPERLINK("https://us2.cloudbeds.com/connect/10074733072513#/reservations/31689652355313?display=MHXN28ZDH&amp;reservation_id=31689652355313", "MHXN28ZDH")</f>
        <v>MHXN28ZDH</v>
      </c>
      <c r="B9528" t="s">
        <v>10</v>
      </c>
      <c r="C9528" t="s">
        <v>121</v>
      </c>
      <c r="D9528" t="str">
        <f>HYPERLINK("https://us2.cloudbeds.com/connect/10074733072513#/reservations/31689652355313?display=Yvette%20Dumont&amp;reservation_id=31689652355313&amp;guest_id=31689633108191", "Yvette Dumont")</f>
        <v>Yvette Dumont</v>
      </c>
      <c r="E9528" t="s">
        <v>8088</v>
      </c>
      <c r="F9528" t="s">
        <v>7852</v>
      </c>
      <c r="G9528">
        <v>109</v>
      </c>
      <c r="H9528">
        <v>118.49</v>
      </c>
      <c r="I9528">
        <v>118.48</v>
      </c>
      <c r="J9528">
        <v>0.01</v>
      </c>
    </row>
    <row r="9529" spans="1:10" x14ac:dyDescent="0.3">
      <c r="A9529" t="str">
        <f>HYPERLINK("https://us2.cloudbeds.com/connect/10074733072513#/reservations/31687518027969?display=MHH1HHUSB&amp;reservation_id=31687518027969", "MHH1HHUSB")</f>
        <v>MHH1HHUSB</v>
      </c>
      <c r="B9529" t="s">
        <v>10</v>
      </c>
      <c r="C9529" t="s">
        <v>42</v>
      </c>
      <c r="D9529" t="str">
        <f>HYPERLINK("https://us2.cloudbeds.com/connect/10074733072513#/reservations/31687518027969?display=Jeff%20Potts&amp;reservation_id=31687518027969&amp;guest_id=31686514208925", "Jeff Potts")</f>
        <v>Jeff Potts</v>
      </c>
      <c r="E9529" t="s">
        <v>3400</v>
      </c>
      <c r="F9529" t="s">
        <v>8061</v>
      </c>
      <c r="G9529">
        <v>225</v>
      </c>
      <c r="H9529">
        <v>244.59</v>
      </c>
      <c r="I9529">
        <v>244.58</v>
      </c>
      <c r="J9529">
        <v>0.01</v>
      </c>
    </row>
    <row r="9530" spans="1:10" x14ac:dyDescent="0.3">
      <c r="A9530" t="str">
        <f>HYPERLINK("https://us2.cloudbeds.com/connect/10074733072513#/reservations/31687142052023?display=MHGZUGS1S&amp;reservation_id=31687142052023", "MHGZUGS1S")</f>
        <v>MHGZUGS1S</v>
      </c>
      <c r="B9530" t="s">
        <v>10</v>
      </c>
      <c r="C9530" t="s">
        <v>17</v>
      </c>
      <c r="D9530" t="str">
        <f>HYPERLINK("https://us2.cloudbeds.com/connect/10074733072513#/reservations/31687142052023?display=Kris%20Hayenga&amp;reservation_id=31687142052023&amp;guest_id=31687142052021", "Kris Hayenga")</f>
        <v>Kris Hayenga</v>
      </c>
      <c r="E9530" t="s">
        <v>8091</v>
      </c>
      <c r="F9530" t="s">
        <v>7795</v>
      </c>
      <c r="G9530">
        <v>149</v>
      </c>
      <c r="H9530">
        <v>161.97</v>
      </c>
      <c r="I9530">
        <v>161.96</v>
      </c>
      <c r="J9530">
        <v>0.01</v>
      </c>
    </row>
    <row r="9531" spans="1:10" x14ac:dyDescent="0.3">
      <c r="A9531" t="str">
        <f>HYPERLINK("https://us2.cloudbeds.com/connect/10074733072513#/reservations/31686286385374?display=MHG31WYUF&amp;reservation_id=31686286385374", "MHG31WYUF")</f>
        <v>MHG31WYUF</v>
      </c>
      <c r="B9531" t="s">
        <v>10</v>
      </c>
      <c r="C9531" t="s">
        <v>121</v>
      </c>
      <c r="D9531" t="str">
        <f>HYPERLINK("https://us2.cloudbeds.com/connect/10074733072513#/reservations/31686286385374?display=Ian%20Thatcher&amp;reservation_id=31686286385374&amp;guest_id=31686286385369", "Ian Thatcher")</f>
        <v>Ian Thatcher</v>
      </c>
      <c r="E9531" t="s">
        <v>8092</v>
      </c>
      <c r="F9531" t="s">
        <v>8049</v>
      </c>
      <c r="G9531">
        <v>218</v>
      </c>
      <c r="H9531">
        <v>236.98</v>
      </c>
      <c r="I9531">
        <v>236.97</v>
      </c>
      <c r="J9531">
        <v>0.01</v>
      </c>
    </row>
    <row r="9532" spans="1:10" x14ac:dyDescent="0.3">
      <c r="A9532" t="str">
        <f>HYPERLINK("https://us2.cloudbeds.com/connect/10074733072513#/reservations/31685612712078?display=MHFXRUNG5&amp;reservation_id=31685612712078", "MHFXRUNG5")</f>
        <v>MHFXRUNG5</v>
      </c>
      <c r="B9532" t="s">
        <v>10</v>
      </c>
      <c r="C9532" t="s">
        <v>20</v>
      </c>
      <c r="D9532" t="str">
        <f>HYPERLINK("https://us2.cloudbeds.com/connect/10074733072513#/reservations/31685612712078?display=Gregory%20Nichols&amp;reservation_id=31685612712078&amp;guest_id=31685604737270", "Gregory Nichols")</f>
        <v>Gregory Nichols</v>
      </c>
      <c r="E9532" t="s">
        <v>8094</v>
      </c>
      <c r="F9532" t="s">
        <v>8049</v>
      </c>
      <c r="G9532">
        <v>119</v>
      </c>
      <c r="H9532">
        <v>129.36000000000001</v>
      </c>
      <c r="I9532">
        <v>129.35</v>
      </c>
      <c r="J9532">
        <v>0.01</v>
      </c>
    </row>
    <row r="9533" spans="1:10" x14ac:dyDescent="0.3">
      <c r="A9533" t="str">
        <f>HYPERLINK("https://us2.cloudbeds.com/connect/10074733072513#/reservations/31685247787230?display=MHF9H74KE&amp;reservation_id=31685247787230", "MHF9H74KE")</f>
        <v>MHF9H74KE</v>
      </c>
      <c r="B9533" t="s">
        <v>10</v>
      </c>
      <c r="C9533" t="s">
        <v>11</v>
      </c>
      <c r="D9533" t="str">
        <f>HYPERLINK("https://us2.cloudbeds.com/connect/10074733072513#/reservations/31685247787230?display=Monda%20Kohles&amp;reservation_id=31685247787230&amp;guest_id=31685247787228", "Monda Kohles")</f>
        <v>Monda Kohles</v>
      </c>
      <c r="E9533" t="s">
        <v>8095</v>
      </c>
      <c r="F9533" t="s">
        <v>7807</v>
      </c>
      <c r="G9533">
        <v>205.16</v>
      </c>
      <c r="H9533">
        <v>223.02</v>
      </c>
      <c r="I9533">
        <v>223.01</v>
      </c>
      <c r="J9533">
        <v>0.01</v>
      </c>
    </row>
    <row r="9534" spans="1:10" x14ac:dyDescent="0.3">
      <c r="A9534" t="str">
        <f>HYPERLINK("https://us2.cloudbeds.com/connect/10074733072513#/reservations/31687461879964?display=MHH036HKY&amp;reservation_id=31687461879964", "MHH036HKY")</f>
        <v>MHH036HKY</v>
      </c>
      <c r="B9534" t="s">
        <v>10</v>
      </c>
      <c r="C9534" t="s">
        <v>42</v>
      </c>
      <c r="D9534" t="str">
        <f>HYPERLINK("https://us2.cloudbeds.com/connect/10074733072513#/reservations/31687461879964?display=Montez%20Manning&amp;reservation_id=31687461879964&amp;guest_id=30682546102515", "Montez Manning")</f>
        <v>Montez Manning</v>
      </c>
      <c r="E9534" t="s">
        <v>4253</v>
      </c>
      <c r="F9534" t="s">
        <v>8049</v>
      </c>
      <c r="G9534">
        <v>109</v>
      </c>
      <c r="H9534">
        <v>118.49</v>
      </c>
      <c r="I9534">
        <v>118.48</v>
      </c>
      <c r="J9534">
        <v>0.01</v>
      </c>
    </row>
    <row r="9535" spans="1:10" x14ac:dyDescent="0.3">
      <c r="A9535" t="str">
        <f>HYPERLINK("https://us2.cloudbeds.com/connect/10074733072513#/reservations/31689709850799?display=MHXZHZKWW&amp;reservation_id=31689709850799", "MHXZHZKWW")</f>
        <v>MHXZHZKWW</v>
      </c>
      <c r="B9535" t="s">
        <v>10</v>
      </c>
      <c r="C9535" t="s">
        <v>121</v>
      </c>
      <c r="D9535" t="str">
        <f>HYPERLINK("https://us2.cloudbeds.com/connect/10074733072513#/reservations/31689709850799?display=Micheal%20Jones&amp;reservation_id=31689709850799&amp;guest_id=31689709850794", "Micheal Jones")</f>
        <v>Micheal Jones</v>
      </c>
      <c r="E9535" t="s">
        <v>8096</v>
      </c>
      <c r="F9535" t="s">
        <v>8097</v>
      </c>
      <c r="G9535">
        <v>109</v>
      </c>
      <c r="H9535">
        <v>118.49</v>
      </c>
      <c r="I9535">
        <v>118.48</v>
      </c>
      <c r="J9535">
        <v>0.01</v>
      </c>
    </row>
    <row r="9536" spans="1:10" x14ac:dyDescent="0.3">
      <c r="A9536" t="str">
        <f>HYPERLINK("https://us2.cloudbeds.com/connect/10074733072513#/reservations/31689491357905?display=MHXXVGZZ6&amp;reservation_id=31689491357905", "MHXXVGZZ6")</f>
        <v>MHXXVGZZ6</v>
      </c>
      <c r="B9536" t="s">
        <v>10</v>
      </c>
      <c r="C9536" t="s">
        <v>42</v>
      </c>
      <c r="D9536" t="str">
        <f>HYPERLINK("https://us2.cloudbeds.com/connect/10074733072513#/reservations/31689491357905?display=Satnam%20Singh&amp;reservation_id=31689491357905&amp;guest_id=31689491353820", "Satnam Singh")</f>
        <v>Satnam Singh</v>
      </c>
      <c r="E9536" t="s">
        <v>8098</v>
      </c>
      <c r="F9536" t="s">
        <v>8041</v>
      </c>
      <c r="G9536">
        <v>252</v>
      </c>
      <c r="H9536">
        <v>273.93</v>
      </c>
      <c r="I9536">
        <v>273.92</v>
      </c>
      <c r="J9536">
        <v>0.01</v>
      </c>
    </row>
    <row r="9537" spans="1:10" x14ac:dyDescent="0.3">
      <c r="A9537" t="str">
        <f>HYPERLINK("https://us2.cloudbeds.com/connect/10074733072513#/reservations/31690127909007?display=MHJ278NRH&amp;reservation_id=31690127909007", "MHJ278NRH")</f>
        <v>MHJ278NRH</v>
      </c>
      <c r="B9537" t="s">
        <v>10</v>
      </c>
      <c r="C9537" t="s">
        <v>42</v>
      </c>
      <c r="D9537" t="str">
        <f>HYPERLINK("https://us2.cloudbeds.com/connect/10074733072513#/reservations/31690127909007?display=Fire%20Department%20Miller&amp;reservation_id=31690127909007&amp;guest_id=31690115391715", "Fire Department Miller")</f>
        <v>Fire Department Miller</v>
      </c>
      <c r="E9537" t="s">
        <v>8101</v>
      </c>
      <c r="F9537" t="s">
        <v>8102</v>
      </c>
      <c r="G9537">
        <v>450</v>
      </c>
      <c r="H9537">
        <v>489.16</v>
      </c>
      <c r="I9537">
        <v>489.15</v>
      </c>
      <c r="J9537">
        <v>0.01</v>
      </c>
    </row>
    <row r="9538" spans="1:10" x14ac:dyDescent="0.3">
      <c r="A9538" t="str">
        <f>HYPERLINK("https://us2.cloudbeds.com/connect/10074733072513#/reservations/31689879752858?display=MHXST0DJ7&amp;reservation_id=31689879752858", "MHXST0DJ7")</f>
        <v>MHXST0DJ7</v>
      </c>
      <c r="B9538" t="s">
        <v>10</v>
      </c>
      <c r="C9538" t="s">
        <v>42</v>
      </c>
      <c r="D9538" t="str">
        <f>HYPERLINK("https://us2.cloudbeds.com/connect/10074733072513#/reservations/31689879752858?display=Jason%20Bradshaw&amp;reservation_id=31689879752858&amp;guest_id=31689769025728", "Jason Bradshaw")</f>
        <v>Jason Bradshaw</v>
      </c>
      <c r="E9538" t="s">
        <v>8057</v>
      </c>
      <c r="F9538" t="s">
        <v>8061</v>
      </c>
      <c r="G9538">
        <v>336</v>
      </c>
      <c r="H9538">
        <v>365.24</v>
      </c>
      <c r="I9538">
        <v>365.23</v>
      </c>
      <c r="J9538">
        <v>0.01</v>
      </c>
    </row>
    <row r="9539" spans="1:10" x14ac:dyDescent="0.3">
      <c r="A9539" t="str">
        <f>HYPERLINK("https://us2.cloudbeds.com/connect/10074733072513#/reservations/31686215590043?display=MHG189MED&amp;reservation_id=31686215590043", "MHG189MED")</f>
        <v>MHG189MED</v>
      </c>
      <c r="B9539" t="s">
        <v>10</v>
      </c>
      <c r="C9539" t="s">
        <v>42</v>
      </c>
      <c r="D9539" t="str">
        <f>HYPERLINK("https://us2.cloudbeds.com/connect/10074733072513#/reservations/31686215590043?display=Zacharey%20Scott%20Ballard&amp;reservation_id=31686215590043&amp;guest_id=31686215585951", "Zacharey Scott Ballard")</f>
        <v>Zacharey Scott Ballard</v>
      </c>
      <c r="E9539" t="s">
        <v>8103</v>
      </c>
      <c r="F9539" t="s">
        <v>8097</v>
      </c>
      <c r="G9539">
        <v>109</v>
      </c>
      <c r="H9539">
        <v>118.49</v>
      </c>
      <c r="I9539">
        <v>118.48</v>
      </c>
      <c r="J9539">
        <v>0.01</v>
      </c>
    </row>
    <row r="9540" spans="1:10" x14ac:dyDescent="0.3">
      <c r="A9540" t="str">
        <f>HYPERLINK("https://us2.cloudbeds.com/connect/10074733072513#/reservations/31687475331218?display=MHH0EHRXD&amp;reservation_id=31687475331218", "MHH0EHRXD")</f>
        <v>MHH0EHRXD</v>
      </c>
      <c r="B9540" t="s">
        <v>10</v>
      </c>
      <c r="C9540" t="s">
        <v>121</v>
      </c>
      <c r="D9540" t="str">
        <f>HYPERLINK("https://us2.cloudbeds.com/connect/10074733072513#/reservations/31687475331218?display=Chelsea%20Kadinger&amp;reservation_id=31687475331218&amp;guest_id=31687475331213", "Chelsea Kadinger")</f>
        <v>Chelsea Kadinger</v>
      </c>
      <c r="E9540" t="s">
        <v>8104</v>
      </c>
      <c r="F9540" t="s">
        <v>8049</v>
      </c>
      <c r="G9540">
        <v>139</v>
      </c>
      <c r="H9540">
        <v>151.1</v>
      </c>
      <c r="I9540">
        <v>151.09</v>
      </c>
      <c r="J9540">
        <v>0.01</v>
      </c>
    </row>
    <row r="9541" spans="1:10" x14ac:dyDescent="0.3">
      <c r="A9541" t="str">
        <f>HYPERLINK("https://us2.cloudbeds.com/connect/10074733072513#/reservations/31689269891288?display=MHXD9P3PJ&amp;reservation_id=31689269891288", "MHXD9P3PJ")</f>
        <v>MHXD9P3PJ</v>
      </c>
      <c r="B9541" t="s">
        <v>10</v>
      </c>
      <c r="C9541" t="s">
        <v>42</v>
      </c>
      <c r="D9541" t="str">
        <f>HYPERLINK("https://us2.cloudbeds.com/connect/10074733072513#/reservations/31689269891288?display=Scott%20Galliart&amp;reservation_id=31689269891288&amp;guest_id=31689269887196", "Scott Galliart")</f>
        <v>Scott Galliart</v>
      </c>
      <c r="E9541" t="s">
        <v>8105</v>
      </c>
      <c r="F9541" t="s">
        <v>7952</v>
      </c>
      <c r="G9541">
        <v>318</v>
      </c>
      <c r="H9541">
        <v>345.68</v>
      </c>
      <c r="I9541">
        <v>345.67</v>
      </c>
      <c r="J9541">
        <v>0.01</v>
      </c>
    </row>
    <row r="9542" spans="1:10" x14ac:dyDescent="0.3">
      <c r="A9542" t="str">
        <f>HYPERLINK("https://us2.cloudbeds.com/connect/10074733072513#/reservations/31685565620423?display=MHFHY7AFA&amp;reservation_id=31685565620423", "MHFHY7AFA")</f>
        <v>MHFHY7AFA</v>
      </c>
      <c r="B9542" t="s">
        <v>10</v>
      </c>
      <c r="C9542" t="s">
        <v>23</v>
      </c>
      <c r="D9542" t="str">
        <f>HYPERLINK("https://us2.cloudbeds.com/connect/10074733072513#/reservations/31685565620423?display=Mark%20Steigleder&amp;reservation_id=31685565620423&amp;guest_id=31685565620417", "Mark Steigleder")</f>
        <v>Mark Steigleder</v>
      </c>
      <c r="E9542" t="s">
        <v>8106</v>
      </c>
      <c r="F9542" t="s">
        <v>8049</v>
      </c>
      <c r="G9542">
        <v>109</v>
      </c>
      <c r="H9542">
        <v>118.49</v>
      </c>
      <c r="I9542">
        <v>118.48</v>
      </c>
      <c r="J9542">
        <v>0.01</v>
      </c>
    </row>
    <row r="9543" spans="1:10" x14ac:dyDescent="0.3">
      <c r="A9543" t="str">
        <f>HYPERLINK("https://us2.cloudbeds.com/connect/10074733072513#/reservations/31693936554198?display=MHM0HQTB5&amp;reservation_id=31693936554198", "MHM0HQTB5")</f>
        <v>MHM0HQTB5</v>
      </c>
      <c r="B9543" t="s">
        <v>10</v>
      </c>
      <c r="C9543" t="s">
        <v>23</v>
      </c>
      <c r="D9543" t="str">
        <f>HYPERLINK("https://us2.cloudbeds.com/connect/10074733072513#/reservations/31693936554198?display=Heather%20Senjem&amp;reservation_id=31693936554198&amp;guest_id=31693936554195", "Heather Senjem")</f>
        <v>Heather Senjem</v>
      </c>
      <c r="E9543" t="s">
        <v>8107</v>
      </c>
      <c r="F9543" t="s">
        <v>7795</v>
      </c>
      <c r="G9543">
        <v>298</v>
      </c>
      <c r="H9543">
        <v>323.94</v>
      </c>
      <c r="I9543">
        <v>323.93</v>
      </c>
      <c r="J9543">
        <v>0.01</v>
      </c>
    </row>
    <row r="9544" spans="1:10" x14ac:dyDescent="0.3">
      <c r="A9544" t="str">
        <f>HYPERLINK("https://us2.cloudbeds.com/connect/10074733072513#/reservations/31686494265499?display=MHG8C97P6&amp;reservation_id=31686494265499", "MHG8C97P6")</f>
        <v>MHG8C97P6</v>
      </c>
      <c r="B9544" t="s">
        <v>10</v>
      </c>
      <c r="C9544" t="s">
        <v>42</v>
      </c>
      <c r="D9544" t="str">
        <f>HYPERLINK("https://us2.cloudbeds.com/connect/10074733072513#/reservations/31686494265499?display=Allison%20Hendrickson&amp;reservation_id=31686494265499&amp;guest_id=31686494265493", "Allison Hendrickson")</f>
        <v>Allison Hendrickson</v>
      </c>
      <c r="E9544" t="s">
        <v>4589</v>
      </c>
      <c r="F9544" t="s">
        <v>7807</v>
      </c>
      <c r="G9544">
        <v>189</v>
      </c>
      <c r="H9544">
        <v>205.45</v>
      </c>
      <c r="I9544">
        <v>205.44</v>
      </c>
      <c r="J9544">
        <v>0.01</v>
      </c>
    </row>
    <row r="9545" spans="1:10" x14ac:dyDescent="0.3">
      <c r="A9545" t="str">
        <f>HYPERLINK("https://us2.cloudbeds.com/connect/10074733072513#/reservations/31686522425547?display=MHG930RCW&amp;reservation_id=31686522425547", "MHG930RCW")</f>
        <v>MHG930RCW</v>
      </c>
      <c r="B9545" t="s">
        <v>10</v>
      </c>
      <c r="C9545" t="s">
        <v>14</v>
      </c>
      <c r="D9545" t="str">
        <f>HYPERLINK("https://us2.cloudbeds.com/connect/10074733072513#/reservations/31686522425547?display=Cory%20Price&amp;reservation_id=31686522425547&amp;guest_id=31686522421450", "Cory Price")</f>
        <v>Cory Price</v>
      </c>
      <c r="E9545" t="s">
        <v>8109</v>
      </c>
      <c r="F9545" t="s">
        <v>7807</v>
      </c>
      <c r="G9545">
        <v>97.74</v>
      </c>
      <c r="H9545">
        <v>106.25</v>
      </c>
      <c r="I9545">
        <v>106.24</v>
      </c>
      <c r="J9545">
        <v>0.01</v>
      </c>
    </row>
    <row r="9546" spans="1:10" x14ac:dyDescent="0.3">
      <c r="A9546" t="str">
        <f>HYPERLINK("https://us2.cloudbeds.com/connect/10074733072513#/reservations/31689567105208?display=MHXKTCHG0&amp;reservation_id=31689567105208", "MHXKTCHG0")</f>
        <v>MHXKTCHG0</v>
      </c>
      <c r="B9546" t="s">
        <v>10</v>
      </c>
      <c r="C9546" t="s">
        <v>42</v>
      </c>
      <c r="D9546" t="str">
        <f>HYPERLINK("https://us2.cloudbeds.com/connect/10074733072513#/reservations/31689567105208?display=Amy%20Knight&amp;reservation_id=31689567105208&amp;guest_id=31689559195803", "Amy Knight")</f>
        <v>Amy Knight</v>
      </c>
      <c r="E9546" t="s">
        <v>8110</v>
      </c>
      <c r="F9546" t="s">
        <v>8100</v>
      </c>
      <c r="G9546">
        <v>109</v>
      </c>
      <c r="H9546">
        <v>118.49</v>
      </c>
      <c r="I9546">
        <v>118.48</v>
      </c>
      <c r="J9546">
        <v>0.01</v>
      </c>
    </row>
    <row r="9547" spans="1:10" x14ac:dyDescent="0.3">
      <c r="A9547" t="str">
        <f>HYPERLINK("https://us2.cloudbeds.com/connect/10074733072513#/reservations/31687508172956?display=MHH197N8X&amp;reservation_id=31687508172956", "MHH197N8X")</f>
        <v>MHH197N8X</v>
      </c>
      <c r="B9547" t="s">
        <v>10</v>
      </c>
      <c r="C9547" t="s">
        <v>42</v>
      </c>
      <c r="D9547" t="str">
        <f>HYPERLINK("https://us2.cloudbeds.com/connect/10074733072513#/reservations/31687508172956?display=Eric%20Smith&amp;reservation_id=31687508172956&amp;guest_id=31687508168876", "Eric Smith")</f>
        <v>Eric Smith</v>
      </c>
      <c r="E9547" t="s">
        <v>7907</v>
      </c>
      <c r="F9547" t="s">
        <v>8061</v>
      </c>
      <c r="G9547">
        <v>109</v>
      </c>
      <c r="H9547">
        <v>118.49</v>
      </c>
      <c r="I9547">
        <v>118.48</v>
      </c>
      <c r="J9547">
        <v>0.01</v>
      </c>
    </row>
    <row r="9548" spans="1:10" x14ac:dyDescent="0.3">
      <c r="A9548" t="str">
        <f>HYPERLINK("https://us2.cloudbeds.com/connect/10074733072513#/reservations/31685557035246?display=MHFHDWDUE&amp;reservation_id=31685557035246", "MHFHDWDUE")</f>
        <v>MHFHDWDUE</v>
      </c>
      <c r="B9548" t="s">
        <v>10</v>
      </c>
      <c r="C9548" t="s">
        <v>23</v>
      </c>
      <c r="D9548" t="str">
        <f>HYPERLINK("https://us2.cloudbeds.com/connect/10074733072513#/reservations/31685557035246?display=Abigail%20Metzger&amp;reservation_id=31685557035246&amp;guest_id=31685549867143", "Abigail Metzger")</f>
        <v>Abigail Metzger</v>
      </c>
      <c r="E9548" t="s">
        <v>8111</v>
      </c>
      <c r="F9548" t="s">
        <v>8007</v>
      </c>
      <c r="G9548">
        <v>169</v>
      </c>
      <c r="H9548">
        <v>183.71</v>
      </c>
      <c r="I9548">
        <v>183.7</v>
      </c>
      <c r="J9548">
        <v>0.01</v>
      </c>
    </row>
    <row r="9549" spans="1:10" x14ac:dyDescent="0.3">
      <c r="A9549" t="str">
        <f>HYPERLINK("https://us2.cloudbeds.com/connect/10074733072513#/reservations/31685326549176?display=MHFBHKQY2&amp;reservation_id=31685326549176", "MHFBHKQY2")</f>
        <v>MHFBHKQY2</v>
      </c>
      <c r="B9549" t="s">
        <v>10</v>
      </c>
      <c r="C9549" t="s">
        <v>17</v>
      </c>
      <c r="D9549" t="str">
        <f>HYPERLINK("https://us2.cloudbeds.com/connect/10074733072513#/reservations/31685326549176?display=Melinda%20Beck&amp;reservation_id=31685326549176&amp;guest_id=31685318017159", "Melinda Beck")</f>
        <v>Melinda Beck</v>
      </c>
      <c r="E9549" t="s">
        <v>8112</v>
      </c>
      <c r="F9549" t="s">
        <v>7807</v>
      </c>
      <c r="G9549">
        <v>139</v>
      </c>
      <c r="H9549">
        <v>151.1</v>
      </c>
      <c r="I9549">
        <v>151.09</v>
      </c>
      <c r="J9549">
        <v>0.01</v>
      </c>
    </row>
    <row r="9550" spans="1:10" x14ac:dyDescent="0.3">
      <c r="A9550" t="str">
        <f>HYPERLINK("https://us2.cloudbeds.com/connect/10074733072513#/reservations/31685629386898?display=MHFJ8WNHZ&amp;reservation_id=31685629386898", "MHFJ8WNHZ")</f>
        <v>MHFJ8WNHZ</v>
      </c>
      <c r="B9550" t="s">
        <v>10</v>
      </c>
      <c r="C9550" t="s">
        <v>121</v>
      </c>
      <c r="D9550" t="str">
        <f>HYPERLINK("https://us2.cloudbeds.com/connect/10074733072513#/reservations/31685629386898?display=Rebecca%20Sandy&amp;reservation_id=31685629386898&amp;guest_id=31685629386893", "Rebecca Sandy")</f>
        <v>Rebecca Sandy</v>
      </c>
      <c r="E9550" t="s">
        <v>8113</v>
      </c>
      <c r="F9550" t="s">
        <v>8049</v>
      </c>
      <c r="G9550">
        <v>109</v>
      </c>
      <c r="H9550">
        <v>118.49</v>
      </c>
      <c r="I9550">
        <v>118.48</v>
      </c>
      <c r="J9550">
        <v>0.01</v>
      </c>
    </row>
    <row r="9551" spans="1:10" x14ac:dyDescent="0.3">
      <c r="A9551" t="str">
        <f>HYPERLINK("https://us2.cloudbeds.com/connect/10074733072513#/reservations/31694747652241?display=MHMY8ZT9Z&amp;reservation_id=31694747652241", "MHMY8ZT9Z")</f>
        <v>MHMY8ZT9Z</v>
      </c>
      <c r="B9551" t="s">
        <v>10</v>
      </c>
      <c r="C9551" t="s">
        <v>11</v>
      </c>
      <c r="D9551" t="str">
        <f>HYPERLINK("https://us2.cloudbeds.com/connect/10074733072513#/reservations/31694747652241?display=Heather%20O'Bryan&amp;reservation_id=31694747652241&amp;guest_id=31694742298872", "Heather O'Bryan")</f>
        <v>Heather O'Bryan</v>
      </c>
      <c r="E9551" t="s">
        <v>8115</v>
      </c>
      <c r="F9551" t="s">
        <v>7807</v>
      </c>
      <c r="G9551">
        <v>97.74</v>
      </c>
      <c r="H9551">
        <v>106.25</v>
      </c>
      <c r="I9551">
        <v>106.24</v>
      </c>
      <c r="J9551">
        <v>0.01</v>
      </c>
    </row>
    <row r="9552" spans="1:10" x14ac:dyDescent="0.3">
      <c r="A9552" t="str">
        <f>HYPERLINK("https://us2.cloudbeds.com/connect/10074733072513#/reservations/31689913979026?display=MHXTZSQXR&amp;reservation_id=31689913979026", "MHXTZSQXR")</f>
        <v>MHXTZSQXR</v>
      </c>
      <c r="B9552" t="s">
        <v>10</v>
      </c>
      <c r="C9552" t="s">
        <v>42</v>
      </c>
      <c r="D9552" t="str">
        <f>HYPERLINK("https://us2.cloudbeds.com/connect/10074733072513#/reservations/31689913979026?display=Bruce%20Groen&amp;reservation_id=31689913979026&amp;guest_id=30651176169616", "Bruce Groen")</f>
        <v>Bruce Groen</v>
      </c>
      <c r="E9552" t="s">
        <v>8116</v>
      </c>
      <c r="F9552" t="s">
        <v>8041</v>
      </c>
      <c r="G9552">
        <v>73</v>
      </c>
      <c r="H9552">
        <v>79.36</v>
      </c>
      <c r="I9552">
        <v>79.349999999999994</v>
      </c>
      <c r="J9552">
        <v>0.01</v>
      </c>
    </row>
    <row r="9553" spans="1:10" x14ac:dyDescent="0.3">
      <c r="A9553" t="str">
        <f>HYPERLINK("https://us2.cloudbeds.com/connect/10074733072513#/reservations/31689913974921?display=MHXTZSMQD&amp;reservation_id=31689913974921", "MHXTZSMQD")</f>
        <v>MHXTZSMQD</v>
      </c>
      <c r="B9553" t="s">
        <v>10</v>
      </c>
      <c r="C9553" t="s">
        <v>42</v>
      </c>
      <c r="D9553" t="str">
        <f>HYPERLINK("https://us2.cloudbeds.com/connect/10074733072513#/reservations/31689913974921?display=Adam%20Jon%20Spooner&amp;reservation_id=31689913974921&amp;guest_id=31689906114748", "Adam Jon Spooner")</f>
        <v>Adam Jon Spooner</v>
      </c>
      <c r="E9553" t="s">
        <v>8117</v>
      </c>
      <c r="F9553" t="s">
        <v>8041</v>
      </c>
      <c r="G9553">
        <v>73</v>
      </c>
      <c r="H9553">
        <v>79.36</v>
      </c>
      <c r="I9553">
        <v>79.349999999999994</v>
      </c>
      <c r="J9553">
        <v>0.01</v>
      </c>
    </row>
    <row r="9554" spans="1:10" x14ac:dyDescent="0.3">
      <c r="A9554" t="str">
        <f>HYPERLINK("https://us2.cloudbeds.com/connect/10074733072513#/reservations/31690035327105?display=MHXWS6GAB&amp;reservation_id=31690035327105", "MHXWS6GAB")</f>
        <v>MHXWS6GAB</v>
      </c>
      <c r="B9554" t="s">
        <v>10</v>
      </c>
      <c r="C9554" t="s">
        <v>23</v>
      </c>
      <c r="D9554" t="str">
        <f>HYPERLINK("https://us2.cloudbeds.com/connect/10074733072513#/reservations/31690035327105?display=Bill%20Arends&amp;reservation_id=31690035327105&amp;guest_id=31690026135777", "Bill Arends")</f>
        <v>Bill Arends</v>
      </c>
      <c r="E9554" t="s">
        <v>8118</v>
      </c>
      <c r="F9554" t="s">
        <v>7780</v>
      </c>
      <c r="G9554">
        <v>169</v>
      </c>
      <c r="H9554">
        <v>183.71</v>
      </c>
      <c r="I9554">
        <v>183.7</v>
      </c>
      <c r="J9554">
        <v>0.01</v>
      </c>
    </row>
    <row r="9555" spans="1:10" x14ac:dyDescent="0.3">
      <c r="A9555" t="str">
        <f>HYPERLINK("https://us2.cloudbeds.com/connect/10074733072513#/reservations/31689971544219?display=MHXV7DY5K&amp;reservation_id=31689971544219", "MHXV7DY5K")</f>
        <v>MHXV7DY5K</v>
      </c>
      <c r="B9555" t="s">
        <v>10</v>
      </c>
      <c r="C9555" t="s">
        <v>23</v>
      </c>
      <c r="D9555" t="str">
        <f>HYPERLINK("https://us2.cloudbeds.com/connect/10074733072513#/reservations/31689971544219?display=Karen%20Stupic&amp;reservation_id=31689971544219&amp;guest_id=31689961984131", "Karen Stupic")</f>
        <v>Karen Stupic</v>
      </c>
      <c r="E9555" t="s">
        <v>8119</v>
      </c>
      <c r="F9555" t="s">
        <v>8100</v>
      </c>
      <c r="G9555">
        <v>139</v>
      </c>
      <c r="H9555">
        <v>151.1</v>
      </c>
      <c r="I9555">
        <v>151.09</v>
      </c>
      <c r="J9555">
        <v>0.01</v>
      </c>
    </row>
    <row r="9556" spans="1:10" x14ac:dyDescent="0.3">
      <c r="A9556" t="str">
        <f>HYPERLINK("https://us2.cloudbeds.com/connect/10074733072513#/reservations/31694701760659?display=MHMK31T8Z&amp;reservation_id=31694701760659", "MHMK31T8Z")</f>
        <v>MHMK31T8Z</v>
      </c>
      <c r="B9556" t="s">
        <v>10</v>
      </c>
      <c r="C9556" t="s">
        <v>23</v>
      </c>
      <c r="D9556" t="str">
        <f>HYPERLINK("https://us2.cloudbeds.com/connect/10074733072513#/reservations/31694701760659?display=Patricia%20Taylor&amp;reservation_id=31694701760659&amp;guest_id=31694701760655", "Patricia Taylor")</f>
        <v>Patricia Taylor</v>
      </c>
      <c r="E9556" t="s">
        <v>8121</v>
      </c>
      <c r="F9556" t="s">
        <v>7807</v>
      </c>
      <c r="G9556">
        <v>159</v>
      </c>
      <c r="H9556">
        <v>172.84</v>
      </c>
      <c r="I9556">
        <v>172.83</v>
      </c>
      <c r="J9556">
        <v>0.01</v>
      </c>
    </row>
    <row r="9557" spans="1:10" x14ac:dyDescent="0.3">
      <c r="A9557" t="str">
        <f>HYPERLINK("https://us2.cloudbeds.com/connect/10074733072513#/reservations/31689582006503?display=MHXY8V5VD&amp;reservation_id=31689582006503", "MHXY8V5VD")</f>
        <v>MHXY8V5VD</v>
      </c>
      <c r="B9557" t="s">
        <v>10</v>
      </c>
      <c r="C9557" t="s">
        <v>11</v>
      </c>
      <c r="D9557" t="str">
        <f>HYPERLINK("https://us2.cloudbeds.com/connect/10074733072513#/reservations/31689582006503?display=Gabriel%20Padilla&amp;reservation_id=31689582006503&amp;guest_id=31689569620112", "Gabriel Padilla")</f>
        <v>Gabriel Padilla</v>
      </c>
      <c r="E9557" t="s">
        <v>8122</v>
      </c>
      <c r="F9557" t="s">
        <v>8100</v>
      </c>
      <c r="G9557">
        <v>97.74</v>
      </c>
      <c r="H9557">
        <v>106.25</v>
      </c>
      <c r="I9557">
        <v>106.24</v>
      </c>
      <c r="J9557">
        <v>0.01</v>
      </c>
    </row>
    <row r="9558" spans="1:10" x14ac:dyDescent="0.3">
      <c r="A9558" t="str">
        <f>HYPERLINK("https://us2.cloudbeds.com/connect/10074733072513#/reservations/31688697630946?display=MHHVM7463&amp;reservation_id=31688697630946", "MHHVM7463")</f>
        <v>MHHVM7463</v>
      </c>
      <c r="B9558" t="s">
        <v>10</v>
      </c>
      <c r="C9558" t="s">
        <v>23</v>
      </c>
      <c r="D9558" t="str">
        <f>HYPERLINK("https://us2.cloudbeds.com/connect/10074733072513#/reservations/31688697630946?display=Laura%20Hamacher&amp;reservation_id=31688697630946&amp;guest_id=30681801248917", "Laura Hamacher")</f>
        <v>Laura Hamacher</v>
      </c>
      <c r="E9558" t="s">
        <v>3756</v>
      </c>
      <c r="F9558" t="s">
        <v>8007</v>
      </c>
      <c r="G9558">
        <v>149</v>
      </c>
      <c r="H9558">
        <v>161.97</v>
      </c>
      <c r="I9558">
        <v>161.96</v>
      </c>
      <c r="J9558">
        <v>0.01</v>
      </c>
    </row>
    <row r="9559" spans="1:10" x14ac:dyDescent="0.3">
      <c r="A9559" t="str">
        <f>HYPERLINK("https://us2.cloudbeds.com/connect/10074733072513#/reservations/31685560901770?display=MHFHH80ER&amp;reservation_id=31685560901770", "MHFHH80ER")</f>
        <v>MHFHH80ER</v>
      </c>
      <c r="B9559" t="s">
        <v>10</v>
      </c>
      <c r="C9559" t="s">
        <v>23</v>
      </c>
      <c r="D9559" t="str">
        <f>HYPERLINK("https://us2.cloudbeds.com/connect/10074733072513#/reservations/31685560901770?display=Jeff%20Millar&amp;reservation_id=31685560901770&amp;guest_id=31685560901765", "Jeff Millar")</f>
        <v>Jeff Millar</v>
      </c>
      <c r="E9559" t="s">
        <v>8123</v>
      </c>
      <c r="F9559" t="s">
        <v>8007</v>
      </c>
      <c r="G9559">
        <v>149</v>
      </c>
      <c r="H9559">
        <v>161.97</v>
      </c>
      <c r="I9559">
        <v>161.96</v>
      </c>
      <c r="J9559">
        <v>0.01</v>
      </c>
    </row>
    <row r="9560" spans="1:10" x14ac:dyDescent="0.3">
      <c r="A9560" t="str">
        <f>HYPERLINK("https://us2.cloudbeds.com/connect/10074733072513#/reservations/31695806001330?display=MHNFA60C8&amp;reservation_id=31695806001330", "MHNFA60C8")</f>
        <v>MHNFA60C8</v>
      </c>
      <c r="B9560" t="s">
        <v>10</v>
      </c>
      <c r="C9560" t="s">
        <v>42</v>
      </c>
      <c r="D9560" t="str">
        <f>HYPERLINK("https://us2.cloudbeds.com/connect/10074733072513#/reservations/31695806001330?display=April%20Putzier&amp;reservation_id=31695806001330&amp;guest_id=31695806001319", "April Putzier")</f>
        <v>April Putzier</v>
      </c>
      <c r="E9560" t="s">
        <v>8124</v>
      </c>
      <c r="F9560" t="s">
        <v>6604</v>
      </c>
      <c r="G9560">
        <v>258</v>
      </c>
      <c r="H9560">
        <v>280.45999999999998</v>
      </c>
      <c r="I9560">
        <v>280.45</v>
      </c>
      <c r="J9560">
        <v>0.01</v>
      </c>
    </row>
    <row r="9561" spans="1:10" x14ac:dyDescent="0.3">
      <c r="A9561" t="str">
        <f>HYPERLINK("https://us2.cloudbeds.com/connect/10074733072513#/reservations/31694778282137?display=MHMM1J6UD&amp;reservation_id=31694778282137", "MHMM1J6UD")</f>
        <v>MHMM1J6UD</v>
      </c>
      <c r="B9561" t="s">
        <v>10</v>
      </c>
      <c r="C9561" t="s">
        <v>42</v>
      </c>
      <c r="D9561" t="str">
        <f>HYPERLINK("https://us2.cloudbeds.com/connect/10074733072513#/reservations/31694778282137?display=Daniel%20Konoll&amp;reservation_id=31694778282137&amp;guest_id=31694768382146", "Daniel Konoll")</f>
        <v>Daniel Konoll</v>
      </c>
      <c r="E9561" t="s">
        <v>8125</v>
      </c>
      <c r="F9561" t="s">
        <v>7807</v>
      </c>
      <c r="G9561">
        <v>149</v>
      </c>
      <c r="H9561">
        <v>161.97</v>
      </c>
      <c r="I9561">
        <v>161.96</v>
      </c>
      <c r="J9561">
        <v>0.01</v>
      </c>
    </row>
    <row r="9562" spans="1:10" x14ac:dyDescent="0.3">
      <c r="A9562" t="str">
        <f>HYPERLINK("https://us2.cloudbeds.com/connect/10074733072513#/reservations/31689307959501?display=MHXE8SDQQ&amp;reservation_id=31689307959501", "MHXE8SDQQ")</f>
        <v>MHXE8SDQQ</v>
      </c>
      <c r="B9562" t="s">
        <v>10</v>
      </c>
      <c r="C9562" t="s">
        <v>121</v>
      </c>
      <c r="D9562" t="str">
        <f>HYPERLINK("https://us2.cloudbeds.com/connect/10074733072513#/reservations/31689307959501?display=Erik%20Hansen&amp;reservation_id=31689307959501&amp;guest_id=31689307959496", "Erik Hansen")</f>
        <v>Erik Hansen</v>
      </c>
      <c r="E9562" t="s">
        <v>8126</v>
      </c>
      <c r="F9562" t="s">
        <v>8041</v>
      </c>
      <c r="G9562">
        <v>109</v>
      </c>
      <c r="H9562">
        <v>118.49</v>
      </c>
      <c r="I9562">
        <v>118.48</v>
      </c>
      <c r="J9562">
        <v>0.01</v>
      </c>
    </row>
    <row r="9563" spans="1:10" x14ac:dyDescent="0.3">
      <c r="A9563" t="str">
        <f>HYPERLINK("https://us2.cloudbeds.com/connect/10074733072513#/reservations/31689979990262?display=MHXVEHYVA&amp;reservation_id=31689979990262", "MHXVEHYVA")</f>
        <v>MHXVEHYVA</v>
      </c>
      <c r="B9563" t="s">
        <v>10</v>
      </c>
      <c r="C9563" t="s">
        <v>11</v>
      </c>
      <c r="D9563" t="str">
        <f>HYPERLINK("https://us2.cloudbeds.com/connect/10074733072513#/reservations/31689979990262?display=Kallie%20Brozik&amp;reservation_id=31689979990262&amp;guest_id=31689971548313", "Kallie Brozik")</f>
        <v>Kallie Brozik</v>
      </c>
      <c r="E9563" t="s">
        <v>8127</v>
      </c>
      <c r="F9563" t="s">
        <v>8100</v>
      </c>
      <c r="G9563">
        <v>97.74</v>
      </c>
      <c r="H9563">
        <v>106.25</v>
      </c>
      <c r="I9563">
        <v>106.24</v>
      </c>
      <c r="J9563">
        <v>0.01</v>
      </c>
    </row>
    <row r="9564" spans="1:10" x14ac:dyDescent="0.3">
      <c r="A9564" t="str">
        <f>HYPERLINK("https://us2.cloudbeds.com/connect/10074733072513#/reservations/31686464356606?display=MHG7K1W73&amp;reservation_id=31686464356606", "MHG7K1W73")</f>
        <v>MHG7K1W73</v>
      </c>
      <c r="B9564" t="s">
        <v>10</v>
      </c>
      <c r="C9564" t="s">
        <v>42</v>
      </c>
      <c r="D9564" t="str">
        <f>HYPERLINK("https://us2.cloudbeds.com/connect/10074733072513#/reservations/31686464356606?display=Paul%20Stevenson&amp;reservation_id=31686464356606&amp;guest_id=31675002200193", "Paul Stevenson")</f>
        <v>Paul Stevenson</v>
      </c>
      <c r="E9564" t="s">
        <v>5623</v>
      </c>
      <c r="F9564" t="s">
        <v>8128</v>
      </c>
      <c r="G9564">
        <v>150</v>
      </c>
      <c r="H9564">
        <v>163.06</v>
      </c>
      <c r="I9564">
        <v>163.05000000000001</v>
      </c>
      <c r="J9564">
        <v>0.01</v>
      </c>
    </row>
    <row r="9565" spans="1:10" x14ac:dyDescent="0.3">
      <c r="A9565" t="str">
        <f>HYPERLINK("https://us2.cloudbeds.com/connect/10074733072513#/reservations/31691502653597?display=MHK4BG0XG&amp;reservation_id=31691502653597", "MHK4BG0XG")</f>
        <v>MHK4BG0XG</v>
      </c>
      <c r="B9565" t="s">
        <v>10</v>
      </c>
      <c r="C9565" t="s">
        <v>23</v>
      </c>
      <c r="D9565" t="str">
        <f>HYPERLINK("https://us2.cloudbeds.com/connect/10074733072513#/reservations/31691502653597?display=Jake%20Terpening&amp;reservation_id=31691502653597&amp;guest_id=31691502653592", "Jake Terpening")</f>
        <v>Jake Terpening</v>
      </c>
      <c r="E9565" t="s">
        <v>8130</v>
      </c>
      <c r="F9565" t="s">
        <v>6604</v>
      </c>
      <c r="G9565">
        <v>318</v>
      </c>
      <c r="H9565">
        <v>345.68</v>
      </c>
      <c r="I9565">
        <v>345.67</v>
      </c>
      <c r="J9565">
        <v>0.01</v>
      </c>
    </row>
    <row r="9566" spans="1:10" x14ac:dyDescent="0.3">
      <c r="A9566" t="str">
        <f>HYPERLINK("https://us2.cloudbeds.com/connect/10074733072513#/reservations/31693019537576?display=MHYA3XX4M&amp;reservation_id=31693019537576", "MHYA3XX4M")</f>
        <v>MHYA3XX4M</v>
      </c>
      <c r="B9566" t="s">
        <v>10</v>
      </c>
      <c r="C9566" t="s">
        <v>42</v>
      </c>
      <c r="D9566" t="str">
        <f>HYPERLINK("https://us2.cloudbeds.com/connect/10074733072513#/reservations/31693019537576?display=Herb%20Kirchem&amp;reservation_id=31693019537576&amp;guest_id=31693003530456", "Herb Kirchem")</f>
        <v>Herb Kirchem</v>
      </c>
      <c r="E9566" t="s">
        <v>8131</v>
      </c>
      <c r="F9566" t="s">
        <v>8102</v>
      </c>
      <c r="G9566">
        <v>298</v>
      </c>
      <c r="H9566">
        <v>323.94</v>
      </c>
      <c r="I9566">
        <v>323.93</v>
      </c>
      <c r="J9566">
        <v>0.01</v>
      </c>
    </row>
    <row r="9567" spans="1:10" x14ac:dyDescent="0.3">
      <c r="A9567" t="str">
        <f>HYPERLINK("https://us2.cloudbeds.com/connect/10074733072513#/reservations/31685327298769?display=MHFBX8YW0&amp;reservation_id=31685327298769", "MHFBX8YW0")</f>
        <v>MHFBX8YW0</v>
      </c>
      <c r="B9567" t="s">
        <v>10</v>
      </c>
      <c r="C9567" t="s">
        <v>23</v>
      </c>
      <c r="D9567" t="str">
        <f>HYPERLINK("https://us2.cloudbeds.com/connect/10074733072513#/reservations/31685327298769?display=Mattia%20Bartscher&amp;reservation_id=31685327298769&amp;guest_id=31685327298767", "Mattia Bartscher")</f>
        <v>Mattia Bartscher</v>
      </c>
      <c r="E9567" t="s">
        <v>8133</v>
      </c>
      <c r="F9567" t="s">
        <v>7807</v>
      </c>
      <c r="G9567">
        <v>179</v>
      </c>
      <c r="H9567">
        <v>194.58</v>
      </c>
      <c r="I9567">
        <v>194.57</v>
      </c>
      <c r="J9567">
        <v>0.01</v>
      </c>
    </row>
    <row r="9568" spans="1:10" x14ac:dyDescent="0.3">
      <c r="A9568" t="str">
        <f>HYPERLINK("https://us2.cloudbeds.com/connect/10074733072513#/reservations/31694798725278?display=MHMMXR2AH&amp;reservation_id=31694798725278", "MHMMXR2AH")</f>
        <v>MHMMXR2AH</v>
      </c>
      <c r="B9568" t="s">
        <v>10</v>
      </c>
      <c r="C9568" t="s">
        <v>23</v>
      </c>
      <c r="D9568" t="str">
        <f>HYPERLINK("https://us2.cloudbeds.com/connect/10074733072513#/reservations/31694798725278?display=Brandon%20Derby&amp;reservation_id=31694798725278&amp;guest_id=31694798725273", "Brandon Derby")</f>
        <v>Brandon Derby</v>
      </c>
      <c r="E9568" t="s">
        <v>8136</v>
      </c>
      <c r="F9568" t="s">
        <v>7795</v>
      </c>
      <c r="G9568">
        <v>378</v>
      </c>
      <c r="H9568">
        <v>410.9</v>
      </c>
      <c r="I9568">
        <v>410.89</v>
      </c>
      <c r="J9568">
        <v>0.01</v>
      </c>
    </row>
    <row r="9569" spans="1:10" x14ac:dyDescent="0.3">
      <c r="A9569" t="str">
        <f>HYPERLINK("https://us2.cloudbeds.com/connect/10074733072513#/reservations/31691193376903?display=MHJTEMUUF&amp;reservation_id=31691193376903", "MHJTEMUUF")</f>
        <v>MHJTEMUUF</v>
      </c>
      <c r="B9569" t="s">
        <v>10</v>
      </c>
      <c r="C9569" t="s">
        <v>42</v>
      </c>
      <c r="D9569" t="str">
        <f>HYPERLINK("https://us2.cloudbeds.com/connect/10074733072513#/reservations/31691193376903?display=Kelly%20Winter&amp;reservation_id=31691193376903&amp;guest_id=31691193376899", "Kelly Winter")</f>
        <v>Kelly Winter</v>
      </c>
      <c r="E9569" t="s">
        <v>8137</v>
      </c>
      <c r="F9569" t="s">
        <v>6604</v>
      </c>
      <c r="G9569">
        <v>159</v>
      </c>
      <c r="H9569">
        <v>172.84</v>
      </c>
      <c r="I9569">
        <v>172.83</v>
      </c>
      <c r="J9569">
        <v>0.01</v>
      </c>
    </row>
    <row r="9570" spans="1:10" x14ac:dyDescent="0.3">
      <c r="A9570" t="str">
        <f>HYPERLINK("https://us2.cloudbeds.com/connect/10074733072513#/reservations/31686544531600?display=MHG9YYVQC&amp;reservation_id=31686544531600", "MHG9YYVQC")</f>
        <v>MHG9YYVQC</v>
      </c>
      <c r="B9570" t="s">
        <v>10</v>
      </c>
      <c r="C9570" t="s">
        <v>23</v>
      </c>
      <c r="D9570" t="str">
        <f>HYPERLINK("https://us2.cloudbeds.com/connect/10074733072513#/reservations/31686544531600?display=Alicia%20Hall&amp;reservation_id=31686544531600&amp;guest_id=31686544531598", "Alicia Hall")</f>
        <v>Alicia Hall</v>
      </c>
      <c r="E9570" t="s">
        <v>8139</v>
      </c>
      <c r="F9570" t="s">
        <v>8051</v>
      </c>
      <c r="G9570">
        <v>139</v>
      </c>
      <c r="H9570">
        <v>151.1</v>
      </c>
      <c r="I9570">
        <v>151.09</v>
      </c>
      <c r="J9570">
        <v>0.01</v>
      </c>
    </row>
    <row r="9571" spans="1:10" x14ac:dyDescent="0.3">
      <c r="A9571" t="str">
        <f>HYPERLINK("https://us2.cloudbeds.com/connect/10074733072513#/reservations/31694790885627?display=MHMMC6UCB&amp;reservation_id=31694790885627", "MHMMC6UCB")</f>
        <v>MHMMC6UCB</v>
      </c>
      <c r="B9571" t="s">
        <v>10</v>
      </c>
      <c r="C9571" t="s">
        <v>14</v>
      </c>
      <c r="D9571" t="str">
        <f>HYPERLINK("https://us2.cloudbeds.com/connect/10074733072513#/reservations/31694790885627?display=Chrysta%20Vanderploeg&amp;reservation_id=31694790885627&amp;guest_id=31694790885574", "Chrysta Vanderploeg")</f>
        <v>Chrysta Vanderploeg</v>
      </c>
      <c r="E9571" t="s">
        <v>8140</v>
      </c>
      <c r="F9571" t="s">
        <v>7807</v>
      </c>
      <c r="G9571">
        <v>97.74</v>
      </c>
      <c r="H9571">
        <v>106.25</v>
      </c>
      <c r="I9571">
        <v>106.24</v>
      </c>
      <c r="J9571">
        <v>0.01</v>
      </c>
    </row>
    <row r="9572" spans="1:10" x14ac:dyDescent="0.3">
      <c r="A9572" t="str">
        <f>HYPERLINK("https://us2.cloudbeds.com/connect/10074733072513#/reservations/31694845739141?display=MHMNPF9U1&amp;reservation_id=31694845739141", "MHMNPF9U1")</f>
        <v>MHMNPF9U1</v>
      </c>
      <c r="B9572" t="s">
        <v>10</v>
      </c>
      <c r="C9572" t="s">
        <v>23</v>
      </c>
      <c r="D9572" t="str">
        <f>HYPERLINK("https://us2.cloudbeds.com/connect/10074733072513#/reservations/31694845739141?display=Jake%20Norris&amp;reservation_id=31694845739141&amp;guest_id=31694845739139", "Jake Norris")</f>
        <v>Jake Norris</v>
      </c>
      <c r="E9572" t="s">
        <v>8143</v>
      </c>
      <c r="F9572" t="s">
        <v>7795</v>
      </c>
      <c r="G9572">
        <v>298</v>
      </c>
      <c r="H9572">
        <v>323.94</v>
      </c>
      <c r="I9572">
        <v>323.93</v>
      </c>
      <c r="J9572">
        <v>0.01</v>
      </c>
    </row>
    <row r="9573" spans="1:10" x14ac:dyDescent="0.3">
      <c r="A9573" t="str">
        <f>HYPERLINK("https://us2.cloudbeds.com/connect/10074733072513#/reservations/31695816224977?display=MHNFXQGFZ&amp;reservation_id=31695816224977", "MHNFXQGFZ")</f>
        <v>MHNFXQGFZ</v>
      </c>
      <c r="B9573" t="s">
        <v>10</v>
      </c>
      <c r="C9573" t="s">
        <v>42</v>
      </c>
      <c r="D9573" t="str">
        <f>HYPERLINK("https://us2.cloudbeds.com/connect/10074733072513#/reservations/31695816224977?display=Hunter%20Deeds&amp;reservation_id=31695816224977&amp;guest_id=31695816224972", "Hunter Deeds")</f>
        <v>Hunter Deeds</v>
      </c>
      <c r="E9573" t="s">
        <v>8146</v>
      </c>
      <c r="F9573" t="s">
        <v>6604</v>
      </c>
      <c r="G9573">
        <v>258</v>
      </c>
      <c r="H9573">
        <v>280.45999999999998</v>
      </c>
      <c r="I9573">
        <v>280.45</v>
      </c>
      <c r="J9573">
        <v>0.01</v>
      </c>
    </row>
    <row r="9574" spans="1:10" x14ac:dyDescent="0.3">
      <c r="A9574" t="str">
        <f>HYPERLINK("https://us2.cloudbeds.com/connect/10074733072513#/reservations/31685224800389?display=MHF8URGDG&amp;reservation_id=31685224800389", "MHF8URGDG")</f>
        <v>MHF8URGDG</v>
      </c>
      <c r="B9574" t="s">
        <v>10</v>
      </c>
      <c r="C9574" t="s">
        <v>42</v>
      </c>
      <c r="D9574" t="str">
        <f>HYPERLINK("https://us2.cloudbeds.com/connect/10074733072513#/reservations/31685224800389?display=Stuart%20Graesser&amp;reservation_id=31685224800389&amp;guest_id=31685224800384", "Stuart Graesser")</f>
        <v>Stuart Graesser</v>
      </c>
      <c r="E9574" t="s">
        <v>8147</v>
      </c>
      <c r="F9574" t="s">
        <v>7807</v>
      </c>
      <c r="G9574">
        <v>119</v>
      </c>
      <c r="H9574">
        <v>129.36000000000001</v>
      </c>
      <c r="I9574">
        <v>129.35</v>
      </c>
      <c r="J9574">
        <v>0.01</v>
      </c>
    </row>
    <row r="9575" spans="1:10" x14ac:dyDescent="0.3">
      <c r="A9575" t="str">
        <f>HYPERLINK("https://us2.cloudbeds.com/connect/10074733072513#/reservations/31686197829766?display=MHG0QAFY6&amp;reservation_id=31686197829766", "MHG0QAFY6")</f>
        <v>MHG0QAFY6</v>
      </c>
      <c r="B9575" t="s">
        <v>10</v>
      </c>
      <c r="C9575" t="s">
        <v>23</v>
      </c>
      <c r="D9575" t="str">
        <f>HYPERLINK("https://us2.cloudbeds.com/connect/10074733072513#/reservations/31686197829766?display=Pam%20Douglas&amp;reservation_id=31686197829766&amp;guest_id=31686197829761", "Pam Douglas")</f>
        <v>Pam Douglas</v>
      </c>
      <c r="E9575" t="s">
        <v>8148</v>
      </c>
      <c r="F9575" t="s">
        <v>8149</v>
      </c>
      <c r="G9575">
        <v>109</v>
      </c>
      <c r="H9575">
        <v>118.49</v>
      </c>
      <c r="I9575">
        <v>118.48</v>
      </c>
      <c r="J9575">
        <v>0.01</v>
      </c>
    </row>
    <row r="9576" spans="1:10" x14ac:dyDescent="0.3">
      <c r="A9576" t="str">
        <f>HYPERLINK("https://us2.cloudbeds.com/connect/10074733072513#/reservations/31695948177546?display=MHNXV291E&amp;reservation_id=31695948177546", "MHNXV291E")</f>
        <v>MHNXV291E</v>
      </c>
      <c r="B9576" t="s">
        <v>10</v>
      </c>
      <c r="C9576" t="s">
        <v>42</v>
      </c>
      <c r="D9576" t="str">
        <f>HYPERLINK("https://us2.cloudbeds.com/connect/10074733072513#/reservations/31695948177546?display=Becca%20Johnson&amp;reservation_id=31695948177546&amp;guest_id=31695948177542", "Becca Johnson")</f>
        <v>Becca Johnson</v>
      </c>
      <c r="E9576" t="s">
        <v>8150</v>
      </c>
      <c r="F9576" t="s">
        <v>8151</v>
      </c>
      <c r="G9576">
        <v>298</v>
      </c>
      <c r="H9576">
        <v>323.94</v>
      </c>
      <c r="I9576">
        <v>323.93</v>
      </c>
      <c r="J9576">
        <v>0.01</v>
      </c>
    </row>
    <row r="9577" spans="1:10" x14ac:dyDescent="0.3">
      <c r="A9577" t="str">
        <f>HYPERLINK("https://us2.cloudbeds.com/connect/10074733072513#/reservations/31689608675466?display=MHXYVE9BQ&amp;reservation_id=31689608675466", "MHXYVE9BQ")</f>
        <v>MHXYVE9BQ</v>
      </c>
      <c r="B9577" t="s">
        <v>10</v>
      </c>
      <c r="C9577" t="s">
        <v>11</v>
      </c>
      <c r="D9577" t="str">
        <f>HYPERLINK("https://us2.cloudbeds.com/connect/10074733072513#/reservations/31689608675466?display=Jacob%20Mueller&amp;reservation_id=31689608675466&amp;guest_id=31689608675461", "Jacob Mueller")</f>
        <v>Jacob Mueller</v>
      </c>
      <c r="E9577" t="s">
        <v>8153</v>
      </c>
      <c r="F9577" t="s">
        <v>7807</v>
      </c>
      <c r="G9577">
        <v>97.74</v>
      </c>
      <c r="H9577">
        <v>106.25</v>
      </c>
      <c r="I9577">
        <v>106.24</v>
      </c>
      <c r="J9577">
        <v>0.01</v>
      </c>
    </row>
    <row r="9578" spans="1:10" x14ac:dyDescent="0.3">
      <c r="A9578" t="str">
        <f>HYPERLINK("https://us2.cloudbeds.com/connect/10074733072513#/reservations/31693942132951?display=MHM0MH459&amp;reservation_id=31693942132951", "MHM0MH459")</f>
        <v>MHM0MH459</v>
      </c>
      <c r="B9578" t="s">
        <v>10</v>
      </c>
      <c r="C9578" t="s">
        <v>42</v>
      </c>
      <c r="D9578" t="str">
        <f>HYPERLINK("https://us2.cloudbeds.com/connect/10074733072513#/reservations/31693942132951?display=Toni%20Hill&amp;reservation_id=31693942132951&amp;guest_id=31693942132948", "Toni Hill")</f>
        <v>Toni Hill</v>
      </c>
      <c r="E9578" t="s">
        <v>8154</v>
      </c>
      <c r="F9578" t="s">
        <v>8051</v>
      </c>
      <c r="G9578">
        <v>109</v>
      </c>
      <c r="H9578">
        <v>118.49</v>
      </c>
      <c r="I9578">
        <v>118.48</v>
      </c>
      <c r="J9578">
        <v>0.01</v>
      </c>
    </row>
    <row r="9579" spans="1:10" x14ac:dyDescent="0.3">
      <c r="A9579" t="str">
        <f>HYPERLINK("https://us2.cloudbeds.com/connect/10074733072513#/reservations/31685299093676?display=MHFARFQW7&amp;reservation_id=31685299093676", "MHFARFQW7")</f>
        <v>MHFARFQW7</v>
      </c>
      <c r="B9579" t="s">
        <v>10</v>
      </c>
      <c r="C9579" t="s">
        <v>42</v>
      </c>
      <c r="D9579" t="str">
        <f>HYPERLINK("https://us2.cloudbeds.com/connect/10074733072513#/reservations/31685299093676?display=Michelle%20Virtue&amp;reservation_id=31685299093676&amp;guest_id=31685299093674", "Michelle Virtue")</f>
        <v>Michelle Virtue</v>
      </c>
      <c r="E9579" t="s">
        <v>8155</v>
      </c>
      <c r="F9579" t="s">
        <v>7807</v>
      </c>
      <c r="G9579">
        <v>149</v>
      </c>
      <c r="H9579">
        <v>161.97</v>
      </c>
      <c r="I9579">
        <v>161.96</v>
      </c>
      <c r="J9579">
        <v>0.01</v>
      </c>
    </row>
    <row r="9580" spans="1:10" x14ac:dyDescent="0.3">
      <c r="A9580" t="str">
        <f>HYPERLINK("https://us2.cloudbeds.com/connect/10074733072513#/reservations/31734945976503?display=MXKPE1H1W&amp;reservation_id=31734945976503", "MXKPE1H1W")</f>
        <v>MXKPE1H1W</v>
      </c>
      <c r="B9580" t="s">
        <v>10</v>
      </c>
      <c r="C9580" t="s">
        <v>42</v>
      </c>
      <c r="D9580" t="str">
        <f>HYPERLINK("https://us2.cloudbeds.com/connect/10074733072513#/reservations/31734945976503?display=Kim%20Hult&amp;reservation_id=31734945976503&amp;guest_id=31734945976498", "Kim Hult")</f>
        <v>Kim Hult</v>
      </c>
      <c r="E9580" t="s">
        <v>7202</v>
      </c>
      <c r="F9580" t="s">
        <v>7203</v>
      </c>
      <c r="G9580">
        <v>159</v>
      </c>
      <c r="H9580">
        <v>172.84</v>
      </c>
      <c r="I9580">
        <v>172.83</v>
      </c>
      <c r="J9580">
        <v>0.01</v>
      </c>
    </row>
    <row r="9581" spans="1:10" x14ac:dyDescent="0.3">
      <c r="A9581" t="str">
        <f>HYPERLINK("https://us2.cloudbeds.com/connect/10074733072513#/reservations/31693970927786?display=MHM1DQCN1&amp;reservation_id=31693970927786", "MHM1DQCN1")</f>
        <v>MHM1DQCN1</v>
      </c>
      <c r="B9581" t="s">
        <v>10</v>
      </c>
      <c r="C9581" t="s">
        <v>42</v>
      </c>
      <c r="D9581" t="str">
        <f>HYPERLINK("https://us2.cloudbeds.com/connect/10074733072513#/reservations/31693970927786?display=Nicholas%20Peters&amp;reservation_id=31693970927786&amp;guest_id=31693970927781", "Nicholas Peters")</f>
        <v>Nicholas Peters</v>
      </c>
      <c r="E9581" t="s">
        <v>8160</v>
      </c>
      <c r="F9581" t="s">
        <v>8161</v>
      </c>
      <c r="G9581">
        <v>73</v>
      </c>
      <c r="H9581">
        <v>79.36</v>
      </c>
      <c r="I9581">
        <v>79.349999999999994</v>
      </c>
      <c r="J9581">
        <v>0.01</v>
      </c>
    </row>
    <row r="9582" spans="1:10" x14ac:dyDescent="0.3">
      <c r="A9582" t="str">
        <f>HYPERLINK("https://us2.cloudbeds.com/connect/10074733072513#/reservations/31694006636743?display=MHM2AU19Y&amp;reservation_id=31694006636743", "MHM2AU19Y")</f>
        <v>MHM2AU19Y</v>
      </c>
      <c r="B9582" t="s">
        <v>10</v>
      </c>
      <c r="C9582" t="s">
        <v>20</v>
      </c>
      <c r="D9582" t="str">
        <f>HYPERLINK("https://us2.cloudbeds.com/connect/10074733072513#/reservations/31694006636743?display=Mario%20Ramos&amp;reservation_id=31694006636743&amp;guest_id=31693999055087", "Mario Ramos")</f>
        <v>Mario Ramos</v>
      </c>
      <c r="E9582" t="s">
        <v>8162</v>
      </c>
      <c r="F9582" t="s">
        <v>8161</v>
      </c>
      <c r="G9582">
        <v>109</v>
      </c>
      <c r="H9582">
        <v>118.49</v>
      </c>
      <c r="I9582">
        <v>118.48</v>
      </c>
      <c r="J9582">
        <v>0.01</v>
      </c>
    </row>
    <row r="9583" spans="1:10" x14ac:dyDescent="0.3">
      <c r="A9583" t="str">
        <f>HYPERLINK("https://us2.cloudbeds.com/connect/10074733072513#/reservations/31689289859220?display=MHXDQJZQE&amp;reservation_id=31689289859220", "MHXDQJZQE")</f>
        <v>MHXDQJZQE</v>
      </c>
      <c r="B9583" t="s">
        <v>10</v>
      </c>
      <c r="C9583" t="s">
        <v>42</v>
      </c>
      <c r="D9583" t="str">
        <f>HYPERLINK("https://us2.cloudbeds.com/connect/10074733072513#/reservations/31689289859220?display=Jason%20Jeffers&amp;reservation_id=31689289859220&amp;guest_id=31689289859200", "Jason Jeffers")</f>
        <v>Jason Jeffers</v>
      </c>
      <c r="E9583" t="s">
        <v>8163</v>
      </c>
      <c r="F9583" t="s">
        <v>7952</v>
      </c>
      <c r="G9583">
        <v>318</v>
      </c>
      <c r="H9583">
        <v>345.68</v>
      </c>
      <c r="I9583">
        <v>345.67</v>
      </c>
      <c r="J9583">
        <v>0.01</v>
      </c>
    </row>
    <row r="9584" spans="1:10" x14ac:dyDescent="0.3">
      <c r="A9584" t="str">
        <f>HYPERLINK("https://us2.cloudbeds.com/connect/10074733072513#/reservations/31688619532452?display=MHHTMBUD2&amp;reservation_id=31688619532452", "MHHTMBUD2")</f>
        <v>MHHTMBUD2</v>
      </c>
      <c r="B9584" t="s">
        <v>10</v>
      </c>
      <c r="C9584" t="s">
        <v>23</v>
      </c>
      <c r="D9584" t="str">
        <f>HYPERLINK("https://us2.cloudbeds.com/connect/10074733072513#/reservations/31688619532452?display=Jaime%20Larios&amp;reservation_id=31688619532452&amp;guest_id=31688611729610", "Jaime Larios")</f>
        <v>Jaime Larios</v>
      </c>
      <c r="E9584" t="s">
        <v>8164</v>
      </c>
      <c r="F9584" t="s">
        <v>8165</v>
      </c>
      <c r="G9584">
        <v>119</v>
      </c>
      <c r="H9584">
        <v>129.36000000000001</v>
      </c>
      <c r="I9584">
        <v>129.35</v>
      </c>
      <c r="J9584">
        <v>0.01</v>
      </c>
    </row>
    <row r="9585" spans="1:10" x14ac:dyDescent="0.3">
      <c r="A9585" t="str">
        <f>HYPERLINK("https://us2.cloudbeds.com/connect/10074733072513#/reservations/31694845743239?display=MHMNPFDM7&amp;reservation_id=31694845743239", "MHMNPFDM7")</f>
        <v>MHMNPFDM7</v>
      </c>
      <c r="B9585" t="s">
        <v>10</v>
      </c>
      <c r="C9585" t="s">
        <v>23</v>
      </c>
      <c r="D9585" t="str">
        <f>HYPERLINK("https://us2.cloudbeds.com/connect/10074733072513#/reservations/31694845743239?display=Lisa%20Clayberg&amp;reservation_id=31694845743239&amp;guest_id=31694845743237", "Lisa Clayberg")</f>
        <v>Lisa Clayberg</v>
      </c>
      <c r="E9585" t="s">
        <v>8166</v>
      </c>
      <c r="F9585" t="s">
        <v>7795</v>
      </c>
      <c r="G9585">
        <v>298</v>
      </c>
      <c r="H9585">
        <v>323.94</v>
      </c>
      <c r="I9585">
        <v>323.93</v>
      </c>
      <c r="J9585">
        <v>0.01</v>
      </c>
    </row>
    <row r="9586" spans="1:10" x14ac:dyDescent="0.3">
      <c r="A9586" t="str">
        <f>HYPERLINK("https://us2.cloudbeds.com/connect/10074733072513#/reservations/31688667291806?display=MHHUTKTX7&amp;reservation_id=31688667291806", "MHHUTKTX7")</f>
        <v>MHHUTKTX7</v>
      </c>
      <c r="B9586" t="s">
        <v>10</v>
      </c>
      <c r="C9586" t="s">
        <v>121</v>
      </c>
      <c r="D9586" t="str">
        <f>HYPERLINK("https://us2.cloudbeds.com/connect/10074733072513#/reservations/31688667291806?display=Patrick%20Johnson&amp;reservation_id=31688667291806&amp;guest_id=31688667291801", "Patrick Johnson")</f>
        <v>Patrick Johnson</v>
      </c>
      <c r="E9586" t="s">
        <v>8167</v>
      </c>
      <c r="F9586" t="s">
        <v>8128</v>
      </c>
      <c r="G9586">
        <v>342</v>
      </c>
      <c r="H9586">
        <v>371.76</v>
      </c>
      <c r="I9586">
        <v>371.75</v>
      </c>
      <c r="J9586">
        <v>0.01</v>
      </c>
    </row>
    <row r="9587" spans="1:10" x14ac:dyDescent="0.3">
      <c r="A9587" t="str">
        <f>HYPERLINK("https://us2.cloudbeds.com/connect/10074733072513#/reservations/31694198038709?display=MHM77A2M7&amp;reservation_id=31694198038709", "MHM77A2M7")</f>
        <v>MHM77A2M7</v>
      </c>
      <c r="B9587" t="s">
        <v>10</v>
      </c>
      <c r="C9587" t="s">
        <v>42</v>
      </c>
      <c r="D9587" t="str">
        <f>HYPERLINK("https://us2.cloudbeds.com/connect/10074733072513#/reservations/31694198038709?display=Dennis%20Akers&amp;reservation_id=31694198038709&amp;guest_id=31694198038694", "Dennis Akers")</f>
        <v>Dennis Akers</v>
      </c>
      <c r="E9587" t="s">
        <v>8169</v>
      </c>
      <c r="F9587" t="s">
        <v>7006</v>
      </c>
      <c r="G9587">
        <v>278</v>
      </c>
      <c r="H9587">
        <v>302.2</v>
      </c>
      <c r="I9587">
        <v>302.19</v>
      </c>
      <c r="J9587">
        <v>0.01</v>
      </c>
    </row>
    <row r="9588" spans="1:10" x14ac:dyDescent="0.3">
      <c r="A9588" t="str">
        <f>HYPERLINK("https://us2.cloudbeds.com/connect/10074733072513#/reservations/31694026342581?display=MHM2RHCY8&amp;reservation_id=31694026342581", "MHM2RHCY8")</f>
        <v>MHM2RHCY8</v>
      </c>
      <c r="B9588" t="s">
        <v>10</v>
      </c>
      <c r="C9588" t="s">
        <v>121</v>
      </c>
      <c r="D9588" t="str">
        <f>HYPERLINK("https://us2.cloudbeds.com/connect/10074733072513#/reservations/31694026342581?display=Benjamin%20Jahn&amp;reservation_id=31694026342581&amp;guest_id=31679299444925", "Benjamin Jahn")</f>
        <v>Benjamin Jahn</v>
      </c>
      <c r="E9588" t="s">
        <v>5964</v>
      </c>
      <c r="F9588" t="s">
        <v>8165</v>
      </c>
      <c r="G9588">
        <v>109</v>
      </c>
      <c r="H9588">
        <v>118.49</v>
      </c>
      <c r="I9588">
        <v>118.48</v>
      </c>
      <c r="J9588">
        <v>0.01</v>
      </c>
    </row>
    <row r="9589" spans="1:10" x14ac:dyDescent="0.3">
      <c r="A9589" t="str">
        <f>HYPERLINK("https://us2.cloudbeds.com/connect/10074733072513#/reservations/31686502269176?display=MHG8J0VAS&amp;reservation_id=31686502269176", "MHG8J0VAS")</f>
        <v>MHG8J0VAS</v>
      </c>
      <c r="B9589" t="s">
        <v>10</v>
      </c>
      <c r="C9589" t="s">
        <v>42</v>
      </c>
      <c r="D9589" t="str">
        <f>HYPERLINK("https://us2.cloudbeds.com/connect/10074733072513#/reservations/31686502269176?display=Randy%20Ascheman&amp;reservation_id=31686502269176&amp;guest_id=31686489796768", "Randy Ascheman")</f>
        <v>Randy Ascheman</v>
      </c>
      <c r="E9589" t="s">
        <v>8170</v>
      </c>
      <c r="F9589" t="s">
        <v>8159</v>
      </c>
      <c r="G9589">
        <v>109</v>
      </c>
      <c r="H9589">
        <v>118.49</v>
      </c>
      <c r="I9589">
        <v>118.48</v>
      </c>
      <c r="J9589">
        <v>0.01</v>
      </c>
    </row>
    <row r="9590" spans="1:10" x14ac:dyDescent="0.3">
      <c r="A9590" t="str">
        <f>HYPERLINK("https://us2.cloudbeds.com/connect/10074733072513#/reservations/31690007675021?display=MHXW4T14D&amp;reservation_id=31690007675021", "MHXW4T14D")</f>
        <v>MHXW4T14D</v>
      </c>
      <c r="B9590" t="s">
        <v>10</v>
      </c>
      <c r="C9590" t="s">
        <v>42</v>
      </c>
      <c r="D9590" t="str">
        <f>HYPERLINK("https://us2.cloudbeds.com/connect/10074733072513#/reservations/31690007675021?display=Christopher%20Choyce&amp;reservation_id=31690007675021&amp;guest_id=31690007675016", "Christopher Choyce")</f>
        <v>Christopher Choyce</v>
      </c>
      <c r="E9590" t="s">
        <v>8171</v>
      </c>
      <c r="F9590" t="s">
        <v>7780</v>
      </c>
      <c r="G9590">
        <v>169</v>
      </c>
      <c r="H9590">
        <v>183.71</v>
      </c>
      <c r="I9590">
        <v>183.7</v>
      </c>
      <c r="J9590">
        <v>0.01</v>
      </c>
    </row>
    <row r="9591" spans="1:10" x14ac:dyDescent="0.3">
      <c r="A9591" t="str">
        <f>HYPERLINK("https://us2.cloudbeds.com/connect/10074733072513#/reservations/31686481686657?display=MHG81M6V5&amp;reservation_id=31686481686657", "MHG81M6V5")</f>
        <v>MHG81M6V5</v>
      </c>
      <c r="B9591" t="s">
        <v>10</v>
      </c>
      <c r="C9591" t="s">
        <v>42</v>
      </c>
      <c r="D9591" t="str">
        <f>HYPERLINK("https://us2.cloudbeds.com/connect/10074733072513#/reservations/31686481686657?display=Danielle%20Young&amp;reservation_id=31686481686657&amp;guest_id=31686469845133", "Danielle Young")</f>
        <v>Danielle Young</v>
      </c>
      <c r="E9591" t="s">
        <v>4641</v>
      </c>
      <c r="F9591" t="s">
        <v>8128</v>
      </c>
      <c r="G9591">
        <v>150</v>
      </c>
      <c r="H9591">
        <v>163.06</v>
      </c>
      <c r="I9591">
        <v>163.05000000000001</v>
      </c>
      <c r="J9591">
        <v>0.01</v>
      </c>
    </row>
    <row r="9592" spans="1:10" x14ac:dyDescent="0.3">
      <c r="A9592" t="str">
        <f>HYPERLINK("https://us2.cloudbeds.com/connect/10074733072513#/reservations/31686437744817?display=MHG6UKFA8&amp;reservation_id=31686437744817", "MHG6UKFA8")</f>
        <v>MHG6UKFA8</v>
      </c>
      <c r="B9592" t="s">
        <v>10</v>
      </c>
      <c r="C9592" t="s">
        <v>121</v>
      </c>
      <c r="D9592" t="str">
        <f>HYPERLINK("https://us2.cloudbeds.com/connect/10074733072513#/reservations/31686437744817?display=Matthew%20Souryachak&amp;reservation_id=31686437744817&amp;guest_id=31686437744812", "Matthew Souryachak")</f>
        <v>Matthew Souryachak</v>
      </c>
      <c r="E9592" t="s">
        <v>5543</v>
      </c>
      <c r="F9592" t="s">
        <v>8128</v>
      </c>
      <c r="G9592">
        <v>73</v>
      </c>
      <c r="H9592">
        <v>79.36</v>
      </c>
      <c r="I9592">
        <v>79.349999999999994</v>
      </c>
      <c r="J9592">
        <v>0.01</v>
      </c>
    </row>
    <row r="9593" spans="1:10" x14ac:dyDescent="0.3">
      <c r="A9593" t="str">
        <f>HYPERLINK("https://us2.cloudbeds.com/connect/10074733072513#/reservations/31690350719192?display=MHJ7U4ZXA&amp;reservation_id=31690350719192", "MHJ7U4ZXA")</f>
        <v>MHJ7U4ZXA</v>
      </c>
      <c r="B9593" t="s">
        <v>10</v>
      </c>
      <c r="C9593" t="s">
        <v>42</v>
      </c>
      <c r="D9593" t="str">
        <f>HYPERLINK("https://us2.cloudbeds.com/connect/10074733072513#/reservations/31690350719192?display=James%20Lee%20Northern%20Lights%20Diesel&amp;reservation_id=31690350719192&amp;guest_id=31690350719177", "James Lee Northern Lights Diesel")</f>
        <v>James Lee Northern Lights Diesel</v>
      </c>
      <c r="E9593" t="s">
        <v>8173</v>
      </c>
      <c r="F9593" t="s">
        <v>8174</v>
      </c>
      <c r="G9593">
        <v>588</v>
      </c>
      <c r="H9593">
        <v>639.16999999999996</v>
      </c>
      <c r="I9593">
        <v>639.16</v>
      </c>
      <c r="J9593">
        <v>0.01</v>
      </c>
    </row>
    <row r="9594" spans="1:10" x14ac:dyDescent="0.3">
      <c r="A9594" t="str">
        <f>HYPERLINK("https://us2.cloudbeds.com/connect/10074733072513#/reservations/31734646456544?display=MXKHPFUPJ&amp;reservation_id=31734646456544", "MXKHPFUPJ")</f>
        <v>MXKHPFUPJ</v>
      </c>
      <c r="B9594" t="s">
        <v>10</v>
      </c>
      <c r="C9594" t="s">
        <v>42</v>
      </c>
      <c r="D9594" t="str">
        <f>HYPERLINK("https://us2.cloudbeds.com/connect/10074733072513#/reservations/31734646456544?display=Linda%20Bartges&amp;reservation_id=31734646456544&amp;guest_id=31734646456540", "Linda Bartges")</f>
        <v>Linda Bartges</v>
      </c>
      <c r="E9594" t="s">
        <v>8175</v>
      </c>
      <c r="F9594" t="s">
        <v>8176</v>
      </c>
      <c r="G9594">
        <v>298</v>
      </c>
      <c r="H9594">
        <v>323.94</v>
      </c>
      <c r="I9594">
        <v>323.93</v>
      </c>
      <c r="J9594">
        <v>0.01</v>
      </c>
    </row>
    <row r="9595" spans="1:10" x14ac:dyDescent="0.3">
      <c r="A9595" t="str">
        <f>HYPERLINK("https://us2.cloudbeds.com/connect/10074733072513#/reservations/31690639675587?display=MHJF9QCJN&amp;reservation_id=31690639675587", "MHJF9QCJN")</f>
        <v>MHJF9QCJN</v>
      </c>
      <c r="B9595" t="s">
        <v>10</v>
      </c>
      <c r="C9595" t="s">
        <v>42</v>
      </c>
      <c r="D9595" t="str">
        <f>HYPERLINK("https://us2.cloudbeds.com/connect/10074733072513#/reservations/31690639675587?display=Shawn%20Sorenson&amp;reservation_id=31690639675587&amp;guest_id=31690639675585", "Shawn Sorenson")</f>
        <v>Shawn Sorenson</v>
      </c>
      <c r="E9595" t="s">
        <v>8177</v>
      </c>
      <c r="F9595" t="s">
        <v>7795</v>
      </c>
      <c r="G9595">
        <v>238</v>
      </c>
      <c r="H9595">
        <v>258.72000000000003</v>
      </c>
      <c r="I9595">
        <v>258.70999999999998</v>
      </c>
      <c r="J9595">
        <v>0.01</v>
      </c>
    </row>
    <row r="9596" spans="1:10" x14ac:dyDescent="0.3">
      <c r="A9596" t="str">
        <f>HYPERLINK("https://us2.cloudbeds.com/connect/10074733072513#/reservations/31689121525910?display=MHX9GYKP1&amp;reservation_id=31689121525910", "MHX9GYKP1")</f>
        <v>MHX9GYKP1</v>
      </c>
      <c r="B9596" t="s">
        <v>10</v>
      </c>
      <c r="C9596" t="s">
        <v>17</v>
      </c>
      <c r="D9596" t="str">
        <f>HYPERLINK("https://us2.cloudbeds.com/connect/10074733072513#/reservations/31689121525910?display=Collin%20Lafrance&amp;reservation_id=31689121525910&amp;guest_id=31689121525907", "Collin Lafrance")</f>
        <v>Collin Lafrance</v>
      </c>
      <c r="E9596" t="s">
        <v>7594</v>
      </c>
      <c r="F9596" t="s">
        <v>8178</v>
      </c>
      <c r="G9596">
        <v>109</v>
      </c>
      <c r="H9596">
        <v>118.49</v>
      </c>
      <c r="I9596">
        <v>118.48</v>
      </c>
      <c r="J9596">
        <v>0.01</v>
      </c>
    </row>
    <row r="9597" spans="1:10" x14ac:dyDescent="0.3">
      <c r="A9597" t="str">
        <f>HYPERLINK("https://us2.cloudbeds.com/connect/10074733072513#/reservations/31687634915547?display=MHH4H3GY5&amp;reservation_id=31687634915547", "MHH4H3GY5")</f>
        <v>MHH4H3GY5</v>
      </c>
      <c r="B9597" t="s">
        <v>10</v>
      </c>
      <c r="C9597" t="s">
        <v>17</v>
      </c>
      <c r="D9597" t="str">
        <f>HYPERLINK("https://us2.cloudbeds.com/connect/10074733072513#/reservations/31687634915547?display=Randy%20Christenson&amp;reservation_id=31687634915547&amp;guest_id=31687625900171", "Randy Christenson")</f>
        <v>Randy Christenson</v>
      </c>
      <c r="E9597" t="s">
        <v>8179</v>
      </c>
      <c r="F9597" t="s">
        <v>8149</v>
      </c>
      <c r="G9597">
        <v>119</v>
      </c>
      <c r="H9597">
        <v>129.36000000000001</v>
      </c>
      <c r="I9597">
        <v>129.35</v>
      </c>
      <c r="J9597">
        <v>0.01</v>
      </c>
    </row>
    <row r="9598" spans="1:10" x14ac:dyDescent="0.3">
      <c r="A9598" t="str">
        <f>HYPERLINK("https://us2.cloudbeds.com/connect/10074733072513#/reservations/31687198777494?display=MHGQCBAXH&amp;reservation_id=31687198777494", "MHGQCBAXH")</f>
        <v>MHGQCBAXH</v>
      </c>
      <c r="B9598" t="s">
        <v>10</v>
      </c>
      <c r="C9598" t="s">
        <v>11</v>
      </c>
      <c r="D9598" t="str">
        <f>HYPERLINK("https://us2.cloudbeds.com/connect/10074733072513#/reservations/31687198777494?display=Leanna%20Gubbels&amp;reservation_id=31687198777494&amp;guest_id=31687198773408", "Leanna Gubbels")</f>
        <v>Leanna Gubbels</v>
      </c>
      <c r="E9598" t="s">
        <v>8180</v>
      </c>
      <c r="F9598" t="s">
        <v>7795</v>
      </c>
      <c r="G9598">
        <v>195.48</v>
      </c>
      <c r="H9598">
        <v>212.5</v>
      </c>
      <c r="I9598">
        <v>212.49</v>
      </c>
      <c r="J9598">
        <v>0.01</v>
      </c>
    </row>
    <row r="9599" spans="1:10" x14ac:dyDescent="0.3">
      <c r="A9599" t="str">
        <f>HYPERLINK("https://us2.cloudbeds.com/connect/10074733072513#/reservations/31690581311723?display=MHJDQJAJP&amp;reservation_id=31690581311723", "MHJDQJAJP")</f>
        <v>MHJDQJAJP</v>
      </c>
      <c r="B9599" t="s">
        <v>10</v>
      </c>
      <c r="C9599" t="s">
        <v>42</v>
      </c>
      <c r="D9599" t="str">
        <f>HYPERLINK("https://us2.cloudbeds.com/connect/10074733072513#/reservations/31690581311723?display=Dewey%20Hlavac&amp;reservation_id=31690581311723&amp;guest_id=31681864011998", "Dewey Hlavac")</f>
        <v>Dewey Hlavac</v>
      </c>
      <c r="E9599" t="s">
        <v>7322</v>
      </c>
      <c r="F9599" t="s">
        <v>8181</v>
      </c>
      <c r="G9599">
        <v>198</v>
      </c>
      <c r="H9599">
        <v>215.24</v>
      </c>
      <c r="I9599">
        <v>215.23</v>
      </c>
      <c r="J9599">
        <v>0.01</v>
      </c>
    </row>
    <row r="9600" spans="1:10" x14ac:dyDescent="0.3">
      <c r="A9600" t="str">
        <f>HYPERLINK("https://us2.cloudbeds.com/connect/10074733072513#/reservations/31690609164513?display=MHJEH2C2N&amp;reservation_id=31690609164513", "MHJEH2C2N")</f>
        <v>MHJEH2C2N</v>
      </c>
      <c r="B9600" t="s">
        <v>10</v>
      </c>
      <c r="C9600" t="s">
        <v>42</v>
      </c>
      <c r="D9600" t="str">
        <f>HYPERLINK("https://us2.cloudbeds.com/connect/10074733072513#/reservations/31690609164513?display=Teresa%20Sobiech&amp;reservation_id=31690609164513&amp;guest_id=31686677266624", "Teresa Sobiech")</f>
        <v>Teresa Sobiech</v>
      </c>
      <c r="E9600" t="s">
        <v>7979</v>
      </c>
      <c r="F9600" t="s">
        <v>8007</v>
      </c>
      <c r="G9600">
        <v>149</v>
      </c>
      <c r="H9600">
        <v>161.97</v>
      </c>
      <c r="I9600">
        <v>161.96</v>
      </c>
      <c r="J9600">
        <v>0.01</v>
      </c>
    </row>
    <row r="9601" spans="1:10" x14ac:dyDescent="0.3">
      <c r="A9601" t="str">
        <f>HYPERLINK("https://us2.cloudbeds.com/connect/10074733072513#/reservations/31694842953959?display=MHMNN3QBJ&amp;reservation_id=31694842953959", "MHMNN3QBJ")</f>
        <v>MHMNN3QBJ</v>
      </c>
      <c r="B9601" t="s">
        <v>10</v>
      </c>
      <c r="C9601" t="s">
        <v>11</v>
      </c>
      <c r="D9601" t="str">
        <f>HYPERLINK("https://us2.cloudbeds.com/connect/10074733072513#/reservations/31694842953959?display=Ruter%20Dylan&amp;reservation_id=31694842953959&amp;guest_id=31694831882491", "Ruter Dylan")</f>
        <v>Ruter Dylan</v>
      </c>
      <c r="E9601" t="s">
        <v>8185</v>
      </c>
      <c r="F9601" t="s">
        <v>7795</v>
      </c>
      <c r="G9601">
        <v>195.48</v>
      </c>
      <c r="H9601">
        <v>212.5</v>
      </c>
      <c r="I9601">
        <v>212.49</v>
      </c>
      <c r="J9601">
        <v>0.01</v>
      </c>
    </row>
    <row r="9602" spans="1:10" x14ac:dyDescent="0.3">
      <c r="A9602" t="str">
        <f>HYPERLINK("https://us2.cloudbeds.com/connect/10074733072513#/reservations/31694708232431?display=MHMK8GW41&amp;reservation_id=31694708232431", "MHMK8GW41")</f>
        <v>MHMK8GW41</v>
      </c>
      <c r="B9602" t="s">
        <v>10</v>
      </c>
      <c r="C9602" t="s">
        <v>42</v>
      </c>
      <c r="D9602" t="str">
        <f>HYPERLINK("https://us2.cloudbeds.com/connect/10074733072513#/reservations/31694708232431?display=Conrad%20Kreger&amp;reservation_id=31694708232431&amp;guest_id=31690594693252", "Conrad Kreger")</f>
        <v>Conrad Kreger</v>
      </c>
      <c r="E9602" t="s">
        <v>8187</v>
      </c>
      <c r="F9602" t="s">
        <v>8186</v>
      </c>
      <c r="G9602">
        <v>336</v>
      </c>
      <c r="H9602">
        <v>365.24</v>
      </c>
      <c r="I9602">
        <v>365.23</v>
      </c>
      <c r="J9602">
        <v>0.01</v>
      </c>
    </row>
    <row r="9603" spans="1:10" x14ac:dyDescent="0.3">
      <c r="A9603" t="str">
        <f>HYPERLINK("https://us2.cloudbeds.com/connect/10074733072513#/reservations/31689192841411?display=MHXBAQ2TR&amp;reservation_id=31689192841411", "MHXBAQ2TR")</f>
        <v>MHXBAQ2TR</v>
      </c>
      <c r="B9603" t="s">
        <v>10</v>
      </c>
      <c r="C9603" t="s">
        <v>17</v>
      </c>
      <c r="D9603" t="str">
        <f>HYPERLINK("https://us2.cloudbeds.com/connect/10074733072513#/reservations/31689192841411?display=Ann%20Ahart&amp;reservation_id=31689192841411&amp;guest_id=31689192841409", "Ann Ahart")</f>
        <v>Ann Ahart</v>
      </c>
      <c r="E9603" t="s">
        <v>8189</v>
      </c>
      <c r="F9603" t="s">
        <v>7977</v>
      </c>
      <c r="G9603">
        <v>149</v>
      </c>
      <c r="H9603">
        <v>161.97</v>
      </c>
      <c r="I9603">
        <v>161.96</v>
      </c>
      <c r="J9603">
        <v>0.01</v>
      </c>
    </row>
    <row r="9604" spans="1:10" x14ac:dyDescent="0.3">
      <c r="A9604" t="str">
        <f>HYPERLINK("https://us2.cloudbeds.com/connect/10074733072513#/reservations/31687558582438?display=MHH2XZDVY&amp;reservation_id=31687558582438", "MHH2XZDVY")</f>
        <v>MHH2XZDVY</v>
      </c>
      <c r="B9604" t="s">
        <v>10</v>
      </c>
      <c r="C9604" t="s">
        <v>42</v>
      </c>
      <c r="D9604" t="str">
        <f>HYPERLINK("https://us2.cloudbeds.com/connect/10074733072513#/reservations/31687558582438?display=Zig%20Ambrosek&amp;reservation_id=31687558582438&amp;guest_id=31687558582435", "Zig Ambrosek")</f>
        <v>Zig Ambrosek</v>
      </c>
      <c r="E9604" t="s">
        <v>8190</v>
      </c>
      <c r="F9604" t="s">
        <v>8018</v>
      </c>
      <c r="G9604">
        <v>252</v>
      </c>
      <c r="H9604">
        <v>273.93</v>
      </c>
      <c r="I9604">
        <v>273.92</v>
      </c>
      <c r="J9604">
        <v>0.01</v>
      </c>
    </row>
    <row r="9605" spans="1:10" x14ac:dyDescent="0.3">
      <c r="A9605" t="str">
        <f>HYPERLINK("https://us2.cloudbeds.com/connect/10074733072513#/reservations/31688688074940?display=MHHVE5755&amp;reservation_id=31688688074940", "MHHVE5755")</f>
        <v>MHHVE5755</v>
      </c>
      <c r="B9605" t="s">
        <v>10</v>
      </c>
      <c r="C9605" t="s">
        <v>121</v>
      </c>
      <c r="D9605" t="str">
        <f>HYPERLINK("https://us2.cloudbeds.com/connect/10074733072513#/reservations/31688688074940?display=Keith%20Vanwesten&amp;reservation_id=31688688074940&amp;guest_id=31688688074887", "Keith Vanwesten")</f>
        <v>Keith Vanwesten</v>
      </c>
      <c r="E9605" t="s">
        <v>8191</v>
      </c>
      <c r="F9605" t="s">
        <v>8007</v>
      </c>
      <c r="G9605">
        <v>159</v>
      </c>
      <c r="H9605">
        <v>172.84</v>
      </c>
      <c r="I9605">
        <v>172.83</v>
      </c>
      <c r="J9605">
        <v>0.01</v>
      </c>
    </row>
    <row r="9606" spans="1:10" x14ac:dyDescent="0.3">
      <c r="A9606" t="str">
        <f>HYPERLINK("https://us2.cloudbeds.com/connect/10074733072513#/reservations/31685577052406?display=MHFHUSE51&amp;reservation_id=31685577052406", "MHFHUSE51")</f>
        <v>MHFHUSE51</v>
      </c>
      <c r="B9606" t="s">
        <v>10</v>
      </c>
      <c r="C9606" t="s">
        <v>42</v>
      </c>
      <c r="D9606" t="str">
        <f>HYPERLINK("https://us2.cloudbeds.com/connect/10074733072513#/reservations/31685577052406?display=Shannon%20Opitz&amp;reservation_id=31685577052406&amp;guest_id=31685577052392", "Shannon Opitz")</f>
        <v>Shannon Opitz</v>
      </c>
      <c r="E9606" t="s">
        <v>8192</v>
      </c>
      <c r="F9606" t="s">
        <v>8007</v>
      </c>
      <c r="G9606">
        <v>179</v>
      </c>
      <c r="H9606">
        <v>194.58</v>
      </c>
      <c r="I9606">
        <v>194.57</v>
      </c>
      <c r="J9606">
        <v>0.01</v>
      </c>
    </row>
    <row r="9607" spans="1:10" x14ac:dyDescent="0.3">
      <c r="A9607" t="str">
        <f>HYPERLINK("https://us2.cloudbeds.com/connect/10074733072513#/reservations/31728115716240?display=MXFFTJF28&amp;reservation_id=31728115716240", "MXFFTJF28")</f>
        <v>MXFFTJF28</v>
      </c>
      <c r="B9607" t="s">
        <v>10</v>
      </c>
      <c r="C9607" t="s">
        <v>42</v>
      </c>
      <c r="D9607" t="str">
        <f>HYPERLINK("https://us2.cloudbeds.com/connect/10074733072513#/reservations/31728115716240?display=Jeremy%20Friedrichs&amp;reservation_id=31728115716240&amp;guest_id=31728115716234", "Jeremy Friedrichs")</f>
        <v>Jeremy Friedrichs</v>
      </c>
      <c r="E9607" t="s">
        <v>8193</v>
      </c>
      <c r="F9607" t="s">
        <v>6916</v>
      </c>
      <c r="G9607">
        <v>318</v>
      </c>
      <c r="H9607">
        <v>345.68</v>
      </c>
      <c r="I9607">
        <v>345.67</v>
      </c>
      <c r="J9607">
        <v>0.01</v>
      </c>
    </row>
    <row r="9608" spans="1:10" x14ac:dyDescent="0.3">
      <c r="A9608" t="str">
        <f>HYPERLINK("https://us2.cloudbeds.com/connect/10074733072513#/reservations/31695890559204?display=MHNHFFVY2&amp;reservation_id=31695890559204", "MHNHFFVY2")</f>
        <v>MHNHFFVY2</v>
      </c>
      <c r="B9608" t="s">
        <v>10</v>
      </c>
      <c r="C9608" t="s">
        <v>23</v>
      </c>
      <c r="D9608" t="str">
        <f>HYPERLINK("https://us2.cloudbeds.com/connect/10074733072513#/reservations/31695890559204?display=Paul%20Howland&amp;reservation_id=31695890559204&amp;guest_id=31695890559192", "Paul Howland")</f>
        <v>Paul Howland</v>
      </c>
      <c r="E9608" t="s">
        <v>8194</v>
      </c>
      <c r="F9608" t="s">
        <v>8195</v>
      </c>
      <c r="G9608">
        <v>159</v>
      </c>
      <c r="H9608">
        <v>172.84</v>
      </c>
      <c r="I9608">
        <v>172.83</v>
      </c>
      <c r="J9608">
        <v>0.01</v>
      </c>
    </row>
    <row r="9609" spans="1:10" x14ac:dyDescent="0.3">
      <c r="A9609" t="str">
        <f>HYPERLINK("https://us2.cloudbeds.com/connect/10074733072513#/reservations/31690677633162?display=MHJG8QK18&amp;reservation_id=31690677633162", "MHJG8QK18")</f>
        <v>MHJG8QK18</v>
      </c>
      <c r="B9609" t="s">
        <v>10</v>
      </c>
      <c r="C9609" t="s">
        <v>23</v>
      </c>
      <c r="D9609" t="str">
        <f>HYPERLINK("https://us2.cloudbeds.com/connect/10074733072513#/reservations/31690677633162?display=Jessica%20Stevens&amp;reservation_id=31690677633162&amp;guest_id=31690677629115", "Jessica Stevens")</f>
        <v>Jessica Stevens</v>
      </c>
      <c r="E9609" t="s">
        <v>8006</v>
      </c>
      <c r="F9609" t="s">
        <v>7795</v>
      </c>
      <c r="G9609">
        <v>159</v>
      </c>
      <c r="H9609">
        <v>172.84</v>
      </c>
      <c r="I9609">
        <v>172.83</v>
      </c>
      <c r="J9609">
        <v>0.01</v>
      </c>
    </row>
    <row r="9610" spans="1:10" x14ac:dyDescent="0.3">
      <c r="A9610" t="str">
        <f>HYPERLINK("https://us2.cloudbeds.com/connect/10074733072513#/reservations/31694790885576?display=MHMMC6UAQ&amp;reservation_id=31694790885576", "MHMMC6UAQ")</f>
        <v>MHMMC6UAQ</v>
      </c>
      <c r="B9610" t="s">
        <v>10</v>
      </c>
      <c r="C9610" t="s">
        <v>23</v>
      </c>
      <c r="D9610" t="str">
        <f>HYPERLINK("https://us2.cloudbeds.com/connect/10074733072513#/reservations/31694790885576?display=Terry%20Reck&amp;reservation_id=31694790885576&amp;guest_id=31694790885571", "Terry Reck")</f>
        <v>Terry Reck</v>
      </c>
      <c r="E9610" t="s">
        <v>8197</v>
      </c>
      <c r="F9610" t="s">
        <v>7795</v>
      </c>
      <c r="G9610">
        <v>159</v>
      </c>
      <c r="H9610">
        <v>172.84</v>
      </c>
      <c r="I9610">
        <v>172.83</v>
      </c>
      <c r="J9610">
        <v>0.01</v>
      </c>
    </row>
    <row r="9611" spans="1:10" x14ac:dyDescent="0.3">
      <c r="A9611" t="str">
        <f>HYPERLINK("https://us2.cloudbeds.com/connect/10074733072513#/reservations/31685569138848?display=MHFHZ67B8&amp;reservation_id=31685569138848", "MHFHZ67B8")</f>
        <v>MHFHZ67B8</v>
      </c>
      <c r="B9611" t="s">
        <v>10</v>
      </c>
      <c r="C9611" t="s">
        <v>42</v>
      </c>
      <c r="D9611" t="str">
        <f>HYPERLINK("https://us2.cloudbeds.com/connect/10074733072513#/reservations/31685569138848?display=Candance%20Nannenga&amp;reservation_id=31685569138848&amp;guest_id=31685569138843", "Candance Nannenga")</f>
        <v>Candance Nannenga</v>
      </c>
      <c r="E9611" t="s">
        <v>8200</v>
      </c>
      <c r="F9611" t="s">
        <v>8007</v>
      </c>
      <c r="G9611">
        <v>159</v>
      </c>
      <c r="H9611">
        <v>172.84</v>
      </c>
      <c r="I9611">
        <v>172.83</v>
      </c>
      <c r="J9611">
        <v>0.01</v>
      </c>
    </row>
    <row r="9612" spans="1:10" x14ac:dyDescent="0.3">
      <c r="A9612" t="str">
        <f>HYPERLINK("https://us2.cloudbeds.com/connect/10074733072513#/reservations/31687155929302?display=MHGP9706F&amp;reservation_id=31687155929302", "MHGP9706F")</f>
        <v>MHGP9706F</v>
      </c>
      <c r="B9612" t="s">
        <v>10</v>
      </c>
      <c r="C9612" t="s">
        <v>42</v>
      </c>
      <c r="D9612" t="str">
        <f>HYPERLINK("https://us2.cloudbeds.com/connect/10074733072513#/reservations/31687155929302?display=Phillip%20Downs&amp;reservation_id=31687155929302&amp;guest_id=31687155929297", "Phillip Downs")</f>
        <v>Phillip Downs</v>
      </c>
      <c r="E9612" t="s">
        <v>8201</v>
      </c>
      <c r="F9612" t="s">
        <v>7795</v>
      </c>
      <c r="G9612">
        <v>159</v>
      </c>
      <c r="H9612">
        <v>172.84</v>
      </c>
      <c r="I9612">
        <v>172.83</v>
      </c>
      <c r="J9612">
        <v>0.01</v>
      </c>
    </row>
    <row r="9613" spans="1:10" x14ac:dyDescent="0.3">
      <c r="A9613" t="str">
        <f>HYPERLINK("https://us2.cloudbeds.com/connect/10074733072513#/reservations/31690659836045?display=MHJFQQCDM&amp;reservation_id=31690659836045", "MHJFQQCDM")</f>
        <v>MHJFQQCDM</v>
      </c>
      <c r="B9613" t="s">
        <v>10</v>
      </c>
      <c r="C9613" t="s">
        <v>121</v>
      </c>
      <c r="D9613" t="str">
        <f>HYPERLINK("https://us2.cloudbeds.com/connect/10074733072513#/reservations/31690659836045?display=Chase%20Allen%20Williams&amp;reservation_id=31690659836045&amp;guest_id=31690659831953", "Chase Allen Williams")</f>
        <v>Chase Allen Williams</v>
      </c>
      <c r="E9613" t="s">
        <v>8204</v>
      </c>
      <c r="F9613" t="s">
        <v>7795</v>
      </c>
      <c r="G9613">
        <v>159</v>
      </c>
      <c r="H9613">
        <v>172.84</v>
      </c>
      <c r="I9613">
        <v>172.83</v>
      </c>
      <c r="J9613">
        <v>0.01</v>
      </c>
    </row>
    <row r="9614" spans="1:10" x14ac:dyDescent="0.3">
      <c r="A9614" t="str">
        <f>HYPERLINK("https://us2.cloudbeds.com/connect/10074733072513#/reservations/31686182842568?display=MHG0DME9M&amp;reservation_id=31686182842568", "MHG0DME9M")</f>
        <v>MHG0DME9M</v>
      </c>
      <c r="B9614" t="s">
        <v>10</v>
      </c>
      <c r="C9614" t="s">
        <v>42</v>
      </c>
      <c r="D9614" t="str">
        <f>HYPERLINK("https://us2.cloudbeds.com/connect/10074733072513#/reservations/31686182842568?display=Joel%20Alvarado&amp;reservation_id=31686182842568&amp;guest_id=31686172995758", "Joel Alvarado")</f>
        <v>Joel Alvarado</v>
      </c>
      <c r="E9614" t="s">
        <v>8205</v>
      </c>
      <c r="F9614" t="s">
        <v>8149</v>
      </c>
      <c r="G9614">
        <v>150</v>
      </c>
      <c r="H9614">
        <v>163.06</v>
      </c>
      <c r="I9614">
        <v>163.05000000000001</v>
      </c>
      <c r="J9614">
        <v>0.01</v>
      </c>
    </row>
    <row r="9615" spans="1:10" x14ac:dyDescent="0.3">
      <c r="A9615" t="str">
        <f>HYPERLINK("https://us2.cloudbeds.com/connect/10074733072513#/reservations/31687236911276?display=MHGRBGEQM&amp;reservation_id=31687236911276", "MHGRBGEQM")</f>
        <v>MHGRBGEQM</v>
      </c>
      <c r="B9615" t="s">
        <v>10</v>
      </c>
      <c r="C9615" t="s">
        <v>20</v>
      </c>
      <c r="D9615" t="str">
        <f>HYPERLINK("https://us2.cloudbeds.com/connect/10074733072513#/reservations/31687236911276?display=Jesse%20Hirsch&amp;reservation_id=31687236911276&amp;guest_id=31687236911274", "Jesse Hirsch")</f>
        <v>Jesse Hirsch</v>
      </c>
      <c r="E9615" t="s">
        <v>8207</v>
      </c>
      <c r="F9615" t="s">
        <v>8018</v>
      </c>
      <c r="G9615">
        <v>139</v>
      </c>
      <c r="H9615">
        <v>151.1</v>
      </c>
      <c r="I9615">
        <v>151.09</v>
      </c>
      <c r="J9615">
        <v>0.01</v>
      </c>
    </row>
    <row r="9616" spans="1:10" x14ac:dyDescent="0.3">
      <c r="A9616" t="str">
        <f>HYPERLINK("https://us2.cloudbeds.com/connect/10074733072513#/reservations/31694400106624?display=MHMC1XMJU&amp;reservation_id=31694400106624", "MHMC1XMJU")</f>
        <v>MHMC1XMJU</v>
      </c>
      <c r="B9616" t="s">
        <v>10</v>
      </c>
      <c r="C9616" t="s">
        <v>23</v>
      </c>
      <c r="D9616" t="str">
        <f>HYPERLINK("https://us2.cloudbeds.com/connect/10074733072513#/reservations/31694400106624?display=Mark%20Steigleder&amp;reservation_id=31694400106624&amp;guest_id=31685565620417", "Mark Steigleder")</f>
        <v>Mark Steigleder</v>
      </c>
      <c r="E9616" t="s">
        <v>8106</v>
      </c>
      <c r="F9616" t="s">
        <v>8208</v>
      </c>
      <c r="G9616">
        <v>163.52000000000001</v>
      </c>
      <c r="H9616">
        <v>177.76</v>
      </c>
      <c r="I9616">
        <v>177.75</v>
      </c>
      <c r="J9616">
        <v>0.01</v>
      </c>
    </row>
    <row r="9617" spans="1:10" x14ac:dyDescent="0.3">
      <c r="A9617" t="str">
        <f>HYPERLINK("https://us2.cloudbeds.com/connect/10074733072513#/reservations/31694568300764?display=MHMGMH5XG&amp;reservation_id=31694568300764", "MHMGMH5XG")</f>
        <v>MHMGMH5XG</v>
      </c>
      <c r="B9617" t="s">
        <v>10</v>
      </c>
      <c r="C9617" t="s">
        <v>42</v>
      </c>
      <c r="D9617" t="str">
        <f>HYPERLINK("https://us2.cloudbeds.com/connect/10074733072513#/reservations/31694568300764?display=Melanie%20Millar&amp;reservation_id=31694568300764&amp;guest_id=31694568300752", "Melanie Millar")</f>
        <v>Melanie Millar</v>
      </c>
      <c r="E9617" t="s">
        <v>8211</v>
      </c>
      <c r="F9617" t="s">
        <v>7006</v>
      </c>
      <c r="G9617">
        <v>159</v>
      </c>
      <c r="H9617">
        <v>172.84</v>
      </c>
      <c r="I9617">
        <v>172.83</v>
      </c>
      <c r="J9617">
        <v>0.01</v>
      </c>
    </row>
    <row r="9618" spans="1:10" x14ac:dyDescent="0.3">
      <c r="A9618" t="str">
        <f>HYPERLINK("https://us2.cloudbeds.com/connect/10074733072513#/reservations/31690386399457?display=MHJ8R7JQF&amp;reservation_id=31690386399457", "MHJ8R7JQF")</f>
        <v>MHJ8R7JQF</v>
      </c>
      <c r="B9618" t="s">
        <v>10</v>
      </c>
      <c r="C9618" t="s">
        <v>42</v>
      </c>
      <c r="D9618" t="str">
        <f>HYPERLINK("https://us2.cloudbeds.com/connect/10074733072513#/reservations/31690386399457?display=Kristopher%20William%20Evans&amp;reservation_id=31690386399457&amp;guest_id=31686738358480", "Kristopher William Evans")</f>
        <v>Kristopher William Evans</v>
      </c>
      <c r="E9618" t="s">
        <v>7596</v>
      </c>
      <c r="F9618" t="s">
        <v>8174</v>
      </c>
      <c r="G9618">
        <v>150</v>
      </c>
      <c r="H9618">
        <v>163.06</v>
      </c>
      <c r="I9618">
        <v>163.05000000000001</v>
      </c>
      <c r="J9618">
        <v>0.01</v>
      </c>
    </row>
    <row r="9619" spans="1:10" x14ac:dyDescent="0.3">
      <c r="A9619" t="str">
        <f>HYPERLINK("https://us2.cloudbeds.com/connect/10074733072513#/reservations/31694317744300?display=MHMA9825C&amp;reservation_id=31694317744300", "MHMA9825C")</f>
        <v>MHMA9825C</v>
      </c>
      <c r="B9619" t="s">
        <v>10</v>
      </c>
      <c r="C9619" t="s">
        <v>42</v>
      </c>
      <c r="D9619" t="str">
        <f>HYPERLINK("https://us2.cloudbeds.com/connect/10074733072513#/reservations/31694317744300?display=Randall%20Kamphuis&amp;reservation_id=31694317744300&amp;guest_id=31694317744295", "Randall Kamphuis")</f>
        <v>Randall Kamphuis</v>
      </c>
      <c r="E9619" t="s">
        <v>8212</v>
      </c>
      <c r="F9619" t="s">
        <v>8213</v>
      </c>
      <c r="G9619">
        <v>278</v>
      </c>
      <c r="H9619">
        <v>302.2</v>
      </c>
      <c r="I9619">
        <v>302.19</v>
      </c>
      <c r="J9619">
        <v>0.01</v>
      </c>
    </row>
    <row r="9620" spans="1:10" x14ac:dyDescent="0.3">
      <c r="A9620" t="str">
        <f>HYPERLINK("https://us2.cloudbeds.com/connect/10074733072513#/reservations/31687646339270?display=MHH4QZCZJ&amp;reservation_id=31687646339270", "MHH4QZCZJ")</f>
        <v>MHH4QZCZJ</v>
      </c>
      <c r="B9620" t="s">
        <v>10</v>
      </c>
      <c r="C9620" t="s">
        <v>121</v>
      </c>
      <c r="D9620" t="str">
        <f>HYPERLINK("https://us2.cloudbeds.com/connect/10074733072513#/reservations/31687646339270?display=Kane%20Amadou&amp;reservation_id=31687646339270&amp;guest_id=31687646335186", "Kane Amadou")</f>
        <v>Kane Amadou</v>
      </c>
      <c r="E9620" t="s">
        <v>8215</v>
      </c>
      <c r="F9620" t="s">
        <v>8149</v>
      </c>
      <c r="G9620">
        <v>109</v>
      </c>
      <c r="H9620">
        <v>118.49</v>
      </c>
      <c r="I9620">
        <v>118.48</v>
      </c>
      <c r="J9620">
        <v>0.01</v>
      </c>
    </row>
    <row r="9621" spans="1:10" x14ac:dyDescent="0.3">
      <c r="A9621" t="str">
        <f>HYPERLINK("https://us2.cloudbeds.com/connect/10074733072513#/reservations/31690375500023?display=MHJ8X1A4J&amp;reservation_id=31690375500023", "MHJ8X1A4J")</f>
        <v>MHJ8X1A4J</v>
      </c>
      <c r="B9621" t="s">
        <v>10</v>
      </c>
      <c r="C9621" t="s">
        <v>20</v>
      </c>
      <c r="D9621" t="str">
        <f>HYPERLINK("https://us2.cloudbeds.com/connect/10074733072513#/reservations/31690375500023?display=Jeremy%20Chappelear&amp;reservation_id=31690375500023&amp;guest_id=31690367324289", "Jeremy Chappelear")</f>
        <v>Jeremy Chappelear</v>
      </c>
      <c r="E9621" t="s">
        <v>8216</v>
      </c>
      <c r="F9621" t="s">
        <v>8174</v>
      </c>
      <c r="G9621">
        <v>109</v>
      </c>
      <c r="H9621">
        <v>118.49</v>
      </c>
      <c r="I9621">
        <v>118.48</v>
      </c>
      <c r="J9621">
        <v>0.01</v>
      </c>
    </row>
    <row r="9622" spans="1:10" x14ac:dyDescent="0.3">
      <c r="A9622" t="str">
        <f>HYPERLINK("https://us2.cloudbeds.com/connect/10074733072513#/reservations/31685089194200?display=MHF5FG1R1&amp;reservation_id=31685089194200", "MHF5FG1R1")</f>
        <v>MHF5FG1R1</v>
      </c>
      <c r="B9622" t="s">
        <v>10</v>
      </c>
      <c r="C9622" t="s">
        <v>42</v>
      </c>
      <c r="D9622" t="str">
        <f>HYPERLINK("https://us2.cloudbeds.com/connect/10074733072513#/reservations/31685089194200?display=Kristina%20Malecek&amp;reservation_id=31685089194200&amp;guest_id=31685089194197", "Kristina Malecek")</f>
        <v>Kristina Malecek</v>
      </c>
      <c r="E9622" t="s">
        <v>8218</v>
      </c>
      <c r="F9622" t="s">
        <v>7530</v>
      </c>
      <c r="G9622">
        <v>139</v>
      </c>
      <c r="H9622">
        <v>151.1</v>
      </c>
      <c r="I9622">
        <v>151.09</v>
      </c>
      <c r="J9622">
        <v>0.01</v>
      </c>
    </row>
    <row r="9623" spans="1:10" x14ac:dyDescent="0.3">
      <c r="A9623" t="str">
        <f>HYPERLINK("https://us2.cloudbeds.com/connect/10074733072513#/reservations/31685034549499?display=MHF42DG10&amp;reservation_id=31685034549499", "MHF42DG10")</f>
        <v>MHF42DG10</v>
      </c>
      <c r="B9623" t="s">
        <v>10</v>
      </c>
      <c r="C9623" t="s">
        <v>17</v>
      </c>
      <c r="D9623" t="str">
        <f>HYPERLINK("https://us2.cloudbeds.com/connect/10074733072513#/reservations/31685034549499?display=Brady%20Wersinger&amp;reservation_id=31685034549499&amp;guest_id=31685034549451", "Brady Wersinger")</f>
        <v>Brady Wersinger</v>
      </c>
      <c r="E9623" t="s">
        <v>8220</v>
      </c>
      <c r="F9623" t="s">
        <v>8221</v>
      </c>
      <c r="G9623">
        <v>139</v>
      </c>
      <c r="H9623">
        <v>151.1</v>
      </c>
      <c r="I9623">
        <v>151.09</v>
      </c>
      <c r="J9623">
        <v>0.01</v>
      </c>
    </row>
    <row r="9624" spans="1:10" x14ac:dyDescent="0.3">
      <c r="A9624" t="str">
        <f>HYPERLINK("https://us2.cloudbeds.com/connect/10074733072513#/reservations/31690333065438?display=MHJ7F8GJ2&amp;reservation_id=31690333065438", "MHJ7F8GJ2")</f>
        <v>MHJ7F8GJ2</v>
      </c>
      <c r="B9624" t="s">
        <v>10</v>
      </c>
      <c r="C9624" t="s">
        <v>42</v>
      </c>
      <c r="D9624" t="str">
        <f>HYPERLINK("https://us2.cloudbeds.com/connect/10074733072513#/reservations/31690333065438?display=Zachary%20Johnson&amp;reservation_id=31690333065438&amp;guest_id=31690333065433", "Zachary Johnson")</f>
        <v>Zachary Johnson</v>
      </c>
      <c r="E9624" t="s">
        <v>8222</v>
      </c>
      <c r="F9624" t="s">
        <v>8174</v>
      </c>
      <c r="G9624">
        <v>73</v>
      </c>
      <c r="H9624">
        <v>79.36</v>
      </c>
      <c r="I9624">
        <v>79.349999999999994</v>
      </c>
      <c r="J9624">
        <v>0.01</v>
      </c>
    </row>
    <row r="9625" spans="1:10" x14ac:dyDescent="0.3">
      <c r="A9625" t="str">
        <f>HYPERLINK("https://us2.cloudbeds.com/connect/10074733072513#/reservations/31687382143121?display=MHGV1VZCM&amp;reservation_id=31687382143121", "MHGV1VZCM")</f>
        <v>MHGV1VZCM</v>
      </c>
      <c r="B9625" t="s">
        <v>10</v>
      </c>
      <c r="C9625" t="s">
        <v>20</v>
      </c>
      <c r="D9625" t="str">
        <f>HYPERLINK("https://us2.cloudbeds.com/connect/10074733072513#/reservations/31687382143121?display=Wade%20Tysdal&amp;reservation_id=31687382143121&amp;guest_id=31687382143116", "Wade Tysdal")</f>
        <v>Wade Tysdal</v>
      </c>
      <c r="E9625" t="s">
        <v>8223</v>
      </c>
      <c r="F9625" t="s">
        <v>8135</v>
      </c>
      <c r="G9625">
        <v>139</v>
      </c>
      <c r="H9625">
        <v>151.1</v>
      </c>
      <c r="I9625">
        <v>151.09</v>
      </c>
      <c r="J9625">
        <v>0.01</v>
      </c>
    </row>
    <row r="9626" spans="1:10" x14ac:dyDescent="0.3">
      <c r="A9626" t="str">
        <f>HYPERLINK("https://us2.cloudbeds.com/connect/10074733072513#/reservations/31687902695645?display=MHHBBTT1J&amp;reservation_id=31687902695645", "MHHBBTT1J")</f>
        <v>MHHBBTT1J</v>
      </c>
      <c r="B9626" t="s">
        <v>10</v>
      </c>
      <c r="C9626" t="s">
        <v>20</v>
      </c>
      <c r="D9626" t="str">
        <f>HYPERLINK("https://us2.cloudbeds.com/connect/10074733072513#/reservations/31687902695645?display=Bud%20Kopp&amp;reservation_id=31687902695645&amp;guest_id=31687902695643", "Bud Kopp")</f>
        <v>Bud Kopp</v>
      </c>
      <c r="E9626" t="s">
        <v>8227</v>
      </c>
      <c r="F9626" t="s">
        <v>8228</v>
      </c>
      <c r="G9626">
        <v>109</v>
      </c>
      <c r="H9626">
        <v>118.49</v>
      </c>
      <c r="I9626">
        <v>118.48</v>
      </c>
      <c r="J9626">
        <v>0.01</v>
      </c>
    </row>
    <row r="9627" spans="1:10" x14ac:dyDescent="0.3">
      <c r="A9627" t="str">
        <f>HYPERLINK("https://us2.cloudbeds.com/connect/10074733072513#/reservations/31689220714634?display=MHXC19N4V&amp;reservation_id=31689220714634", "MHXC19N4V")</f>
        <v>MHXC19N4V</v>
      </c>
      <c r="B9627" t="s">
        <v>10</v>
      </c>
      <c r="C9627" t="s">
        <v>11</v>
      </c>
      <c r="D9627" t="str">
        <f>HYPERLINK("https://us2.cloudbeds.com/connect/10074733072513#/reservations/31689220714634?display=Jacob%20Donald%20Glossenger&amp;reservation_id=31689220714634&amp;guest_id=31689220714630", "Jacob Donald Glossenger")</f>
        <v>Jacob Donald Glossenger</v>
      </c>
      <c r="E9627" t="s">
        <v>8229</v>
      </c>
      <c r="F9627" t="s">
        <v>7977</v>
      </c>
      <c r="G9627">
        <v>97.74</v>
      </c>
      <c r="H9627">
        <v>106.25</v>
      </c>
      <c r="I9627">
        <v>106.24</v>
      </c>
      <c r="J9627">
        <v>0.01</v>
      </c>
    </row>
    <row r="9628" spans="1:10" x14ac:dyDescent="0.3">
      <c r="A9628" t="str">
        <f>HYPERLINK("https://us2.cloudbeds.com/connect/10074733072513#/reservations/31695353872628?display=MHN3ZUSGG&amp;reservation_id=31695353872628", "MHN3ZUSGG")</f>
        <v>MHN3ZUSGG</v>
      </c>
      <c r="B9628" t="s">
        <v>10</v>
      </c>
      <c r="C9628" t="s">
        <v>42</v>
      </c>
      <c r="D9628" t="str">
        <f>HYPERLINK("https://us2.cloudbeds.com/connect/10074733072513#/reservations/31695353872628?display=Megan%20Carsons&amp;reservation_id=31695353872628&amp;guest_id=31695345897628", "Megan Carsons")</f>
        <v>Megan Carsons</v>
      </c>
      <c r="E9628" t="s">
        <v>8230</v>
      </c>
      <c r="F9628" t="s">
        <v>6604</v>
      </c>
      <c r="G9628">
        <v>129</v>
      </c>
      <c r="H9628">
        <v>140.22999999999999</v>
      </c>
      <c r="I9628">
        <v>140.22</v>
      </c>
      <c r="J9628">
        <v>0.01</v>
      </c>
    </row>
    <row r="9629" spans="1:10" x14ac:dyDescent="0.3">
      <c r="A9629" t="str">
        <f>HYPERLINK("https://us2.cloudbeds.com/connect/10074733072513#/reservations/31694451048656?display=MHMDMYF1A&amp;reservation_id=31694451048656", "MHMDMYF1A")</f>
        <v>MHMDMYF1A</v>
      </c>
      <c r="B9629" t="s">
        <v>10</v>
      </c>
      <c r="C9629" t="s">
        <v>42</v>
      </c>
      <c r="D9629" t="str">
        <f>HYPERLINK("https://us2.cloudbeds.com/connect/10074733072513#/reservations/31694451048656?display=Matthew%20Souryachak&amp;reservation_id=31694451048656&amp;guest_id=31686437744812", "Matthew Souryachak")</f>
        <v>Matthew Souryachak</v>
      </c>
      <c r="E9629" t="s">
        <v>5543</v>
      </c>
      <c r="F9629" t="s">
        <v>8208</v>
      </c>
      <c r="G9629">
        <v>73</v>
      </c>
      <c r="H9629">
        <v>79.36</v>
      </c>
      <c r="I9629">
        <v>79.349999999999994</v>
      </c>
      <c r="J9629">
        <v>0.01</v>
      </c>
    </row>
    <row r="9630" spans="1:10" x14ac:dyDescent="0.3">
      <c r="A9630" t="str">
        <f>HYPERLINK("https://us2.cloudbeds.com/connect/10074733072513#/reservations/31687913341097?display=MHHBKT3G1&amp;reservation_id=31687913341097", "MHHBKT3G1")</f>
        <v>MHHBKT3G1</v>
      </c>
      <c r="B9630" t="s">
        <v>10</v>
      </c>
      <c r="C9630" t="s">
        <v>20</v>
      </c>
      <c r="D9630" t="str">
        <f>HYPERLINK("https://us2.cloudbeds.com/connect/10074733072513#/reservations/31687913341097?display=Kasey%20Tveidt&amp;reservation_id=31687913341097&amp;guest_id=31687913341057", "Kasey Tveidt")</f>
        <v>Kasey Tveidt</v>
      </c>
      <c r="E9630" t="s">
        <v>8231</v>
      </c>
      <c r="F9630" t="s">
        <v>8228</v>
      </c>
      <c r="G9630">
        <v>109</v>
      </c>
      <c r="H9630">
        <v>118.49</v>
      </c>
      <c r="I9630">
        <v>118.48</v>
      </c>
      <c r="J9630">
        <v>0.01</v>
      </c>
    </row>
    <row r="9631" spans="1:10" x14ac:dyDescent="0.3">
      <c r="A9631" t="str">
        <f>HYPERLINK("https://us2.cloudbeds.com/connect/10074733072513#/reservations/31694427537609?display=MHMD2R7FB&amp;reservation_id=31694427537609", "MHMD2R7FB")</f>
        <v>MHMD2R7FB</v>
      </c>
      <c r="B9631" t="s">
        <v>10</v>
      </c>
      <c r="C9631" t="s">
        <v>42</v>
      </c>
      <c r="D9631" t="str">
        <f>HYPERLINK("https://us2.cloudbeds.com/connect/10074733072513#/reservations/31694427537609?display=Mark%20Besaw&amp;reservation_id=31694427537609&amp;guest_id=31694420865182", "Mark Besaw")</f>
        <v>Mark Besaw</v>
      </c>
      <c r="E9631" t="s">
        <v>8232</v>
      </c>
      <c r="F9631" t="s">
        <v>8208</v>
      </c>
      <c r="G9631">
        <v>139</v>
      </c>
      <c r="H9631">
        <v>151.1</v>
      </c>
      <c r="I9631">
        <v>151.09</v>
      </c>
      <c r="J9631">
        <v>0.01</v>
      </c>
    </row>
    <row r="9632" spans="1:10" x14ac:dyDescent="0.3">
      <c r="A9632" t="str">
        <f>HYPERLINK("https://us2.cloudbeds.com/connect/10074733072513#/reservations/31694372085903?display=MHMBM26KK&amp;reservation_id=31694372085903", "MHMBM26KK")</f>
        <v>MHMBM26KK</v>
      </c>
      <c r="B9632" t="s">
        <v>10</v>
      </c>
      <c r="C9632" t="s">
        <v>121</v>
      </c>
      <c r="D9632" t="str">
        <f>HYPERLINK("https://us2.cloudbeds.com/connect/10074733072513#/reservations/31694372085903?display=Andrew%20Richard%20Gangl&amp;reservation_id=31694372085903&amp;guest_id=31694372081853", "Andrew Richard Gangl")</f>
        <v>Andrew Richard Gangl</v>
      </c>
      <c r="E9632" t="s">
        <v>8233</v>
      </c>
      <c r="F9632" t="s">
        <v>8208</v>
      </c>
      <c r="G9632">
        <v>109</v>
      </c>
      <c r="H9632">
        <v>118.49</v>
      </c>
      <c r="I9632">
        <v>118.48</v>
      </c>
      <c r="J9632">
        <v>0.01</v>
      </c>
    </row>
    <row r="9633" spans="1:10" x14ac:dyDescent="0.3">
      <c r="A9633" t="str">
        <f>HYPERLINK("https://us2.cloudbeds.com/connect/10074733072513#/reservations/31687880741015?display=MHHAQCVMP&amp;reservation_id=31687880741015", "MHHAQCVMP")</f>
        <v>MHHAQCVMP</v>
      </c>
      <c r="B9633" t="s">
        <v>10</v>
      </c>
      <c r="C9633" t="s">
        <v>20</v>
      </c>
      <c r="D9633" t="str">
        <f>HYPERLINK("https://us2.cloudbeds.com/connect/10074733072513#/reservations/31687880741015?display=Bonnie%20Bruch&amp;reservation_id=31687880741015&amp;guest_id=31687880741010", "Bonnie Bruch")</f>
        <v>Bonnie Bruch</v>
      </c>
      <c r="E9633" t="s">
        <v>8234</v>
      </c>
      <c r="F9633" t="s">
        <v>8228</v>
      </c>
      <c r="G9633">
        <v>109</v>
      </c>
      <c r="H9633">
        <v>118.49</v>
      </c>
      <c r="I9633">
        <v>118.48</v>
      </c>
      <c r="J9633">
        <v>0.01</v>
      </c>
    </row>
    <row r="9634" spans="1:10" x14ac:dyDescent="0.3">
      <c r="A9634" t="str">
        <f>HYPERLINK("https://us2.cloudbeds.com/connect/10074733072513#/reservations/31687361487057?display=MHGUHHVFB&amp;reservation_id=31687361487057", "MHGUHHVFB")</f>
        <v>MHGUHHVFB</v>
      </c>
      <c r="B9634" t="s">
        <v>10</v>
      </c>
      <c r="C9634" t="s">
        <v>17</v>
      </c>
      <c r="D9634" t="str">
        <f>HYPERLINK("https://us2.cloudbeds.com/connect/10074733072513#/reservations/31687361487057?display=Rosalba%20Aceves&amp;reservation_id=31687361487057&amp;guest_id=31687356129526", "Rosalba Aceves")</f>
        <v>Rosalba Aceves</v>
      </c>
      <c r="E9634" t="s">
        <v>8235</v>
      </c>
      <c r="F9634" t="s">
        <v>8135</v>
      </c>
      <c r="G9634">
        <v>169</v>
      </c>
      <c r="H9634">
        <v>183.71</v>
      </c>
      <c r="I9634">
        <v>183.7</v>
      </c>
      <c r="J9634">
        <v>0.01</v>
      </c>
    </row>
    <row r="9635" spans="1:10" x14ac:dyDescent="0.3">
      <c r="A9635" t="str">
        <f>HYPERLINK("https://us2.cloudbeds.com/connect/10074733072513#/reservations/31691948691702?display=MHKFZJMJN&amp;reservation_id=31691948691702", "MHKFZJMJN")</f>
        <v>MHKFZJMJN</v>
      </c>
      <c r="B9635" t="s">
        <v>10</v>
      </c>
      <c r="C9635" t="s">
        <v>14</v>
      </c>
      <c r="D9635" t="str">
        <f>HYPERLINK("https://us2.cloudbeds.com/connect/10074733072513#/reservations/31691948691702?display=Laura%20Reyna&amp;reservation_id=31691948691702&amp;guest_id=31691937579166", "Laura Reyna")</f>
        <v>Laura Reyna</v>
      </c>
      <c r="E9635" t="s">
        <v>8236</v>
      </c>
      <c r="F9635" t="s">
        <v>7780</v>
      </c>
      <c r="G9635">
        <v>195.48</v>
      </c>
      <c r="H9635">
        <v>212.5</v>
      </c>
      <c r="I9635">
        <v>212.49</v>
      </c>
      <c r="J9635">
        <v>0.01</v>
      </c>
    </row>
    <row r="9636" spans="1:10" x14ac:dyDescent="0.3">
      <c r="A9636" t="str">
        <f>HYPERLINK("https://us2.cloudbeds.com/connect/10074733072513#/reservations/31694680592512?display=MHMJ99XYP&amp;reservation_id=31694680592512", "MHMJ99XYP")</f>
        <v>MHMJ99XYP</v>
      </c>
      <c r="B9636" t="s">
        <v>10</v>
      </c>
      <c r="C9636" t="s">
        <v>23</v>
      </c>
      <c r="D9636" t="str">
        <f>HYPERLINK("https://us2.cloudbeds.com/connect/10074733072513#/reservations/31694680592512?display=Joel%20Bernet&amp;reservation_id=31694680592512&amp;guest_id=31683358822547", "Joel Bernet")</f>
        <v>Joel Bernet</v>
      </c>
      <c r="E9636" t="s">
        <v>8237</v>
      </c>
      <c r="F9636" t="s">
        <v>8186</v>
      </c>
      <c r="G9636">
        <v>119</v>
      </c>
      <c r="H9636">
        <v>129.36000000000001</v>
      </c>
      <c r="I9636">
        <v>129.35</v>
      </c>
      <c r="J9636">
        <v>0.01</v>
      </c>
    </row>
    <row r="9637" spans="1:10" x14ac:dyDescent="0.3">
      <c r="A9637" t="str">
        <f>HYPERLINK("https://us2.cloudbeds.com/connect/10074733072513#/reservations/31694680592574?display=MHMJX6S5K&amp;reservation_id=31694680592574", "MHMJX6S5K")</f>
        <v>MHMJX6S5K</v>
      </c>
      <c r="B9637" t="s">
        <v>10</v>
      </c>
      <c r="C9637" t="s">
        <v>42</v>
      </c>
      <c r="D9637" t="str">
        <f>HYPERLINK("https://us2.cloudbeds.com/connect/10074733072513#/reservations/31694680592574?display=Lee%20Chytka&amp;reservation_id=31694680592574&amp;guest_id=31694680592571", "Lee Chytka")</f>
        <v>Lee Chytka</v>
      </c>
      <c r="E9637" t="s">
        <v>8238</v>
      </c>
      <c r="F9637" t="s">
        <v>8186</v>
      </c>
      <c r="G9637">
        <v>109</v>
      </c>
      <c r="H9637">
        <v>118.49</v>
      </c>
      <c r="I9637">
        <v>118.48</v>
      </c>
      <c r="J9637">
        <v>0.01</v>
      </c>
    </row>
    <row r="9638" spans="1:10" x14ac:dyDescent="0.3">
      <c r="A9638" t="str">
        <f>HYPERLINK("https://us2.cloudbeds.com/connect/10074733072513#/reservations/31687400698073?display=MHGVHK1TV&amp;reservation_id=31687400698073", "MHGVHK1TV")</f>
        <v>MHGVHK1TV</v>
      </c>
      <c r="B9638" t="s">
        <v>10</v>
      </c>
      <c r="C9638" t="s">
        <v>42</v>
      </c>
      <c r="D9638" t="str">
        <f>HYPERLINK("https://us2.cloudbeds.com/connect/10074733072513#/reservations/31687400698073?display=Jack%20Olson&amp;reservation_id=31687400698073&amp;guest_id=31687400698062", "Jack Olson")</f>
        <v>Jack Olson</v>
      </c>
      <c r="E9638" t="s">
        <v>8239</v>
      </c>
      <c r="F9638" t="s">
        <v>8135</v>
      </c>
      <c r="G9638">
        <v>139</v>
      </c>
      <c r="H9638">
        <v>151.1</v>
      </c>
      <c r="I9638">
        <v>151.09</v>
      </c>
      <c r="J9638">
        <v>0.01</v>
      </c>
    </row>
    <row r="9639" spans="1:10" x14ac:dyDescent="0.3">
      <c r="A9639" t="str">
        <f>HYPERLINK("https://us2.cloudbeds.com/connect/10074733072513#/reservations/31690414321871?display=MHJ9HPJ77&amp;reservation_id=31690414321871", "MHJ9HPJ77")</f>
        <v>MHJ9HPJ77</v>
      </c>
      <c r="B9639" t="s">
        <v>10</v>
      </c>
      <c r="C9639" t="s">
        <v>121</v>
      </c>
      <c r="D9639" t="str">
        <f>HYPERLINK("https://us2.cloudbeds.com/connect/10074733072513#/reservations/31690414321871?display=Trent%20Johnson&amp;reservation_id=31690414321871&amp;guest_id=31690410070177", "Trent Johnson")</f>
        <v>Trent Johnson</v>
      </c>
      <c r="E9639" t="s">
        <v>8240</v>
      </c>
      <c r="F9639" t="s">
        <v>8208</v>
      </c>
      <c r="G9639">
        <v>119</v>
      </c>
      <c r="H9639">
        <v>129.36000000000001</v>
      </c>
      <c r="I9639">
        <v>129.35</v>
      </c>
      <c r="J9639">
        <v>0.01</v>
      </c>
    </row>
    <row r="9640" spans="1:10" x14ac:dyDescent="0.3">
      <c r="A9640" t="str">
        <f>HYPERLINK("https://us2.cloudbeds.com/connect/10074733072513#/reservations/31694462574753?display=MHMDWC64W&amp;reservation_id=31694462574753", "MHMDWC64W")</f>
        <v>MHMDWC64W</v>
      </c>
      <c r="B9640" t="s">
        <v>10</v>
      </c>
      <c r="C9640" t="s">
        <v>42</v>
      </c>
      <c r="D9640" t="str">
        <f>HYPERLINK("https://us2.cloudbeds.com/connect/10074733072513#/reservations/31694462574753?display=Kate%20And%20Ryan%20Ortner&amp;reservation_id=31694462574753&amp;guest_id=31694462570662", "Kate And Ryan Ortner")</f>
        <v>Kate And Ryan Ortner</v>
      </c>
      <c r="E9640" t="s">
        <v>8241</v>
      </c>
      <c r="F9640" t="s">
        <v>8208</v>
      </c>
      <c r="G9640">
        <v>119</v>
      </c>
      <c r="H9640">
        <v>129.36000000000001</v>
      </c>
      <c r="I9640">
        <v>129.35</v>
      </c>
      <c r="J9640">
        <v>0.01</v>
      </c>
    </row>
    <row r="9641" spans="1:10" x14ac:dyDescent="0.3">
      <c r="A9641" t="str">
        <f>HYPERLINK("https://us2.cloudbeds.com/connect/10074733072513#/reservations/31687331836071?display=MHGTPHSZK&amp;reservation_id=31687331836071", "MHGTPHSZK")</f>
        <v>MHGTPHSZK</v>
      </c>
      <c r="B9641" t="s">
        <v>10</v>
      </c>
      <c r="C9641" t="s">
        <v>14</v>
      </c>
      <c r="D9641" t="str">
        <f>HYPERLINK("https://us2.cloudbeds.com/connect/10074733072513#/reservations/31687331836071?display=Jessica%20Skretta&amp;reservation_id=31687331836071&amp;guest_id=31687331836066", "Jessica Skretta")</f>
        <v>Jessica Skretta</v>
      </c>
      <c r="E9641" t="s">
        <v>8242</v>
      </c>
      <c r="F9641" t="s">
        <v>8135</v>
      </c>
      <c r="G9641">
        <v>221.72</v>
      </c>
      <c r="H9641">
        <v>241.02</v>
      </c>
      <c r="I9641">
        <v>241.01</v>
      </c>
      <c r="J9641">
        <v>0.01</v>
      </c>
    </row>
    <row r="9642" spans="1:10" x14ac:dyDescent="0.3">
      <c r="A9642" t="str">
        <f>HYPERLINK("https://us2.cloudbeds.com/connect/10074733072513#/reservations/31694983311538?display=MHMR9FF0X&amp;reservation_id=31694983311538", "MHMR9FF0X")</f>
        <v>MHMR9FF0X</v>
      </c>
      <c r="B9642" t="s">
        <v>10</v>
      </c>
      <c r="C9642" t="s">
        <v>42</v>
      </c>
      <c r="D9642" t="str">
        <f>HYPERLINK("https://us2.cloudbeds.com/connect/10074733072513#/reservations/31694983311538?display=Matthew%20Souryachak&amp;reservation_id=31694983311538&amp;guest_id=31686437744812", "Matthew Souryachak")</f>
        <v>Matthew Souryachak</v>
      </c>
      <c r="E9642" t="s">
        <v>5543</v>
      </c>
      <c r="F9642" t="s">
        <v>8243</v>
      </c>
      <c r="G9642">
        <v>73</v>
      </c>
      <c r="H9642">
        <v>79.36</v>
      </c>
      <c r="I9642">
        <v>79.349999999999994</v>
      </c>
      <c r="J9642">
        <v>0.01</v>
      </c>
    </row>
    <row r="9643" spans="1:10" x14ac:dyDescent="0.3">
      <c r="A9643" t="str">
        <f>HYPERLINK("https://us2.cloudbeds.com/connect/10074733072513#/reservations/31695303864448?display=MHN26Y65T&amp;reservation_id=31695303864448", "MHN26Y65T")</f>
        <v>MHN26Y65T</v>
      </c>
      <c r="B9643" t="s">
        <v>10</v>
      </c>
      <c r="C9643" t="s">
        <v>42</v>
      </c>
      <c r="D9643" t="str">
        <f>HYPERLINK("https://us2.cloudbeds.com/connect/10074733072513#/reservations/31695303864448?display=Leslie%20Gray&amp;reservation_id=31695303864448&amp;guest_id=31695293038825", "Leslie Gray")</f>
        <v>Leslie Gray</v>
      </c>
      <c r="E9643" t="s">
        <v>8244</v>
      </c>
      <c r="F9643" t="s">
        <v>6604</v>
      </c>
      <c r="G9643">
        <v>258</v>
      </c>
      <c r="H9643">
        <v>280.45999999999998</v>
      </c>
      <c r="I9643">
        <v>280.45</v>
      </c>
      <c r="J9643">
        <v>0.01</v>
      </c>
    </row>
    <row r="9644" spans="1:10" x14ac:dyDescent="0.3">
      <c r="A9644" t="str">
        <f>HYPERLINK("https://us2.cloudbeds.com/connect/10074733072513#/reservations/31687355195539?display=MHGUC7T49&amp;reservation_id=31687355195539", "MHGUC7T49")</f>
        <v>MHGUC7T49</v>
      </c>
      <c r="B9644" t="s">
        <v>10</v>
      </c>
      <c r="C9644" t="s">
        <v>42</v>
      </c>
      <c r="D9644" t="str">
        <f>HYPERLINK("https://us2.cloudbeds.com/connect/10074733072513#/reservations/31687355195539?display=Matthew%20Souryachak&amp;reservation_id=31687355195539&amp;guest_id=31686437744812", "Matthew Souryachak")</f>
        <v>Matthew Souryachak</v>
      </c>
      <c r="E9644" t="s">
        <v>5543</v>
      </c>
      <c r="F9644" t="s">
        <v>8245</v>
      </c>
      <c r="G9644">
        <v>73</v>
      </c>
      <c r="H9644">
        <v>79.36</v>
      </c>
      <c r="I9644">
        <v>79.349999999999994</v>
      </c>
      <c r="J9644">
        <v>0.01</v>
      </c>
    </row>
    <row r="9645" spans="1:10" x14ac:dyDescent="0.3">
      <c r="A9645" t="str">
        <f>HYPERLINK("https://us2.cloudbeds.com/connect/10074733072513#/reservations/31692477747364?display=MHKT8NEFF&amp;reservation_id=31692477747364", "MHKT8NEFF")</f>
        <v>MHKT8NEFF</v>
      </c>
      <c r="B9645" t="s">
        <v>10</v>
      </c>
      <c r="C9645" t="s">
        <v>42</v>
      </c>
      <c r="D9645" t="str">
        <f>HYPERLINK("https://us2.cloudbeds.com/connect/10074733072513#/reservations/31692477747364?display=Colton%20Jungjohan&amp;reservation_id=31692477747364&amp;guest_id=31692468879562", "Colton Jungjohan")</f>
        <v>Colton Jungjohan</v>
      </c>
      <c r="E9645" t="s">
        <v>8246</v>
      </c>
      <c r="F9645" t="s">
        <v>8247</v>
      </c>
      <c r="G9645">
        <v>73</v>
      </c>
      <c r="H9645">
        <v>79.36</v>
      </c>
      <c r="I9645">
        <v>79.349999999999994</v>
      </c>
      <c r="J9645">
        <v>0.01</v>
      </c>
    </row>
    <row r="9646" spans="1:10" x14ac:dyDescent="0.3">
      <c r="A9646" t="str">
        <f>HYPERLINK("https://us2.cloudbeds.com/connect/10074733072513#/reservations/31687396388994?display=MHGVDW4WQ&amp;reservation_id=31687396388994", "MHGVDW4WQ")</f>
        <v>MHGVDW4WQ</v>
      </c>
      <c r="B9646" t="s">
        <v>10</v>
      </c>
      <c r="C9646" t="s">
        <v>23</v>
      </c>
      <c r="D9646" t="str">
        <f>HYPERLINK("https://us2.cloudbeds.com/connect/10074733072513#/reservations/31687396388994?display=Nate%20Kaim&amp;reservation_id=31687396388994&amp;guest_id=31687390085335", "Nate Kaim")</f>
        <v>Nate Kaim</v>
      </c>
      <c r="E9646" t="s">
        <v>8248</v>
      </c>
      <c r="F9646" t="s">
        <v>8135</v>
      </c>
      <c r="G9646">
        <v>139</v>
      </c>
      <c r="H9646">
        <v>151.1</v>
      </c>
      <c r="I9646">
        <v>151.09</v>
      </c>
      <c r="J9646">
        <v>0.01</v>
      </c>
    </row>
    <row r="9647" spans="1:10" x14ac:dyDescent="0.3">
      <c r="A9647" t="str">
        <f>HYPERLINK("https://us2.cloudbeds.com/connect/10074733072513#/reservations/31690450006172?display=MHJAESX5Y&amp;reservation_id=31690450006172", "MHJAESX5Y")</f>
        <v>MHJAESX5Y</v>
      </c>
      <c r="B9647" t="s">
        <v>10</v>
      </c>
      <c r="C9647" t="s">
        <v>42</v>
      </c>
      <c r="D9647" t="str">
        <f>HYPERLINK("https://us2.cloudbeds.com/connect/10074733072513#/reservations/31690450006172?display=Matthew%20Souryachak&amp;reservation_id=31690450006172&amp;guest_id=31686437744812", "Matthew Souryachak")</f>
        <v>Matthew Souryachak</v>
      </c>
      <c r="E9647" t="s">
        <v>5543</v>
      </c>
      <c r="F9647" t="s">
        <v>8249</v>
      </c>
      <c r="G9647">
        <v>73</v>
      </c>
      <c r="H9647">
        <v>79.36</v>
      </c>
      <c r="I9647">
        <v>79.349999999999994</v>
      </c>
      <c r="J9647">
        <v>0.01</v>
      </c>
    </row>
    <row r="9648" spans="1:10" x14ac:dyDescent="0.3">
      <c r="A9648" t="str">
        <f>HYPERLINK("https://us2.cloudbeds.com/connect/10074733072513#/reservations/31687948226743?display=MHHCH9S1R&amp;reservation_id=31687948226743", "MHHCH9S1R")</f>
        <v>MHHCH9S1R</v>
      </c>
      <c r="B9648" t="s">
        <v>10</v>
      </c>
      <c r="C9648" t="s">
        <v>23</v>
      </c>
      <c r="D9648" t="str">
        <f>HYPERLINK("https://us2.cloudbeds.com/connect/10074733072513#/reservations/31687948226743?display=Mitch%20Kling&amp;reservation_id=31687948226743&amp;guest_id=31687940276442", "Mitch Kling")</f>
        <v>Mitch Kling</v>
      </c>
      <c r="E9648" t="s">
        <v>8250</v>
      </c>
      <c r="F9648" t="s">
        <v>8228</v>
      </c>
      <c r="G9648">
        <v>109</v>
      </c>
      <c r="H9648">
        <v>118.49</v>
      </c>
      <c r="I9648">
        <v>118.48</v>
      </c>
      <c r="J9648">
        <v>0.01</v>
      </c>
    </row>
    <row r="9649" spans="1:10" x14ac:dyDescent="0.3">
      <c r="A9649" t="str">
        <f>HYPERLINK("https://us2.cloudbeds.com/connect/10074733072513#/reservations/31689559195805?display=MHXKMNEG4&amp;reservation_id=31689559195805", "MHXKMNEG4")</f>
        <v>MHXKMNEG4</v>
      </c>
      <c r="B9649" t="s">
        <v>10</v>
      </c>
      <c r="C9649" t="s">
        <v>42</v>
      </c>
      <c r="D9649" t="str">
        <f>HYPERLINK("https://us2.cloudbeds.com/connect/10074733072513#/reservations/31689559195805?display=Mary%20Ellen%20Mertes&amp;reservation_id=31689559195805&amp;guest_id=31684354171084", "Mary Ellen Mertes")</f>
        <v>Mary Ellen Mertes</v>
      </c>
      <c r="E9649" t="s">
        <v>7290</v>
      </c>
      <c r="F9649" t="s">
        <v>8034</v>
      </c>
      <c r="G9649">
        <v>331.2</v>
      </c>
      <c r="H9649">
        <v>360.02</v>
      </c>
      <c r="I9649">
        <v>360.01</v>
      </c>
      <c r="J9649">
        <v>0.01</v>
      </c>
    </row>
    <row r="9650" spans="1:10" x14ac:dyDescent="0.3">
      <c r="A9650" t="str">
        <f>HYPERLINK("https://us2.cloudbeds.com/connect/10074733072513#/reservations/31729935085734?display=MXGTCZ345&amp;reservation_id=31729935085734", "MXGTCZ345")</f>
        <v>MXGTCZ345</v>
      </c>
      <c r="B9650" t="s">
        <v>10</v>
      </c>
      <c r="C9650" t="s">
        <v>42</v>
      </c>
      <c r="D9650" t="str">
        <f>HYPERLINK("https://us2.cloudbeds.com/connect/10074733072513#/reservations/31729935085734?display=Jada%20Clark&amp;reservation_id=31729935085734&amp;guest_id=31729935085719", "Jada Clark")</f>
        <v>Jada Clark</v>
      </c>
      <c r="E9650" t="s">
        <v>8251</v>
      </c>
      <c r="F9650" t="s">
        <v>6933</v>
      </c>
      <c r="G9650">
        <v>398</v>
      </c>
      <c r="H9650">
        <v>432.64</v>
      </c>
      <c r="I9650">
        <v>432.63</v>
      </c>
      <c r="J9650">
        <v>0.01</v>
      </c>
    </row>
    <row r="9651" spans="1:10" x14ac:dyDescent="0.3">
      <c r="A9651" t="str">
        <f>HYPERLINK("https://us2.cloudbeds.com/connect/10074733072513#/reservations/31687940272352?display=MHHCAJGZM&amp;reservation_id=31687940272352", "MHHCAJGZM")</f>
        <v>MHHCAJGZM</v>
      </c>
      <c r="B9651" t="s">
        <v>10</v>
      </c>
      <c r="C9651" t="s">
        <v>42</v>
      </c>
      <c r="D9651" t="str">
        <f>HYPERLINK("https://us2.cloudbeds.com/connect/10074733072513#/reservations/31687940272352?display=Kirstie%20Hoon&amp;reservation_id=31687940272352&amp;guest_id=31687932723333", "Kirstie Hoon")</f>
        <v>Kirstie Hoon</v>
      </c>
      <c r="E9651" t="s">
        <v>8252</v>
      </c>
      <c r="F9651" t="s">
        <v>8228</v>
      </c>
      <c r="G9651">
        <v>119</v>
      </c>
      <c r="H9651">
        <v>129.36000000000001</v>
      </c>
      <c r="I9651">
        <v>129.35</v>
      </c>
      <c r="J9651">
        <v>0.01</v>
      </c>
    </row>
    <row r="9652" spans="1:10" x14ac:dyDescent="0.3">
      <c r="A9652" t="str">
        <f>HYPERLINK("https://us2.cloudbeds.com/connect/10074733072513#/reservations/31687745687779?display=MHH7BGTSF&amp;reservation_id=31687745687779", "MHH7BGTSF")</f>
        <v>MHH7BGTSF</v>
      </c>
      <c r="B9652" t="s">
        <v>10</v>
      </c>
      <c r="C9652" t="s">
        <v>17</v>
      </c>
      <c r="D9652" t="str">
        <f>HYPERLINK("https://us2.cloudbeds.com/connect/10074733072513#/reservations/31687745687779?display=Jeanne%20Bietz&amp;reservation_id=31687745687779&amp;guest_id=31687745683688", "Jeanne Bietz")</f>
        <v>Jeanne Bietz</v>
      </c>
      <c r="E9652" t="s">
        <v>8254</v>
      </c>
      <c r="F9652" t="s">
        <v>8226</v>
      </c>
      <c r="G9652">
        <v>149</v>
      </c>
      <c r="H9652">
        <v>161.97</v>
      </c>
      <c r="I9652">
        <v>161.96</v>
      </c>
      <c r="J9652">
        <v>0.01</v>
      </c>
    </row>
    <row r="9653" spans="1:10" x14ac:dyDescent="0.3">
      <c r="A9653" t="str">
        <f>HYPERLINK("https://us2.cloudbeds.com/connect/10074733072513#/reservations/31685061476493?display=MHF4P3PCH&amp;reservation_id=31685061476493", "MHF4P3PCH")</f>
        <v>MHF4P3PCH</v>
      </c>
      <c r="B9653" t="s">
        <v>10</v>
      </c>
      <c r="C9653" t="s">
        <v>23</v>
      </c>
      <c r="D9653" t="str">
        <f>HYPERLINK("https://us2.cloudbeds.com/connect/10074733072513#/reservations/31685061476493?display=Todd%20Buck&amp;reservation_id=31685061476493&amp;guest_id=31685061476489", "Todd Buck")</f>
        <v>Todd Buck</v>
      </c>
      <c r="E9653" t="s">
        <v>8255</v>
      </c>
      <c r="F9653" t="s">
        <v>8090</v>
      </c>
      <c r="G9653">
        <v>189</v>
      </c>
      <c r="H9653">
        <v>205.45</v>
      </c>
      <c r="I9653">
        <v>205.44</v>
      </c>
      <c r="J9653">
        <v>0.01</v>
      </c>
    </row>
    <row r="9654" spans="1:10" x14ac:dyDescent="0.3">
      <c r="A9654" t="str">
        <f>HYPERLINK("https://us2.cloudbeds.com/connect/10074733072513#/reservations/31694796468401?display=MHMMGU8TA&amp;reservation_id=31694796468401", "MHMMGU8TA")</f>
        <v>MHMMGU8TA</v>
      </c>
      <c r="B9654" t="s">
        <v>10</v>
      </c>
      <c r="C9654" t="s">
        <v>17</v>
      </c>
      <c r="D9654" t="str">
        <f>HYPERLINK("https://us2.cloudbeds.com/connect/10074733072513#/reservations/31694796468401?display=Erick%20Dabbs&amp;reservation_id=31694796468401&amp;guest_id=31694796468396", "Erick Dabbs")</f>
        <v>Erick Dabbs</v>
      </c>
      <c r="E9654" t="s">
        <v>8256</v>
      </c>
      <c r="F9654" t="s">
        <v>8243</v>
      </c>
      <c r="G9654">
        <v>218</v>
      </c>
      <c r="H9654">
        <v>236.98</v>
      </c>
      <c r="I9654">
        <v>236.97</v>
      </c>
      <c r="J9654">
        <v>0.01</v>
      </c>
    </row>
    <row r="9655" spans="1:10" x14ac:dyDescent="0.3">
      <c r="A9655" t="str">
        <f>HYPERLINK("https://us2.cloudbeds.com/connect/10074733072513#/reservations/31691963265261?display=MHKG3T73N&amp;reservation_id=31691963265261", "MHKG3T73N")</f>
        <v>MHKG3T73N</v>
      </c>
      <c r="B9655" t="s">
        <v>10</v>
      </c>
      <c r="C9655" t="s">
        <v>42</v>
      </c>
      <c r="D9655" t="str">
        <f>HYPERLINK("https://us2.cloudbeds.com/connect/10074733072513#/reservations/31691963265261?display=Kimberle%20Friederich&amp;reservation_id=31691963265261&amp;guest_id=31691963265259", "Kimberle Friederich")</f>
        <v>Kimberle Friederich</v>
      </c>
      <c r="E9655" t="s">
        <v>8257</v>
      </c>
      <c r="F9655" t="s">
        <v>7780</v>
      </c>
      <c r="G9655">
        <v>139</v>
      </c>
      <c r="H9655">
        <v>151.1</v>
      </c>
      <c r="I9655">
        <v>151.09</v>
      </c>
      <c r="J9655">
        <v>0.01</v>
      </c>
    </row>
    <row r="9656" spans="1:10" x14ac:dyDescent="0.3">
      <c r="A9656" t="str">
        <f>HYPERLINK("https://us2.cloudbeds.com/connect/10074733072513#/reservations/31687976263856?display=MHHD7V0QA&amp;reservation_id=31687976263856", "MHHD7V0QA")</f>
        <v>MHHD7V0QA</v>
      </c>
      <c r="B9656" t="s">
        <v>10</v>
      </c>
      <c r="C9656" t="s">
        <v>17</v>
      </c>
      <c r="D9656" t="str">
        <f>HYPERLINK("https://us2.cloudbeds.com/connect/10074733072513#/reservations/31687976263856?display=Brandi%20Haaven&amp;reservation_id=31687976263856&amp;guest_id=31687976263853", "Brandi Haaven")</f>
        <v>Brandi Haaven</v>
      </c>
      <c r="E9656" t="s">
        <v>8031</v>
      </c>
      <c r="F9656" t="s">
        <v>8258</v>
      </c>
      <c r="G9656">
        <v>218</v>
      </c>
      <c r="H9656">
        <v>236.98</v>
      </c>
      <c r="I9656">
        <v>236.97</v>
      </c>
      <c r="J9656">
        <v>0.01</v>
      </c>
    </row>
    <row r="9657" spans="1:10" x14ac:dyDescent="0.3">
      <c r="A9657" t="str">
        <f>HYPERLINK("https://us2.cloudbeds.com/connect/10074733072513#/reservations/31688012357763?display=MHHE5CCT2&amp;reservation_id=31688012357763", "MHHE5CCT2")</f>
        <v>MHHE5CCT2</v>
      </c>
      <c r="B9657" t="s">
        <v>10</v>
      </c>
      <c r="C9657" t="s">
        <v>121</v>
      </c>
      <c r="D9657" t="str">
        <f>HYPERLINK("https://us2.cloudbeds.com/connect/10074733072513#/reservations/31688012357763?display=Johnson%20Kelly%20Kay&amp;reservation_id=31688012357763&amp;guest_id=31688012357761", "Johnson Kelly Kay")</f>
        <v>Johnson Kelly Kay</v>
      </c>
      <c r="E9657" t="s">
        <v>8261</v>
      </c>
      <c r="F9657" t="s">
        <v>8258</v>
      </c>
      <c r="G9657">
        <v>139</v>
      </c>
      <c r="H9657">
        <v>151.1</v>
      </c>
      <c r="I9657">
        <v>151.09</v>
      </c>
      <c r="J9657">
        <v>0.01</v>
      </c>
    </row>
    <row r="9658" spans="1:10" x14ac:dyDescent="0.3">
      <c r="A9658" t="str">
        <f>HYPERLINK("https://us2.cloudbeds.com/connect/10074733072513#/reservations/31694907052186?display=MHMPB5E23&amp;reservation_id=31694907052186", "MHMPB5E23")</f>
        <v>MHMPB5E23</v>
      </c>
      <c r="B9658" t="s">
        <v>10</v>
      </c>
      <c r="C9658" t="s">
        <v>42</v>
      </c>
      <c r="D9658" t="str">
        <f>HYPERLINK("https://us2.cloudbeds.com/connect/10074733072513#/reservations/31694907052186?display=Keith%20Anderson&amp;reservation_id=31694907052186&amp;guest_id=17963406844038", "Keith Anderson")</f>
        <v>Keith Anderson</v>
      </c>
      <c r="E9658" t="s">
        <v>8040</v>
      </c>
      <c r="F9658" t="s">
        <v>8268</v>
      </c>
      <c r="G9658">
        <v>79</v>
      </c>
      <c r="H9658">
        <v>85.88</v>
      </c>
      <c r="I9658">
        <v>85.87</v>
      </c>
      <c r="J9658">
        <v>0.01</v>
      </c>
    </row>
    <row r="9659" spans="1:10" x14ac:dyDescent="0.3">
      <c r="A9659" t="str">
        <f>HYPERLINK("https://us2.cloudbeds.com/connect/10074733072513#/reservations/31687986991248?display=MHHDGWHFQ&amp;reservation_id=31687986991248", "MHHDGWHFQ")</f>
        <v>MHHDGWHFQ</v>
      </c>
      <c r="B9659" t="s">
        <v>10</v>
      </c>
      <c r="C9659" t="s">
        <v>121</v>
      </c>
      <c r="D9659" t="str">
        <f>HYPERLINK("https://us2.cloudbeds.com/connect/10074733072513#/reservations/31687986991248?display=Zach%20Jr%20Hofer&amp;reservation_id=31687986991248&amp;guest_id=31687986991243", "Zach Jr Hofer")</f>
        <v>Zach Jr Hofer</v>
      </c>
      <c r="E9659" t="s">
        <v>8272</v>
      </c>
      <c r="F9659" t="s">
        <v>8258</v>
      </c>
      <c r="G9659">
        <v>109</v>
      </c>
      <c r="H9659">
        <v>118.49</v>
      </c>
      <c r="I9659">
        <v>118.48</v>
      </c>
      <c r="J9659">
        <v>0.01</v>
      </c>
    </row>
    <row r="9660" spans="1:10" x14ac:dyDescent="0.3">
      <c r="A9660" t="str">
        <f>HYPERLINK("https://us2.cloudbeds.com/connect/10074733072513#/reservations/31695830216844?display=MHNFUJRRN&amp;reservation_id=31695830216844", "MHNFUJRRN")</f>
        <v>MHNFUJRRN</v>
      </c>
      <c r="B9660" t="s">
        <v>10</v>
      </c>
      <c r="C9660" t="s">
        <v>42</v>
      </c>
      <c r="D9660" t="str">
        <f>HYPERLINK("https://us2.cloudbeds.com/connect/10074733072513#/reservations/31695830216844?display=Chrissa%20Gray&amp;reservation_id=31695830216844&amp;guest_id=31695830216839", "Chrissa Gray")</f>
        <v>Chrissa Gray</v>
      </c>
      <c r="E9660" t="s">
        <v>8273</v>
      </c>
      <c r="F9660" t="s">
        <v>6604</v>
      </c>
      <c r="G9660">
        <v>258</v>
      </c>
      <c r="H9660">
        <v>280.45999999999998</v>
      </c>
      <c r="I9660">
        <v>280.45</v>
      </c>
      <c r="J9660">
        <v>0.01</v>
      </c>
    </row>
    <row r="9661" spans="1:10" x14ac:dyDescent="0.3">
      <c r="A9661" t="str">
        <f>HYPERLINK("https://us2.cloudbeds.com/connect/10074733072513#/reservations/31690554331273?display=MHJD3RX5C&amp;reservation_id=31690554331273", "MHJD3RX5C")</f>
        <v>MHJD3RX5C</v>
      </c>
      <c r="B9661" t="s">
        <v>10</v>
      </c>
      <c r="C9661" t="s">
        <v>42</v>
      </c>
      <c r="D9661" t="str">
        <f>HYPERLINK("https://us2.cloudbeds.com/connect/10074733072513#/reservations/31690554331273?display=Denise%20Duffy&amp;reservation_id=31690554331273&amp;guest_id=31690554331268", "Denise Duffy")</f>
        <v>Denise Duffy</v>
      </c>
      <c r="E9661" t="s">
        <v>8274</v>
      </c>
      <c r="F9661" t="s">
        <v>8181</v>
      </c>
      <c r="G9661">
        <v>89</v>
      </c>
      <c r="H9661">
        <v>96.75</v>
      </c>
      <c r="I9661">
        <v>96.74</v>
      </c>
      <c r="J9661">
        <v>0.01</v>
      </c>
    </row>
    <row r="9662" spans="1:10" x14ac:dyDescent="0.3">
      <c r="A9662" t="str">
        <f>HYPERLINK("https://us2.cloudbeds.com/connect/10074733072513#/reservations/31690533494938?display=MHJCJ8ZN8&amp;reservation_id=31690533494938", "MHJCJ8ZN8")</f>
        <v>MHJCJ8ZN8</v>
      </c>
      <c r="B9662" t="s">
        <v>10</v>
      </c>
      <c r="C9662" t="s">
        <v>17</v>
      </c>
      <c r="D9662" t="str">
        <f>HYPERLINK("https://us2.cloudbeds.com/connect/10074733072513#/reservations/31690533494938?display=Brandi%20Haaven&amp;reservation_id=31690533494938&amp;guest_id=31687976263853", "Brandi Haaven")</f>
        <v>Brandi Haaven</v>
      </c>
      <c r="E9662" t="s">
        <v>8031</v>
      </c>
      <c r="F9662" t="s">
        <v>8181</v>
      </c>
      <c r="G9662">
        <v>109</v>
      </c>
      <c r="H9662">
        <v>118.49</v>
      </c>
      <c r="I9662">
        <v>118.48</v>
      </c>
      <c r="J9662">
        <v>0.01</v>
      </c>
    </row>
    <row r="9663" spans="1:10" x14ac:dyDescent="0.3">
      <c r="A9663" t="str">
        <f>HYPERLINK("https://us2.cloudbeds.com/connect/10074733072513#/reservations/31690602074332?display=MHJEB32BZ&amp;reservation_id=31690602074332", "MHJEB32BZ")</f>
        <v>MHJEB32BZ</v>
      </c>
      <c r="B9663" t="s">
        <v>10</v>
      </c>
      <c r="C9663" t="s">
        <v>20</v>
      </c>
      <c r="D9663" t="str">
        <f>HYPERLINK("https://us2.cloudbeds.com/connect/10074733072513#/reservations/31690602074332?display=Tiffaney%20Stoyanov&amp;reservation_id=31690602074332&amp;guest_id=31690602074315", "Tiffaney Stoyanov")</f>
        <v>Tiffaney Stoyanov</v>
      </c>
      <c r="E9663" t="s">
        <v>8276</v>
      </c>
      <c r="F9663" t="s">
        <v>8181</v>
      </c>
      <c r="G9663">
        <v>109</v>
      </c>
      <c r="H9663">
        <v>118.49</v>
      </c>
      <c r="I9663">
        <v>118.48</v>
      </c>
      <c r="J9663">
        <v>0.01</v>
      </c>
    </row>
    <row r="9664" spans="1:10" x14ac:dyDescent="0.3">
      <c r="A9664" t="str">
        <f>HYPERLINK("https://us2.cloudbeds.com/connect/10074733072513#/reservations/31688044630247?display=MHHEWJDS4&amp;reservation_id=31688044630247", "MHHEWJDS4")</f>
        <v>MHHEWJDS4</v>
      </c>
      <c r="B9664" t="s">
        <v>10</v>
      </c>
      <c r="C9664" t="s">
        <v>121</v>
      </c>
      <c r="D9664" t="str">
        <f>HYPERLINK("https://us2.cloudbeds.com/connect/10074733072513#/reservations/31688044630247?display=Michael%20Stevenson&amp;reservation_id=31688044630247&amp;guest_id=31688044630242", "Michael Stevenson")</f>
        <v>Michael Stevenson</v>
      </c>
      <c r="E9664" t="s">
        <v>8282</v>
      </c>
      <c r="F9664" t="s">
        <v>8181</v>
      </c>
      <c r="G9664">
        <v>109</v>
      </c>
      <c r="H9664">
        <v>118.49</v>
      </c>
      <c r="I9664">
        <v>118.48</v>
      </c>
      <c r="J9664">
        <v>0.01</v>
      </c>
    </row>
    <row r="9665" spans="1:10" x14ac:dyDescent="0.3">
      <c r="A9665" t="str">
        <f>HYPERLINK("https://us2.cloudbeds.com/connect/10074733072513#/reservations/31683414835384?display=MHDSMKX82&amp;reservation_id=31683414835384", "MHDSMKX82")</f>
        <v>MHDSMKX82</v>
      </c>
      <c r="B9665" t="s">
        <v>10</v>
      </c>
      <c r="C9665" t="s">
        <v>121</v>
      </c>
      <c r="D9665" t="str">
        <f>HYPERLINK("https://us2.cloudbeds.com/connect/10074733072513#/reservations/31683414835384?display=Kevin%20Quinn&amp;reservation_id=31683414835384&amp;guest_id=31683414835335", "Kevin Quinn")</f>
        <v>Kevin Quinn</v>
      </c>
      <c r="E9665" t="s">
        <v>8283</v>
      </c>
      <c r="F9665" t="s">
        <v>8267</v>
      </c>
      <c r="G9665">
        <v>218</v>
      </c>
      <c r="H9665">
        <v>236.98</v>
      </c>
      <c r="I9665">
        <v>236.97</v>
      </c>
      <c r="J9665">
        <v>0.01</v>
      </c>
    </row>
    <row r="9666" spans="1:10" x14ac:dyDescent="0.3">
      <c r="A9666" t="str">
        <f>HYPERLINK("https://us2.cloudbeds.com/connect/10074733072513#/reservations/31687776506082?display=MHH84GFGE&amp;reservation_id=31687776506082", "MHH84GFGE")</f>
        <v>MHH84GFGE</v>
      </c>
      <c r="B9666" t="s">
        <v>10</v>
      </c>
      <c r="C9666" t="s">
        <v>20</v>
      </c>
      <c r="D9666" t="str">
        <f>HYPERLINK("https://us2.cloudbeds.com/connect/10074733072513#/reservations/31687776506082?display=Mason%20Klatt&amp;reservation_id=31687776506082&amp;guest_id=31687766581394", "Mason Klatt")</f>
        <v>Mason Klatt</v>
      </c>
      <c r="E9666" t="s">
        <v>8284</v>
      </c>
      <c r="F9666" t="s">
        <v>8226</v>
      </c>
      <c r="G9666">
        <v>169</v>
      </c>
      <c r="H9666">
        <v>183.71</v>
      </c>
      <c r="I9666">
        <v>183.7</v>
      </c>
      <c r="J9666">
        <v>0.01</v>
      </c>
    </row>
    <row r="9667" spans="1:10" x14ac:dyDescent="0.3">
      <c r="A9667" t="str">
        <f>HYPERLINK("https://us2.cloudbeds.com/connect/10074733072513#/reservations/31693403693211?display=MHYJUG84H&amp;reservation_id=31693403693211", "MHYJUG84H")</f>
        <v>MHYJUG84H</v>
      </c>
      <c r="B9667" t="s">
        <v>10</v>
      </c>
      <c r="C9667" t="s">
        <v>42</v>
      </c>
      <c r="D9667" t="str">
        <f>HYPERLINK("https://us2.cloudbeds.com/connect/10074733072513#/reservations/31693403693211?display=Bailey%20Weems&amp;reservation_id=31693403693211&amp;guest_id=31693403693200", "Bailey Weems")</f>
        <v>Bailey Weems</v>
      </c>
      <c r="E9667" t="s">
        <v>8285</v>
      </c>
      <c r="F9667" t="s">
        <v>8286</v>
      </c>
      <c r="G9667">
        <v>79</v>
      </c>
      <c r="H9667">
        <v>85.88</v>
      </c>
      <c r="I9667">
        <v>85.87</v>
      </c>
      <c r="J9667">
        <v>0.01</v>
      </c>
    </row>
    <row r="9668" spans="1:10" x14ac:dyDescent="0.3">
      <c r="A9668" t="str">
        <f>HYPERLINK("https://us2.cloudbeds.com/connect/10074733072513#/reservations/31687696969870?display=MHH63E8G6&amp;reservation_id=31687696969870", "MHH63E8G6")</f>
        <v>MHH63E8G6</v>
      </c>
      <c r="B9668" t="s">
        <v>10</v>
      </c>
      <c r="C9668" t="s">
        <v>42</v>
      </c>
      <c r="D9668" t="str">
        <f>HYPERLINK("https://us2.cloudbeds.com/connect/10074733072513#/reservations/31687696969870?display=Bill%20Kelsey&amp;reservation_id=31687696969870&amp;guest_id=31687696965785", "Bill Kelsey")</f>
        <v>Bill Kelsey</v>
      </c>
      <c r="E9668" t="s">
        <v>8287</v>
      </c>
      <c r="F9668" t="s">
        <v>8226</v>
      </c>
      <c r="G9668">
        <v>73</v>
      </c>
      <c r="H9668">
        <v>79.36</v>
      </c>
      <c r="I9668">
        <v>79.349999999999994</v>
      </c>
      <c r="J9668">
        <v>0.01</v>
      </c>
    </row>
    <row r="9669" spans="1:10" x14ac:dyDescent="0.3">
      <c r="A9669" t="str">
        <f>HYPERLINK("https://us2.cloudbeds.com/connect/10074733072513#/reservations/31683397030098?display=MHDS7K33W&amp;reservation_id=31683397030098", "MHDS7K33W")</f>
        <v>MHDS7K33W</v>
      </c>
      <c r="B9669" t="s">
        <v>10</v>
      </c>
      <c r="C9669" t="s">
        <v>23</v>
      </c>
      <c r="D9669" t="str">
        <f>HYPERLINK("https://us2.cloudbeds.com/connect/10074733072513#/reservations/31683397030098?display=Greg%20Mcintosh&amp;reservation_id=31683397030098&amp;guest_id=31683397030095", "Greg Mcintosh")</f>
        <v>Greg Mcintosh</v>
      </c>
      <c r="E9669" t="s">
        <v>8288</v>
      </c>
      <c r="F9669" t="s">
        <v>8267</v>
      </c>
      <c r="G9669">
        <v>218</v>
      </c>
      <c r="H9669">
        <v>236.98</v>
      </c>
      <c r="I9669">
        <v>236.97</v>
      </c>
      <c r="J9669">
        <v>0.01</v>
      </c>
    </row>
    <row r="9670" spans="1:10" x14ac:dyDescent="0.3">
      <c r="A9670" t="str">
        <f>HYPERLINK("https://us2.cloudbeds.com/connect/10074733072513#/reservations/31689082441951?display=MHX8GN1WY&amp;reservation_id=31689082441951", "MHX8GN1WY")</f>
        <v>MHX8GN1WY</v>
      </c>
      <c r="B9670" t="s">
        <v>10</v>
      </c>
      <c r="C9670" t="s">
        <v>42</v>
      </c>
      <c r="D9670" t="str">
        <f>HYPERLINK("https://us2.cloudbeds.com/connect/10074733072513#/reservations/31689082441951?display=Clarence%20Devney&amp;reservation_id=31689082441951&amp;guest_id=31689082441939", "Clarence Devney")</f>
        <v>Clarence Devney</v>
      </c>
      <c r="E9670" t="s">
        <v>7439</v>
      </c>
      <c r="F9670" t="s">
        <v>8183</v>
      </c>
      <c r="G9670">
        <v>89</v>
      </c>
      <c r="H9670">
        <v>96.75</v>
      </c>
      <c r="I9670">
        <v>96.74</v>
      </c>
      <c r="J9670">
        <v>0.01</v>
      </c>
    </row>
    <row r="9671" spans="1:10" x14ac:dyDescent="0.3">
      <c r="A9671" t="str">
        <f>HYPERLINK("https://us2.cloudbeds.com/connect/10074733072513#/reservations/31694596006115?display=MHMHCT3YJ&amp;reservation_id=31694596006115", "MHMHCT3YJ")</f>
        <v>MHMHCT3YJ</v>
      </c>
      <c r="B9671" t="s">
        <v>10</v>
      </c>
      <c r="C9671" t="s">
        <v>42</v>
      </c>
      <c r="D9671" t="str">
        <f>HYPERLINK("https://us2.cloudbeds.com/connect/10074733072513#/reservations/31694596006115?display=Troy%20Opdahl&amp;reservation_id=31694596006115&amp;guest_id=31694596002023", "Troy Opdahl")</f>
        <v>Troy Opdahl</v>
      </c>
      <c r="E9671" t="s">
        <v>8291</v>
      </c>
      <c r="F9671" t="s">
        <v>7006</v>
      </c>
      <c r="G9671">
        <v>159</v>
      </c>
      <c r="H9671">
        <v>172.84</v>
      </c>
      <c r="I9671">
        <v>172.83</v>
      </c>
      <c r="J9671">
        <v>0.01</v>
      </c>
    </row>
    <row r="9672" spans="1:10" x14ac:dyDescent="0.3">
      <c r="A9672" t="str">
        <f>HYPERLINK("https://us2.cloudbeds.com/connect/10074733072513#/reservations/31683358818457?display=MHDR8CQCE&amp;reservation_id=31683358818457", "MHDR8CQCE")</f>
        <v>MHDR8CQCE</v>
      </c>
      <c r="B9672" t="s">
        <v>10</v>
      </c>
      <c r="C9672" t="s">
        <v>42</v>
      </c>
      <c r="D9672" t="str">
        <f>HYPERLINK("https://us2.cloudbeds.com/connect/10074733072513#/reservations/31683358818457?display=Charles%20Terrell&amp;reservation_id=31683358818457&amp;guest_id=31683358818440", "Charles Terrell")</f>
        <v>Charles Terrell</v>
      </c>
      <c r="E9672" t="s">
        <v>8292</v>
      </c>
      <c r="F9672" t="s">
        <v>8267</v>
      </c>
      <c r="G9672">
        <v>99</v>
      </c>
      <c r="H9672">
        <v>107.62</v>
      </c>
      <c r="I9672">
        <v>107.61</v>
      </c>
      <c r="J9672">
        <v>0.01</v>
      </c>
    </row>
    <row r="9673" spans="1:10" x14ac:dyDescent="0.3">
      <c r="A9673" t="str">
        <f>HYPERLINK("https://us2.cloudbeds.com/connect/10074733072513#/reservations/31736047587489?display=MXYKXVFD2&amp;reservation_id=31736047587489", "MXYKXVFD2")</f>
        <v>MXYKXVFD2</v>
      </c>
      <c r="B9673" t="s">
        <v>10</v>
      </c>
      <c r="C9673" t="s">
        <v>42</v>
      </c>
      <c r="D9673" t="str">
        <f>HYPERLINK("https://us2.cloudbeds.com/connect/10074733072513#/reservations/31736047587489?display=Jeanne%20Gentzler&amp;reservation_id=31736047587489&amp;guest_id=31736047587469", "Jeanne Gentzler")</f>
        <v>Jeanne Gentzler</v>
      </c>
      <c r="E9673" t="s">
        <v>8294</v>
      </c>
      <c r="F9673" t="s">
        <v>6916</v>
      </c>
      <c r="G9673">
        <v>159</v>
      </c>
      <c r="H9673">
        <v>172.84</v>
      </c>
      <c r="I9673">
        <v>172.83</v>
      </c>
      <c r="J9673">
        <v>0.01</v>
      </c>
    </row>
    <row r="9674" spans="1:10" x14ac:dyDescent="0.3">
      <c r="A9674" t="str">
        <f>HYPERLINK("https://us2.cloudbeds.com/connect/10074733072513#/reservations/31684456947848?display=MHEMABSYM&amp;reservation_id=31684456947848", "MHEMABSYM")</f>
        <v>MHEMABSYM</v>
      </c>
      <c r="B9674" t="s">
        <v>10</v>
      </c>
      <c r="C9674" t="s">
        <v>14</v>
      </c>
      <c r="D9674" t="str">
        <f>HYPERLINK("https://us2.cloudbeds.com/connect/10074733072513#/reservations/31684456947848?display=Beth%20Fehlmann&amp;reservation_id=31684456947848&amp;guest_id=31684456943801", "Beth Fehlmann")</f>
        <v>Beth Fehlmann</v>
      </c>
      <c r="E9674" t="s">
        <v>8298</v>
      </c>
      <c r="F9674" t="s">
        <v>7952</v>
      </c>
      <c r="G9674">
        <v>341.6</v>
      </c>
      <c r="H9674">
        <v>371.33</v>
      </c>
      <c r="I9674">
        <v>371.32</v>
      </c>
      <c r="J9674">
        <v>0.01</v>
      </c>
    </row>
    <row r="9675" spans="1:10" x14ac:dyDescent="0.3">
      <c r="A9675" t="str">
        <f>HYPERLINK("https://us2.cloudbeds.com/connect/10074733072513#/reservations/31691530596515?display=MHK521XQJ&amp;reservation_id=31691530596515", "MHK521XQJ")</f>
        <v>MHK521XQJ</v>
      </c>
      <c r="B9675" t="s">
        <v>10</v>
      </c>
      <c r="C9675" t="s">
        <v>17</v>
      </c>
      <c r="D9675" t="str">
        <f>HYPERLINK("https://us2.cloudbeds.com/connect/10074733072513#/reservations/31691530596515?display=Janette%20Wagner&amp;reservation_id=31691530596515&amp;guest_id=31691530592423", "Janette Wagner")</f>
        <v>Janette Wagner</v>
      </c>
      <c r="E9675" t="s">
        <v>8300</v>
      </c>
      <c r="F9675" t="s">
        <v>6604</v>
      </c>
      <c r="G9675">
        <v>493.3</v>
      </c>
      <c r="H9675">
        <v>536.23</v>
      </c>
      <c r="I9675">
        <v>536.22</v>
      </c>
      <c r="J9675">
        <v>0.01</v>
      </c>
    </row>
    <row r="9676" spans="1:10" x14ac:dyDescent="0.3">
      <c r="A9676" t="str">
        <f>HYPERLINK("https://us2.cloudbeds.com/connect/10074733072513#/reservations/31685031461093?display=MHF3WQX0U&amp;reservation_id=31685031461093", "MHF3WQX0U")</f>
        <v>MHF3WQX0U</v>
      </c>
      <c r="B9676" t="s">
        <v>10</v>
      </c>
      <c r="C9676" t="s">
        <v>23</v>
      </c>
      <c r="D9676" t="str">
        <f>HYPERLINK("https://us2.cloudbeds.com/connect/10074733072513#/reservations/31685031461093?display=Melissa%20Tiedtke&amp;reservation_id=31685031461093&amp;guest_id=31685022228628", "Melissa Tiedtke")</f>
        <v>Melissa Tiedtke</v>
      </c>
      <c r="E9676" t="s">
        <v>8301</v>
      </c>
      <c r="F9676" t="s">
        <v>8090</v>
      </c>
      <c r="G9676">
        <v>189</v>
      </c>
      <c r="H9676">
        <v>205.45</v>
      </c>
      <c r="I9676">
        <v>205.44</v>
      </c>
      <c r="J9676">
        <v>0.01</v>
      </c>
    </row>
    <row r="9677" spans="1:10" x14ac:dyDescent="0.3">
      <c r="A9677" t="str">
        <f>HYPERLINK("https://us2.cloudbeds.com/connect/10074733072513#/reservations/31683375223015?display=MHDRM7989&amp;reservation_id=31683375223015", "MHDRM7989")</f>
        <v>MHDRM7989</v>
      </c>
      <c r="B9677" t="s">
        <v>10</v>
      </c>
      <c r="C9677" t="s">
        <v>42</v>
      </c>
      <c r="D9677" t="str">
        <f>HYPERLINK("https://us2.cloudbeds.com/connect/10074733072513#/reservations/31683375223015?display=Joel%20Bernet&amp;reservation_id=31683375223015&amp;guest_id=31683358822547", "Joel Bernet")</f>
        <v>Joel Bernet</v>
      </c>
      <c r="E9677" t="s">
        <v>8237</v>
      </c>
      <c r="F9677" t="s">
        <v>8267</v>
      </c>
      <c r="G9677">
        <v>99</v>
      </c>
      <c r="H9677">
        <v>107.62</v>
      </c>
      <c r="I9677">
        <v>107.61</v>
      </c>
      <c r="J9677">
        <v>0.01</v>
      </c>
    </row>
    <row r="9678" spans="1:10" x14ac:dyDescent="0.3">
      <c r="A9678" t="str">
        <f>HYPERLINK("https://us2.cloudbeds.com/connect/10074733072513#/reservations/31688034005164?display=MHHENKP3U&amp;reservation_id=31688034005164", "MHHENKP3U")</f>
        <v>MHHENKP3U</v>
      </c>
      <c r="B9678" t="s">
        <v>10</v>
      </c>
      <c r="C9678" t="s">
        <v>23</v>
      </c>
      <c r="D9678" t="str">
        <f>HYPERLINK("https://us2.cloudbeds.com/connect/10074733072513#/reservations/31688034005164?display=Joel%20Bernet&amp;reservation_id=31688034005164&amp;guest_id=31688019595482", "Joel Bernet")</f>
        <v>Joel Bernet</v>
      </c>
      <c r="E9678" t="s">
        <v>8237</v>
      </c>
      <c r="F9678" t="s">
        <v>8286</v>
      </c>
      <c r="G9678">
        <v>109</v>
      </c>
      <c r="H9678">
        <v>118.49</v>
      </c>
      <c r="I9678">
        <v>118.48</v>
      </c>
      <c r="J9678">
        <v>0.01</v>
      </c>
    </row>
    <row r="9679" spans="1:10" x14ac:dyDescent="0.3">
      <c r="A9679" t="str">
        <f>HYPERLINK("https://us2.cloudbeds.com/connect/10074733072513#/reservations/31689846747276?display=MHXS15WE2&amp;reservation_id=31689846747276", "MHXS15WE2")</f>
        <v>MHXS15WE2</v>
      </c>
      <c r="B9679" t="s">
        <v>10</v>
      </c>
      <c r="C9679" t="s">
        <v>23</v>
      </c>
      <c r="D9679" t="str">
        <f>HYPERLINK("https://us2.cloudbeds.com/connect/10074733072513#/reservations/31689846747276?display=Nicole%20Dardis&amp;reservation_id=31689846747276&amp;guest_id=31689846743182", "Nicole Dardis")</f>
        <v>Nicole Dardis</v>
      </c>
      <c r="E9679" t="s">
        <v>8304</v>
      </c>
      <c r="F9679" t="s">
        <v>8178</v>
      </c>
      <c r="G9679">
        <v>109</v>
      </c>
      <c r="H9679">
        <v>118.49</v>
      </c>
      <c r="I9679">
        <v>118.48</v>
      </c>
      <c r="J9679">
        <v>0.01</v>
      </c>
    </row>
    <row r="9680" spans="1:10" x14ac:dyDescent="0.3">
      <c r="A9680" t="str">
        <f>HYPERLINK("https://us2.cloudbeds.com/connect/10074733072513#/reservations/31687665844373?display=MHH5A64PA&amp;reservation_id=31687665844373", "MHH5A64PA")</f>
        <v>MHH5A64PA</v>
      </c>
      <c r="B9680" t="s">
        <v>10</v>
      </c>
      <c r="C9680" t="s">
        <v>42</v>
      </c>
      <c r="D9680" t="str">
        <f>HYPERLINK("https://us2.cloudbeds.com/connect/10074733072513#/reservations/31687665844373?display=Victoria%20Gray&amp;reservation_id=31687665844373&amp;guest_id=31681191813320", "Victoria Gray")</f>
        <v>Victoria Gray</v>
      </c>
      <c r="E9680" t="s">
        <v>5141</v>
      </c>
      <c r="F9680" t="s">
        <v>8226</v>
      </c>
      <c r="G9680">
        <v>109</v>
      </c>
      <c r="H9680">
        <v>118.49</v>
      </c>
      <c r="I9680">
        <v>118.48</v>
      </c>
      <c r="J9680">
        <v>0.01</v>
      </c>
    </row>
    <row r="9681" spans="1:10" x14ac:dyDescent="0.3">
      <c r="A9681" t="str">
        <f>HYPERLINK("https://us2.cloudbeds.com/connect/10074733072513#/reservations/31687706820834?display=MHH6BZCC8&amp;reservation_id=31687706820834", "MHH6BZCC8")</f>
        <v>MHH6BZCC8</v>
      </c>
      <c r="B9681" t="s">
        <v>10</v>
      </c>
      <c r="C9681" t="s">
        <v>121</v>
      </c>
      <c r="D9681" t="str">
        <f>HYPERLINK("https://us2.cloudbeds.com/connect/10074733072513#/reservations/31687706820834?display=Charity%20Anne%20Waldner&amp;reservation_id=31687706820834&amp;guest_id=31687706816749", "Charity Anne Waldner")</f>
        <v>Charity Anne Waldner</v>
      </c>
      <c r="E9681" t="s">
        <v>8305</v>
      </c>
      <c r="F9681" t="s">
        <v>8226</v>
      </c>
      <c r="G9681">
        <v>159</v>
      </c>
      <c r="H9681">
        <v>172.84</v>
      </c>
      <c r="I9681">
        <v>172.83</v>
      </c>
      <c r="J9681">
        <v>0.01</v>
      </c>
    </row>
    <row r="9682" spans="1:10" x14ac:dyDescent="0.3">
      <c r="A9682" t="str">
        <f>HYPERLINK("https://us2.cloudbeds.com/connect/10074733072513#/reservations/31687725633746?display=MHH6RJSPE&amp;reservation_id=31687725633746", "MHH6RJSPE")</f>
        <v>MHH6RJSPE</v>
      </c>
      <c r="B9682" t="s">
        <v>10</v>
      </c>
      <c r="C9682" t="s">
        <v>11</v>
      </c>
      <c r="D9682" t="str">
        <f>HYPERLINK("https://us2.cloudbeds.com/connect/10074733072513#/reservations/31687725633746?display=Chris%20Luden&amp;reservation_id=31687725633746&amp;guest_id=31687716987010", "Chris Luden")</f>
        <v>Chris Luden</v>
      </c>
      <c r="E9682" t="s">
        <v>8306</v>
      </c>
      <c r="F9682" t="s">
        <v>8226</v>
      </c>
      <c r="G9682">
        <v>102.58</v>
      </c>
      <c r="H9682">
        <v>111.51</v>
      </c>
      <c r="I9682">
        <v>111.5</v>
      </c>
      <c r="J9682">
        <v>0.01</v>
      </c>
    </row>
    <row r="9683" spans="1:10" x14ac:dyDescent="0.3">
      <c r="A9683" t="str">
        <f>HYPERLINK("https://us2.cloudbeds.com/connect/10074733072513#/reservations/31689951273160?display=MHXUNAXQ3&amp;reservation_id=31689951273160", "MHXUNAXQ3")</f>
        <v>MHXUNAXQ3</v>
      </c>
      <c r="B9683" t="s">
        <v>10</v>
      </c>
      <c r="C9683" t="s">
        <v>121</v>
      </c>
      <c r="D9683" t="str">
        <f>HYPERLINK("https://us2.cloudbeds.com/connect/10074733072513#/reservations/31689951273160?display=Gary%20Coleman&amp;reservation_id=31689951273160&amp;guest_id=30654068560003", "Gary Coleman")</f>
        <v>Gary Coleman</v>
      </c>
      <c r="E9683" t="s">
        <v>8307</v>
      </c>
      <c r="F9683" t="s">
        <v>8226</v>
      </c>
      <c r="G9683">
        <v>149</v>
      </c>
      <c r="H9683">
        <v>161.97</v>
      </c>
      <c r="I9683">
        <v>161.96</v>
      </c>
      <c r="J9683">
        <v>0.01</v>
      </c>
    </row>
    <row r="9684" spans="1:10" x14ac:dyDescent="0.3">
      <c r="A9684" t="str">
        <f>HYPERLINK("https://us2.cloudbeds.com/connect/10074733072513#/reservations/31694186303707?display=MHM6UDHZ3&amp;reservation_id=31694186303707", "MHM6UDHZ3")</f>
        <v>MHM6UDHZ3</v>
      </c>
      <c r="B9684" t="s">
        <v>10</v>
      </c>
      <c r="C9684" t="s">
        <v>17</v>
      </c>
      <c r="D9684" t="str">
        <f>HYPERLINK("https://us2.cloudbeds.com/connect/10074733072513#/reservations/31694186303707?display=Amy%20Akers&amp;reservation_id=31694186303707&amp;guest_id=31694186303705", "Amy Akers")</f>
        <v>Amy Akers</v>
      </c>
      <c r="E9684" t="s">
        <v>8308</v>
      </c>
      <c r="F9684" t="s">
        <v>7006</v>
      </c>
      <c r="G9684">
        <v>159</v>
      </c>
      <c r="H9684">
        <v>172.84</v>
      </c>
      <c r="I9684">
        <v>172.83</v>
      </c>
      <c r="J9684">
        <v>0.01</v>
      </c>
    </row>
    <row r="9685" spans="1:10" x14ac:dyDescent="0.3">
      <c r="A9685" t="str">
        <f>HYPERLINK("https://us2.cloudbeds.com/connect/10074733072513#/reservations/31694346477767?display=MHMB0FKBG&amp;reservation_id=31694346477767", "MHMB0FKBG")</f>
        <v>MHMB0FKBG</v>
      </c>
      <c r="B9685" t="s">
        <v>10</v>
      </c>
      <c r="C9685" t="s">
        <v>20</v>
      </c>
      <c r="D9685" t="str">
        <f>HYPERLINK("https://us2.cloudbeds.com/connect/10074733072513#/reservations/31694346477767?display=Cody%20Schoenrock&amp;reservation_id=31694346477767&amp;guest_id=31693403693209", "Cody Schoenrock")</f>
        <v>Cody Schoenrock</v>
      </c>
      <c r="E9685" t="s">
        <v>8310</v>
      </c>
      <c r="F9685" t="s">
        <v>8213</v>
      </c>
      <c r="G9685">
        <v>189</v>
      </c>
      <c r="H9685">
        <v>205.45</v>
      </c>
      <c r="I9685">
        <v>205.44</v>
      </c>
      <c r="J9685">
        <v>0.01</v>
      </c>
    </row>
    <row r="9686" spans="1:10" x14ac:dyDescent="0.3">
      <c r="A9686" t="str">
        <f>HYPERLINK("https://us2.cloudbeds.com/connect/10074733072513#/reservations/31688059318486?display=MHHFBW4M9&amp;reservation_id=31688059318486", "MHHFBW4M9")</f>
        <v>MHHFBW4M9</v>
      </c>
      <c r="B9686" t="s">
        <v>10</v>
      </c>
      <c r="C9686" t="s">
        <v>121</v>
      </c>
      <c r="D9686" t="str">
        <f>HYPERLINK("https://us2.cloudbeds.com/connect/10074733072513#/reservations/31688059318486?display=Charles%20Beckman&amp;reservation_id=31688059318486&amp;guest_id=31688059314388", "Charles Beckman")</f>
        <v>Charles Beckman</v>
      </c>
      <c r="E9686" t="s">
        <v>8311</v>
      </c>
      <c r="F9686" t="s">
        <v>8286</v>
      </c>
      <c r="G9686">
        <v>150</v>
      </c>
      <c r="H9686">
        <v>163.06</v>
      </c>
      <c r="I9686">
        <v>163.05000000000001</v>
      </c>
      <c r="J9686">
        <v>0.01</v>
      </c>
    </row>
    <row r="9687" spans="1:10" x14ac:dyDescent="0.3">
      <c r="A9687" t="str">
        <f>HYPERLINK("https://us2.cloudbeds.com/connect/10074733072513#/reservations/31693326913673?display=MHYHVZZGS&amp;reservation_id=31693326913673", "MHYHVZZGS")</f>
        <v>MHYHVZZGS</v>
      </c>
      <c r="B9687" t="s">
        <v>10</v>
      </c>
      <c r="C9687" t="s">
        <v>121</v>
      </c>
      <c r="D9687" t="str">
        <f>HYPERLINK("https://us2.cloudbeds.com/connect/10074733072513#/reservations/31693326913673?display=Husman%20Jessica&amp;reservation_id=31693326913673&amp;guest_id=31693326909579", "Husman Jessica")</f>
        <v>Husman Jessica</v>
      </c>
      <c r="E9687" t="s">
        <v>8312</v>
      </c>
      <c r="F9687" t="s">
        <v>7780</v>
      </c>
      <c r="G9687">
        <v>139</v>
      </c>
      <c r="H9687">
        <v>151.1</v>
      </c>
      <c r="I9687">
        <v>151.09</v>
      </c>
      <c r="J9687">
        <v>0.01</v>
      </c>
    </row>
    <row r="9688" spans="1:10" x14ac:dyDescent="0.3">
      <c r="A9688" t="str">
        <f>HYPERLINK("https://us2.cloudbeds.com/connect/10074733072513#/reservations/31690035327166?display=MHXWS6GC6&amp;reservation_id=31690035327166", "MHXWS6GC6")</f>
        <v>MHXWS6GC6</v>
      </c>
      <c r="B9688" t="s">
        <v>10</v>
      </c>
      <c r="C9688" t="s">
        <v>121</v>
      </c>
      <c r="D9688" t="str">
        <f>HYPERLINK("https://us2.cloudbeds.com/connect/10074733072513#/reservations/31690035327166?display=Matthew%20Schnabel&amp;reservation_id=31690035327166&amp;guest_id=31690035327164", "Matthew Schnabel")</f>
        <v>Matthew Schnabel</v>
      </c>
      <c r="E9688" t="s">
        <v>8313</v>
      </c>
      <c r="F9688" t="s">
        <v>7780</v>
      </c>
      <c r="G9688">
        <v>139</v>
      </c>
      <c r="H9688">
        <v>151.1</v>
      </c>
      <c r="I9688">
        <v>151.09</v>
      </c>
      <c r="J9688">
        <v>0.01</v>
      </c>
    </row>
    <row r="9689" spans="1:10" x14ac:dyDescent="0.3">
      <c r="A9689" t="str">
        <f>HYPERLINK("https://us2.cloudbeds.com/connect/10074733072513#/reservations/31685070536918?display=MHF4WZTAS&amp;reservation_id=31685070536918", "MHF4WZTAS")</f>
        <v>MHF4WZTAS</v>
      </c>
      <c r="B9689" t="s">
        <v>10</v>
      </c>
      <c r="C9689" t="s">
        <v>23</v>
      </c>
      <c r="D9689" t="str">
        <f>HYPERLINK("https://us2.cloudbeds.com/connect/10074733072513#/reservations/31685070536918?display=Kristen%20Ling&amp;reservation_id=31685070536918&amp;guest_id=31685070532837", "Kristen Ling")</f>
        <v>Kristen Ling</v>
      </c>
      <c r="E9689" t="s">
        <v>8314</v>
      </c>
      <c r="F9689" t="s">
        <v>7530</v>
      </c>
      <c r="G9689">
        <v>159</v>
      </c>
      <c r="H9689">
        <v>172.84</v>
      </c>
      <c r="I9689">
        <v>172.83</v>
      </c>
      <c r="J9689">
        <v>0.01</v>
      </c>
    </row>
    <row r="9690" spans="1:10" x14ac:dyDescent="0.3">
      <c r="A9690" t="str">
        <f>HYPERLINK("https://us2.cloudbeds.com/connect/10074733072513#/reservations/31695136845961?display=MHMV6UPKR&amp;reservation_id=31695136845961", "MHMV6UPKR")</f>
        <v>MHMV6UPKR</v>
      </c>
      <c r="B9690" t="s">
        <v>10</v>
      </c>
      <c r="C9690" t="s">
        <v>17</v>
      </c>
      <c r="D9690" t="str">
        <f>HYPERLINK("https://us2.cloudbeds.com/connect/10074733072513#/reservations/31695136845961?display=Kelsey%20Geraets&amp;reservation_id=31695136845961&amp;guest_id=31695136841917", "Kelsey Geraets")</f>
        <v>Kelsey Geraets</v>
      </c>
      <c r="E9690" t="s">
        <v>8316</v>
      </c>
      <c r="F9690" t="s">
        <v>7006</v>
      </c>
      <c r="G9690">
        <v>179</v>
      </c>
      <c r="H9690">
        <v>194.58</v>
      </c>
      <c r="I9690">
        <v>194.57</v>
      </c>
      <c r="J9690">
        <v>0.01</v>
      </c>
    </row>
    <row r="9691" spans="1:10" x14ac:dyDescent="0.3">
      <c r="A9691" t="str">
        <f>HYPERLINK("https://us2.cloudbeds.com/connect/10074733072513#/reservations/31689913483473?display=MHXTZF0H2&amp;reservation_id=31689913483473", "MHXTZF0H2")</f>
        <v>MHXTZF0H2</v>
      </c>
      <c r="B9691" t="s">
        <v>10</v>
      </c>
      <c r="C9691" t="s">
        <v>42</v>
      </c>
      <c r="D9691" t="str">
        <f>HYPERLINK("https://us2.cloudbeds.com/connect/10074733072513#/reservations/31689913483473?display=Paul%20Gerber&amp;reservation_id=31689913483473&amp;guest_id=31689904423090", "Paul Gerber")</f>
        <v>Paul Gerber</v>
      </c>
      <c r="E9691" t="s">
        <v>7667</v>
      </c>
      <c r="F9691" t="s">
        <v>8178</v>
      </c>
      <c r="G9691">
        <v>150</v>
      </c>
      <c r="H9691">
        <v>163.06</v>
      </c>
      <c r="I9691">
        <v>163.05000000000001</v>
      </c>
      <c r="J9691">
        <v>0.01</v>
      </c>
    </row>
    <row r="9692" spans="1:10" x14ac:dyDescent="0.3">
      <c r="A9692" t="str">
        <f>HYPERLINK("https://us2.cloudbeds.com/connect/10074733072513#/reservations/31688044634336?display=MHHEWJHK1&amp;reservation_id=31688044634336", "MHHEWJHK1")</f>
        <v>MHHEWJHK1</v>
      </c>
      <c r="B9692" t="s">
        <v>10</v>
      </c>
      <c r="C9692" t="s">
        <v>121</v>
      </c>
      <c r="D9692" t="str">
        <f>HYPERLINK("https://us2.cloudbeds.com/connect/10074733072513#/reservations/31688044634336?display=Janet%20Rae%20Smith&amp;reservation_id=31688044634336&amp;guest_id=31688044630245", "Janet Rae Smith")</f>
        <v>Janet Rae Smith</v>
      </c>
      <c r="E9692" t="s">
        <v>8317</v>
      </c>
      <c r="F9692" t="s">
        <v>8286</v>
      </c>
      <c r="G9692">
        <v>109</v>
      </c>
      <c r="H9692">
        <v>118.49</v>
      </c>
      <c r="I9692">
        <v>118.48</v>
      </c>
      <c r="J9692">
        <v>0.01</v>
      </c>
    </row>
    <row r="9693" spans="1:10" x14ac:dyDescent="0.3">
      <c r="A9693" t="str">
        <f>HYPERLINK("https://us2.cloudbeds.com/connect/10074733072513#/reservations/31689937719464?display=MHXUBTDQ1&amp;reservation_id=31689937719464", "MHXUBTDQ1")</f>
        <v>MHXUBTDQ1</v>
      </c>
      <c r="B9693" t="s">
        <v>10</v>
      </c>
      <c r="C9693" t="s">
        <v>42</v>
      </c>
      <c r="D9693" t="str">
        <f>HYPERLINK("https://us2.cloudbeds.com/connect/10074733072513#/reservations/31689937719464?display=Paul%20Gerber&amp;reservation_id=31689937719464&amp;guest_id=31687443480773", "Paul Gerber")</f>
        <v>Paul Gerber</v>
      </c>
      <c r="E9693" t="s">
        <v>7667</v>
      </c>
      <c r="F9693" t="s">
        <v>8178</v>
      </c>
      <c r="G9693">
        <v>150</v>
      </c>
      <c r="H9693">
        <v>163.06</v>
      </c>
      <c r="I9693">
        <v>163.05000000000001</v>
      </c>
      <c r="J9693">
        <v>0.01</v>
      </c>
    </row>
    <row r="9694" spans="1:10" x14ac:dyDescent="0.3">
      <c r="A9694" t="str">
        <f>HYPERLINK("https://us2.cloudbeds.com/connect/10074733072513#/reservations/31692255682748?display=MHKNJF5CM&amp;reservation_id=31692255682748", "MHKNJF5CM")</f>
        <v>MHKNJF5CM</v>
      </c>
      <c r="B9694" t="s">
        <v>10</v>
      </c>
      <c r="C9694" t="s">
        <v>42</v>
      </c>
      <c r="D9694" t="str">
        <f>HYPERLINK("https://us2.cloudbeds.com/connect/10074733072513#/reservations/31692255682748?display=Matthew%20Mccarnie&amp;reservation_id=31692255682748&amp;guest_id=31692255682694", "Matthew Mccarnie")</f>
        <v>Matthew Mccarnie</v>
      </c>
      <c r="E9694" t="s">
        <v>8318</v>
      </c>
      <c r="F9694" t="s">
        <v>8102</v>
      </c>
      <c r="G9694">
        <v>150</v>
      </c>
      <c r="H9694">
        <v>163.06</v>
      </c>
      <c r="I9694">
        <v>163.05000000000001</v>
      </c>
      <c r="J9694">
        <v>0.01</v>
      </c>
    </row>
    <row r="9695" spans="1:10" x14ac:dyDescent="0.3">
      <c r="A9695" t="str">
        <f>HYPERLINK("https://us2.cloudbeds.com/connect/10074733072513#/reservations/31693364863201?display=MHYXUZZXX&amp;reservation_id=31693364863201", "MHYXUZZXX")</f>
        <v>MHYXUZZXX</v>
      </c>
      <c r="B9695" t="s">
        <v>10</v>
      </c>
      <c r="C9695" t="s">
        <v>23</v>
      </c>
      <c r="D9695" t="str">
        <f>HYPERLINK("https://us2.cloudbeds.com/connect/10074733072513#/reservations/31693364863201?display=Brandi%20Haaven&amp;reservation_id=31693364863201&amp;guest_id=31687976263853", "Brandi Haaven")</f>
        <v>Brandi Haaven</v>
      </c>
      <c r="E9695" t="s">
        <v>8031</v>
      </c>
      <c r="F9695" t="s">
        <v>8286</v>
      </c>
      <c r="G9695">
        <v>119</v>
      </c>
      <c r="H9695">
        <v>129.36000000000001</v>
      </c>
      <c r="I9695">
        <v>129.35</v>
      </c>
      <c r="J9695">
        <v>0.01</v>
      </c>
    </row>
    <row r="9696" spans="1:10" x14ac:dyDescent="0.3">
      <c r="A9696" t="str">
        <f>HYPERLINK("https://us2.cloudbeds.com/connect/10074733072513#/reservations/31688363311253?display=MHHN4A67A&amp;reservation_id=31688363311253", "MHHN4A67A")</f>
        <v>MHHN4A67A</v>
      </c>
      <c r="B9696" t="s">
        <v>10</v>
      </c>
      <c r="C9696" t="s">
        <v>17</v>
      </c>
      <c r="D9696" t="str">
        <f>HYPERLINK("https://us2.cloudbeds.com/connect/10074733072513#/reservations/31688363311253?display=Thressa%20Sickerson&amp;reservation_id=31688363311253&amp;guest_id=31688363311237", "Thressa Sickerson")</f>
        <v>Thressa Sickerson</v>
      </c>
      <c r="E9696" t="s">
        <v>8319</v>
      </c>
      <c r="F9696" t="s">
        <v>8269</v>
      </c>
      <c r="G9696">
        <v>109</v>
      </c>
      <c r="H9696">
        <v>118.49</v>
      </c>
      <c r="I9696">
        <v>118.48</v>
      </c>
      <c r="J9696">
        <v>0.01</v>
      </c>
    </row>
    <row r="9697" spans="1:10" x14ac:dyDescent="0.3">
      <c r="A9697" t="str">
        <f>HYPERLINK("https://us2.cloudbeds.com/connect/10074733072513#/reservations/31689842368687?display=MHXRUG4MX&amp;reservation_id=31689842368687", "MHXRUG4MX")</f>
        <v>MHXRUG4MX</v>
      </c>
      <c r="B9697" t="s">
        <v>10</v>
      </c>
      <c r="C9697" t="s">
        <v>23</v>
      </c>
      <c r="D9697" t="str">
        <f>HYPERLINK("https://us2.cloudbeds.com/connect/10074733072513#/reservations/31689842368687?display=Gloria%20Schultze&amp;reservation_id=31689842368687&amp;guest_id=31689825091736", "Gloria Schultze")</f>
        <v>Gloria Schultze</v>
      </c>
      <c r="E9697" t="s">
        <v>8320</v>
      </c>
      <c r="F9697" t="s">
        <v>8178</v>
      </c>
      <c r="G9697">
        <v>278</v>
      </c>
      <c r="H9697">
        <v>302.2</v>
      </c>
      <c r="I9697">
        <v>302.19</v>
      </c>
      <c r="J9697">
        <v>0.01</v>
      </c>
    </row>
    <row r="9698" spans="1:10" x14ac:dyDescent="0.3">
      <c r="A9698" t="str">
        <f>HYPERLINK("https://us2.cloudbeds.com/connect/10074733072513#/reservations/31688083943642?display=MHHFWZCA4&amp;reservation_id=31688083943642", "MHHFWZCA4")</f>
        <v>MHHFWZCA4</v>
      </c>
      <c r="B9698" t="s">
        <v>10</v>
      </c>
      <c r="C9698" t="s">
        <v>121</v>
      </c>
      <c r="D9698" t="str">
        <f>HYPERLINK("https://us2.cloudbeds.com/connect/10074733072513#/reservations/31688083943642?display=Gahbrielle%20Sharai%20Mc%20Bride%20Culpper&amp;reservation_id=31688083943642&amp;guest_id=31688075042958", "Gahbrielle Sharai Mc Bride Culpper")</f>
        <v>Gahbrielle Sharai Mc Bride Culpper</v>
      </c>
      <c r="E9698" t="s">
        <v>8321</v>
      </c>
      <c r="F9698" t="s">
        <v>8183</v>
      </c>
      <c r="G9698">
        <v>109</v>
      </c>
      <c r="H9698">
        <v>118.49</v>
      </c>
      <c r="I9698">
        <v>118.48</v>
      </c>
      <c r="J9698">
        <v>0.01</v>
      </c>
    </row>
    <row r="9699" spans="1:10" x14ac:dyDescent="0.3">
      <c r="A9699" t="str">
        <f>HYPERLINK("https://us2.cloudbeds.com/connect/10074733072513#/reservations/31689924665520?display=MHXU0T5MW&amp;reservation_id=31689924665520", "MHXU0T5MW")</f>
        <v>MHXU0T5MW</v>
      </c>
      <c r="B9699" t="s">
        <v>10</v>
      </c>
      <c r="C9699" t="s">
        <v>42</v>
      </c>
      <c r="D9699" t="str">
        <f>HYPERLINK("https://us2.cloudbeds.com/connect/10074733072513#/reservations/31689924665520?display=Jeremiah%20Johnson&amp;reservation_id=31689924665520&amp;guest_id=31686447501505", "Jeremiah Johnson")</f>
        <v>Jeremiah Johnson</v>
      </c>
      <c r="E9699" t="s">
        <v>8064</v>
      </c>
      <c r="F9699" t="s">
        <v>8178</v>
      </c>
      <c r="G9699">
        <v>150</v>
      </c>
      <c r="H9699">
        <v>163.06</v>
      </c>
      <c r="I9699">
        <v>163.05000000000001</v>
      </c>
      <c r="J9699">
        <v>0.01</v>
      </c>
    </row>
    <row r="9700" spans="1:10" x14ac:dyDescent="0.3">
      <c r="A9700" t="str">
        <f>HYPERLINK("https://us2.cloudbeds.com/connect/10074733072513#/reservations/31695044997331?display=MHMSSFVF0&amp;reservation_id=31695044997331", "MHMSSFVF0")</f>
        <v>MHMSSFVF0</v>
      </c>
      <c r="B9700" t="s">
        <v>10</v>
      </c>
      <c r="C9700" t="s">
        <v>23</v>
      </c>
      <c r="D9700" t="str">
        <f>HYPERLINK("https://us2.cloudbeds.com/connect/10074733072513#/reservations/31695044997331?display=Leann%20Attema&amp;reservation_id=31695044997331&amp;guest_id=31695044997320", "Leann Attema")</f>
        <v>Leann Attema</v>
      </c>
      <c r="E9700" t="s">
        <v>8322</v>
      </c>
      <c r="F9700" t="s">
        <v>8269</v>
      </c>
      <c r="G9700">
        <v>139</v>
      </c>
      <c r="H9700">
        <v>151.1</v>
      </c>
      <c r="I9700">
        <v>151.09</v>
      </c>
      <c r="J9700">
        <v>0.01</v>
      </c>
    </row>
    <row r="9701" spans="1:10" x14ac:dyDescent="0.3">
      <c r="A9701" t="str">
        <f>HYPERLINK("https://us2.cloudbeds.com/connect/10074733072513#/reservations/31689893114007?display=MHXT796PH&amp;reservation_id=31689893114007", "MHXT796PH")</f>
        <v>MHXT796PH</v>
      </c>
      <c r="B9701" t="s">
        <v>10</v>
      </c>
      <c r="C9701" t="s">
        <v>23</v>
      </c>
      <c r="D9701" t="str">
        <f>HYPERLINK("https://us2.cloudbeds.com/connect/10074733072513#/reservations/31689893114007?display=Deborah%20Hengel&amp;reservation_id=31689893114007&amp;guest_id=31689893109910", "Deborah Hengel")</f>
        <v>Deborah Hengel</v>
      </c>
      <c r="E9701" t="s">
        <v>8323</v>
      </c>
      <c r="F9701" t="s">
        <v>8178</v>
      </c>
      <c r="G9701">
        <v>109</v>
      </c>
      <c r="H9701">
        <v>118.49</v>
      </c>
      <c r="I9701">
        <v>118.48</v>
      </c>
      <c r="J9701">
        <v>0.01</v>
      </c>
    </row>
    <row r="9702" spans="1:10" x14ac:dyDescent="0.3">
      <c r="A9702" t="str">
        <f>HYPERLINK("https://us2.cloudbeds.com/connect/10074733072513#/reservations/31695309705435?display=MHN2KMRUN&amp;reservation_id=31695309705435", "MHN2KMRUN")</f>
        <v>MHN2KMRUN</v>
      </c>
      <c r="B9702" t="s">
        <v>10</v>
      </c>
      <c r="C9702" t="s">
        <v>42</v>
      </c>
      <c r="D9702" t="str">
        <f>HYPERLINK("https://us2.cloudbeds.com/connect/10074733072513#/reservations/31695309705435?display=Kaitlyn%20Christian&amp;reservation_id=31695309705435&amp;guest_id=31695303868546", "Kaitlyn Christian")</f>
        <v>Kaitlyn Christian</v>
      </c>
      <c r="E9702" t="s">
        <v>8324</v>
      </c>
      <c r="F9702" t="s">
        <v>6604</v>
      </c>
      <c r="G9702">
        <v>278</v>
      </c>
      <c r="H9702">
        <v>302.2</v>
      </c>
      <c r="I9702">
        <v>302.19</v>
      </c>
      <c r="J9702">
        <v>0.01</v>
      </c>
    </row>
    <row r="9703" spans="1:10" x14ac:dyDescent="0.3">
      <c r="A9703" t="str">
        <f>HYPERLINK("https://us2.cloudbeds.com/connect/10074733072513#/reservations/31688091791492?display=MHHG6BZPN&amp;reservation_id=31688091791492", "MHHG6BZPN")</f>
        <v>MHHG6BZPN</v>
      </c>
      <c r="B9703" t="s">
        <v>10</v>
      </c>
      <c r="C9703" t="s">
        <v>121</v>
      </c>
      <c r="D9703" t="str">
        <f>HYPERLINK("https://us2.cloudbeds.com/connect/10074733072513#/reservations/31688091791492?display=Jordan%20Fitch&amp;reservation_id=31688091791492&amp;guest_id=31688083947747", "Jordan Fitch")</f>
        <v>Jordan Fitch</v>
      </c>
      <c r="E9703" t="s">
        <v>7464</v>
      </c>
      <c r="F9703" t="s">
        <v>8183</v>
      </c>
      <c r="G9703">
        <v>109</v>
      </c>
      <c r="H9703">
        <v>118.49</v>
      </c>
      <c r="I9703">
        <v>118.48</v>
      </c>
      <c r="J9703">
        <v>0.01</v>
      </c>
    </row>
    <row r="9704" spans="1:10" x14ac:dyDescent="0.3">
      <c r="A9704" t="str">
        <f>HYPERLINK("https://us2.cloudbeds.com/connect/10074733072513#/reservations/31688092606677?display=MHHG71EBB&amp;reservation_id=31688092606677", "MHHG71EBB")</f>
        <v>MHHG71EBB</v>
      </c>
      <c r="B9704" t="s">
        <v>10</v>
      </c>
      <c r="C9704" t="s">
        <v>121</v>
      </c>
      <c r="D9704" t="str">
        <f>HYPERLINK("https://us2.cloudbeds.com/connect/10074733072513#/reservations/31688092606677?display=Andrew%20Sihrer&amp;reservation_id=31688092606677&amp;guest_id=31688092602578", "Andrew Sihrer")</f>
        <v>Andrew Sihrer</v>
      </c>
      <c r="E9704" t="s">
        <v>8325</v>
      </c>
      <c r="F9704" t="s">
        <v>8183</v>
      </c>
      <c r="G9704">
        <v>73</v>
      </c>
      <c r="H9704">
        <v>79.36</v>
      </c>
      <c r="I9704">
        <v>79.349999999999994</v>
      </c>
      <c r="J9704">
        <v>0.01</v>
      </c>
    </row>
    <row r="9705" spans="1:10" x14ac:dyDescent="0.3">
      <c r="A9705" t="str">
        <f>HYPERLINK("https://us2.cloudbeds.com/connect/10074733072513#/reservations/31694785130745?display=MHMM7BPQW&amp;reservation_id=31694785130745", "MHMM7BPQW")</f>
        <v>MHMM7BPQW</v>
      </c>
      <c r="B9705" t="s">
        <v>10</v>
      </c>
      <c r="C9705" t="s">
        <v>42</v>
      </c>
      <c r="D9705" t="str">
        <f>HYPERLINK("https://us2.cloudbeds.com/connect/10074733072513#/reservations/31694785130745?display=Taylor%20Bell&amp;reservation_id=31694785130745&amp;guest_id=31694772797591", "Taylor Bell")</f>
        <v>Taylor Bell</v>
      </c>
      <c r="E9705" t="s">
        <v>8327</v>
      </c>
      <c r="F9705" t="s">
        <v>8178</v>
      </c>
      <c r="G9705">
        <v>139</v>
      </c>
      <c r="H9705">
        <v>151.1</v>
      </c>
      <c r="I9705">
        <v>151.09</v>
      </c>
      <c r="J9705">
        <v>0.01</v>
      </c>
    </row>
    <row r="9706" spans="1:10" x14ac:dyDescent="0.3">
      <c r="A9706" t="str">
        <f>HYPERLINK("https://us2.cloudbeds.com/connect/10074733072513#/reservations/31693834567898?display=MHYUUQW07&amp;reservation_id=31693834567898", "MHYUUQW07")</f>
        <v>MHYUUQW07</v>
      </c>
      <c r="B9706" t="s">
        <v>10</v>
      </c>
      <c r="C9706" t="s">
        <v>23</v>
      </c>
      <c r="D9706" t="str">
        <f>HYPERLINK("https://us2.cloudbeds.com/connect/10074733072513#/reservations/31693834567898?display=Anna%20Welter&amp;reservation_id=31693834567898&amp;guest_id=31693834567893", "Anna Welter")</f>
        <v>Anna Welter</v>
      </c>
      <c r="E9706" t="s">
        <v>8328</v>
      </c>
      <c r="F9706" t="s">
        <v>8329</v>
      </c>
      <c r="G9706">
        <v>139</v>
      </c>
      <c r="H9706">
        <v>151.1</v>
      </c>
      <c r="I9706">
        <v>151.09</v>
      </c>
      <c r="J9706">
        <v>0.01</v>
      </c>
    </row>
    <row r="9707" spans="1:10" x14ac:dyDescent="0.3">
      <c r="A9707" t="str">
        <f>HYPERLINK("https://us2.cloudbeds.com/connect/10074733072513#/reservations/31693215822011?display=MHYF42EVS&amp;reservation_id=31693215822011", "MHYF42EVS")</f>
        <v>MHYF42EVS</v>
      </c>
      <c r="B9707" t="s">
        <v>10</v>
      </c>
      <c r="C9707" t="s">
        <v>42</v>
      </c>
      <c r="D9707" t="str">
        <f>HYPERLINK("https://us2.cloudbeds.com/connect/10074733072513#/reservations/31693215822011?display=Jordan%20Hanssen&amp;reservation_id=31693215822011&amp;guest_id=31693215821996", "Jordan Hanssen")</f>
        <v>Jordan Hanssen</v>
      </c>
      <c r="E9707" t="s">
        <v>8330</v>
      </c>
      <c r="F9707" t="s">
        <v>7530</v>
      </c>
      <c r="G9707">
        <v>189</v>
      </c>
      <c r="H9707">
        <v>205.45</v>
      </c>
      <c r="I9707">
        <v>205.44</v>
      </c>
      <c r="J9707">
        <v>0.01</v>
      </c>
    </row>
    <row r="9708" spans="1:10" x14ac:dyDescent="0.3">
      <c r="A9708" t="str">
        <f>HYPERLINK("https://us2.cloudbeds.com/connect/10074733072513#/reservations/31694383526130?display=MHMBVNHT5&amp;reservation_id=31694383526130", "MHMBVNHT5")</f>
        <v>MHMBVNHT5</v>
      </c>
      <c r="B9708" t="s">
        <v>10</v>
      </c>
      <c r="C9708" t="s">
        <v>42</v>
      </c>
      <c r="D9708" t="str">
        <f>HYPERLINK("https://us2.cloudbeds.com/connect/10074733072513#/reservations/31694383526130?display=Annette%20Robertson&amp;reservation_id=31694383526130&amp;guest_id=31694383526128", "Annette Robertson")</f>
        <v>Annette Robertson</v>
      </c>
      <c r="E9708" t="s">
        <v>8331</v>
      </c>
      <c r="F9708" t="s">
        <v>7530</v>
      </c>
      <c r="G9708">
        <v>322.2</v>
      </c>
      <c r="H9708">
        <v>350.24</v>
      </c>
      <c r="I9708">
        <v>350.23</v>
      </c>
      <c r="J9708">
        <v>0.01</v>
      </c>
    </row>
    <row r="9709" spans="1:10" x14ac:dyDescent="0.3">
      <c r="A9709" t="str">
        <f>HYPERLINK("https://us2.cloudbeds.com/connect/10074733072513#/reservations/31694889762970?display=MHMZTJARF&amp;reservation_id=31694889762970", "MHMZTJARF")</f>
        <v>MHMZTJARF</v>
      </c>
      <c r="B9709" t="s">
        <v>10</v>
      </c>
      <c r="C9709" t="s">
        <v>23</v>
      </c>
      <c r="D9709" t="str">
        <f>HYPERLINK("https://us2.cloudbeds.com/connect/10074733072513#/reservations/31694889762970?display=Taylor%20Perrine&amp;reservation_id=31694889762970&amp;guest_id=31694889762960", "Taylor Perrine")</f>
        <v>Taylor Perrine</v>
      </c>
      <c r="E9709" t="s">
        <v>8332</v>
      </c>
      <c r="F9709" t="s">
        <v>8333</v>
      </c>
      <c r="G9709">
        <v>159</v>
      </c>
      <c r="H9709">
        <v>172.84</v>
      </c>
      <c r="I9709">
        <v>172.83</v>
      </c>
      <c r="J9709">
        <v>0.01</v>
      </c>
    </row>
    <row r="9710" spans="1:10" x14ac:dyDescent="0.3">
      <c r="A9710" t="str">
        <f>HYPERLINK("https://us2.cloudbeds.com/connect/10074733072513#/reservations/31689891139825?display=MHXT5K8UR&amp;reservation_id=31689891139825", "MHXT5K8UR")</f>
        <v>MHXT5K8UR</v>
      </c>
      <c r="B9710" t="s">
        <v>10</v>
      </c>
      <c r="C9710" t="s">
        <v>121</v>
      </c>
      <c r="D9710" t="str">
        <f>HYPERLINK("https://us2.cloudbeds.com/connect/10074733072513#/reservations/31689891139825?display=Lewis%20Galloway&amp;reservation_id=31689891139825&amp;guest_id=31689878581408", "Lewis Galloway")</f>
        <v>Lewis Galloway</v>
      </c>
      <c r="E9710" t="s">
        <v>8335</v>
      </c>
      <c r="F9710" t="s">
        <v>8178</v>
      </c>
      <c r="G9710">
        <v>73</v>
      </c>
      <c r="H9710">
        <v>79.36</v>
      </c>
      <c r="I9710">
        <v>79.349999999999994</v>
      </c>
      <c r="J9710">
        <v>0.01</v>
      </c>
    </row>
    <row r="9711" spans="1:10" x14ac:dyDescent="0.3">
      <c r="A9711" t="str">
        <f>HYPERLINK("https://us2.cloudbeds.com/connect/10074733072513#/reservations/31736061702396?display=MXYKUS7ZH&amp;reservation_id=31736061702396", "MXYKUS7ZH")</f>
        <v>MXYKUS7ZH</v>
      </c>
      <c r="B9711" t="s">
        <v>10</v>
      </c>
      <c r="C9711" t="s">
        <v>42</v>
      </c>
      <c r="D9711" t="str">
        <f>HYPERLINK("https://us2.cloudbeds.com/connect/10074733072513#/reservations/31736061702396?display=Richard%20Shoeheart&amp;reservation_id=31736061702396&amp;guest_id=31736047591579", "Richard Shoeheart")</f>
        <v>Richard Shoeheart</v>
      </c>
      <c r="E9711" t="s">
        <v>8336</v>
      </c>
      <c r="F9711" t="s">
        <v>6916</v>
      </c>
      <c r="G9711">
        <v>159</v>
      </c>
      <c r="H9711">
        <v>172.84</v>
      </c>
      <c r="I9711">
        <v>172.83</v>
      </c>
      <c r="J9711">
        <v>0.01</v>
      </c>
    </row>
    <row r="9712" spans="1:10" x14ac:dyDescent="0.3">
      <c r="A9712" t="str">
        <f>HYPERLINK("https://us2.cloudbeds.com/connect/10074733072513#/reservations/31693236748416?display=MHYFFE37H&amp;reservation_id=31693236748416", "MHYFFE37H")</f>
        <v>MHYFFE37H</v>
      </c>
      <c r="B9712" t="s">
        <v>10</v>
      </c>
      <c r="C9712" t="s">
        <v>17</v>
      </c>
      <c r="D9712" t="str">
        <f>HYPERLINK("https://us2.cloudbeds.com/connect/10074733072513#/reservations/31693236748416?display=Sandra%20Vanness&amp;reservation_id=31693236748416&amp;guest_id=30673469186177", "Sandra Vanness")</f>
        <v>Sandra Vanness</v>
      </c>
      <c r="E9712" t="s">
        <v>8341</v>
      </c>
      <c r="F9712" t="s">
        <v>7530</v>
      </c>
      <c r="G9712">
        <v>159</v>
      </c>
      <c r="H9712">
        <v>172.84</v>
      </c>
      <c r="I9712">
        <v>172.83</v>
      </c>
      <c r="J9712">
        <v>0.01</v>
      </c>
    </row>
    <row r="9713" spans="1:10" x14ac:dyDescent="0.3">
      <c r="A9713" t="str">
        <f>HYPERLINK("https://us2.cloudbeds.com/connect/10074733072513#/reservations/31694359486620?display=MHMBBEK15&amp;reservation_id=31694359486620", "MHMBBEK15")</f>
        <v>MHMBBEK15</v>
      </c>
      <c r="B9713" t="s">
        <v>10</v>
      </c>
      <c r="C9713" t="s">
        <v>42</v>
      </c>
      <c r="D9713" t="str">
        <f>HYPERLINK("https://us2.cloudbeds.com/connect/10074733072513#/reservations/31694359486620?display=Debra%20Finzen&amp;reservation_id=31694359486620&amp;guest_id=31694359486617", "Debra Finzen")</f>
        <v>Debra Finzen</v>
      </c>
      <c r="E9713" t="s">
        <v>8342</v>
      </c>
      <c r="F9713" t="s">
        <v>8213</v>
      </c>
      <c r="G9713">
        <v>129</v>
      </c>
      <c r="H9713">
        <v>140.22999999999999</v>
      </c>
      <c r="I9713">
        <v>140.22</v>
      </c>
      <c r="J9713">
        <v>0.01</v>
      </c>
    </row>
    <row r="9714" spans="1:10" x14ac:dyDescent="0.3">
      <c r="A9714" t="str">
        <f>HYPERLINK("https://us2.cloudbeds.com/connect/10074733072513#/reservations/31694805541067?display=MHMMZXZ2J&amp;reservation_id=31694805541067", "MHMMZXZ2J")</f>
        <v>MHMMZXZ2J</v>
      </c>
      <c r="B9714" t="s">
        <v>10</v>
      </c>
      <c r="C9714" t="s">
        <v>42</v>
      </c>
      <c r="D9714" t="str">
        <f>HYPERLINK("https://us2.cloudbeds.com/connect/10074733072513#/reservations/31694805541067?display=Nickolas%20Greiner&amp;reservation_id=31694805541067&amp;guest_id=31686510629006", "Nickolas Greiner")</f>
        <v>Nickolas Greiner</v>
      </c>
      <c r="E9714" t="s">
        <v>7543</v>
      </c>
      <c r="F9714" t="s">
        <v>8243</v>
      </c>
      <c r="G9714">
        <v>150</v>
      </c>
      <c r="H9714">
        <v>163.06</v>
      </c>
      <c r="I9714">
        <v>163.05000000000001</v>
      </c>
      <c r="J9714">
        <v>0.01</v>
      </c>
    </row>
    <row r="9715" spans="1:10" x14ac:dyDescent="0.3">
      <c r="A9715" t="str">
        <f>HYPERLINK("https://us2.cloudbeds.com/connect/10074733072513#/reservations/31693023395977?display=MHYA6QU6T&amp;reservation_id=31693023395977", "MHYA6QU6T")</f>
        <v>MHYA6QU6T</v>
      </c>
      <c r="B9715" t="s">
        <v>10</v>
      </c>
      <c r="C9715" t="s">
        <v>42</v>
      </c>
      <c r="D9715" t="str">
        <f>HYPERLINK("https://us2.cloudbeds.com/connect/10074733072513#/reservations/31693023395977?display=Chris,%20Dave%20Nelson,%20Leclaire&amp;reservation_id=31693023395977&amp;guest_id=31693023391885", "Chris, Dave Nelson, Leclaire")</f>
        <v>Chris, Dave Nelson, Leclaire</v>
      </c>
      <c r="E9715" t="s">
        <v>8343</v>
      </c>
      <c r="F9715" t="s">
        <v>8102</v>
      </c>
      <c r="G9715">
        <v>270</v>
      </c>
      <c r="H9715">
        <v>293.5</v>
      </c>
      <c r="I9715">
        <v>293.49</v>
      </c>
      <c r="J9715">
        <v>0.01</v>
      </c>
    </row>
    <row r="9716" spans="1:10" x14ac:dyDescent="0.3">
      <c r="A9716" t="str">
        <f>HYPERLINK("https://us2.cloudbeds.com/connect/10074733072513#/reservations/31693041234155?display=MHYAYS9HP&amp;reservation_id=31693041234155", "MHYAYS9HP")</f>
        <v>MHYAYS9HP</v>
      </c>
      <c r="B9716" t="s">
        <v>10</v>
      </c>
      <c r="C9716" t="s">
        <v>42</v>
      </c>
      <c r="D9716" t="str">
        <f>HYPERLINK("https://us2.cloudbeds.com/connect/10074733072513#/reservations/31693041234155?display=Chris,%20Leclaire%20Nelson,%20Dave&amp;reservation_id=31693041234155&amp;guest_id=31693033197778", "Chris, Leclaire Nelson, Dave")</f>
        <v>Chris, Leclaire Nelson, Dave</v>
      </c>
      <c r="E9716" t="s">
        <v>8343</v>
      </c>
      <c r="F9716" t="s">
        <v>8102</v>
      </c>
      <c r="G9716">
        <v>270</v>
      </c>
      <c r="H9716">
        <v>293.5</v>
      </c>
      <c r="I9716">
        <v>293.49</v>
      </c>
      <c r="J9716">
        <v>0.01</v>
      </c>
    </row>
    <row r="9717" spans="1:10" x14ac:dyDescent="0.3">
      <c r="A9717" t="str">
        <f>HYPERLINK("https://us2.cloudbeds.com/connect/10074733072513#/reservations/31685042614435?display=MHF496TS0&amp;reservation_id=31685042614435", "MHF496TS0")</f>
        <v>MHF496TS0</v>
      </c>
      <c r="B9717" t="s">
        <v>10</v>
      </c>
      <c r="C9717" t="s">
        <v>42</v>
      </c>
      <c r="D9717" t="str">
        <f>HYPERLINK("https://us2.cloudbeds.com/connect/10074733072513#/reservations/31685042614435?display=Bridget%20Veurink&amp;reservation_id=31685042614435&amp;guest_id=31685042614432", "Bridget Veurink")</f>
        <v>Bridget Veurink</v>
      </c>
      <c r="E9717" t="s">
        <v>8348</v>
      </c>
      <c r="F9717" t="s">
        <v>8090</v>
      </c>
      <c r="G9717">
        <v>159</v>
      </c>
      <c r="H9717">
        <v>172.84</v>
      </c>
      <c r="I9717">
        <v>172.83</v>
      </c>
      <c r="J9717">
        <v>0.01</v>
      </c>
    </row>
    <row r="9718" spans="1:10" x14ac:dyDescent="0.3">
      <c r="A9718" t="str">
        <f>HYPERLINK("https://us2.cloudbeds.com/connect/10074733072513#/reservations/31688471101684?display=MHHPT6KB0&amp;reservation_id=31688471101684", "MHHPT6KB0")</f>
        <v>MHHPT6KB0</v>
      </c>
      <c r="B9718" t="s">
        <v>10</v>
      </c>
      <c r="C9718" t="s">
        <v>42</v>
      </c>
      <c r="D9718" t="str">
        <f>HYPERLINK("https://us2.cloudbeds.com/connect/10074733072513#/reservations/31688471101684?display=Erik%20Burce&amp;reservation_id=31688471101684&amp;guest_id=31677863579881", "Erik Burce")</f>
        <v>Erik Burce</v>
      </c>
      <c r="E9718" t="s">
        <v>6444</v>
      </c>
      <c r="F9718" t="s">
        <v>8269</v>
      </c>
      <c r="G9718">
        <v>73</v>
      </c>
      <c r="H9718">
        <v>79.36</v>
      </c>
      <c r="I9718">
        <v>79.349999999999994</v>
      </c>
      <c r="J9718">
        <v>0.01</v>
      </c>
    </row>
    <row r="9719" spans="1:10" x14ac:dyDescent="0.3">
      <c r="A9719" t="str">
        <f>HYPERLINK("https://us2.cloudbeds.com/connect/10074733072513#/reservations/31736087777435?display=MXYYJRQP7&amp;reservation_id=31736087777435", "MXYYJRQP7")</f>
        <v>MXYYJRQP7</v>
      </c>
      <c r="B9719" t="s">
        <v>10</v>
      </c>
      <c r="C9719" t="s">
        <v>42</v>
      </c>
      <c r="D9719" t="str">
        <f>HYPERLINK("https://us2.cloudbeds.com/connect/10074733072513#/reservations/31736087777435?display=Hallie%20Bretsch&amp;reservation_id=31736087777435&amp;guest_id=31736087777430", "Hallie Bretsch")</f>
        <v>Hallie Bretsch</v>
      </c>
      <c r="E9719" t="s">
        <v>8351</v>
      </c>
      <c r="F9719" t="s">
        <v>6916</v>
      </c>
      <c r="G9719">
        <v>298</v>
      </c>
      <c r="H9719">
        <v>323.94</v>
      </c>
      <c r="I9719">
        <v>323.93</v>
      </c>
      <c r="J9719">
        <v>0.01</v>
      </c>
    </row>
    <row r="9720" spans="1:10" x14ac:dyDescent="0.3">
      <c r="A9720" t="str">
        <f>HYPERLINK("https://us2.cloudbeds.com/connect/10074733072513#/reservations/31685904138412?display=MHFQ9M2K6&amp;reservation_id=31685904138412", "MHFQ9M2K6")</f>
        <v>MHFQ9M2K6</v>
      </c>
      <c r="B9720" t="s">
        <v>10</v>
      </c>
      <c r="C9720" t="s">
        <v>17</v>
      </c>
      <c r="D9720" t="str">
        <f>HYPERLINK("https://us2.cloudbeds.com/connect/10074733072513#/reservations/31685904138412?display=Keri%20Hart&amp;reservation_id=31685904138412&amp;guest_id=31685904138410", "Keri Hart")</f>
        <v>Keri Hart</v>
      </c>
      <c r="E9720" t="s">
        <v>8353</v>
      </c>
      <c r="F9720" t="s">
        <v>8090</v>
      </c>
      <c r="G9720">
        <v>159</v>
      </c>
      <c r="H9720">
        <v>172.84</v>
      </c>
      <c r="I9720">
        <v>172.83</v>
      </c>
      <c r="J9720">
        <v>0.01</v>
      </c>
    </row>
    <row r="9721" spans="1:10" x14ac:dyDescent="0.3">
      <c r="A9721" t="str">
        <f>HYPERLINK("https://us2.cloudbeds.com/connect/10074733072513#/reservations/31685010165889?display=MHF3ERW6Z&amp;reservation_id=31685010165889", "MHF3ERW6Z")</f>
        <v>MHF3ERW6Z</v>
      </c>
      <c r="B9721" t="s">
        <v>10</v>
      </c>
      <c r="C9721" t="s">
        <v>11</v>
      </c>
      <c r="D9721" t="str">
        <f>HYPERLINK("https://us2.cloudbeds.com/connect/10074733072513#/reservations/31685010165889?display=Seth%20Christman&amp;reservation_id=31685010165889&amp;guest_id=31685010161852", "Seth Christman")</f>
        <v>Seth Christman</v>
      </c>
      <c r="E9721" t="s">
        <v>8356</v>
      </c>
      <c r="F9721" t="s">
        <v>8090</v>
      </c>
      <c r="G9721">
        <v>110.86</v>
      </c>
      <c r="H9721">
        <v>120.51</v>
      </c>
      <c r="I9721">
        <v>120.5</v>
      </c>
      <c r="J9721">
        <v>0.01</v>
      </c>
    </row>
    <row r="9722" spans="1:10" x14ac:dyDescent="0.3">
      <c r="A9722" t="str">
        <f>HYPERLINK("https://us2.cloudbeds.com/connect/10074733072513#/reservations/31695068659934?display=MHMTFED6J&amp;reservation_id=31695068659934", "MHMTFED6J")</f>
        <v>MHMTFED6J</v>
      </c>
      <c r="B9722" t="s">
        <v>10</v>
      </c>
      <c r="C9722" t="s">
        <v>121</v>
      </c>
      <c r="D9722" t="str">
        <f>HYPERLINK("https://us2.cloudbeds.com/connect/10074733072513#/reservations/31695068659934?display=Logan%20Stiening&amp;reservation_id=31695068659934&amp;guest_id=31694836805795", "Logan Stiening")</f>
        <v>Logan Stiening</v>
      </c>
      <c r="E9722" t="s">
        <v>8358</v>
      </c>
      <c r="F9722" t="s">
        <v>8269</v>
      </c>
      <c r="G9722">
        <v>119</v>
      </c>
      <c r="H9722">
        <v>129.36000000000001</v>
      </c>
      <c r="I9722">
        <v>129.35</v>
      </c>
      <c r="J9722">
        <v>0.01</v>
      </c>
    </row>
    <row r="9723" spans="1:10" x14ac:dyDescent="0.3">
      <c r="A9723" t="str">
        <f>HYPERLINK("https://us2.cloudbeds.com/connect/10074733072513#/reservations/31685061472385?display=MHF4HE1UB&amp;reservation_id=31685061472385", "MHF4HE1UB")</f>
        <v>MHF4HE1UB</v>
      </c>
      <c r="B9723" t="s">
        <v>10</v>
      </c>
      <c r="C9723" t="s">
        <v>23</v>
      </c>
      <c r="D9723" t="str">
        <f>HYPERLINK("https://us2.cloudbeds.com/connect/10074733072513#/reservations/31685061472385?display=Joel%20Bernet&amp;reservation_id=31685061472385&amp;guest_id=31683358822547", "Joel Bernet")</f>
        <v>Joel Bernet</v>
      </c>
      <c r="E9723" t="s">
        <v>8237</v>
      </c>
      <c r="F9723" t="s">
        <v>8221</v>
      </c>
      <c r="G9723">
        <v>109</v>
      </c>
      <c r="H9723">
        <v>118.49</v>
      </c>
      <c r="I9723">
        <v>118.48</v>
      </c>
      <c r="J9723">
        <v>0.01</v>
      </c>
    </row>
    <row r="9724" spans="1:10" x14ac:dyDescent="0.3">
      <c r="A9724" t="str">
        <f>HYPERLINK("https://us2.cloudbeds.com/connect/10074733072513#/reservations/31694287274208?display=MHM9GX698&amp;reservation_id=31694287274208", "MHM9GX698")</f>
        <v>MHM9GX698</v>
      </c>
      <c r="B9724" t="s">
        <v>10</v>
      </c>
      <c r="C9724" t="s">
        <v>20</v>
      </c>
      <c r="D9724" t="str">
        <f>HYPERLINK("https://us2.cloudbeds.com/connect/10074733072513#/reservations/31694287274208?display=Scott%20Zbikowski&amp;reservation_id=31694287274208&amp;guest_id=31694271729804", "Scott Zbikowski")</f>
        <v>Scott Zbikowski</v>
      </c>
      <c r="E9724" t="s">
        <v>8359</v>
      </c>
      <c r="F9724" t="s">
        <v>7006</v>
      </c>
      <c r="G9724">
        <v>179</v>
      </c>
      <c r="H9724">
        <v>194.58</v>
      </c>
      <c r="I9724">
        <v>194.57</v>
      </c>
      <c r="J9724">
        <v>0.01</v>
      </c>
    </row>
    <row r="9725" spans="1:10" x14ac:dyDescent="0.3">
      <c r="A9725" t="str">
        <f>HYPERLINK("https://us2.cloudbeds.com/connect/10074733072513#/reservations/31730173960398?display=MXH2G54EB&amp;reservation_id=31730173960398", "MXH2G54EB")</f>
        <v>MXH2G54EB</v>
      </c>
      <c r="B9725" t="s">
        <v>10</v>
      </c>
      <c r="C9725" t="s">
        <v>42</v>
      </c>
      <c r="D9725" t="str">
        <f>HYPERLINK("https://us2.cloudbeds.com/connect/10074733072513#/reservations/31730173960398?display=Zach%20Schultz&amp;reservation_id=31730173960398&amp;guest_id=31730173960396", "Zach Schultz")</f>
        <v>Zach Schultz</v>
      </c>
      <c r="E9725" t="s">
        <v>8360</v>
      </c>
      <c r="F9725" t="s">
        <v>6916</v>
      </c>
      <c r="G9725">
        <v>159</v>
      </c>
      <c r="H9725">
        <v>172.84</v>
      </c>
      <c r="I9725">
        <v>172.83</v>
      </c>
      <c r="J9725">
        <v>0.01</v>
      </c>
    </row>
    <row r="9726" spans="1:10" x14ac:dyDescent="0.3">
      <c r="A9726" t="str">
        <f>HYPERLINK("https://us2.cloudbeds.com/connect/10074733072513#/reservations/31694319022295?display=MHMAAAKNG&amp;reservation_id=31694319022295", "MHMAAAKNG")</f>
        <v>MHMAAAKNG</v>
      </c>
      <c r="B9726" t="s">
        <v>10</v>
      </c>
      <c r="C9726" t="s">
        <v>23</v>
      </c>
      <c r="D9726" t="str">
        <f>HYPERLINK("https://us2.cloudbeds.com/connect/10074733072513#/reservations/31694319022295?display=Todd%20Buck&amp;reservation_id=31694319022295&amp;guest_id=31685061476489", "Todd Buck")</f>
        <v>Todd Buck</v>
      </c>
      <c r="E9726" t="s">
        <v>8255</v>
      </c>
      <c r="F9726" t="s">
        <v>7530</v>
      </c>
      <c r="G9726">
        <v>179</v>
      </c>
      <c r="H9726">
        <v>194.58</v>
      </c>
      <c r="I9726">
        <v>194.57</v>
      </c>
      <c r="J9726">
        <v>0.01</v>
      </c>
    </row>
    <row r="9727" spans="1:10" x14ac:dyDescent="0.3">
      <c r="A9727" t="str">
        <f>HYPERLINK("https://us2.cloudbeds.com/connect/10074733072513#/reservations/31695429267655?display=MHN5MGRP9&amp;reservation_id=31695429267655", "MHN5MGRP9")</f>
        <v>MHN5MGRP9</v>
      </c>
      <c r="B9727" t="s">
        <v>10</v>
      </c>
      <c r="C9727" t="s">
        <v>42</v>
      </c>
      <c r="D9727" t="str">
        <f>HYPERLINK("https://us2.cloudbeds.com/connect/10074733072513#/reservations/31695429267655?display=Betty%20Nebelsick&amp;reservation_id=31695429267655&amp;guest_id=31695429267650", "Betty Nebelsick")</f>
        <v>Betty Nebelsick</v>
      </c>
      <c r="E9727" t="s">
        <v>8361</v>
      </c>
      <c r="F9727" t="s">
        <v>8034</v>
      </c>
      <c r="G9727">
        <v>278</v>
      </c>
      <c r="H9727">
        <v>302.2</v>
      </c>
      <c r="I9727">
        <v>302.19</v>
      </c>
      <c r="J9727">
        <v>0.01</v>
      </c>
    </row>
    <row r="9728" spans="1:10" x14ac:dyDescent="0.3">
      <c r="A9728" t="str">
        <f>HYPERLINK("https://us2.cloudbeds.com/connect/10074733072513#/reservations/31694206415056?display=MHM7EC5EU&amp;reservation_id=31694206415056", "MHM7EC5EU")</f>
        <v>MHM7EC5EU</v>
      </c>
      <c r="B9728" t="s">
        <v>10</v>
      </c>
      <c r="C9728" t="s">
        <v>23</v>
      </c>
      <c r="D9728" t="str">
        <f>HYPERLINK("https://us2.cloudbeds.com/connect/10074733072513#/reservations/31694206415056?display=Jordan%20Robinson&amp;reservation_id=31694206415056&amp;guest_id=31694198038710", "Jordan Robinson")</f>
        <v>Jordan Robinson</v>
      </c>
      <c r="E9728" t="s">
        <v>8364</v>
      </c>
      <c r="F9728" t="s">
        <v>8213</v>
      </c>
      <c r="G9728">
        <v>159</v>
      </c>
      <c r="H9728">
        <v>172.84</v>
      </c>
      <c r="I9728">
        <v>172.83</v>
      </c>
      <c r="J9728">
        <v>0.01</v>
      </c>
    </row>
    <row r="9729" spans="1:10" x14ac:dyDescent="0.3">
      <c r="A9729" t="str">
        <f>HYPERLINK("https://us2.cloudbeds.com/connect/10074733072513#/reservations/31694608806023?display=MHMHNM9FJ&amp;reservation_id=31694608806023", "MHMHNM9FJ")</f>
        <v>MHMHNM9FJ</v>
      </c>
      <c r="B9729" t="s">
        <v>10</v>
      </c>
      <c r="C9729" t="s">
        <v>42</v>
      </c>
      <c r="D9729" t="str">
        <f>HYPERLINK("https://us2.cloudbeds.com/connect/10074733072513#/reservations/31694608806023?display=Jesson%20Vogt&amp;reservation_id=31694608806023&amp;guest_id=31694608801980", "Jesson Vogt")</f>
        <v>Jesson Vogt</v>
      </c>
      <c r="E9729" t="s">
        <v>8366</v>
      </c>
      <c r="F9729" t="s">
        <v>8333</v>
      </c>
      <c r="G9729">
        <v>129</v>
      </c>
      <c r="H9729">
        <v>140.22999999999999</v>
      </c>
      <c r="I9729">
        <v>140.22</v>
      </c>
      <c r="J9729">
        <v>0.01</v>
      </c>
    </row>
    <row r="9730" spans="1:10" x14ac:dyDescent="0.3">
      <c r="A9730" t="str">
        <f>HYPERLINK("https://us2.cloudbeds.com/connect/10074733072513#/reservations/31694592786570?display=MHMHA5H7K&amp;reservation_id=31694592786570", "MHMHA5H7K")</f>
        <v>MHMHA5H7K</v>
      </c>
      <c r="B9730" t="s">
        <v>10</v>
      </c>
      <c r="C9730" t="s">
        <v>42</v>
      </c>
      <c r="D9730" t="str">
        <f>HYPERLINK("https://us2.cloudbeds.com/connect/10074733072513#/reservations/31694592786570?display=Laura%20Ellsworth&amp;reservation_id=31694592786570&amp;guest_id=31694592782489", "Laura Ellsworth")</f>
        <v>Laura Ellsworth</v>
      </c>
      <c r="E9730" t="s">
        <v>8366</v>
      </c>
      <c r="F9730" t="s">
        <v>8333</v>
      </c>
      <c r="G9730">
        <v>149</v>
      </c>
      <c r="H9730">
        <v>161.97</v>
      </c>
      <c r="I9730">
        <v>161.96</v>
      </c>
      <c r="J9730">
        <v>0.01</v>
      </c>
    </row>
    <row r="9731" spans="1:10" x14ac:dyDescent="0.3">
      <c r="A9731" t="str">
        <f>HYPERLINK("https://us2.cloudbeds.com/connect/10074733072513#/reservations/31694600454387?display=MHMHGKTCN&amp;reservation_id=31694600454387", "MHMHGKTCN")</f>
        <v>MHMHGKTCN</v>
      </c>
      <c r="B9731" t="s">
        <v>10</v>
      </c>
      <c r="C9731" t="s">
        <v>42</v>
      </c>
      <c r="D9731" t="str">
        <f>HYPERLINK("https://us2.cloudbeds.com/connect/10074733072513#/reservations/31694600454387?display=Debra%20Vogt&amp;reservation_id=31694600454387&amp;guest_id=31694600454383", "Debra Vogt")</f>
        <v>Debra Vogt</v>
      </c>
      <c r="E9731" t="s">
        <v>8366</v>
      </c>
      <c r="F9731" t="s">
        <v>8333</v>
      </c>
      <c r="G9731">
        <v>149</v>
      </c>
      <c r="H9731">
        <v>161.97</v>
      </c>
      <c r="I9731">
        <v>161.96</v>
      </c>
      <c r="J9731">
        <v>0.01</v>
      </c>
    </row>
    <row r="9732" spans="1:10" x14ac:dyDescent="0.3">
      <c r="A9732" t="str">
        <f>HYPERLINK("https://us2.cloudbeds.com/connect/10074733072513#/reservations/31690349514989?display=MHJ7T47PA&amp;reservation_id=31690349514989", "MHJ7T47PA")</f>
        <v>MHJ7T47PA</v>
      </c>
      <c r="B9732" t="s">
        <v>10</v>
      </c>
      <c r="C9732" t="s">
        <v>23</v>
      </c>
      <c r="D9732" t="str">
        <f>HYPERLINK("https://us2.cloudbeds.com/connect/10074733072513#/reservations/31690349514989?display=Cori%20Reisch&amp;reservation_id=31690349514989&amp;guest_id=31690349514973", "Cori Reisch")</f>
        <v>Cori Reisch</v>
      </c>
      <c r="E9732" t="s">
        <v>3811</v>
      </c>
      <c r="F9732" t="s">
        <v>8221</v>
      </c>
      <c r="G9732">
        <v>109</v>
      </c>
      <c r="H9732">
        <v>118.49</v>
      </c>
      <c r="I9732">
        <v>118.48</v>
      </c>
      <c r="J9732">
        <v>0.01</v>
      </c>
    </row>
    <row r="9733" spans="1:10" x14ac:dyDescent="0.3">
      <c r="A9733" t="str">
        <f>HYPERLINK("https://us2.cloudbeds.com/connect/10074733072513#/reservations/31695449903266?display=MHN66U1TR&amp;reservation_id=31695449903266", "MHN66U1TR")</f>
        <v>MHN66U1TR</v>
      </c>
      <c r="B9733" t="s">
        <v>10</v>
      </c>
      <c r="C9733" t="s">
        <v>42</v>
      </c>
      <c r="D9733" t="str">
        <f>HYPERLINK("https://us2.cloudbeds.com/connect/10074733072513#/reservations/31695449903266?display=Ashley%20Brown&amp;reservation_id=31695449903266&amp;guest_id=31695449903238", "Ashley Brown")</f>
        <v>Ashley Brown</v>
      </c>
      <c r="E9733" t="s">
        <v>8367</v>
      </c>
      <c r="F9733" t="s">
        <v>8213</v>
      </c>
      <c r="G9733">
        <v>129</v>
      </c>
      <c r="H9733">
        <v>140.22999999999999</v>
      </c>
      <c r="I9733">
        <v>140.22</v>
      </c>
      <c r="J9733">
        <v>0.01</v>
      </c>
    </row>
    <row r="9734" spans="1:10" x14ac:dyDescent="0.3">
      <c r="A9734" t="str">
        <f>HYPERLINK("https://us2.cloudbeds.com/connect/10074733072513#/reservations/31695412121744?display=MHN581Z47&amp;reservation_id=31695412121744", "MHN581Z47")</f>
        <v>MHN581Z47</v>
      </c>
      <c r="B9734" t="s">
        <v>10</v>
      </c>
      <c r="C9734" t="s">
        <v>42</v>
      </c>
      <c r="D9734" t="str">
        <f>HYPERLINK("https://us2.cloudbeds.com/connect/10074733072513#/reservations/31695412121744?display=Suzanne%20Hokeman&amp;reservation_id=31695412121744&amp;guest_id=31695412121741", "Suzanne Hokeman")</f>
        <v>Suzanne Hokeman</v>
      </c>
      <c r="E9734" t="s">
        <v>8368</v>
      </c>
      <c r="F9734" t="s">
        <v>8034</v>
      </c>
      <c r="G9734">
        <v>278</v>
      </c>
      <c r="H9734">
        <v>302.2</v>
      </c>
      <c r="I9734">
        <v>302.19</v>
      </c>
      <c r="J9734">
        <v>0.01</v>
      </c>
    </row>
    <row r="9735" spans="1:10" x14ac:dyDescent="0.3">
      <c r="A9735" t="str">
        <f>HYPERLINK("https://us2.cloudbeds.com/connect/10074733072513#/reservations/31691298509009?display=MHJW4BCVS&amp;reservation_id=31691298509009", "MHJW4BCVS")</f>
        <v>MHJW4BCVS</v>
      </c>
      <c r="B9735" t="s">
        <v>10</v>
      </c>
      <c r="C9735" t="s">
        <v>42</v>
      </c>
      <c r="D9735" t="str">
        <f>HYPERLINK("https://us2.cloudbeds.com/connect/10074733072513#/reservations/31691298509009?display=Jen%20Bahn&amp;reservation_id=31691298509009&amp;guest_id=31691298509004", "Jen Bahn")</f>
        <v>Jen Bahn</v>
      </c>
      <c r="E9735" t="s">
        <v>8369</v>
      </c>
      <c r="F9735" t="s">
        <v>7567</v>
      </c>
      <c r="G9735">
        <v>375</v>
      </c>
      <c r="H9735">
        <v>407.64</v>
      </c>
      <c r="I9735">
        <v>407.63</v>
      </c>
      <c r="J9735">
        <v>0.01</v>
      </c>
    </row>
    <row r="9736" spans="1:10" x14ac:dyDescent="0.3">
      <c r="A9736" t="str">
        <f>HYPERLINK("https://us2.cloudbeds.com/connect/10074733072513#/reservations/31689893109913?display=MHXT7930F&amp;reservation_id=31689893109913", "MHXT7930F")</f>
        <v>MHXT7930F</v>
      </c>
      <c r="B9736" t="s">
        <v>10</v>
      </c>
      <c r="C9736" t="s">
        <v>42</v>
      </c>
      <c r="D9736" t="str">
        <f>HYPERLINK("https://us2.cloudbeds.com/connect/10074733072513#/reservations/31689893109913?display=Kayla%20Mccarthy&amp;reservation_id=31689893109913&amp;guest_id=31689893109911", "Kayla Mccarthy")</f>
        <v>Kayla Mccarthy</v>
      </c>
      <c r="E9736" t="s">
        <v>8372</v>
      </c>
      <c r="F9736" t="s">
        <v>8102</v>
      </c>
      <c r="G9736">
        <v>150</v>
      </c>
      <c r="H9736">
        <v>163.06</v>
      </c>
      <c r="I9736">
        <v>163.05000000000001</v>
      </c>
      <c r="J9736">
        <v>0.01</v>
      </c>
    </row>
    <row r="9737" spans="1:10" x14ac:dyDescent="0.3">
      <c r="A9737" t="str">
        <f>HYPERLINK("https://us2.cloudbeds.com/connect/10074733072513#/reservations/31690075488467?display=MHJ0T21EA&amp;reservation_id=31690075488467", "MHJ0T21EA")</f>
        <v>MHJ0T21EA</v>
      </c>
      <c r="B9737" t="s">
        <v>10</v>
      </c>
      <c r="C9737" t="s">
        <v>42</v>
      </c>
      <c r="D9737" t="str">
        <f>HYPERLINK("https://us2.cloudbeds.com/connect/10074733072513#/reservations/31690075488467?display=David%20Scholle&amp;reservation_id=31690075488467&amp;guest_id=31690075488465", "David Scholle")</f>
        <v>David Scholle</v>
      </c>
      <c r="E9737" t="s">
        <v>8374</v>
      </c>
      <c r="F9737" t="s">
        <v>7567</v>
      </c>
      <c r="G9737">
        <v>250</v>
      </c>
      <c r="H9737">
        <v>271.76</v>
      </c>
      <c r="I9737">
        <v>271.75</v>
      </c>
      <c r="J9737">
        <v>0.01</v>
      </c>
    </row>
    <row r="9738" spans="1:10" x14ac:dyDescent="0.3">
      <c r="A9738" t="str">
        <f>HYPERLINK("https://us2.cloudbeds.com/connect/10074733072513#/reservations/31690094416115?display=MHJ1C0Z6C&amp;reservation_id=31690094416115", "MHJ1C0Z6C")</f>
        <v>MHJ1C0Z6C</v>
      </c>
      <c r="B9738" t="s">
        <v>10</v>
      </c>
      <c r="C9738" t="s">
        <v>42</v>
      </c>
      <c r="D9738" t="str">
        <f>HYPERLINK("https://us2.cloudbeds.com/connect/10074733072513#/reservations/31690094416115?display=Kathy%20Reichert&amp;reservation_id=31690094416115&amp;guest_id=31690094416110", "Kathy Reichert")</f>
        <v>Kathy Reichert</v>
      </c>
      <c r="E9738" t="s">
        <v>8375</v>
      </c>
      <c r="F9738" t="s">
        <v>7567</v>
      </c>
      <c r="G9738">
        <v>250</v>
      </c>
      <c r="H9738">
        <v>271.76</v>
      </c>
      <c r="I9738">
        <v>271.75</v>
      </c>
      <c r="J9738">
        <v>0.01</v>
      </c>
    </row>
    <row r="9739" spans="1:10" x14ac:dyDescent="0.3">
      <c r="A9739" t="str">
        <f>HYPERLINK("https://us2.cloudbeds.com/connect/10074733072513#/reservations/31690134139018?display=MHJ2CH2MZ&amp;reservation_id=31690134139018", "MHJ2CH2MZ")</f>
        <v>MHJ2CH2MZ</v>
      </c>
      <c r="B9739" t="s">
        <v>10</v>
      </c>
      <c r="C9739" t="s">
        <v>42</v>
      </c>
      <c r="D9739" t="str">
        <f>HYPERLINK("https://us2.cloudbeds.com/connect/10074733072513#/reservations/31690134139018?display=Heather%20Heath&amp;reservation_id=31690134139018&amp;guest_id=31690127913101", "Heather Heath")</f>
        <v>Heather Heath</v>
      </c>
      <c r="E9739" t="s">
        <v>8376</v>
      </c>
      <c r="F9739" t="s">
        <v>7567</v>
      </c>
      <c r="G9739">
        <v>250</v>
      </c>
      <c r="H9739">
        <v>271.76</v>
      </c>
      <c r="I9739">
        <v>271.75</v>
      </c>
      <c r="J9739">
        <v>0.01</v>
      </c>
    </row>
    <row r="9740" spans="1:10" x14ac:dyDescent="0.3">
      <c r="A9740" t="str">
        <f>HYPERLINK("https://us2.cloudbeds.com/connect/10074733072513#/reservations/31690336911529?display=MHJ7XGHB8&amp;reservation_id=31690336911529", "MHJ7XGHB8")</f>
        <v>MHJ7XGHB8</v>
      </c>
      <c r="B9740" t="s">
        <v>10</v>
      </c>
      <c r="C9740" t="s">
        <v>121</v>
      </c>
      <c r="D9740" t="str">
        <f>HYPERLINK("https://us2.cloudbeds.com/connect/10074733072513#/reservations/31690336911529?display=Travis%20Entzel&amp;reservation_id=31690336911529&amp;guest_id=31690323067097", "Travis Entzel")</f>
        <v>Travis Entzel</v>
      </c>
      <c r="E9740" t="s">
        <v>8377</v>
      </c>
      <c r="F9740" t="s">
        <v>8221</v>
      </c>
      <c r="G9740">
        <v>73</v>
      </c>
      <c r="H9740">
        <v>79.36</v>
      </c>
      <c r="I9740">
        <v>79.349999999999994</v>
      </c>
      <c r="J9740">
        <v>0.01</v>
      </c>
    </row>
    <row r="9741" spans="1:10" x14ac:dyDescent="0.3">
      <c r="A9741" t="str">
        <f>HYPERLINK("https://us2.cloudbeds.com/connect/10074733072513#/reservations/31691287109781?display=MHJVRZ6BN&amp;reservation_id=31691287109781", "MHJVRZ6BN")</f>
        <v>MHJVRZ6BN</v>
      </c>
      <c r="B9741" t="s">
        <v>10</v>
      </c>
      <c r="C9741" t="s">
        <v>42</v>
      </c>
      <c r="D9741" t="str">
        <f>HYPERLINK("https://us2.cloudbeds.com/connect/10074733072513#/reservations/31691287109781?display=Colleen%20Winters&amp;reservation_id=31691287109781&amp;guest_id=31691287109771", "Colleen Winters")</f>
        <v>Colleen Winters</v>
      </c>
      <c r="E9741" t="s">
        <v>8378</v>
      </c>
      <c r="F9741" t="s">
        <v>7567</v>
      </c>
      <c r="G9741">
        <v>250</v>
      </c>
      <c r="H9741">
        <v>271.76</v>
      </c>
      <c r="I9741">
        <v>271.75</v>
      </c>
      <c r="J9741">
        <v>0.01</v>
      </c>
    </row>
    <row r="9742" spans="1:10" x14ac:dyDescent="0.3">
      <c r="A9742" t="str">
        <f>HYPERLINK("https://us2.cloudbeds.com/connect/10074733072513#/reservations/31691316641989?display=MHJWJKW03&amp;reservation_id=31691316641989", "MHJWJKW03")</f>
        <v>MHJWJKW03</v>
      </c>
      <c r="B9742" t="s">
        <v>10</v>
      </c>
      <c r="C9742" t="s">
        <v>42</v>
      </c>
      <c r="D9742" t="str">
        <f>HYPERLINK("https://us2.cloudbeds.com/connect/10074733072513#/reservations/31691316641989?display=Rachel%20Buesgens&amp;reservation_id=31691316641989&amp;guest_id=31691306533040", "Rachel Buesgens")</f>
        <v>Rachel Buesgens</v>
      </c>
      <c r="E9742" t="s">
        <v>8379</v>
      </c>
      <c r="F9742" t="s">
        <v>7567</v>
      </c>
      <c r="G9742">
        <v>250</v>
      </c>
      <c r="H9742">
        <v>271.76</v>
      </c>
      <c r="I9742">
        <v>271.75</v>
      </c>
      <c r="J9742">
        <v>0.01</v>
      </c>
    </row>
    <row r="9743" spans="1:10" x14ac:dyDescent="0.3">
      <c r="A9743" t="str">
        <f>HYPERLINK("https://us2.cloudbeds.com/connect/10074733072513#/reservations/31691323728037?display=MHJWPK4UR&amp;reservation_id=31691323728037", "MHJWPK4UR")</f>
        <v>MHJWPK4UR</v>
      </c>
      <c r="B9743" t="s">
        <v>10</v>
      </c>
      <c r="C9743" t="s">
        <v>42</v>
      </c>
      <c r="D9743" t="str">
        <f>HYPERLINK("https://us2.cloudbeds.com/connect/10074733072513#/reservations/31691323728037?display=Mike%20Winters&amp;reservation_id=31691323728037&amp;guest_id=31691316646093", "Mike Winters")</f>
        <v>Mike Winters</v>
      </c>
      <c r="E9743" t="s">
        <v>8380</v>
      </c>
      <c r="F9743" t="s">
        <v>7567</v>
      </c>
      <c r="G9743">
        <v>250</v>
      </c>
      <c r="H9743">
        <v>271.76</v>
      </c>
      <c r="I9743">
        <v>271.75</v>
      </c>
      <c r="J9743">
        <v>0.01</v>
      </c>
    </row>
    <row r="9744" spans="1:10" x14ac:dyDescent="0.3">
      <c r="A9744" t="str">
        <f>HYPERLINK("https://us2.cloudbeds.com/connect/10074733072513#/reservations/31691395911814?display=MHK1KFPD0&amp;reservation_id=31691395911814", "MHK1KFPD0")</f>
        <v>MHK1KFPD0</v>
      </c>
      <c r="B9744" t="s">
        <v>10</v>
      </c>
      <c r="C9744" t="s">
        <v>42</v>
      </c>
      <c r="D9744" t="str">
        <f>HYPERLINK("https://us2.cloudbeds.com/connect/10074733072513#/reservations/31691395911814?display=Sarah%20Fritzke&amp;reservation_id=31691395911814&amp;guest_id=31691383967918", "Sarah Fritzke")</f>
        <v>Sarah Fritzke</v>
      </c>
      <c r="E9744" t="s">
        <v>8381</v>
      </c>
      <c r="F9744" t="s">
        <v>7567</v>
      </c>
      <c r="G9744">
        <v>375</v>
      </c>
      <c r="H9744">
        <v>407.64</v>
      </c>
      <c r="I9744">
        <v>407.63</v>
      </c>
      <c r="J9744">
        <v>0.01</v>
      </c>
    </row>
    <row r="9745" spans="1:10" x14ac:dyDescent="0.3">
      <c r="A9745" t="str">
        <f>HYPERLINK("https://us2.cloudbeds.com/connect/10074733072513#/reservations/31694542201042?display=MHMG0GTSR&amp;reservation_id=31694542201042", "MHMG0GTSR")</f>
        <v>MHMG0GTSR</v>
      </c>
      <c r="B9745" t="s">
        <v>10</v>
      </c>
      <c r="C9745" t="s">
        <v>42</v>
      </c>
      <c r="D9745" t="str">
        <f>HYPERLINK("https://us2.cloudbeds.com/connect/10074733072513#/reservations/31694542201042?display=Gary%20Schumacher&amp;reservation_id=31694542201042&amp;guest_id=31694542196949", "Gary Schumacher")</f>
        <v>Gary Schumacher</v>
      </c>
      <c r="E9745" t="s">
        <v>8383</v>
      </c>
      <c r="F9745" t="s">
        <v>7006</v>
      </c>
      <c r="G9745">
        <v>331.2</v>
      </c>
      <c r="H9745">
        <v>360.02</v>
      </c>
      <c r="I9745">
        <v>360.01</v>
      </c>
      <c r="J9745">
        <v>0.01</v>
      </c>
    </row>
    <row r="9746" spans="1:10" x14ac:dyDescent="0.3">
      <c r="A9746" t="str">
        <f>HYPERLINK("https://us2.cloudbeds.com/connect/10074733072513#/reservations/31694866239655?display=MHMZ9ZZWZ&amp;reservation_id=31694866239655", "MHMZ9ZZWZ")</f>
        <v>MHMZ9ZZWZ</v>
      </c>
      <c r="B9746" t="s">
        <v>10</v>
      </c>
      <c r="C9746" t="s">
        <v>17</v>
      </c>
      <c r="D9746" t="str">
        <f>HYPERLINK("https://us2.cloudbeds.com/connect/10074733072513#/reservations/31694866239655?display=Laurie%20Cole&amp;reservation_id=31694866239655&amp;guest_id=31694866239653", "Laurie Cole")</f>
        <v>Laurie Cole</v>
      </c>
      <c r="E9746" t="s">
        <v>8384</v>
      </c>
      <c r="F9746" t="s">
        <v>8268</v>
      </c>
      <c r="G9746">
        <v>109</v>
      </c>
      <c r="H9746">
        <v>118.49</v>
      </c>
      <c r="I9746">
        <v>118.48</v>
      </c>
      <c r="J9746">
        <v>0.01</v>
      </c>
    </row>
    <row r="9747" spans="1:10" x14ac:dyDescent="0.3">
      <c r="A9747" t="str">
        <f>HYPERLINK("https://us2.cloudbeds.com/connect/10074733072513#/reservations/31694950391982?display=MHMQENDS8&amp;reservation_id=31694950391982", "MHMQENDS8")</f>
        <v>MHMQENDS8</v>
      </c>
      <c r="B9747" t="s">
        <v>10</v>
      </c>
      <c r="C9747" t="s">
        <v>42</v>
      </c>
      <c r="D9747" t="str">
        <f>HYPERLINK("https://us2.cloudbeds.com/connect/10074733072513#/reservations/31694950391982?display=Andrew%20Pierce&amp;reservation_id=31694950391982&amp;guest_id=31688520413432", "Andrew Pierce")</f>
        <v>Andrew Pierce</v>
      </c>
      <c r="E9747" t="s">
        <v>7935</v>
      </c>
      <c r="F9747" t="s">
        <v>8268</v>
      </c>
      <c r="G9747">
        <v>99</v>
      </c>
      <c r="H9747">
        <v>107.62</v>
      </c>
      <c r="I9747">
        <v>107.61</v>
      </c>
      <c r="J9747">
        <v>0.01</v>
      </c>
    </row>
    <row r="9748" spans="1:10" x14ac:dyDescent="0.3">
      <c r="A9748" t="str">
        <f>HYPERLINK("https://us2.cloudbeds.com/connect/10074733072513#/reservations/31693595349135?display=MHYZR3BNQ&amp;reservation_id=31693595349135", "MHYZR3BNQ")</f>
        <v>MHYZR3BNQ</v>
      </c>
      <c r="B9748" t="s">
        <v>10</v>
      </c>
      <c r="C9748" t="s">
        <v>42</v>
      </c>
      <c r="D9748" t="str">
        <f>HYPERLINK("https://us2.cloudbeds.com/connect/10074733072513#/reservations/31693595349135?display=Brent%20Frier&amp;reservation_id=31693595349135&amp;guest_id=31693595349133", "Brent Frier")</f>
        <v>Brent Frier</v>
      </c>
      <c r="E9748" t="s">
        <v>8388</v>
      </c>
      <c r="F9748" t="s">
        <v>8389</v>
      </c>
      <c r="G9748">
        <v>73</v>
      </c>
      <c r="H9748">
        <v>79.36</v>
      </c>
      <c r="I9748">
        <v>79.349999999999994</v>
      </c>
      <c r="J9748">
        <v>0.01</v>
      </c>
    </row>
    <row r="9749" spans="1:10" x14ac:dyDescent="0.3">
      <c r="A9749" t="str">
        <f>HYPERLINK("https://us2.cloudbeds.com/connect/10074733072513#/reservations/31690026131682?display=MHXWKEKD5&amp;reservation_id=31690026131682", "MHXWKEKD5")</f>
        <v>MHXWKEKD5</v>
      </c>
      <c r="B9749" t="s">
        <v>10</v>
      </c>
      <c r="C9749" t="s">
        <v>42</v>
      </c>
      <c r="D9749" t="str">
        <f>HYPERLINK("https://us2.cloudbeds.com/connect/10074733072513#/reservations/31690026131682?display=Grant%20Anderson&amp;reservation_id=31690026131682&amp;guest_id=31690007675019", "Grant Anderson")</f>
        <v>Grant Anderson</v>
      </c>
      <c r="E9749" t="s">
        <v>8390</v>
      </c>
      <c r="F9749" t="s">
        <v>8102</v>
      </c>
      <c r="G9749">
        <v>338</v>
      </c>
      <c r="H9749">
        <v>367.42</v>
      </c>
      <c r="I9749">
        <v>367.41</v>
      </c>
      <c r="J9749">
        <v>0.01</v>
      </c>
    </row>
    <row r="9750" spans="1:10" x14ac:dyDescent="0.3">
      <c r="A9750" t="str">
        <f>HYPERLINK("https://us2.cloudbeds.com/connect/10074733072513#/reservations/31689893179631?display=MHXT7B114&amp;reservation_id=31689893179631", "MHXT7B114")</f>
        <v>MHXT7B114</v>
      </c>
      <c r="B9750" t="s">
        <v>10</v>
      </c>
      <c r="C9750" t="s">
        <v>17</v>
      </c>
      <c r="D9750" t="str">
        <f>HYPERLINK("https://us2.cloudbeds.com/connect/10074733072513#/reservations/31689893179631?display=Eric%20Smith&amp;reservation_id=31689893179631&amp;guest_id=31689879752856", "Eric Smith")</f>
        <v>Eric Smith</v>
      </c>
      <c r="E9750" t="s">
        <v>8391</v>
      </c>
      <c r="F9750" t="s">
        <v>8249</v>
      </c>
      <c r="G9750">
        <v>109</v>
      </c>
      <c r="H9750">
        <v>118.49</v>
      </c>
      <c r="I9750">
        <v>118.48</v>
      </c>
      <c r="J9750">
        <v>0.01</v>
      </c>
    </row>
    <row r="9751" spans="1:10" x14ac:dyDescent="0.3">
      <c r="A9751" t="str">
        <f>HYPERLINK("https://us2.cloudbeds.com/connect/10074733072513#/reservations/31690473304244?display=MHJB1GS5S&amp;reservation_id=31690473304244", "MHJB1GS5S")</f>
        <v>MHJB1GS5S</v>
      </c>
      <c r="B9751" t="s">
        <v>10</v>
      </c>
      <c r="C9751" t="s">
        <v>42</v>
      </c>
      <c r="D9751" t="str">
        <f>HYPERLINK("https://us2.cloudbeds.com/connect/10074733072513#/reservations/31690473304244?display=Jamie%20Jacobson&amp;reservation_id=31690473304244&amp;guest_id=31690473304239", "Jamie Jacobson")</f>
        <v>Jamie Jacobson</v>
      </c>
      <c r="E9751" t="s">
        <v>8392</v>
      </c>
      <c r="F9751" t="s">
        <v>8249</v>
      </c>
      <c r="G9751">
        <v>150</v>
      </c>
      <c r="H9751">
        <v>163.06</v>
      </c>
      <c r="I9751">
        <v>163.05000000000001</v>
      </c>
      <c r="J9751">
        <v>0.01</v>
      </c>
    </row>
    <row r="9752" spans="1:10" x14ac:dyDescent="0.3">
      <c r="A9752" t="str">
        <f>HYPERLINK("https://us2.cloudbeds.com/connect/10074733072513#/reservations/31690481725650?display=MHJB8K6AW&amp;reservation_id=31690481725650", "MHJB8K6AW")</f>
        <v>MHJB8K6AW</v>
      </c>
      <c r="B9752" t="s">
        <v>10</v>
      </c>
      <c r="C9752" t="s">
        <v>42</v>
      </c>
      <c r="D9752" t="str">
        <f>HYPERLINK("https://us2.cloudbeds.com/connect/10074733072513#/reservations/31690481725650?display=Sonja%20Beckwith&amp;reservation_id=31690481725650&amp;guest_id=31690481725634", "Sonja Beckwith")</f>
        <v>Sonja Beckwith</v>
      </c>
      <c r="E9752" t="s">
        <v>8393</v>
      </c>
      <c r="F9752" t="s">
        <v>8249</v>
      </c>
      <c r="G9752">
        <v>150</v>
      </c>
      <c r="H9752">
        <v>163.06</v>
      </c>
      <c r="I9752">
        <v>163.05000000000001</v>
      </c>
      <c r="J9752">
        <v>0.01</v>
      </c>
    </row>
    <row r="9753" spans="1:10" x14ac:dyDescent="0.3">
      <c r="A9753" t="str">
        <f>HYPERLINK("https://us2.cloudbeds.com/connect/10074733072513#/reservations/31695108960423?display=MHMUGDR2H&amp;reservation_id=31695108960423", "MHMUGDR2H")</f>
        <v>MHMUGDR2H</v>
      </c>
      <c r="B9753" t="s">
        <v>10</v>
      </c>
      <c r="C9753" t="s">
        <v>42</v>
      </c>
      <c r="D9753" t="str">
        <f>HYPERLINK("https://us2.cloudbeds.com/connect/10074733072513#/reservations/31695108960423?display=Jason%20Vonderharr&amp;reservation_id=31695108960423&amp;guest_id=31695100473546", "Jason Vonderharr")</f>
        <v>Jason Vonderharr</v>
      </c>
      <c r="E9753" t="s">
        <v>8394</v>
      </c>
      <c r="F9753" t="s">
        <v>7006</v>
      </c>
      <c r="G9753">
        <v>169</v>
      </c>
      <c r="H9753">
        <v>183.71</v>
      </c>
      <c r="I9753">
        <v>183.7</v>
      </c>
      <c r="J9753">
        <v>0.01</v>
      </c>
    </row>
    <row r="9754" spans="1:10" x14ac:dyDescent="0.3">
      <c r="A9754" t="str">
        <f>HYPERLINK("https://us2.cloudbeds.com/connect/10074733072513#/reservations/31694960496844?display=MHMQN7JT6&amp;reservation_id=31694960496844", "MHMQN7JT6")</f>
        <v>MHMQN7JT6</v>
      </c>
      <c r="B9754" t="s">
        <v>10</v>
      </c>
      <c r="C9754" t="s">
        <v>11</v>
      </c>
      <c r="D9754" t="str">
        <f>HYPERLINK("https://us2.cloudbeds.com/connect/10074733072513#/reservations/31694960496844?display=Kristin%20Townsend&amp;reservation_id=31694960496844&amp;guest_id=31694960492743", "Kristin Townsend")</f>
        <v>Kristin Townsend</v>
      </c>
      <c r="E9754" t="s">
        <v>8395</v>
      </c>
      <c r="F9754" t="s">
        <v>8268</v>
      </c>
      <c r="G9754">
        <v>102.58</v>
      </c>
      <c r="H9754">
        <v>111.51</v>
      </c>
      <c r="I9754">
        <v>111.5</v>
      </c>
      <c r="J9754">
        <v>0.01</v>
      </c>
    </row>
    <row r="9755" spans="1:10" x14ac:dyDescent="0.3">
      <c r="A9755" t="str">
        <f>HYPERLINK("https://us2.cloudbeds.com/connect/10074733072513#/reservations/31688792883417?display=MHX13HM0K&amp;reservation_id=31688792883417", "MHX13HM0K")</f>
        <v>MHX13HM0K</v>
      </c>
      <c r="B9755" t="s">
        <v>10</v>
      </c>
      <c r="C9755" t="s">
        <v>42</v>
      </c>
      <c r="D9755" t="str">
        <f>HYPERLINK("https://us2.cloudbeds.com/connect/10074733072513#/reservations/31688792883417?display=Kristopher%20William%20Evans&amp;reservation_id=31688792883417&amp;guest_id=31687741513871", "Kristopher William Evans")</f>
        <v>Kristopher William Evans</v>
      </c>
      <c r="E9755" t="s">
        <v>7596</v>
      </c>
      <c r="F9755" t="s">
        <v>8350</v>
      </c>
      <c r="G9755">
        <v>150</v>
      </c>
      <c r="H9755">
        <v>163.06</v>
      </c>
      <c r="I9755">
        <v>163.05000000000001</v>
      </c>
      <c r="J9755">
        <v>0.01</v>
      </c>
    </row>
    <row r="9756" spans="1:10" x14ac:dyDescent="0.3">
      <c r="A9756" t="str">
        <f>HYPERLINK("https://us2.cloudbeds.com/connect/10074733072513#/reservations/31734693249248?display=MXKXVV09A&amp;reservation_id=31734693249248", "MXKXVV09A")</f>
        <v>MXKXVV09A</v>
      </c>
      <c r="B9756" t="s">
        <v>10</v>
      </c>
      <c r="C9756" t="s">
        <v>23</v>
      </c>
      <c r="D9756" t="str">
        <f>HYPERLINK("https://us2.cloudbeds.com/connect/10074733072513#/reservations/31734693249248?display=Shannon%20Schell&amp;reservation_id=31734693249248&amp;guest_id=31734693249243", "Shannon Schell")</f>
        <v>Shannon Schell</v>
      </c>
      <c r="E9756" t="s">
        <v>8398</v>
      </c>
      <c r="F9756" t="s">
        <v>7203</v>
      </c>
      <c r="G9756">
        <v>418</v>
      </c>
      <c r="H9756">
        <v>454.38</v>
      </c>
      <c r="I9756">
        <v>454.37</v>
      </c>
      <c r="J9756">
        <v>0.01</v>
      </c>
    </row>
    <row r="9757" spans="1:10" x14ac:dyDescent="0.3">
      <c r="A9757" t="str">
        <f>HYPERLINK("https://us2.cloudbeds.com/connect/10074733072513#/reservations/31690677629058?display=MHJG8QG8T&amp;reservation_id=31690677629058", "MHJG8QG8T")</f>
        <v>MHJG8QG8T</v>
      </c>
      <c r="B9757" t="s">
        <v>10</v>
      </c>
      <c r="C9757" t="s">
        <v>42</v>
      </c>
      <c r="D9757" t="str">
        <f>HYPERLINK("https://us2.cloudbeds.com/connect/10074733072513#/reservations/31690677629058?display=Jesse%20Hamman&amp;reservation_id=31690677629058&amp;guest_id=31686684360860", "Jesse Hamman")</f>
        <v>Jesse Hamman</v>
      </c>
      <c r="E9757" t="s">
        <v>7980</v>
      </c>
      <c r="F9757" t="s">
        <v>8249</v>
      </c>
      <c r="G9757">
        <v>218</v>
      </c>
      <c r="H9757">
        <v>236.98</v>
      </c>
      <c r="I9757">
        <v>236.97</v>
      </c>
      <c r="J9757">
        <v>0.01</v>
      </c>
    </row>
    <row r="9758" spans="1:10" x14ac:dyDescent="0.3">
      <c r="A9758" t="str">
        <f>HYPERLINK("https://us2.cloudbeds.com/connect/10074733072513#/reservations/31688394539164?display=MHHNUY4WY&amp;reservation_id=31688394539164", "MHHNUY4WY")</f>
        <v>MHHNUY4WY</v>
      </c>
      <c r="B9758" t="s">
        <v>10</v>
      </c>
      <c r="C9758" t="s">
        <v>23</v>
      </c>
      <c r="D9758" t="str">
        <f>HYPERLINK("https://us2.cloudbeds.com/connect/10074733072513#/reservations/31688394539164?display=Joel%20Bernet&amp;reservation_id=31688394539164&amp;guest_id=31683358822547", "Joel Bernet")</f>
        <v>Joel Bernet</v>
      </c>
      <c r="E9758" t="s">
        <v>8237</v>
      </c>
      <c r="F9758" t="s">
        <v>8350</v>
      </c>
      <c r="G9758">
        <v>238</v>
      </c>
      <c r="H9758">
        <v>258.72000000000003</v>
      </c>
      <c r="I9758">
        <v>258.70999999999998</v>
      </c>
      <c r="J9758">
        <v>0.01</v>
      </c>
    </row>
    <row r="9759" spans="1:10" x14ac:dyDescent="0.3">
      <c r="A9759" t="str">
        <f>HYPERLINK("https://us2.cloudbeds.com/connect/10074733072513#/reservations/31686958641378?display=MHGK7S5TH&amp;reservation_id=31686958641378", "MHGK7S5TH")</f>
        <v>MHGK7S5TH</v>
      </c>
      <c r="B9759" t="s">
        <v>10</v>
      </c>
      <c r="C9759" t="s">
        <v>42</v>
      </c>
      <c r="D9759" t="str">
        <f>HYPERLINK("https://us2.cloudbeds.com/connect/10074733072513#/reservations/31686958641378?display=Teresa%20Sobiech&amp;reservation_id=31686958641378&amp;guest_id=31686677266624", "Teresa Sobiech")</f>
        <v>Teresa Sobiech</v>
      </c>
      <c r="E9759" t="s">
        <v>7979</v>
      </c>
      <c r="F9759" t="s">
        <v>8371</v>
      </c>
      <c r="G9759">
        <v>218</v>
      </c>
      <c r="H9759">
        <v>236.98</v>
      </c>
      <c r="I9759">
        <v>236.97</v>
      </c>
      <c r="J9759">
        <v>0.01</v>
      </c>
    </row>
    <row r="9760" spans="1:10" x14ac:dyDescent="0.3">
      <c r="A9760" t="str">
        <f>HYPERLINK("https://us2.cloudbeds.com/connect/10074733072513#/reservations/31694264230126?display=MHM8U3VGZ&amp;reservation_id=31694264230126", "MHM8U3VGZ")</f>
        <v>MHM8U3VGZ</v>
      </c>
      <c r="B9760" t="s">
        <v>10</v>
      </c>
      <c r="C9760" t="s">
        <v>42</v>
      </c>
      <c r="D9760" t="str">
        <f>HYPERLINK("https://us2.cloudbeds.com/connect/10074733072513#/reservations/31694264230126?display=Christine%20Rowe-Wallraf&amp;reservation_id=31694264230126&amp;guest_id=31684438265990", "Christine Rowe-Wallraf")</f>
        <v>Christine Rowe-Wallraf</v>
      </c>
      <c r="E9760" t="s">
        <v>8400</v>
      </c>
      <c r="F9760" t="s">
        <v>8213</v>
      </c>
      <c r="G9760">
        <v>308</v>
      </c>
      <c r="H9760">
        <v>334.81</v>
      </c>
      <c r="I9760">
        <v>334.8</v>
      </c>
      <c r="J9760">
        <v>0.01</v>
      </c>
    </row>
    <row r="9761" spans="1:10" x14ac:dyDescent="0.3">
      <c r="A9761" t="str">
        <f>HYPERLINK("https://us2.cloudbeds.com/connect/10074733072513#/reservations/31686924710035?display=MHGJC7WY0&amp;reservation_id=31686924710035", "MHGJC7WY0")</f>
        <v>MHGJC7WY0</v>
      </c>
      <c r="B9761" t="s">
        <v>10</v>
      </c>
      <c r="C9761" t="s">
        <v>42</v>
      </c>
      <c r="D9761" t="str">
        <f>HYPERLINK("https://us2.cloudbeds.com/connect/10074733072513#/reservations/31686924710035?display=Marti%20Knoblock&amp;reservation_id=31686924710035&amp;guest_id=31686924710022", "Marti Knoblock")</f>
        <v>Marti Knoblock</v>
      </c>
      <c r="E9761" t="s">
        <v>4561</v>
      </c>
      <c r="F9761" t="s">
        <v>8371</v>
      </c>
      <c r="G9761">
        <v>179</v>
      </c>
      <c r="H9761">
        <v>194.58</v>
      </c>
      <c r="I9761">
        <v>194.57</v>
      </c>
      <c r="J9761">
        <v>0.01</v>
      </c>
    </row>
    <row r="9762" spans="1:10" x14ac:dyDescent="0.3">
      <c r="A9762" t="str">
        <f>HYPERLINK("https://us2.cloudbeds.com/connect/10074733072513#/reservations/31728094228683?display=MXFFBFHK5&amp;reservation_id=31728094228683", "MXFFBFHK5")</f>
        <v>MXFFBFHK5</v>
      </c>
      <c r="B9762" t="s">
        <v>10</v>
      </c>
      <c r="C9762" t="s">
        <v>42</v>
      </c>
      <c r="D9762" t="str">
        <f>HYPERLINK("https://us2.cloudbeds.com/connect/10074733072513#/reservations/31728094228683?display=Kaitlynn%20Steele&amp;reservation_id=31728094228683&amp;guest_id=31728094228678", "Kaitlynn Steele")</f>
        <v>Kaitlynn Steele</v>
      </c>
      <c r="E9762" t="s">
        <v>8406</v>
      </c>
      <c r="F9762" t="s">
        <v>6916</v>
      </c>
      <c r="G9762">
        <v>318</v>
      </c>
      <c r="H9762">
        <v>345.68</v>
      </c>
      <c r="I9762">
        <v>345.67</v>
      </c>
      <c r="J9762">
        <v>0.01</v>
      </c>
    </row>
    <row r="9763" spans="1:10" x14ac:dyDescent="0.3">
      <c r="A9763" t="str">
        <f>HYPERLINK("https://us2.cloudbeds.com/connect/10074733072513#/reservations/31695270924492?display=MHN1KWNDK&amp;reservation_id=31695270924492", "MHN1KWNDK")</f>
        <v>MHN1KWNDK</v>
      </c>
      <c r="B9763" t="s">
        <v>10</v>
      </c>
      <c r="C9763" t="s">
        <v>23</v>
      </c>
      <c r="D9763" t="str">
        <f>HYPERLINK("https://us2.cloudbeds.com/connect/10074733072513#/reservations/31695270924492?display=Brenda%20King&amp;reservation_id=31695270924492&amp;guest_id=31695270924489", "Brenda King")</f>
        <v>Brenda King</v>
      </c>
      <c r="E9763" t="s">
        <v>8407</v>
      </c>
      <c r="F9763" t="s">
        <v>8408</v>
      </c>
      <c r="G9763">
        <v>318</v>
      </c>
      <c r="H9763">
        <v>345.68</v>
      </c>
      <c r="I9763">
        <v>345.67</v>
      </c>
      <c r="J9763">
        <v>0.01</v>
      </c>
    </row>
    <row r="9764" spans="1:10" x14ac:dyDescent="0.3">
      <c r="A9764" t="str">
        <f>HYPERLINK("https://us2.cloudbeds.com/connect/10074733072513#/reservations/31693163409634?display=MHYDPT020&amp;reservation_id=31693163409634", "MHYDPT020")</f>
        <v>MHYDPT020</v>
      </c>
      <c r="B9764" t="s">
        <v>10</v>
      </c>
      <c r="C9764" t="s">
        <v>23</v>
      </c>
      <c r="D9764" t="str">
        <f>HYPERLINK("https://us2.cloudbeds.com/connect/10074733072513#/reservations/31693163409634?display=Crista%20Few&amp;reservation_id=31693163409634&amp;guest_id=31687035773137", "Crista Few")</f>
        <v>Crista Few</v>
      </c>
      <c r="E9764" t="s">
        <v>7061</v>
      </c>
      <c r="F9764" t="s">
        <v>8410</v>
      </c>
      <c r="G9764">
        <v>169</v>
      </c>
      <c r="H9764">
        <v>183.71</v>
      </c>
      <c r="I9764">
        <v>183.7</v>
      </c>
      <c r="J9764">
        <v>0.01</v>
      </c>
    </row>
    <row r="9765" spans="1:10" x14ac:dyDescent="0.3">
      <c r="A9765" t="str">
        <f>HYPERLINK("https://us2.cloudbeds.com/connect/10074733072513#/reservations/31684393984212?display=MHEKN8QQN&amp;reservation_id=31684393984212", "MHEKN8QQN")</f>
        <v>MHEKN8QQN</v>
      </c>
      <c r="B9765" t="s">
        <v>10</v>
      </c>
      <c r="C9765" t="s">
        <v>23</v>
      </c>
      <c r="D9765" t="str">
        <f>HYPERLINK("https://us2.cloudbeds.com/connect/10074733072513#/reservations/31684393984212?display=Sharrie%20Girres&amp;reservation_id=31684393984212&amp;guest_id=31684393984210", "Sharrie Girres")</f>
        <v>Sharrie Girres</v>
      </c>
      <c r="E9765" t="s">
        <v>8411</v>
      </c>
      <c r="F9765" t="s">
        <v>7952</v>
      </c>
      <c r="G9765">
        <v>159</v>
      </c>
      <c r="H9765">
        <v>172.84</v>
      </c>
      <c r="I9765">
        <v>172.83</v>
      </c>
      <c r="J9765">
        <v>0.01</v>
      </c>
    </row>
    <row r="9766" spans="1:10" x14ac:dyDescent="0.3">
      <c r="A9766" t="str">
        <f>HYPERLINK("https://us2.cloudbeds.com/connect/10074733072513#/reservations/31686932451505?display=MHGJXPDE0&amp;reservation_id=31686932451505", "MHGJXPDE0")</f>
        <v>MHGJXPDE0</v>
      </c>
      <c r="B9766" t="s">
        <v>10</v>
      </c>
      <c r="C9766" t="s">
        <v>42</v>
      </c>
      <c r="D9766" t="str">
        <f>HYPERLINK("https://us2.cloudbeds.com/connect/10074733072513#/reservations/31686932451505?display=Radloff%20Brooklynn&amp;reservation_id=31686932451505&amp;guest_id=31686932451501", "Radloff Brooklynn")</f>
        <v>Radloff Brooklynn</v>
      </c>
      <c r="E9766" t="s">
        <v>8414</v>
      </c>
      <c r="F9766" t="s">
        <v>8371</v>
      </c>
      <c r="G9766">
        <v>159</v>
      </c>
      <c r="H9766">
        <v>172.84</v>
      </c>
      <c r="I9766">
        <v>172.83</v>
      </c>
      <c r="J9766">
        <v>0.01</v>
      </c>
    </row>
    <row r="9767" spans="1:10" x14ac:dyDescent="0.3">
      <c r="A9767" t="str">
        <f>HYPERLINK("https://us2.cloudbeds.com/connect/10074733072513#/reservations/31691245531351?display=MHJUPM6W9&amp;reservation_id=31691245531351", "MHJUPM6W9")</f>
        <v>MHJUPM6W9</v>
      </c>
      <c r="B9767" t="s">
        <v>10</v>
      </c>
      <c r="C9767" t="s">
        <v>14</v>
      </c>
      <c r="D9767" t="str">
        <f>HYPERLINK("https://us2.cloudbeds.com/connect/10074733072513#/reservations/31691245531351?display=Kelli%20Bohlender&amp;reservation_id=31691245531351&amp;guest_id=31691245527256", "Kelli Bohlender")</f>
        <v>Kelli Bohlender</v>
      </c>
      <c r="E9767" t="s">
        <v>8417</v>
      </c>
      <c r="F9767" t="s">
        <v>6604</v>
      </c>
      <c r="G9767">
        <v>269.04000000000002</v>
      </c>
      <c r="H9767">
        <v>292.45999999999998</v>
      </c>
      <c r="I9767">
        <v>292.45</v>
      </c>
      <c r="J9767">
        <v>0.01</v>
      </c>
    </row>
    <row r="9768" spans="1:10" x14ac:dyDescent="0.3">
      <c r="A9768" t="str">
        <f>HYPERLINK("https://us2.cloudbeds.com/connect/10074733072513#/reservations/31693797433549?display=MHYTWGYGU&amp;reservation_id=31693797433549", "MHYTWGYGU")</f>
        <v>MHYTWGYGU</v>
      </c>
      <c r="B9768" t="s">
        <v>10</v>
      </c>
      <c r="C9768" t="s">
        <v>42</v>
      </c>
      <c r="D9768" t="str">
        <f>HYPERLINK("https://us2.cloudbeds.com/connect/10074733072513#/reservations/31693797433549?display=Greg%20Brusven&amp;reservation_id=31693797433549&amp;guest_id=17963408818374", "Greg Brusven")</f>
        <v>Greg Brusven</v>
      </c>
      <c r="E9768" t="s">
        <v>2398</v>
      </c>
      <c r="F9768" t="s">
        <v>8329</v>
      </c>
      <c r="G9768">
        <v>89</v>
      </c>
      <c r="H9768">
        <v>96.75</v>
      </c>
      <c r="I9768">
        <v>96.74</v>
      </c>
      <c r="J9768">
        <v>0.01</v>
      </c>
    </row>
    <row r="9769" spans="1:10" x14ac:dyDescent="0.3">
      <c r="A9769" t="str">
        <f>HYPERLINK("https://us2.cloudbeds.com/connect/10074733072513#/reservations/31696137195685?display=MHNNPEWDR&amp;reservation_id=31696137195685", "MHNNPEWDR")</f>
        <v>MHNNPEWDR</v>
      </c>
      <c r="B9769" t="s">
        <v>10</v>
      </c>
      <c r="C9769" t="s">
        <v>23</v>
      </c>
      <c r="D9769" t="str">
        <f>HYPERLINK("https://us2.cloudbeds.com/connect/10074733072513#/reservations/31696137195685?display=Kristin%20Heyne&amp;reservation_id=31696137195685&amp;guest_id=31696137195683", "Kristin Heyne")</f>
        <v>Kristin Heyne</v>
      </c>
      <c r="E9769" t="s">
        <v>8418</v>
      </c>
      <c r="F9769" t="s">
        <v>8419</v>
      </c>
      <c r="G9769">
        <v>239</v>
      </c>
      <c r="H9769">
        <v>259.8</v>
      </c>
      <c r="I9769">
        <v>259.79000000000002</v>
      </c>
      <c r="J9769">
        <v>0.01</v>
      </c>
    </row>
    <row r="9770" spans="1:10" x14ac:dyDescent="0.3">
      <c r="A9770" t="str">
        <f>HYPERLINK("https://us2.cloudbeds.com/connect/10074733072513#/reservations/31692252975336?display=MHKNH5R7T&amp;reservation_id=31692252975336", "MHKNH5R7T")</f>
        <v>MHKNH5R7T</v>
      </c>
      <c r="B9770" t="s">
        <v>10</v>
      </c>
      <c r="C9770" t="s">
        <v>42</v>
      </c>
      <c r="D9770" t="str">
        <f>HYPERLINK("https://us2.cloudbeds.com/connect/10074733072513#/reservations/31692252975336?display=Kelsey%20Kniffen&amp;reservation_id=31692252975336&amp;guest_id=31692234166417", "Kelsey Kniffen")</f>
        <v>Kelsey Kniffen</v>
      </c>
      <c r="E9770" t="s">
        <v>8420</v>
      </c>
      <c r="F9770" t="s">
        <v>8102</v>
      </c>
      <c r="G9770">
        <v>150</v>
      </c>
      <c r="H9770">
        <v>163.06</v>
      </c>
      <c r="I9770">
        <v>163.05000000000001</v>
      </c>
      <c r="J9770">
        <v>0.01</v>
      </c>
    </row>
    <row r="9771" spans="1:10" x14ac:dyDescent="0.3">
      <c r="A9771" t="str">
        <f>HYPERLINK("https://us2.cloudbeds.com/connect/10074733072513#/reservations/31689769025730?display=MHXQ1Y8PN&amp;reservation_id=31689769025730", "MHXQ1Y8PN")</f>
        <v>MHXQ1Y8PN</v>
      </c>
      <c r="B9771" t="s">
        <v>10</v>
      </c>
      <c r="C9771" t="s">
        <v>42</v>
      </c>
      <c r="D9771" t="str">
        <f>HYPERLINK("https://us2.cloudbeds.com/connect/10074733072513#/reservations/31689769025730?display=Desiree%20Kostrum&amp;reservation_id=31689769025730&amp;guest_id=31689769021693", "Desiree Kostrum")</f>
        <v>Desiree Kostrum</v>
      </c>
      <c r="E9771" t="s">
        <v>8423</v>
      </c>
      <c r="F9771" t="s">
        <v>8263</v>
      </c>
      <c r="G9771">
        <v>149</v>
      </c>
      <c r="H9771">
        <v>161.97</v>
      </c>
      <c r="I9771">
        <v>161.96</v>
      </c>
      <c r="J9771">
        <v>0.01</v>
      </c>
    </row>
    <row r="9772" spans="1:10" x14ac:dyDescent="0.3">
      <c r="A9772" t="str">
        <f>HYPERLINK("https://us2.cloudbeds.com/connect/10074733072513#/reservations/31684730237072?display=MHET9QHVA&amp;reservation_id=31684730237072", "MHET9QHVA")</f>
        <v>MHET9QHVA</v>
      </c>
      <c r="B9772" t="s">
        <v>10</v>
      </c>
      <c r="C9772" t="s">
        <v>42</v>
      </c>
      <c r="D9772" t="str">
        <f>HYPERLINK("https://us2.cloudbeds.com/connect/10074733072513#/reservations/31684730237072?display=Darla%20Krueger&amp;reservation_id=31684730237072&amp;guest_id=31684730237057", "Darla Krueger")</f>
        <v>Darla Krueger</v>
      </c>
      <c r="E9772" t="s">
        <v>8425</v>
      </c>
      <c r="F9772" t="s">
        <v>8426</v>
      </c>
      <c r="G9772">
        <v>109</v>
      </c>
      <c r="H9772">
        <v>118.49</v>
      </c>
      <c r="I9772">
        <v>118.48</v>
      </c>
      <c r="J9772">
        <v>0.01</v>
      </c>
    </row>
    <row r="9773" spans="1:10" x14ac:dyDescent="0.3">
      <c r="A9773" t="str">
        <f>HYPERLINK("https://us2.cloudbeds.com/connect/10074733072513#/reservations/31694931779729?display=MHMPW0GNJ&amp;reservation_id=31694931779729", "MHMPW0GNJ")</f>
        <v>MHMPW0GNJ</v>
      </c>
      <c r="B9773" t="s">
        <v>10</v>
      </c>
      <c r="C9773" t="s">
        <v>121</v>
      </c>
      <c r="D9773" t="str">
        <f>HYPERLINK("https://us2.cloudbeds.com/connect/10074733072513#/reservations/31694931779729?display=Kristopher%20William%20Evans&amp;reservation_id=31694931779729&amp;guest_id=31687741513871", "Kristopher William Evans")</f>
        <v>Kristopher William Evans</v>
      </c>
      <c r="E9773" t="s">
        <v>7596</v>
      </c>
      <c r="F9773" t="s">
        <v>8266</v>
      </c>
      <c r="G9773">
        <v>225</v>
      </c>
      <c r="H9773">
        <v>244.59</v>
      </c>
      <c r="I9773">
        <v>244.58</v>
      </c>
      <c r="J9773">
        <v>0.01</v>
      </c>
    </row>
    <row r="9774" spans="1:10" x14ac:dyDescent="0.3">
      <c r="A9774" t="str">
        <f>HYPERLINK("https://us2.cloudbeds.com/connect/10074733072513#/reservations/31690858561724?display=MHJKTC6VV&amp;reservation_id=31690858561724", "MHJKTC6VV")</f>
        <v>MHJKTC6VV</v>
      </c>
      <c r="B9774" t="s">
        <v>10</v>
      </c>
      <c r="C9774" t="s">
        <v>20</v>
      </c>
      <c r="D9774" t="str">
        <f>HYPERLINK("https://us2.cloudbeds.com/connect/10074733072513#/reservations/31690858561724?display=Marcia%20Ryman&amp;reservation_id=31690858561724&amp;guest_id=31690858561711", "Marcia Ryman")</f>
        <v>Marcia Ryman</v>
      </c>
      <c r="E9774" t="s">
        <v>8427</v>
      </c>
      <c r="F9774" t="s">
        <v>8426</v>
      </c>
      <c r="G9774">
        <v>109</v>
      </c>
      <c r="H9774">
        <v>118.49</v>
      </c>
      <c r="I9774">
        <v>118.48</v>
      </c>
      <c r="J9774">
        <v>0.01</v>
      </c>
    </row>
    <row r="9775" spans="1:10" x14ac:dyDescent="0.3">
      <c r="A9775" t="str">
        <f>HYPERLINK("https://us2.cloudbeds.com/connect/10074733072513#/reservations/31725676900499?display=MXDJJ3QRV&amp;reservation_id=31725676900499", "MXDJJ3QRV")</f>
        <v>MXDJJ3QRV</v>
      </c>
      <c r="B9775" t="s">
        <v>10</v>
      </c>
      <c r="C9775" t="s">
        <v>42</v>
      </c>
      <c r="D9775" t="str">
        <f>HYPERLINK("https://us2.cloudbeds.com/connect/10074733072513#/reservations/31725676900499?display=Michael%20Daniels&amp;reservation_id=31725676900499&amp;guest_id=30671090090186", "Michael Daniels")</f>
        <v>Michael Daniels</v>
      </c>
      <c r="E9775" t="s">
        <v>3262</v>
      </c>
      <c r="F9775" t="s">
        <v>8429</v>
      </c>
      <c r="G9775">
        <v>73</v>
      </c>
      <c r="H9775">
        <v>79.36</v>
      </c>
      <c r="I9775">
        <v>79.349999999999994</v>
      </c>
      <c r="J9775">
        <v>0.01</v>
      </c>
    </row>
    <row r="9776" spans="1:10" x14ac:dyDescent="0.3">
      <c r="A9776" t="str">
        <f>HYPERLINK("https://us2.cloudbeds.com/connect/10074733072513#/reservations/31695371370659?display=MHN46MPFS&amp;reservation_id=31695371370659", "MHN46MPFS")</f>
        <v>MHN46MPFS</v>
      </c>
      <c r="B9776" t="s">
        <v>10</v>
      </c>
      <c r="C9776" t="s">
        <v>42</v>
      </c>
      <c r="D9776" t="str">
        <f>HYPERLINK("https://us2.cloudbeds.com/connect/10074733072513#/reservations/31695371370659?display=Matthew%20Souryachak&amp;reservation_id=31695371370659&amp;guest_id=31686437744812", "Matthew Souryachak")</f>
        <v>Matthew Souryachak</v>
      </c>
      <c r="E9776" t="s">
        <v>5543</v>
      </c>
      <c r="F9776" t="s">
        <v>8387</v>
      </c>
      <c r="G9776">
        <v>73</v>
      </c>
      <c r="H9776">
        <v>79.36</v>
      </c>
      <c r="I9776">
        <v>79.349999999999994</v>
      </c>
      <c r="J9776">
        <v>0.01</v>
      </c>
    </row>
    <row r="9777" spans="1:10" x14ac:dyDescent="0.3">
      <c r="A9777" t="str">
        <f>HYPERLINK("https://us2.cloudbeds.com/connect/10074733072513#/reservations/31695424266368?display=MHN5ANCX1&amp;reservation_id=31695424266368", "MHN5ANCX1")</f>
        <v>MHN5ANCX1</v>
      </c>
      <c r="B9777" t="s">
        <v>10</v>
      </c>
      <c r="C9777" t="s">
        <v>42</v>
      </c>
      <c r="D9777" t="str">
        <f>HYPERLINK("https://us2.cloudbeds.com/connect/10074733072513#/reservations/31695424266368?display=Michael%20Daniels&amp;reservation_id=31695424266368&amp;guest_id=30671090090186", "Michael Daniels")</f>
        <v>Michael Daniels</v>
      </c>
      <c r="E9777" t="s">
        <v>3262</v>
      </c>
      <c r="F9777" t="s">
        <v>8430</v>
      </c>
      <c r="G9777">
        <v>73</v>
      </c>
      <c r="H9777">
        <v>79.36</v>
      </c>
      <c r="I9777">
        <v>79.349999999999994</v>
      </c>
      <c r="J9777">
        <v>0.01</v>
      </c>
    </row>
    <row r="9778" spans="1:10" x14ac:dyDescent="0.3">
      <c r="A9778" t="str">
        <f>HYPERLINK("https://us2.cloudbeds.com/connect/10074733072513#/reservations/31690548183292?display=MHJCVYFKU&amp;reservation_id=31690548183292", "MHJCVYFKU")</f>
        <v>MHJCVYFKU</v>
      </c>
      <c r="B9778" t="s">
        <v>10</v>
      </c>
      <c r="C9778" t="s">
        <v>42</v>
      </c>
      <c r="D9778" t="str">
        <f>HYPERLINK("https://us2.cloudbeds.com/connect/10074733072513#/reservations/31690548183292?display=Matthew%20Souryachak&amp;reservation_id=31690548183292&amp;guest_id=31686437744812", "Matthew Souryachak")</f>
        <v>Matthew Souryachak</v>
      </c>
      <c r="E9778" t="s">
        <v>5543</v>
      </c>
      <c r="F9778" t="s">
        <v>8432</v>
      </c>
      <c r="G9778">
        <v>73</v>
      </c>
      <c r="H9778">
        <v>79.36</v>
      </c>
      <c r="I9778">
        <v>79.349999999999994</v>
      </c>
      <c r="J9778">
        <v>0.01</v>
      </c>
    </row>
    <row r="9779" spans="1:10" x14ac:dyDescent="0.3">
      <c r="A9779" t="str">
        <f>HYPERLINK("https://us2.cloudbeds.com/connect/10074733072513#/reservations/31692395937966?display=MHKR5NW1Q&amp;reservation_id=31692395937966", "MHKR5NW1Q")</f>
        <v>MHKR5NW1Q</v>
      </c>
      <c r="B9779" t="s">
        <v>10</v>
      </c>
      <c r="C9779" t="s">
        <v>11</v>
      </c>
      <c r="D9779" t="str">
        <f>HYPERLINK("https://us2.cloudbeds.com/connect/10074733072513#/reservations/31692395937966?display=Christine%20Brouse&amp;reservation_id=31692395937966&amp;guest_id=31692395937963", "Christine Brouse")</f>
        <v>Christine Brouse</v>
      </c>
      <c r="E9779" t="s">
        <v>8435</v>
      </c>
      <c r="F9779" t="s">
        <v>8436</v>
      </c>
      <c r="G9779">
        <v>97.74</v>
      </c>
      <c r="H9779">
        <v>106.25</v>
      </c>
      <c r="I9779">
        <v>106.24</v>
      </c>
      <c r="J9779">
        <v>0.01</v>
      </c>
    </row>
    <row r="9780" spans="1:10" x14ac:dyDescent="0.3">
      <c r="A9780" t="str">
        <f>HYPERLINK("https://us2.cloudbeds.com/connect/10074733072513#/reservations/31689870295174?display=MHXSY17RZ&amp;reservation_id=31689870295174", "MHXSY17RZ")</f>
        <v>MHXSY17RZ</v>
      </c>
      <c r="B9780" t="s">
        <v>10</v>
      </c>
      <c r="C9780" t="s">
        <v>17</v>
      </c>
      <c r="D9780" t="str">
        <f>HYPERLINK("https://us2.cloudbeds.com/connect/10074733072513#/reservations/31689870295174?display=Ryan%20Hlavka&amp;reservation_id=31689870295174&amp;guest_id=31689870295170", "Ryan Hlavka")</f>
        <v>Ryan Hlavka</v>
      </c>
      <c r="E9780" t="s">
        <v>8437</v>
      </c>
      <c r="F9780" t="s">
        <v>8102</v>
      </c>
      <c r="G9780">
        <v>318</v>
      </c>
      <c r="H9780">
        <v>345.68</v>
      </c>
      <c r="I9780">
        <v>345.67</v>
      </c>
      <c r="J9780">
        <v>0.01</v>
      </c>
    </row>
    <row r="9781" spans="1:10" x14ac:dyDescent="0.3">
      <c r="A9781" t="str">
        <f>HYPERLINK("https://us2.cloudbeds.com/connect/10074733072513#/reservations/31694973333657?display=MHMR11QJH&amp;reservation_id=31694973333657", "MHMR11QJH")</f>
        <v>MHMR11QJH</v>
      </c>
      <c r="B9781" t="s">
        <v>10</v>
      </c>
      <c r="C9781" t="s">
        <v>42</v>
      </c>
      <c r="D9781" t="str">
        <f>HYPERLINK("https://us2.cloudbeds.com/connect/10074733072513#/reservations/31694973333657?display=Matthew%20Souryachak&amp;reservation_id=31694973333657&amp;guest_id=31686437744812", "Matthew Souryachak")</f>
        <v>Matthew Souryachak</v>
      </c>
      <c r="E9781" t="s">
        <v>5543</v>
      </c>
      <c r="F9781" t="s">
        <v>8438</v>
      </c>
      <c r="G9781">
        <v>73</v>
      </c>
      <c r="H9781">
        <v>79.36</v>
      </c>
      <c r="I9781">
        <v>79.349999999999994</v>
      </c>
      <c r="J9781">
        <v>0.01</v>
      </c>
    </row>
    <row r="9782" spans="1:10" x14ac:dyDescent="0.3">
      <c r="A9782" t="str">
        <f>HYPERLINK("https://us2.cloudbeds.com/connect/10074733072513#/reservations/31695228481743?display=MHN0X6MBN&amp;reservation_id=31695228481743", "MHN0X6MBN")</f>
        <v>MHN0X6MBN</v>
      </c>
      <c r="B9782" t="s">
        <v>10</v>
      </c>
      <c r="C9782" t="s">
        <v>42</v>
      </c>
      <c r="D9782" t="str">
        <f>HYPERLINK("https://us2.cloudbeds.com/connect/10074733072513#/reservations/31695228481743?display=Matthew%20Souryachak&amp;reservation_id=31695228481743&amp;guest_id=31686437744812", "Matthew Souryachak")</f>
        <v>Matthew Souryachak</v>
      </c>
      <c r="E9782" t="s">
        <v>5543</v>
      </c>
      <c r="F9782" t="s">
        <v>8440</v>
      </c>
      <c r="G9782">
        <v>73</v>
      </c>
      <c r="H9782">
        <v>79.36</v>
      </c>
      <c r="I9782">
        <v>79.349999999999994</v>
      </c>
      <c r="J9782">
        <v>0.01</v>
      </c>
    </row>
    <row r="9783" spans="1:10" x14ac:dyDescent="0.3">
      <c r="A9783" t="str">
        <f>HYPERLINK("https://us2.cloudbeds.com/connect/10074733072513#/reservations/31692532932779?display=MHKUM81PP&amp;reservation_id=31692532932779", "MHKUM81PP")</f>
        <v>MHKUM81PP</v>
      </c>
      <c r="B9783" t="s">
        <v>10</v>
      </c>
      <c r="C9783" t="s">
        <v>42</v>
      </c>
      <c r="D9783" t="str">
        <f>HYPERLINK("https://us2.cloudbeds.com/connect/10074733072513#/reservations/31692532932779?display=James%20Berreth&amp;reservation_id=31692532932779&amp;guest_id=31692532932769", "James Berreth")</f>
        <v>James Berreth</v>
      </c>
      <c r="E9783" t="s">
        <v>8441</v>
      </c>
      <c r="F9783" t="s">
        <v>8266</v>
      </c>
      <c r="G9783">
        <v>218</v>
      </c>
      <c r="H9783">
        <v>236.98</v>
      </c>
      <c r="I9783">
        <v>236.97</v>
      </c>
      <c r="J9783">
        <v>0.01</v>
      </c>
    </row>
    <row r="9784" spans="1:10" x14ac:dyDescent="0.3">
      <c r="A9784" t="str">
        <f>HYPERLINK("https://us2.cloudbeds.com/connect/10074733072513#/reservations/31730419642578?display=MXH8PAJTT&amp;reservation_id=31730419642578", "MXH8PAJTT")</f>
        <v>MXH8PAJTT</v>
      </c>
      <c r="B9784" t="s">
        <v>10</v>
      </c>
      <c r="C9784" t="s">
        <v>42</v>
      </c>
      <c r="D9784" t="str">
        <f>HYPERLINK("https://us2.cloudbeds.com/connect/10074733072513#/reservations/31730419642578?display=Shirlee%20Frohling&amp;reservation_id=31730419642578&amp;guest_id=31730326659201", "Shirlee Frohling")</f>
        <v>Shirlee Frohling</v>
      </c>
      <c r="E9784" t="s">
        <v>8442</v>
      </c>
      <c r="F9784" t="s">
        <v>8443</v>
      </c>
      <c r="G9784">
        <v>378</v>
      </c>
      <c r="H9784">
        <v>410.9</v>
      </c>
      <c r="I9784">
        <v>410.89</v>
      </c>
      <c r="J9784">
        <v>0.01</v>
      </c>
    </row>
    <row r="9785" spans="1:10" x14ac:dyDescent="0.3">
      <c r="A9785" t="str">
        <f>HYPERLINK("https://us2.cloudbeds.com/connect/10074733072513#/reservations/31692490653844?display=MHKTJJJ4U&amp;reservation_id=31692490653844", "MHKTJJJ4U")</f>
        <v>MHKTJJJ4U</v>
      </c>
      <c r="B9785" t="s">
        <v>10</v>
      </c>
      <c r="C9785" t="s">
        <v>121</v>
      </c>
      <c r="D9785" t="str">
        <f>HYPERLINK("https://us2.cloudbeds.com/connect/10074733072513#/reservations/31692490653844?display=Chris%20Behrens&amp;reservation_id=31692490653844&amp;guest_id=31692490653829", "Chris Behrens")</f>
        <v>Chris Behrens</v>
      </c>
      <c r="E9785" t="s">
        <v>8444</v>
      </c>
      <c r="F9785" t="s">
        <v>8247</v>
      </c>
      <c r="G9785">
        <v>129</v>
      </c>
      <c r="H9785">
        <v>140.22999999999999</v>
      </c>
      <c r="I9785">
        <v>140.22</v>
      </c>
      <c r="J9785">
        <v>0.01</v>
      </c>
    </row>
    <row r="9786" spans="1:10" x14ac:dyDescent="0.3">
      <c r="A9786" t="str">
        <f>HYPERLINK("https://us2.cloudbeds.com/connect/10074733072513#/reservations/31692499407079?display=MHKTQW50F&amp;reservation_id=31692499407079", "MHKTQW50F")</f>
        <v>MHKTQW50F</v>
      </c>
      <c r="B9786" t="s">
        <v>10</v>
      </c>
      <c r="C9786" t="s">
        <v>121</v>
      </c>
      <c r="D9786" t="str">
        <f>HYPERLINK("https://us2.cloudbeds.com/connect/10074733072513#/reservations/31692499407079?display=Alyssa%20Carlomusto&amp;reservation_id=31692499407079&amp;guest_id=31690531983602", "Alyssa Carlomusto")</f>
        <v>Alyssa Carlomusto</v>
      </c>
      <c r="E9786" t="s">
        <v>8445</v>
      </c>
      <c r="F9786" t="s">
        <v>8247</v>
      </c>
      <c r="G9786">
        <v>109</v>
      </c>
      <c r="H9786">
        <v>118.49</v>
      </c>
      <c r="I9786">
        <v>118.48</v>
      </c>
      <c r="J9786">
        <v>0.01</v>
      </c>
    </row>
    <row r="9787" spans="1:10" x14ac:dyDescent="0.3">
      <c r="A9787" t="str">
        <f>HYPERLINK("https://us2.cloudbeds.com/connect/10074733072513#/reservations/31692507136185?display=MHKU0G7EQ&amp;reservation_id=31692507136185", "MHKU0G7EQ")</f>
        <v>MHKU0G7EQ</v>
      </c>
      <c r="B9787" t="s">
        <v>10</v>
      </c>
      <c r="C9787" t="s">
        <v>42</v>
      </c>
      <c r="D9787" t="str">
        <f>HYPERLINK("https://us2.cloudbeds.com/connect/10074733072513#/reservations/31692507136185?display=Jason%20Ehlers&amp;reservation_id=31692507136185&amp;guest_id=31684144378090", "Jason Ehlers")</f>
        <v>Jason Ehlers</v>
      </c>
      <c r="E9787" t="s">
        <v>7343</v>
      </c>
      <c r="F9787" t="s">
        <v>8247</v>
      </c>
      <c r="G9787">
        <v>73</v>
      </c>
      <c r="H9787">
        <v>79.36</v>
      </c>
      <c r="I9787">
        <v>79.349999999999994</v>
      </c>
      <c r="J9787">
        <v>0.01</v>
      </c>
    </row>
    <row r="9788" spans="1:10" x14ac:dyDescent="0.3">
      <c r="A9788" t="str">
        <f>HYPERLINK("https://us2.cloudbeds.com/connect/10074733072513#/reservations/31690784674009?display=MHJJ025R9&amp;reservation_id=31690784674009", "MHJJ025R9")</f>
        <v>MHJJ025R9</v>
      </c>
      <c r="B9788" t="s">
        <v>10</v>
      </c>
      <c r="C9788" t="s">
        <v>42</v>
      </c>
      <c r="D9788" t="str">
        <f>HYPERLINK("https://us2.cloudbeds.com/connect/10074733072513#/reservations/31690784674009?display=Laura%20Lewno&amp;reservation_id=31690784674009&amp;guest_id=31690784674005", "Laura Lewno")</f>
        <v>Laura Lewno</v>
      </c>
      <c r="E9788" t="s">
        <v>8446</v>
      </c>
      <c r="F9788" t="s">
        <v>8436</v>
      </c>
      <c r="G9788">
        <v>393.3</v>
      </c>
      <c r="H9788">
        <v>427.53</v>
      </c>
      <c r="I9788">
        <v>427.52</v>
      </c>
      <c r="J9788">
        <v>0.01</v>
      </c>
    </row>
    <row r="9789" spans="1:10" x14ac:dyDescent="0.3">
      <c r="A9789" t="str">
        <f>HYPERLINK("https://us2.cloudbeds.com/connect/10074733072513#/reservations/31688921632896?display=MHX4D36XQ&amp;reservation_id=31688921632896", "MHX4D36XQ")</f>
        <v>MHX4D36XQ</v>
      </c>
      <c r="B9789" t="s">
        <v>10</v>
      </c>
      <c r="C9789" t="s">
        <v>42</v>
      </c>
      <c r="D9789" t="str">
        <f>HYPERLINK("https://us2.cloudbeds.com/connect/10074733072513#/reservations/31688921632896?display=Daniel%20Kahlstorf&amp;reservation_id=31688921632896&amp;guest_id=31675447382154", "Daniel Kahlstorf")</f>
        <v>Daniel Kahlstorf</v>
      </c>
      <c r="E9789" t="s">
        <v>5683</v>
      </c>
      <c r="F9789" t="s">
        <v>8247</v>
      </c>
      <c r="G9789">
        <v>73</v>
      </c>
      <c r="H9789">
        <v>79.36</v>
      </c>
      <c r="I9789">
        <v>79.349999999999994</v>
      </c>
      <c r="J9789">
        <v>0.01</v>
      </c>
    </row>
    <row r="9790" spans="1:10" x14ac:dyDescent="0.3">
      <c r="A9790" t="str">
        <f>HYPERLINK("https://us2.cloudbeds.com/connect/10074733072513#/reservations/31694882296004?display=MHMZN9X3P&amp;reservation_id=31694882296004", "MHMZN9X3P")</f>
        <v>MHMZN9X3P</v>
      </c>
      <c r="B9790" t="s">
        <v>10</v>
      </c>
      <c r="C9790" t="s">
        <v>121</v>
      </c>
      <c r="D9790" t="str">
        <f>HYPERLINK("https://us2.cloudbeds.com/connect/10074733072513#/reservations/31694882296004?display=Gary%20Arfman&amp;reservation_id=31694882296004&amp;guest_id=31694882296002", "Gary Arfman")</f>
        <v>Gary Arfman</v>
      </c>
      <c r="E9790" t="s">
        <v>8447</v>
      </c>
      <c r="F9790" t="s">
        <v>8266</v>
      </c>
      <c r="G9790">
        <v>109</v>
      </c>
      <c r="H9790">
        <v>118.49</v>
      </c>
      <c r="I9790">
        <v>118.48</v>
      </c>
      <c r="J9790">
        <v>0.01</v>
      </c>
    </row>
    <row r="9791" spans="1:10" x14ac:dyDescent="0.3">
      <c r="A9791" t="str">
        <f>HYPERLINK("https://us2.cloudbeds.com/connect/10074733072513#/reservations/31690899075304?display=MHJYUHXH6&amp;reservation_id=31690899075304", "MHJYUHXH6")</f>
        <v>MHJYUHXH6</v>
      </c>
      <c r="B9791" t="s">
        <v>10</v>
      </c>
      <c r="C9791" t="s">
        <v>121</v>
      </c>
      <c r="D9791" t="str">
        <f>HYPERLINK("https://us2.cloudbeds.com/connect/10074733072513#/reservations/31690899075304?display=Karla%20Jacobsen&amp;reservation_id=31690899075304&amp;guest_id=31690888114327", "Karla Jacobsen")</f>
        <v>Karla Jacobsen</v>
      </c>
      <c r="E9791" t="s">
        <v>8448</v>
      </c>
      <c r="F9791" t="s">
        <v>8247</v>
      </c>
      <c r="G9791">
        <v>109</v>
      </c>
      <c r="H9791">
        <v>118.49</v>
      </c>
      <c r="I9791">
        <v>118.48</v>
      </c>
      <c r="J9791">
        <v>0.01</v>
      </c>
    </row>
    <row r="9792" spans="1:10" x14ac:dyDescent="0.3">
      <c r="A9792" t="str">
        <f>HYPERLINK("https://us2.cloudbeds.com/connect/10074733072513#/reservations/31695877148915?display=MHNH45QAM&amp;reservation_id=31695877148915", "MHNH45QAM")</f>
        <v>MHNH45QAM</v>
      </c>
      <c r="B9792" t="s">
        <v>10</v>
      </c>
      <c r="C9792" t="s">
        <v>23</v>
      </c>
      <c r="D9792" t="str">
        <f>HYPERLINK("https://us2.cloudbeds.com/connect/10074733072513#/reservations/31695877148915?display=James%20Leinbaugh&amp;reservation_id=31695877148915&amp;guest_id=31695860580572", "James Leinbaugh")</f>
        <v>James Leinbaugh</v>
      </c>
      <c r="E9792" t="s">
        <v>8449</v>
      </c>
      <c r="F9792" t="s">
        <v>8450</v>
      </c>
      <c r="G9792">
        <v>159</v>
      </c>
      <c r="H9792">
        <v>172.84</v>
      </c>
      <c r="I9792">
        <v>172.83</v>
      </c>
      <c r="J9792">
        <v>0.01</v>
      </c>
    </row>
    <row r="9793" spans="1:10" x14ac:dyDescent="0.3">
      <c r="A9793" t="str">
        <f>HYPERLINK("https://us2.cloudbeds.com/connect/10074733072513#/reservations/31695429505241?display=MHN5MNEUS&amp;reservation_id=31695429505241", "MHN5MNEUS")</f>
        <v>MHN5MNEUS</v>
      </c>
      <c r="B9793" t="s">
        <v>10</v>
      </c>
      <c r="C9793" t="s">
        <v>42</v>
      </c>
      <c r="D9793" t="str">
        <f>HYPERLINK("https://us2.cloudbeds.com/connect/10074733072513#/reservations/31695429505241?display=Beth%20Hanson&amp;reservation_id=31695429505241&amp;guest_id=31695429505239", "Beth Hanson")</f>
        <v>Beth Hanson</v>
      </c>
      <c r="E9793" t="s">
        <v>8451</v>
      </c>
      <c r="F9793" t="s">
        <v>8430</v>
      </c>
      <c r="G9793">
        <v>119</v>
      </c>
      <c r="H9793">
        <v>129.36000000000001</v>
      </c>
      <c r="I9793">
        <v>129.35</v>
      </c>
      <c r="J9793">
        <v>0.01</v>
      </c>
    </row>
    <row r="9794" spans="1:10" x14ac:dyDescent="0.3">
      <c r="A9794" t="str">
        <f>HYPERLINK("https://us2.cloudbeds.com/connect/10074733072513#/reservations/31694900211952?display=MHMP5D2S9&amp;reservation_id=31694900211952", "MHMP5D2S9")</f>
        <v>MHMP5D2S9</v>
      </c>
      <c r="B9794" t="s">
        <v>10</v>
      </c>
      <c r="C9794" t="s">
        <v>17</v>
      </c>
      <c r="D9794" t="str">
        <f>HYPERLINK("https://us2.cloudbeds.com/connect/10074733072513#/reservations/31694900211952?display=Nathan%20Maher&amp;reservation_id=31694900211952&amp;guest_id=31673369776338", "Nathan Maher")</f>
        <v>Nathan Maher</v>
      </c>
      <c r="E9794" t="s">
        <v>5343</v>
      </c>
      <c r="F9794" t="s">
        <v>8266</v>
      </c>
      <c r="G9794">
        <v>119</v>
      </c>
      <c r="H9794">
        <v>129.36000000000001</v>
      </c>
      <c r="I9794">
        <v>129.35</v>
      </c>
      <c r="J9794">
        <v>0.01</v>
      </c>
    </row>
    <row r="9795" spans="1:10" x14ac:dyDescent="0.3">
      <c r="A9795" t="str">
        <f>HYPERLINK("https://us2.cloudbeds.com/connect/10074733072513#/reservations/31695357133006?display=MHN3RMJDR&amp;reservation_id=31695357133006", "MHN3RMJDR")</f>
        <v>MHN3RMJDR</v>
      </c>
      <c r="B9795" t="s">
        <v>10</v>
      </c>
      <c r="C9795" t="s">
        <v>42</v>
      </c>
      <c r="D9795" t="str">
        <f>HYPERLINK("https://us2.cloudbeds.com/connect/10074733072513#/reservations/31695357133006?display=Alissa%20Schilling&amp;reservation_id=31695357133006&amp;guest_id=31695357128909", "Alissa Schilling")</f>
        <v>Alissa Schilling</v>
      </c>
      <c r="E9795" t="s">
        <v>8454</v>
      </c>
      <c r="F9795" t="s">
        <v>6604</v>
      </c>
      <c r="G9795">
        <v>129</v>
      </c>
      <c r="H9795">
        <v>140.22999999999999</v>
      </c>
      <c r="I9795">
        <v>140.22</v>
      </c>
      <c r="J9795">
        <v>0.01</v>
      </c>
    </row>
    <row r="9796" spans="1:10" x14ac:dyDescent="0.3">
      <c r="A9796" t="str">
        <f>HYPERLINK("https://us2.cloudbeds.com/connect/10074733072513#/reservations/31695446417545?display=MHN63W21U&amp;reservation_id=31695446417545", "MHN63W21U")</f>
        <v>MHN63W21U</v>
      </c>
      <c r="B9796" t="s">
        <v>10</v>
      </c>
      <c r="C9796" t="s">
        <v>42</v>
      </c>
      <c r="D9796" t="str">
        <f>HYPERLINK("https://us2.cloudbeds.com/connect/10074733072513#/reservations/31695446417545?display=Shawntrail%20Mchanon&amp;reservation_id=31695446417545&amp;guest_id=31695446417540", "Shawntrail Mchanon")</f>
        <v>Shawntrail Mchanon</v>
      </c>
      <c r="E9796" t="s">
        <v>8455</v>
      </c>
      <c r="F9796" t="s">
        <v>8430</v>
      </c>
      <c r="G9796">
        <v>79</v>
      </c>
      <c r="H9796">
        <v>85.88</v>
      </c>
      <c r="I9796">
        <v>85.87</v>
      </c>
      <c r="J9796">
        <v>0.01</v>
      </c>
    </row>
    <row r="9797" spans="1:10" x14ac:dyDescent="0.3">
      <c r="A9797" t="str">
        <f>HYPERLINK("https://us2.cloudbeds.com/connect/10074733072513#/reservations/31693415969008?display=MHYK7RRMC&amp;reservation_id=31693415969008", "MHYK7RRMC")</f>
        <v>MHYK7RRMC</v>
      </c>
      <c r="B9797" t="s">
        <v>10</v>
      </c>
      <c r="C9797" t="s">
        <v>42</v>
      </c>
      <c r="D9797" t="str">
        <f>HYPERLINK("https://us2.cloudbeds.com/connect/10074733072513#/reservations/31693415969008?display=Cody%20Schoenrock&amp;reservation_id=31693415969008&amp;guest_id=31693403693209", "Cody Schoenrock")</f>
        <v>Cody Schoenrock</v>
      </c>
      <c r="E9797" t="s">
        <v>8310</v>
      </c>
      <c r="F9797" t="s">
        <v>7952</v>
      </c>
      <c r="G9797">
        <v>159</v>
      </c>
      <c r="H9797">
        <v>172.84</v>
      </c>
      <c r="I9797">
        <v>172.83</v>
      </c>
      <c r="J9797">
        <v>0.01</v>
      </c>
    </row>
    <row r="9798" spans="1:10" x14ac:dyDescent="0.3">
      <c r="A9798" t="str">
        <f>HYPERLINK("https://us2.cloudbeds.com/connect/10074733072513#/reservations/31688168640726?display=MHHX556DE&amp;reservation_id=31688168640726", "MHHX556DE")</f>
        <v>MHHX556DE</v>
      </c>
      <c r="B9798" t="s">
        <v>10</v>
      </c>
      <c r="C9798" t="s">
        <v>23</v>
      </c>
      <c r="D9798" t="str">
        <f>HYPERLINK("https://us2.cloudbeds.com/connect/10074733072513#/reservations/31688168640726?display=Gordon%20Keesic&amp;reservation_id=31688168640726&amp;guest_id=31688168640724", "Gordon Keesic")</f>
        <v>Gordon Keesic</v>
      </c>
      <c r="E9798" t="s">
        <v>8459</v>
      </c>
      <c r="F9798" t="s">
        <v>8434</v>
      </c>
      <c r="G9798">
        <v>238</v>
      </c>
      <c r="H9798">
        <v>258.72000000000003</v>
      </c>
      <c r="I9798">
        <v>258.70999999999998</v>
      </c>
      <c r="J9798">
        <v>0.01</v>
      </c>
    </row>
    <row r="9799" spans="1:10" x14ac:dyDescent="0.3">
      <c r="A9799" t="str">
        <f>HYPERLINK("https://us2.cloudbeds.com/connect/10074733072513#/reservations/31690070921375?display=MHJ0P6VJJ&amp;reservation_id=31690070921375", "MHJ0P6VJJ")</f>
        <v>MHJ0P6VJJ</v>
      </c>
      <c r="B9799" t="s">
        <v>10</v>
      </c>
      <c r="C9799" t="s">
        <v>23</v>
      </c>
      <c r="D9799" t="str">
        <f>HYPERLINK("https://us2.cloudbeds.com/connect/10074733072513#/reservations/31690070921375?display=Cody%20Fransen&amp;reservation_id=31690070921375&amp;guest_id=31690070921373", "Cody Fransen")</f>
        <v>Cody Fransen</v>
      </c>
      <c r="E9799" t="s">
        <v>8460</v>
      </c>
      <c r="F9799" t="s">
        <v>8347</v>
      </c>
      <c r="G9799">
        <v>189</v>
      </c>
      <c r="H9799">
        <v>205.45</v>
      </c>
      <c r="I9799">
        <v>205.44</v>
      </c>
      <c r="J9799">
        <v>0.01</v>
      </c>
    </row>
    <row r="9800" spans="1:10" x14ac:dyDescent="0.3">
      <c r="A9800" t="str">
        <f>HYPERLINK("https://us2.cloudbeds.com/connect/10074733072513#/reservations/31694264328326?display=MHM8U6MMG&amp;reservation_id=31694264328326", "MHM8U6MMG")</f>
        <v>MHM8U6MMG</v>
      </c>
      <c r="B9800" t="s">
        <v>10</v>
      </c>
      <c r="C9800" t="s">
        <v>42</v>
      </c>
      <c r="D9800" t="str">
        <f>HYPERLINK("https://us2.cloudbeds.com/connect/10074733072513#/reservations/31694264328326?display=Traci%20Namken&amp;reservation_id=31694264328326&amp;guest_id=31694264324233", "Traci Namken")</f>
        <v>Traci Namken</v>
      </c>
      <c r="E9800" t="s">
        <v>8461</v>
      </c>
      <c r="F9800" t="s">
        <v>7952</v>
      </c>
      <c r="G9800">
        <v>159</v>
      </c>
      <c r="H9800">
        <v>172.84</v>
      </c>
      <c r="I9800">
        <v>172.83</v>
      </c>
      <c r="J9800">
        <v>0.01</v>
      </c>
    </row>
    <row r="9801" spans="1:10" x14ac:dyDescent="0.3">
      <c r="A9801" t="str">
        <f>HYPERLINK("https://us2.cloudbeds.com/connect/10074733072513#/reservations/31688165888181?display=MHHX2RJQW&amp;reservation_id=31688165888181", "MHHX2RJQW")</f>
        <v>MHHX2RJQW</v>
      </c>
      <c r="B9801" t="s">
        <v>10</v>
      </c>
      <c r="C9801" t="s">
        <v>11</v>
      </c>
      <c r="D9801" t="str">
        <f>HYPERLINK("https://us2.cloudbeds.com/connect/10074733072513#/reservations/31688165888181?display=Tabatha%20Jacobs&amp;reservation_id=31688165888181&amp;guest_id=31688157479132", "Tabatha Jacobs")</f>
        <v>Tabatha Jacobs</v>
      </c>
      <c r="E9801" t="s">
        <v>8462</v>
      </c>
      <c r="F9801" t="s">
        <v>8434</v>
      </c>
      <c r="G9801">
        <v>167.06</v>
      </c>
      <c r="H9801">
        <v>181.6</v>
      </c>
      <c r="I9801">
        <v>181.59</v>
      </c>
      <c r="J9801">
        <v>0.01</v>
      </c>
    </row>
    <row r="9802" spans="1:10" x14ac:dyDescent="0.3">
      <c r="A9802" t="str">
        <f>HYPERLINK("https://us2.cloudbeds.com/connect/10074733072513#/reservations/31692376821975?display=MHKQMK1BB&amp;reservation_id=31692376821975", "MHKQMK1BB")</f>
        <v>MHKQMK1BB</v>
      </c>
      <c r="B9802" t="s">
        <v>10</v>
      </c>
      <c r="C9802" t="s">
        <v>42</v>
      </c>
      <c r="D9802" t="str">
        <f>HYPERLINK("https://us2.cloudbeds.com/connect/10074733072513#/reservations/31692376821975?display=Nate%20Jachow&amp;reservation_id=31692376821975&amp;guest_id=31692376821970", "Nate Jachow")</f>
        <v>Nate Jachow</v>
      </c>
      <c r="E9802" t="s">
        <v>8463</v>
      </c>
      <c r="F9802" t="s">
        <v>8338</v>
      </c>
      <c r="G9802">
        <v>119</v>
      </c>
      <c r="H9802">
        <v>129.36000000000001</v>
      </c>
      <c r="I9802">
        <v>129.35</v>
      </c>
      <c r="J9802">
        <v>0.01</v>
      </c>
    </row>
    <row r="9803" spans="1:10" x14ac:dyDescent="0.3">
      <c r="A9803" t="str">
        <f>HYPERLINK("https://us2.cloudbeds.com/connect/10074733072513#/reservations/31691126874320?display=MHJRZKDBM&amp;reservation_id=31691126874320", "MHJRZKDBM")</f>
        <v>MHJRZKDBM</v>
      </c>
      <c r="B9803" t="s">
        <v>10</v>
      </c>
      <c r="C9803" t="s">
        <v>42</v>
      </c>
      <c r="D9803" t="str">
        <f>HYPERLINK("https://us2.cloudbeds.com/connect/10074733072513#/reservations/31691126874320?display=Elizabeth%20Freeburg&amp;reservation_id=31691126874320&amp;guest_id=31691126874307", "Elizabeth Freeburg")</f>
        <v>Elizabeth Freeburg</v>
      </c>
      <c r="E9803" t="s">
        <v>8464</v>
      </c>
      <c r="F9803" t="s">
        <v>8338</v>
      </c>
      <c r="G9803">
        <v>169</v>
      </c>
      <c r="H9803">
        <v>183.71</v>
      </c>
      <c r="I9803">
        <v>183.7</v>
      </c>
      <c r="J9803">
        <v>0.01</v>
      </c>
    </row>
    <row r="9804" spans="1:10" x14ac:dyDescent="0.3">
      <c r="A9804" t="str">
        <f>HYPERLINK("https://us2.cloudbeds.com/connect/10074733072513#/reservations/31695429501147?display=MHN5MNB5Q&amp;reservation_id=31695429501147", "MHN5MNB5Q")</f>
        <v>MHN5MNB5Q</v>
      </c>
      <c r="B9804" t="s">
        <v>10</v>
      </c>
      <c r="C9804" t="s">
        <v>42</v>
      </c>
      <c r="D9804" t="str">
        <f>HYPERLINK("https://us2.cloudbeds.com/connect/10074733072513#/reservations/31695429501147?display=David%20Goberish&amp;reservation_id=31695429501147&amp;guest_id=31673924116692", "David Goberish")</f>
        <v>David Goberish</v>
      </c>
      <c r="E9804" t="s">
        <v>4913</v>
      </c>
      <c r="F9804" t="s">
        <v>8430</v>
      </c>
      <c r="G9804">
        <v>73</v>
      </c>
      <c r="H9804">
        <v>79.36</v>
      </c>
      <c r="I9804">
        <v>79.349999999999994</v>
      </c>
      <c r="J9804">
        <v>0.01</v>
      </c>
    </row>
    <row r="9805" spans="1:10" x14ac:dyDescent="0.3">
      <c r="A9805" t="str">
        <f>HYPERLINK("https://us2.cloudbeds.com/connect/10074733072513#/reservations/31692301820061?display=MHKZPC022&amp;reservation_id=31692301820061", "MHKZPC022")</f>
        <v>MHKZPC022</v>
      </c>
      <c r="B9805" t="s">
        <v>10</v>
      </c>
      <c r="C9805" t="s">
        <v>42</v>
      </c>
      <c r="D9805" t="str">
        <f>HYPERLINK("https://us2.cloudbeds.com/connect/10074733072513#/reservations/31692301820061?display=Craig%20Christensen&amp;reservation_id=31692301820061&amp;guest_id=31692301820056", "Craig Christensen")</f>
        <v>Craig Christensen</v>
      </c>
      <c r="E9805" t="s">
        <v>8467</v>
      </c>
      <c r="F9805" t="s">
        <v>8347</v>
      </c>
      <c r="G9805">
        <v>129</v>
      </c>
      <c r="H9805">
        <v>140.22999999999999</v>
      </c>
      <c r="I9805">
        <v>140.22</v>
      </c>
      <c r="J9805">
        <v>0.01</v>
      </c>
    </row>
    <row r="9806" spans="1:10" x14ac:dyDescent="0.3">
      <c r="A9806" t="str">
        <f>HYPERLINK("https://us2.cloudbeds.com/connect/10074733072513#/reservations/31693431783590?display=MHYKY5TQ4&amp;reservation_id=31693431783590", "MHYKY5TQ4")</f>
        <v>MHYKY5TQ4</v>
      </c>
      <c r="B9806" t="s">
        <v>10</v>
      </c>
      <c r="C9806" t="s">
        <v>121</v>
      </c>
      <c r="D9806" t="str">
        <f>HYPERLINK("https://us2.cloudbeds.com/connect/10074733072513#/reservations/31693431783590?display=Bryndon%20Wentz&amp;reservation_id=31693431783590&amp;guest_id=31693419663493", "Bryndon Wentz")</f>
        <v>Bryndon Wentz</v>
      </c>
      <c r="E9806" t="s">
        <v>8468</v>
      </c>
      <c r="F9806" t="s">
        <v>8430</v>
      </c>
      <c r="G9806">
        <v>119</v>
      </c>
      <c r="H9806">
        <v>129.36000000000001</v>
      </c>
      <c r="I9806">
        <v>129.35</v>
      </c>
      <c r="J9806">
        <v>0.01</v>
      </c>
    </row>
    <row r="9807" spans="1:10" x14ac:dyDescent="0.3">
      <c r="A9807" t="str">
        <f>HYPERLINK("https://us2.cloudbeds.com/connect/10074733072513#/reservations/31688157475033?display=MHHHSZG83&amp;reservation_id=31688157475033", "MHHHSZG83")</f>
        <v>MHHHSZG83</v>
      </c>
      <c r="B9807" t="s">
        <v>10</v>
      </c>
      <c r="C9807" t="s">
        <v>42</v>
      </c>
      <c r="D9807" t="str">
        <f>HYPERLINK("https://us2.cloudbeds.com/connect/10074733072513#/reservations/31688157475033?display=Zachary%20Johnson&amp;reservation_id=31688157475033&amp;guest_id=31688144294023", "Zachary Johnson")</f>
        <v>Zachary Johnson</v>
      </c>
      <c r="E9807" t="s">
        <v>8222</v>
      </c>
      <c r="F9807" t="s">
        <v>8434</v>
      </c>
      <c r="G9807">
        <v>73</v>
      </c>
      <c r="H9807">
        <v>79.36</v>
      </c>
      <c r="I9807">
        <v>79.349999999999994</v>
      </c>
      <c r="J9807">
        <v>0.01</v>
      </c>
    </row>
    <row r="9808" spans="1:10" x14ac:dyDescent="0.3">
      <c r="A9808" t="str">
        <f>HYPERLINK("https://us2.cloudbeds.com/connect/10074733072513#/reservations/31690086363325?display=MHJ157YHF&amp;reservation_id=31690086363325", "MHJ157YHF")</f>
        <v>MHJ157YHF</v>
      </c>
      <c r="B9808" t="s">
        <v>10</v>
      </c>
      <c r="C9808" t="s">
        <v>42</v>
      </c>
      <c r="D9808" t="str">
        <f>HYPERLINK("https://us2.cloudbeds.com/connect/10074733072513#/reservations/31690086363325?display=Danica%20Plonka&amp;reservation_id=31690086363325&amp;guest_id=31690086363323", "Danica Plonka")</f>
        <v>Danica Plonka</v>
      </c>
      <c r="E9808" t="s">
        <v>8467</v>
      </c>
      <c r="F9808" t="s">
        <v>8347</v>
      </c>
      <c r="G9808">
        <v>129</v>
      </c>
      <c r="H9808">
        <v>140.22999999999999</v>
      </c>
      <c r="I9808">
        <v>140.22</v>
      </c>
      <c r="J9808">
        <v>0.01</v>
      </c>
    </row>
    <row r="9809" spans="1:10" x14ac:dyDescent="0.3">
      <c r="A9809" t="str">
        <f>HYPERLINK("https://us2.cloudbeds.com/connect/10074733072513#/reservations/31695472832706?display=MHN6Q83DB&amp;reservation_id=31695472832706", "MHN6Q83DB")</f>
        <v>MHN6Q83DB</v>
      </c>
      <c r="B9809" t="s">
        <v>10</v>
      </c>
      <c r="C9809" t="s">
        <v>17</v>
      </c>
      <c r="D9809" t="str">
        <f>HYPERLINK("https://us2.cloudbeds.com/connect/10074733072513#/reservations/31695472832706?display=Brandi%20Haaven&amp;reservation_id=31695472832706&amp;guest_id=31687976263853", "Brandi Haaven")</f>
        <v>Brandi Haaven</v>
      </c>
      <c r="E9809" t="s">
        <v>8031</v>
      </c>
      <c r="F9809" t="s">
        <v>8434</v>
      </c>
      <c r="G9809">
        <v>119</v>
      </c>
      <c r="H9809">
        <v>129.36000000000001</v>
      </c>
      <c r="I9809">
        <v>129.35</v>
      </c>
      <c r="J9809">
        <v>0.01</v>
      </c>
    </row>
    <row r="9810" spans="1:10" x14ac:dyDescent="0.3">
      <c r="A9810" t="str">
        <f>HYPERLINK("https://us2.cloudbeds.com/connect/10074733072513#/reservations/31690832445654?display=MHJK7BG8T&amp;reservation_id=31690832445654", "MHJK7BG8T")</f>
        <v>MHJK7BG8T</v>
      </c>
      <c r="B9810" t="s">
        <v>10</v>
      </c>
      <c r="C9810" t="s">
        <v>17</v>
      </c>
      <c r="D9810" t="str">
        <f>HYPERLINK("https://us2.cloudbeds.com/connect/10074733072513#/reservations/31690832445654?display=Dustin%20Thorson&amp;reservation_id=31690832445654&amp;guest_id=31690832441558", "Dustin Thorson")</f>
        <v>Dustin Thorson</v>
      </c>
      <c r="E9810" t="s">
        <v>8471</v>
      </c>
      <c r="F9810" t="s">
        <v>8436</v>
      </c>
      <c r="G9810">
        <v>159</v>
      </c>
      <c r="H9810">
        <v>172.84</v>
      </c>
      <c r="I9810">
        <v>172.83</v>
      </c>
      <c r="J9810">
        <v>0.01</v>
      </c>
    </row>
    <row r="9811" spans="1:10" x14ac:dyDescent="0.3">
      <c r="A9811" t="str">
        <f>HYPERLINK("https://us2.cloudbeds.com/connect/10074733072513#/reservations/31694844330188?display=MHMNZ933G&amp;reservation_id=31694844330188", "MHMNZ933G")</f>
        <v>MHMNZ933G</v>
      </c>
      <c r="B9811" t="s">
        <v>10</v>
      </c>
      <c r="C9811" t="s">
        <v>42</v>
      </c>
      <c r="D9811" t="str">
        <f>HYPERLINK("https://us2.cloudbeds.com/connect/10074733072513#/reservations/31694844330188?display=Eric%20Tutt&amp;reservation_id=31694844330188&amp;guest_id=31694844326087", "Eric Tutt")</f>
        <v>Eric Tutt</v>
      </c>
      <c r="E9811" t="s">
        <v>8473</v>
      </c>
      <c r="F9811" t="s">
        <v>8338</v>
      </c>
      <c r="G9811">
        <v>298</v>
      </c>
      <c r="H9811">
        <v>323.94</v>
      </c>
      <c r="I9811">
        <v>323.93</v>
      </c>
      <c r="J9811">
        <v>0.01</v>
      </c>
    </row>
    <row r="9812" spans="1:10" x14ac:dyDescent="0.3">
      <c r="A9812" t="str">
        <f>HYPERLINK("https://us2.cloudbeds.com/connect/10074733072513#/reservations/31688226439390?display=MHHJKTHD3&amp;reservation_id=31688226439390", "MHHJKTHD3")</f>
        <v>MHHJKTHD3</v>
      </c>
      <c r="B9812" t="s">
        <v>10</v>
      </c>
      <c r="C9812" t="s">
        <v>42</v>
      </c>
      <c r="D9812" t="str">
        <f>HYPERLINK("https://us2.cloudbeds.com/connect/10074733072513#/reservations/31688226439390?display=Patrick%20Gustin&amp;reservation_id=31688226439390&amp;guest_id=31688215707842", "Patrick Gustin")</f>
        <v>Patrick Gustin</v>
      </c>
      <c r="E9812" t="s">
        <v>7685</v>
      </c>
      <c r="F9812" t="s">
        <v>8434</v>
      </c>
      <c r="G9812">
        <v>109</v>
      </c>
      <c r="H9812">
        <v>118.49</v>
      </c>
      <c r="I9812">
        <v>118.48</v>
      </c>
      <c r="J9812">
        <v>0.01</v>
      </c>
    </row>
    <row r="9813" spans="1:10" x14ac:dyDescent="0.3">
      <c r="A9813" t="str">
        <f>HYPERLINK("https://us2.cloudbeds.com/connect/10074733072513#/reservations/31689280655596?display=MHXDXRYBZ&amp;reservation_id=31689280655596", "MHXDXRYBZ")</f>
        <v>MHXDXRYBZ</v>
      </c>
      <c r="B9813" t="s">
        <v>10</v>
      </c>
      <c r="C9813" t="s">
        <v>42</v>
      </c>
      <c r="D9813" t="str">
        <f>HYPERLINK("https://us2.cloudbeds.com/connect/10074733072513#/reservations/31689280655596?display=Andrew%20Pierce&amp;reservation_id=31689280655596&amp;guest_id=31688520413432", "Andrew Pierce")</f>
        <v>Andrew Pierce</v>
      </c>
      <c r="E9813" t="s">
        <v>7935</v>
      </c>
      <c r="F9813" t="s">
        <v>7815</v>
      </c>
      <c r="G9813">
        <v>218</v>
      </c>
      <c r="H9813">
        <v>236.98</v>
      </c>
      <c r="I9813">
        <v>236.97</v>
      </c>
      <c r="J9813">
        <v>0.01</v>
      </c>
    </row>
    <row r="9814" spans="1:10" x14ac:dyDescent="0.3">
      <c r="A9814" t="str">
        <f>HYPERLINK("https://us2.cloudbeds.com/connect/10074733072513#/reservations/31695317418230?display=MHN2R6FCP&amp;reservation_id=31695317418230", "MHN2R6FCP")</f>
        <v>MHN2R6FCP</v>
      </c>
      <c r="B9814" t="s">
        <v>10</v>
      </c>
      <c r="C9814" t="s">
        <v>42</v>
      </c>
      <c r="D9814" t="str">
        <f>HYPERLINK("https://us2.cloudbeds.com/connect/10074733072513#/reservations/31695317418230?display=Lisa%20Gray&amp;reservation_id=31695317418230&amp;guest_id=31695317418213", "Lisa Gray")</f>
        <v>Lisa Gray</v>
      </c>
      <c r="E9814" t="s">
        <v>8474</v>
      </c>
      <c r="F9814" t="s">
        <v>6604</v>
      </c>
      <c r="G9814">
        <v>258</v>
      </c>
      <c r="H9814">
        <v>280.45999999999998</v>
      </c>
      <c r="I9814">
        <v>280.45</v>
      </c>
      <c r="J9814">
        <v>0.01</v>
      </c>
    </row>
    <row r="9815" spans="1:10" x14ac:dyDescent="0.3">
      <c r="A9815" t="str">
        <f>HYPERLINK("https://us2.cloudbeds.com/connect/10074733072513#/reservations/31688667295905?display=MHHUTY0AE&amp;reservation_id=31688667295905", "MHHUTY0AE")</f>
        <v>MHHUTY0AE</v>
      </c>
      <c r="B9815" t="s">
        <v>10</v>
      </c>
      <c r="C9815" t="s">
        <v>42</v>
      </c>
      <c r="D9815" t="str">
        <f>HYPERLINK("https://us2.cloudbeds.com/connect/10074733072513#/reservations/31688667295905?display=Chris%20Engeseth&amp;reservation_id=31688667295905&amp;guest_id=31688667291804", "Chris Engeseth")</f>
        <v>Chris Engeseth</v>
      </c>
      <c r="E9815" t="s">
        <v>8362</v>
      </c>
      <c r="F9815" t="s">
        <v>7815</v>
      </c>
      <c r="G9815">
        <v>99</v>
      </c>
      <c r="H9815">
        <v>107.62</v>
      </c>
      <c r="I9815">
        <v>107.61</v>
      </c>
      <c r="J9815">
        <v>0.01</v>
      </c>
    </row>
    <row r="9816" spans="1:10" x14ac:dyDescent="0.3">
      <c r="A9816" t="str">
        <f>HYPERLINK("https://us2.cloudbeds.com/connect/10074733072513#/reservations/31689819410624?display=MHXRB466G&amp;reservation_id=31689819410624", "MHXRB466G")</f>
        <v>MHXRB466G</v>
      </c>
      <c r="B9816" t="s">
        <v>10</v>
      </c>
      <c r="C9816" t="s">
        <v>42</v>
      </c>
      <c r="D9816" t="str">
        <f>HYPERLINK("https://us2.cloudbeds.com/connect/10074733072513#/reservations/31689819410624?display=Mark%20Johnson&amp;reservation_id=31689819410624&amp;guest_id=31689819406530", "Mark Johnson")</f>
        <v>Mark Johnson</v>
      </c>
      <c r="E9816" t="s">
        <v>8475</v>
      </c>
      <c r="F9816" t="s">
        <v>8347</v>
      </c>
      <c r="G9816">
        <v>298</v>
      </c>
      <c r="H9816">
        <v>323.94</v>
      </c>
      <c r="I9816">
        <v>323.93</v>
      </c>
      <c r="J9816">
        <v>0.01</v>
      </c>
    </row>
    <row r="9817" spans="1:10" x14ac:dyDescent="0.3">
      <c r="A9817" t="str">
        <f>HYPERLINK("https://us2.cloudbeds.com/connect/10074733072513#/reservations/31695840174315?display=MHNG5WUH8&amp;reservation_id=31695840174315", "MHNG5WUH8")</f>
        <v>MHNG5WUH8</v>
      </c>
      <c r="B9817" t="s">
        <v>10</v>
      </c>
      <c r="C9817" t="s">
        <v>42</v>
      </c>
      <c r="D9817" t="str">
        <f>HYPERLINK("https://us2.cloudbeds.com/connect/10074733072513#/reservations/31695840174315?display=Lisa%20Gray&amp;reservation_id=31695840174315&amp;guest_id=31695840174310", "Lisa Gray")</f>
        <v>Lisa Gray</v>
      </c>
      <c r="E9817" t="s">
        <v>8476</v>
      </c>
      <c r="F9817" t="s">
        <v>6604</v>
      </c>
      <c r="G9817">
        <v>258</v>
      </c>
      <c r="H9817">
        <v>280.45999999999998</v>
      </c>
      <c r="I9817">
        <v>280.45</v>
      </c>
      <c r="J9817">
        <v>0.01</v>
      </c>
    </row>
    <row r="9818" spans="1:10" x14ac:dyDescent="0.3">
      <c r="A9818" t="str">
        <f>HYPERLINK("https://us2.cloudbeds.com/connect/10074733072513#/reservations/31691186483353?display=MHJT8T3ZW&amp;reservation_id=31691186483353", "MHJT8T3ZW")</f>
        <v>MHJT8T3ZW</v>
      </c>
      <c r="B9818" t="s">
        <v>10</v>
      </c>
      <c r="C9818" t="s">
        <v>14</v>
      </c>
      <c r="D9818" t="str">
        <f>HYPERLINK("https://us2.cloudbeds.com/connect/10074733072513#/reservations/31691186483353?display=Jamie%20Geiger&amp;reservation_id=31691186483353&amp;guest_id=31691177070793", "Jamie Geiger")</f>
        <v>Jamie Geiger</v>
      </c>
      <c r="E9818" t="s">
        <v>8477</v>
      </c>
      <c r="F9818" t="s">
        <v>8470</v>
      </c>
      <c r="G9818">
        <v>109</v>
      </c>
      <c r="H9818">
        <v>118.49</v>
      </c>
      <c r="I9818">
        <v>118.48</v>
      </c>
      <c r="J9818">
        <v>0.01</v>
      </c>
    </row>
    <row r="9819" spans="1:10" x14ac:dyDescent="0.3">
      <c r="A9819" t="str">
        <f>HYPERLINK("https://us2.cloudbeds.com/connect/10074733072513#/reservations/31690784669914?display=MHJJ02226&amp;reservation_id=31690784669914", "MHJJ02226")</f>
        <v>MHJJ02226</v>
      </c>
      <c r="B9819" t="s">
        <v>10</v>
      </c>
      <c r="C9819" t="s">
        <v>14</v>
      </c>
      <c r="D9819" t="str">
        <f>HYPERLINK("https://us2.cloudbeds.com/connect/10074733072513#/reservations/31690784669914?display=Jason%20Howard&amp;reservation_id=31690784669914&amp;guest_id=31690784669912", "Jason Howard")</f>
        <v>Jason Howard</v>
      </c>
      <c r="E9819" t="s">
        <v>8478</v>
      </c>
      <c r="F9819" t="s">
        <v>8436</v>
      </c>
      <c r="G9819">
        <v>110.86</v>
      </c>
      <c r="H9819">
        <v>120.51</v>
      </c>
      <c r="I9819">
        <v>120.5</v>
      </c>
      <c r="J9819">
        <v>0.01</v>
      </c>
    </row>
    <row r="9820" spans="1:10" x14ac:dyDescent="0.3">
      <c r="A9820" t="str">
        <f>HYPERLINK("https://us2.cloudbeds.com/connect/10074733072513#/reservations/31688896467072?display=MHX3XQYW6&amp;reservation_id=31688896467072", "MHX3XQYW6")</f>
        <v>MHX3XQYW6</v>
      </c>
      <c r="B9820" t="s">
        <v>10</v>
      </c>
      <c r="C9820" t="s">
        <v>42</v>
      </c>
      <c r="D9820" t="str">
        <f>HYPERLINK("https://us2.cloudbeds.com/connect/10074733072513#/reservations/31688896467072?display=Paul%20Stevenson&amp;reservation_id=31688896467072&amp;guest_id=31679659221242", "Paul Stevenson")</f>
        <v>Paul Stevenson</v>
      </c>
      <c r="E9820" t="s">
        <v>6445</v>
      </c>
      <c r="F9820" t="s">
        <v>7815</v>
      </c>
      <c r="G9820">
        <v>150</v>
      </c>
      <c r="H9820">
        <v>163.06</v>
      </c>
      <c r="I9820">
        <v>163.05000000000001</v>
      </c>
      <c r="J9820">
        <v>0.01</v>
      </c>
    </row>
    <row r="9821" spans="1:10" x14ac:dyDescent="0.3">
      <c r="A9821" t="str">
        <f>HYPERLINK("https://us2.cloudbeds.com/connect/10074733072513#/reservations/31689364914333?display=MHXFNT8UQ&amp;reservation_id=31689364914333", "MHXFNT8UQ")</f>
        <v>MHXFNT8UQ</v>
      </c>
      <c r="B9821" t="s">
        <v>10</v>
      </c>
      <c r="C9821" t="s">
        <v>20</v>
      </c>
      <c r="D9821" t="str">
        <f>HYPERLINK("https://us2.cloudbeds.com/connect/10074733072513#/reservations/31689364914333?display=Debra%20State&amp;reservation_id=31689364914333&amp;guest_id=31689364914330", "Debra State")</f>
        <v>Debra State</v>
      </c>
      <c r="E9821" t="s">
        <v>8481</v>
      </c>
      <c r="F9821" t="s">
        <v>8432</v>
      </c>
      <c r="G9821">
        <v>119</v>
      </c>
      <c r="H9821">
        <v>129.36000000000001</v>
      </c>
      <c r="I9821">
        <v>129.35</v>
      </c>
      <c r="J9821">
        <v>0.01</v>
      </c>
    </row>
    <row r="9822" spans="1:10" x14ac:dyDescent="0.3">
      <c r="A9822" t="str">
        <f>HYPERLINK("https://us2.cloudbeds.com/connect/10074733072513#/reservations/31693700739266?display=MHYRGVWN4&amp;reservation_id=31693700739266", "MHYRGVWN4")</f>
        <v>MHYRGVWN4</v>
      </c>
      <c r="B9822" t="s">
        <v>10</v>
      </c>
      <c r="C9822" t="s">
        <v>42</v>
      </c>
      <c r="D9822" t="str">
        <f>HYPERLINK("https://us2.cloudbeds.com/connect/10074733072513#/reservations/31693700739266?display=Paul%20Gerber&amp;reservation_id=31693700739266&amp;guest_id=31689904423090", "Paul Gerber")</f>
        <v>Paul Gerber</v>
      </c>
      <c r="E9822" t="s">
        <v>7667</v>
      </c>
      <c r="F9822" t="s">
        <v>8482</v>
      </c>
      <c r="G9822">
        <v>150</v>
      </c>
      <c r="H9822">
        <v>163.06</v>
      </c>
      <c r="I9822">
        <v>163.05000000000001</v>
      </c>
      <c r="J9822">
        <v>0.01</v>
      </c>
    </row>
    <row r="9823" spans="1:10" x14ac:dyDescent="0.3">
      <c r="A9823" t="str">
        <f>HYPERLINK("https://us2.cloudbeds.com/connect/10074733072513#/reservations/31690572333267?display=MHJDJ0FUB&amp;reservation_id=31690572333267", "MHJDJ0FUB")</f>
        <v>MHJDJ0FUB</v>
      </c>
      <c r="B9823" t="s">
        <v>10</v>
      </c>
      <c r="C9823" t="s">
        <v>42</v>
      </c>
      <c r="D9823" t="str">
        <f>HYPERLINK("https://us2.cloudbeds.com/connect/10074733072513#/reservations/31690572333267?display=Nicholas%20John%20Honetschlager&amp;reservation_id=31690572333267&amp;guest_id=31690572333262", "Nicholas John Honetschlager")</f>
        <v>Nicholas John Honetschlager</v>
      </c>
      <c r="E9823" t="s">
        <v>8486</v>
      </c>
      <c r="F9823" t="s">
        <v>8263</v>
      </c>
      <c r="G9823">
        <v>298</v>
      </c>
      <c r="H9823">
        <v>323.94</v>
      </c>
      <c r="I9823">
        <v>323.93</v>
      </c>
      <c r="J9823">
        <v>0.01</v>
      </c>
    </row>
    <row r="9824" spans="1:10" x14ac:dyDescent="0.3">
      <c r="A9824" t="str">
        <f>HYPERLINK("https://us2.cloudbeds.com/connect/10074733072513#/reservations/31689801203965?display=MHXQSPM6Z&amp;reservation_id=31689801203965", "MHXQSPM6Z")</f>
        <v>MHXQSPM6Z</v>
      </c>
      <c r="B9824" t="s">
        <v>10</v>
      </c>
      <c r="C9824" t="s">
        <v>42</v>
      </c>
      <c r="D9824" t="str">
        <f>HYPERLINK("https://us2.cloudbeds.com/connect/10074733072513#/reservations/31689801203965?display=Joyce%20Fortin&amp;reservation_id=31689801203965&amp;guest_id=31685161160902", "Joyce Fortin")</f>
        <v>Joyce Fortin</v>
      </c>
      <c r="E9824" t="s">
        <v>8487</v>
      </c>
      <c r="F9824" t="s">
        <v>8347</v>
      </c>
      <c r="G9824">
        <v>119</v>
      </c>
      <c r="H9824">
        <v>129.36000000000001</v>
      </c>
      <c r="I9824">
        <v>129.35</v>
      </c>
      <c r="J9824">
        <v>0.01</v>
      </c>
    </row>
    <row r="9825" spans="1:10" x14ac:dyDescent="0.3">
      <c r="A9825" t="str">
        <f>HYPERLINK("https://us2.cloudbeds.com/connect/10074733072513#/reservations/31688905662668?display=MHX3WKU7M&amp;reservation_id=31688905662668", "MHX3WKU7M")</f>
        <v>MHX3WKU7M</v>
      </c>
      <c r="B9825" t="s">
        <v>10</v>
      </c>
      <c r="C9825" t="s">
        <v>23</v>
      </c>
      <c r="D9825" t="str">
        <f>HYPERLINK("https://us2.cloudbeds.com/connect/10074733072513#/reservations/31688905662668?display=Kris%20Jones&amp;reservation_id=31688905662668&amp;guest_id=31688896471168", "Kris Jones")</f>
        <v>Kris Jones</v>
      </c>
      <c r="E9825" t="s">
        <v>8488</v>
      </c>
      <c r="F9825" t="s">
        <v>7815</v>
      </c>
      <c r="G9825">
        <v>129</v>
      </c>
      <c r="H9825">
        <v>140.22999999999999</v>
      </c>
      <c r="I9825">
        <v>140.22</v>
      </c>
      <c r="J9825">
        <v>0.01</v>
      </c>
    </row>
    <row r="9826" spans="1:10" x14ac:dyDescent="0.3">
      <c r="A9826" t="str">
        <f>HYPERLINK("https://us2.cloudbeds.com/connect/10074733072513#/reservations/31731865854135?display=MXXCNQXSH&amp;reservation_id=31731865854135", "MXXCNQXSH")</f>
        <v>MXXCNQXSH</v>
      </c>
      <c r="B9826" t="s">
        <v>10</v>
      </c>
      <c r="C9826" t="s">
        <v>42</v>
      </c>
      <c r="D9826" t="str">
        <f>HYPERLINK("https://us2.cloudbeds.com/connect/10074733072513#/reservations/31731865854135?display=Karen%20Boden&amp;reservation_id=31731865854135&amp;guest_id=31731865854080", "Karen Boden")</f>
        <v>Karen Boden</v>
      </c>
      <c r="E9826" t="s">
        <v>8489</v>
      </c>
      <c r="F9826" t="s">
        <v>7203</v>
      </c>
      <c r="G9826">
        <v>318</v>
      </c>
      <c r="H9826">
        <v>345.68</v>
      </c>
      <c r="I9826">
        <v>345.67</v>
      </c>
      <c r="J9826">
        <v>0.01</v>
      </c>
    </row>
    <row r="9827" spans="1:10" x14ac:dyDescent="0.3">
      <c r="A9827" t="str">
        <f>HYPERLINK("https://us2.cloudbeds.com/connect/10074733072513#/reservations/31734064967907?display=MXK2U552Q&amp;reservation_id=31734064967907", "MXK2U552Q")</f>
        <v>MXK2U552Q</v>
      </c>
      <c r="B9827" t="s">
        <v>10</v>
      </c>
      <c r="C9827" t="s">
        <v>42</v>
      </c>
      <c r="D9827" t="str">
        <f>HYPERLINK("https://us2.cloudbeds.com/connect/10074733072513#/reservations/31734064967907?display=Karen%20Boden&amp;reservation_id=31734064967907&amp;guest_id=31731865854080", "Karen Boden")</f>
        <v>Karen Boden</v>
      </c>
      <c r="E9827" t="s">
        <v>8489</v>
      </c>
      <c r="F9827" t="s">
        <v>7203</v>
      </c>
      <c r="G9827">
        <v>318</v>
      </c>
      <c r="H9827">
        <v>345.68</v>
      </c>
      <c r="I9827">
        <v>345.67</v>
      </c>
      <c r="J9827">
        <v>0.01</v>
      </c>
    </row>
    <row r="9828" spans="1:10" x14ac:dyDescent="0.3">
      <c r="A9828" t="str">
        <f>HYPERLINK("https://us2.cloudbeds.com/connect/10074733072513#/reservations/31689353904329?display=MHXFEJTZA&amp;reservation_id=31689353904329", "MHXFEJTZA")</f>
        <v>MHXFEJTZA</v>
      </c>
      <c r="B9828" t="s">
        <v>10</v>
      </c>
      <c r="C9828" t="s">
        <v>42</v>
      </c>
      <c r="D9828" t="str">
        <f>HYPERLINK("https://us2.cloudbeds.com/connect/10074733072513#/reservations/31689353904329?display=Cory%20Glick&amp;reservation_id=31689353904329&amp;guest_id=31676961386701", "Cory Glick")</f>
        <v>Cory Glick</v>
      </c>
      <c r="E9828" t="s">
        <v>2769</v>
      </c>
      <c r="F9828" t="s">
        <v>8432</v>
      </c>
      <c r="G9828">
        <v>139</v>
      </c>
      <c r="H9828">
        <v>151.1</v>
      </c>
      <c r="I9828">
        <v>151.09</v>
      </c>
      <c r="J9828">
        <v>0.01</v>
      </c>
    </row>
    <row r="9829" spans="1:10" x14ac:dyDescent="0.3">
      <c r="A9829" t="str">
        <f>HYPERLINK("https://us2.cloudbeds.com/connect/10074733072513#/reservations/31690531983604?display=MHJCHWMT9&amp;reservation_id=31690531983604", "MHJCHWMT9")</f>
        <v>MHJCHWMT9</v>
      </c>
      <c r="B9829" t="s">
        <v>10</v>
      </c>
      <c r="C9829" t="s">
        <v>42</v>
      </c>
      <c r="D9829" t="str">
        <f>HYPERLINK("https://us2.cloudbeds.com/connect/10074733072513#/reservations/31690531983604?display=Alyssa%20Carlomusto&amp;reservation_id=31690531983604&amp;guest_id=31690531983602", "Alyssa Carlomusto")</f>
        <v>Alyssa Carlomusto</v>
      </c>
      <c r="E9829" t="s">
        <v>8445</v>
      </c>
      <c r="F9829" t="s">
        <v>8432</v>
      </c>
      <c r="G9829">
        <v>109</v>
      </c>
      <c r="H9829">
        <v>118.49</v>
      </c>
      <c r="I9829">
        <v>118.48</v>
      </c>
      <c r="J9829">
        <v>0.01</v>
      </c>
    </row>
    <row r="9830" spans="1:10" x14ac:dyDescent="0.3">
      <c r="A9830" t="str">
        <f>HYPERLINK("https://us2.cloudbeds.com/connect/10074733072513#/reservations/31690070925467?display=MHJ0P72BJ&amp;reservation_id=31690070925467", "MHJ0P72BJ")</f>
        <v>MHJ0P72BJ</v>
      </c>
      <c r="B9830" t="s">
        <v>10</v>
      </c>
      <c r="C9830" t="s">
        <v>42</v>
      </c>
      <c r="D9830" t="str">
        <f>HYPERLINK("https://us2.cloudbeds.com/connect/10074733072513#/reservations/31690070925467?display=Richard%20Smith&amp;reservation_id=31690070925467&amp;guest_id=31673662464159", "Richard Smith")</f>
        <v>Richard Smith</v>
      </c>
      <c r="E9830" t="s">
        <v>8492</v>
      </c>
      <c r="F9830" t="s">
        <v>8347</v>
      </c>
      <c r="G9830">
        <v>252</v>
      </c>
      <c r="H9830">
        <v>273.93</v>
      </c>
      <c r="I9830">
        <v>273.92</v>
      </c>
      <c r="J9830">
        <v>0.01</v>
      </c>
    </row>
    <row r="9831" spans="1:10" x14ac:dyDescent="0.3">
      <c r="A9831" t="str">
        <f>HYPERLINK("https://us2.cloudbeds.com/connect/10074733072513#/reservations/31689339543693?display=MHXF2G9ZH&amp;reservation_id=31689339543693", "MHXF2G9ZH")</f>
        <v>MHXF2G9ZH</v>
      </c>
      <c r="B9831" t="s">
        <v>10</v>
      </c>
      <c r="C9831" t="s">
        <v>121</v>
      </c>
      <c r="D9831" t="str">
        <f>HYPERLINK("https://us2.cloudbeds.com/connect/10074733072513#/reservations/31689339543693?display=Fernando%20Villalpando&amp;reservation_id=31689339543693&amp;guest_id=31689339543691", "Fernando Villalpando")</f>
        <v>Fernando Villalpando</v>
      </c>
      <c r="E9831" t="s">
        <v>8493</v>
      </c>
      <c r="F9831" t="s">
        <v>7815</v>
      </c>
      <c r="G9831">
        <v>119</v>
      </c>
      <c r="H9831">
        <v>129.36000000000001</v>
      </c>
      <c r="I9831">
        <v>129.35</v>
      </c>
      <c r="J9831">
        <v>0.01</v>
      </c>
    </row>
    <row r="9832" spans="1:10" x14ac:dyDescent="0.3">
      <c r="A9832" t="str">
        <f>HYPERLINK("https://us2.cloudbeds.com/connect/10074733072513#/reservations/31693046517961?display=MHYAQAAH3&amp;reservation_id=31693046517961", "MHYAQAAH3")</f>
        <v>MHYAQAAH3</v>
      </c>
      <c r="B9832" t="s">
        <v>10</v>
      </c>
      <c r="C9832" t="s">
        <v>42</v>
      </c>
      <c r="D9832" t="str">
        <f>HYPERLINK("https://us2.cloudbeds.com/connect/10074733072513#/reservations/31693046517961?display=Adam%20Kleinschmidt&amp;reservation_id=31693046517961&amp;guest_id=31693046517959", "Adam Kleinschmidt")</f>
        <v>Adam Kleinschmidt</v>
      </c>
      <c r="E9832" t="s">
        <v>8495</v>
      </c>
      <c r="F9832" t="s">
        <v>8102</v>
      </c>
      <c r="G9832">
        <v>358</v>
      </c>
      <c r="H9832">
        <v>389.16</v>
      </c>
      <c r="I9832">
        <v>389.15</v>
      </c>
      <c r="J9832">
        <v>0.01</v>
      </c>
    </row>
    <row r="9833" spans="1:10" x14ac:dyDescent="0.3">
      <c r="A9833" t="str">
        <f>HYPERLINK("https://us2.cloudbeds.com/connect/10074733072513#/reservations/31688563613890?display=MHHS86TS5&amp;reservation_id=31688563613890", "MHHS86TS5")</f>
        <v>MHHS86TS5</v>
      </c>
      <c r="B9833" t="s">
        <v>10</v>
      </c>
      <c r="C9833" t="s">
        <v>42</v>
      </c>
      <c r="D9833" t="str">
        <f>HYPERLINK("https://us2.cloudbeds.com/connect/10074733072513#/reservations/31688563613890?display=Dave%20Mccandless&amp;reservation_id=31688563613890&amp;guest_id=31677327991015", "Dave Mccandless")</f>
        <v>Dave Mccandless</v>
      </c>
      <c r="E9833" t="s">
        <v>6185</v>
      </c>
      <c r="F9833" t="s">
        <v>8496</v>
      </c>
      <c r="G9833">
        <v>89</v>
      </c>
      <c r="H9833">
        <v>96.75</v>
      </c>
      <c r="I9833">
        <v>96.74</v>
      </c>
      <c r="J9833">
        <v>0.01</v>
      </c>
    </row>
    <row r="9834" spans="1:10" x14ac:dyDescent="0.3">
      <c r="A9834" t="str">
        <f>HYPERLINK("https://us2.cloudbeds.com/connect/10074733072513#/reservations/31688571658389?display=MHHSEWZTT&amp;reservation_id=31688571658389", "MHHSEWZTT")</f>
        <v>MHHSEWZTT</v>
      </c>
      <c r="B9834" t="s">
        <v>10</v>
      </c>
      <c r="C9834" t="s">
        <v>42</v>
      </c>
      <c r="D9834" t="str">
        <f>HYPERLINK("https://us2.cloudbeds.com/connect/10074733072513#/reservations/31688571658389?display=Denis%20Roberts&amp;reservation_id=31688571658389&amp;guest_id=31688563617987", "Denis Roberts")</f>
        <v>Denis Roberts</v>
      </c>
      <c r="E9834" t="s">
        <v>6185</v>
      </c>
      <c r="F9834" t="s">
        <v>8496</v>
      </c>
      <c r="G9834">
        <v>89</v>
      </c>
      <c r="H9834">
        <v>96.75</v>
      </c>
      <c r="I9834">
        <v>96.74</v>
      </c>
      <c r="J9834">
        <v>0.01</v>
      </c>
    </row>
    <row r="9835" spans="1:10" x14ac:dyDescent="0.3">
      <c r="A9835" t="str">
        <f>HYPERLINK("https://us2.cloudbeds.com/connect/10074733072513#/reservations/31688585388243?display=MHHSQXQM2&amp;reservation_id=31688585388243", "MHHSQXQM2")</f>
        <v>MHHSQXQM2</v>
      </c>
      <c r="B9835" t="s">
        <v>10</v>
      </c>
      <c r="C9835" t="s">
        <v>42</v>
      </c>
      <c r="D9835" t="str">
        <f>HYPERLINK("https://us2.cloudbeds.com/connect/10074733072513#/reservations/31688585388243?display=Steve%20Walling&amp;reservation_id=31688585388243&amp;guest_id=30682045112563", "Steve Walling")</f>
        <v>Steve Walling</v>
      </c>
      <c r="E9835" t="s">
        <v>4038</v>
      </c>
      <c r="F9835" t="s">
        <v>8496</v>
      </c>
      <c r="G9835">
        <v>89</v>
      </c>
      <c r="H9835">
        <v>96.75</v>
      </c>
      <c r="I9835">
        <v>96.74</v>
      </c>
      <c r="J9835">
        <v>0.01</v>
      </c>
    </row>
    <row r="9836" spans="1:10" x14ac:dyDescent="0.3">
      <c r="A9836" t="str">
        <f>HYPERLINK("https://us2.cloudbeds.com/connect/10074733072513#/reservations/31693046522063?display=MHYAQAE9D&amp;reservation_id=31693046522063", "MHYAQAE9D")</f>
        <v>MHYAQAE9D</v>
      </c>
      <c r="B9836" t="s">
        <v>10</v>
      </c>
      <c r="C9836" t="s">
        <v>42</v>
      </c>
      <c r="D9836" t="str">
        <f>HYPERLINK("https://us2.cloudbeds.com/connect/10074733072513#/reservations/31693046522063?display=John%20Bourne&amp;reservation_id=31693046522063&amp;guest_id=31693046522060", "John Bourne")</f>
        <v>John Bourne</v>
      </c>
      <c r="E9836" t="s">
        <v>8497</v>
      </c>
      <c r="F9836" t="s">
        <v>8102</v>
      </c>
      <c r="G9836">
        <v>358</v>
      </c>
      <c r="H9836">
        <v>389.16</v>
      </c>
      <c r="I9836">
        <v>389.15</v>
      </c>
      <c r="J9836">
        <v>0.01</v>
      </c>
    </row>
    <row r="9837" spans="1:10" x14ac:dyDescent="0.3">
      <c r="A9837" t="str">
        <f>HYPERLINK("https://us2.cloudbeds.com/connect/10074733072513#/reservations/31691558686942?display=MHK5PZ7GY&amp;reservation_id=31691558686942", "MHK5PZ7GY")</f>
        <v>MHK5PZ7GY</v>
      </c>
      <c r="B9837" t="s">
        <v>10</v>
      </c>
      <c r="C9837" t="s">
        <v>42</v>
      </c>
      <c r="D9837" t="str">
        <f>HYPERLINK("https://us2.cloudbeds.com/connect/10074733072513#/reservations/31691558686942?display=Tina%20Flores&amp;reservation_id=31691558686942&amp;guest_id=31691558686940", "Tina Flores")</f>
        <v>Tina Flores</v>
      </c>
      <c r="E9837" t="s">
        <v>8498</v>
      </c>
      <c r="F9837" t="s">
        <v>6604</v>
      </c>
      <c r="G9837">
        <v>129</v>
      </c>
      <c r="H9837">
        <v>140.22999999999999</v>
      </c>
      <c r="I9837">
        <v>140.22</v>
      </c>
      <c r="J9837">
        <v>0.01</v>
      </c>
    </row>
    <row r="9838" spans="1:10" x14ac:dyDescent="0.3">
      <c r="A9838" t="str">
        <f>HYPERLINK("https://us2.cloudbeds.com/connect/10074733072513#/reservations/31695364411544?display=MHN40R43J&amp;reservation_id=31695364411544", "MHN40R43J")</f>
        <v>MHN40R43J</v>
      </c>
      <c r="B9838" t="s">
        <v>10</v>
      </c>
      <c r="C9838" t="s">
        <v>42</v>
      </c>
      <c r="D9838" t="str">
        <f>HYPERLINK("https://us2.cloudbeds.com/connect/10074733072513#/reservations/31695364411544?display=Tina%20Flores&amp;reservation_id=31695364411544&amp;guest_id=31695364407463", "Tina Flores")</f>
        <v>Tina Flores</v>
      </c>
      <c r="E9838" t="s">
        <v>8499</v>
      </c>
      <c r="F9838" t="s">
        <v>6604</v>
      </c>
      <c r="G9838">
        <v>129</v>
      </c>
      <c r="H9838">
        <v>140.22999999999999</v>
      </c>
      <c r="I9838">
        <v>140.22</v>
      </c>
      <c r="J9838">
        <v>0.01</v>
      </c>
    </row>
    <row r="9839" spans="1:10" x14ac:dyDescent="0.3">
      <c r="A9839" t="str">
        <f>HYPERLINK("https://us2.cloudbeds.com/connect/10074733072513#/reservations/31694786883795?display=MHMM8RXJN&amp;reservation_id=31694786883795", "MHMM8RXJN")</f>
        <v>MHMM8RXJN</v>
      </c>
      <c r="B9839" t="s">
        <v>10</v>
      </c>
      <c r="C9839" t="s">
        <v>121</v>
      </c>
      <c r="D9839" t="str">
        <f>HYPERLINK("https://us2.cloudbeds.com/connect/10074733072513#/reservations/31694786883795?display=Alyssa%20Carlomusto&amp;reservation_id=31694786883795&amp;guest_id=31690531983602", "Alyssa Carlomusto")</f>
        <v>Alyssa Carlomusto</v>
      </c>
      <c r="E9839" t="s">
        <v>8445</v>
      </c>
      <c r="F9839" t="s">
        <v>8338</v>
      </c>
      <c r="G9839">
        <v>422</v>
      </c>
      <c r="H9839">
        <v>458.72</v>
      </c>
      <c r="I9839">
        <v>458.71</v>
      </c>
      <c r="J9839">
        <v>0.01</v>
      </c>
    </row>
    <row r="9840" spans="1:10" x14ac:dyDescent="0.3">
      <c r="A9840" t="str">
        <f>HYPERLINK("https://us2.cloudbeds.com/connect/10074733072513#/reservations/31689364910236?display=MHXFNT55Y&amp;reservation_id=31689364910236", "MHXFNT55Y")</f>
        <v>MHXFNT55Y</v>
      </c>
      <c r="B9840" t="s">
        <v>10</v>
      </c>
      <c r="C9840" t="s">
        <v>121</v>
      </c>
      <c r="D9840" t="str">
        <f>HYPERLINK("https://us2.cloudbeds.com/connect/10074733072513#/reservations/31689364910236?display=James%20Johnson&amp;reservation_id=31689364910236&amp;guest_id=31686761554109", "James Johnson")</f>
        <v>James Johnson</v>
      </c>
      <c r="E9840" t="s">
        <v>8500</v>
      </c>
      <c r="F9840" t="s">
        <v>8432</v>
      </c>
      <c r="G9840">
        <v>119</v>
      </c>
      <c r="H9840">
        <v>129.36000000000001</v>
      </c>
      <c r="I9840">
        <v>129.35</v>
      </c>
      <c r="J9840">
        <v>0.01</v>
      </c>
    </row>
    <row r="9841" spans="1:10" x14ac:dyDescent="0.3">
      <c r="A9841" t="str">
        <f>HYPERLINK("https://us2.cloudbeds.com/connect/10074733072513#/reservations/31692182040775?display=MHKYNBVTZ&amp;reservation_id=31692182040775", "MHKYNBVTZ")</f>
        <v>MHKYNBVTZ</v>
      </c>
      <c r="B9841" t="s">
        <v>10</v>
      </c>
      <c r="C9841" t="s">
        <v>42</v>
      </c>
      <c r="D9841" t="str">
        <f>HYPERLINK("https://us2.cloudbeds.com/connect/10074733072513#/reservations/31692182040775?display=Hagan%20Messer&amp;reservation_id=31692182040775&amp;guest_id=31692182040770", "Hagan Messer")</f>
        <v>Hagan Messer</v>
      </c>
      <c r="E9841" t="s">
        <v>8501</v>
      </c>
      <c r="F9841" t="s">
        <v>8102</v>
      </c>
      <c r="G9841">
        <v>437</v>
      </c>
      <c r="H9841">
        <v>475.03</v>
      </c>
      <c r="I9841">
        <v>475.02</v>
      </c>
      <c r="J9841">
        <v>0.01</v>
      </c>
    </row>
    <row r="9842" spans="1:10" x14ac:dyDescent="0.3">
      <c r="A9842" t="str">
        <f>HYPERLINK("https://us2.cloudbeds.com/connect/10074733072513#/reservations/31730173956291?display=MXH2G50YT&amp;reservation_id=31730173956291", "MXH2G50YT")</f>
        <v>MXH2G50YT</v>
      </c>
      <c r="B9842" t="s">
        <v>10</v>
      </c>
      <c r="C9842" t="s">
        <v>17</v>
      </c>
      <c r="D9842" t="str">
        <f>HYPERLINK("https://us2.cloudbeds.com/connect/10074733072513#/reservations/31730173956291?display=Hunter%20Shanks&amp;reservation_id=31730173956291&amp;guest_id=31730163294390", "Hunter Shanks")</f>
        <v>Hunter Shanks</v>
      </c>
      <c r="E9842" t="s">
        <v>8503</v>
      </c>
      <c r="F9842" t="s">
        <v>6916</v>
      </c>
      <c r="G9842">
        <v>209</v>
      </c>
      <c r="H9842">
        <v>227.19</v>
      </c>
      <c r="I9842">
        <v>227.18</v>
      </c>
      <c r="J9842">
        <v>0.01</v>
      </c>
    </row>
    <row r="9843" spans="1:10" x14ac:dyDescent="0.3">
      <c r="A9843" t="str">
        <f>HYPERLINK("https://us2.cloudbeds.com/connect/10074733072513#/reservations/31695231828171?display=MHN0Y0Q9K&amp;reservation_id=31695231828171", "MHN0Y0Q9K")</f>
        <v>MHN0Y0Q9K</v>
      </c>
      <c r="B9843" t="s">
        <v>10</v>
      </c>
      <c r="C9843" t="s">
        <v>42</v>
      </c>
      <c r="D9843" t="str">
        <f>HYPERLINK("https://us2.cloudbeds.com/connect/10074733072513#/reservations/31695231828171?display=Whitney%20Pankonin&amp;reservation_id=31695231828171&amp;guest_id=31695231828168", "Whitney Pankonin")</f>
        <v>Whitney Pankonin</v>
      </c>
      <c r="E9843" t="s">
        <v>8504</v>
      </c>
      <c r="F9843" t="s">
        <v>6746</v>
      </c>
      <c r="G9843">
        <v>278</v>
      </c>
      <c r="H9843">
        <v>302.2</v>
      </c>
      <c r="I9843">
        <v>302.19</v>
      </c>
      <c r="J9843">
        <v>0.01</v>
      </c>
    </row>
    <row r="9844" spans="1:10" x14ac:dyDescent="0.3">
      <c r="A9844" t="str">
        <f>HYPERLINK("https://us2.cloudbeds.com/connect/10074733072513#/reservations/31691263156439?display=MHJV7HYKS&amp;reservation_id=31691263156439", "MHJV7HYKS")</f>
        <v>MHJV7HYKS</v>
      </c>
      <c r="B9844" t="s">
        <v>10</v>
      </c>
      <c r="C9844" t="s">
        <v>42</v>
      </c>
      <c r="D9844" t="str">
        <f>HYPERLINK("https://us2.cloudbeds.com/connect/10074733072513#/reservations/31691263156439?display=Marla%20Woessner&amp;reservation_id=31691263156439&amp;guest_id=31691263156437", "Marla Woessner")</f>
        <v>Marla Woessner</v>
      </c>
      <c r="E9844" t="s">
        <v>8505</v>
      </c>
      <c r="F9844" t="s">
        <v>8506</v>
      </c>
      <c r="G9844">
        <v>159</v>
      </c>
      <c r="H9844">
        <v>172.84</v>
      </c>
      <c r="I9844">
        <v>172.83</v>
      </c>
      <c r="J9844">
        <v>0.01</v>
      </c>
    </row>
    <row r="9845" spans="1:10" x14ac:dyDescent="0.3">
      <c r="A9845" t="str">
        <f>HYPERLINK("https://us2.cloudbeds.com/connect/10074733072513#/reservations/31689744621740?display=MHXPE267S&amp;reservation_id=31689744621740", "MHXPE267S")</f>
        <v>MHXPE267S</v>
      </c>
      <c r="B9845" t="s">
        <v>10</v>
      </c>
      <c r="C9845" t="s">
        <v>14</v>
      </c>
      <c r="D9845" t="str">
        <f>HYPERLINK("https://us2.cloudbeds.com/connect/10074733072513#/reservations/31689744621740?display=Tanner%20Robbins&amp;reservation_id=31689744621740&amp;guest_id=31689744621736", "Tanner Robbins")</f>
        <v>Tanner Robbins</v>
      </c>
      <c r="E9845" t="s">
        <v>8507</v>
      </c>
      <c r="F9845" t="s">
        <v>8263</v>
      </c>
      <c r="G9845">
        <v>119</v>
      </c>
      <c r="H9845">
        <v>129.36000000000001</v>
      </c>
      <c r="I9845">
        <v>129.35</v>
      </c>
      <c r="J9845">
        <v>0.01</v>
      </c>
    </row>
    <row r="9846" spans="1:10" x14ac:dyDescent="0.3">
      <c r="A9846" t="str">
        <f>HYPERLINK("https://us2.cloudbeds.com/connect/10074733072513#/reservations/31689785360584?display=MHXQFDQY9&amp;reservation_id=31689785360584", "MHXQFDQY9")</f>
        <v>MHXQFDQY9</v>
      </c>
      <c r="B9846" t="s">
        <v>10</v>
      </c>
      <c r="C9846" t="s">
        <v>23</v>
      </c>
      <c r="D9846" t="str">
        <f>HYPERLINK("https://us2.cloudbeds.com/connect/10074733072513#/reservations/31689785360584?display=Kristen%20Miner&amp;reservation_id=31689785360584&amp;guest_id=31689785360582", "Kristen Miner")</f>
        <v>Kristen Miner</v>
      </c>
      <c r="E9846" t="s">
        <v>8508</v>
      </c>
      <c r="F9846" t="s">
        <v>8347</v>
      </c>
      <c r="G9846">
        <v>149</v>
      </c>
      <c r="H9846">
        <v>161.97</v>
      </c>
      <c r="I9846">
        <v>161.96</v>
      </c>
      <c r="J9846">
        <v>0.01</v>
      </c>
    </row>
    <row r="9847" spans="1:10" x14ac:dyDescent="0.3">
      <c r="A9847" t="str">
        <f>HYPERLINK("https://us2.cloudbeds.com/connect/10074733072513#/reservations/31689751933122?display=MHXPK7Y2T&amp;reservation_id=31689751933122", "MHXPK7Y2T")</f>
        <v>MHXPK7Y2T</v>
      </c>
      <c r="B9847" t="s">
        <v>10</v>
      </c>
      <c r="C9847" t="s">
        <v>121</v>
      </c>
      <c r="D9847" t="str">
        <f>HYPERLINK("https://us2.cloudbeds.com/connect/10074733072513#/reservations/31689751933122?display=Vasiliy%20Pilat&amp;reservation_id=31689751933122&amp;guest_id=31689751929086", "Vasiliy Pilat")</f>
        <v>Vasiliy Pilat</v>
      </c>
      <c r="E9847" t="s">
        <v>8509</v>
      </c>
      <c r="F9847" t="s">
        <v>8263</v>
      </c>
      <c r="G9847">
        <v>129</v>
      </c>
      <c r="H9847">
        <v>140.22999999999999</v>
      </c>
      <c r="I9847">
        <v>140.22</v>
      </c>
      <c r="J9847">
        <v>0.01</v>
      </c>
    </row>
    <row r="9848" spans="1:10" x14ac:dyDescent="0.3">
      <c r="A9848" t="str">
        <f>HYPERLINK("https://us2.cloudbeds.com/connect/10074733072513#/reservations/31693804679321?display=MHYU5K93P&amp;reservation_id=31693804679321", "MHYU5K93P")</f>
        <v>MHYU5K93P</v>
      </c>
      <c r="B9848" t="s">
        <v>10</v>
      </c>
      <c r="C9848" t="s">
        <v>42</v>
      </c>
      <c r="D9848" t="str">
        <f>HYPERLINK("https://us2.cloudbeds.com/connect/10074733072513#/reservations/31693804679321?display=Karteri%20Schwietzzer&amp;reservation_id=31693804679321&amp;guest_id=31693804679316", "Karteri Schwietzzer")</f>
        <v>Karteri Schwietzzer</v>
      </c>
      <c r="E9848" t="s">
        <v>8512</v>
      </c>
      <c r="F9848" t="s">
        <v>8513</v>
      </c>
      <c r="G9848">
        <v>129</v>
      </c>
      <c r="H9848">
        <v>140.22999999999999</v>
      </c>
      <c r="I9848">
        <v>140.22</v>
      </c>
      <c r="J9848">
        <v>0.01</v>
      </c>
    </row>
    <row r="9849" spans="1:10" x14ac:dyDescent="0.3">
      <c r="A9849" t="str">
        <f>HYPERLINK("https://us2.cloudbeds.com/connect/10074733072513#/reservations/31693781536902?display=MHYTJ3A1B&amp;reservation_id=31693781536902", "MHYTJ3A1B")</f>
        <v>MHYTJ3A1B</v>
      </c>
      <c r="B9849" t="s">
        <v>10</v>
      </c>
      <c r="C9849" t="s">
        <v>42</v>
      </c>
      <c r="D9849" t="str">
        <f>HYPERLINK("https://us2.cloudbeds.com/connect/10074733072513#/reservations/31693781536902?display=Jackie%20Quafbhundk&amp;reservation_id=31693781536902&amp;guest_id=31693781536899", "Jackie Quafbhundk")</f>
        <v>Jackie Quafbhundk</v>
      </c>
      <c r="E9849" t="s">
        <v>8512</v>
      </c>
      <c r="F9849" t="s">
        <v>8513</v>
      </c>
      <c r="G9849">
        <v>258</v>
      </c>
      <c r="H9849">
        <v>280.45999999999998</v>
      </c>
      <c r="I9849">
        <v>280.45</v>
      </c>
      <c r="J9849">
        <v>0.01</v>
      </c>
    </row>
    <row r="9850" spans="1:10" x14ac:dyDescent="0.3">
      <c r="A9850" t="str">
        <f>HYPERLINK("https://us2.cloudbeds.com/connect/10074733072513#/reservations/31692430946460?display=MHKS284E8&amp;reservation_id=31692430946460", "MHKS284E8")</f>
        <v>MHKS284E8</v>
      </c>
      <c r="B9850" t="s">
        <v>10</v>
      </c>
      <c r="C9850" t="s">
        <v>42</v>
      </c>
      <c r="D9850" t="str">
        <f>HYPERLINK("https://us2.cloudbeds.com/connect/10074733072513#/reservations/31692430946460?display=Jacob%20Johnson&amp;reservation_id=31692430946460&amp;guest_id=31692430946455", "Jacob Johnson")</f>
        <v>Jacob Johnson</v>
      </c>
      <c r="E9850" t="s">
        <v>8515</v>
      </c>
      <c r="F9850" t="s">
        <v>8436</v>
      </c>
      <c r="G9850">
        <v>179</v>
      </c>
      <c r="H9850">
        <v>194.58</v>
      </c>
      <c r="I9850">
        <v>194.57</v>
      </c>
      <c r="J9850">
        <v>0.01</v>
      </c>
    </row>
    <row r="9851" spans="1:10" x14ac:dyDescent="0.3">
      <c r="A9851" t="str">
        <f>HYPERLINK("https://us2.cloudbeds.com/connect/10074733072513#/reservations/31690032570584?display=MHXWPSQ2D&amp;reservation_id=31690032570584", "MHXWPSQ2D")</f>
        <v>MHXWPSQ2D</v>
      </c>
      <c r="B9851" t="s">
        <v>10</v>
      </c>
      <c r="C9851" t="s">
        <v>14</v>
      </c>
      <c r="D9851" t="str">
        <f>HYPERLINK("https://us2.cloudbeds.com/connect/10074733072513#/reservations/31690032570584?display=Michelle%20Hankins&amp;reservation_id=31690032570584&amp;guest_id=31690032570579", "Michelle Hankins")</f>
        <v>Michelle Hankins</v>
      </c>
      <c r="E9851" t="s">
        <v>8517</v>
      </c>
      <c r="F9851" t="s">
        <v>8347</v>
      </c>
      <c r="G9851">
        <v>97.74</v>
      </c>
      <c r="H9851">
        <v>106.25</v>
      </c>
      <c r="I9851">
        <v>106.24</v>
      </c>
      <c r="J9851">
        <v>0.01</v>
      </c>
    </row>
    <row r="9852" spans="1:10" x14ac:dyDescent="0.3">
      <c r="A9852" t="str">
        <f>HYPERLINK("https://us2.cloudbeds.com/connect/10074733072513#/reservations/31694772793498?display=MHMYTVFS0&amp;reservation_id=31694772793498", "MHMYTVFS0")</f>
        <v>MHMYTVFS0</v>
      </c>
      <c r="B9852" t="s">
        <v>10</v>
      </c>
      <c r="C9852" t="s">
        <v>121</v>
      </c>
      <c r="D9852" t="str">
        <f>HYPERLINK("https://us2.cloudbeds.com/connect/10074733072513#/reservations/31694772793498?display=Wendy%20Huffer&amp;reservation_id=31694772793498&amp;guest_id=31694766481600", "Wendy Huffer")</f>
        <v>Wendy Huffer</v>
      </c>
      <c r="E9852" t="s">
        <v>8518</v>
      </c>
      <c r="F9852" t="s">
        <v>8338</v>
      </c>
      <c r="G9852">
        <v>159</v>
      </c>
      <c r="H9852">
        <v>172.84</v>
      </c>
      <c r="I9852">
        <v>172.83</v>
      </c>
      <c r="J9852">
        <v>0.01</v>
      </c>
    </row>
    <row r="9853" spans="1:10" x14ac:dyDescent="0.3">
      <c r="A9853" t="str">
        <f>HYPERLINK("https://us2.cloudbeds.com/connect/10074733072513#/reservations/31695683469466?display=MHNC5SCJF&amp;reservation_id=31695683469466", "MHNC5SCJF")</f>
        <v>MHNC5SCJF</v>
      </c>
      <c r="B9853" t="s">
        <v>10</v>
      </c>
      <c r="C9853" t="s">
        <v>42</v>
      </c>
      <c r="D9853" t="str">
        <f>HYPERLINK("https://us2.cloudbeds.com/connect/10074733072513#/reservations/31695683469466?display=Amanda%20Milk&amp;reservation_id=31695683469466&amp;guest_id=31695674962164", "Amanda Milk")</f>
        <v>Amanda Milk</v>
      </c>
      <c r="E9853" t="s">
        <v>8519</v>
      </c>
      <c r="F9853" t="s">
        <v>8506</v>
      </c>
      <c r="G9853">
        <v>272.10000000000002</v>
      </c>
      <c r="H9853">
        <v>295.77999999999997</v>
      </c>
      <c r="I9853">
        <v>295.77</v>
      </c>
      <c r="J9853">
        <v>0.01</v>
      </c>
    </row>
    <row r="9854" spans="1:10" x14ac:dyDescent="0.3">
      <c r="A9854" t="str">
        <f>HYPERLINK("https://us2.cloudbeds.com/connect/10074733072513#/reservations/31690047135948?display=MHJ055322&amp;reservation_id=31690047135948", "MHJ055322")</f>
        <v>MHJ055322</v>
      </c>
      <c r="B9854" t="s">
        <v>10</v>
      </c>
      <c r="C9854" t="s">
        <v>42</v>
      </c>
      <c r="D9854" t="str">
        <f>HYPERLINK("https://us2.cloudbeds.com/connect/10074733072513#/reservations/31690047135948?display=Clay%20Marchant&amp;reservation_id=31690047135948&amp;guest_id=31690047131854", "Clay Marchant")</f>
        <v>Clay Marchant</v>
      </c>
      <c r="E9854" t="s">
        <v>8520</v>
      </c>
      <c r="F9854" t="s">
        <v>8347</v>
      </c>
      <c r="G9854">
        <v>149</v>
      </c>
      <c r="H9854">
        <v>161.97</v>
      </c>
      <c r="I9854">
        <v>161.96</v>
      </c>
      <c r="J9854">
        <v>0.01</v>
      </c>
    </row>
    <row r="9855" spans="1:10" x14ac:dyDescent="0.3">
      <c r="A9855" t="str">
        <f>HYPERLINK("https://us2.cloudbeds.com/connect/10074733072513#/reservations/31692438307056?display=MHKS8EVFK&amp;reservation_id=31692438307056", "MHKS8EVFK")</f>
        <v>MHKS8EVFK</v>
      </c>
      <c r="B9855" t="s">
        <v>10</v>
      </c>
      <c r="C9855" t="s">
        <v>42</v>
      </c>
      <c r="D9855" t="str">
        <f>HYPERLINK("https://us2.cloudbeds.com/connect/10074733072513#/reservations/31692438307056?display=Byrant%20Klawonn&amp;reservation_id=31692438307056&amp;guest_id=31692438307051", "Byrant Klawonn")</f>
        <v>Byrant Klawonn</v>
      </c>
      <c r="E9855" t="s">
        <v>8515</v>
      </c>
      <c r="F9855" t="s">
        <v>8436</v>
      </c>
      <c r="G9855">
        <v>179</v>
      </c>
      <c r="H9855">
        <v>194.58</v>
      </c>
      <c r="I9855">
        <v>194.57</v>
      </c>
      <c r="J9855">
        <v>0.01</v>
      </c>
    </row>
    <row r="9856" spans="1:10" x14ac:dyDescent="0.3">
      <c r="A9856" t="str">
        <f>HYPERLINK("https://us2.cloudbeds.com/connect/10074733072513#/reservations/31689808871574?display=MHXR2815H&amp;reservation_id=31689808871574", "MHXR2815H")</f>
        <v>MHXR2815H</v>
      </c>
      <c r="B9856" t="s">
        <v>10</v>
      </c>
      <c r="C9856" t="s">
        <v>42</v>
      </c>
      <c r="D9856" t="str">
        <f>HYPERLINK("https://us2.cloudbeds.com/connect/10074733072513#/reservations/31689808871574?display=Kaedyn%20Brown&amp;reservation_id=31689808871574&amp;guest_id=31689808871569", "Kaedyn Brown")</f>
        <v>Kaedyn Brown</v>
      </c>
      <c r="E9856" t="s">
        <v>8522</v>
      </c>
      <c r="F9856" t="s">
        <v>8347</v>
      </c>
      <c r="G9856">
        <v>149</v>
      </c>
      <c r="H9856">
        <v>161.97</v>
      </c>
      <c r="I9856">
        <v>161.96</v>
      </c>
      <c r="J9856">
        <v>0.01</v>
      </c>
    </row>
    <row r="9857" spans="1:10" x14ac:dyDescent="0.3">
      <c r="A9857" t="str">
        <f>HYPERLINK("https://us2.cloudbeds.com/connect/10074733072513#/reservations/31693801447552?display=MHYTSAVV6&amp;reservation_id=31693801447552", "MHYTSAVV6")</f>
        <v>MHYTSAVV6</v>
      </c>
      <c r="B9857" t="s">
        <v>10</v>
      </c>
      <c r="C9857" t="s">
        <v>42</v>
      </c>
      <c r="D9857" t="str">
        <f>HYPERLINK("https://us2.cloudbeds.com/connect/10074733072513#/reservations/31693801447552?display=Vikki%20Mcomsey&amp;reservation_id=31693801447552&amp;guest_id=31693792485600", "Vikki Mcomsey")</f>
        <v>Vikki Mcomsey</v>
      </c>
      <c r="E9857" t="s">
        <v>8512</v>
      </c>
      <c r="F9857" t="s">
        <v>8513</v>
      </c>
      <c r="G9857">
        <v>258</v>
      </c>
      <c r="H9857">
        <v>280.45999999999998</v>
      </c>
      <c r="I9857">
        <v>280.45</v>
      </c>
      <c r="J9857">
        <v>0.01</v>
      </c>
    </row>
    <row r="9858" spans="1:10" x14ac:dyDescent="0.3">
      <c r="A9858" t="str">
        <f>HYPERLINK("https://us2.cloudbeds.com/connect/10074733072513#/reservations/31693158113408?display=MHYDAZTGB&amp;reservation_id=31693158113408", "MHYDAZTGB")</f>
        <v>MHYDAZTGB</v>
      </c>
      <c r="B9858" t="s">
        <v>10</v>
      </c>
      <c r="C9858" t="s">
        <v>42</v>
      </c>
      <c r="D9858" t="str">
        <f>HYPERLINK("https://us2.cloudbeds.com/connect/10074733072513#/reservations/31693158113408?display=Kerwin%20Armitage&amp;reservation_id=31693158113408&amp;guest_id=31693145473183", "Kerwin Armitage")</f>
        <v>Kerwin Armitage</v>
      </c>
      <c r="E9858" t="s">
        <v>8523</v>
      </c>
      <c r="F9858" t="s">
        <v>8151</v>
      </c>
      <c r="G9858">
        <v>149</v>
      </c>
      <c r="H9858">
        <v>161.97</v>
      </c>
      <c r="I9858">
        <v>161.96</v>
      </c>
      <c r="J9858">
        <v>0.01</v>
      </c>
    </row>
    <row r="9859" spans="1:10" x14ac:dyDescent="0.3">
      <c r="A9859" t="str">
        <f>HYPERLINK("https://us2.cloudbeds.com/connect/10074733072513#/reservations/31690725630176?display=MHJHG96E7&amp;reservation_id=31690725630176", "MHJHG96E7")</f>
        <v>MHJHG96E7</v>
      </c>
      <c r="B9859" t="s">
        <v>10</v>
      </c>
      <c r="C9859" t="s">
        <v>23</v>
      </c>
      <c r="D9859" t="str">
        <f>HYPERLINK("https://us2.cloudbeds.com/connect/10074733072513#/reservations/31690725630176?display=Jodi%20Blom&amp;reservation_id=31690725630176&amp;guest_id=31690725630174", "Jodi Blom")</f>
        <v>Jodi Blom</v>
      </c>
      <c r="E9859" t="s">
        <v>8524</v>
      </c>
      <c r="F9859" t="s">
        <v>8281</v>
      </c>
      <c r="G9859">
        <v>159</v>
      </c>
      <c r="H9859">
        <v>172.84</v>
      </c>
      <c r="I9859">
        <v>172.83</v>
      </c>
      <c r="J9859">
        <v>0.01</v>
      </c>
    </row>
    <row r="9860" spans="1:10" x14ac:dyDescent="0.3">
      <c r="A9860" t="str">
        <f>HYPERLINK("https://us2.cloudbeds.com/connect/10074733072513#/reservations/31689657381005?display=MHXN6GJC7&amp;reservation_id=31689657381005", "MHXN6GJC7")</f>
        <v>MHXN6GJC7</v>
      </c>
      <c r="B9860" t="s">
        <v>10</v>
      </c>
      <c r="C9860" t="s">
        <v>42</v>
      </c>
      <c r="D9860" t="str">
        <f>HYPERLINK("https://us2.cloudbeds.com/connect/10074733072513#/reservations/31689657381005?display=Jim%20Fritz&amp;reservation_id=31689657381005&amp;guest_id=30651308933362", "Jim Fritz")</f>
        <v>Jim Fritz</v>
      </c>
      <c r="E9860" t="s">
        <v>8525</v>
      </c>
      <c r="F9860" t="s">
        <v>8470</v>
      </c>
      <c r="G9860">
        <v>119</v>
      </c>
      <c r="H9860">
        <v>129.36000000000001</v>
      </c>
      <c r="I9860">
        <v>129.35</v>
      </c>
      <c r="J9860">
        <v>0.01</v>
      </c>
    </row>
    <row r="9861" spans="1:10" x14ac:dyDescent="0.3">
      <c r="A9861" t="str">
        <f>HYPERLINK("https://us2.cloudbeds.com/connect/10074733072513#/reservations/31693088633001?display=MHYBSR7YE&amp;reservation_id=31693088633001", "MHYBSR7YE")</f>
        <v>MHYBSR7YE</v>
      </c>
      <c r="B9861" t="s">
        <v>10</v>
      </c>
      <c r="C9861" t="s">
        <v>42</v>
      </c>
      <c r="D9861" t="str">
        <f>HYPERLINK("https://us2.cloudbeds.com/connect/10074733072513#/reservations/31693088633001?display=Tara%20Wels&amp;reservation_id=31693088633001&amp;guest_id=31693078839442", "Tara Wels")</f>
        <v>Tara Wels</v>
      </c>
      <c r="E9861" t="s">
        <v>8528</v>
      </c>
      <c r="F9861" t="s">
        <v>8151</v>
      </c>
      <c r="G9861">
        <v>298</v>
      </c>
      <c r="H9861">
        <v>323.94</v>
      </c>
      <c r="I9861">
        <v>323.93</v>
      </c>
      <c r="J9861">
        <v>0.01</v>
      </c>
    </row>
    <row r="9862" spans="1:10" x14ac:dyDescent="0.3">
      <c r="A9862" t="str">
        <f>HYPERLINK("https://us2.cloudbeds.com/connect/10074733072513#/reservations/31688520417479?display=MHHR4PTZ1&amp;reservation_id=31688520417479", "MHHR4PTZ1")</f>
        <v>MHHR4PTZ1</v>
      </c>
      <c r="B9862" t="s">
        <v>10</v>
      </c>
      <c r="C9862" t="s">
        <v>42</v>
      </c>
      <c r="D9862" t="str">
        <f>HYPERLINK("https://us2.cloudbeds.com/connect/10074733072513#/reservations/31688520417479?display=Andrew%20Pierce&amp;reservation_id=31688520417479&amp;guest_id=31688520413432", "Andrew Pierce")</f>
        <v>Andrew Pierce</v>
      </c>
      <c r="E9862" t="s">
        <v>7935</v>
      </c>
      <c r="F9862" t="s">
        <v>8496</v>
      </c>
      <c r="G9862">
        <v>109</v>
      </c>
      <c r="H9862">
        <v>118.49</v>
      </c>
      <c r="I9862">
        <v>118.48</v>
      </c>
      <c r="J9862">
        <v>0.01</v>
      </c>
    </row>
    <row r="9863" spans="1:10" x14ac:dyDescent="0.3">
      <c r="A9863" t="str">
        <f>HYPERLINK("https://us2.cloudbeds.com/connect/10074733072513#/reservations/31688536219842?display=MHHRX3KKH&amp;reservation_id=31688536219842", "MHHRX3KKH")</f>
        <v>MHHRX3KKH</v>
      </c>
      <c r="B9863" t="s">
        <v>10</v>
      </c>
      <c r="C9863" t="s">
        <v>42</v>
      </c>
      <c r="D9863" t="str">
        <f>HYPERLINK("https://us2.cloudbeds.com/connect/10074733072513#/reservations/31688536219842?display=Scott%20Thate&amp;reservation_id=31688536219842&amp;guest_id=31688536215745", "Scott Thate")</f>
        <v>Scott Thate</v>
      </c>
      <c r="E9863" t="s">
        <v>8529</v>
      </c>
      <c r="F9863" t="s">
        <v>8496</v>
      </c>
      <c r="G9863">
        <v>79</v>
      </c>
      <c r="H9863">
        <v>85.88</v>
      </c>
      <c r="I9863">
        <v>85.87</v>
      </c>
      <c r="J9863">
        <v>0.01</v>
      </c>
    </row>
    <row r="9864" spans="1:10" x14ac:dyDescent="0.3">
      <c r="A9864" t="str">
        <f>HYPERLINK("https://us2.cloudbeds.com/connect/10074733072513#/reservations/31688539357387?display=MHHRKZUZY&amp;reservation_id=31688539357387", "MHHRKZUZY")</f>
        <v>MHHRKZUZY</v>
      </c>
      <c r="B9864" t="s">
        <v>10</v>
      </c>
      <c r="C9864" t="s">
        <v>17</v>
      </c>
      <c r="D9864" t="str">
        <f>HYPERLINK("https://us2.cloudbeds.com/connect/10074733072513#/reservations/31688539357387?display=Brandi%20Haaven&amp;reservation_id=31688539357387&amp;guest_id=31687976263853", "Brandi Haaven")</f>
        <v>Brandi Haaven</v>
      </c>
      <c r="E9864" t="s">
        <v>8031</v>
      </c>
      <c r="F9864" t="s">
        <v>8482</v>
      </c>
      <c r="G9864">
        <v>258</v>
      </c>
      <c r="H9864">
        <v>280.45999999999998</v>
      </c>
      <c r="I9864">
        <v>280.45</v>
      </c>
      <c r="J9864">
        <v>0.01</v>
      </c>
    </row>
    <row r="9865" spans="1:10" x14ac:dyDescent="0.3">
      <c r="A9865" t="str">
        <f>HYPERLINK("https://us2.cloudbeds.com/connect/10074733072513#/reservations/31688605982921?display=MHHTAUT77&amp;reservation_id=31688605982921", "MHHTAUT77")</f>
        <v>MHHTAUT77</v>
      </c>
      <c r="B9865" t="s">
        <v>10</v>
      </c>
      <c r="C9865" t="s">
        <v>42</v>
      </c>
      <c r="D9865" t="str">
        <f>HYPERLINK("https://us2.cloudbeds.com/connect/10074733072513#/reservations/31688605982921?display=Malcom%20Stafford&amp;reservation_id=31688605982921&amp;guest_id=31688605978864", "Malcom Stafford")</f>
        <v>Malcom Stafford</v>
      </c>
      <c r="E9865" t="s">
        <v>8530</v>
      </c>
      <c r="F9865" t="s">
        <v>8496</v>
      </c>
      <c r="G9865">
        <v>73</v>
      </c>
      <c r="H9865">
        <v>79.36</v>
      </c>
      <c r="I9865">
        <v>79.349999999999994</v>
      </c>
      <c r="J9865">
        <v>0.01</v>
      </c>
    </row>
    <row r="9866" spans="1:10" x14ac:dyDescent="0.3">
      <c r="A9866" t="str">
        <f>HYPERLINK("https://us2.cloudbeds.com/connect/10074733072513#/reservations/31691884986564?display=MHKE3SWRW&amp;reservation_id=31691884986564", "MHKE3SWRW")</f>
        <v>MHKE3SWRW</v>
      </c>
      <c r="B9866" t="s">
        <v>10</v>
      </c>
      <c r="C9866" t="s">
        <v>14</v>
      </c>
      <c r="D9866" t="str">
        <f>HYPERLINK("https://us2.cloudbeds.com/connect/10074733072513#/reservations/31691884986564?display=Alissa%20Hall&amp;reservation_id=31691884986564&amp;guest_id=31691884982527", "Alissa Hall")</f>
        <v>Alissa Hall</v>
      </c>
      <c r="E9866" t="s">
        <v>8532</v>
      </c>
      <c r="F9866" t="s">
        <v>8533</v>
      </c>
      <c r="G9866">
        <v>195.48</v>
      </c>
      <c r="H9866">
        <v>212.5</v>
      </c>
      <c r="I9866">
        <v>212.49</v>
      </c>
      <c r="J9866">
        <v>0.01</v>
      </c>
    </row>
    <row r="9867" spans="1:10" x14ac:dyDescent="0.3">
      <c r="A9867" t="str">
        <f>HYPERLINK("https://us2.cloudbeds.com/connect/10074733072513#/reservations/31693750108415?display=MHYSPJP2V&amp;reservation_id=31693750108415", "MHYSPJP2V")</f>
        <v>MHYSPJP2V</v>
      </c>
      <c r="B9867" t="s">
        <v>10</v>
      </c>
      <c r="C9867" t="s">
        <v>42</v>
      </c>
      <c r="D9867" t="str">
        <f>HYPERLINK("https://us2.cloudbeds.com/connect/10074733072513#/reservations/31693750108415?display=Mardell%20Hochstein&amp;reservation_id=31693750108415&amp;guest_id=31693750108352", "Mardell Hochstein")</f>
        <v>Mardell Hochstein</v>
      </c>
      <c r="E9867" t="s">
        <v>8534</v>
      </c>
      <c r="F9867" t="s">
        <v>8482</v>
      </c>
      <c r="G9867">
        <v>89</v>
      </c>
      <c r="H9867">
        <v>96.75</v>
      </c>
      <c r="I9867">
        <v>96.74</v>
      </c>
      <c r="J9867">
        <v>0.01</v>
      </c>
    </row>
    <row r="9868" spans="1:10" x14ac:dyDescent="0.3">
      <c r="A9868" t="str">
        <f>HYPERLINK("https://us2.cloudbeds.com/connect/10074733072513#/reservations/31688558715072?display=MHHRTDPUF&amp;reservation_id=31688558715072", "MHHRTDPUF")</f>
        <v>MHHRTDPUF</v>
      </c>
      <c r="B9868" t="s">
        <v>10</v>
      </c>
      <c r="C9868" t="s">
        <v>42</v>
      </c>
      <c r="D9868" t="str">
        <f>HYPERLINK("https://us2.cloudbeds.com/connect/10074733072513#/reservations/31688558715072?display=Steven%20Brown&amp;reservation_id=31688558715072&amp;guest_id=30686928097523", "Steven Brown")</f>
        <v>Steven Brown</v>
      </c>
      <c r="E9868" t="s">
        <v>8535</v>
      </c>
      <c r="F9868" t="s">
        <v>8482</v>
      </c>
      <c r="G9868">
        <v>99</v>
      </c>
      <c r="H9868">
        <v>107.62</v>
      </c>
      <c r="I9868">
        <v>107.61</v>
      </c>
      <c r="J9868">
        <v>0.01</v>
      </c>
    </row>
    <row r="9869" spans="1:10" x14ac:dyDescent="0.3">
      <c r="A9869" t="str">
        <f>HYPERLINK("https://us2.cloudbeds.com/connect/10074733072513#/reservations/31693726236864?display=MHYRRAMTK&amp;reservation_id=31693726236864", "MHYRRAMTK")</f>
        <v>MHYRRAMTK</v>
      </c>
      <c r="B9869" t="s">
        <v>10</v>
      </c>
      <c r="C9869" t="s">
        <v>23</v>
      </c>
      <c r="D9869" t="str">
        <f>HYPERLINK("https://us2.cloudbeds.com/connect/10074733072513#/reservations/31693726236864?display=Logan%20Hulst&amp;reservation_id=31693726236864&amp;guest_id=31693713019039", "Logan Hulst")</f>
        <v>Logan Hulst</v>
      </c>
      <c r="E9869" t="s">
        <v>8536</v>
      </c>
      <c r="F9869" t="s">
        <v>8482</v>
      </c>
      <c r="G9869">
        <v>119</v>
      </c>
      <c r="H9869">
        <v>129.36000000000001</v>
      </c>
      <c r="I9869">
        <v>129.35</v>
      </c>
      <c r="J9869">
        <v>0.01</v>
      </c>
    </row>
    <row r="9870" spans="1:10" x14ac:dyDescent="0.3">
      <c r="A9870" t="str">
        <f>HYPERLINK("https://us2.cloudbeds.com/connect/10074733072513#/reservations/31693739421866?display=MHYSGJCU4&amp;reservation_id=31693739421866", "MHYSGJCU4")</f>
        <v>MHYSGJCU4</v>
      </c>
      <c r="B9870" t="s">
        <v>10</v>
      </c>
      <c r="C9870" t="s">
        <v>42</v>
      </c>
      <c r="D9870" t="str">
        <f>HYPERLINK("https://us2.cloudbeds.com/connect/10074733072513#/reservations/31693739421866?display=Wanda%20Pritzel&amp;reservation_id=31693739421866&amp;guest_id=31693739421853", "Wanda Pritzel")</f>
        <v>Wanda Pritzel</v>
      </c>
      <c r="E9870" t="s">
        <v>8537</v>
      </c>
      <c r="F9870" t="s">
        <v>8482</v>
      </c>
      <c r="G9870">
        <v>99</v>
      </c>
      <c r="H9870">
        <v>107.62</v>
      </c>
      <c r="I9870">
        <v>107.61</v>
      </c>
      <c r="J9870">
        <v>0.01</v>
      </c>
    </row>
    <row r="9871" spans="1:10" x14ac:dyDescent="0.3">
      <c r="A9871" t="str">
        <f>HYPERLINK("https://us2.cloudbeds.com/connect/10074733072513#/reservations/31688576106632?display=MHHSXZHK4&amp;reservation_id=31688576106632", "MHHSXZHK4")</f>
        <v>MHHSXZHK4</v>
      </c>
      <c r="B9871" t="s">
        <v>10</v>
      </c>
      <c r="C9871" t="s">
        <v>121</v>
      </c>
      <c r="D9871" t="str">
        <f>HYPERLINK("https://us2.cloudbeds.com/connect/10074733072513#/reservations/31688576106632?display=Kip%20Gearey&amp;reservation_id=31688576106632&amp;guest_id=31681328898273", "Kip Gearey")</f>
        <v>Kip Gearey</v>
      </c>
      <c r="E9871" t="s">
        <v>7021</v>
      </c>
      <c r="F9871" t="s">
        <v>8482</v>
      </c>
      <c r="G9871">
        <v>150</v>
      </c>
      <c r="H9871">
        <v>163.06</v>
      </c>
      <c r="I9871">
        <v>163.05000000000001</v>
      </c>
      <c r="J9871">
        <v>0.01</v>
      </c>
    </row>
    <row r="9872" spans="1:10" x14ac:dyDescent="0.3">
      <c r="A9872" t="str">
        <f>HYPERLINK("https://us2.cloudbeds.com/connect/10074733072513#/reservations/31693690966191?display=MHYR8Z1BB&amp;reservation_id=31693690966191", "MHYR8Z1BB")</f>
        <v>MHYR8Z1BB</v>
      </c>
      <c r="B9872" t="s">
        <v>10</v>
      </c>
      <c r="C9872" t="s">
        <v>17</v>
      </c>
      <c r="D9872" t="str">
        <f>HYPERLINK("https://us2.cloudbeds.com/connect/10074733072513#/reservations/31693690966191?display=Molly%20Hill&amp;reservation_id=31693690966191&amp;guest_id=31693690966174", "Molly Hill")</f>
        <v>Molly Hill</v>
      </c>
      <c r="E9872" t="s">
        <v>8538</v>
      </c>
      <c r="F9872" t="s">
        <v>8482</v>
      </c>
      <c r="G9872">
        <v>149</v>
      </c>
      <c r="H9872">
        <v>161.97</v>
      </c>
      <c r="I9872">
        <v>161.96</v>
      </c>
      <c r="J9872">
        <v>0.01</v>
      </c>
    </row>
    <row r="9873" spans="1:10" x14ac:dyDescent="0.3">
      <c r="A9873" t="str">
        <f>HYPERLINK("https://us2.cloudbeds.com/connect/10074733072513#/reservations/31694882296061?display=MHMZN9X5G&amp;reservation_id=31694882296061", "MHMZN9X5G")</f>
        <v>MHMZN9X5G</v>
      </c>
      <c r="B9873" t="s">
        <v>10</v>
      </c>
      <c r="C9873" t="s">
        <v>17</v>
      </c>
      <c r="D9873" t="str">
        <f>HYPERLINK("https://us2.cloudbeds.com/connect/10074733072513#/reservations/31694882296061?display=Julie%20Moore&amp;reservation_id=31694882296061&amp;guest_id=31690211004631", "Julie Moore")</f>
        <v>Julie Moore</v>
      </c>
      <c r="E9873" t="s">
        <v>8540</v>
      </c>
      <c r="F9873" t="s">
        <v>8333</v>
      </c>
      <c r="G9873">
        <v>378</v>
      </c>
      <c r="H9873">
        <v>410.9</v>
      </c>
      <c r="I9873">
        <v>410.89</v>
      </c>
      <c r="J9873">
        <v>0.01</v>
      </c>
    </row>
    <row r="9874" spans="1:10" x14ac:dyDescent="0.3">
      <c r="A9874" t="str">
        <f>HYPERLINK("https://us2.cloudbeds.com/connect/10074733072513#/reservations/31692670673057?display=MHY16CT1J&amp;reservation_id=31692670673057", "MHY16CT1J")</f>
        <v>MHY16CT1J</v>
      </c>
      <c r="B9874" t="s">
        <v>10</v>
      </c>
      <c r="C9874" t="s">
        <v>42</v>
      </c>
      <c r="D9874" t="str">
        <f>HYPERLINK("https://us2.cloudbeds.com/connect/10074733072513#/reservations/31692670673057?display=Thomas%20Mcclelland&amp;reservation_id=31692670673057&amp;guest_id=31692670673052", "Thomas Mcclelland")</f>
        <v>Thomas Mcclelland</v>
      </c>
      <c r="E9874" t="s">
        <v>8541</v>
      </c>
      <c r="F9874" t="s">
        <v>8262</v>
      </c>
      <c r="G9874">
        <v>405.45</v>
      </c>
      <c r="H9874">
        <v>440.73</v>
      </c>
      <c r="I9874">
        <v>440.72</v>
      </c>
      <c r="J9874">
        <v>0.01</v>
      </c>
    </row>
    <row r="9875" spans="1:10" x14ac:dyDescent="0.3">
      <c r="A9875" t="str">
        <f>HYPERLINK("https://us2.cloudbeds.com/connect/10074733072513#/reservations/31688510460114?display=MHHQTCR4N&amp;reservation_id=31688510460114", "MHHQTCR4N")</f>
        <v>MHHQTCR4N</v>
      </c>
      <c r="B9875" t="s">
        <v>10</v>
      </c>
      <c r="C9875" t="s">
        <v>121</v>
      </c>
      <c r="D9875" t="str">
        <f>HYPERLINK("https://us2.cloudbeds.com/connect/10074733072513#/reservations/31688510460114?display=Dustin%20Ager&amp;reservation_id=31688510460114&amp;guest_id=31688510460112", "Dustin Ager")</f>
        <v>Dustin Ager</v>
      </c>
      <c r="E9875" t="s">
        <v>8542</v>
      </c>
      <c r="F9875" t="s">
        <v>8496</v>
      </c>
      <c r="G9875">
        <v>119</v>
      </c>
      <c r="H9875">
        <v>129.36000000000001</v>
      </c>
      <c r="I9875">
        <v>129.35</v>
      </c>
      <c r="J9875">
        <v>0.01</v>
      </c>
    </row>
    <row r="9876" spans="1:10" x14ac:dyDescent="0.3">
      <c r="A9876" t="str">
        <f>HYPERLINK("https://us2.cloudbeds.com/connect/10074733072513#/reservations/31728256499956?display=MXFJG9W1F&amp;reservation_id=31728256499956", "MXFJG9W1F")</f>
        <v>MXFJG9W1F</v>
      </c>
      <c r="B9876" t="s">
        <v>10</v>
      </c>
      <c r="C9876" t="s">
        <v>42</v>
      </c>
      <c r="D9876" t="str">
        <f>HYPERLINK("https://us2.cloudbeds.com/connect/10074733072513#/reservations/31728256499956?display=Katharina%20Swift&amp;reservation_id=31728256499956&amp;guest_id=31728256499954", "Katharina Swift")</f>
        <v>Katharina Swift</v>
      </c>
      <c r="E9876" t="s">
        <v>8543</v>
      </c>
      <c r="F9876" t="s">
        <v>8544</v>
      </c>
      <c r="G9876">
        <v>139</v>
      </c>
      <c r="H9876">
        <v>151.1</v>
      </c>
      <c r="I9876">
        <v>151.09</v>
      </c>
      <c r="J9876">
        <v>0.01</v>
      </c>
    </row>
    <row r="9877" spans="1:10" x14ac:dyDescent="0.3">
      <c r="A9877" t="str">
        <f>HYPERLINK("https://us2.cloudbeds.com/connect/10074733072513#/reservations/31694534119588?display=MHMFQN0T9&amp;reservation_id=31694534119588", "MHMFQN0T9")</f>
        <v>MHMFQN0T9</v>
      </c>
      <c r="B9877" t="s">
        <v>10</v>
      </c>
      <c r="C9877" t="s">
        <v>42</v>
      </c>
      <c r="D9877" t="str">
        <f>HYPERLINK("https://us2.cloudbeds.com/connect/10074733072513#/reservations/31694534119588?display=Abby%20Frieze&amp;reservation_id=31694534119588&amp;guest_id=31694534119586", "Abby Frieze")</f>
        <v>Abby Frieze</v>
      </c>
      <c r="E9877" t="s">
        <v>8549</v>
      </c>
      <c r="F9877" t="s">
        <v>8436</v>
      </c>
      <c r="G9877">
        <v>179</v>
      </c>
      <c r="H9877">
        <v>194.58</v>
      </c>
      <c r="I9877">
        <v>194.57</v>
      </c>
      <c r="J9877">
        <v>0.01</v>
      </c>
    </row>
    <row r="9878" spans="1:10" x14ac:dyDescent="0.3">
      <c r="A9878" t="str">
        <f>HYPERLINK("https://us2.cloudbeds.com/connect/10074733072513#/reservations/31690287796465?display=MHJ6A2R90&amp;reservation_id=31690287796465", "MHJ6A2R90")</f>
        <v>MHJ6A2R90</v>
      </c>
      <c r="B9878" t="s">
        <v>10</v>
      </c>
      <c r="C9878" t="s">
        <v>23</v>
      </c>
      <c r="D9878" t="str">
        <f>HYPERLINK("https://us2.cloudbeds.com/connect/10074733072513#/reservations/31690287796465?display=Emma%20Henrich&amp;reservation_id=31690287796465&amp;guest_id=31690276786327", "Emma Henrich")</f>
        <v>Emma Henrich</v>
      </c>
      <c r="E9878" t="s">
        <v>8550</v>
      </c>
      <c r="F9878" t="s">
        <v>8281</v>
      </c>
      <c r="G9878">
        <v>169</v>
      </c>
      <c r="H9878">
        <v>183.71</v>
      </c>
      <c r="I9878">
        <v>183.7</v>
      </c>
      <c r="J9878">
        <v>0.01</v>
      </c>
    </row>
    <row r="9879" spans="1:10" x14ac:dyDescent="0.3">
      <c r="A9879" t="str">
        <f>HYPERLINK("https://us2.cloudbeds.com/connect/10074733072513#/reservations/31691213119648?display=MHJTVBA5F&amp;reservation_id=31691213119648", "MHJTVBA5F")</f>
        <v>MHJTVBA5F</v>
      </c>
      <c r="B9879" t="s">
        <v>10</v>
      </c>
      <c r="C9879" t="s">
        <v>42</v>
      </c>
      <c r="D9879" t="str">
        <f>HYPERLINK("https://us2.cloudbeds.com/connect/10074733072513#/reservations/31691213119648?display=Julie%20And%20Jeff%20Henderson&amp;reservation_id=31691213119648&amp;guest_id=31691213119627", "Julie And Jeff Henderson")</f>
        <v>Julie And Jeff Henderson</v>
      </c>
      <c r="E9879" t="s">
        <v>8554</v>
      </c>
      <c r="F9879" t="s">
        <v>6604</v>
      </c>
      <c r="G9879">
        <v>278</v>
      </c>
      <c r="H9879">
        <v>302.2</v>
      </c>
      <c r="I9879">
        <v>302.19</v>
      </c>
      <c r="J9879">
        <v>0.01</v>
      </c>
    </row>
    <row r="9880" spans="1:10" x14ac:dyDescent="0.3">
      <c r="A9880" t="str">
        <f>HYPERLINK("https://us2.cloudbeds.com/connect/10074733072513#/reservations/31693755605139?display=MHYSU7NJB&amp;reservation_id=31693755605139", "MHYSU7NJB")</f>
        <v>MHYSU7NJB</v>
      </c>
      <c r="B9880" t="s">
        <v>10</v>
      </c>
      <c r="C9880" t="s">
        <v>121</v>
      </c>
      <c r="D9880" t="str">
        <f>HYPERLINK("https://us2.cloudbeds.com/connect/10074733072513#/reservations/31693755605139?display=Cameron%20Whisler&amp;reservation_id=31693755605139&amp;guest_id=31693755601045", "Cameron Whisler")</f>
        <v>Cameron Whisler</v>
      </c>
      <c r="E9880" t="s">
        <v>8555</v>
      </c>
      <c r="F9880" t="s">
        <v>8438</v>
      </c>
      <c r="G9880">
        <v>73</v>
      </c>
      <c r="H9880">
        <v>79.36</v>
      </c>
      <c r="I9880">
        <v>79.349999999999994</v>
      </c>
      <c r="J9880">
        <v>0.01</v>
      </c>
    </row>
    <row r="9881" spans="1:10" x14ac:dyDescent="0.3">
      <c r="A9881" t="str">
        <f>HYPERLINK("https://us2.cloudbeds.com/connect/10074733072513#/reservations/31692756152530?display=MHY3CFFJY&amp;reservation_id=31692756152530", "MHY3CFFJY")</f>
        <v>MHY3CFFJY</v>
      </c>
      <c r="B9881" t="s">
        <v>10</v>
      </c>
      <c r="C9881" t="s">
        <v>42</v>
      </c>
      <c r="D9881" t="str">
        <f>HYPERLINK("https://us2.cloudbeds.com/connect/10074733072513#/reservations/31692756152530?display=Matt%20Spreng&amp;reservation_id=31692756152530&amp;guest_id=31692756152525", "Matt Spreng")</f>
        <v>Matt Spreng</v>
      </c>
      <c r="E9881" t="s">
        <v>8556</v>
      </c>
      <c r="F9881" t="s">
        <v>8548</v>
      </c>
      <c r="G9881">
        <v>198</v>
      </c>
      <c r="H9881">
        <v>215.24</v>
      </c>
      <c r="I9881">
        <v>215.23</v>
      </c>
      <c r="J9881">
        <v>0.01</v>
      </c>
    </row>
    <row r="9882" spans="1:10" x14ac:dyDescent="0.3">
      <c r="A9882" t="str">
        <f>HYPERLINK("https://us2.cloudbeds.com/connect/10074733072513#/reservations/31695038156984?display=MHMSMNK4P&amp;reservation_id=31695038156984", "MHMSMNK4P")</f>
        <v>MHMSMNK4P</v>
      </c>
      <c r="B9882" t="s">
        <v>10</v>
      </c>
      <c r="C9882" t="s">
        <v>121</v>
      </c>
      <c r="D9882" t="str">
        <f>HYPERLINK("https://us2.cloudbeds.com/connect/10074733072513#/reservations/31695038156984?display=Andy%20Vogel&amp;reservation_id=31695038156984&amp;guest_id=31695038156982", "Andy Vogel")</f>
        <v>Andy Vogel</v>
      </c>
      <c r="E9882" t="s">
        <v>8557</v>
      </c>
      <c r="F9882" t="s">
        <v>8262</v>
      </c>
      <c r="G9882">
        <v>119</v>
      </c>
      <c r="H9882">
        <v>129.36000000000001</v>
      </c>
      <c r="I9882">
        <v>129.35</v>
      </c>
      <c r="J9882">
        <v>0.01</v>
      </c>
    </row>
    <row r="9883" spans="1:10" x14ac:dyDescent="0.3">
      <c r="A9883" t="str">
        <f>HYPERLINK("https://us2.cloudbeds.com/connect/10074733072513#/reservations/31693774852225?display=MHYTDF9MC&amp;reservation_id=31693774852225", "MHYTDF9MC")</f>
        <v>MHYTDF9MC</v>
      </c>
      <c r="B9883" t="s">
        <v>10</v>
      </c>
      <c r="C9883" t="s">
        <v>121</v>
      </c>
      <c r="D9883" t="str">
        <f>HYPERLINK("https://us2.cloudbeds.com/connect/10074733072513#/reservations/31693774852225?display=Lance%20Roper&amp;reservation_id=31693774852225&amp;guest_id=31693765148906", "Lance Roper")</f>
        <v>Lance Roper</v>
      </c>
      <c r="E9883" t="s">
        <v>8558</v>
      </c>
      <c r="F9883" t="s">
        <v>8438</v>
      </c>
      <c r="G9883">
        <v>119</v>
      </c>
      <c r="H9883">
        <v>129.36000000000001</v>
      </c>
      <c r="I9883">
        <v>129.35</v>
      </c>
      <c r="J9883">
        <v>0.01</v>
      </c>
    </row>
    <row r="9884" spans="1:10" x14ac:dyDescent="0.3">
      <c r="A9884" t="str">
        <f>HYPERLINK("https://us2.cloudbeds.com/connect/10074733072513#/reservations/31691417837793?display=MHK25VTEK&amp;reservation_id=31691417837793", "MHK25VTEK")</f>
        <v>MHK25VTEK</v>
      </c>
      <c r="B9884" t="s">
        <v>10</v>
      </c>
      <c r="C9884" t="s">
        <v>23</v>
      </c>
      <c r="D9884" t="str">
        <f>HYPERLINK("https://us2.cloudbeds.com/connect/10074733072513#/reservations/31691417837793?display=Debra%20Houseman&amp;reservation_id=31691417837793&amp;guest_id=31691417837778", "Debra Houseman")</f>
        <v>Debra Houseman</v>
      </c>
      <c r="E9884" t="s">
        <v>8559</v>
      </c>
      <c r="F9884" t="s">
        <v>8436</v>
      </c>
      <c r="G9884">
        <v>159</v>
      </c>
      <c r="H9884">
        <v>172.84</v>
      </c>
      <c r="I9884">
        <v>172.83</v>
      </c>
      <c r="J9884">
        <v>0.01</v>
      </c>
    </row>
    <row r="9885" spans="1:10" x14ac:dyDescent="0.3">
      <c r="A9885" t="str">
        <f>HYPERLINK("https://us2.cloudbeds.com/connect/10074733072513#/reservations/31693781483737?display=MHYTJ1R79&amp;reservation_id=31693781483737", "MHYTJ1R79")</f>
        <v>MHYTJ1R79</v>
      </c>
      <c r="B9885" t="s">
        <v>10</v>
      </c>
      <c r="C9885" t="s">
        <v>23</v>
      </c>
      <c r="D9885" t="str">
        <f>HYPERLINK("https://us2.cloudbeds.com/connect/10074733072513#/reservations/31693781483737?display=Sean%20Faughn&amp;reservation_id=31693781483737&amp;guest_id=31689299341537", "Sean Faughn")</f>
        <v>Sean Faughn</v>
      </c>
      <c r="E9885" t="s">
        <v>8560</v>
      </c>
      <c r="F9885" t="s">
        <v>8438</v>
      </c>
      <c r="G9885">
        <v>119</v>
      </c>
      <c r="H9885">
        <v>129.36000000000001</v>
      </c>
      <c r="I9885">
        <v>129.35</v>
      </c>
      <c r="J9885">
        <v>0.01</v>
      </c>
    </row>
    <row r="9886" spans="1:10" x14ac:dyDescent="0.3">
      <c r="A9886" t="str">
        <f>HYPERLINK("https://us2.cloudbeds.com/connect/10074733072513#/reservations/31695554998479?display=MHN8THG28&amp;reservation_id=31695554998479", "MHN8THG28")</f>
        <v>MHN8THG28</v>
      </c>
      <c r="B9886" t="s">
        <v>10</v>
      </c>
      <c r="C9886" t="s">
        <v>20</v>
      </c>
      <c r="D9886" t="str">
        <f>HYPERLINK("https://us2.cloudbeds.com/connect/10074733072513#/reservations/31695554998479?display=Jacob%20Peterson&amp;reservation_id=31695554998479&amp;guest_id=31695551500515", "Jacob Peterson")</f>
        <v>Jacob Peterson</v>
      </c>
      <c r="E9886" t="s">
        <v>8561</v>
      </c>
      <c r="F9886" t="s">
        <v>8260</v>
      </c>
      <c r="G9886">
        <v>535.5</v>
      </c>
      <c r="H9886">
        <v>582.1</v>
      </c>
      <c r="I9886">
        <v>582.09</v>
      </c>
      <c r="J9886">
        <v>0.01</v>
      </c>
    </row>
    <row r="9887" spans="1:10" x14ac:dyDescent="0.3">
      <c r="A9887" t="str">
        <f>HYPERLINK("https://us2.cloudbeds.com/connect/10074733072513#/reservations/31692333596809?display=MHKPJ57QR&amp;reservation_id=31692333596809", "MHKPJ57QR")</f>
        <v>MHKPJ57QR</v>
      </c>
      <c r="B9887" t="s">
        <v>10</v>
      </c>
      <c r="C9887" t="s">
        <v>20</v>
      </c>
      <c r="D9887" t="str">
        <f>HYPERLINK("https://us2.cloudbeds.com/connect/10074733072513#/reservations/31692333596809?display=Dylan%20Huwe&amp;reservation_id=31692333596809&amp;guest_id=31692333596807", "Dylan Huwe")</f>
        <v>Dylan Huwe</v>
      </c>
      <c r="E9887" t="s">
        <v>8562</v>
      </c>
      <c r="F9887" t="s">
        <v>8262</v>
      </c>
      <c r="G9887">
        <v>119</v>
      </c>
      <c r="H9887">
        <v>129.36000000000001</v>
      </c>
      <c r="I9887">
        <v>129.35</v>
      </c>
      <c r="J9887">
        <v>0.01</v>
      </c>
    </row>
    <row r="9888" spans="1:10" x14ac:dyDescent="0.3">
      <c r="A9888" t="str">
        <f>HYPERLINK("https://us2.cloudbeds.com/connect/10074733072513#/reservations/31692361322657?display=MHKQ9HZZ1&amp;reservation_id=31692361322657", "MHKQ9HZZ1")</f>
        <v>MHKQ9HZZ1</v>
      </c>
      <c r="B9888" t="s">
        <v>10</v>
      </c>
      <c r="C9888" t="s">
        <v>23</v>
      </c>
      <c r="D9888" t="str">
        <f>HYPERLINK("https://us2.cloudbeds.com/connect/10074733072513#/reservations/31692361322657?display=Sean%20Faughn&amp;reservation_id=31692361322657&amp;guest_id=31689299341537", "Sean Faughn")</f>
        <v>Sean Faughn</v>
      </c>
      <c r="E9888" t="s">
        <v>8560</v>
      </c>
      <c r="F9888" t="s">
        <v>8262</v>
      </c>
      <c r="G9888">
        <v>119</v>
      </c>
      <c r="H9888">
        <v>129.36000000000001</v>
      </c>
      <c r="I9888">
        <v>129.35</v>
      </c>
      <c r="J9888">
        <v>0.01</v>
      </c>
    </row>
    <row r="9889" spans="1:10" x14ac:dyDescent="0.3">
      <c r="A9889" t="str">
        <f>HYPERLINK("https://us2.cloudbeds.com/connect/10074733072513#/reservations/31692389404870?display=MHKR075T6&amp;reservation_id=31692389404870", "MHKR075T6")</f>
        <v>MHKR075T6</v>
      </c>
      <c r="B9889" t="s">
        <v>10</v>
      </c>
      <c r="C9889" t="s">
        <v>14</v>
      </c>
      <c r="D9889" t="str">
        <f>HYPERLINK("https://us2.cloudbeds.com/connect/10074733072513#/reservations/31692389404870?display=Brian%20Hubbard&amp;reservation_id=31692389404870&amp;guest_id=31692389400773", "Brian Hubbard")</f>
        <v>Brian Hubbard</v>
      </c>
      <c r="E9889" t="s">
        <v>8564</v>
      </c>
      <c r="F9889" t="s">
        <v>8436</v>
      </c>
      <c r="G9889">
        <v>329.88</v>
      </c>
      <c r="H9889">
        <v>358.59</v>
      </c>
      <c r="I9889">
        <v>358.58</v>
      </c>
      <c r="J9889">
        <v>0.01</v>
      </c>
    </row>
    <row r="9890" spans="1:10" x14ac:dyDescent="0.3">
      <c r="A9890" t="str">
        <f>HYPERLINK("https://us2.cloudbeds.com/connect/10074733072513#/reservations/31688268824729?display=MHHKNKVZA&amp;reservation_id=31688268824729", "MHHKNKVZA")</f>
        <v>MHHKNKVZA</v>
      </c>
      <c r="B9890" t="s">
        <v>10</v>
      </c>
      <c r="C9890" t="s">
        <v>42</v>
      </c>
      <c r="D9890" t="str">
        <f>HYPERLINK("https://us2.cloudbeds.com/connect/10074733072513#/reservations/31688268824729?display=Gary%20Walker&amp;reservation_id=31688268824729&amp;guest_id=31688268820623", "Gary Walker")</f>
        <v>Gary Walker</v>
      </c>
      <c r="E9890" t="s">
        <v>8556</v>
      </c>
      <c r="F9890" t="s">
        <v>8548</v>
      </c>
      <c r="G9890">
        <v>99</v>
      </c>
      <c r="H9890">
        <v>107.62</v>
      </c>
      <c r="I9890">
        <v>107.61</v>
      </c>
      <c r="J9890">
        <v>0.01</v>
      </c>
    </row>
    <row r="9891" spans="1:10" x14ac:dyDescent="0.3">
      <c r="A9891" t="str">
        <f>HYPERLINK("https://us2.cloudbeds.com/connect/10074733072513#/reservations/31691366838461?display=MHK0SVP3A&amp;reservation_id=31691366838461", "MHK0SVP3A")</f>
        <v>MHK0SVP3A</v>
      </c>
      <c r="B9891" t="s">
        <v>10</v>
      </c>
      <c r="C9891" t="s">
        <v>42</v>
      </c>
      <c r="D9891" t="str">
        <f>HYPERLINK("https://us2.cloudbeds.com/connect/10074733072513#/reservations/31691366838461?display=Kendra%20Beyer&amp;reservation_id=31691366838461&amp;guest_id=31691366838445", "Kendra Beyer")</f>
        <v>Kendra Beyer</v>
      </c>
      <c r="E9891" t="s">
        <v>8566</v>
      </c>
      <c r="F9891" t="s">
        <v>8548</v>
      </c>
      <c r="G9891">
        <v>179</v>
      </c>
      <c r="H9891">
        <v>194.58</v>
      </c>
      <c r="I9891">
        <v>194.57</v>
      </c>
      <c r="J9891">
        <v>0.01</v>
      </c>
    </row>
    <row r="9892" spans="1:10" x14ac:dyDescent="0.3">
      <c r="A9892" t="str">
        <f>HYPERLINK("https://us2.cloudbeds.com/connect/10074733072513#/reservations/31692715176115?display=MHY2AU813&amp;reservation_id=31692715176115", "MHY2AU813")</f>
        <v>MHY2AU813</v>
      </c>
      <c r="B9892" t="s">
        <v>10</v>
      </c>
      <c r="C9892" t="s">
        <v>42</v>
      </c>
      <c r="D9892" t="str">
        <f>HYPERLINK("https://us2.cloudbeds.com/connect/10074733072513#/reservations/31692715176115?display=Cory%20Glick&amp;reservation_id=31692715176115&amp;guest_id=31676961386701", "Cory Glick")</f>
        <v>Cory Glick</v>
      </c>
      <c r="E9892" t="s">
        <v>2769</v>
      </c>
      <c r="F9892" t="s">
        <v>8548</v>
      </c>
      <c r="G9892">
        <v>178</v>
      </c>
      <c r="H9892">
        <v>193.5</v>
      </c>
      <c r="I9892">
        <v>193.49</v>
      </c>
      <c r="J9892">
        <v>0.01</v>
      </c>
    </row>
    <row r="9893" spans="1:10" x14ac:dyDescent="0.3">
      <c r="A9893" t="str">
        <f>HYPERLINK("https://us2.cloudbeds.com/connect/10074733072513#/reservations/31688315351196?display=MHHYTSKP8&amp;reservation_id=31688315351196", "MHHYTSKP8")</f>
        <v>MHHYTSKP8</v>
      </c>
      <c r="B9893" t="s">
        <v>10</v>
      </c>
      <c r="C9893" t="s">
        <v>121</v>
      </c>
      <c r="D9893" t="str">
        <f>HYPERLINK("https://us2.cloudbeds.com/connect/10074733072513#/reservations/31688315351196?display=Shane%20Conway&amp;reservation_id=31688315351196&amp;guest_id=31688315351194", "Shane Conway")</f>
        <v>Shane Conway</v>
      </c>
      <c r="E9893" t="s">
        <v>8569</v>
      </c>
      <c r="F9893" t="s">
        <v>8548</v>
      </c>
      <c r="G9893">
        <v>196</v>
      </c>
      <c r="H9893">
        <v>213.06</v>
      </c>
      <c r="I9893">
        <v>213.05</v>
      </c>
      <c r="J9893">
        <v>0.01</v>
      </c>
    </row>
    <row r="9894" spans="1:10" x14ac:dyDescent="0.3">
      <c r="A9894" t="str">
        <f>HYPERLINK("https://us2.cloudbeds.com/connect/10074733072513#/reservations/31691372540101?display=MHK10PDP9&amp;reservation_id=31691372540101", "MHK10PDP9")</f>
        <v>MHK10PDP9</v>
      </c>
      <c r="B9894" t="s">
        <v>10</v>
      </c>
      <c r="C9894" t="s">
        <v>42</v>
      </c>
      <c r="D9894" t="str">
        <f>HYPERLINK("https://us2.cloudbeds.com/connect/10074733072513#/reservations/31691372540101?display=Angie%20Broughton&amp;reservation_id=31691372540101&amp;guest_id=31691372536020", "Angie Broughton")</f>
        <v>Angie Broughton</v>
      </c>
      <c r="E9894" t="s">
        <v>8570</v>
      </c>
      <c r="F9894" t="s">
        <v>8548</v>
      </c>
      <c r="G9894">
        <v>139</v>
      </c>
      <c r="H9894">
        <v>151.1</v>
      </c>
      <c r="I9894">
        <v>151.09</v>
      </c>
      <c r="J9894">
        <v>0.01</v>
      </c>
    </row>
    <row r="9895" spans="1:10" x14ac:dyDescent="0.3">
      <c r="A9895" t="str">
        <f>HYPERLINK("https://us2.cloudbeds.com/connect/10074733072513#/reservations/31688357466305?display=MHHMWCHVM&amp;reservation_id=31688357466305", "MHHMWCHVM")</f>
        <v>MHHMWCHVM</v>
      </c>
      <c r="B9895" t="s">
        <v>10</v>
      </c>
      <c r="C9895" t="s">
        <v>121</v>
      </c>
      <c r="D9895" t="str">
        <f>HYPERLINK("https://us2.cloudbeds.com/connect/10074733072513#/reservations/31688357466305?display=Clayton%20Casebolt&amp;reservation_id=31688357466305&amp;guest_id=31688338522273", "Clayton Casebolt")</f>
        <v>Clayton Casebolt</v>
      </c>
      <c r="E9895" t="s">
        <v>8572</v>
      </c>
      <c r="F9895" t="s">
        <v>8548</v>
      </c>
      <c r="G9895">
        <v>139</v>
      </c>
      <c r="H9895">
        <v>151.1</v>
      </c>
      <c r="I9895">
        <v>151.09</v>
      </c>
      <c r="J9895">
        <v>0.01</v>
      </c>
    </row>
    <row r="9896" spans="1:10" x14ac:dyDescent="0.3">
      <c r="A9896" t="str">
        <f>HYPERLINK("https://us2.cloudbeds.com/connect/10074733072513#/reservations/31692422267026?display=MHKRRUKB3&amp;reservation_id=31692422267026", "MHKRRUKB3")</f>
        <v>MHKRRUKB3</v>
      </c>
      <c r="B9896" t="s">
        <v>10</v>
      </c>
      <c r="C9896" t="s">
        <v>42</v>
      </c>
      <c r="D9896" t="str">
        <f>HYPERLINK("https://us2.cloudbeds.com/connect/10074733072513#/reservations/31692422267026?display=Harry%20Redding&amp;reservation_id=31692422267026&amp;guest_id=31692422267024", "Harry Redding")</f>
        <v>Harry Redding</v>
      </c>
      <c r="E9896" t="s">
        <v>8573</v>
      </c>
      <c r="F9896" t="s">
        <v>8262</v>
      </c>
      <c r="G9896">
        <v>119</v>
      </c>
      <c r="H9896">
        <v>129.36000000000001</v>
      </c>
      <c r="I9896">
        <v>129.35</v>
      </c>
      <c r="J9896">
        <v>0.01</v>
      </c>
    </row>
    <row r="9897" spans="1:10" x14ac:dyDescent="0.3">
      <c r="A9897" t="str">
        <f>HYPERLINK("https://us2.cloudbeds.com/connect/10074733072513#/reservations/31695499841667?display=MHN7G0M0N&amp;reservation_id=31695499841667", "MHN7G0M0N")</f>
        <v>MHN7G0M0N</v>
      </c>
      <c r="B9897" t="s">
        <v>10</v>
      </c>
      <c r="C9897" t="s">
        <v>42</v>
      </c>
      <c r="D9897" t="str">
        <f>HYPERLINK("https://us2.cloudbeds.com/connect/10074733072513#/reservations/31695499841667?display=Alexander%20Ruble&amp;reservation_id=31695499841667&amp;guest_id=31695499837616", "Alexander Ruble")</f>
        <v>Alexander Ruble</v>
      </c>
      <c r="E9897" t="s">
        <v>8015</v>
      </c>
      <c r="F9897" t="s">
        <v>8387</v>
      </c>
      <c r="G9897">
        <v>218</v>
      </c>
      <c r="H9897">
        <v>236.98</v>
      </c>
      <c r="I9897">
        <v>236.97</v>
      </c>
      <c r="J9897">
        <v>0.01</v>
      </c>
    </row>
    <row r="9898" spans="1:10" x14ac:dyDescent="0.3">
      <c r="A9898" t="str">
        <f>HYPERLINK("https://us2.cloudbeds.com/connect/10074733072513#/reservations/31694534123680?display=MHMFQN4Y9&amp;reservation_id=31694534123680", "MHMFQN4Y9")</f>
        <v>MHMFQN4Y9</v>
      </c>
      <c r="B9898" t="s">
        <v>10</v>
      </c>
      <c r="C9898" t="s">
        <v>42</v>
      </c>
      <c r="D9898" t="str">
        <f>HYPERLINK("https://us2.cloudbeds.com/connect/10074733072513#/reservations/31694534123680?display=Dustin%20Kuehl&amp;reservation_id=31694534123680&amp;guest_id=31694534123678", "Dustin Kuehl")</f>
        <v>Dustin Kuehl</v>
      </c>
      <c r="E9898" t="s">
        <v>8576</v>
      </c>
      <c r="F9898" t="s">
        <v>8436</v>
      </c>
      <c r="G9898">
        <v>169</v>
      </c>
      <c r="H9898">
        <v>183.71</v>
      </c>
      <c r="I9898">
        <v>183.7</v>
      </c>
      <c r="J9898">
        <v>0.01</v>
      </c>
    </row>
    <row r="9899" spans="1:10" x14ac:dyDescent="0.3">
      <c r="A9899" t="str">
        <f>HYPERLINK("https://us2.cloudbeds.com/connect/10074733072513#/reservations/31694569615505?display=MHMGNKZS4&amp;reservation_id=31694569615505", "MHMGNKZS4")</f>
        <v>MHMGNKZS4</v>
      </c>
      <c r="B9899" t="s">
        <v>10</v>
      </c>
      <c r="C9899" t="s">
        <v>121</v>
      </c>
      <c r="D9899" t="str">
        <f>HYPERLINK("https://us2.cloudbeds.com/connect/10074733072513#/reservations/31694569615505?display=Danielle%20Rowland&amp;reservation_id=31694569615505&amp;guest_id=31694569615500", "Danielle Rowland")</f>
        <v>Danielle Rowland</v>
      </c>
      <c r="E9899" t="s">
        <v>8577</v>
      </c>
      <c r="F9899" t="s">
        <v>8436</v>
      </c>
      <c r="G9899">
        <v>129</v>
      </c>
      <c r="H9899">
        <v>140.22999999999999</v>
      </c>
      <c r="I9899">
        <v>140.22</v>
      </c>
      <c r="J9899">
        <v>0.01</v>
      </c>
    </row>
    <row r="9900" spans="1:10" x14ac:dyDescent="0.3">
      <c r="A9900" t="str">
        <f>HYPERLINK("https://us2.cloudbeds.com/connect/10074733072513#/reservations/31690864701588?display=MHJY1X21E&amp;reservation_id=31690864701588", "MHJY1X21E")</f>
        <v>MHJY1X21E</v>
      </c>
      <c r="B9900" t="s">
        <v>10</v>
      </c>
      <c r="C9900" t="s">
        <v>121</v>
      </c>
      <c r="D9900" t="str">
        <f>HYPERLINK("https://us2.cloudbeds.com/connect/10074733072513#/reservations/31690864701588?display=Mitchell%20Macek&amp;reservation_id=31690864701588&amp;guest_id=31690864701582", "Mitchell Macek")</f>
        <v>Mitchell Macek</v>
      </c>
      <c r="E9900" t="s">
        <v>8578</v>
      </c>
      <c r="F9900" t="s">
        <v>8436</v>
      </c>
      <c r="G9900">
        <v>139</v>
      </c>
      <c r="H9900">
        <v>151.1</v>
      </c>
      <c r="I9900">
        <v>151.09</v>
      </c>
      <c r="J9900">
        <v>0.01</v>
      </c>
    </row>
    <row r="9901" spans="1:10" x14ac:dyDescent="0.3">
      <c r="A9901" t="str">
        <f>HYPERLINK("https://us2.cloudbeds.com/connect/10074733072513#/reservations/31688333861071?display=MHHMCFMTX&amp;reservation_id=31688333861071", "MHHMCFMTX")</f>
        <v>MHHMCFMTX</v>
      </c>
      <c r="B9901" t="s">
        <v>10</v>
      </c>
      <c r="C9901" t="s">
        <v>42</v>
      </c>
      <c r="D9901" t="str">
        <f>HYPERLINK("https://us2.cloudbeds.com/connect/10074733072513#/reservations/31688333861071?display=Dustin%20Hasper&amp;reservation_id=31688333861071&amp;guest_id=31688327414007", "Dustin Hasper")</f>
        <v>Dustin Hasper</v>
      </c>
      <c r="E9901" t="s">
        <v>8579</v>
      </c>
      <c r="F9901" t="s">
        <v>8548</v>
      </c>
      <c r="G9901">
        <v>139</v>
      </c>
      <c r="H9901">
        <v>151.1</v>
      </c>
      <c r="I9901">
        <v>151.09</v>
      </c>
      <c r="J9901">
        <v>0.01</v>
      </c>
    </row>
    <row r="9902" spans="1:10" x14ac:dyDescent="0.3">
      <c r="A9902" t="str">
        <f>HYPERLINK("https://us2.cloudbeds.com/connect/10074733072513#/reservations/31691333398686?display=MHK00P87Q&amp;reservation_id=31691333398686", "MHK00P87Q")</f>
        <v>MHK00P87Q</v>
      </c>
      <c r="B9902" t="s">
        <v>10</v>
      </c>
      <c r="C9902" t="s">
        <v>42</v>
      </c>
      <c r="D9902" t="str">
        <f>HYPERLINK("https://us2.cloudbeds.com/connect/10074733072513#/reservations/31691333398686?display=Micheline%20Courtney&amp;reservation_id=31691333398686&amp;guest_id=31691333398682", "Micheline Courtney")</f>
        <v>Micheline Courtney</v>
      </c>
      <c r="E9902" t="s">
        <v>8581</v>
      </c>
      <c r="F9902" t="s">
        <v>8548</v>
      </c>
      <c r="G9902">
        <v>139</v>
      </c>
      <c r="H9902">
        <v>151.1</v>
      </c>
      <c r="I9902">
        <v>151.09</v>
      </c>
      <c r="J9902">
        <v>0.01</v>
      </c>
    </row>
    <row r="9903" spans="1:10" x14ac:dyDescent="0.3">
      <c r="A9903" t="str">
        <f>HYPERLINK("https://us2.cloudbeds.com/connect/10074733072513#/reservations/31691872297154?display=MHKDQ5TGD&amp;reservation_id=31691872297154", "MHKDQ5TGD")</f>
        <v>MHKDQ5TGD</v>
      </c>
      <c r="B9903" t="s">
        <v>10</v>
      </c>
      <c r="C9903" t="s">
        <v>23</v>
      </c>
      <c r="D9903" t="str">
        <f>HYPERLINK("https://us2.cloudbeds.com/connect/10074733072513#/reservations/31691872297154?display=Mary%20Thomas&amp;reservation_id=31691872297154&amp;guest_id=31691872293073", "Mary Thomas")</f>
        <v>Mary Thomas</v>
      </c>
      <c r="E9903" t="s">
        <v>8585</v>
      </c>
      <c r="F9903" t="s">
        <v>8034</v>
      </c>
      <c r="G9903">
        <v>642.6</v>
      </c>
      <c r="H9903">
        <v>698.52</v>
      </c>
      <c r="I9903">
        <v>698.51</v>
      </c>
      <c r="J9903">
        <v>0.01</v>
      </c>
    </row>
    <row r="9904" spans="1:10" x14ac:dyDescent="0.3">
      <c r="A9904" t="str">
        <f>HYPERLINK("https://us2.cloudbeds.com/connect/10074733072513#/reservations/31688786391225?display=MHX0V20DH&amp;reservation_id=31688786391225", "MHX0V20DH")</f>
        <v>MHX0V20DH</v>
      </c>
      <c r="B9904" t="s">
        <v>10</v>
      </c>
      <c r="C9904" t="s">
        <v>42</v>
      </c>
      <c r="D9904" t="str">
        <f>HYPERLINK("https://us2.cloudbeds.com/connect/10074733072513#/reservations/31688786391225?display=Estanislado%20Stanis%20Sandavol%20Jr&amp;reservation_id=31688786391225&amp;guest_id=31688786391223", "Estanislado Stanis Sandavol Jr")</f>
        <v>Estanislado Stanis Sandavol Jr</v>
      </c>
      <c r="E9904" t="s">
        <v>5222</v>
      </c>
      <c r="F9904" t="s">
        <v>8588</v>
      </c>
      <c r="G9904">
        <v>79</v>
      </c>
      <c r="H9904">
        <v>85.88</v>
      </c>
      <c r="I9904">
        <v>85.87</v>
      </c>
      <c r="J9904">
        <v>0.01</v>
      </c>
    </row>
    <row r="9905" spans="1:10" x14ac:dyDescent="0.3">
      <c r="A9905" t="str">
        <f>HYPERLINK("https://us2.cloudbeds.com/connect/10074733072513#/reservations/31688749940882?display=MHX00AZ0M&amp;reservation_id=31688749940882", "MHX00AZ0M")</f>
        <v>MHX00AZ0M</v>
      </c>
      <c r="B9905" t="s">
        <v>10</v>
      </c>
      <c r="C9905" t="s">
        <v>42</v>
      </c>
      <c r="D9905" t="str">
        <f>HYPERLINK("https://us2.cloudbeds.com/connect/10074733072513#/reservations/31688749940882?display=Andrew%20Pierce&amp;reservation_id=31688749940882&amp;guest_id=31688520413432", "Andrew Pierce")</f>
        <v>Andrew Pierce</v>
      </c>
      <c r="E9905" t="s">
        <v>7935</v>
      </c>
      <c r="F9905" t="s">
        <v>8588</v>
      </c>
      <c r="G9905">
        <v>198</v>
      </c>
      <c r="H9905">
        <v>215.24</v>
      </c>
      <c r="I9905">
        <v>215.23</v>
      </c>
      <c r="J9905">
        <v>0.01</v>
      </c>
    </row>
    <row r="9906" spans="1:10" x14ac:dyDescent="0.3">
      <c r="A9906" t="str">
        <f>HYPERLINK("https://us2.cloudbeds.com/connect/10074733072513#/reservations/31691296383159?display=MHJW2X7S5&amp;reservation_id=31691296383159", "MHJW2X7S5")</f>
        <v>MHJW2X7S5</v>
      </c>
      <c r="B9906" t="s">
        <v>10</v>
      </c>
      <c r="C9906" t="s">
        <v>121</v>
      </c>
      <c r="D9906" t="str">
        <f>HYPERLINK("https://us2.cloudbeds.com/connect/10074733072513#/reservations/31691296383159?display=Chad%20Kruger&amp;reservation_id=31691296383159&amp;guest_id=31691296383147", "Chad Kruger")</f>
        <v>Chad Kruger</v>
      </c>
      <c r="E9906" t="s">
        <v>8589</v>
      </c>
      <c r="F9906" t="s">
        <v>8553</v>
      </c>
      <c r="G9906">
        <v>99</v>
      </c>
      <c r="H9906">
        <v>107.62</v>
      </c>
      <c r="I9906">
        <v>107.61</v>
      </c>
      <c r="J9906">
        <v>0.01</v>
      </c>
    </row>
    <row r="9907" spans="1:10" x14ac:dyDescent="0.3">
      <c r="A9907" t="str">
        <f>HYPERLINK("https://us2.cloudbeds.com/connect/10074733072513#/reservations/31694213267668?display=MHM7K4S0R&amp;reservation_id=31694213267668", "MHM7K4S0R")</f>
        <v>MHM7K4S0R</v>
      </c>
      <c r="B9907" t="s">
        <v>10</v>
      </c>
      <c r="C9907" t="s">
        <v>42</v>
      </c>
      <c r="D9907" t="str">
        <f>HYPERLINK("https://us2.cloudbeds.com/connect/10074733072513#/reservations/31694213267668?display=Amy%20Elser&amp;reservation_id=31694213267668&amp;guest_id=31694213267663", "Amy Elser")</f>
        <v>Amy Elser</v>
      </c>
      <c r="E9907" t="s">
        <v>8590</v>
      </c>
      <c r="F9907" t="s">
        <v>6746</v>
      </c>
      <c r="G9907">
        <v>179</v>
      </c>
      <c r="H9907">
        <v>194.58</v>
      </c>
      <c r="I9907">
        <v>194.57</v>
      </c>
      <c r="J9907">
        <v>0.01</v>
      </c>
    </row>
    <row r="9908" spans="1:10" x14ac:dyDescent="0.3">
      <c r="A9908" t="str">
        <f>HYPERLINK("https://us2.cloudbeds.com/connect/10074733072513#/reservations/31695410319529?display=MHN56HJ6Y&amp;reservation_id=31695410319529", "MHN56HJ6Y")</f>
        <v>MHN56HJ6Y</v>
      </c>
      <c r="B9908" t="s">
        <v>10</v>
      </c>
      <c r="C9908" t="s">
        <v>23</v>
      </c>
      <c r="D9908" t="str">
        <f>HYPERLINK("https://us2.cloudbeds.com/connect/10074733072513#/reservations/31695410319529?display=Heidi%20Bowers&amp;reservation_id=31695410319529&amp;guest_id=31695397560471", "Heidi Bowers")</f>
        <v>Heidi Bowers</v>
      </c>
      <c r="E9908" t="s">
        <v>8591</v>
      </c>
      <c r="F9908" t="s">
        <v>8034</v>
      </c>
      <c r="G9908">
        <v>159</v>
      </c>
      <c r="H9908">
        <v>172.84</v>
      </c>
      <c r="I9908">
        <v>172.83</v>
      </c>
      <c r="J9908">
        <v>0.01</v>
      </c>
    </row>
    <row r="9909" spans="1:10" x14ac:dyDescent="0.3">
      <c r="A9909" t="str">
        <f>HYPERLINK("https://us2.cloudbeds.com/connect/10074733072513#/reservations/31730184708257?display=MXH2P76U1&amp;reservation_id=31730184708257", "MXH2P76U1")</f>
        <v>MXH2P76U1</v>
      </c>
      <c r="B9909" t="s">
        <v>10</v>
      </c>
      <c r="C9909" t="s">
        <v>42</v>
      </c>
      <c r="D9909" t="str">
        <f>HYPERLINK("https://us2.cloudbeds.com/connect/10074733072513#/reservations/31730184708257?display=Danielle%20Leapaldt&amp;reservation_id=31730184708257&amp;guest_id=31730184704165", "Danielle Leapaldt")</f>
        <v>Danielle Leapaldt</v>
      </c>
      <c r="E9909" t="s">
        <v>6923</v>
      </c>
      <c r="F9909" t="s">
        <v>6916</v>
      </c>
      <c r="G9909">
        <v>278</v>
      </c>
      <c r="H9909">
        <v>302.2</v>
      </c>
      <c r="I9909">
        <v>302.19</v>
      </c>
      <c r="J9909">
        <v>0.01</v>
      </c>
    </row>
    <row r="9910" spans="1:10" x14ac:dyDescent="0.3">
      <c r="A9910" t="str">
        <f>HYPERLINK("https://us2.cloudbeds.com/connect/10074733072513#/reservations/31694580994179?display=MHMH07CJE&amp;reservation_id=31694580994179", "MHMH07CJE")</f>
        <v>MHMH07CJE</v>
      </c>
      <c r="B9910" t="s">
        <v>10</v>
      </c>
      <c r="C9910" t="s">
        <v>121</v>
      </c>
      <c r="D9910" t="str">
        <f>HYPERLINK("https://us2.cloudbeds.com/connect/10074733072513#/reservations/31694580994179?display=Reece%20Reed&amp;reservation_id=31694580994179&amp;guest_id=31694580994177", "Reece Reed")</f>
        <v>Reece Reed</v>
      </c>
      <c r="E9910" t="s">
        <v>8593</v>
      </c>
      <c r="F9910" t="s">
        <v>8333</v>
      </c>
      <c r="G9910">
        <v>119</v>
      </c>
      <c r="H9910">
        <v>129.36000000000001</v>
      </c>
      <c r="I9910">
        <v>129.35</v>
      </c>
      <c r="J9910">
        <v>0.01</v>
      </c>
    </row>
    <row r="9911" spans="1:10" x14ac:dyDescent="0.3">
      <c r="A9911" t="str">
        <f>HYPERLINK("https://us2.cloudbeds.com/connect/10074733072513#/reservations/31730204414169?display=MXH38RXAT&amp;reservation_id=31730204414169", "MXH38RXAT")</f>
        <v>MXH38RXAT</v>
      </c>
      <c r="B9911" t="s">
        <v>10</v>
      </c>
      <c r="C9911" t="s">
        <v>42</v>
      </c>
      <c r="D9911" t="str">
        <f>HYPERLINK("https://us2.cloudbeds.com/connect/10074733072513#/reservations/31730204414169?display=Jeannie%20Sherrard&amp;reservation_id=31730204414169&amp;guest_id=31730195882239", "Jeannie Sherrard")</f>
        <v>Jeannie Sherrard</v>
      </c>
      <c r="E9911" t="s">
        <v>6923</v>
      </c>
      <c r="F9911" t="s">
        <v>6916</v>
      </c>
      <c r="G9911">
        <v>278</v>
      </c>
      <c r="H9911">
        <v>302.2</v>
      </c>
      <c r="I9911">
        <v>302.19</v>
      </c>
      <c r="J9911">
        <v>0.01</v>
      </c>
    </row>
    <row r="9912" spans="1:10" x14ac:dyDescent="0.3">
      <c r="A9912" t="str">
        <f>HYPERLINK("https://us2.cloudbeds.com/connect/10074733072513#/reservations/31692278132903?display=MHKZ5CSPD&amp;reservation_id=31692278132903", "MHKZ5CSPD")</f>
        <v>MHKZ5CSPD</v>
      </c>
      <c r="B9912" t="s">
        <v>10</v>
      </c>
      <c r="C9912" t="s">
        <v>42</v>
      </c>
      <c r="D9912" t="str">
        <f>HYPERLINK("https://us2.cloudbeds.com/connect/10074733072513#/reservations/31692278132903?display=Diann%20Gayer&amp;reservation_id=31692278132903&amp;guest_id=31692263858333", "Diann Gayer")</f>
        <v>Diann Gayer</v>
      </c>
      <c r="E9912" t="s">
        <v>8595</v>
      </c>
      <c r="F9912" t="s">
        <v>8281</v>
      </c>
      <c r="G9912">
        <v>159</v>
      </c>
      <c r="H9912">
        <v>172.84</v>
      </c>
      <c r="I9912">
        <v>172.83</v>
      </c>
      <c r="J9912">
        <v>0.01</v>
      </c>
    </row>
    <row r="9913" spans="1:10" x14ac:dyDescent="0.3">
      <c r="A9913" t="str">
        <f>HYPERLINK("https://us2.cloudbeds.com/connect/10074733072513#/reservations/31695336358074?display=MHN3A5GBE&amp;reservation_id=31695336358074", "MHN3A5GBE")</f>
        <v>MHN3A5GBE</v>
      </c>
      <c r="B9913" t="s">
        <v>10</v>
      </c>
      <c r="C9913" t="s">
        <v>42</v>
      </c>
      <c r="D9913" t="str">
        <f>HYPERLINK("https://us2.cloudbeds.com/connect/10074733072513#/reservations/31695336358074?display=Paul%20Stevenson&amp;reservation_id=31695336358074&amp;guest_id=31679659221242", "Paul Stevenson")</f>
        <v>Paul Stevenson</v>
      </c>
      <c r="E9913" t="s">
        <v>6445</v>
      </c>
      <c r="F9913" t="s">
        <v>8387</v>
      </c>
      <c r="G9913">
        <v>150</v>
      </c>
      <c r="H9913">
        <v>163.06</v>
      </c>
      <c r="I9913">
        <v>163.05000000000001</v>
      </c>
      <c r="J9913">
        <v>0.01</v>
      </c>
    </row>
    <row r="9914" spans="1:10" x14ac:dyDescent="0.3">
      <c r="A9914" t="str">
        <f>HYPERLINK("https://us2.cloudbeds.com/connect/10074733072513#/reservations/31695144030431?display=MHMVCWMV1&amp;reservation_id=31695144030431", "MHMVCWMV1")</f>
        <v>MHMVCWMV1</v>
      </c>
      <c r="B9914" t="s">
        <v>10</v>
      </c>
      <c r="C9914" t="s">
        <v>42</v>
      </c>
      <c r="D9914" t="str">
        <f>HYPERLINK("https://us2.cloudbeds.com/connect/10074733072513#/reservations/31695144030431?display=Curtis%20Loveing&amp;reservation_id=31695144030431&amp;guest_id=31695144030429", "Curtis Loveing")</f>
        <v>Curtis Loveing</v>
      </c>
      <c r="E9914" t="s">
        <v>8597</v>
      </c>
      <c r="F9914" t="s">
        <v>8151</v>
      </c>
      <c r="G9914">
        <v>298</v>
      </c>
      <c r="H9914">
        <v>323.94</v>
      </c>
      <c r="I9914">
        <v>323.93</v>
      </c>
      <c r="J9914">
        <v>0.01</v>
      </c>
    </row>
    <row r="9915" spans="1:10" x14ac:dyDescent="0.3">
      <c r="A9915" t="str">
        <f>HYPERLINK("https://us2.cloudbeds.com/connect/10074733072513#/reservations/31695941878007?display=MHNXPZWBA&amp;reservation_id=31695941878007", "MHNXPZWBA")</f>
        <v>MHNXPZWBA</v>
      </c>
      <c r="B9915" t="s">
        <v>10</v>
      </c>
      <c r="C9915" t="s">
        <v>42</v>
      </c>
      <c r="D9915" t="str">
        <f>HYPERLINK("https://us2.cloudbeds.com/connect/10074733072513#/reservations/31695941878007?display=Tircia%20Garza&amp;reservation_id=31695941878007&amp;guest_id=31695941878003", "Tircia Garza")</f>
        <v>Tircia Garza</v>
      </c>
      <c r="E9915" t="s">
        <v>8598</v>
      </c>
      <c r="F9915" t="s">
        <v>8151</v>
      </c>
      <c r="G9915">
        <v>149</v>
      </c>
      <c r="H9915">
        <v>161.97</v>
      </c>
      <c r="I9915">
        <v>161.96</v>
      </c>
      <c r="J9915">
        <v>0.01</v>
      </c>
    </row>
    <row r="9916" spans="1:10" x14ac:dyDescent="0.3">
      <c r="A9916" t="str">
        <f>HYPERLINK("https://us2.cloudbeds.com/connect/10074733072513#/reservations/31694328410310?display=MHMAX7SFQ&amp;reservation_id=31694328410310", "MHMAX7SFQ")</f>
        <v>MHMAX7SFQ</v>
      </c>
      <c r="B9916" t="s">
        <v>10</v>
      </c>
      <c r="C9916" t="s">
        <v>17</v>
      </c>
      <c r="D9916" t="str">
        <f>HYPERLINK("https://us2.cloudbeds.com/connect/10074733072513#/reservations/31694328410310?display=Cydney%20Willard&amp;reservation_id=31694328410310&amp;guest_id=31694328410308", "Cydney Willard")</f>
        <v>Cydney Willard</v>
      </c>
      <c r="E9916" t="s">
        <v>8599</v>
      </c>
      <c r="F9916" t="s">
        <v>8600</v>
      </c>
      <c r="G9916">
        <v>139</v>
      </c>
      <c r="H9916">
        <v>151.1</v>
      </c>
      <c r="I9916">
        <v>151.09</v>
      </c>
      <c r="J9916">
        <v>0.01</v>
      </c>
    </row>
    <row r="9917" spans="1:10" x14ac:dyDescent="0.3">
      <c r="A9917" t="str">
        <f>HYPERLINK("https://us2.cloudbeds.com/connect/10074733072513#/reservations/31695293087932?display=MHN26MEH0&amp;reservation_id=31695293087932", "MHN26MEH0")</f>
        <v>MHN26MEH0</v>
      </c>
      <c r="B9917" t="s">
        <v>10</v>
      </c>
      <c r="C9917" t="s">
        <v>14</v>
      </c>
      <c r="D9917" t="str">
        <f>HYPERLINK("https://us2.cloudbeds.com/connect/10074733072513#/reservations/31695293087932?display=Elizabeth%20Hofer&amp;reservation_id=31695293087932&amp;guest_id=31695293087872", "Elizabeth Hofer")</f>
        <v>Elizabeth Hofer</v>
      </c>
      <c r="E9917" t="s">
        <v>8601</v>
      </c>
      <c r="F9917" t="s">
        <v>8588</v>
      </c>
      <c r="G9917">
        <v>87.82</v>
      </c>
      <c r="H9917">
        <v>95.47</v>
      </c>
      <c r="I9917">
        <v>95.46</v>
      </c>
      <c r="J9917">
        <v>0.01</v>
      </c>
    </row>
    <row r="9918" spans="1:10" x14ac:dyDescent="0.3">
      <c r="A9918" t="str">
        <f>HYPERLINK("https://us2.cloudbeds.com/connect/10074733072513#/reservations/31711404994713?display=MX2HTYWTE&amp;reservation_id=31711404994713", "MX2HTYWTE")</f>
        <v>MX2HTYWTE</v>
      </c>
      <c r="B9918" t="s">
        <v>10</v>
      </c>
      <c r="C9918" t="s">
        <v>42</v>
      </c>
      <c r="D9918" t="str">
        <f>HYPERLINK("https://us2.cloudbeds.com/connect/10074733072513#/reservations/31711404994713?display=Todd%20Wilson&amp;reservation_id=31711404994713&amp;guest_id=31711404990617", "Todd Wilson")</f>
        <v>Todd Wilson</v>
      </c>
      <c r="E9918" t="s">
        <v>8602</v>
      </c>
      <c r="F9918" t="s">
        <v>8603</v>
      </c>
      <c r="G9918">
        <v>358</v>
      </c>
      <c r="H9918">
        <v>389.16</v>
      </c>
      <c r="I9918">
        <v>389.15</v>
      </c>
      <c r="J9918">
        <v>0.01</v>
      </c>
    </row>
    <row r="9919" spans="1:10" x14ac:dyDescent="0.3">
      <c r="A9919" t="str">
        <f>HYPERLINK("https://us2.cloudbeds.com/connect/10074733072513#/reservations/31736036880583?display=MXYK9UHHC&amp;reservation_id=31736036880583", "MXYK9UHHC")</f>
        <v>MXYK9UHHC</v>
      </c>
      <c r="B9919" t="s">
        <v>10</v>
      </c>
      <c r="C9919" t="s">
        <v>42</v>
      </c>
      <c r="D9919" t="str">
        <f>HYPERLINK("https://us2.cloudbeds.com/connect/10074733072513#/reservations/31736036880583?display=Kayla%20Lux&amp;reservation_id=31736036880583&amp;guest_id=31736036880580", "Kayla Lux")</f>
        <v>Kayla Lux</v>
      </c>
      <c r="E9919" t="s">
        <v>8605</v>
      </c>
      <c r="F9919" t="s">
        <v>6916</v>
      </c>
      <c r="G9919">
        <v>139</v>
      </c>
      <c r="H9919">
        <v>151.1</v>
      </c>
      <c r="I9919">
        <v>151.09</v>
      </c>
      <c r="J9919">
        <v>0.01</v>
      </c>
    </row>
    <row r="9920" spans="1:10" x14ac:dyDescent="0.3">
      <c r="A9920" t="str">
        <f>HYPERLINK("https://us2.cloudbeds.com/connect/10074733072513#/reservations/31690947748045?display=MHJN5XVDN&amp;reservation_id=31690947748045", "MHJN5XVDN")</f>
        <v>MHJN5XVDN</v>
      </c>
      <c r="B9920" t="s">
        <v>10</v>
      </c>
      <c r="C9920" t="s">
        <v>42</v>
      </c>
      <c r="D9920" t="str">
        <f>HYPERLINK("https://us2.cloudbeds.com/connect/10074733072513#/reservations/31690947748045?display=Colby%20Lacompte&amp;reservation_id=31690947748045&amp;guest_id=31690947743963", "Colby Lacompte")</f>
        <v>Colby Lacompte</v>
      </c>
      <c r="E9920" t="s">
        <v>8606</v>
      </c>
      <c r="F9920" t="s">
        <v>7567</v>
      </c>
      <c r="G9920">
        <v>179</v>
      </c>
      <c r="H9920">
        <v>194.58</v>
      </c>
      <c r="I9920">
        <v>194.57</v>
      </c>
      <c r="J9920">
        <v>0.01</v>
      </c>
    </row>
    <row r="9921" spans="1:10" x14ac:dyDescent="0.3">
      <c r="A9921" t="str">
        <f>HYPERLINK("https://us2.cloudbeds.com/connect/10074733072513#/reservations/31695507935453?display=MHN7MRTAV&amp;reservation_id=31695507935453", "MHN7MRTAV")</f>
        <v>MHN7MRTAV</v>
      </c>
      <c r="B9921" t="s">
        <v>10</v>
      </c>
      <c r="C9921" t="s">
        <v>42</v>
      </c>
      <c r="D9921" t="str">
        <f>HYPERLINK("https://us2.cloudbeds.com/connect/10074733072513#/reservations/31695507935453?display=Levi%20Mckown&amp;reservation_id=31695507935453&amp;guest_id=31695507935448", "Levi Mckown")</f>
        <v>Levi Mckown</v>
      </c>
      <c r="E9921" t="s">
        <v>8607</v>
      </c>
      <c r="F9921" t="s">
        <v>8387</v>
      </c>
      <c r="G9921">
        <v>198</v>
      </c>
      <c r="H9921">
        <v>215.24</v>
      </c>
      <c r="I9921">
        <v>215.23</v>
      </c>
      <c r="J9921">
        <v>0.01</v>
      </c>
    </row>
    <row r="9922" spans="1:10" x14ac:dyDescent="0.3">
      <c r="A9922" t="str">
        <f>HYPERLINK("https://us2.cloudbeds.com/connect/10074733072513#/reservations/31691496956100?display=MHK46MFN2&amp;reservation_id=31691496956100", "MHK46MFN2")</f>
        <v>MHK46MFN2</v>
      </c>
      <c r="B9922" t="s">
        <v>10</v>
      </c>
      <c r="C9922" t="s">
        <v>42</v>
      </c>
      <c r="D9922" t="str">
        <f>HYPERLINK("https://us2.cloudbeds.com/connect/10074733072513#/reservations/31691496956100?display=Deb%20Gettner&amp;reservation_id=31691496956100&amp;guest_id=31691482103978", "Deb Gettner")</f>
        <v>Deb Gettner</v>
      </c>
      <c r="E9922" t="s">
        <v>8608</v>
      </c>
      <c r="F9922" t="s">
        <v>6604</v>
      </c>
      <c r="G9922">
        <v>358</v>
      </c>
      <c r="H9922">
        <v>389.16</v>
      </c>
      <c r="I9922">
        <v>389.15</v>
      </c>
      <c r="J9922">
        <v>0.01</v>
      </c>
    </row>
    <row r="9923" spans="1:10" x14ac:dyDescent="0.3">
      <c r="A9923" t="str">
        <f>HYPERLINK("https://us2.cloudbeds.com/connect/10074733072513#/reservations/31734583763116?display=MXKG5KD1Z&amp;reservation_id=31734583763116", "MXKG5KD1Z")</f>
        <v>MXKG5KD1Z</v>
      </c>
      <c r="B9923" t="s">
        <v>10</v>
      </c>
      <c r="C9923" t="s">
        <v>42</v>
      </c>
      <c r="D9923" t="str">
        <f>HYPERLINK("https://us2.cloudbeds.com/connect/10074733072513#/reservations/31734583763116?display=Charmayne%20Sherrard&amp;reservation_id=31734583763116&amp;guest_id=31734567649419", "Charmayne Sherrard")</f>
        <v>Charmayne Sherrard</v>
      </c>
      <c r="E9923" t="s">
        <v>6923</v>
      </c>
      <c r="F9923" t="s">
        <v>8428</v>
      </c>
      <c r="G9923">
        <v>278</v>
      </c>
      <c r="H9923">
        <v>302.2</v>
      </c>
      <c r="I9923">
        <v>302.19</v>
      </c>
      <c r="J9923">
        <v>0.01</v>
      </c>
    </row>
    <row r="9924" spans="1:10" x14ac:dyDescent="0.3">
      <c r="A9924" t="str">
        <f>HYPERLINK("https://us2.cloudbeds.com/connect/10074733072513#/reservations/31695018950836?display=MHMS6H5Y9&amp;reservation_id=31695018950836", "MHMS6H5Y9")</f>
        <v>MHMS6H5Y9</v>
      </c>
      <c r="B9924" t="s">
        <v>10</v>
      </c>
      <c r="C9924" t="s">
        <v>17</v>
      </c>
      <c r="D9924" t="str">
        <f>HYPERLINK("https://us2.cloudbeds.com/connect/10074733072513#/reservations/31695018950836?display=Rebecca%20Hartman&amp;reservation_id=31695018950836&amp;guest_id=31695018950834", "Rebecca Hartman")</f>
        <v>Rebecca Hartman</v>
      </c>
      <c r="E9924" t="s">
        <v>8609</v>
      </c>
      <c r="F9924" t="s">
        <v>8610</v>
      </c>
      <c r="G9924">
        <v>159</v>
      </c>
      <c r="H9924">
        <v>172.84</v>
      </c>
      <c r="I9924">
        <v>172.83</v>
      </c>
      <c r="J9924">
        <v>0.01</v>
      </c>
    </row>
    <row r="9925" spans="1:10" x14ac:dyDescent="0.3">
      <c r="A9925" t="str">
        <f>HYPERLINK("https://us2.cloudbeds.com/connect/10074733072513#/reservations/31695529201846?display=MHN87PYN3&amp;reservation_id=31695529201846", "MHN87PYN3")</f>
        <v>MHN87PYN3</v>
      </c>
      <c r="B9925" t="s">
        <v>10</v>
      </c>
      <c r="C9925" t="s">
        <v>42</v>
      </c>
      <c r="D9925" t="str">
        <f>HYPERLINK("https://us2.cloudbeds.com/connect/10074733072513#/reservations/31695529201846?display=Matt%20Rogers&amp;reservation_id=31695529201846&amp;guest_id=31695529201841", "Matt Rogers")</f>
        <v>Matt Rogers</v>
      </c>
      <c r="E9925" t="s">
        <v>8612</v>
      </c>
      <c r="F9925" t="s">
        <v>8387</v>
      </c>
      <c r="G9925">
        <v>73</v>
      </c>
      <c r="H9925">
        <v>79.36</v>
      </c>
      <c r="I9925">
        <v>79.349999999999994</v>
      </c>
      <c r="J9925">
        <v>0.01</v>
      </c>
    </row>
    <row r="9926" spans="1:10" x14ac:dyDescent="0.3">
      <c r="A9926" t="str">
        <f>HYPERLINK("https://us2.cloudbeds.com/connect/10074733072513#/reservations/31691273212140?display=MHJVG0FH2&amp;reservation_id=31691273212140", "MHJVG0FH2")</f>
        <v>MHJVG0FH2</v>
      </c>
      <c r="B9926" t="s">
        <v>10</v>
      </c>
      <c r="C9926" t="s">
        <v>42</v>
      </c>
      <c r="D9926" t="str">
        <f>HYPERLINK("https://us2.cloudbeds.com/connect/10074733072513#/reservations/31691273212140?display=Tom%20Lavtenture&amp;reservation_id=31691273212140&amp;guest_id=31691273212129", "Tom Lavtenture")</f>
        <v>Tom Lavtenture</v>
      </c>
      <c r="E9926" t="s">
        <v>8613</v>
      </c>
      <c r="F9926" t="s">
        <v>8506</v>
      </c>
      <c r="G9926">
        <v>159</v>
      </c>
      <c r="H9926">
        <v>172.84</v>
      </c>
      <c r="I9926">
        <v>172.83</v>
      </c>
      <c r="J9926">
        <v>0.01</v>
      </c>
    </row>
    <row r="9927" spans="1:10" x14ac:dyDescent="0.3">
      <c r="A9927" t="str">
        <f>HYPERLINK("https://us2.cloudbeds.com/connect/10074733072513#/reservations/31728246853773?display=MXFJ85X6T&amp;reservation_id=31728246853773", "MXFJ85X6T")</f>
        <v>MXFJ85X6T</v>
      </c>
      <c r="B9927" t="s">
        <v>10</v>
      </c>
      <c r="C9927" t="s">
        <v>20</v>
      </c>
      <c r="D9927" t="str">
        <f>HYPERLINK("https://us2.cloudbeds.com/connect/10074733072513#/reservations/31728246853773?display=Scott%20Meyer&amp;reservation_id=31728246853773&amp;guest_id=31728246853768", "Scott Meyer")</f>
        <v>Scott Meyer</v>
      </c>
      <c r="E9927" t="s">
        <v>8614</v>
      </c>
      <c r="F9927" t="s">
        <v>8544</v>
      </c>
      <c r="G9927">
        <v>179</v>
      </c>
      <c r="H9927">
        <v>194.58</v>
      </c>
      <c r="I9927">
        <v>194.57</v>
      </c>
      <c r="J9927">
        <v>0.01</v>
      </c>
    </row>
    <row r="9928" spans="1:10" x14ac:dyDescent="0.3">
      <c r="A9928" t="str">
        <f>HYPERLINK("https://us2.cloudbeds.com/connect/10074733072513#/reservations/31688711237840?display=MHHW0MP17&amp;reservation_id=31688711237840", "MHHW0MP17")</f>
        <v>MHHW0MP17</v>
      </c>
      <c r="B9928" t="s">
        <v>10</v>
      </c>
      <c r="C9928" t="s">
        <v>121</v>
      </c>
      <c r="D9928" t="str">
        <f>HYPERLINK("https://us2.cloudbeds.com/connect/10074733072513#/reservations/31688711237840?display=Tammy%20Larson&amp;reservation_id=31688711237840&amp;guest_id=31688711237838", "Tammy Larson")</f>
        <v>Tammy Larson</v>
      </c>
      <c r="E9928" t="s">
        <v>8615</v>
      </c>
      <c r="F9928" t="s">
        <v>8588</v>
      </c>
      <c r="G9928">
        <v>119</v>
      </c>
      <c r="H9928">
        <v>129.36000000000001</v>
      </c>
      <c r="I9928">
        <v>129.35</v>
      </c>
      <c r="J9928">
        <v>0.01</v>
      </c>
    </row>
    <row r="9929" spans="1:10" x14ac:dyDescent="0.3">
      <c r="A9929" t="str">
        <f>HYPERLINK("https://us2.cloudbeds.com/connect/10074733072513#/reservations/31690525974722?display=MHJCCUG2V&amp;reservation_id=31690525974722", "MHJCCUG2V")</f>
        <v>MHJCCUG2V</v>
      </c>
      <c r="B9929" t="s">
        <v>10</v>
      </c>
      <c r="C9929" t="s">
        <v>42</v>
      </c>
      <c r="D9929" t="str">
        <f>HYPERLINK("https://us2.cloudbeds.com/connect/10074733072513#/reservations/31690525974722?display=Mary%20Herlihy&amp;reservation_id=31690525974722&amp;guest_id=31690517835946", "Mary Herlihy")</f>
        <v>Mary Herlihy</v>
      </c>
      <c r="E9929" t="s">
        <v>8616</v>
      </c>
      <c r="F9929" t="s">
        <v>8260</v>
      </c>
      <c r="G9929">
        <v>119</v>
      </c>
      <c r="H9929">
        <v>129.36000000000001</v>
      </c>
      <c r="I9929">
        <v>129.35</v>
      </c>
      <c r="J9929">
        <v>0.01</v>
      </c>
    </row>
    <row r="9930" spans="1:10" x14ac:dyDescent="0.3">
      <c r="A9930" t="str">
        <f>HYPERLINK("https://us2.cloudbeds.com/connect/10074733072513#/reservations/31695297863889?display=MHN2ANB4W&amp;reservation_id=31695297863889", "MHN2ANB4W")</f>
        <v>MHN2ANB4W</v>
      </c>
      <c r="B9930" t="s">
        <v>10</v>
      </c>
      <c r="C9930" t="s">
        <v>42</v>
      </c>
      <c r="D9930" t="str">
        <f>HYPERLINK("https://us2.cloudbeds.com/connect/10074733072513#/reservations/31695297863889?display=Benjermin%20Michael%20Burns&amp;reservation_id=31695297863889&amp;guest_id=31695297859798", "Benjermin Michael Burns")</f>
        <v>Benjermin Michael Burns</v>
      </c>
      <c r="E9930" t="s">
        <v>8618</v>
      </c>
      <c r="F9930" t="s">
        <v>8387</v>
      </c>
      <c r="G9930">
        <v>119</v>
      </c>
      <c r="H9930">
        <v>129.36000000000001</v>
      </c>
      <c r="I9930">
        <v>129.35</v>
      </c>
      <c r="J9930">
        <v>0.01</v>
      </c>
    </row>
    <row r="9931" spans="1:10" x14ac:dyDescent="0.3">
      <c r="A9931" t="str">
        <f>HYPERLINK("https://us2.cloudbeds.com/connect/10074733072513#/reservations/31695316746375?display=MHN2QKPEH&amp;reservation_id=31695316746375", "MHN2QKPEH")</f>
        <v>MHN2QKPEH</v>
      </c>
      <c r="B9931" t="s">
        <v>10</v>
      </c>
      <c r="C9931" t="s">
        <v>11</v>
      </c>
      <c r="D9931" t="str">
        <f>HYPERLINK("https://us2.cloudbeds.com/connect/10074733072513#/reservations/31695316746375?display=Savannah%20Dorrance&amp;reservation_id=31695316746375&amp;guest_id=31695307710634", "Savannah Dorrance")</f>
        <v>Savannah Dorrance</v>
      </c>
      <c r="E9931" t="s">
        <v>8621</v>
      </c>
      <c r="F9931" t="s">
        <v>8387</v>
      </c>
      <c r="G9931">
        <v>87.82</v>
      </c>
      <c r="H9931">
        <v>95.47</v>
      </c>
      <c r="I9931">
        <v>95.46</v>
      </c>
      <c r="J9931">
        <v>0.01</v>
      </c>
    </row>
    <row r="9932" spans="1:10" x14ac:dyDescent="0.3">
      <c r="A9932" t="str">
        <f>HYPERLINK("https://us2.cloudbeds.com/connect/10074733072513#/reservations/31690010509454?display=MHXW78TUA&amp;reservation_id=31690010509454", "MHXW78TUA")</f>
        <v>MHXW78TUA</v>
      </c>
      <c r="B9932" t="s">
        <v>10</v>
      </c>
      <c r="C9932" t="s">
        <v>23</v>
      </c>
      <c r="D9932" t="str">
        <f>HYPERLINK("https://us2.cloudbeds.com/connect/10074733072513#/reservations/31690010509454?display=Tim%20Yseth&amp;reservation_id=31690010509454&amp;guest_id=31690010509448", "Tim Yseth")</f>
        <v>Tim Yseth</v>
      </c>
      <c r="E9932" t="s">
        <v>8622</v>
      </c>
      <c r="F9932" t="s">
        <v>8210</v>
      </c>
      <c r="G9932">
        <v>318</v>
      </c>
      <c r="H9932">
        <v>345.68</v>
      </c>
      <c r="I9932">
        <v>345.67</v>
      </c>
      <c r="J9932">
        <v>0.01</v>
      </c>
    </row>
    <row r="9933" spans="1:10" x14ac:dyDescent="0.3">
      <c r="A9933" t="str">
        <f>HYPERLINK("https://us2.cloudbeds.com/connect/10074733072513#/reservations/31691911827690?display=MHKEQGTBE&amp;reservation_id=31691911827690", "MHKEQGTBE")</f>
        <v>MHKEQGTBE</v>
      </c>
      <c r="B9933" t="s">
        <v>10</v>
      </c>
      <c r="C9933" t="s">
        <v>23</v>
      </c>
      <c r="D9933" t="str">
        <f>HYPERLINK("https://us2.cloudbeds.com/connect/10074733072513#/reservations/31691911827690?display=Kayla%20Maurer&amp;reservation_id=31691911827690&amp;guest_id=31691911827680", "Kayla Maurer")</f>
        <v>Kayla Maurer</v>
      </c>
      <c r="E9933" t="s">
        <v>8623</v>
      </c>
      <c r="F9933" t="s">
        <v>8533</v>
      </c>
      <c r="G9933">
        <v>278</v>
      </c>
      <c r="H9933">
        <v>302.2</v>
      </c>
      <c r="I9933">
        <v>302.19</v>
      </c>
      <c r="J9933">
        <v>0.01</v>
      </c>
    </row>
    <row r="9934" spans="1:10" x14ac:dyDescent="0.3">
      <c r="A9934" t="str">
        <f>HYPERLINK("https://us2.cloudbeds.com/connect/10074733072513#/reservations/31695208956118?display=MHN01ZBG3&amp;reservation_id=31695208956118", "MHN01ZBG3")</f>
        <v>MHN01ZBG3</v>
      </c>
      <c r="B9934" t="s">
        <v>10</v>
      </c>
      <c r="C9934" t="s">
        <v>14</v>
      </c>
      <c r="D9934" t="str">
        <f>HYPERLINK("https://us2.cloudbeds.com/connect/10074733072513#/reservations/31695208956118?display=Dennis%20Mcdermott&amp;reservation_id=31695208956118&amp;guest_id=31695208956114", "Dennis Mcdermott")</f>
        <v>Dennis Mcdermott</v>
      </c>
      <c r="E9934" t="s">
        <v>8624</v>
      </c>
      <c r="F9934" t="s">
        <v>8440</v>
      </c>
      <c r="G9934">
        <v>428.4</v>
      </c>
      <c r="H9934">
        <v>465.68</v>
      </c>
      <c r="I9934">
        <v>465.67</v>
      </c>
      <c r="J9934">
        <v>0.01</v>
      </c>
    </row>
    <row r="9935" spans="1:10" x14ac:dyDescent="0.3">
      <c r="A9935" t="str">
        <f>HYPERLINK("https://us2.cloudbeds.com/connect/10074733072513#/reservations/31690491748510?display=MHJBH2320&amp;reservation_id=31690491748510", "MHJBH2320")</f>
        <v>MHJBH2320</v>
      </c>
      <c r="B9935" t="s">
        <v>10</v>
      </c>
      <c r="C9935" t="s">
        <v>42</v>
      </c>
      <c r="D9935" t="str">
        <f>HYPERLINK("https://us2.cloudbeds.com/connect/10074733072513#/reservations/31690491748510?display=Crystal%20Knock&amp;reservation_id=31690491748510&amp;guest_id=31690481725648", "Crystal Knock")</f>
        <v>Crystal Knock</v>
      </c>
      <c r="E9935" t="s">
        <v>8625</v>
      </c>
      <c r="F9935" t="s">
        <v>8260</v>
      </c>
      <c r="G9935">
        <v>238</v>
      </c>
      <c r="H9935">
        <v>258.72000000000003</v>
      </c>
      <c r="I9935">
        <v>258.70999999999998</v>
      </c>
      <c r="J9935">
        <v>0.01</v>
      </c>
    </row>
    <row r="9936" spans="1:10" x14ac:dyDescent="0.3">
      <c r="A9936" t="str">
        <f>HYPERLINK("https://us2.cloudbeds.com/connect/10074733072513#/reservations/31695236272290?display=MHN0ZPF6T&amp;reservation_id=31695236272290", "MHN0ZPF6T")</f>
        <v>MHN0ZPF6T</v>
      </c>
      <c r="B9936" t="s">
        <v>10</v>
      </c>
      <c r="C9936" t="s">
        <v>42</v>
      </c>
      <c r="D9936" t="str">
        <f>HYPERLINK("https://us2.cloudbeds.com/connect/10074733072513#/reservations/31695236272290?display=Chris%20Edinger&amp;reservation_id=31695236272290&amp;guest_id=31691657380012", "Chris Edinger")</f>
        <v>Chris Edinger</v>
      </c>
      <c r="E9936" t="s">
        <v>8626</v>
      </c>
      <c r="F9936" t="s">
        <v>8440</v>
      </c>
      <c r="G9936">
        <v>225</v>
      </c>
      <c r="H9936">
        <v>244.59</v>
      </c>
      <c r="I9936">
        <v>244.58</v>
      </c>
      <c r="J9936">
        <v>0.01</v>
      </c>
    </row>
    <row r="9937" spans="1:10" x14ac:dyDescent="0.3">
      <c r="A9937" t="str">
        <f>HYPERLINK("https://us2.cloudbeds.com/connect/10074733072513#/reservations/31689486508190?display=MHXXRDQC4&amp;reservation_id=31689486508190", "MHXXRDQC4")</f>
        <v>MHXXRDQC4</v>
      </c>
      <c r="B9937" t="s">
        <v>10</v>
      </c>
      <c r="C9937" t="s">
        <v>42</v>
      </c>
      <c r="D9937" t="str">
        <f>HYPERLINK("https://us2.cloudbeds.com/connect/10074733072513#/reservations/31689486508190?display=Barb%20Fish&amp;reservation_id=31689486508190&amp;guest_id=31689486508175", "Barb Fish")</f>
        <v>Barb Fish</v>
      </c>
      <c r="E9937" t="s">
        <v>8628</v>
      </c>
      <c r="F9937" t="s">
        <v>8034</v>
      </c>
      <c r="G9937">
        <v>159</v>
      </c>
      <c r="H9937">
        <v>172.84</v>
      </c>
      <c r="I9937">
        <v>172.83</v>
      </c>
      <c r="J9937">
        <v>0.01</v>
      </c>
    </row>
    <row r="9938" spans="1:10" x14ac:dyDescent="0.3">
      <c r="A9938" t="str">
        <f>HYPERLINK("https://us2.cloudbeds.com/connect/10074733072513#/reservations/31692279972054?display=MHKZ6V1K8&amp;reservation_id=31692279972054", "MHKZ6V1K8")</f>
        <v>MHKZ6V1K8</v>
      </c>
      <c r="B9938" t="s">
        <v>10</v>
      </c>
      <c r="C9938" t="s">
        <v>42</v>
      </c>
      <c r="D9938" t="str">
        <f>HYPERLINK("https://us2.cloudbeds.com/connect/10074733072513#/reservations/31692279972054?display=Becki%20Beer&amp;reservation_id=31692279972054&amp;guest_id=31692279972049", "Becki Beer")</f>
        <v>Becki Beer</v>
      </c>
      <c r="E9938" t="s">
        <v>8629</v>
      </c>
      <c r="F9938" t="s">
        <v>8281</v>
      </c>
      <c r="G9938">
        <v>159</v>
      </c>
      <c r="H9938">
        <v>172.84</v>
      </c>
      <c r="I9938">
        <v>172.83</v>
      </c>
      <c r="J9938">
        <v>0.01</v>
      </c>
    </row>
    <row r="9939" spans="1:10" x14ac:dyDescent="0.3">
      <c r="A9939" t="str">
        <f>HYPERLINK("https://us2.cloudbeds.com/connect/10074733072513#/reservations/31692913189066?display=MHY7CT83X&amp;reservation_id=31692913189066", "MHY7CT83X")</f>
        <v>MHY7CT83X</v>
      </c>
      <c r="B9939" t="s">
        <v>10</v>
      </c>
      <c r="C9939" t="s">
        <v>42</v>
      </c>
      <c r="D9939" t="str">
        <f>HYPERLINK("https://us2.cloudbeds.com/connect/10074733072513#/reservations/31692913189066?display=Fred%20Hall&amp;reservation_id=31692913189066&amp;guest_id=31692913184975", "Fred Hall")</f>
        <v>Fred Hall</v>
      </c>
      <c r="E9939" t="s">
        <v>8633</v>
      </c>
      <c r="F9939" t="s">
        <v>8440</v>
      </c>
      <c r="G9939">
        <v>238</v>
      </c>
      <c r="H9939">
        <v>258.72000000000003</v>
      </c>
      <c r="I9939">
        <v>258.70999999999998</v>
      </c>
      <c r="J9939">
        <v>0.01</v>
      </c>
    </row>
    <row r="9940" spans="1:10" x14ac:dyDescent="0.3">
      <c r="A9940" t="str">
        <f>HYPERLINK("https://us2.cloudbeds.com/connect/10074733072513#/reservations/31692931850432?display=MHY7KJSN6&amp;reservation_id=31692931850432", "MHY7KJSN6")</f>
        <v>MHY7KJSN6</v>
      </c>
      <c r="B9940" t="s">
        <v>10</v>
      </c>
      <c r="C9940" t="s">
        <v>11</v>
      </c>
      <c r="D9940" t="str">
        <f>HYPERLINK("https://us2.cloudbeds.com/connect/10074733072513#/reservations/31692931850432?display=Bruce%20And%20Yvonne%20Wilhelms&amp;reservation_id=31692931850432&amp;guest_id=31692922335399", "Bruce And Yvonne Wilhelms")</f>
        <v>Bruce And Yvonne Wilhelms</v>
      </c>
      <c r="E9940" t="s">
        <v>8634</v>
      </c>
      <c r="F9940" t="s">
        <v>8440</v>
      </c>
      <c r="G9940">
        <v>87.82</v>
      </c>
      <c r="H9940">
        <v>95.47</v>
      </c>
      <c r="I9940">
        <v>95.46</v>
      </c>
      <c r="J9940">
        <v>0.01</v>
      </c>
    </row>
    <row r="9941" spans="1:10" x14ac:dyDescent="0.3">
      <c r="A9941" t="str">
        <f>HYPERLINK("https://us2.cloudbeds.com/connect/10074733072513#/reservations/31691185258739?display=MHJT7S17G&amp;reservation_id=31691185258739", "MHJT7S17G")</f>
        <v>MHJT7S17G</v>
      </c>
      <c r="B9941" t="s">
        <v>10</v>
      </c>
      <c r="C9941" t="s">
        <v>42</v>
      </c>
      <c r="D9941" t="str">
        <f>HYPERLINK("https://us2.cloudbeds.com/connect/10074733072513#/reservations/31691185258739?display=Cindy%20Veld&amp;reservation_id=31691185258739&amp;guest_id=31691185258734", "Cindy Veld")</f>
        <v>Cindy Veld</v>
      </c>
      <c r="E9941" t="s">
        <v>8635</v>
      </c>
      <c r="F9941" t="s">
        <v>6604</v>
      </c>
      <c r="G9941">
        <v>129</v>
      </c>
      <c r="H9941">
        <v>140.22999999999999</v>
      </c>
      <c r="I9941">
        <v>140.22</v>
      </c>
      <c r="J9941">
        <v>0.01</v>
      </c>
    </row>
    <row r="9942" spans="1:10" x14ac:dyDescent="0.3">
      <c r="A9942" t="str">
        <f>HYPERLINK("https://us2.cloudbeds.com/connect/10074733072513#/reservations/31694471995643?display=MHME7AB3G&amp;reservation_id=31694471995643", "MHME7AB3G")</f>
        <v>MHME7AB3G</v>
      </c>
      <c r="B9942" t="s">
        <v>10</v>
      </c>
      <c r="C9942" t="s">
        <v>23</v>
      </c>
      <c r="D9942" t="str">
        <f>HYPERLINK("https://us2.cloudbeds.com/connect/10074733072513#/reservations/31694471995643?display=Caleb%20Seppanen&amp;reservation_id=31694471995643&amp;guest_id=31694471995630", "Caleb Seppanen")</f>
        <v>Caleb Seppanen</v>
      </c>
      <c r="E9942" t="s">
        <v>8638</v>
      </c>
      <c r="F9942" t="s">
        <v>8583</v>
      </c>
      <c r="G9942">
        <v>119</v>
      </c>
      <c r="H9942">
        <v>129.36000000000001</v>
      </c>
      <c r="I9942">
        <v>129.35</v>
      </c>
      <c r="J9942">
        <v>0.01</v>
      </c>
    </row>
    <row r="9943" spans="1:10" x14ac:dyDescent="0.3">
      <c r="A9943" t="str">
        <f>HYPERLINK("https://us2.cloudbeds.com/connect/10074733072513#/reservations/31695487221905?display=MHN75CGKM&amp;reservation_id=31695487221905", "MHN75CGKM")</f>
        <v>MHN75CGKM</v>
      </c>
      <c r="B9943" t="s">
        <v>10</v>
      </c>
      <c r="C9943" t="s">
        <v>42</v>
      </c>
      <c r="D9943" t="str">
        <f>HYPERLINK("https://us2.cloudbeds.com/connect/10074733072513#/reservations/31695487221905?display=Aldena%20Ecklin&amp;reservation_id=31695487221905&amp;guest_id=31688137228431", "Aldena Ecklin")</f>
        <v>Aldena Ecklin</v>
      </c>
      <c r="E9943" t="s">
        <v>8639</v>
      </c>
      <c r="F9943" t="s">
        <v>8034</v>
      </c>
      <c r="G9943">
        <v>159</v>
      </c>
      <c r="H9943">
        <v>172.84</v>
      </c>
      <c r="I9943">
        <v>172.83</v>
      </c>
      <c r="J9943">
        <v>0.01</v>
      </c>
    </row>
    <row r="9944" spans="1:10" x14ac:dyDescent="0.3">
      <c r="A9944" t="str">
        <f>HYPERLINK("https://us2.cloudbeds.com/connect/10074733072513#/reservations/31693999055089?display=MHM24H28X&amp;reservation_id=31693999055089", "MHM24H28X")</f>
        <v>MHM24H28X</v>
      </c>
      <c r="B9944" t="s">
        <v>10</v>
      </c>
      <c r="C9944" t="s">
        <v>23</v>
      </c>
      <c r="D9944" t="str">
        <f>HYPERLINK("https://us2.cloudbeds.com/connect/10074733072513#/reservations/31693999055089?display=Nicole%20Roush&amp;reservation_id=31693999055089&amp;guest_id=31693989224664", "Nicole Roush")</f>
        <v>Nicole Roush</v>
      </c>
      <c r="E9944" t="s">
        <v>8640</v>
      </c>
      <c r="F9944" t="s">
        <v>8641</v>
      </c>
      <c r="G9944">
        <v>199</v>
      </c>
      <c r="H9944">
        <v>216.32</v>
      </c>
      <c r="I9944">
        <v>216.31</v>
      </c>
      <c r="J9944">
        <v>0.01</v>
      </c>
    </row>
    <row r="9945" spans="1:10" x14ac:dyDescent="0.3">
      <c r="A9945" t="str">
        <f>HYPERLINK("https://us2.cloudbeds.com/connect/10074733072513#/reservations/31691937579168?display=MHKFF7F88&amp;reservation_id=31691937579168", "MHKFF7F88")</f>
        <v>MHKFF7F88</v>
      </c>
      <c r="B9945" t="s">
        <v>10</v>
      </c>
      <c r="C9945" t="s">
        <v>23</v>
      </c>
      <c r="D9945" t="str">
        <f>HYPERLINK("https://us2.cloudbeds.com/connect/10074733072513#/reservations/31691937579168?display=Bret%20Hamilton&amp;reservation_id=31691937579168&amp;guest_id=31691937579157", "Bret Hamilton")</f>
        <v>Bret Hamilton</v>
      </c>
      <c r="E9945" t="s">
        <v>8642</v>
      </c>
      <c r="F9945" t="s">
        <v>8034</v>
      </c>
      <c r="G9945">
        <v>169</v>
      </c>
      <c r="H9945">
        <v>183.71</v>
      </c>
      <c r="I9945">
        <v>183.7</v>
      </c>
      <c r="J9945">
        <v>0.01</v>
      </c>
    </row>
    <row r="9946" spans="1:10" x14ac:dyDescent="0.3">
      <c r="A9946" t="str">
        <f>HYPERLINK("https://us2.cloudbeds.com/connect/10074733072513#/reservations/31695247732983?display=MHN11EC8K&amp;reservation_id=31695247732983", "MHN11EC8K")</f>
        <v>MHN11EC8K</v>
      </c>
      <c r="B9946" t="s">
        <v>10</v>
      </c>
      <c r="C9946" t="s">
        <v>14</v>
      </c>
      <c r="D9946" t="str">
        <f>HYPERLINK("https://us2.cloudbeds.com/connect/10074733072513#/reservations/31695247732983?display=Jacob%20Peterson&amp;reservation_id=31695247732983&amp;guest_id=31695247732931", "Jacob Peterson")</f>
        <v>Jacob Peterson</v>
      </c>
      <c r="E9946" t="s">
        <v>8646</v>
      </c>
      <c r="F9946" t="s">
        <v>8440</v>
      </c>
      <c r="G9946">
        <v>428.4</v>
      </c>
      <c r="H9946">
        <v>465.68</v>
      </c>
      <c r="I9946">
        <v>465.67</v>
      </c>
      <c r="J9946">
        <v>0.01</v>
      </c>
    </row>
    <row r="9947" spans="1:10" x14ac:dyDescent="0.3">
      <c r="A9947" t="str">
        <f>HYPERLINK("https://us2.cloudbeds.com/connect/10074733072513#/reservations/31694420861102?display=MHMCU6EJV&amp;reservation_id=31694420861102", "MHMCU6EJV")</f>
        <v>MHMCU6EJV</v>
      </c>
      <c r="B9947" t="s">
        <v>10</v>
      </c>
      <c r="C9947" t="s">
        <v>42</v>
      </c>
      <c r="D9947" t="str">
        <f>HYPERLINK("https://us2.cloudbeds.com/connect/10074733072513#/reservations/31694420861102?display=Peter%20Rood&amp;reservation_id=31694420861102&amp;guest_id=31694405333206", "Peter Rood")</f>
        <v>Peter Rood</v>
      </c>
      <c r="E9947" t="s">
        <v>8647</v>
      </c>
      <c r="F9947" t="s">
        <v>8631</v>
      </c>
      <c r="G9947">
        <v>119</v>
      </c>
      <c r="H9947">
        <v>129.36000000000001</v>
      </c>
      <c r="I9947">
        <v>129.35</v>
      </c>
      <c r="J9947">
        <v>0.01</v>
      </c>
    </row>
    <row r="9948" spans="1:10" x14ac:dyDescent="0.3">
      <c r="A9948" t="str">
        <f>HYPERLINK("https://us2.cloudbeds.com/connect/10074733072513#/reservations/31696038719709?display=MHNY8DZHB&amp;reservation_id=31696038719709", "MHNY8DZHB")</f>
        <v>MHNY8DZHB</v>
      </c>
      <c r="B9948" t="s">
        <v>10</v>
      </c>
      <c r="C9948" t="s">
        <v>17</v>
      </c>
      <c r="D9948" t="str">
        <f>HYPERLINK("https://us2.cloudbeds.com/connect/10074733072513#/reservations/31696038719709?display=Nathan%20Uhl&amp;reservation_id=31696038719709&amp;guest_id=31696038715623", "Nathan Uhl")</f>
        <v>Nathan Uhl</v>
      </c>
      <c r="E9948" t="s">
        <v>8648</v>
      </c>
      <c r="F9948" t="s">
        <v>6746</v>
      </c>
      <c r="G9948">
        <v>418</v>
      </c>
      <c r="H9948">
        <v>454.38</v>
      </c>
      <c r="I9948">
        <v>454.37</v>
      </c>
      <c r="J9948">
        <v>0.01</v>
      </c>
    </row>
    <row r="9949" spans="1:10" x14ac:dyDescent="0.3">
      <c r="A9949" t="str">
        <f>HYPERLINK("https://us2.cloudbeds.com/connect/10074733072513#/reservations/31694462570664?display=MHMDWC2D2&amp;reservation_id=31694462570664", "MHMDWC2D2")</f>
        <v>MHMDWC2D2</v>
      </c>
      <c r="B9949" t="s">
        <v>10</v>
      </c>
      <c r="C9949" t="s">
        <v>42</v>
      </c>
      <c r="D9949" t="str">
        <f>HYPERLINK("https://us2.cloudbeds.com/connect/10074733072513#/reservations/31694462570664?display=Ray%20Worden&amp;reservation_id=31694462570664&amp;guest_id=31694451048654", "Ray Worden")</f>
        <v>Ray Worden</v>
      </c>
      <c r="E9949" t="s">
        <v>8048</v>
      </c>
      <c r="F9949" t="s">
        <v>8631</v>
      </c>
      <c r="G9949">
        <v>119</v>
      </c>
      <c r="H9949">
        <v>129.36000000000001</v>
      </c>
      <c r="I9949">
        <v>129.35</v>
      </c>
      <c r="J9949">
        <v>0.01</v>
      </c>
    </row>
    <row r="9950" spans="1:10" x14ac:dyDescent="0.3">
      <c r="A9950" t="str">
        <f>HYPERLINK("https://us2.cloudbeds.com/connect/10074733072513#/reservations/31694662926496?display=MHMJ3A8SU&amp;reservation_id=31694662926496", "MHMJ3A8SU")</f>
        <v>MHMJ3A8SU</v>
      </c>
      <c r="B9950" t="s">
        <v>10</v>
      </c>
      <c r="C9950" t="s">
        <v>23</v>
      </c>
      <c r="D9950" t="str">
        <f>HYPERLINK("https://us2.cloudbeds.com/connect/10074733072513#/reservations/31694662926496?display=Joshua%20Harvey&amp;reservation_id=31694662926496&amp;guest_id=31694662926482", "Joshua Harvey")</f>
        <v>Joshua Harvey</v>
      </c>
      <c r="E9950" t="s">
        <v>8649</v>
      </c>
      <c r="F9950" t="s">
        <v>8583</v>
      </c>
      <c r="G9950">
        <v>119</v>
      </c>
      <c r="H9950">
        <v>129.36000000000001</v>
      </c>
      <c r="I9950">
        <v>129.35</v>
      </c>
      <c r="J9950">
        <v>0.01</v>
      </c>
    </row>
    <row r="9951" spans="1:10" x14ac:dyDescent="0.3">
      <c r="A9951" t="str">
        <f>HYPERLINK("https://us2.cloudbeds.com/connect/10074733072513#/reservations/31695166984336?display=MHMVWBDTU&amp;reservation_id=31695166984336", "MHMVWBDTU")</f>
        <v>MHMVWBDTU</v>
      </c>
      <c r="B9951" t="s">
        <v>10</v>
      </c>
      <c r="C9951" t="s">
        <v>42</v>
      </c>
      <c r="D9951" t="str">
        <f>HYPERLINK("https://us2.cloudbeds.com/connect/10074733072513#/reservations/31695166984336?display=Mike%20Balch&amp;reservation_id=31695166984336&amp;guest_id=31695166980242", "Mike Balch")</f>
        <v>Mike Balch</v>
      </c>
      <c r="E9951" t="s">
        <v>8650</v>
      </c>
      <c r="F9951" t="s">
        <v>8651</v>
      </c>
      <c r="G9951">
        <v>119</v>
      </c>
      <c r="H9951">
        <v>129.36000000000001</v>
      </c>
      <c r="I9951">
        <v>129.35</v>
      </c>
      <c r="J9951">
        <v>0.01</v>
      </c>
    </row>
    <row r="9952" spans="1:10" x14ac:dyDescent="0.3">
      <c r="A9952" t="str">
        <f>HYPERLINK("https://us2.cloudbeds.com/connect/10074733072513#/reservations/31695190638720?display=MHMW9PDE9&amp;reservation_id=31695190638720", "MHMW9PDE9")</f>
        <v>MHMW9PDE9</v>
      </c>
      <c r="B9952" t="s">
        <v>10</v>
      </c>
      <c r="C9952" t="s">
        <v>42</v>
      </c>
      <c r="D9952" t="str">
        <f>HYPERLINK("https://us2.cloudbeds.com/connect/10074733072513#/reservations/31695190638720?display=Mike%20Balch&amp;reservation_id=31695190638720&amp;guest_id=31695179342054", "Mike Balch")</f>
        <v>Mike Balch</v>
      </c>
      <c r="E9952" t="s">
        <v>8652</v>
      </c>
      <c r="F9952" t="s">
        <v>8651</v>
      </c>
      <c r="G9952">
        <v>119</v>
      </c>
      <c r="H9952">
        <v>129.36000000000001</v>
      </c>
      <c r="I9952">
        <v>129.35</v>
      </c>
      <c r="J9952">
        <v>0.01</v>
      </c>
    </row>
    <row r="9953" spans="1:10" x14ac:dyDescent="0.3">
      <c r="A9953" t="str">
        <f>HYPERLINK("https://us2.cloudbeds.com/connect/10074733072513#/reservations/31736104255702?display=MXYM0ZBAY&amp;reservation_id=31736104255702", "MXYM0ZBAY")</f>
        <v>MXYM0ZBAY</v>
      </c>
      <c r="B9953" t="s">
        <v>10</v>
      </c>
      <c r="C9953" t="s">
        <v>42</v>
      </c>
      <c r="D9953" t="str">
        <f>HYPERLINK("https://us2.cloudbeds.com/connect/10074733072513#/reservations/31736104255702?display=Scott%20Roney&amp;reservation_id=31736104255702&amp;guest_id=31736104255686", "Scott Roney")</f>
        <v>Scott Roney</v>
      </c>
      <c r="E9953" t="s">
        <v>8653</v>
      </c>
      <c r="F9953" t="s">
        <v>6916</v>
      </c>
      <c r="G9953">
        <v>458</v>
      </c>
      <c r="H9953">
        <v>497.86</v>
      </c>
      <c r="I9953">
        <v>497.85</v>
      </c>
      <c r="J9953">
        <v>0.01</v>
      </c>
    </row>
    <row r="9954" spans="1:10" x14ac:dyDescent="0.3">
      <c r="A9954" t="str">
        <f>HYPERLINK("https://us2.cloudbeds.com/connect/10074733072513#/reservations/31694427541701?display=MHMD2RB7B&amp;reservation_id=31694427541701", "MHMD2RB7B")</f>
        <v>MHMD2RB7B</v>
      </c>
      <c r="B9954" t="s">
        <v>10</v>
      </c>
      <c r="C9954" t="s">
        <v>121</v>
      </c>
      <c r="D9954" t="str">
        <f>HYPERLINK("https://us2.cloudbeds.com/connect/10074733072513#/reservations/31694427541701?display=Suzanne%20Harwood&amp;reservation_id=31694427541701&amp;guest_id=31694427537607", "Suzanne Harwood")</f>
        <v>Suzanne Harwood</v>
      </c>
      <c r="E9954" t="s">
        <v>8655</v>
      </c>
      <c r="F9954" t="s">
        <v>8631</v>
      </c>
      <c r="G9954">
        <v>119</v>
      </c>
      <c r="H9954">
        <v>129.36000000000001</v>
      </c>
      <c r="I9954">
        <v>129.35</v>
      </c>
      <c r="J9954">
        <v>0.01</v>
      </c>
    </row>
    <row r="9955" spans="1:10" x14ac:dyDescent="0.3">
      <c r="A9955" t="str">
        <f>HYPERLINK("https://us2.cloudbeds.com/connect/10074733072513#/reservations/31695251464324?display=MHN14J6YX&amp;reservation_id=31695251464324", "MHN14J6YX")</f>
        <v>MHN14J6YX</v>
      </c>
      <c r="B9955" t="s">
        <v>10</v>
      </c>
      <c r="C9955" t="s">
        <v>42</v>
      </c>
      <c r="D9955" t="str">
        <f>HYPERLINK("https://us2.cloudbeds.com/connect/10074733072513#/reservations/31695251464324?display=David%20Seaman%20Judson%20Tank%20Company&amp;reservation_id=31695251464324&amp;guest_id=31690505851089", "David Seaman Judson Tank Company")</f>
        <v>David Seaman Judson Tank Company</v>
      </c>
      <c r="E9955" t="s">
        <v>8656</v>
      </c>
      <c r="F9955" t="s">
        <v>8440</v>
      </c>
      <c r="G9955">
        <v>321.3</v>
      </c>
      <c r="H9955">
        <v>349.26</v>
      </c>
      <c r="I9955">
        <v>349.25</v>
      </c>
      <c r="J9955">
        <v>0.01</v>
      </c>
    </row>
    <row r="9956" spans="1:10" x14ac:dyDescent="0.3">
      <c r="A9956" t="str">
        <f>HYPERLINK("https://us2.cloudbeds.com/connect/10074733072513#/reservations/31694723129541?display=MHMKY2GZK&amp;reservation_id=31694723129541", "MHMKY2GZK")</f>
        <v>MHMKY2GZK</v>
      </c>
      <c r="B9956" t="s">
        <v>10</v>
      </c>
      <c r="C9956" t="s">
        <v>121</v>
      </c>
      <c r="D9956" t="str">
        <f>HYPERLINK("https://us2.cloudbeds.com/connect/10074733072513#/reservations/31694723129541?display=Richard%20Clark&amp;reservation_id=31694723129541&amp;guest_id=31694723129536", "Richard Clark")</f>
        <v>Richard Clark</v>
      </c>
      <c r="E9956" t="s">
        <v>8657</v>
      </c>
      <c r="F9956" t="s">
        <v>8583</v>
      </c>
      <c r="G9956">
        <v>119</v>
      </c>
      <c r="H9956">
        <v>129.36000000000001</v>
      </c>
      <c r="I9956">
        <v>129.35</v>
      </c>
      <c r="J9956">
        <v>0.01</v>
      </c>
    </row>
    <row r="9957" spans="1:10" x14ac:dyDescent="0.3">
      <c r="A9957" t="str">
        <f>HYPERLINK("https://us2.cloudbeds.com/connect/10074733072513#/reservations/31690106093715?display=MHJ1YSME2&amp;reservation_id=31690106093715", "MHJ1YSME2")</f>
        <v>MHJ1YSME2</v>
      </c>
      <c r="B9957" t="s">
        <v>10</v>
      </c>
      <c r="C9957" t="s">
        <v>20</v>
      </c>
      <c r="D9957" t="str">
        <f>HYPERLINK("https://us2.cloudbeds.com/connect/10074733072513#/reservations/31690106093715?display=Jessica%20Schermeister&amp;reservation_id=31690106093715&amp;guest_id=31690106093697", "Jessica Schermeister")</f>
        <v>Jessica Schermeister</v>
      </c>
      <c r="E9957" t="s">
        <v>8658</v>
      </c>
      <c r="F9957" t="s">
        <v>7567</v>
      </c>
      <c r="G9957">
        <v>322.2</v>
      </c>
      <c r="H9957">
        <v>350.24</v>
      </c>
      <c r="I9957">
        <v>350.23</v>
      </c>
      <c r="J9957">
        <v>0.01</v>
      </c>
    </row>
    <row r="9958" spans="1:10" x14ac:dyDescent="0.3">
      <c r="A9958" t="str">
        <f>HYPERLINK("https://us2.cloudbeds.com/connect/10074733072513#/reservations/31689720086724?display=MHXZQCFCH&amp;reservation_id=31689720086724", "MHXZQCFCH")</f>
        <v>MHXZQCFCH</v>
      </c>
      <c r="B9958" t="s">
        <v>10</v>
      </c>
      <c r="C9958" t="s">
        <v>23</v>
      </c>
      <c r="D9958" t="str">
        <f>HYPERLINK("https://us2.cloudbeds.com/connect/10074733072513#/reservations/31689720086724?display=Brian%20Pick&amp;reservation_id=31689720086724&amp;guest_id=31689720086722", "Brian Pick")</f>
        <v>Brian Pick</v>
      </c>
      <c r="E9958" t="s">
        <v>8659</v>
      </c>
      <c r="F9958" t="s">
        <v>8651</v>
      </c>
      <c r="G9958">
        <v>129</v>
      </c>
      <c r="H9958">
        <v>140.22999999999999</v>
      </c>
      <c r="I9958">
        <v>140.22</v>
      </c>
      <c r="J9958">
        <v>0.01</v>
      </c>
    </row>
    <row r="9959" spans="1:10" x14ac:dyDescent="0.3">
      <c r="A9959" t="str">
        <f>HYPERLINK("https://us2.cloudbeds.com/connect/10074733072513#/reservations/31688222568642?display=MHHJHKQWN&amp;reservation_id=31688222568642", "MHHJHKQWN")</f>
        <v>MHHJHKQWN</v>
      </c>
      <c r="B9959" t="s">
        <v>10</v>
      </c>
      <c r="C9959" t="s">
        <v>23</v>
      </c>
      <c r="D9959" t="str">
        <f>HYPERLINK("https://us2.cloudbeds.com/connect/10074733072513#/reservations/31688222568642?display=Allison%20Waldner&amp;reservation_id=31688222568642&amp;guest_id=31688215265510", "Allison Waldner")</f>
        <v>Allison Waldner</v>
      </c>
      <c r="E9959" t="s">
        <v>8660</v>
      </c>
      <c r="F9959" t="s">
        <v>8506</v>
      </c>
      <c r="G9959">
        <v>318</v>
      </c>
      <c r="H9959">
        <v>345.68</v>
      </c>
      <c r="I9959">
        <v>345.67</v>
      </c>
      <c r="J9959">
        <v>0.01</v>
      </c>
    </row>
    <row r="9960" spans="1:10" x14ac:dyDescent="0.3">
      <c r="A9960" t="str">
        <f>HYPERLINK("https://us2.cloudbeds.com/connect/10074733072513#/reservations/31690913759461?display=MHJM9U5JY&amp;reservation_id=31690913759461", "MHJM9U5JY")</f>
        <v>MHJM9U5JY</v>
      </c>
      <c r="B9960" t="s">
        <v>10</v>
      </c>
      <c r="C9960" t="s">
        <v>42</v>
      </c>
      <c r="D9960" t="str">
        <f>HYPERLINK("https://us2.cloudbeds.com/connect/10074733072513#/reservations/31690913759461?display=Jim%20Fritz&amp;reservation_id=31690913759461&amp;guest_id=30651308933362", "Jim Fritz")</f>
        <v>Jim Fritz</v>
      </c>
      <c r="E9960" t="s">
        <v>8525</v>
      </c>
      <c r="F9960" t="s">
        <v>8651</v>
      </c>
      <c r="G9960">
        <v>129</v>
      </c>
      <c r="H9960">
        <v>140.22999999999999</v>
      </c>
      <c r="I9960">
        <v>140.22</v>
      </c>
      <c r="J9960">
        <v>0.01</v>
      </c>
    </row>
    <row r="9961" spans="1:10" x14ac:dyDescent="0.3">
      <c r="A9961" t="str">
        <f>HYPERLINK("https://us2.cloudbeds.com/connect/10074733072513#/reservations/31694672232693?display=MHMJB57GT&amp;reservation_id=31694672232693", "MHMJB57GT")</f>
        <v>MHMJB57GT</v>
      </c>
      <c r="B9961" t="s">
        <v>10</v>
      </c>
      <c r="C9961" t="s">
        <v>121</v>
      </c>
      <c r="D9961" t="str">
        <f>HYPERLINK("https://us2.cloudbeds.com/connect/10074733072513#/reservations/31694672232693?display=Jesse%20Phillips&amp;reservation_id=31694672232693&amp;guest_id=31694672232682", "Jesse Phillips")</f>
        <v>Jesse Phillips</v>
      </c>
      <c r="E9961" t="s">
        <v>8661</v>
      </c>
      <c r="F9961" t="s">
        <v>8583</v>
      </c>
      <c r="G9961">
        <v>119</v>
      </c>
      <c r="H9961">
        <v>129.36000000000001</v>
      </c>
      <c r="I9961">
        <v>129.35</v>
      </c>
      <c r="J9961">
        <v>0.01</v>
      </c>
    </row>
    <row r="9962" spans="1:10" x14ac:dyDescent="0.3">
      <c r="A9962" t="str">
        <f>HYPERLINK("https://us2.cloudbeds.com/connect/10074733072513#/reservations/31695193039059?display=MHMWYAE8W&amp;reservation_id=31695193039059", "MHMWYAE8W")</f>
        <v>MHMWYAE8W</v>
      </c>
      <c r="B9962" t="s">
        <v>10</v>
      </c>
      <c r="C9962" t="s">
        <v>42</v>
      </c>
      <c r="D9962" t="str">
        <f>HYPERLINK("https://us2.cloudbeds.com/connect/10074733072513#/reservations/31695193039059?display=Jace%20Coon&amp;reservation_id=31695193039059&amp;guest_id=31691142533295", "Jace Coon")</f>
        <v>Jace Coon</v>
      </c>
      <c r="E9962" t="s">
        <v>8662</v>
      </c>
      <c r="F9962" t="s">
        <v>8651</v>
      </c>
      <c r="G9962">
        <v>73</v>
      </c>
      <c r="H9962">
        <v>79.36</v>
      </c>
      <c r="I9962">
        <v>79.349999999999994</v>
      </c>
      <c r="J9962">
        <v>0.01</v>
      </c>
    </row>
    <row r="9963" spans="1:10" x14ac:dyDescent="0.3">
      <c r="A9963" t="str">
        <f>HYPERLINK("https://us2.cloudbeds.com/connect/10074733072513#/reservations/31695697297627?display=MHNCHH5KY&amp;reservation_id=31695697297627", "MHNCHH5KY")</f>
        <v>MHNCHH5KY</v>
      </c>
      <c r="B9963" t="s">
        <v>10</v>
      </c>
      <c r="C9963" t="s">
        <v>23</v>
      </c>
      <c r="D9963" t="str">
        <f>HYPERLINK("https://us2.cloudbeds.com/connect/10074733072513#/reservations/31695697297627?display=Brian%20Kelly&amp;reservation_id=31695697297627&amp;guest_id=31695697297625", "Brian Kelly")</f>
        <v>Brian Kelly</v>
      </c>
      <c r="E9963" t="s">
        <v>8663</v>
      </c>
      <c r="F9963" t="s">
        <v>8506</v>
      </c>
      <c r="G9963">
        <v>179</v>
      </c>
      <c r="H9963">
        <v>194.58</v>
      </c>
      <c r="I9963">
        <v>194.57</v>
      </c>
      <c r="J9963">
        <v>0.01</v>
      </c>
    </row>
    <row r="9964" spans="1:10" x14ac:dyDescent="0.3">
      <c r="A9964" t="str">
        <f>HYPERLINK("https://us2.cloudbeds.com/connect/10074733072513#/reservations/31689729310877?display=MHXP154MA&amp;reservation_id=31689729310877", "MHXP154MA")</f>
        <v>MHXP154MA</v>
      </c>
      <c r="B9964" t="s">
        <v>10</v>
      </c>
      <c r="C9964" t="s">
        <v>121</v>
      </c>
      <c r="D9964" t="str">
        <f>HYPERLINK("https://us2.cloudbeds.com/connect/10074733072513#/reservations/31689729310877?display=Auston%20Darnell&amp;reservation_id=31689729310877&amp;guest_id=31689729306780", "Auston Darnell")</f>
        <v>Auston Darnell</v>
      </c>
      <c r="E9964" t="s">
        <v>8665</v>
      </c>
      <c r="F9964" t="s">
        <v>8651</v>
      </c>
      <c r="G9964">
        <v>119</v>
      </c>
      <c r="H9964">
        <v>129.36000000000001</v>
      </c>
      <c r="I9964">
        <v>129.35</v>
      </c>
      <c r="J9964">
        <v>0.01</v>
      </c>
    </row>
    <row r="9965" spans="1:10" x14ac:dyDescent="0.3">
      <c r="A9965" t="str">
        <f>HYPERLINK("https://us2.cloudbeds.com/connect/10074733072513#/reservations/31695695212729?display=MHNCFP53U&amp;reservation_id=31695695212729", "MHNCFP53U")</f>
        <v>MHNCFP53U</v>
      </c>
      <c r="B9965" t="s">
        <v>10</v>
      </c>
      <c r="C9965" t="s">
        <v>42</v>
      </c>
      <c r="D9965" t="str">
        <f>HYPERLINK("https://us2.cloudbeds.com/connect/10074733072513#/reservations/31695695212729?display=Matt%20Spreng&amp;reservation_id=31695695212729&amp;guest_id=31695683473569", "Matt Spreng")</f>
        <v>Matt Spreng</v>
      </c>
      <c r="E9965" t="s">
        <v>8666</v>
      </c>
      <c r="F9965" t="s">
        <v>8506</v>
      </c>
      <c r="G9965">
        <v>198</v>
      </c>
      <c r="H9965">
        <v>215.24</v>
      </c>
      <c r="I9965">
        <v>215.23</v>
      </c>
      <c r="J9965">
        <v>0.01</v>
      </c>
    </row>
    <row r="9966" spans="1:10" x14ac:dyDescent="0.3">
      <c r="A9966" t="str">
        <f>HYPERLINK("https://us2.cloudbeds.com/connect/10074733072513#/reservations/31692468879565?display=MHKT17MD9&amp;reservation_id=31692468879565", "MHKT17MD9")</f>
        <v>MHKT17MD9</v>
      </c>
      <c r="B9966" t="s">
        <v>10</v>
      </c>
      <c r="C9966" t="s">
        <v>42</v>
      </c>
      <c r="D9966" t="str">
        <f>HYPERLINK("https://us2.cloudbeds.com/connect/10074733072513#/reservations/31692468879565?display=Eric%20Burce&amp;reservation_id=31692468879565&amp;guest_id=31692468879563", "Eric Burce")</f>
        <v>Eric Burce</v>
      </c>
      <c r="E9966" t="s">
        <v>8667</v>
      </c>
      <c r="F9966" t="s">
        <v>7885</v>
      </c>
      <c r="G9966">
        <v>73</v>
      </c>
      <c r="H9966">
        <v>79.36</v>
      </c>
      <c r="I9966">
        <v>79.349999999999994</v>
      </c>
      <c r="J9966">
        <v>0.01</v>
      </c>
    </row>
    <row r="9967" spans="1:10" x14ac:dyDescent="0.3">
      <c r="A9967" t="str">
        <f>HYPERLINK("https://us2.cloudbeds.com/connect/10074733072513#/reservations/31691327463617?display=MHJWSP377&amp;reservation_id=31691327463617", "MHJWSP377")</f>
        <v>MHJWSP377</v>
      </c>
      <c r="B9967" t="s">
        <v>10</v>
      </c>
      <c r="C9967" t="s">
        <v>42</v>
      </c>
      <c r="D9967" t="str">
        <f>HYPERLINK("https://us2.cloudbeds.com/connect/10074733072513#/reservations/31691327463617?display=Amy%20Dowling&amp;reservation_id=31691327463617&amp;guest_id=31691327459523", "Amy Dowling")</f>
        <v>Amy Dowling</v>
      </c>
      <c r="E9967" t="s">
        <v>8668</v>
      </c>
      <c r="F9967" t="s">
        <v>7567</v>
      </c>
      <c r="G9967">
        <v>250</v>
      </c>
      <c r="H9967">
        <v>271.76</v>
      </c>
      <c r="I9967">
        <v>271.75</v>
      </c>
      <c r="J9967">
        <v>0.01</v>
      </c>
    </row>
    <row r="9968" spans="1:10" x14ac:dyDescent="0.3">
      <c r="A9968" t="str">
        <f>HYPERLINK("https://us2.cloudbeds.com/connect/10074733072513#/reservations/31690287657152?display=MHJ69VRY7&amp;reservation_id=31690287657152", "MHJ69VRY7")</f>
        <v>MHJ69VRY7</v>
      </c>
      <c r="B9968" t="s">
        <v>10</v>
      </c>
      <c r="C9968" t="s">
        <v>11</v>
      </c>
      <c r="D9968" t="str">
        <f>HYPERLINK("https://us2.cloudbeds.com/connect/10074733072513#/reservations/31690287657152?display=Sombrairiliz%20Planas&amp;reservation_id=31690287657152&amp;guest_id=31690287653118", "Sombrairiliz Planas")</f>
        <v>Sombrairiliz Planas</v>
      </c>
      <c r="E9968" t="s">
        <v>8669</v>
      </c>
      <c r="F9968" t="s">
        <v>8408</v>
      </c>
      <c r="G9968">
        <v>195.48</v>
      </c>
      <c r="H9968">
        <v>212.5</v>
      </c>
      <c r="I9968">
        <v>212.49</v>
      </c>
      <c r="J9968">
        <v>0.01</v>
      </c>
    </row>
    <row r="9969" spans="1:10" x14ac:dyDescent="0.3">
      <c r="A9969" t="str">
        <f>HYPERLINK("https://us2.cloudbeds.com/connect/10074733072513#/reservations/31688163049669?display=MHHX0EK9F&amp;reservation_id=31688163049669", "MHHX0EK9F")</f>
        <v>MHHX0EK9F</v>
      </c>
      <c r="B9969" t="s">
        <v>10</v>
      </c>
      <c r="C9969" t="s">
        <v>42</v>
      </c>
      <c r="D9969" t="str">
        <f>HYPERLINK("https://us2.cloudbeds.com/connect/10074733072513#/reservations/31688163049669?display=Rebecca%20Layman&amp;reservation_id=31688163049669&amp;guest_id=31688152154344", "Rebecca Layman")</f>
        <v>Rebecca Layman</v>
      </c>
      <c r="E9969" t="s">
        <v>8670</v>
      </c>
      <c r="F9969" t="s">
        <v>7885</v>
      </c>
      <c r="G9969">
        <v>119</v>
      </c>
      <c r="H9969">
        <v>129.36000000000001</v>
      </c>
      <c r="I9969">
        <v>129.35</v>
      </c>
      <c r="J9969">
        <v>0.01</v>
      </c>
    </row>
    <row r="9970" spans="1:10" x14ac:dyDescent="0.3">
      <c r="A9970" t="str">
        <f>HYPERLINK("https://us2.cloudbeds.com/connect/10074733072513#/reservations/31692950859937?display=MHY8BYG93&amp;reservation_id=31692950859937", "MHY8BYG93")</f>
        <v>MHY8BYG93</v>
      </c>
      <c r="B9970" t="s">
        <v>10</v>
      </c>
      <c r="C9970" t="s">
        <v>42</v>
      </c>
      <c r="D9970" t="str">
        <f>HYPERLINK("https://us2.cloudbeds.com/connect/10074733072513#/reservations/31692950859937?display=Wesley%20Schmidt&amp;reservation_id=31692950859937&amp;guest_id=31692950859905", "Wesley Schmidt")</f>
        <v>Wesley Schmidt</v>
      </c>
      <c r="E9970" t="s">
        <v>7453</v>
      </c>
      <c r="F9970" t="s">
        <v>8440</v>
      </c>
      <c r="G9970">
        <v>308</v>
      </c>
      <c r="H9970">
        <v>334.81</v>
      </c>
      <c r="I9970">
        <v>334.8</v>
      </c>
      <c r="J9970">
        <v>0.01</v>
      </c>
    </row>
    <row r="9971" spans="1:10" x14ac:dyDescent="0.3">
      <c r="A9971" t="str">
        <f>HYPERLINK("https://us2.cloudbeds.com/connect/10074733072513#/reservations/31692978372835?display=MHY91S2Y9&amp;reservation_id=31692978372835", "MHY91S2Y9")</f>
        <v>MHY91S2Y9</v>
      </c>
      <c r="B9971" t="s">
        <v>10</v>
      </c>
      <c r="C9971" t="s">
        <v>11</v>
      </c>
      <c r="D9971" t="str">
        <f>HYPERLINK("https://us2.cloudbeds.com/connect/10074733072513#/reservations/31692978372835?display=Mary%20Jones&amp;reservation_id=31692978372835&amp;guest_id=31692970496147", "Mary Jones")</f>
        <v>Mary Jones</v>
      </c>
      <c r="E9971" t="s">
        <v>8671</v>
      </c>
      <c r="F9971" t="s">
        <v>8440</v>
      </c>
      <c r="G9971">
        <v>97.74</v>
      </c>
      <c r="H9971">
        <v>106.25</v>
      </c>
      <c r="I9971">
        <v>106.24</v>
      </c>
      <c r="J9971">
        <v>0.01</v>
      </c>
    </row>
    <row r="9972" spans="1:10" x14ac:dyDescent="0.3">
      <c r="A9972" t="str">
        <f>HYPERLINK("https://us2.cloudbeds.com/connect/10074733072513#/reservations/31692980867256?display=MHY93VG6Q&amp;reservation_id=31692980867256", "MHY93VG6Q")</f>
        <v>MHY93VG6Q</v>
      </c>
      <c r="B9972" t="s">
        <v>10</v>
      </c>
      <c r="C9972" t="s">
        <v>42</v>
      </c>
      <c r="D9972" t="str">
        <f>HYPERLINK("https://us2.cloudbeds.com/connect/10074733072513#/reservations/31692980867256?display=Marvin%20Hochstein&amp;reservation_id=31692980867256&amp;guest_id=31691013697752", "Marvin Hochstein")</f>
        <v>Marvin Hochstein</v>
      </c>
      <c r="E9972" t="s">
        <v>8672</v>
      </c>
      <c r="F9972" t="s">
        <v>8440</v>
      </c>
      <c r="G9972">
        <v>89</v>
      </c>
      <c r="H9972">
        <v>96.75</v>
      </c>
      <c r="I9972">
        <v>96.74</v>
      </c>
      <c r="J9972">
        <v>0.01</v>
      </c>
    </row>
    <row r="9973" spans="1:10" x14ac:dyDescent="0.3">
      <c r="A9973" t="str">
        <f>HYPERLINK("https://us2.cloudbeds.com/connect/10074733072513#/reservations/31692986810602?display=MHY98VSR6&amp;reservation_id=31692986810602", "MHY98VSR6")</f>
        <v>MHY98VSR6</v>
      </c>
      <c r="B9973" t="s">
        <v>10</v>
      </c>
      <c r="C9973" t="s">
        <v>121</v>
      </c>
      <c r="D9973" t="str">
        <f>HYPERLINK("https://us2.cloudbeds.com/connect/10074733072513#/reservations/31692986810602?display=Dale%20Latshaw&amp;reservation_id=31692986810602&amp;guest_id=31692986810596", "Dale Latshaw")</f>
        <v>Dale Latshaw</v>
      </c>
      <c r="E9973" t="s">
        <v>8673</v>
      </c>
      <c r="F9973" t="s">
        <v>8440</v>
      </c>
      <c r="G9973">
        <v>149</v>
      </c>
      <c r="H9973">
        <v>161.97</v>
      </c>
      <c r="I9973">
        <v>161.96</v>
      </c>
      <c r="J9973">
        <v>0.01</v>
      </c>
    </row>
    <row r="9974" spans="1:10" x14ac:dyDescent="0.3">
      <c r="A9974" t="str">
        <f>HYPERLINK("https://us2.cloudbeds.com/connect/10074733072513#/reservations/31692998021251?display=MHY9XDR8R&amp;reservation_id=31692998021251", "MHY9XDR8R")</f>
        <v>MHY9XDR8R</v>
      </c>
      <c r="B9974" t="s">
        <v>10</v>
      </c>
      <c r="C9974" t="s">
        <v>11</v>
      </c>
      <c r="D9974" t="str">
        <f>HYPERLINK("https://us2.cloudbeds.com/connect/10074733072513#/reservations/31692998021251?display=Heath%20Hinz&amp;reservation_id=31692998021251&amp;guest_id=31692998021248", "Heath Hinz")</f>
        <v>Heath Hinz</v>
      </c>
      <c r="E9974" t="s">
        <v>8674</v>
      </c>
      <c r="F9974" t="s">
        <v>8440</v>
      </c>
      <c r="G9974">
        <v>97.74</v>
      </c>
      <c r="H9974">
        <v>106.25</v>
      </c>
      <c r="I9974">
        <v>106.24</v>
      </c>
      <c r="J9974">
        <v>0.01</v>
      </c>
    </row>
    <row r="9975" spans="1:10" x14ac:dyDescent="0.3">
      <c r="A9975" t="str">
        <f>HYPERLINK("https://us2.cloudbeds.com/connect/10074733072513#/reservations/31695720493254?display=MHND42KXE&amp;reservation_id=31695720493254", "MHND42KXE")</f>
        <v>MHND42KXE</v>
      </c>
      <c r="B9975" t="s">
        <v>10</v>
      </c>
      <c r="C9975" t="s">
        <v>11</v>
      </c>
      <c r="D9975" t="str">
        <f>HYPERLINK("https://us2.cloudbeds.com/connect/10074733072513#/reservations/31695720493254?display=Brad%20Cain&amp;reservation_id=31695720493254&amp;guest_id=31695711817909", "Brad Cain")</f>
        <v>Brad Cain</v>
      </c>
      <c r="E9975" t="s">
        <v>8675</v>
      </c>
      <c r="F9975" t="s">
        <v>8151</v>
      </c>
      <c r="G9975">
        <v>322.2</v>
      </c>
      <c r="H9975">
        <v>350.24</v>
      </c>
      <c r="I9975">
        <v>350.23</v>
      </c>
      <c r="J9975">
        <v>0.01</v>
      </c>
    </row>
    <row r="9976" spans="1:10" x14ac:dyDescent="0.3">
      <c r="A9976" t="str">
        <f>HYPERLINK("https://us2.cloudbeds.com/connect/10074733072513#/reservations/31690894676207?display=MHJYQR4V7&amp;reservation_id=31690894676207", "MHJYQR4V7")</f>
        <v>MHJYQR4V7</v>
      </c>
      <c r="B9976" t="s">
        <v>10</v>
      </c>
      <c r="C9976" t="s">
        <v>11</v>
      </c>
      <c r="D9976" t="str">
        <f>HYPERLINK("https://us2.cloudbeds.com/connect/10074733072513#/reservations/31690894676207?display=Tennille%20Black%20Feather&amp;reservation_id=31690894676207&amp;guest_id=31690882568388", "Tennille Black Feather")</f>
        <v>Tennille Black Feather</v>
      </c>
      <c r="E9976" t="s">
        <v>8676</v>
      </c>
      <c r="F9976" t="s">
        <v>8651</v>
      </c>
      <c r="G9976">
        <v>87.82</v>
      </c>
      <c r="H9976">
        <v>95.47</v>
      </c>
      <c r="I9976">
        <v>95.46</v>
      </c>
      <c r="J9976">
        <v>0.01</v>
      </c>
    </row>
    <row r="9977" spans="1:10" x14ac:dyDescent="0.3">
      <c r="A9977" t="str">
        <f>HYPERLINK("https://us2.cloudbeds.com/connect/10074733072513#/reservations/31689748508812?display=MHXPHBBKU&amp;reservation_id=31689748508812", "MHXPHBBKU")</f>
        <v>MHXPHBBKU</v>
      </c>
      <c r="B9977" t="s">
        <v>10</v>
      </c>
      <c r="C9977" t="s">
        <v>23</v>
      </c>
      <c r="D9977" t="str">
        <f>HYPERLINK("https://us2.cloudbeds.com/connect/10074733072513#/reservations/31689748508812?display=Carter%20Newton&amp;reservation_id=31689748508812&amp;guest_id=31689741201653", "Carter Newton")</f>
        <v>Carter Newton</v>
      </c>
      <c r="E9977" t="s">
        <v>8677</v>
      </c>
      <c r="F9977" t="s">
        <v>8651</v>
      </c>
      <c r="G9977">
        <v>119</v>
      </c>
      <c r="H9977">
        <v>129.36000000000001</v>
      </c>
      <c r="I9977">
        <v>129.35</v>
      </c>
      <c r="J9977">
        <v>0.01</v>
      </c>
    </row>
    <row r="9978" spans="1:10" x14ac:dyDescent="0.3">
      <c r="A9978" t="str">
        <f>HYPERLINK("https://us2.cloudbeds.com/connect/10074733072513#/reservations/31695210152146?display=MHN02ZKPC&amp;reservation_id=31695210152146", "MHN02ZKPC")</f>
        <v>MHN02ZKPC</v>
      </c>
      <c r="B9978" t="s">
        <v>10</v>
      </c>
      <c r="C9978" t="s">
        <v>23</v>
      </c>
      <c r="D9978" t="str">
        <f>HYPERLINK("https://us2.cloudbeds.com/connect/10074733072513#/reservations/31695210152146?display=Steve%20Hopperstad&amp;reservation_id=31695210152146&amp;guest_id=31695210152142", "Steve Hopperstad")</f>
        <v>Steve Hopperstad</v>
      </c>
      <c r="E9978" t="s">
        <v>8678</v>
      </c>
      <c r="F9978" t="s">
        <v>8440</v>
      </c>
      <c r="G9978">
        <v>149</v>
      </c>
      <c r="H9978">
        <v>161.97</v>
      </c>
      <c r="I9978">
        <v>161.96</v>
      </c>
      <c r="J9978">
        <v>0.01</v>
      </c>
    </row>
    <row r="9979" spans="1:10" x14ac:dyDescent="0.3">
      <c r="A9979" t="str">
        <f>HYPERLINK("https://us2.cloudbeds.com/connect/10074733072513#/reservations/31691403329749?display=MHK1QZ62U&amp;reservation_id=31691403329749", "MHK1QZ62U")</f>
        <v>MHK1QZ62U</v>
      </c>
      <c r="B9979" t="s">
        <v>10</v>
      </c>
      <c r="C9979" t="s">
        <v>17</v>
      </c>
      <c r="D9979" t="str">
        <f>HYPERLINK("https://us2.cloudbeds.com/connect/10074733072513#/reservations/31691403329749?display=Lesley%20Pearson&amp;reservation_id=31691403329749&amp;guest_id=30677928751236", "Lesley Pearson")</f>
        <v>Lesley Pearson</v>
      </c>
      <c r="E9979" t="s">
        <v>8680</v>
      </c>
      <c r="F9979" t="s">
        <v>8681</v>
      </c>
      <c r="G9979">
        <v>656</v>
      </c>
      <c r="H9979">
        <v>713.08</v>
      </c>
      <c r="I9979">
        <v>713.07</v>
      </c>
      <c r="J9979">
        <v>0.01</v>
      </c>
    </row>
    <row r="9980" spans="1:10" x14ac:dyDescent="0.3">
      <c r="A9980" t="str">
        <f>HYPERLINK("https://us2.cloudbeds.com/connect/10074733072513#/reservations/31692414234839?display=MHKRY53JG&amp;reservation_id=31692414234839", "MHKRY53JG")</f>
        <v>MHKRY53JG</v>
      </c>
      <c r="B9980" t="s">
        <v>10</v>
      </c>
      <c r="C9980" t="s">
        <v>42</v>
      </c>
      <c r="D9980" t="str">
        <f>HYPERLINK("https://us2.cloudbeds.com/connect/10074733072513#/reservations/31692414234839?display=Kathy%20Kruskamp&amp;reservation_id=31692414234839&amp;guest_id=31692407062720", "Kathy Kruskamp")</f>
        <v>Kathy Kruskamp</v>
      </c>
      <c r="E9980" t="s">
        <v>8682</v>
      </c>
      <c r="F9980" t="s">
        <v>8440</v>
      </c>
      <c r="G9980">
        <v>149</v>
      </c>
      <c r="H9980">
        <v>161.97</v>
      </c>
      <c r="I9980">
        <v>161.96</v>
      </c>
      <c r="J9980">
        <v>0.01</v>
      </c>
    </row>
    <row r="9981" spans="1:10" x14ac:dyDescent="0.3">
      <c r="A9981" t="str">
        <f>HYPERLINK("https://us2.cloudbeds.com/connect/10074733072513#/reservations/31691256393913?display=MHJV1RFPR&amp;reservation_id=31691256393913", "MHJV1RFPR")</f>
        <v>MHJV1RFPR</v>
      </c>
      <c r="B9981" t="s">
        <v>10</v>
      </c>
      <c r="C9981" t="s">
        <v>42</v>
      </c>
      <c r="D9981" t="str">
        <f>HYPERLINK("https://us2.cloudbeds.com/connect/10074733072513#/reservations/31691256393913?display=Herb%20Shadewald&amp;reservation_id=31691256393913&amp;guest_id=31691256393907", "Herb Shadewald")</f>
        <v>Herb Shadewald</v>
      </c>
      <c r="E9981" t="s">
        <v>8683</v>
      </c>
      <c r="F9981" t="s">
        <v>8506</v>
      </c>
      <c r="G9981">
        <v>338</v>
      </c>
      <c r="H9981">
        <v>367.42</v>
      </c>
      <c r="I9981">
        <v>367.41</v>
      </c>
      <c r="J9981">
        <v>0.01</v>
      </c>
    </row>
    <row r="9982" spans="1:10" x14ac:dyDescent="0.3">
      <c r="A9982" t="str">
        <f>HYPERLINK("https://us2.cloudbeds.com/connect/10074733072513#/reservations/31692446269568?display=MHKS8F27B&amp;reservation_id=31692446269568", "MHKS8F27B")</f>
        <v>MHKS8F27B</v>
      </c>
      <c r="B9982" t="s">
        <v>10</v>
      </c>
      <c r="C9982" t="s">
        <v>20</v>
      </c>
      <c r="D9982" t="str">
        <f>HYPERLINK("https://us2.cloudbeds.com/connect/10074733072513#/reservations/31692446269568?display=Felipe%20Lopez%20Pena&amp;reservation_id=31692446269568&amp;guest_id=31692438307054", "Felipe Lopez Pena")</f>
        <v>Felipe Lopez Pena</v>
      </c>
      <c r="E9982" t="s">
        <v>8684</v>
      </c>
      <c r="F9982" t="s">
        <v>8440</v>
      </c>
      <c r="G9982">
        <v>179</v>
      </c>
      <c r="H9982">
        <v>194.58</v>
      </c>
      <c r="I9982">
        <v>194.57</v>
      </c>
      <c r="J9982">
        <v>0.01</v>
      </c>
    </row>
    <row r="9983" spans="1:10" x14ac:dyDescent="0.3">
      <c r="A9983" t="str">
        <f>HYPERLINK("https://us2.cloudbeds.com/connect/10074733072513#/reservations/31692421886118?display=MHKRRK0XD&amp;reservation_id=31692421886118", "MHKRRK0XD")</f>
        <v>MHKRRK0XD</v>
      </c>
      <c r="B9983" t="s">
        <v>10</v>
      </c>
      <c r="C9983" t="s">
        <v>121</v>
      </c>
      <c r="D9983" t="str">
        <f>HYPERLINK("https://us2.cloudbeds.com/connect/10074733072513#/reservations/31692421886118?display=Yury%20Bogomolsky&amp;reservation_id=31692421886118&amp;guest_id=31692414238932", "Yury Bogomolsky")</f>
        <v>Yury Bogomolsky</v>
      </c>
      <c r="E9983" t="s">
        <v>8686</v>
      </c>
      <c r="F9983" t="s">
        <v>8440</v>
      </c>
      <c r="G9983">
        <v>179</v>
      </c>
      <c r="H9983">
        <v>194.58</v>
      </c>
      <c r="I9983">
        <v>194.57</v>
      </c>
      <c r="J9983">
        <v>0.01</v>
      </c>
    </row>
    <row r="9984" spans="1:10" x14ac:dyDescent="0.3">
      <c r="A9984" t="str">
        <f>HYPERLINK("https://us2.cloudbeds.com/connect/10074733072513#/reservations/31690228863118?display=MHJ4QCUB0&amp;reservation_id=31690228863118", "MHJ4QCUB0")</f>
        <v>MHJ4QCUB0</v>
      </c>
      <c r="B9984" t="s">
        <v>10</v>
      </c>
      <c r="C9984" t="s">
        <v>17</v>
      </c>
      <c r="D9984" t="str">
        <f>HYPERLINK("https://us2.cloudbeds.com/connect/10074733072513#/reservations/31690228863118?display=Lindsey%20Keller&amp;reservation_id=31690228863118&amp;guest_id=31677212643460", "Lindsey Keller")</f>
        <v>Lindsey Keller</v>
      </c>
      <c r="E9984" t="s">
        <v>5526</v>
      </c>
      <c r="F9984" t="s">
        <v>8450</v>
      </c>
      <c r="G9984">
        <v>322.2</v>
      </c>
      <c r="H9984">
        <v>350.24</v>
      </c>
      <c r="I9984">
        <v>350.23</v>
      </c>
      <c r="J9984">
        <v>0.01</v>
      </c>
    </row>
    <row r="9985" spans="1:10" x14ac:dyDescent="0.3">
      <c r="A9985" t="str">
        <f>HYPERLINK("https://us2.cloudbeds.com/connect/10074733072513#/reservations/31692446273671?display=MHKSF5Y06&amp;reservation_id=31692446273671", "MHKSF5Y06")</f>
        <v>MHKSF5Y06</v>
      </c>
      <c r="B9985" t="s">
        <v>10</v>
      </c>
      <c r="C9985" t="s">
        <v>121</v>
      </c>
      <c r="D9985" t="str">
        <f>HYPERLINK("https://us2.cloudbeds.com/connect/10074733072513#/reservations/31692446273671?display=James%20Christie&amp;reservation_id=31692446273671&amp;guest_id=31692446273668", "James Christie")</f>
        <v>James Christie</v>
      </c>
      <c r="E9985" t="s">
        <v>8687</v>
      </c>
      <c r="F9985" t="s">
        <v>8440</v>
      </c>
      <c r="G9985">
        <v>149</v>
      </c>
      <c r="H9985">
        <v>161.97</v>
      </c>
      <c r="I9985">
        <v>161.96</v>
      </c>
      <c r="J9985">
        <v>0.01</v>
      </c>
    </row>
    <row r="9986" spans="1:10" x14ac:dyDescent="0.3">
      <c r="A9986" t="str">
        <f>HYPERLINK("https://us2.cloudbeds.com/connect/10074733072513#/reservations/31692430950543?display=MHKS2885V&amp;reservation_id=31692430950543", "MHKS2885V")</f>
        <v>MHKS2885V</v>
      </c>
      <c r="B9986" t="s">
        <v>10</v>
      </c>
      <c r="C9986" t="s">
        <v>121</v>
      </c>
      <c r="D9986" t="str">
        <f>HYPERLINK("https://us2.cloudbeds.com/connect/10074733072513#/reservations/31692430950543?display=Ryan%20Tracy&amp;reservation_id=31692430950543&amp;guest_id=31692430946458", "Ryan Tracy")</f>
        <v>Ryan Tracy</v>
      </c>
      <c r="E9986" t="s">
        <v>8688</v>
      </c>
      <c r="F9986" t="s">
        <v>8440</v>
      </c>
      <c r="G9986">
        <v>149</v>
      </c>
      <c r="H9986">
        <v>161.97</v>
      </c>
      <c r="I9986">
        <v>161.96</v>
      </c>
      <c r="J9986">
        <v>0.01</v>
      </c>
    </row>
    <row r="9987" spans="1:10" x14ac:dyDescent="0.3">
      <c r="A9987" t="str">
        <f>HYPERLINK("https://us2.cloudbeds.com/connect/10074733072513#/reservations/31688172769424?display=MHHX8Y2MF&amp;reservation_id=31688172769424", "MHHX8Y2MF")</f>
        <v>MHHX8Y2MF</v>
      </c>
      <c r="B9987" t="s">
        <v>10</v>
      </c>
      <c r="C9987" t="s">
        <v>20</v>
      </c>
      <c r="D9987" t="str">
        <f>HYPERLINK("https://us2.cloudbeds.com/connect/10074733072513#/reservations/31688172769424?display=Darrell%20Raschke&amp;reservation_id=31688172769424&amp;guest_id=31688163053762", "Darrell Raschke")</f>
        <v>Darrell Raschke</v>
      </c>
      <c r="E9987" t="s">
        <v>8691</v>
      </c>
      <c r="F9987" t="s">
        <v>7885</v>
      </c>
      <c r="G9987">
        <v>149</v>
      </c>
      <c r="H9987">
        <v>161.97</v>
      </c>
      <c r="I9987">
        <v>161.96</v>
      </c>
      <c r="J9987">
        <v>0.01</v>
      </c>
    </row>
    <row r="9988" spans="1:10" x14ac:dyDescent="0.3">
      <c r="A9988" t="str">
        <f>HYPERLINK("https://us2.cloudbeds.com/connect/10074733072513#/reservations/31695732084896?display=MHNDDS5S9&amp;reservation_id=31695732084896", "MHNDDS5S9")</f>
        <v>MHNDDS5S9</v>
      </c>
      <c r="B9988" t="s">
        <v>10</v>
      </c>
      <c r="C9988" t="s">
        <v>23</v>
      </c>
      <c r="D9988" t="str">
        <f>HYPERLINK("https://us2.cloudbeds.com/connect/10074733072513#/reservations/31695732084896?display=Gina%20Damm&amp;reservation_id=31695732084896&amp;guest_id=31695720497359", "Gina Damm")</f>
        <v>Gina Damm</v>
      </c>
      <c r="E9988" t="s">
        <v>8692</v>
      </c>
      <c r="F9988" t="s">
        <v>8151</v>
      </c>
      <c r="G9988">
        <v>199</v>
      </c>
      <c r="H9988">
        <v>216.32</v>
      </c>
      <c r="I9988">
        <v>216.31</v>
      </c>
      <c r="J9988">
        <v>0.01</v>
      </c>
    </row>
    <row r="9989" spans="1:10" x14ac:dyDescent="0.3">
      <c r="A9989" t="str">
        <f>HYPERLINK("https://us2.cloudbeds.com/connect/10074733072513#/reservations/31692424634619?display=MHKRTUGEB&amp;reservation_id=31692424634619", "MHKRTUGEB")</f>
        <v>MHKRTUGEB</v>
      </c>
      <c r="B9989" t="s">
        <v>10</v>
      </c>
      <c r="C9989" t="s">
        <v>121</v>
      </c>
      <c r="D9989" t="str">
        <f>HYPERLINK("https://us2.cloudbeds.com/connect/10074733072513#/reservations/31692424634619?display=Shaun%20O'Neill&amp;reservation_id=31692424634619&amp;guest_id=31692424634564", "Shaun O'Neill")</f>
        <v>Shaun O'Neill</v>
      </c>
      <c r="E9989" t="s">
        <v>8693</v>
      </c>
      <c r="F9989" t="s">
        <v>8440</v>
      </c>
      <c r="G9989">
        <v>169</v>
      </c>
      <c r="H9989">
        <v>183.71</v>
      </c>
      <c r="I9989">
        <v>183.7</v>
      </c>
      <c r="J9989">
        <v>0.01</v>
      </c>
    </row>
    <row r="9990" spans="1:10" x14ac:dyDescent="0.3">
      <c r="A9990" t="str">
        <f>HYPERLINK("https://us2.cloudbeds.com/connect/10074733072513#/reservations/31691735113870?display=MHKA9GXN6&amp;reservation_id=31691735113870", "MHKA9GXN6")</f>
        <v>MHKA9GXN6</v>
      </c>
      <c r="B9990" t="s">
        <v>10</v>
      </c>
      <c r="C9990" t="s">
        <v>42</v>
      </c>
      <c r="D9990" t="str">
        <f>HYPERLINK("https://us2.cloudbeds.com/connect/10074733072513#/reservations/31691735113870?display=Matthew%20Rogers&amp;reservation_id=31691735113870&amp;guest_id=31691334983836", "Matthew Rogers")</f>
        <v>Matthew Rogers</v>
      </c>
      <c r="E9990" t="s">
        <v>8694</v>
      </c>
      <c r="F9990" t="s">
        <v>8695</v>
      </c>
      <c r="G9990">
        <v>73</v>
      </c>
      <c r="H9990">
        <v>79.36</v>
      </c>
      <c r="I9990">
        <v>79.349999999999994</v>
      </c>
      <c r="J9990">
        <v>0.01</v>
      </c>
    </row>
    <row r="9991" spans="1:10" x14ac:dyDescent="0.3">
      <c r="A9991" t="str">
        <f>HYPERLINK("https://us2.cloudbeds.com/connect/10074733072513#/reservations/31691403944167?display=MHK1R899Y&amp;reservation_id=31691403944167", "MHK1R899Y")</f>
        <v>MHK1R899Y</v>
      </c>
      <c r="B9991" t="s">
        <v>10</v>
      </c>
      <c r="C9991" t="s">
        <v>23</v>
      </c>
      <c r="D9991" t="str">
        <f>HYPERLINK("https://us2.cloudbeds.com/connect/10074733072513#/reservations/31691403944167?display=Steven%20Blake&amp;reservation_id=31691403944167&amp;guest_id=31691395915917", "Steven Blake")</f>
        <v>Steven Blake</v>
      </c>
      <c r="E9991" t="s">
        <v>8697</v>
      </c>
      <c r="F9991" t="s">
        <v>7567</v>
      </c>
      <c r="G9991">
        <v>219</v>
      </c>
      <c r="H9991">
        <v>238.06</v>
      </c>
      <c r="I9991">
        <v>238.05</v>
      </c>
      <c r="J9991">
        <v>0.01</v>
      </c>
    </row>
    <row r="9992" spans="1:10" x14ac:dyDescent="0.3">
      <c r="A9992" t="str">
        <f>HYPERLINK("https://us2.cloudbeds.com/connect/10074733072513#/reservations/31691051835619?display=MHJPRBB9Y&amp;reservation_id=31691051835619", "MHJPRBB9Y")</f>
        <v>MHJPRBB9Y</v>
      </c>
      <c r="B9992" t="s">
        <v>10</v>
      </c>
      <c r="C9992" t="s">
        <v>121</v>
      </c>
      <c r="D9992" t="str">
        <f>HYPERLINK("https://us2.cloudbeds.com/connect/10074733072513#/reservations/31691051835619?display=Mary%20Schooley&amp;reservation_id=31691051835619&amp;guest_id=31691051835591", "Mary Schooley")</f>
        <v>Mary Schooley</v>
      </c>
      <c r="E9992" t="s">
        <v>8698</v>
      </c>
      <c r="F9992" t="s">
        <v>7885</v>
      </c>
      <c r="G9992">
        <v>139</v>
      </c>
      <c r="H9992">
        <v>151.1</v>
      </c>
      <c r="I9992">
        <v>151.09</v>
      </c>
      <c r="J9992">
        <v>0.01</v>
      </c>
    </row>
    <row r="9993" spans="1:10" x14ac:dyDescent="0.3">
      <c r="A9993" t="str">
        <f>HYPERLINK("https://us2.cloudbeds.com/connect/10074733072513#/reservations/31692468875463?display=MHKT17XKW&amp;reservation_id=31692468875463", "MHKT17XKW")</f>
        <v>MHKT17XKW</v>
      </c>
      <c r="B9993" t="s">
        <v>10</v>
      </c>
      <c r="C9993" t="s">
        <v>42</v>
      </c>
      <c r="D9993" t="str">
        <f>HYPERLINK("https://us2.cloudbeds.com/connect/10074733072513#/reservations/31692468875463?display=Jenna%20Carl&amp;reservation_id=31692468875463&amp;guest_id=31692461678775", "Jenna Carl")</f>
        <v>Jenna Carl</v>
      </c>
      <c r="E9993" t="s">
        <v>8699</v>
      </c>
      <c r="F9993" t="s">
        <v>7885</v>
      </c>
      <c r="G9993">
        <v>139</v>
      </c>
      <c r="H9993">
        <v>151.1</v>
      </c>
      <c r="I9993">
        <v>151.09</v>
      </c>
      <c r="J9993">
        <v>0.01</v>
      </c>
    </row>
    <row r="9994" spans="1:10" x14ac:dyDescent="0.3">
      <c r="A9994" t="str">
        <f>HYPERLINK("https://us2.cloudbeds.com/connect/10074733072513#/reservations/31694372081806?display=MHMBM22SF&amp;reservation_id=31694372081806", "MHMBM22SF")</f>
        <v>MHMBM22SF</v>
      </c>
      <c r="B9994" t="s">
        <v>10</v>
      </c>
      <c r="C9994" t="s">
        <v>42</v>
      </c>
      <c r="D9994" t="str">
        <f>HYPERLINK("https://us2.cloudbeds.com/connect/10074733072513#/reservations/31694372081806?display=Matt%20Spreng&amp;reservation_id=31694372081806&amp;guest_id=31694372081804", "Matt Spreng")</f>
        <v>Matt Spreng</v>
      </c>
      <c r="E9994" t="s">
        <v>8700</v>
      </c>
      <c r="F9994" t="s">
        <v>8600</v>
      </c>
      <c r="G9994">
        <v>258</v>
      </c>
      <c r="H9994">
        <v>280.45999999999998</v>
      </c>
      <c r="I9994">
        <v>280.45</v>
      </c>
      <c r="J9994">
        <v>0.01</v>
      </c>
    </row>
    <row r="9995" spans="1:10" x14ac:dyDescent="0.3">
      <c r="A9995" t="str">
        <f>HYPERLINK("https://us2.cloudbeds.com/connect/10074733072513#/reservations/31690182791318?display=MHJ3KHTQS&amp;reservation_id=31690182791318", "MHJ3KHTQS")</f>
        <v>MHJ3KHTQS</v>
      </c>
      <c r="B9995" t="s">
        <v>10</v>
      </c>
      <c r="C9995" t="s">
        <v>11</v>
      </c>
      <c r="D9995" t="str">
        <f>HYPERLINK("https://us2.cloudbeds.com/connect/10074733072513#/reservations/31690182791318?display=Richard%20Johnson&amp;reservation_id=31690182791318&amp;guest_id=31690182791316", "Richard Johnson")</f>
        <v>Richard Johnson</v>
      </c>
      <c r="E9995" t="s">
        <v>8701</v>
      </c>
      <c r="F9995" t="s">
        <v>8702</v>
      </c>
      <c r="G9995">
        <v>97.74</v>
      </c>
      <c r="H9995">
        <v>106.25</v>
      </c>
      <c r="I9995">
        <v>106.24</v>
      </c>
      <c r="J9995">
        <v>0.01</v>
      </c>
    </row>
    <row r="9996" spans="1:10" x14ac:dyDescent="0.3">
      <c r="A9996" t="str">
        <f>HYPERLINK("https://us2.cloudbeds.com/connect/10074733072513#/reservations/31691450536071?display=MHK30HPDH&amp;reservation_id=31691450536071", "MHK30HPDH")</f>
        <v>MHK30HPDH</v>
      </c>
      <c r="B9996" t="s">
        <v>10</v>
      </c>
      <c r="C9996" t="s">
        <v>23</v>
      </c>
      <c r="D9996" t="str">
        <f>HYPERLINK("https://us2.cloudbeds.com/connect/10074733072513#/reservations/31691450536071?display=Travis%20Larsen&amp;reservation_id=31691450536071&amp;guest_id=31691450536066", "Travis Larsen")</f>
        <v>Travis Larsen</v>
      </c>
      <c r="E9996" t="s">
        <v>8705</v>
      </c>
      <c r="F9996" t="s">
        <v>7567</v>
      </c>
      <c r="G9996">
        <v>189</v>
      </c>
      <c r="H9996">
        <v>205.45</v>
      </c>
      <c r="I9996">
        <v>205.44</v>
      </c>
      <c r="J9996">
        <v>0.01</v>
      </c>
    </row>
    <row r="9997" spans="1:10" x14ac:dyDescent="0.3">
      <c r="A9997" t="str">
        <f>HYPERLINK("https://us2.cloudbeds.com/connect/10074733072513#/reservations/31690811777169?display=MHJJMUBV5&amp;reservation_id=31690811777169", "MHJJMUBV5")</f>
        <v>MHJJMUBV5</v>
      </c>
      <c r="B9997" t="s">
        <v>10</v>
      </c>
      <c r="C9997" t="s">
        <v>42</v>
      </c>
      <c r="D9997" t="str">
        <f>HYPERLINK("https://us2.cloudbeds.com/connect/10074733072513#/reservations/31690811777169?display=Mcmahan%20Shawntrail&amp;reservation_id=31690811777169&amp;guest_id=31690811773075", "Mcmahan Shawntrail")</f>
        <v>Mcmahan Shawntrail</v>
      </c>
      <c r="E9997" t="s">
        <v>5222</v>
      </c>
      <c r="F9997" t="s">
        <v>7885</v>
      </c>
      <c r="G9997">
        <v>79</v>
      </c>
      <c r="H9997">
        <v>85.88</v>
      </c>
      <c r="I9997">
        <v>85.87</v>
      </c>
      <c r="J9997">
        <v>0.01</v>
      </c>
    </row>
    <row r="9998" spans="1:10" x14ac:dyDescent="0.3">
      <c r="A9998" t="str">
        <f>HYPERLINK("https://us2.cloudbeds.com/connect/10074733072513#/reservations/31691852955803?display=MHKD9SMRS&amp;reservation_id=31691852955803", "MHKD9SMRS")</f>
        <v>MHKD9SMRS</v>
      </c>
      <c r="B9998" t="s">
        <v>10</v>
      </c>
      <c r="C9998" t="s">
        <v>42</v>
      </c>
      <c r="D9998" t="str">
        <f>HYPERLINK("https://us2.cloudbeds.com/connect/10074733072513#/reservations/31691852955803?display=Deeann%20Brost&amp;reservation_id=31691852955803&amp;guest_id=31691852955798", "Deeann Brost")</f>
        <v>Deeann Brost</v>
      </c>
      <c r="E9998" t="s">
        <v>8707</v>
      </c>
      <c r="F9998" t="s">
        <v>7567</v>
      </c>
      <c r="G9998">
        <v>179</v>
      </c>
      <c r="H9998">
        <v>194.58</v>
      </c>
      <c r="I9998">
        <v>194.57</v>
      </c>
      <c r="J9998">
        <v>0.01</v>
      </c>
    </row>
    <row r="9999" spans="1:10" x14ac:dyDescent="0.3">
      <c r="A9999" t="str">
        <f>HYPERLINK("https://us2.cloudbeds.com/connect/10074733072513#/reservations/31695740747927?display=MHNDY57TD&amp;reservation_id=31695740747927", "MHNDY57TD")</f>
        <v>MHNDY57TD</v>
      </c>
      <c r="B9999" t="s">
        <v>10</v>
      </c>
      <c r="C9999" t="s">
        <v>42</v>
      </c>
      <c r="D9999" t="str">
        <f>HYPERLINK("https://us2.cloudbeds.com/connect/10074733072513#/reservations/31695740747927?display=Kraid%20Jkraig%20Johnso&amp;reservation_id=31695740747927&amp;guest_id=31695740747923", "Kraid Jkraig Johnso")</f>
        <v>Kraid Jkraig Johnso</v>
      </c>
      <c r="E9999" t="s">
        <v>8708</v>
      </c>
      <c r="F9999" t="s">
        <v>8506</v>
      </c>
      <c r="G9999">
        <v>153</v>
      </c>
      <c r="H9999">
        <v>166.32</v>
      </c>
      <c r="I9999">
        <v>166.31</v>
      </c>
      <c r="J9999">
        <v>0.01</v>
      </c>
    </row>
    <row r="10000" spans="1:10" x14ac:dyDescent="0.3">
      <c r="A10000" t="str">
        <f>HYPERLINK("https://us2.cloudbeds.com/connect/10074733072513#/reservations/31690178543866?display=MHJ3GVNG6&amp;reservation_id=31690178543866", "MHJ3GVNG6")</f>
        <v>MHJ3GVNG6</v>
      </c>
      <c r="B10000" t="s">
        <v>10</v>
      </c>
      <c r="C10000" t="s">
        <v>42</v>
      </c>
      <c r="D10000" t="str">
        <f>HYPERLINK("https://us2.cloudbeds.com/connect/10074733072513#/reservations/31690178543866?display=Find%20Out%20Who%20Is%20In%20This%20Room%20Overbooking?&amp;reservation_id=31690178543866&amp;guest_id=31690168758497", "Find Out Who Is In This Room Overbooking?")</f>
        <v>Find Out Who Is In This Room Overbooking?</v>
      </c>
      <c r="E10000" t="s">
        <v>8709</v>
      </c>
      <c r="F10000" t="s">
        <v>7567</v>
      </c>
      <c r="G10000">
        <v>418</v>
      </c>
      <c r="H10000">
        <v>454.38</v>
      </c>
      <c r="I10000">
        <v>454.37</v>
      </c>
      <c r="J10000">
        <v>0.01</v>
      </c>
    </row>
    <row r="10001" spans="1:10" x14ac:dyDescent="0.3">
      <c r="A10001" t="str">
        <f>HYPERLINK("https://us2.cloudbeds.com/connect/10074733072513#/reservations/31733979328764?display=MXK0NV3U8&amp;reservation_id=31733979328764", "MXK0NV3U8")</f>
        <v>MXK0NV3U8</v>
      </c>
      <c r="B10001" t="s">
        <v>10</v>
      </c>
      <c r="C10001" t="s">
        <v>42</v>
      </c>
      <c r="D10001" t="str">
        <f>HYPERLINK("https://us2.cloudbeds.com/connect/10074733072513#/reservations/31733979328764?display=Jeff%20Portz&amp;reservation_id=31733979328764&amp;guest_id=31733962694811", "Jeff Portz")</f>
        <v>Jeff Portz</v>
      </c>
      <c r="E10001" t="s">
        <v>8713</v>
      </c>
      <c r="F10001" t="s">
        <v>7203</v>
      </c>
      <c r="G10001">
        <v>159</v>
      </c>
      <c r="H10001">
        <v>172.84</v>
      </c>
      <c r="I10001">
        <v>172.83</v>
      </c>
      <c r="J10001">
        <v>0.01</v>
      </c>
    </row>
    <row r="10002" spans="1:10" x14ac:dyDescent="0.3">
      <c r="A10002" t="str">
        <f>HYPERLINK("https://us2.cloudbeds.com/connect/10074733072513#/reservations/31689997795542?display=MHXVTX428&amp;reservation_id=31689997795542", "MHXVTX428")</f>
        <v>MHXVTX428</v>
      </c>
      <c r="B10002" t="s">
        <v>10</v>
      </c>
      <c r="C10002" t="s">
        <v>23</v>
      </c>
      <c r="D10002" t="str">
        <f>HYPERLINK("https://us2.cloudbeds.com/connect/10074733072513#/reservations/31689997795542?display=Kris%20Tvinnereim&amp;reservation_id=31689997795542&amp;guest_id=31689997795530", "Kris Tvinnereim")</f>
        <v>Kris Tvinnereim</v>
      </c>
      <c r="E10002" t="s">
        <v>8714</v>
      </c>
      <c r="F10002" t="s">
        <v>8210</v>
      </c>
      <c r="G10002">
        <v>258</v>
      </c>
      <c r="H10002">
        <v>280.45999999999998</v>
      </c>
      <c r="I10002">
        <v>280.45</v>
      </c>
      <c r="J10002">
        <v>0.01</v>
      </c>
    </row>
    <row r="10003" spans="1:10" x14ac:dyDescent="0.3">
      <c r="A10003" t="str">
        <f>HYPERLINK("https://us2.cloudbeds.com/connect/10074733072513#/reservations/31693678940407?display=MHYQVJDCJ&amp;reservation_id=31693678940407", "MHYQVJDCJ")</f>
        <v>MHYQVJDCJ</v>
      </c>
      <c r="B10003" t="s">
        <v>10</v>
      </c>
      <c r="C10003" t="s">
        <v>23</v>
      </c>
      <c r="D10003" t="str">
        <f>HYPERLINK("https://us2.cloudbeds.com/connect/10074733072513#/reservations/31693678940407?display=Aaron%20Colby&amp;reservation_id=31693678940407&amp;guest_id=31693678940401", "Aaron Colby")</f>
        <v>Aaron Colby</v>
      </c>
      <c r="E10003" t="s">
        <v>8717</v>
      </c>
      <c r="F10003" t="s">
        <v>8210</v>
      </c>
      <c r="G10003">
        <v>338</v>
      </c>
      <c r="H10003">
        <v>367.42</v>
      </c>
      <c r="I10003">
        <v>367.41</v>
      </c>
      <c r="J10003">
        <v>0.01</v>
      </c>
    </row>
    <row r="10004" spans="1:10" x14ac:dyDescent="0.3">
      <c r="A10004" t="str">
        <f>HYPERLINK("https://us2.cloudbeds.com/connect/10074733072513#/reservations/31736008593561?display=MXYJJ2D9T&amp;reservation_id=31736008593561", "MXYJJ2D9T")</f>
        <v>MXYJJ2D9T</v>
      </c>
      <c r="B10004" t="s">
        <v>10</v>
      </c>
      <c r="C10004" t="s">
        <v>42</v>
      </c>
      <c r="D10004" t="str">
        <f>HYPERLINK("https://us2.cloudbeds.com/connect/10074733072513#/reservations/31736008593561?display=Cheryl%20Winch&amp;reservation_id=31736008593561&amp;guest_id=31736008593556", "Cheryl Winch")</f>
        <v>Cheryl Winch</v>
      </c>
      <c r="E10004" t="s">
        <v>8718</v>
      </c>
      <c r="F10004" t="s">
        <v>6916</v>
      </c>
      <c r="G10004">
        <v>318</v>
      </c>
      <c r="H10004">
        <v>345.68</v>
      </c>
      <c r="I10004">
        <v>345.67</v>
      </c>
      <c r="J10004">
        <v>0.01</v>
      </c>
    </row>
    <row r="10005" spans="1:10" x14ac:dyDescent="0.3">
      <c r="A10005" t="str">
        <f>HYPERLINK("https://us2.cloudbeds.com/connect/10074733072513#/reservations/31695424266427?display=MHN5X9M8U&amp;reservation_id=31695424266427", "MHN5X9M8U")</f>
        <v>MHN5X9M8U</v>
      </c>
      <c r="B10005" t="s">
        <v>10</v>
      </c>
      <c r="C10005" t="s">
        <v>20</v>
      </c>
      <c r="D10005" t="str">
        <f>HYPERLINK("https://us2.cloudbeds.com/connect/10074733072513#/reservations/31695424266427?display=Jacob%20Peterson&amp;reservation_id=31695424266427&amp;guest_id=31695415271586", "Jacob Peterson")</f>
        <v>Jacob Peterson</v>
      </c>
      <c r="E10005" t="s">
        <v>8720</v>
      </c>
      <c r="F10005" t="s">
        <v>8271</v>
      </c>
      <c r="G10005">
        <v>321.3</v>
      </c>
      <c r="H10005">
        <v>349.26</v>
      </c>
      <c r="I10005">
        <v>349.25</v>
      </c>
      <c r="J10005">
        <v>0.01</v>
      </c>
    </row>
    <row r="10006" spans="1:10" x14ac:dyDescent="0.3">
      <c r="A10006" t="str">
        <f>HYPERLINK("https://us2.cloudbeds.com/connect/10074733072513#/reservations/31735988682900?display=MXYJ29BSH&amp;reservation_id=31735988682900", "MXYJ29BSH")</f>
        <v>MXYJ29BSH</v>
      </c>
      <c r="B10006" t="s">
        <v>10</v>
      </c>
      <c r="C10006" t="s">
        <v>42</v>
      </c>
      <c r="D10006" t="str">
        <f>HYPERLINK("https://us2.cloudbeds.com/connect/10074733072513#/reservations/31735988682900?display=Andrew%20Hutton&amp;reservation_id=31735988682900&amp;guest_id=31735988682895", "Andrew Hutton")</f>
        <v>Andrew Hutton</v>
      </c>
      <c r="E10006" t="s">
        <v>8721</v>
      </c>
      <c r="F10006" t="s">
        <v>6916</v>
      </c>
      <c r="G10006">
        <v>318</v>
      </c>
      <c r="H10006">
        <v>345.68</v>
      </c>
      <c r="I10006">
        <v>345.67</v>
      </c>
      <c r="J10006">
        <v>0.01</v>
      </c>
    </row>
    <row r="10007" spans="1:10" x14ac:dyDescent="0.3">
      <c r="A10007" t="str">
        <f>HYPERLINK("https://us2.cloudbeds.com/connect/10074733072513#/reservations/31735998284022?display=MXYJACHAK&amp;reservation_id=31735998284022", "MXYJACHAK")</f>
        <v>MXYJACHAK</v>
      </c>
      <c r="B10007" t="s">
        <v>10</v>
      </c>
      <c r="C10007" t="s">
        <v>42</v>
      </c>
      <c r="D10007" t="str">
        <f>HYPERLINK("https://us2.cloudbeds.com/connect/10074733072513#/reservations/31735998284022?display=Debrah%20Hutton&amp;reservation_id=31735998284022&amp;guest_id=31735998284018", "Debrah Hutton")</f>
        <v>Debrah Hutton</v>
      </c>
      <c r="E10007" t="s">
        <v>8721</v>
      </c>
      <c r="F10007" t="s">
        <v>6916</v>
      </c>
      <c r="G10007">
        <v>318</v>
      </c>
      <c r="H10007">
        <v>345.68</v>
      </c>
      <c r="I10007">
        <v>345.67</v>
      </c>
      <c r="J10007">
        <v>0.01</v>
      </c>
    </row>
    <row r="10008" spans="1:10" x14ac:dyDescent="0.3">
      <c r="A10008" t="str">
        <f>HYPERLINK("https://us2.cloudbeds.com/connect/10074733072513#/reservations/31691708747976?display=MHK9K8TJN&amp;reservation_id=31691708747976", "MHK9K8TJN")</f>
        <v>MHK9K8TJN</v>
      </c>
      <c r="B10008" t="s">
        <v>10</v>
      </c>
      <c r="C10008" t="s">
        <v>23</v>
      </c>
      <c r="D10008" t="str">
        <f>HYPERLINK("https://us2.cloudbeds.com/connect/10074733072513#/reservations/31691708747976?display=Jonathan%20Raborn&amp;reservation_id=31691708747976&amp;guest_id=31691708747974", "Jonathan Raborn")</f>
        <v>Jonathan Raborn</v>
      </c>
      <c r="E10008" t="s">
        <v>8722</v>
      </c>
      <c r="F10008" t="s">
        <v>8695</v>
      </c>
      <c r="G10008">
        <v>321.3</v>
      </c>
      <c r="H10008">
        <v>349.26</v>
      </c>
      <c r="I10008">
        <v>349.25</v>
      </c>
      <c r="J10008">
        <v>0.01</v>
      </c>
    </row>
    <row r="10009" spans="1:10" x14ac:dyDescent="0.3">
      <c r="A10009" t="str">
        <f>HYPERLINK("https://us2.cloudbeds.com/connect/10074733072513#/reservations/31691695726761?display=MHK999XXE&amp;reservation_id=31691695726761", "MHK999XXE")</f>
        <v>MHK999XXE</v>
      </c>
      <c r="B10009" t="s">
        <v>10</v>
      </c>
      <c r="C10009" t="s">
        <v>121</v>
      </c>
      <c r="D10009" t="str">
        <f>HYPERLINK("https://us2.cloudbeds.com/connect/10074733072513#/reservations/31691695726761?display=Kristopher%20William%20Evans&amp;reservation_id=31691695726761&amp;guest_id=31687741513871", "Kristopher William Evans")</f>
        <v>Kristopher William Evans</v>
      </c>
      <c r="E10009" t="s">
        <v>7596</v>
      </c>
      <c r="F10009" t="s">
        <v>8695</v>
      </c>
      <c r="G10009">
        <v>225</v>
      </c>
      <c r="H10009">
        <v>244.59</v>
      </c>
      <c r="I10009">
        <v>244.58</v>
      </c>
      <c r="J10009">
        <v>0.01</v>
      </c>
    </row>
    <row r="10010" spans="1:10" x14ac:dyDescent="0.3">
      <c r="A10010" t="str">
        <f>HYPERLINK("https://us2.cloudbeds.com/connect/10074733072513#/reservations/31695359914190?display=MHN3U0WA4&amp;reservation_id=31695359914190", "MHN3U0WA4")</f>
        <v>MHN3U0WA4</v>
      </c>
      <c r="B10010" t="s">
        <v>10</v>
      </c>
      <c r="C10010" t="s">
        <v>42</v>
      </c>
      <c r="D10010" t="str">
        <f>HYPERLINK("https://us2.cloudbeds.com/connect/10074733072513#/reservations/31695359914190?display=Heidi%20Woelfel&amp;reservation_id=31695359914190&amp;guest_id=31695359914186", "Heidi Woelfel")</f>
        <v>Heidi Woelfel</v>
      </c>
      <c r="E10010" t="s">
        <v>8723</v>
      </c>
      <c r="F10010" t="s">
        <v>8408</v>
      </c>
      <c r="G10010">
        <v>139</v>
      </c>
      <c r="H10010">
        <v>151.1</v>
      </c>
      <c r="I10010">
        <v>151.09</v>
      </c>
      <c r="J10010">
        <v>0.01</v>
      </c>
    </row>
    <row r="10011" spans="1:10" x14ac:dyDescent="0.3">
      <c r="A10011" t="str">
        <f>HYPERLINK("https://us2.cloudbeds.com/connect/10074733072513#/reservations/31731815112926?display=MXXBE0KX4&amp;reservation_id=31731815112926", "MXXBE0KX4")</f>
        <v>MXXBE0KX4</v>
      </c>
      <c r="B10011" t="s">
        <v>10</v>
      </c>
      <c r="C10011" t="s">
        <v>42</v>
      </c>
      <c r="D10011" t="str">
        <f>HYPERLINK("https://us2.cloudbeds.com/connect/10074733072513#/reservations/31731815112926?display=Denyce%20Campbell&amp;reservation_id=31731815112926&amp;guest_id=31731815112905", "Denyce Campbell")</f>
        <v>Denyce Campbell</v>
      </c>
      <c r="E10011" t="s">
        <v>8724</v>
      </c>
      <c r="F10011" t="s">
        <v>7203</v>
      </c>
      <c r="G10011">
        <v>189</v>
      </c>
      <c r="H10011">
        <v>205.45</v>
      </c>
      <c r="I10011">
        <v>205.44</v>
      </c>
      <c r="J10011">
        <v>0.01</v>
      </c>
    </row>
    <row r="10012" spans="1:10" x14ac:dyDescent="0.3">
      <c r="A10012" t="str">
        <f>HYPERLINK("https://us2.cloudbeds.com/connect/10074733072513#/reservations/31731812171905?display=MXXBBHPT9&amp;reservation_id=31731812171905", "MXXBBHPT9")</f>
        <v>MXXBBHPT9</v>
      </c>
      <c r="B10012" t="s">
        <v>10</v>
      </c>
      <c r="C10012" t="s">
        <v>42</v>
      </c>
      <c r="D10012" t="str">
        <f>HYPERLINK("https://us2.cloudbeds.com/connect/10074733072513#/reservations/31731812171905?display=Denyce%20Campbell&amp;reservation_id=31731812171905&amp;guest_id=31731801952417", "Denyce Campbell")</f>
        <v>Denyce Campbell</v>
      </c>
      <c r="E10012" t="s">
        <v>8725</v>
      </c>
      <c r="F10012" t="s">
        <v>7203</v>
      </c>
      <c r="G10012">
        <v>159</v>
      </c>
      <c r="H10012">
        <v>172.84</v>
      </c>
      <c r="I10012">
        <v>172.83</v>
      </c>
      <c r="J10012">
        <v>0.01</v>
      </c>
    </row>
    <row r="10013" spans="1:10" x14ac:dyDescent="0.3">
      <c r="A10013" t="str">
        <f>HYPERLINK("https://us2.cloudbeds.com/connect/10074733072513#/reservations/31691008250046?display=MHJZNJGQN&amp;reservation_id=31691008250046", "MHJZNJGQN")</f>
        <v>MHJZNJGQN</v>
      </c>
      <c r="B10013" t="s">
        <v>10</v>
      </c>
      <c r="C10013" t="s">
        <v>23</v>
      </c>
      <c r="D10013" t="str">
        <f>HYPERLINK("https://us2.cloudbeds.com/connect/10074733072513#/reservations/31691008250046?display=Gayle%20Bisaro&amp;reservation_id=31691008250046&amp;guest_id=31691008249987", "Gayle Bisaro")</f>
        <v>Gayle Bisaro</v>
      </c>
      <c r="E10013" t="s">
        <v>8726</v>
      </c>
      <c r="F10013" t="s">
        <v>8727</v>
      </c>
      <c r="G10013">
        <v>119</v>
      </c>
      <c r="H10013">
        <v>129.36000000000001</v>
      </c>
      <c r="I10013">
        <v>129.35</v>
      </c>
      <c r="J10013">
        <v>0.01</v>
      </c>
    </row>
    <row r="10014" spans="1:10" x14ac:dyDescent="0.3">
      <c r="A10014" t="str">
        <f>HYPERLINK("https://us2.cloudbeds.com/connect/10074733072513#/reservations/31690228244680?display=MHJ4PSNEF&amp;reservation_id=31690228244680", "MHJ4PSNEF")</f>
        <v>MHJ4PSNEF</v>
      </c>
      <c r="B10014" t="s">
        <v>10</v>
      </c>
      <c r="C10014" t="s">
        <v>42</v>
      </c>
      <c r="D10014" t="str">
        <f>HYPERLINK("https://us2.cloudbeds.com/connect/10074733072513#/reservations/31690228244680?display=Curtis%20Lentz&amp;reservation_id=31690228244680&amp;guest_id=31690228244675", "Curtis Lentz")</f>
        <v>Curtis Lentz</v>
      </c>
      <c r="E10014" t="s">
        <v>8729</v>
      </c>
      <c r="F10014" t="s">
        <v>8730</v>
      </c>
      <c r="G10014">
        <v>119</v>
      </c>
      <c r="H10014">
        <v>129.36000000000001</v>
      </c>
      <c r="I10014">
        <v>129.35</v>
      </c>
      <c r="J10014">
        <v>0.01</v>
      </c>
    </row>
    <row r="10015" spans="1:10" x14ac:dyDescent="0.3">
      <c r="A10015" t="str">
        <f>HYPERLINK("https://us2.cloudbeds.com/connect/10074733072513#/reservations/31690203578501?display=MHJ452B4G&amp;reservation_id=31690203578501", "MHJ452B4G")</f>
        <v>MHJ452B4G</v>
      </c>
      <c r="B10015" t="s">
        <v>10</v>
      </c>
      <c r="C10015" t="s">
        <v>42</v>
      </c>
      <c r="D10015" t="str">
        <f>HYPERLINK("https://us2.cloudbeds.com/connect/10074733072513#/reservations/31690203578501?display=Arlyn%20Jons&amp;reservation_id=31690203578501&amp;guest_id=30668970557667", "Arlyn Jons")</f>
        <v>Arlyn Jons</v>
      </c>
      <c r="E10015" t="s">
        <v>3948</v>
      </c>
      <c r="F10015" t="s">
        <v>8730</v>
      </c>
      <c r="G10015">
        <v>129</v>
      </c>
      <c r="H10015">
        <v>140.22999999999999</v>
      </c>
      <c r="I10015">
        <v>140.22</v>
      </c>
      <c r="J10015">
        <v>0.01</v>
      </c>
    </row>
    <row r="10016" spans="1:10" x14ac:dyDescent="0.3">
      <c r="A10016" t="str">
        <f>HYPERLINK("https://us2.cloudbeds.com/connect/10074733072513#/reservations/31696038715625?display=MHNY8DKPJ&amp;reservation_id=31696038715625", "MHNY8DKPJ")</f>
        <v>MHNY8DKPJ</v>
      </c>
      <c r="B10016" t="s">
        <v>10</v>
      </c>
      <c r="C10016" t="s">
        <v>17</v>
      </c>
      <c r="D10016" t="str">
        <f>HYPERLINK("https://us2.cloudbeds.com/connect/10074733072513#/reservations/31696038715625?display=Amanda%20Wagner&amp;reservation_id=31696038715625&amp;guest_id=31696038715620", "Amanda Wagner")</f>
        <v>Amanda Wagner</v>
      </c>
      <c r="E10016" t="s">
        <v>8731</v>
      </c>
      <c r="F10016" t="s">
        <v>8610</v>
      </c>
      <c r="G10016">
        <v>189</v>
      </c>
      <c r="H10016">
        <v>205.45</v>
      </c>
      <c r="I10016">
        <v>205.44</v>
      </c>
      <c r="J10016">
        <v>0.01</v>
      </c>
    </row>
    <row r="10017" spans="1:10" x14ac:dyDescent="0.3">
      <c r="A10017" t="str">
        <f>HYPERLINK("https://us2.cloudbeds.com/connect/10074733072513#/reservations/31695297859800?display=MHN2AN7D2&amp;reservation_id=31695297859800", "MHN2AN7D2")</f>
        <v>MHN2AN7D2</v>
      </c>
      <c r="B10017" t="s">
        <v>10</v>
      </c>
      <c r="C10017" t="s">
        <v>42</v>
      </c>
      <c r="D10017" t="str">
        <f>HYPERLINK("https://us2.cloudbeds.com/connect/10074733072513#/reservations/31695297859800?display=Barb%20Mcgreal&amp;reservation_id=31695297859800&amp;guest_id=31695297859789", "Barb Mcgreal")</f>
        <v>Barb Mcgreal</v>
      </c>
      <c r="E10017" t="s">
        <v>8732</v>
      </c>
      <c r="F10017" t="s">
        <v>8408</v>
      </c>
      <c r="G10017">
        <v>139</v>
      </c>
      <c r="H10017">
        <v>151.1</v>
      </c>
      <c r="I10017">
        <v>151.09</v>
      </c>
      <c r="J10017">
        <v>0.01</v>
      </c>
    </row>
    <row r="10018" spans="1:10" x14ac:dyDescent="0.3">
      <c r="A10018" t="str">
        <f>HYPERLINK("https://us2.cloudbeds.com/connect/10074733072513#/reservations/31695322046673?display=MHN2V38XK&amp;reservation_id=31695322046673", "MHN2V38XK")</f>
        <v>MHN2V38XK</v>
      </c>
      <c r="B10018" t="s">
        <v>10</v>
      </c>
      <c r="C10018" t="s">
        <v>42</v>
      </c>
      <c r="D10018" t="str">
        <f>HYPERLINK("https://us2.cloudbeds.com/connect/10074733072513#/reservations/31695322046673?display=Dawson%20Pehowski&amp;reservation_id=31695322046673&amp;guest_id=31695322042577", "Dawson Pehowski")</f>
        <v>Dawson Pehowski</v>
      </c>
      <c r="E10018" t="s">
        <v>8734</v>
      </c>
      <c r="F10018" t="s">
        <v>6604</v>
      </c>
      <c r="G10018">
        <v>258</v>
      </c>
      <c r="H10018">
        <v>280.45999999999998</v>
      </c>
      <c r="I10018">
        <v>280.45</v>
      </c>
      <c r="J10018">
        <v>0.01</v>
      </c>
    </row>
    <row r="10019" spans="1:10" x14ac:dyDescent="0.3">
      <c r="A10019" t="str">
        <f>HYPERLINK("https://us2.cloudbeds.com/connect/10074733072513#/reservations/31695750090975?display=MHNDT17C2&amp;reservation_id=31695750090975", "MHNDT17C2")</f>
        <v>MHNDT17C2</v>
      </c>
      <c r="B10019" t="s">
        <v>10</v>
      </c>
      <c r="C10019" t="s">
        <v>42</v>
      </c>
      <c r="D10019" t="str">
        <f>HYPERLINK("https://us2.cloudbeds.com/connect/10074733072513#/reservations/31695750090975?display=Collin%20Wodtke&amp;reservation_id=31695750090975&amp;guest_id=31695750090964", "Collin Wodtke")</f>
        <v>Collin Wodtke</v>
      </c>
      <c r="E10019" t="s">
        <v>8735</v>
      </c>
      <c r="F10019" t="s">
        <v>6604</v>
      </c>
      <c r="G10019">
        <v>159</v>
      </c>
      <c r="H10019">
        <v>172.84</v>
      </c>
      <c r="I10019">
        <v>172.83</v>
      </c>
      <c r="J10019">
        <v>0.01</v>
      </c>
    </row>
    <row r="10020" spans="1:10" x14ac:dyDescent="0.3">
      <c r="A10020" t="str">
        <f>HYPERLINK("https://us2.cloudbeds.com/connect/10074733072513#/reservations/31692546728141?display=MHKV0SUN1&amp;reservation_id=31692546728141", "MHKV0SUN1")</f>
        <v>MHKV0SUN1</v>
      </c>
      <c r="B10020" t="s">
        <v>10</v>
      </c>
      <c r="C10020" t="s">
        <v>42</v>
      </c>
      <c r="D10020" t="str">
        <f>HYPERLINK("https://us2.cloudbeds.com/connect/10074733072513#/reservations/31692546728141?display=Evelyn%20Breider&amp;reservation_id=31692546728141&amp;guest_id=30683285856479", "Evelyn Breider")</f>
        <v>Evelyn Breider</v>
      </c>
      <c r="E10020" t="s">
        <v>3968</v>
      </c>
      <c r="F10020" t="s">
        <v>8737</v>
      </c>
      <c r="G10020">
        <v>428.4</v>
      </c>
      <c r="H10020">
        <v>465.68</v>
      </c>
      <c r="I10020">
        <v>465.67</v>
      </c>
      <c r="J10020">
        <v>0.01</v>
      </c>
    </row>
    <row r="10021" spans="1:10" x14ac:dyDescent="0.3">
      <c r="A10021" t="str">
        <f>HYPERLINK("https://us2.cloudbeds.com/connect/10074733072513#/reservations/31736022687891?display=MXYJUVJZQ&amp;reservation_id=31736022687891", "MXYJUVJZQ")</f>
        <v>MXYJUVJZQ</v>
      </c>
      <c r="B10021" t="s">
        <v>10</v>
      </c>
      <c r="C10021" t="s">
        <v>42</v>
      </c>
      <c r="D10021" t="str">
        <f>HYPERLINK("https://us2.cloudbeds.com/connect/10074733072513#/reservations/31736022687891?display=Jeanne%20Timperley&amp;reservation_id=31736022687891&amp;guest_id=31736022687875", "Jeanne Timperley")</f>
        <v>Jeanne Timperley</v>
      </c>
      <c r="E10021" t="s">
        <v>8739</v>
      </c>
      <c r="F10021" t="s">
        <v>6916</v>
      </c>
      <c r="G10021">
        <v>318</v>
      </c>
      <c r="H10021">
        <v>345.68</v>
      </c>
      <c r="I10021">
        <v>345.67</v>
      </c>
      <c r="J10021">
        <v>0.01</v>
      </c>
    </row>
    <row r="10022" spans="1:10" x14ac:dyDescent="0.3">
      <c r="A10022" t="str">
        <f>HYPERLINK("https://us2.cloudbeds.com/connect/10074733072513#/reservations/31694400106687?display=MHMCCMUC9&amp;reservation_id=31694400106687", "MHMCCMUC9")</f>
        <v>MHMCCMUC9</v>
      </c>
      <c r="B10022" t="s">
        <v>10</v>
      </c>
      <c r="C10022" t="s">
        <v>23</v>
      </c>
      <c r="D10022" t="str">
        <f>HYPERLINK("https://us2.cloudbeds.com/connect/10074733072513#/reservations/31694400106687?display=Devon%20Welling&amp;reservation_id=31694400106687&amp;guest_id=31694386909346", "Devon Welling")</f>
        <v>Devon Welling</v>
      </c>
      <c r="E10022" t="s">
        <v>8740</v>
      </c>
      <c r="F10022" t="s">
        <v>8408</v>
      </c>
      <c r="G10022">
        <v>159</v>
      </c>
      <c r="H10022">
        <v>172.84</v>
      </c>
      <c r="I10022">
        <v>172.83</v>
      </c>
      <c r="J10022">
        <v>0.01</v>
      </c>
    </row>
    <row r="10023" spans="1:10" x14ac:dyDescent="0.3">
      <c r="A10023" t="str">
        <f>HYPERLINK("https://us2.cloudbeds.com/connect/10074733072513#/reservations/31694461526257?display=MHMDVG0BC&amp;reservation_id=31694461526257", "MHMDVG0BC")</f>
        <v>MHMDVG0BC</v>
      </c>
      <c r="B10023" t="s">
        <v>10</v>
      </c>
      <c r="C10023" t="s">
        <v>42</v>
      </c>
      <c r="D10023" t="str">
        <f>HYPERLINK("https://us2.cloudbeds.com/connect/10074733072513#/reservations/31694461526257?display=Teresa%20Riley&amp;reservation_id=31694461526257&amp;guest_id=31694461526255", "Teresa Riley")</f>
        <v>Teresa Riley</v>
      </c>
      <c r="E10023" t="s">
        <v>8741</v>
      </c>
      <c r="F10023" t="s">
        <v>6746</v>
      </c>
      <c r="G10023">
        <v>139</v>
      </c>
      <c r="H10023">
        <v>151.1</v>
      </c>
      <c r="I10023">
        <v>151.09</v>
      </c>
      <c r="J10023">
        <v>0.01</v>
      </c>
    </row>
    <row r="10024" spans="1:10" x14ac:dyDescent="0.3">
      <c r="A10024" t="str">
        <f>HYPERLINK("https://us2.cloudbeds.com/connect/10074733072513#/reservations/31694359482514?display=MHMBBEG8Z&amp;reservation_id=31694359482514", "MHMBBEG8Z")</f>
        <v>MHMBBEG8Z</v>
      </c>
      <c r="B10024" t="s">
        <v>10</v>
      </c>
      <c r="C10024" t="s">
        <v>42</v>
      </c>
      <c r="D10024" t="str">
        <f>HYPERLINK("https://us2.cloudbeds.com/connect/10074733072513#/reservations/31694359482514?display=Steven%20Gaskill&amp;reservation_id=31694359482514&amp;guest_id=31694346477765", "Steven Gaskill")</f>
        <v>Steven Gaskill</v>
      </c>
      <c r="E10024" t="s">
        <v>8742</v>
      </c>
      <c r="F10024" t="s">
        <v>8600</v>
      </c>
      <c r="G10024">
        <v>139</v>
      </c>
      <c r="H10024">
        <v>151.1</v>
      </c>
      <c r="I10024">
        <v>151.09</v>
      </c>
      <c r="J10024">
        <v>0.01</v>
      </c>
    </row>
    <row r="10025" spans="1:10" x14ac:dyDescent="0.3">
      <c r="A10025" t="str">
        <f>HYPERLINK("https://us2.cloudbeds.com/connect/10074733072513#/reservations/31691728376042?display=MHKA3R2HJ&amp;reservation_id=31691728376042", "MHKA3R2HJ")</f>
        <v>MHKA3R2HJ</v>
      </c>
      <c r="B10025" t="s">
        <v>10</v>
      </c>
      <c r="C10025" t="s">
        <v>42</v>
      </c>
      <c r="D10025" t="str">
        <f>HYPERLINK("https://us2.cloudbeds.com/connect/10074733072513#/reservations/31691728376042?display=Riley%20Weed&amp;reservation_id=31691728376042&amp;guest_id=31691708752077", "Riley Weed")</f>
        <v>Riley Weed</v>
      </c>
      <c r="E10025" t="s">
        <v>8743</v>
      </c>
      <c r="F10025" t="s">
        <v>8695</v>
      </c>
      <c r="G10025">
        <v>238</v>
      </c>
      <c r="H10025">
        <v>258.72000000000003</v>
      </c>
      <c r="I10025">
        <v>258.70999999999998</v>
      </c>
      <c r="J10025">
        <v>0.01</v>
      </c>
    </row>
    <row r="10026" spans="1:10" x14ac:dyDescent="0.3">
      <c r="A10026" t="str">
        <f>HYPERLINK("https://us2.cloudbeds.com/connect/10074733072513#/reservations/31694452318397?display=MHMDNNQ0A&amp;reservation_id=31694452318397", "MHMDNNQ0A")</f>
        <v>MHMDNNQ0A</v>
      </c>
      <c r="B10026" t="s">
        <v>10</v>
      </c>
      <c r="C10026" t="s">
        <v>42</v>
      </c>
      <c r="D10026" t="str">
        <f>HYPERLINK("https://us2.cloudbeds.com/connect/10074733072513#/reservations/31694452318397?display=Haley%20Carstensen&amp;reservation_id=31694452318397&amp;guest_id=31694452318395", "Haley Carstensen")</f>
        <v>Haley Carstensen</v>
      </c>
      <c r="E10026" t="s">
        <v>8744</v>
      </c>
      <c r="F10026" t="s">
        <v>6746</v>
      </c>
      <c r="G10026">
        <v>169</v>
      </c>
      <c r="H10026">
        <v>183.71</v>
      </c>
      <c r="I10026">
        <v>183.7</v>
      </c>
      <c r="J10026">
        <v>0.01</v>
      </c>
    </row>
    <row r="10027" spans="1:10" x14ac:dyDescent="0.3">
      <c r="A10027" t="str">
        <f>HYPERLINK("https://us2.cloudbeds.com/connect/10074733072513#/reservations/31692174700781?display=MHKYH5NPM&amp;reservation_id=31692174700781", "MHKYH5NPM")</f>
        <v>MHKYH5NPM</v>
      </c>
      <c r="B10027" t="s">
        <v>10</v>
      </c>
      <c r="C10027" t="s">
        <v>42</v>
      </c>
      <c r="D10027" t="str">
        <f>HYPERLINK("https://us2.cloudbeds.com/connect/10074733072513#/reservations/31692174700781?display=Lorrain%20Kintz&amp;reservation_id=31692174700781&amp;guest_id=31687459147910", "Lorrain Kintz")</f>
        <v>Lorrain Kintz</v>
      </c>
      <c r="E10027" t="s">
        <v>8745</v>
      </c>
      <c r="F10027" t="s">
        <v>8102</v>
      </c>
      <c r="G10027">
        <v>322.2</v>
      </c>
      <c r="H10027">
        <v>350.24</v>
      </c>
      <c r="I10027">
        <v>350.23</v>
      </c>
      <c r="J10027">
        <v>0.01</v>
      </c>
    </row>
    <row r="10028" spans="1:10" x14ac:dyDescent="0.3">
      <c r="A10028" t="str">
        <f>HYPERLINK("https://us2.cloudbeds.com/connect/10074733072513#/reservations/31695647600817?display=MHNB8K9BN&amp;reservation_id=31695647600817", "MHNB8K9BN")</f>
        <v>MHNB8K9BN</v>
      </c>
      <c r="B10028" t="s">
        <v>10</v>
      </c>
      <c r="C10028" t="s">
        <v>14</v>
      </c>
      <c r="D10028" t="str">
        <f>HYPERLINK("https://us2.cloudbeds.com/connect/10074733072513#/reservations/31695647600817?display=Candus%20Mittleider&amp;reservation_id=31695647600817&amp;guest_id=31695647600814", "Candus Mittleider")</f>
        <v>Candus Mittleider</v>
      </c>
      <c r="E10028" t="s">
        <v>8746</v>
      </c>
      <c r="F10028" t="s">
        <v>8271</v>
      </c>
      <c r="G10028">
        <v>87.82</v>
      </c>
      <c r="H10028">
        <v>95.47</v>
      </c>
      <c r="I10028">
        <v>95.46</v>
      </c>
      <c r="J10028">
        <v>0.01</v>
      </c>
    </row>
    <row r="10029" spans="1:10" x14ac:dyDescent="0.3">
      <c r="A10029" t="str">
        <f>HYPERLINK("https://us2.cloudbeds.com/connect/10074733072513#/reservations/31695454683285?display=MHN6AV28T&amp;reservation_id=31695454683285", "MHN6AV28T")</f>
        <v>MHN6AV28T</v>
      </c>
      <c r="B10029" t="s">
        <v>10</v>
      </c>
      <c r="C10029" t="s">
        <v>121</v>
      </c>
      <c r="D10029" t="str">
        <f>HYPERLINK("https://us2.cloudbeds.com/connect/10074733072513#/reservations/31695454683285?display=Curtis%20Nelson&amp;reservation_id=31695454683285&amp;guest_id=31691586252996", "Curtis Nelson")</f>
        <v>Curtis Nelson</v>
      </c>
      <c r="E10029" t="s">
        <v>8747</v>
      </c>
      <c r="F10029" t="s">
        <v>8271</v>
      </c>
      <c r="G10029">
        <v>119</v>
      </c>
      <c r="H10029">
        <v>129.36000000000001</v>
      </c>
      <c r="I10029">
        <v>129.35</v>
      </c>
      <c r="J10029">
        <v>0.01</v>
      </c>
    </row>
    <row r="10030" spans="1:10" x14ac:dyDescent="0.3">
      <c r="A10030" t="str">
        <f>HYPERLINK("https://us2.cloudbeds.com/connect/10074733072513#/reservations/31691231883402?display=MHJUE5EE2&amp;reservation_id=31691231883402", "MHJUE5EE2")</f>
        <v>MHJUE5EE2</v>
      </c>
      <c r="B10030" t="s">
        <v>10</v>
      </c>
      <c r="C10030" t="s">
        <v>42</v>
      </c>
      <c r="D10030" t="str">
        <f>HYPERLINK("https://us2.cloudbeds.com/connect/10074733072513#/reservations/31691231883402?display=Mackenzie%20Delong&amp;reservation_id=31691231883402&amp;guest_id=31691223666941", "Mackenzie Delong")</f>
        <v>Mackenzie Delong</v>
      </c>
      <c r="E10030" t="s">
        <v>8748</v>
      </c>
      <c r="F10030" t="s">
        <v>6604</v>
      </c>
      <c r="G10030">
        <v>169</v>
      </c>
      <c r="H10030">
        <v>183.71</v>
      </c>
      <c r="I10030">
        <v>183.7</v>
      </c>
      <c r="J10030">
        <v>0.01</v>
      </c>
    </row>
    <row r="10031" spans="1:10" x14ac:dyDescent="0.3">
      <c r="A10031" t="str">
        <f>HYPERLINK("https://us2.cloudbeds.com/connect/10074733072513#/reservations/31692147257549?display=MHKKR12CJ&amp;reservation_id=31692147257549", "MHKKR12CJ")</f>
        <v>MHKKR12CJ</v>
      </c>
      <c r="B10031" t="s">
        <v>10</v>
      </c>
      <c r="C10031" t="s">
        <v>42</v>
      </c>
      <c r="D10031" t="str">
        <f>HYPERLINK("https://us2.cloudbeds.com/connect/10074733072513#/reservations/31692147257549?display=Matt%20Spreng&amp;reservation_id=31692147257549&amp;guest_id=31691101683913", "Matt Spreng")</f>
        <v>Matt Spreng</v>
      </c>
      <c r="E10031" t="s">
        <v>8700</v>
      </c>
      <c r="F10031" t="s">
        <v>8452</v>
      </c>
      <c r="G10031">
        <v>198</v>
      </c>
      <c r="H10031">
        <v>215.24</v>
      </c>
      <c r="I10031">
        <v>215.23</v>
      </c>
      <c r="J10031">
        <v>0.01</v>
      </c>
    </row>
    <row r="10032" spans="1:10" x14ac:dyDescent="0.3">
      <c r="A10032" t="str">
        <f>HYPERLINK("https://us2.cloudbeds.com/connect/10074733072513#/reservations/31695479836824?display=MHN6W503B&amp;reservation_id=31695479836824", "MHN6W503B")</f>
        <v>MHN6W503B</v>
      </c>
      <c r="B10032" t="s">
        <v>10</v>
      </c>
      <c r="C10032" t="s">
        <v>121</v>
      </c>
      <c r="D10032" t="str">
        <f>HYPERLINK("https://us2.cloudbeds.com/connect/10074733072513#/reservations/31695479836824?display=Barry%20Bentley&amp;reservation_id=31695479836824&amp;guest_id=31695472832704", "Barry Bentley")</f>
        <v>Barry Bentley</v>
      </c>
      <c r="E10032" t="s">
        <v>8750</v>
      </c>
      <c r="F10032" t="s">
        <v>8271</v>
      </c>
      <c r="G10032">
        <v>119</v>
      </c>
      <c r="H10032">
        <v>129.36000000000001</v>
      </c>
      <c r="I10032">
        <v>129.35</v>
      </c>
      <c r="J10032">
        <v>0.01</v>
      </c>
    </row>
    <row r="10033" spans="1:10" x14ac:dyDescent="0.3">
      <c r="A10033" t="str">
        <f>HYPERLINK("https://us2.cloudbeds.com/connect/10074733072513#/reservations/31695443124456?display=MHN616E3B&amp;reservation_id=31695443124456", "MHN616E3B")</f>
        <v>MHN616E3B</v>
      </c>
      <c r="B10033" t="s">
        <v>10</v>
      </c>
      <c r="C10033" t="s">
        <v>42</v>
      </c>
      <c r="D10033" t="str">
        <f>HYPERLINK("https://us2.cloudbeds.com/connect/10074733072513#/reservations/31695443124456?display=Eric%20Burce&amp;reservation_id=31695443124456&amp;guest_id=31691036569759", "Eric Burce")</f>
        <v>Eric Burce</v>
      </c>
      <c r="E10033" t="s">
        <v>8667</v>
      </c>
      <c r="F10033" t="s">
        <v>8271</v>
      </c>
      <c r="G10033">
        <v>73</v>
      </c>
      <c r="H10033">
        <v>79.36</v>
      </c>
      <c r="I10033">
        <v>79.349999999999994</v>
      </c>
      <c r="J10033">
        <v>0.01</v>
      </c>
    </row>
    <row r="10034" spans="1:10" x14ac:dyDescent="0.3">
      <c r="A10034" t="str">
        <f>HYPERLINK("https://us2.cloudbeds.com/connect/10074733072513#/reservations/31735677292766?display=MXYB3NFGS&amp;reservation_id=31735677292766", "MXYB3NFGS")</f>
        <v>MXYB3NFGS</v>
      </c>
      <c r="B10034" t="s">
        <v>10</v>
      </c>
      <c r="C10034" t="s">
        <v>42</v>
      </c>
      <c r="D10034" t="str">
        <f>HYPERLINK("https://us2.cloudbeds.com/connect/10074733072513#/reservations/31735677292766?display=Susan%20Benney&amp;reservation_id=31735677292766&amp;guest_id=31687129886858", "Susan Benney")</f>
        <v>Susan Benney</v>
      </c>
      <c r="E10034" t="s">
        <v>7011</v>
      </c>
      <c r="F10034" t="s">
        <v>8752</v>
      </c>
      <c r="G10034">
        <v>591.29999999999995</v>
      </c>
      <c r="H10034">
        <v>642.75</v>
      </c>
      <c r="I10034">
        <v>642.74</v>
      </c>
      <c r="J10034">
        <v>0.01</v>
      </c>
    </row>
    <row r="10035" spans="1:10" x14ac:dyDescent="0.3">
      <c r="A10035" t="str">
        <f>HYPERLINK("https://us2.cloudbeds.com/connect/10074733072513#/reservations/31695593525446?display=MHN9T0XC3&amp;reservation_id=31695593525446", "MHN9T0XC3")</f>
        <v>MHN9T0XC3</v>
      </c>
      <c r="B10035" t="s">
        <v>10</v>
      </c>
      <c r="C10035" t="s">
        <v>42</v>
      </c>
      <c r="D10035" t="str">
        <f>HYPERLINK("https://us2.cloudbeds.com/connect/10074733072513#/reservations/31695593525446?display=Bryan%20Dale&amp;reservation_id=31695593525446&amp;guest_id=31695593521402", "Bryan Dale")</f>
        <v>Bryan Dale</v>
      </c>
      <c r="E10035" t="s">
        <v>8753</v>
      </c>
      <c r="F10035" t="s">
        <v>8271</v>
      </c>
      <c r="G10035">
        <v>119</v>
      </c>
      <c r="H10035">
        <v>129.36000000000001</v>
      </c>
      <c r="I10035">
        <v>129.35</v>
      </c>
      <c r="J10035">
        <v>0.01</v>
      </c>
    </row>
    <row r="10036" spans="1:10" x14ac:dyDescent="0.3">
      <c r="A10036" t="str">
        <f>HYPERLINK("https://us2.cloudbeds.com/connect/10074733072513#/reservations/31695659536584?display=MHNBXMDYK&amp;reservation_id=31695659536584", "MHNBXMDYK")</f>
        <v>MHNBXMDYK</v>
      </c>
      <c r="B10036" t="s">
        <v>10</v>
      </c>
      <c r="C10036" t="s">
        <v>121</v>
      </c>
      <c r="D10036" t="str">
        <f>HYPERLINK("https://us2.cloudbeds.com/connect/10074733072513#/reservations/31695659536584?display=Alec%20Johnson&amp;reservation_id=31695659536584&amp;guest_id=31695659536580", "Alec Johnson")</f>
        <v>Alec Johnson</v>
      </c>
      <c r="E10036" t="s">
        <v>8754</v>
      </c>
      <c r="F10036" t="s">
        <v>8271</v>
      </c>
      <c r="G10036">
        <v>139</v>
      </c>
      <c r="H10036">
        <v>151.1</v>
      </c>
      <c r="I10036">
        <v>151.09</v>
      </c>
      <c r="J10036">
        <v>0.01</v>
      </c>
    </row>
    <row r="10037" spans="1:10" x14ac:dyDescent="0.3">
      <c r="A10037" t="str">
        <f>HYPERLINK("https://us2.cloudbeds.com/connect/10074733072513#/reservations/31695472828612?display=MHN6Q7WY9&amp;reservation_id=31695472828612", "MHN6Q7WY9")</f>
        <v>MHN6Q7WY9</v>
      </c>
      <c r="B10037" t="s">
        <v>10</v>
      </c>
      <c r="C10037" t="s">
        <v>121</v>
      </c>
      <c r="D10037" t="str">
        <f>HYPERLINK("https://us2.cloudbeds.com/connect/10074733072513#/reservations/31695472828612?display=Jason%20Bentley&amp;reservation_id=31695472828612&amp;guest_id=31692012785842", "Jason Bentley")</f>
        <v>Jason Bentley</v>
      </c>
      <c r="E10037" t="s">
        <v>8755</v>
      </c>
      <c r="F10037" t="s">
        <v>8271</v>
      </c>
      <c r="G10037">
        <v>119</v>
      </c>
      <c r="H10037">
        <v>129.36000000000001</v>
      </c>
      <c r="I10037">
        <v>129.35</v>
      </c>
      <c r="J10037">
        <v>0.01</v>
      </c>
    </row>
    <row r="10038" spans="1:10" x14ac:dyDescent="0.3">
      <c r="A10038" t="str">
        <f>HYPERLINK("https://us2.cloudbeds.com/connect/10074733072513#/reservations/31692899180695?display=MHY712EJF&amp;reservation_id=31692899180695", "MHY712EJF")</f>
        <v>MHY712EJF</v>
      </c>
      <c r="B10038" t="s">
        <v>10</v>
      </c>
      <c r="C10038" t="s">
        <v>17</v>
      </c>
      <c r="D10038" t="str">
        <f>HYPERLINK("https://us2.cloudbeds.com/connect/10074733072513#/reservations/31692899180695?display=Dylan%20Morales%20Solis&amp;reservation_id=31692899180695&amp;guest_id=31692899176604", "Dylan Morales Solis")</f>
        <v>Dylan Morales Solis</v>
      </c>
      <c r="E10038" t="s">
        <v>8756</v>
      </c>
      <c r="F10038" t="s">
        <v>8410</v>
      </c>
      <c r="G10038">
        <v>238</v>
      </c>
      <c r="H10038">
        <v>258.72000000000003</v>
      </c>
      <c r="I10038">
        <v>258.70999999999998</v>
      </c>
      <c r="J10038">
        <v>0.01</v>
      </c>
    </row>
    <row r="10039" spans="1:10" x14ac:dyDescent="0.3">
      <c r="A10039" t="str">
        <f>HYPERLINK("https://us2.cloudbeds.com/connect/10074733072513#/reservations/31695479840921?display=MHN6W53SG&amp;reservation_id=31695479840921", "MHN6W53SG")</f>
        <v>MHN6W53SG</v>
      </c>
      <c r="B10039" t="s">
        <v>10</v>
      </c>
      <c r="C10039" t="s">
        <v>42</v>
      </c>
      <c r="D10039" t="str">
        <f>HYPERLINK("https://us2.cloudbeds.com/connect/10074733072513#/reservations/31695479840921?display=Gloria%20Hines&amp;reservation_id=31695479840921&amp;guest_id=31695479840918", "Gloria Hines")</f>
        <v>Gloria Hines</v>
      </c>
      <c r="E10039" t="s">
        <v>8757</v>
      </c>
      <c r="F10039" t="s">
        <v>8271</v>
      </c>
      <c r="G10039">
        <v>119</v>
      </c>
      <c r="H10039">
        <v>129.36000000000001</v>
      </c>
      <c r="I10039">
        <v>129.35</v>
      </c>
      <c r="J10039">
        <v>0.01</v>
      </c>
    </row>
    <row r="10040" spans="1:10" x14ac:dyDescent="0.3">
      <c r="A10040" t="str">
        <f>HYPERLINK("https://us2.cloudbeds.com/connect/10074733072513#/reservations/31694306549958?display=MHM9WQXMT&amp;reservation_id=31694306549958", "MHM9WQXMT")</f>
        <v>MHM9WQXMT</v>
      </c>
      <c r="B10040" t="s">
        <v>10</v>
      </c>
      <c r="C10040" t="s">
        <v>23</v>
      </c>
      <c r="D10040" t="str">
        <f>HYPERLINK("https://us2.cloudbeds.com/connect/10074733072513#/reservations/31694306549958?display=Mikenna%20Hoffman&amp;reservation_id=31694306549958&amp;guest_id=31694306545877", "Mikenna Hoffman")</f>
        <v>Mikenna Hoffman</v>
      </c>
      <c r="E10040" t="s">
        <v>8758</v>
      </c>
      <c r="F10040" t="s">
        <v>8600</v>
      </c>
      <c r="G10040">
        <v>139</v>
      </c>
      <c r="H10040">
        <v>151.1</v>
      </c>
      <c r="I10040">
        <v>151.09</v>
      </c>
      <c r="J10040">
        <v>0.01</v>
      </c>
    </row>
    <row r="10041" spans="1:10" x14ac:dyDescent="0.3">
      <c r="A10041" t="str">
        <f>HYPERLINK("https://us2.cloudbeds.com/connect/10074733072513#/reservations/31692640088265?display=MHY0DJQRN&amp;reservation_id=31692640088265", "MHY0DJQRN")</f>
        <v>MHY0DJQRN</v>
      </c>
      <c r="B10041" t="s">
        <v>10</v>
      </c>
      <c r="C10041" t="s">
        <v>14</v>
      </c>
      <c r="D10041" t="str">
        <f>HYPERLINK("https://us2.cloudbeds.com/connect/10074733072513#/reservations/31692640088265?display=Robert%20Hodges&amp;reservation_id=31692640088265&amp;guest_id=31692640088263", "Robert Hodges")</f>
        <v>Robert Hodges</v>
      </c>
      <c r="E10041" t="s">
        <v>8759</v>
      </c>
      <c r="F10041" t="s">
        <v>8760</v>
      </c>
      <c r="G10041">
        <v>87.82</v>
      </c>
      <c r="H10041">
        <v>95.47</v>
      </c>
      <c r="I10041">
        <v>95.46</v>
      </c>
      <c r="J10041">
        <v>0.01</v>
      </c>
    </row>
    <row r="10042" spans="1:10" x14ac:dyDescent="0.3">
      <c r="A10042" t="str">
        <f>HYPERLINK("https://us2.cloudbeds.com/connect/10074733072513#/reservations/31692660883635?display=MHY0V4FME&amp;reservation_id=31692660883635", "MHY0V4FME")</f>
        <v>MHY0V4FME</v>
      </c>
      <c r="B10042" t="s">
        <v>10</v>
      </c>
      <c r="C10042" t="s">
        <v>42</v>
      </c>
      <c r="D10042" t="str">
        <f>HYPERLINK("https://us2.cloudbeds.com/connect/10074733072513#/reservations/31692660883635?display=Shean%20Brennan&amp;reservation_id=31692660883635&amp;guest_id=31692651897050", "Shean Brennan")</f>
        <v>Shean Brennan</v>
      </c>
      <c r="E10042" t="s">
        <v>8761</v>
      </c>
      <c r="F10042" t="s">
        <v>8760</v>
      </c>
      <c r="G10042">
        <v>119</v>
      </c>
      <c r="H10042">
        <v>129.36000000000001</v>
      </c>
      <c r="I10042">
        <v>129.35</v>
      </c>
      <c r="J10042">
        <v>0.01</v>
      </c>
    </row>
    <row r="10043" spans="1:10" x14ac:dyDescent="0.3">
      <c r="A10043" t="str">
        <f>HYPERLINK("https://us2.cloudbeds.com/connect/10074733072513#/reservations/31693649293562?display=MHYQ6JEFD&amp;reservation_id=31693649293562", "MHYQ6JEFD")</f>
        <v>MHYQ6JEFD</v>
      </c>
      <c r="B10043" t="s">
        <v>10</v>
      </c>
      <c r="C10043" t="s">
        <v>42</v>
      </c>
      <c r="D10043" t="str">
        <f>HYPERLINK("https://us2.cloudbeds.com/connect/10074733072513#/reservations/31693649293562?display=Casper%20Grey&amp;reservation_id=31693649293562&amp;guest_id=31693649293560", "Casper Grey")</f>
        <v>Casper Grey</v>
      </c>
      <c r="E10043" t="s">
        <v>8762</v>
      </c>
      <c r="F10043" t="s">
        <v>8485</v>
      </c>
      <c r="G10043">
        <v>338</v>
      </c>
      <c r="H10043">
        <v>367.42</v>
      </c>
      <c r="I10043">
        <v>367.41</v>
      </c>
      <c r="J10043">
        <v>0.01</v>
      </c>
    </row>
    <row r="10044" spans="1:10" x14ac:dyDescent="0.3">
      <c r="A10044" t="str">
        <f>HYPERLINK("https://us2.cloudbeds.com/connect/10074733072513#/reservations/31692619468961?display=MHKWT71MA&amp;reservation_id=31692619468961", "MHKWT71MA")</f>
        <v>MHKWT71MA</v>
      </c>
      <c r="B10044" t="s">
        <v>10</v>
      </c>
      <c r="C10044" t="s">
        <v>23</v>
      </c>
      <c r="D10044" t="str">
        <f>HYPERLINK("https://us2.cloudbeds.com/connect/10074733072513#/reservations/31692619468961?display=Caitlin%20Tisdall&amp;reservation_id=31692619468961&amp;guest_id=31692619464874", "Caitlin Tisdall")</f>
        <v>Caitlin Tisdall</v>
      </c>
      <c r="E10044" t="s">
        <v>8763</v>
      </c>
      <c r="F10044" t="s">
        <v>8760</v>
      </c>
      <c r="G10044">
        <v>338</v>
      </c>
      <c r="H10044">
        <v>367.42</v>
      </c>
      <c r="I10044">
        <v>367.41</v>
      </c>
      <c r="J10044">
        <v>0.01</v>
      </c>
    </row>
    <row r="10045" spans="1:10" x14ac:dyDescent="0.3">
      <c r="A10045" t="str">
        <f>HYPERLINK("https://us2.cloudbeds.com/connect/10074733072513#/reservations/31694346473672?display=MHMB0FGJD&amp;reservation_id=31694346473672", "MHMB0FGJD")</f>
        <v>MHMB0FGJD</v>
      </c>
      <c r="B10045" t="s">
        <v>10</v>
      </c>
      <c r="C10045" t="s">
        <v>11</v>
      </c>
      <c r="D10045" t="str">
        <f>HYPERLINK("https://us2.cloudbeds.com/connect/10074733072513#/reservations/31694346473672?display=Billy%20Frazier&amp;reservation_id=31694346473672&amp;guest_id=31694338805900", "Billy Frazier")</f>
        <v>Billy Frazier</v>
      </c>
      <c r="E10045" t="s">
        <v>8764</v>
      </c>
      <c r="F10045" t="s">
        <v>8600</v>
      </c>
      <c r="G10045">
        <v>102.58</v>
      </c>
      <c r="H10045">
        <v>111.51</v>
      </c>
      <c r="I10045">
        <v>111.5</v>
      </c>
      <c r="J10045">
        <v>0.01</v>
      </c>
    </row>
    <row r="10046" spans="1:10" x14ac:dyDescent="0.3">
      <c r="A10046" t="str">
        <f>HYPERLINK("https://us2.cloudbeds.com/connect/10074733072513#/reservations/31692593598656?display=MHKW7D1VG&amp;reservation_id=31692593598656", "MHKW7D1VG")</f>
        <v>MHKW7D1VG</v>
      </c>
      <c r="B10046" t="s">
        <v>10</v>
      </c>
      <c r="C10046" t="s">
        <v>11</v>
      </c>
      <c r="D10046" t="str">
        <f>HYPERLINK("https://us2.cloudbeds.com/connect/10074733072513#/reservations/31692593598656?display=Tim%20Jager&amp;reservation_id=31692593598656&amp;guest_id=31692579324062", "Tim Jager")</f>
        <v>Tim Jager</v>
      </c>
      <c r="E10046" t="s">
        <v>8765</v>
      </c>
      <c r="F10046" t="s">
        <v>8760</v>
      </c>
      <c r="G10046">
        <v>254.4</v>
      </c>
      <c r="H10046">
        <v>276.54000000000002</v>
      </c>
      <c r="I10046">
        <v>276.52999999999997</v>
      </c>
      <c r="J10046">
        <v>0.01</v>
      </c>
    </row>
    <row r="10047" spans="1:10" x14ac:dyDescent="0.3">
      <c r="A10047" t="str">
        <f>HYPERLINK("https://us2.cloudbeds.com/connect/10074733072513#/reservations/31695270920395?display=MHN1KWJYF&amp;reservation_id=31695270920395", "MHN1KWJYF")</f>
        <v>MHN1KWJYF</v>
      </c>
      <c r="B10047" t="s">
        <v>10</v>
      </c>
      <c r="C10047" t="s">
        <v>42</v>
      </c>
      <c r="D10047" t="str">
        <f>HYPERLINK("https://us2.cloudbeds.com/connect/10074733072513#/reservations/31695270920395?display=Jordan%20Fitch&amp;reservation_id=31695270920395&amp;guest_id=31688083947747", "Jordan Fitch")</f>
        <v>Jordan Fitch</v>
      </c>
      <c r="E10047" t="s">
        <v>7464</v>
      </c>
      <c r="F10047" t="s">
        <v>8408</v>
      </c>
      <c r="G10047">
        <v>139</v>
      </c>
      <c r="H10047">
        <v>151.1</v>
      </c>
      <c r="I10047">
        <v>151.09</v>
      </c>
      <c r="J10047">
        <v>0.01</v>
      </c>
    </row>
    <row r="10048" spans="1:10" x14ac:dyDescent="0.3">
      <c r="A10048" t="str">
        <f>HYPERLINK("https://us2.cloudbeds.com/connect/10074733072513#/reservations/31732258476165?display=MXXMZSSAQ&amp;reservation_id=31732258476165", "MXXMZSSAQ")</f>
        <v>MXXMZSSAQ</v>
      </c>
      <c r="B10048" t="s">
        <v>10</v>
      </c>
      <c r="C10048" t="s">
        <v>23</v>
      </c>
      <c r="D10048" t="str">
        <f>HYPERLINK("https://us2.cloudbeds.com/connect/10074733072513#/reservations/31732258476165?display=Daniel%20Makousky&amp;reservation_id=31732258476165&amp;guest_id=31732258472081", "Daniel Makousky")</f>
        <v>Daniel Makousky</v>
      </c>
      <c r="E10048" t="s">
        <v>8766</v>
      </c>
      <c r="F10048" t="s">
        <v>8767</v>
      </c>
      <c r="G10048">
        <v>358</v>
      </c>
      <c r="H10048">
        <v>389.16</v>
      </c>
      <c r="I10048">
        <v>389.15</v>
      </c>
      <c r="J10048">
        <v>0.01</v>
      </c>
    </row>
    <row r="10049" spans="1:10" x14ac:dyDescent="0.3">
      <c r="A10049" t="str">
        <f>HYPERLINK("https://us2.cloudbeds.com/connect/10074733072513#/reservations/31695357128911?display=MHN3RMFYZ&amp;reservation_id=31695357128911", "MHN3RMFYZ")</f>
        <v>MHN3RMFYZ</v>
      </c>
      <c r="B10049" t="s">
        <v>10</v>
      </c>
      <c r="C10049" t="s">
        <v>17</v>
      </c>
      <c r="D10049" t="str">
        <f>HYPERLINK("https://us2.cloudbeds.com/connect/10074733072513#/reservations/31695357128911?display=Timothy%20Hahner&amp;reservation_id=31695357128911&amp;guest_id=31695357128900", "Timothy Hahner")</f>
        <v>Timothy Hahner</v>
      </c>
      <c r="E10049" t="s">
        <v>8769</v>
      </c>
      <c r="F10049" t="s">
        <v>8770</v>
      </c>
      <c r="G10049">
        <v>258</v>
      </c>
      <c r="H10049">
        <v>280.45999999999998</v>
      </c>
      <c r="I10049">
        <v>280.45</v>
      </c>
      <c r="J10049">
        <v>0.01</v>
      </c>
    </row>
    <row r="10050" spans="1:10" x14ac:dyDescent="0.3">
      <c r="A10050" t="str">
        <f>HYPERLINK("https://us2.cloudbeds.com/connect/10074733072513#/reservations/31694084227202?display=MHM4AB3XM&amp;reservation_id=31694084227202", "MHM4AB3XM")</f>
        <v>MHM4AB3XM</v>
      </c>
      <c r="B10050" t="s">
        <v>10</v>
      </c>
      <c r="C10050" t="s">
        <v>11</v>
      </c>
      <c r="D10050" t="str">
        <f>HYPERLINK("https://us2.cloudbeds.com/connect/10074733072513#/reservations/31694084227202?display=Donnette%20Malakowski&amp;reservation_id=31694084227202&amp;guest_id=31694075265265", "Donnette Malakowski")</f>
        <v>Donnette Malakowski</v>
      </c>
      <c r="E10050" t="s">
        <v>8771</v>
      </c>
      <c r="F10050" t="s">
        <v>8641</v>
      </c>
      <c r="G10050">
        <v>139</v>
      </c>
      <c r="H10050">
        <v>151.1</v>
      </c>
      <c r="I10050">
        <v>151.09</v>
      </c>
      <c r="J10050">
        <v>0.01</v>
      </c>
    </row>
    <row r="10051" spans="1:10" x14ac:dyDescent="0.3">
      <c r="A10051" t="str">
        <f>HYPERLINK("https://us2.cloudbeds.com/connect/10074733072513#/reservations/31694188265674?display=MHM6W24BY&amp;reservation_id=31694188265674", "MHM6W24BY")</f>
        <v>MHM6W24BY</v>
      </c>
      <c r="B10051" t="s">
        <v>10</v>
      </c>
      <c r="C10051" t="s">
        <v>11</v>
      </c>
      <c r="D10051" t="str">
        <f>HYPERLINK("https://us2.cloudbeds.com/connect/10074733072513#/reservations/31694188265674?display=Donnette%20Malakowski&amp;reservation_id=31694188265674&amp;guest_id=31694182764776", "Donnette Malakowski")</f>
        <v>Donnette Malakowski</v>
      </c>
      <c r="E10051" t="s">
        <v>8772</v>
      </c>
      <c r="F10051" t="s">
        <v>8641</v>
      </c>
      <c r="G10051">
        <v>139</v>
      </c>
      <c r="H10051">
        <v>151.1</v>
      </c>
      <c r="I10051">
        <v>151.09</v>
      </c>
      <c r="J10051">
        <v>0.01</v>
      </c>
    </row>
    <row r="10052" spans="1:10" x14ac:dyDescent="0.3">
      <c r="A10052" t="str">
        <f>HYPERLINK("https://us2.cloudbeds.com/connect/10074733072513#/reservations/31695087313062?display=MHMTV5EST&amp;reservation_id=31695087313062", "MHMTV5EST")</f>
        <v>MHMTV5EST</v>
      </c>
      <c r="B10052" t="s">
        <v>10</v>
      </c>
      <c r="C10052" t="s">
        <v>42</v>
      </c>
      <c r="D10052" t="str">
        <f>HYPERLINK("https://us2.cloudbeds.com/connect/10074733072513#/reservations/31695087313062?display=Bill%20Samuelson&amp;reservation_id=31695087313062&amp;guest_id=30662923370675", "Bill Samuelson")</f>
        <v>Bill Samuelson</v>
      </c>
      <c r="E10052" t="s">
        <v>8774</v>
      </c>
      <c r="F10052" t="s">
        <v>8270</v>
      </c>
      <c r="G10052">
        <v>336</v>
      </c>
      <c r="H10052">
        <v>365.24</v>
      </c>
      <c r="I10052">
        <v>365.23</v>
      </c>
      <c r="J10052">
        <v>0.01</v>
      </c>
    </row>
    <row r="10053" spans="1:10" x14ac:dyDescent="0.3">
      <c r="A10053" t="str">
        <f>HYPERLINK("https://us2.cloudbeds.com/connect/10074733072513#/reservations/31695036657829?display=MHMSYETGR&amp;reservation_id=31695036657829", "MHMSYETGR")</f>
        <v>MHMSYETGR</v>
      </c>
      <c r="B10053" t="s">
        <v>10</v>
      </c>
      <c r="C10053" t="s">
        <v>42</v>
      </c>
      <c r="D10053" t="str">
        <f>HYPERLINK("https://us2.cloudbeds.com/connect/10074733072513#/reservations/31695036657829?display=Molly%20Sybesma&amp;reservation_id=31695036657829&amp;guest_id=31695036657827", "Molly Sybesma")</f>
        <v>Molly Sybesma</v>
      </c>
      <c r="E10053" t="s">
        <v>8775</v>
      </c>
      <c r="F10053" t="s">
        <v>8770</v>
      </c>
      <c r="G10053">
        <v>119</v>
      </c>
      <c r="H10053">
        <v>129.36000000000001</v>
      </c>
      <c r="I10053">
        <v>129.35</v>
      </c>
      <c r="J10053">
        <v>0.01</v>
      </c>
    </row>
    <row r="10054" spans="1:10" x14ac:dyDescent="0.3">
      <c r="A10054" t="str">
        <f>HYPERLINK("https://us2.cloudbeds.com/connect/10074733072513#/reservations/31696019337378?display=MHNKP2D7W&amp;reservation_id=31696019337378", "MHNKP2D7W")</f>
        <v>MHNKP2D7W</v>
      </c>
      <c r="B10054" t="s">
        <v>10</v>
      </c>
      <c r="C10054" t="s">
        <v>23</v>
      </c>
      <c r="D10054" t="str">
        <f>HYPERLINK("https://us2.cloudbeds.com/connect/10074733072513#/reservations/31696019337378?display=Kathy%20Tyler&amp;reservation_id=31696019337378&amp;guest_id=31696019337373", "Kathy Tyler")</f>
        <v>Kathy Tyler</v>
      </c>
      <c r="E10054" t="s">
        <v>8776</v>
      </c>
      <c r="F10054" t="s">
        <v>8610</v>
      </c>
      <c r="G10054">
        <v>368</v>
      </c>
      <c r="H10054">
        <v>400.03</v>
      </c>
      <c r="I10054">
        <v>400.02</v>
      </c>
      <c r="J10054">
        <v>0.01</v>
      </c>
    </row>
    <row r="10055" spans="1:10" x14ac:dyDescent="0.3">
      <c r="A10055" t="str">
        <f>HYPERLINK("https://us2.cloudbeds.com/connect/10074733072513#/reservations/31730215420084?display=MXH3X3QPF&amp;reservation_id=31730215420084", "MXH3X3QPF")</f>
        <v>MXH3X3QPF</v>
      </c>
      <c r="B10055" t="s">
        <v>10</v>
      </c>
      <c r="C10055" t="s">
        <v>23</v>
      </c>
      <c r="D10055" t="str">
        <f>HYPERLINK("https://us2.cloudbeds.com/connect/10074733072513#/reservations/31730215420084?display=Emma%20Gentzler&amp;reservation_id=31730215420084&amp;guest_id=31730215420068", "Emma Gentzler")</f>
        <v>Emma Gentzler</v>
      </c>
      <c r="E10055" t="s">
        <v>8777</v>
      </c>
      <c r="F10055" t="s">
        <v>6916</v>
      </c>
      <c r="G10055">
        <v>219</v>
      </c>
      <c r="H10055">
        <v>238.06</v>
      </c>
      <c r="I10055">
        <v>238.05</v>
      </c>
      <c r="J10055">
        <v>0.01</v>
      </c>
    </row>
    <row r="10056" spans="1:10" x14ac:dyDescent="0.3">
      <c r="A10056" t="str">
        <f>HYPERLINK("https://us2.cloudbeds.com/connect/10074733072513#/reservations/31695322042579?display=MHN2V34QX&amp;reservation_id=31695322042579", "MHN2V34QX")</f>
        <v>MHN2V34QX</v>
      </c>
      <c r="B10056" t="s">
        <v>10</v>
      </c>
      <c r="C10056" t="s">
        <v>121</v>
      </c>
      <c r="D10056" t="str">
        <f>HYPERLINK("https://us2.cloudbeds.com/connect/10074733072513#/reservations/31695322042579?display=Brandi%20Haaven&amp;reservation_id=31695322042579&amp;guest_id=31695317418228", "Brandi Haaven")</f>
        <v>Brandi Haaven</v>
      </c>
      <c r="E10056" t="s">
        <v>8108</v>
      </c>
      <c r="F10056" t="s">
        <v>8770</v>
      </c>
      <c r="G10056">
        <v>278</v>
      </c>
      <c r="H10056">
        <v>302.2</v>
      </c>
      <c r="I10056">
        <v>302.19</v>
      </c>
      <c r="J10056">
        <v>0.01</v>
      </c>
    </row>
    <row r="10057" spans="1:10" x14ac:dyDescent="0.3">
      <c r="A10057" t="str">
        <f>HYPERLINK("https://us2.cloudbeds.com/connect/10074733072513#/reservations/31695309709532?display=MHN2KMVMS&amp;reservation_id=31695309709532", "MHN2KMVMS")</f>
        <v>MHN2KMVMS</v>
      </c>
      <c r="B10057" t="s">
        <v>10</v>
      </c>
      <c r="C10057" t="s">
        <v>20</v>
      </c>
      <c r="D10057" t="str">
        <f>HYPERLINK("https://us2.cloudbeds.com/connect/10074733072513#/reservations/31695309709532?display=Barb%20Ohara&amp;reservation_id=31695309709532&amp;guest_id=31695309709512", "Barb Ohara")</f>
        <v>Barb Ohara</v>
      </c>
      <c r="E10057" t="s">
        <v>8779</v>
      </c>
      <c r="F10057" t="s">
        <v>8770</v>
      </c>
      <c r="G10057">
        <v>119</v>
      </c>
      <c r="H10057">
        <v>129.36000000000001</v>
      </c>
      <c r="I10057">
        <v>129.35</v>
      </c>
      <c r="J10057">
        <v>0.01</v>
      </c>
    </row>
    <row r="10058" spans="1:10" x14ac:dyDescent="0.3">
      <c r="A10058" t="str">
        <f>HYPERLINK("https://us2.cloudbeds.com/connect/10074733072513#/reservations/31693112262879?display=MHYCFZPBB&amp;reservation_id=31693112262879", "MHYCFZPBB")</f>
        <v>MHYCFZPBB</v>
      </c>
      <c r="B10058" t="s">
        <v>10</v>
      </c>
      <c r="C10058" t="s">
        <v>42</v>
      </c>
      <c r="D10058" t="str">
        <f>HYPERLINK("https://us2.cloudbeds.com/connect/10074733072513#/reservations/31693112262879?display=Alex%20Kane&amp;reservation_id=31693112262879&amp;guest_id=31693102911674", "Alex Kane")</f>
        <v>Alex Kane</v>
      </c>
      <c r="E10058" t="s">
        <v>8656</v>
      </c>
      <c r="F10058" t="s">
        <v>8410</v>
      </c>
      <c r="G10058">
        <v>642.6</v>
      </c>
      <c r="H10058">
        <v>698.52</v>
      </c>
      <c r="I10058">
        <v>698.51</v>
      </c>
      <c r="J10058">
        <v>0.01</v>
      </c>
    </row>
    <row r="10059" spans="1:10" x14ac:dyDescent="0.3">
      <c r="A10059" t="str">
        <f>HYPERLINK("https://us2.cloudbeds.com/connect/10074733072513#/reservations/31695816220864?display=MHNFA643V&amp;reservation_id=31695816220864", "MHNFA643V")</f>
        <v>MHNFA643V</v>
      </c>
      <c r="B10059" t="s">
        <v>10</v>
      </c>
      <c r="C10059" t="s">
        <v>20</v>
      </c>
      <c r="D10059" t="str">
        <f>HYPERLINK("https://us2.cloudbeds.com/connect/10074733072513#/reservations/31695816220864?display=Jean%20Mclaury&amp;reservation_id=31695816220864&amp;guest_id=31695806001328", "Jean Mclaury")</f>
        <v>Jean Mclaury</v>
      </c>
      <c r="E10059" t="s">
        <v>8780</v>
      </c>
      <c r="F10059" t="s">
        <v>8450</v>
      </c>
      <c r="G10059">
        <v>322.2</v>
      </c>
      <c r="H10059">
        <v>350.24</v>
      </c>
      <c r="I10059">
        <v>350.23</v>
      </c>
      <c r="J10059">
        <v>0.01</v>
      </c>
    </row>
    <row r="10060" spans="1:10" x14ac:dyDescent="0.3">
      <c r="A10060" t="str">
        <f>HYPERLINK("https://us2.cloudbeds.com/connect/10074733072513#/reservations/31692870746299?display=MHY6A3713&amp;reservation_id=31692870746299", "MHY6A3713")</f>
        <v>MHY6A3713</v>
      </c>
      <c r="B10060" t="s">
        <v>10</v>
      </c>
      <c r="C10060" t="s">
        <v>42</v>
      </c>
      <c r="D10060" t="str">
        <f>HYPERLINK("https://us2.cloudbeds.com/connect/10074733072513#/reservations/31692870746299?display=Paul%20Gerber&amp;reservation_id=31692870746299&amp;guest_id=31689904423090", "Paul Gerber")</f>
        <v>Paul Gerber</v>
      </c>
      <c r="E10060" t="s">
        <v>7667</v>
      </c>
      <c r="F10060" t="s">
        <v>8784</v>
      </c>
      <c r="G10060">
        <v>150</v>
      </c>
      <c r="H10060">
        <v>163.06</v>
      </c>
      <c r="I10060">
        <v>163.05000000000001</v>
      </c>
      <c r="J10060">
        <v>0.01</v>
      </c>
    </row>
    <row r="10061" spans="1:10" x14ac:dyDescent="0.3">
      <c r="A10061" t="str">
        <f>HYPERLINK("https://us2.cloudbeds.com/connect/10074733072513#/reservations/31728186011846?display=MXFHMSHM4&amp;reservation_id=31728186011846", "MXFHMSHM4")</f>
        <v>MXFHMSHM4</v>
      </c>
      <c r="B10061" t="s">
        <v>10</v>
      </c>
      <c r="C10061" t="s">
        <v>20</v>
      </c>
      <c r="D10061" t="str">
        <f>HYPERLINK("https://us2.cloudbeds.com/connect/10074733072513#/reservations/31728186011846?display=Brad%20Schreier&amp;reservation_id=31728186011846&amp;guest_id=31728186011841", "Brad Schreier")</f>
        <v>Brad Schreier</v>
      </c>
      <c r="E10061" t="s">
        <v>8786</v>
      </c>
      <c r="F10061" t="s">
        <v>6916</v>
      </c>
      <c r="G10061">
        <v>229</v>
      </c>
      <c r="H10061">
        <v>248.93</v>
      </c>
      <c r="I10061">
        <v>248.92</v>
      </c>
      <c r="J10061">
        <v>0.01</v>
      </c>
    </row>
    <row r="10062" spans="1:10" x14ac:dyDescent="0.3">
      <c r="A10062" t="str">
        <f>HYPERLINK("https://us2.cloudbeds.com/connect/10074733072513#/reservations/31728140079303?display=MXFGH4D0T&amp;reservation_id=31728140079303", "MXFGH4D0T")</f>
        <v>MXFGH4D0T</v>
      </c>
      <c r="B10062" t="s">
        <v>10</v>
      </c>
      <c r="C10062" t="s">
        <v>42</v>
      </c>
      <c r="D10062" t="str">
        <f>HYPERLINK("https://us2.cloudbeds.com/connect/10074733072513#/reservations/31728140079303?display=Carly%20Koski&amp;reservation_id=31728140079303&amp;guest_id=31728140079298", "Carly Koski")</f>
        <v>Carly Koski</v>
      </c>
      <c r="E10062" t="s">
        <v>8787</v>
      </c>
      <c r="F10062" t="s">
        <v>6916</v>
      </c>
      <c r="G10062">
        <v>318</v>
      </c>
      <c r="H10062">
        <v>345.68</v>
      </c>
      <c r="I10062">
        <v>345.67</v>
      </c>
      <c r="J10062">
        <v>0.01</v>
      </c>
    </row>
    <row r="10063" spans="1:10" x14ac:dyDescent="0.3">
      <c r="A10063" t="str">
        <f>HYPERLINK("https://us2.cloudbeds.com/connect/10074733072513#/reservations/31693967282359?display=MHM1ANV6X&amp;reservation_id=31693967282359", "MHM1ANV6X")</f>
        <v>MHM1ANV6X</v>
      </c>
      <c r="B10063" t="s">
        <v>10</v>
      </c>
      <c r="C10063" t="s">
        <v>42</v>
      </c>
      <c r="D10063" t="str">
        <f>HYPERLINK("https://us2.cloudbeds.com/connect/10074733072513#/reservations/31693967282359?display=Matthew%20Rogers&amp;reservation_id=31693967282359&amp;guest_id=31691334983836", "Matthew Rogers")</f>
        <v>Matthew Rogers</v>
      </c>
      <c r="E10063" t="s">
        <v>8694</v>
      </c>
      <c r="F10063" t="s">
        <v>8789</v>
      </c>
      <c r="G10063">
        <v>73</v>
      </c>
      <c r="H10063">
        <v>79.36</v>
      </c>
      <c r="I10063">
        <v>79.349999999999994</v>
      </c>
      <c r="J10063">
        <v>0.01</v>
      </c>
    </row>
    <row r="10064" spans="1:10" x14ac:dyDescent="0.3">
      <c r="A10064" t="str">
        <f>HYPERLINK("https://us2.cloudbeds.com/connect/10074733072513#/reservations/31693190275246?display=MHYEFHJ1F&amp;reservation_id=31693190275246", "MHYEFHJ1F")</f>
        <v>MHYEFHJ1F</v>
      </c>
      <c r="B10064" t="s">
        <v>10</v>
      </c>
      <c r="C10064" t="s">
        <v>42</v>
      </c>
      <c r="D10064" t="str">
        <f>HYPERLINK("https://us2.cloudbeds.com/connect/10074733072513#/reservations/31693190275246?display=Matthew%20Rogers&amp;reservation_id=31693190275246&amp;guest_id=31691334983836", "Matthew Rogers")</f>
        <v>Matthew Rogers</v>
      </c>
      <c r="E10064" t="s">
        <v>8694</v>
      </c>
      <c r="F10064" t="s">
        <v>8410</v>
      </c>
      <c r="G10064">
        <v>73</v>
      </c>
      <c r="H10064">
        <v>79.36</v>
      </c>
      <c r="I10064">
        <v>79.349999999999994</v>
      </c>
      <c r="J10064">
        <v>0.01</v>
      </c>
    </row>
    <row r="10065" spans="1:10" x14ac:dyDescent="0.3">
      <c r="A10065" t="str">
        <f>HYPERLINK("https://us2.cloudbeds.com/connect/10074733072513#/reservations/31691347308724?display=MHK0CGAF3&amp;reservation_id=31691347308724", "MHK0CGAF3")</f>
        <v>MHK0CGAF3</v>
      </c>
      <c r="B10065" t="s">
        <v>10</v>
      </c>
      <c r="C10065" t="s">
        <v>42</v>
      </c>
      <c r="D10065" t="str">
        <f>HYPERLINK("https://us2.cloudbeds.com/connect/10074733072513#/reservations/31691347308724?display=Matthew%20Rogers&amp;reservation_id=31691347308724&amp;guest_id=31691334983836", "Matthew Rogers")</f>
        <v>Matthew Rogers</v>
      </c>
      <c r="E10065" t="s">
        <v>8694</v>
      </c>
      <c r="F10065" t="s">
        <v>8264</v>
      </c>
      <c r="G10065">
        <v>73</v>
      </c>
      <c r="H10065">
        <v>79.36</v>
      </c>
      <c r="I10065">
        <v>79.349999999999994</v>
      </c>
      <c r="J10065">
        <v>0.01</v>
      </c>
    </row>
    <row r="10066" spans="1:10" x14ac:dyDescent="0.3">
      <c r="A10066" t="str">
        <f>HYPERLINK("https://us2.cloudbeds.com/connect/10074733072513#/reservations/31695851360390?display=MHNGFE6D7&amp;reservation_id=31695851360390", "MHNGFE6D7")</f>
        <v>MHNGFE6D7</v>
      </c>
      <c r="B10066" t="s">
        <v>10</v>
      </c>
      <c r="C10066" t="s">
        <v>42</v>
      </c>
      <c r="D10066" t="str">
        <f>HYPERLINK("https://us2.cloudbeds.com/connect/10074733072513#/reservations/31695851360390?display=Russell%20Utesch&amp;reservation_id=31695851360390&amp;guest_id=31695851360384", "Russell Utesch")</f>
        <v>Russell Utesch</v>
      </c>
      <c r="E10066" t="s">
        <v>8790</v>
      </c>
      <c r="F10066" t="s">
        <v>6604</v>
      </c>
      <c r="G10066">
        <v>139</v>
      </c>
      <c r="H10066">
        <v>151.1</v>
      </c>
      <c r="I10066">
        <v>151.09</v>
      </c>
      <c r="J10066">
        <v>0.01</v>
      </c>
    </row>
    <row r="10067" spans="1:10" x14ac:dyDescent="0.3">
      <c r="A10067" t="str">
        <f>HYPERLINK("https://us2.cloudbeds.com/connect/10074733072513#/reservations/31691976765581?display=MHKGF8T3A&amp;reservation_id=31691976765581", "MHKGF8T3A")</f>
        <v>MHKGF8T3A</v>
      </c>
      <c r="B10067" t="s">
        <v>10</v>
      </c>
      <c r="C10067" t="s">
        <v>42</v>
      </c>
      <c r="D10067" t="str">
        <f>HYPERLINK("https://us2.cloudbeds.com/connect/10074733072513#/reservations/31691976765581?display=Matthew%20Rogers&amp;reservation_id=31691976765581&amp;guest_id=31691334983836", "Matthew Rogers")</f>
        <v>Matthew Rogers</v>
      </c>
      <c r="E10067" t="s">
        <v>8694</v>
      </c>
      <c r="F10067" t="s">
        <v>8791</v>
      </c>
      <c r="G10067">
        <v>73</v>
      </c>
      <c r="H10067">
        <v>79.36</v>
      </c>
      <c r="I10067">
        <v>79.349999999999994</v>
      </c>
      <c r="J10067">
        <v>0.01</v>
      </c>
    </row>
    <row r="10068" spans="1:10" x14ac:dyDescent="0.3">
      <c r="A10068" t="str">
        <f>HYPERLINK("https://us2.cloudbeds.com/connect/10074733072513#/reservations/31692834111679?display=MHY5C6QE3&amp;reservation_id=31692834111679", "MHY5C6QE3")</f>
        <v>MHY5C6QE3</v>
      </c>
      <c r="B10068" t="s">
        <v>10</v>
      </c>
      <c r="C10068" t="s">
        <v>23</v>
      </c>
      <c r="D10068" t="str">
        <f>HYPERLINK("https://us2.cloudbeds.com/connect/10074733072513#/reservations/31692834111679?display=Jamie%20Turpin&amp;reservation_id=31692834111679&amp;guest_id=31692834111677", "Jamie Turpin")</f>
        <v>Jamie Turpin</v>
      </c>
      <c r="E10068" t="s">
        <v>8792</v>
      </c>
      <c r="F10068" t="s">
        <v>8784</v>
      </c>
      <c r="G10068">
        <v>129</v>
      </c>
      <c r="H10068">
        <v>140.22999999999999</v>
      </c>
      <c r="I10068">
        <v>140.22</v>
      </c>
      <c r="J10068">
        <v>0.01</v>
      </c>
    </row>
    <row r="10069" spans="1:10" x14ac:dyDescent="0.3">
      <c r="A10069" t="str">
        <f>HYPERLINK("https://us2.cloudbeds.com/connect/10074733072513#/reservations/31735931048087?display=MXYHJMJB1&amp;reservation_id=31735931048087", "MXYHJMJB1")</f>
        <v>MXYHJMJB1</v>
      </c>
      <c r="B10069" t="s">
        <v>10</v>
      </c>
      <c r="C10069" t="s">
        <v>42</v>
      </c>
      <c r="D10069" t="str">
        <f>HYPERLINK("https://us2.cloudbeds.com/connect/10074733072513#/reservations/31735931048087?display=Colton%20Jungjohan&amp;reservation_id=31735931048087&amp;guest_id=31735931043992", "Colton Jungjohan")</f>
        <v>Colton Jungjohan</v>
      </c>
      <c r="E10069" t="s">
        <v>8246</v>
      </c>
      <c r="F10069" t="s">
        <v>8085</v>
      </c>
      <c r="G10069">
        <v>73</v>
      </c>
      <c r="H10069">
        <v>79.36</v>
      </c>
      <c r="I10069">
        <v>79.349999999999994</v>
      </c>
      <c r="J10069">
        <v>0.01</v>
      </c>
    </row>
    <row r="10070" spans="1:10" x14ac:dyDescent="0.3">
      <c r="A10070" t="str">
        <f>HYPERLINK("https://us2.cloudbeds.com/connect/10074733072513#/reservations/31691645534419?display=MHK7WVT8C&amp;reservation_id=31691645534419", "MHK7WVT8C")</f>
        <v>MHK7WVT8C</v>
      </c>
      <c r="B10070" t="s">
        <v>10</v>
      </c>
      <c r="C10070" t="s">
        <v>42</v>
      </c>
      <c r="D10070" t="str">
        <f>HYPERLINK("https://us2.cloudbeds.com/connect/10074733072513#/reservations/31691645534419?display=Matthew%20Rogers&amp;reservation_id=31691645534419&amp;guest_id=31691334983836", "Matthew Rogers")</f>
        <v>Matthew Rogers</v>
      </c>
      <c r="E10070" t="s">
        <v>8694</v>
      </c>
      <c r="F10070" t="s">
        <v>8793</v>
      </c>
      <c r="G10070">
        <v>73</v>
      </c>
      <c r="H10070">
        <v>79.36</v>
      </c>
      <c r="I10070">
        <v>79.349999999999994</v>
      </c>
      <c r="J10070">
        <v>0.01</v>
      </c>
    </row>
    <row r="10071" spans="1:10" x14ac:dyDescent="0.3">
      <c r="A10071" t="str">
        <f>HYPERLINK("https://us2.cloudbeds.com/connect/10074733072513#/reservations/31694104490137?display=MHM4RDVG0&amp;reservation_id=31694104490137", "MHM4RDVG0")</f>
        <v>MHM4RDVG0</v>
      </c>
      <c r="B10071" t="s">
        <v>10</v>
      </c>
      <c r="C10071" t="s">
        <v>20</v>
      </c>
      <c r="D10071" t="str">
        <f>HYPERLINK("https://us2.cloudbeds.com/connect/10074733072513#/reservations/31694104490137?display=Jake%20Vork&amp;reservation_id=31694104490137&amp;guest_id=31694104490126", "Jake Vork")</f>
        <v>Jake Vork</v>
      </c>
      <c r="E10071" t="s">
        <v>8794</v>
      </c>
      <c r="F10071" t="s">
        <v>8270</v>
      </c>
      <c r="G10071">
        <v>428.4</v>
      </c>
      <c r="H10071">
        <v>465.68</v>
      </c>
      <c r="I10071">
        <v>465.67</v>
      </c>
      <c r="J10071">
        <v>0.01</v>
      </c>
    </row>
    <row r="10072" spans="1:10" x14ac:dyDescent="0.3">
      <c r="A10072" t="str">
        <f>HYPERLINK("https://us2.cloudbeds.com/connect/10074733072513#/reservations/31692891754629?display=MHY6RQQE5&amp;reservation_id=31692891754629", "MHY6RQQE5")</f>
        <v>MHY6RQQE5</v>
      </c>
      <c r="B10072" t="s">
        <v>10</v>
      </c>
      <c r="C10072" t="s">
        <v>42</v>
      </c>
      <c r="D10072" t="str">
        <f>HYPERLINK("https://us2.cloudbeds.com/connect/10074733072513#/reservations/31692891754629?display=Montez%20Manning&amp;reservation_id=31692891754629&amp;guest_id=30682546102515", "Montez Manning")</f>
        <v>Montez Manning</v>
      </c>
      <c r="E10072" t="s">
        <v>4253</v>
      </c>
      <c r="F10072" t="s">
        <v>8784</v>
      </c>
      <c r="G10072">
        <v>149</v>
      </c>
      <c r="H10072">
        <v>161.97</v>
      </c>
      <c r="I10072">
        <v>161.96</v>
      </c>
      <c r="J10072">
        <v>0.01</v>
      </c>
    </row>
    <row r="10073" spans="1:10" x14ac:dyDescent="0.3">
      <c r="A10073" t="str">
        <f>HYPERLINK("https://us2.cloudbeds.com/connect/10074733072513#/reservations/31694662930586?display=MHMJ3ACKS&amp;reservation_id=31694662930586", "MHMJ3ACKS")</f>
        <v>MHMJ3ACKS</v>
      </c>
      <c r="B10073" t="s">
        <v>10</v>
      </c>
      <c r="C10073" t="s">
        <v>42</v>
      </c>
      <c r="D10073" t="str">
        <f>HYPERLINK("https://us2.cloudbeds.com/connect/10074733072513#/reservations/31694662930586?display=Matthew%20Rogers&amp;reservation_id=31694662930586&amp;guest_id=31691334983836", "Matthew Rogers")</f>
        <v>Matthew Rogers</v>
      </c>
      <c r="E10073" t="s">
        <v>8694</v>
      </c>
      <c r="F10073" t="s">
        <v>8795</v>
      </c>
      <c r="G10073">
        <v>73</v>
      </c>
      <c r="H10073">
        <v>79.36</v>
      </c>
      <c r="I10073">
        <v>79.349999999999994</v>
      </c>
      <c r="J10073">
        <v>0.01</v>
      </c>
    </row>
    <row r="10074" spans="1:10" x14ac:dyDescent="0.3">
      <c r="A10074" t="str">
        <f>HYPERLINK("https://us2.cloudbeds.com/connect/10074733072513#/reservations/31695136841866?display=MHMV6UYSZ&amp;reservation_id=31695136841866", "MHMV6UYSZ")</f>
        <v>MHMV6UYSZ</v>
      </c>
      <c r="B10074" t="s">
        <v>10</v>
      </c>
      <c r="C10074" t="s">
        <v>42</v>
      </c>
      <c r="D10074" t="str">
        <f>HYPERLINK("https://us2.cloudbeds.com/connect/10074733072513#/reservations/31695136841866?display=Scott%20Thate&amp;reservation_id=31695136841866&amp;guest_id=31693894074514", "Scott Thate")</f>
        <v>Scott Thate</v>
      </c>
      <c r="E10074" t="s">
        <v>8529</v>
      </c>
      <c r="F10074" t="s">
        <v>8151</v>
      </c>
      <c r="G10074">
        <v>169</v>
      </c>
      <c r="H10074">
        <v>183.71</v>
      </c>
      <c r="I10074">
        <v>183.7</v>
      </c>
      <c r="J10074">
        <v>0.01</v>
      </c>
    </row>
    <row r="10075" spans="1:10" x14ac:dyDescent="0.3">
      <c r="A10075" t="str">
        <f>HYPERLINK("https://us2.cloudbeds.com/connect/10074733072513#/reservations/31734953758924?display=MXKPKK2EU&amp;reservation_id=31734953758924", "MXKPKK2EU")</f>
        <v>MXKPKK2EU</v>
      </c>
      <c r="B10075" t="s">
        <v>10</v>
      </c>
      <c r="C10075" t="s">
        <v>42</v>
      </c>
      <c r="D10075" t="str">
        <f>HYPERLINK("https://us2.cloudbeds.com/connect/10074733072513#/reservations/31734953758924?display=Dolores%20Portz&amp;reservation_id=31734953758924&amp;guest_id=31734953754875", "Dolores Portz")</f>
        <v>Dolores Portz</v>
      </c>
      <c r="E10075" t="s">
        <v>8799</v>
      </c>
      <c r="F10075" t="s">
        <v>7203</v>
      </c>
      <c r="G10075">
        <v>159</v>
      </c>
      <c r="H10075">
        <v>172.84</v>
      </c>
      <c r="I10075">
        <v>172.83</v>
      </c>
      <c r="J10075">
        <v>0.01</v>
      </c>
    </row>
    <row r="10076" spans="1:10" x14ac:dyDescent="0.3">
      <c r="A10076" t="str">
        <f>HYPERLINK("https://us2.cloudbeds.com/connect/10074733072513#/reservations/31693163405540?display=MHYDPST9V&amp;reservation_id=31693163405540", "MHYDPST9V")</f>
        <v>MHYDPST9V</v>
      </c>
      <c r="B10076" t="s">
        <v>10</v>
      </c>
      <c r="C10076" t="s">
        <v>42</v>
      </c>
      <c r="D10076" t="str">
        <f>HYPERLINK("https://us2.cloudbeds.com/connect/10074733072513#/reservations/31693163405540?display=Dewey%20Hlavac&amp;reservation_id=31693163405540&amp;guest_id=31681864011998", "Dewey Hlavac")</f>
        <v>Dewey Hlavac</v>
      </c>
      <c r="E10076" t="s">
        <v>7322</v>
      </c>
      <c r="F10076" t="s">
        <v>8410</v>
      </c>
      <c r="G10076">
        <v>99</v>
      </c>
      <c r="H10076">
        <v>107.62</v>
      </c>
      <c r="I10076">
        <v>107.61</v>
      </c>
      <c r="J10076">
        <v>0.01</v>
      </c>
    </row>
    <row r="10077" spans="1:10" x14ac:dyDescent="0.3">
      <c r="A10077" t="str">
        <f>HYPERLINK("https://us2.cloudbeds.com/connect/10074733072513#/reservations/31691548164230?display=MHK5GSDPJ&amp;reservation_id=31691548164230", "MHK5GSDPJ")</f>
        <v>MHK5GSDPJ</v>
      </c>
      <c r="B10077" t="s">
        <v>10</v>
      </c>
      <c r="C10077" t="s">
        <v>42</v>
      </c>
      <c r="D10077" t="str">
        <f>HYPERLINK("https://us2.cloudbeds.com/connect/10074733072513#/reservations/31691548164230?display=Riley%20Lake&amp;reservation_id=31691548164230&amp;guest_id=31691548164226", "Riley Lake")</f>
        <v>Riley Lake</v>
      </c>
      <c r="E10077" t="s">
        <v>8803</v>
      </c>
      <c r="F10077" t="s">
        <v>6604</v>
      </c>
      <c r="G10077">
        <v>129</v>
      </c>
      <c r="H10077">
        <v>140.22999999999999</v>
      </c>
      <c r="I10077">
        <v>140.22</v>
      </c>
      <c r="J10077">
        <v>0.01</v>
      </c>
    </row>
    <row r="10078" spans="1:10" x14ac:dyDescent="0.3">
      <c r="A10078" t="str">
        <f>HYPERLINK("https://us2.cloudbeds.com/connect/10074733072513#/reservations/31734975451377?display=MXKQ5TN1W&amp;reservation_id=31734975451377", "MXKQ5TN1W")</f>
        <v>MXKQ5TN1W</v>
      </c>
      <c r="B10078" t="s">
        <v>10</v>
      </c>
      <c r="C10078" t="s">
        <v>42</v>
      </c>
      <c r="D10078" t="str">
        <f>HYPERLINK("https://us2.cloudbeds.com/connect/10074733072513#/reservations/31734975451377?display=Scott%20Roelofs&amp;reservation_id=31734975451377&amp;guest_id=31734962155682", "Scott Roelofs")</f>
        <v>Scott Roelofs</v>
      </c>
      <c r="E10078" t="s">
        <v>8808</v>
      </c>
      <c r="F10078" t="s">
        <v>7203</v>
      </c>
      <c r="G10078">
        <v>388</v>
      </c>
      <c r="H10078">
        <v>421.77</v>
      </c>
      <c r="I10078">
        <v>421.76</v>
      </c>
      <c r="J10078">
        <v>0.01</v>
      </c>
    </row>
    <row r="10079" spans="1:10" x14ac:dyDescent="0.3">
      <c r="A10079" t="str">
        <f>HYPERLINK("https://us2.cloudbeds.com/connect/10074733072513#/reservations/31695110926579?display=MHMUX2HX0&amp;reservation_id=31695110926579", "MHMUX2HX0")</f>
        <v>MHMUX2HX0</v>
      </c>
      <c r="B10079" t="s">
        <v>10</v>
      </c>
      <c r="C10079" t="s">
        <v>42</v>
      </c>
      <c r="D10079" t="str">
        <f>HYPERLINK("https://us2.cloudbeds.com/connect/10074733072513#/reservations/31695110926579?display=Jason%20Bentley&amp;reservation_id=31695110926579&amp;guest_id=31692012785842", "Jason Bentley")</f>
        <v>Jason Bentley</v>
      </c>
      <c r="E10079" t="s">
        <v>8755</v>
      </c>
      <c r="F10079" t="s">
        <v>8270</v>
      </c>
      <c r="G10079">
        <v>278</v>
      </c>
      <c r="H10079">
        <v>302.2</v>
      </c>
      <c r="I10079">
        <v>302.19</v>
      </c>
      <c r="J10079">
        <v>0.01</v>
      </c>
    </row>
    <row r="10080" spans="1:10" x14ac:dyDescent="0.3">
      <c r="A10080" t="str">
        <f>HYPERLINK("https://us2.cloudbeds.com/connect/10074733072513#/reservations/31693195964609?display=MHYEKATED&amp;reservation_id=31693195964609", "MHYEKATED")</f>
        <v>MHYEKATED</v>
      </c>
      <c r="B10080" t="s">
        <v>10</v>
      </c>
      <c r="C10080" t="s">
        <v>121</v>
      </c>
      <c r="D10080" t="str">
        <f>HYPERLINK("https://us2.cloudbeds.com/connect/10074733072513#/reservations/31693195964609?display=Cody%20Brumbaugh&amp;reservation_id=31693195964609&amp;guest_id=31693195960564", "Cody Brumbaugh")</f>
        <v>Cody Brumbaugh</v>
      </c>
      <c r="E10080" t="s">
        <v>8809</v>
      </c>
      <c r="F10080" t="s">
        <v>8410</v>
      </c>
      <c r="G10080">
        <v>149</v>
      </c>
      <c r="H10080">
        <v>161.97</v>
      </c>
      <c r="I10080">
        <v>161.96</v>
      </c>
      <c r="J10080">
        <v>0.01</v>
      </c>
    </row>
    <row r="10081" spans="1:10" x14ac:dyDescent="0.3">
      <c r="A10081" t="str">
        <f>HYPERLINK("https://us2.cloudbeds.com/connect/10074733072513#/reservations/31694079828163?display=MHM46KN1F&amp;reservation_id=31694079828163", "MHM46KN1F")</f>
        <v>MHM46KN1F</v>
      </c>
      <c r="B10081" t="s">
        <v>10</v>
      </c>
      <c r="C10081" t="s">
        <v>42</v>
      </c>
      <c r="D10081" t="str">
        <f>HYPERLINK("https://us2.cloudbeds.com/connect/10074733072513#/reservations/31694079828163?display=Mardell%20Hochstein&amp;reservation_id=31694079828163&amp;guest_id=31693750108352", "Mardell Hochstein")</f>
        <v>Mardell Hochstein</v>
      </c>
      <c r="E10081" t="s">
        <v>8534</v>
      </c>
      <c r="F10081" t="s">
        <v>8410</v>
      </c>
      <c r="G10081">
        <v>89</v>
      </c>
      <c r="H10081">
        <v>96.75</v>
      </c>
      <c r="I10081">
        <v>96.74</v>
      </c>
      <c r="J10081">
        <v>0.01</v>
      </c>
    </row>
    <row r="10082" spans="1:10" x14ac:dyDescent="0.3">
      <c r="A10082" t="str">
        <f>HYPERLINK("https://us2.cloudbeds.com/connect/10074733072513#/reservations/31690136490158?display=MHJ2EGGMD&amp;reservation_id=31690136490158", "MHJ2EGGMD")</f>
        <v>MHJ2EGGMD</v>
      </c>
      <c r="B10082" t="s">
        <v>10</v>
      </c>
      <c r="C10082" t="s">
        <v>42</v>
      </c>
      <c r="D10082" t="str">
        <f>HYPERLINK("https://us2.cloudbeds.com/connect/10074733072513#/reservations/31690136490158?display=Kirk%20Satron&amp;reservation_id=31690136490158&amp;guest_id=31690128662677", "Kirk Satron")</f>
        <v>Kirk Satron</v>
      </c>
      <c r="E10082" t="s">
        <v>8810</v>
      </c>
      <c r="F10082" t="s">
        <v>8811</v>
      </c>
      <c r="G10082">
        <v>150</v>
      </c>
      <c r="H10082">
        <v>163.06</v>
      </c>
      <c r="I10082">
        <v>163.05000000000001</v>
      </c>
      <c r="J10082">
        <v>0.01</v>
      </c>
    </row>
    <row r="10083" spans="1:10" x14ac:dyDescent="0.3">
      <c r="A10083" t="str">
        <f>HYPERLINK("https://us2.cloudbeds.com/connect/10074733072513#/reservations/31690795045063?display=MHJJ8QP9Y&amp;reservation_id=31690795045063", "MHJJ8QP9Y")</f>
        <v>MHJJ8QP9Y</v>
      </c>
      <c r="B10083" t="s">
        <v>10</v>
      </c>
      <c r="C10083" t="s">
        <v>11</v>
      </c>
      <c r="D10083" t="str">
        <f>HYPERLINK("https://us2.cloudbeds.com/connect/10074733072513#/reservations/31690795045063?display=Sasha%20Benson&amp;reservation_id=31690795045063&amp;guest_id=31690795045057", "Sasha Benson")</f>
        <v>Sasha Benson</v>
      </c>
      <c r="E10083" t="s">
        <v>8812</v>
      </c>
      <c r="F10083" t="s">
        <v>8727</v>
      </c>
      <c r="G10083">
        <v>195.48</v>
      </c>
      <c r="H10083">
        <v>212.5</v>
      </c>
      <c r="I10083">
        <v>212.49</v>
      </c>
      <c r="J10083">
        <v>0.01</v>
      </c>
    </row>
    <row r="10084" spans="1:10" x14ac:dyDescent="0.3">
      <c r="A10084" t="str">
        <f>HYPERLINK("https://us2.cloudbeds.com/connect/10074733072513#/reservations/31694141071569?display=MHM5P8T88&amp;reservation_id=31694141071569", "MHM5P8T88")</f>
        <v>MHM5P8T88</v>
      </c>
      <c r="B10084" t="s">
        <v>10</v>
      </c>
      <c r="C10084" t="s">
        <v>42</v>
      </c>
      <c r="D10084" t="str">
        <f>HYPERLINK("https://us2.cloudbeds.com/connect/10074733072513#/reservations/31694141071569?display=Paul%20Stevenson&amp;reservation_id=31694141071569&amp;guest_id=31679659221242", "Paul Stevenson")</f>
        <v>Paul Stevenson</v>
      </c>
      <c r="E10084" t="s">
        <v>6445</v>
      </c>
      <c r="F10084" t="s">
        <v>8270</v>
      </c>
      <c r="G10084">
        <v>150</v>
      </c>
      <c r="H10084">
        <v>163.06</v>
      </c>
      <c r="I10084">
        <v>163.05000000000001</v>
      </c>
      <c r="J10084">
        <v>0.01</v>
      </c>
    </row>
    <row r="10085" spans="1:10" x14ac:dyDescent="0.3">
      <c r="A10085" t="str">
        <f>HYPERLINK("https://us2.cloudbeds.com/connect/10074733072513#/reservations/31695519752437?display=MHN7WQNXC&amp;reservation_id=31695519752437", "MHN7WQNXC")</f>
        <v>MHN7WQNXC</v>
      </c>
      <c r="B10085" t="s">
        <v>10</v>
      </c>
      <c r="C10085" t="s">
        <v>42</v>
      </c>
      <c r="D10085" t="str">
        <f>HYPERLINK("https://us2.cloudbeds.com/connect/10074733072513#/reservations/31695519752437?display=Curtis%20Nelson&amp;reservation_id=31695519752437&amp;guest_id=31691586252996", "Curtis Nelson")</f>
        <v>Curtis Nelson</v>
      </c>
      <c r="E10085" t="s">
        <v>8747</v>
      </c>
      <c r="F10085" t="s">
        <v>8814</v>
      </c>
      <c r="G10085">
        <v>238</v>
      </c>
      <c r="H10085">
        <v>258.72000000000003</v>
      </c>
      <c r="I10085">
        <v>258.70999999999998</v>
      </c>
      <c r="J10085">
        <v>0.01</v>
      </c>
    </row>
    <row r="10086" spans="1:10" x14ac:dyDescent="0.3">
      <c r="A10086" t="str">
        <f>HYPERLINK("https://us2.cloudbeds.com/connect/10074733072513#/reservations/31695117267089?display=MHMUNDVSM&amp;reservation_id=31695117267089", "MHMUNDVSM")</f>
        <v>MHMUNDVSM</v>
      </c>
      <c r="B10086" t="s">
        <v>10</v>
      </c>
      <c r="C10086" t="s">
        <v>42</v>
      </c>
      <c r="D10086" t="str">
        <f>HYPERLINK("https://us2.cloudbeds.com/connect/10074733072513#/reservations/31695117267089?display=Curtis%20Nelson&amp;reservation_id=31695117267089&amp;guest_id=31691586252996", "Curtis Nelson")</f>
        <v>Curtis Nelson</v>
      </c>
      <c r="E10086" t="s">
        <v>8747</v>
      </c>
      <c r="F10086" t="s">
        <v>8270</v>
      </c>
      <c r="G10086">
        <v>159</v>
      </c>
      <c r="H10086">
        <v>172.84</v>
      </c>
      <c r="I10086">
        <v>172.83</v>
      </c>
      <c r="J10086">
        <v>0.01</v>
      </c>
    </row>
    <row r="10087" spans="1:10" x14ac:dyDescent="0.3">
      <c r="A10087" t="str">
        <f>HYPERLINK("https://us2.cloudbeds.com/connect/10074733072513#/reservations/31694087786654?display=MHM4DB53S&amp;reservation_id=31694087786654", "MHM4DB53S")</f>
        <v>MHM4DB53S</v>
      </c>
      <c r="B10087" t="s">
        <v>10</v>
      </c>
      <c r="C10087" t="s">
        <v>121</v>
      </c>
      <c r="D10087" t="str">
        <f>HYPERLINK("https://us2.cloudbeds.com/connect/10074733072513#/reservations/31694087786654?display=Kevin%20Van%20Overschelde&amp;reservation_id=31694087786654&amp;guest_id=31694087786631", "Kevin Van Overschelde")</f>
        <v>Kevin Van Overschelde</v>
      </c>
      <c r="E10087" t="s">
        <v>8816</v>
      </c>
      <c r="F10087" t="s">
        <v>8270</v>
      </c>
      <c r="G10087">
        <v>149</v>
      </c>
      <c r="H10087">
        <v>161.97</v>
      </c>
      <c r="I10087">
        <v>161.96</v>
      </c>
      <c r="J10087">
        <v>0.01</v>
      </c>
    </row>
    <row r="10088" spans="1:10" x14ac:dyDescent="0.3">
      <c r="A10088" t="str">
        <f>HYPERLINK("https://us2.cloudbeds.com/connect/10074733072513#/reservations/31727715090581?display=MXF5YPF2P&amp;reservation_id=31727715090581", "MXF5YPF2P")</f>
        <v>MXF5YPF2P</v>
      </c>
      <c r="B10088" t="s">
        <v>10</v>
      </c>
      <c r="C10088" t="s">
        <v>42</v>
      </c>
      <c r="D10088" t="str">
        <f>HYPERLINK("https://us2.cloudbeds.com/connect/10074733072513#/reservations/31727715090581?display=Syndey%20Jandahl&amp;reservation_id=31727715090581&amp;guest_id=31727715090567", "Syndey Jandahl")</f>
        <v>Syndey Jandahl</v>
      </c>
      <c r="E10088" t="s">
        <v>8819</v>
      </c>
      <c r="F10088" t="s">
        <v>8544</v>
      </c>
      <c r="G10088">
        <v>258</v>
      </c>
      <c r="H10088">
        <v>280.45999999999998</v>
      </c>
      <c r="I10088">
        <v>280.45</v>
      </c>
      <c r="J10088">
        <v>0.01</v>
      </c>
    </row>
    <row r="10089" spans="1:10" x14ac:dyDescent="0.3">
      <c r="A10089" t="str">
        <f>HYPERLINK("https://us2.cloudbeds.com/connect/10074733072513#/reservations/31693114466553?display=MHYCHK2UB&amp;reservation_id=31693114466553", "MHYCHK2UB")</f>
        <v>MHYCHK2UB</v>
      </c>
      <c r="B10089" t="s">
        <v>10</v>
      </c>
      <c r="C10089" t="s">
        <v>42</v>
      </c>
      <c r="D10089" t="str">
        <f>HYPERLINK("https://us2.cloudbeds.com/connect/10074733072513#/reservations/31693114466553?display=Larissa%20Kohs&amp;reservation_id=31693114466553&amp;guest_id=31693102923905", "Larissa Kohs")</f>
        <v>Larissa Kohs</v>
      </c>
      <c r="E10089" t="s">
        <v>8820</v>
      </c>
      <c r="F10089" t="s">
        <v>8102</v>
      </c>
      <c r="G10089">
        <v>199</v>
      </c>
      <c r="H10089">
        <v>216.32</v>
      </c>
      <c r="I10089">
        <v>216.31</v>
      </c>
      <c r="J10089">
        <v>0.01</v>
      </c>
    </row>
    <row r="10090" spans="1:10" x14ac:dyDescent="0.3">
      <c r="A10090" t="str">
        <f>HYPERLINK("https://us2.cloudbeds.com/connect/10074733072513#/reservations/31727726518494?display=MXF5VDB9P&amp;reservation_id=31727726518494", "MXF5VDB9P")</f>
        <v>MXF5VDB9P</v>
      </c>
      <c r="B10090" t="s">
        <v>10</v>
      </c>
      <c r="C10090" t="s">
        <v>42</v>
      </c>
      <c r="D10090" t="str">
        <f>HYPERLINK("https://us2.cloudbeds.com/connect/10074733072513#/reservations/31727726518494?display=Amanda%20Harrison&amp;reservation_id=31727726518494&amp;guest_id=31727726514417", "Amanda Harrison")</f>
        <v>Amanda Harrison</v>
      </c>
      <c r="E10090" t="s">
        <v>8819</v>
      </c>
      <c r="F10090" t="s">
        <v>8544</v>
      </c>
      <c r="G10090">
        <v>338</v>
      </c>
      <c r="H10090">
        <v>367.42</v>
      </c>
      <c r="I10090">
        <v>367.41</v>
      </c>
      <c r="J10090">
        <v>0.01</v>
      </c>
    </row>
    <row r="10091" spans="1:10" x14ac:dyDescent="0.3">
      <c r="A10091" t="str">
        <f>HYPERLINK("https://us2.cloudbeds.com/connect/10074733072513#/reservations/31689913487574?display=MHXTZF49B&amp;reservation_id=31689913487574", "MHXTZF49B")</f>
        <v>MHXTZF49B</v>
      </c>
      <c r="B10091" t="s">
        <v>10</v>
      </c>
      <c r="C10091" t="s">
        <v>23</v>
      </c>
      <c r="D10091" t="str">
        <f>HYPERLINK("https://us2.cloudbeds.com/connect/10074733072513#/reservations/31689913487574?display=Adrianne%20Depauw-Begalka&amp;reservation_id=31689913487574&amp;guest_id=31689913483471", "Adrianne Depauw-Begalka")</f>
        <v>Adrianne Depauw-Begalka</v>
      </c>
      <c r="E10091" t="s">
        <v>8827</v>
      </c>
      <c r="F10091" t="s">
        <v>8102</v>
      </c>
      <c r="G10091">
        <v>209</v>
      </c>
      <c r="H10091">
        <v>227.19</v>
      </c>
      <c r="I10091">
        <v>227.18</v>
      </c>
      <c r="J10091">
        <v>0.01</v>
      </c>
    </row>
    <row r="10092" spans="1:10" x14ac:dyDescent="0.3">
      <c r="A10092" t="str">
        <f>HYPERLINK("https://us2.cloudbeds.com/connect/10074733072513#/reservations/31695865471137?display=MHNGRARUK&amp;reservation_id=31695865471137", "MHNGRARUK")</f>
        <v>MHNGRARUK</v>
      </c>
      <c r="B10092" t="s">
        <v>10</v>
      </c>
      <c r="C10092" t="s">
        <v>42</v>
      </c>
      <c r="D10092" t="str">
        <f>HYPERLINK("https://us2.cloudbeds.com/connect/10074733072513#/reservations/31695865471137?display=Matt%20Spreng&amp;reservation_id=31695865471137&amp;guest_id=31691101683913", "Matt Spreng")</f>
        <v>Matt Spreng</v>
      </c>
      <c r="E10092" t="s">
        <v>8700</v>
      </c>
      <c r="F10092" t="s">
        <v>8546</v>
      </c>
      <c r="G10092">
        <v>198</v>
      </c>
      <c r="H10092">
        <v>215.24</v>
      </c>
      <c r="I10092">
        <v>215.23</v>
      </c>
      <c r="J10092">
        <v>0.01</v>
      </c>
    </row>
    <row r="10093" spans="1:10" x14ac:dyDescent="0.3">
      <c r="A10093" t="str">
        <f>HYPERLINK("https://us2.cloudbeds.com/connect/10074733072513#/reservations/31735140413659?display=MXKUD00XW&amp;reservation_id=31735140413659", "MXKUD00XW")</f>
        <v>MXKUD00XW</v>
      </c>
      <c r="B10093" t="s">
        <v>10</v>
      </c>
      <c r="C10093" t="s">
        <v>23</v>
      </c>
      <c r="D10093" t="str">
        <f>HYPERLINK("https://us2.cloudbeds.com/connect/10074733072513#/reservations/31735140413659?display=Allisa%20Bahney&amp;reservation_id=31735140413659&amp;guest_id=31735130509456", "Allisa Bahney")</f>
        <v>Allisa Bahney</v>
      </c>
      <c r="E10093" t="s">
        <v>8828</v>
      </c>
      <c r="F10093" t="s">
        <v>8829</v>
      </c>
      <c r="G10093">
        <v>239</v>
      </c>
      <c r="H10093">
        <v>259.8</v>
      </c>
      <c r="I10093">
        <v>259.79000000000002</v>
      </c>
      <c r="J10093">
        <v>0.01</v>
      </c>
    </row>
    <row r="10094" spans="1:10" x14ac:dyDescent="0.3">
      <c r="A10094" t="str">
        <f>HYPERLINK("https://us2.cloudbeds.com/connect/10074733072513#/reservations/31693668184264?display=MHYQMH39U&amp;reservation_id=31693668184264", "MHYQMH39U")</f>
        <v>MHYQMH39U</v>
      </c>
      <c r="B10094" t="s">
        <v>10</v>
      </c>
      <c r="C10094" t="s">
        <v>20</v>
      </c>
      <c r="D10094" t="str">
        <f>HYPERLINK("https://us2.cloudbeds.com/connect/10074733072513#/reservations/31693668184264?display=Erica%20Malloy&amp;reservation_id=31693668184264&amp;guest_id=31693668180178", "Erica Malloy")</f>
        <v>Erica Malloy</v>
      </c>
      <c r="E10094" t="s">
        <v>8830</v>
      </c>
      <c r="F10094" t="s">
        <v>8210</v>
      </c>
      <c r="G10094">
        <v>139</v>
      </c>
      <c r="H10094">
        <v>151.1</v>
      </c>
      <c r="I10094">
        <v>151.09</v>
      </c>
      <c r="J10094">
        <v>0.01</v>
      </c>
    </row>
    <row r="10095" spans="1:10" x14ac:dyDescent="0.3">
      <c r="A10095" t="str">
        <f>HYPERLINK("https://us2.cloudbeds.com/connect/10074733072513#/reservations/31693844455600?display=MHYV653KX&amp;reservation_id=31693844455600", "MHYV653KX")</f>
        <v>MHYV653KX</v>
      </c>
      <c r="B10095" t="s">
        <v>10</v>
      </c>
      <c r="C10095" t="s">
        <v>23</v>
      </c>
      <c r="D10095" t="str">
        <f>HYPERLINK("https://us2.cloudbeds.com/connect/10074733072513#/reservations/31693844455600?display=Holly%20Smith&amp;reservation_id=31693844455600&amp;guest_id=31693834567896", "Holly Smith")</f>
        <v>Holly Smith</v>
      </c>
      <c r="E10095" t="s">
        <v>8832</v>
      </c>
      <c r="F10095" t="s">
        <v>8450</v>
      </c>
      <c r="G10095">
        <v>278</v>
      </c>
      <c r="H10095">
        <v>302.2</v>
      </c>
      <c r="I10095">
        <v>302.19</v>
      </c>
      <c r="J10095">
        <v>0.01</v>
      </c>
    </row>
    <row r="10096" spans="1:10" x14ac:dyDescent="0.3">
      <c r="A10096" t="str">
        <f>HYPERLINK("https://us2.cloudbeds.com/connect/10074733072513#/reservations/31695574958299?display=MHN9DBTY9&amp;reservation_id=31695574958299", "MHN9DBTY9")</f>
        <v>MHN9DBTY9</v>
      </c>
      <c r="B10096" t="s">
        <v>10</v>
      </c>
      <c r="C10096" t="s">
        <v>121</v>
      </c>
      <c r="D10096" t="str">
        <f>HYPERLINK("https://us2.cloudbeds.com/connect/10074733072513#/reservations/31695574958299?display=Brandi%20Haaven&amp;reservation_id=31695574958299&amp;guest_id=31691892568218", "Brandi Haaven")</f>
        <v>Brandi Haaven</v>
      </c>
      <c r="E10096" t="s">
        <v>8108</v>
      </c>
      <c r="F10096" t="s">
        <v>8814</v>
      </c>
      <c r="G10096">
        <v>238</v>
      </c>
      <c r="H10096">
        <v>258.72000000000003</v>
      </c>
      <c r="I10096">
        <v>258.70999999999998</v>
      </c>
      <c r="J10096">
        <v>0.01</v>
      </c>
    </row>
    <row r="10097" spans="1:10" x14ac:dyDescent="0.3">
      <c r="A10097" t="str">
        <f>HYPERLINK("https://us2.cloudbeds.com/connect/10074733072513#/reservations/31733665886361?display=MXJPNY40J&amp;reservation_id=31733665886361", "MXJPNY40J")</f>
        <v>MXJPNY40J</v>
      </c>
      <c r="B10097" t="s">
        <v>10</v>
      </c>
      <c r="C10097" t="s">
        <v>42</v>
      </c>
      <c r="D10097" t="str">
        <f>HYPERLINK("https://us2.cloudbeds.com/connect/10074733072513#/reservations/31733665886361?display=Paula%20Greenwaldt&amp;reservation_id=31733665886361&amp;guest_id=31733651611899", "Paula Greenwaldt")</f>
        <v>Paula Greenwaldt</v>
      </c>
      <c r="E10097" t="s">
        <v>8833</v>
      </c>
      <c r="F10097" t="s">
        <v>6916</v>
      </c>
      <c r="G10097">
        <v>318</v>
      </c>
      <c r="H10097">
        <v>345.68</v>
      </c>
      <c r="I10097">
        <v>345.67</v>
      </c>
      <c r="J10097">
        <v>0.01</v>
      </c>
    </row>
    <row r="10098" spans="1:10" x14ac:dyDescent="0.3">
      <c r="A10098" t="str">
        <f>HYPERLINK("https://us2.cloudbeds.com/connect/10074733072513#/reservations/31693838790846?display=MHYV1CFRB&amp;reservation_id=31693838790846", "MHYV1CFRB")</f>
        <v>MHYV1CFRB</v>
      </c>
      <c r="B10098" t="s">
        <v>10</v>
      </c>
      <c r="C10098" t="s">
        <v>42</v>
      </c>
      <c r="D10098" t="str">
        <f>HYPERLINK("https://us2.cloudbeds.com/connect/10074733072513#/reservations/31693838790846?display=Roger%20Strom&amp;reservation_id=31693838790846&amp;guest_id=31693838790784", "Roger Strom")</f>
        <v>Roger Strom</v>
      </c>
      <c r="E10098" t="s">
        <v>8837</v>
      </c>
      <c r="F10098" t="s">
        <v>8513</v>
      </c>
      <c r="G10098">
        <v>396</v>
      </c>
      <c r="H10098">
        <v>430.46</v>
      </c>
      <c r="I10098">
        <v>430.45</v>
      </c>
      <c r="J10098">
        <v>0.01</v>
      </c>
    </row>
    <row r="10099" spans="1:10" x14ac:dyDescent="0.3">
      <c r="A10099" t="str">
        <f>HYPERLINK("https://us2.cloudbeds.com/connect/10074733072513#/reservations/31729514545375?display=MXGXY3UWU&amp;reservation_id=31729514545375", "MXGXY3UWU")</f>
        <v>MXGXY3UWU</v>
      </c>
      <c r="B10099" t="s">
        <v>10</v>
      </c>
      <c r="C10099" t="s">
        <v>42</v>
      </c>
      <c r="D10099" t="str">
        <f>HYPERLINK("https://us2.cloudbeds.com/connect/10074733072513#/reservations/31729514545375?display=Brenda%20Lachermeier&amp;reservation_id=31729514545375&amp;guest_id=31726227955880", "Brenda Lachermeier")</f>
        <v>Brenda Lachermeier</v>
      </c>
      <c r="E10099" t="s">
        <v>8834</v>
      </c>
      <c r="F10099" t="s">
        <v>8835</v>
      </c>
      <c r="G10099">
        <v>159</v>
      </c>
      <c r="H10099">
        <v>172.84</v>
      </c>
      <c r="I10099">
        <v>172.83</v>
      </c>
      <c r="J10099">
        <v>0.01</v>
      </c>
    </row>
    <row r="10100" spans="1:10" x14ac:dyDescent="0.3">
      <c r="A10100" t="str">
        <f>HYPERLINK("https://us2.cloudbeds.com/connect/10074733072513#/reservations/31695493345456?display=MHN7AHTNR&amp;reservation_id=31695493345456", "MHN7AHTNR")</f>
        <v>MHN7AHTNR</v>
      </c>
      <c r="B10100" t="s">
        <v>10</v>
      </c>
      <c r="C10100" t="s">
        <v>14</v>
      </c>
      <c r="D10100" t="str">
        <f>HYPERLINK("https://us2.cloudbeds.com/connect/10074733072513#/reservations/31695493345456?display=Jacob%20Peterson&amp;reservation_id=31695493345456&amp;guest_id=31695479840919", "Jacob Peterson")</f>
        <v>Jacob Peterson</v>
      </c>
      <c r="E10100" t="s">
        <v>8838</v>
      </c>
      <c r="F10100" t="s">
        <v>8814</v>
      </c>
      <c r="G10100">
        <v>87.82</v>
      </c>
      <c r="H10100">
        <v>95.47</v>
      </c>
      <c r="I10100">
        <v>95.46</v>
      </c>
      <c r="J10100">
        <v>0.01</v>
      </c>
    </row>
    <row r="10101" spans="1:10" x14ac:dyDescent="0.3">
      <c r="A10101" t="str">
        <f>HYPERLINK("https://us2.cloudbeds.com/connect/10074733072513#/reservations/31690771009738?display=MHJXYHV9F&amp;reservation_id=31690771009738", "MHJXYHV9F")</f>
        <v>MHJXYHV9F</v>
      </c>
      <c r="B10101" t="s">
        <v>10</v>
      </c>
      <c r="C10101" t="s">
        <v>42</v>
      </c>
      <c r="D10101" t="str">
        <f>HYPERLINK("https://us2.cloudbeds.com/connect/10074733072513#/reservations/31690771009738?display=Brock%20Smith&amp;reservation_id=31690771009738&amp;guest_id=30666138878158", "Brock Smith")</f>
        <v>Brock Smith</v>
      </c>
      <c r="E10101" t="s">
        <v>3409</v>
      </c>
      <c r="F10101" t="s">
        <v>8727</v>
      </c>
      <c r="G10101">
        <v>222</v>
      </c>
      <c r="H10101">
        <v>241.32</v>
      </c>
      <c r="I10101">
        <v>241.31</v>
      </c>
      <c r="J10101">
        <v>0.01</v>
      </c>
    </row>
    <row r="10102" spans="1:10" x14ac:dyDescent="0.3">
      <c r="A10102" t="str">
        <f>HYPERLINK("https://us2.cloudbeds.com/connect/10074733072513#/reservations/31695562133718?display=MHN92X15K&amp;reservation_id=31695562133718", "MHN92X15K")</f>
        <v>MHN92X15K</v>
      </c>
      <c r="B10102" t="s">
        <v>10</v>
      </c>
      <c r="C10102" t="s">
        <v>42</v>
      </c>
      <c r="D10102" t="str">
        <f>HYPERLINK("https://us2.cloudbeds.com/connect/10074733072513#/reservations/31695562133718?display=Doug%20Mayer&amp;reservation_id=31695562133718&amp;guest_id=31686758965431", "Doug Mayer")</f>
        <v>Doug Mayer</v>
      </c>
      <c r="E10102" t="s">
        <v>8841</v>
      </c>
      <c r="F10102" t="s">
        <v>8814</v>
      </c>
      <c r="G10102">
        <v>73</v>
      </c>
      <c r="H10102">
        <v>79.36</v>
      </c>
      <c r="I10102">
        <v>79.349999999999994</v>
      </c>
      <c r="J10102">
        <v>0.01</v>
      </c>
    </row>
    <row r="10103" spans="1:10" x14ac:dyDescent="0.3">
      <c r="A10103" t="str">
        <f>HYPERLINK("https://us2.cloudbeds.com/connect/10074733072513#/reservations/31693843067101?display=MHYV4WFJR&amp;reservation_id=31693843067101", "MHYV4WFJR")</f>
        <v>MHYV4WFJR</v>
      </c>
      <c r="B10103" t="s">
        <v>10</v>
      </c>
      <c r="C10103" t="s">
        <v>42</v>
      </c>
      <c r="D10103" t="str">
        <f>HYPERLINK("https://us2.cloudbeds.com/connect/10074733072513#/reservations/31693843067101?display=Sheri%20Dearduff&amp;reservation_id=31693843067101&amp;guest_id=31693843067085", "Sheri Dearduff")</f>
        <v>Sheri Dearduff</v>
      </c>
      <c r="E10103" t="s">
        <v>8842</v>
      </c>
      <c r="F10103" t="s">
        <v>8513</v>
      </c>
      <c r="G10103">
        <v>396</v>
      </c>
      <c r="H10103">
        <v>430.46</v>
      </c>
      <c r="I10103">
        <v>430.45</v>
      </c>
      <c r="J10103">
        <v>0.01</v>
      </c>
    </row>
    <row r="10104" spans="1:10" x14ac:dyDescent="0.3">
      <c r="A10104" t="str">
        <f>HYPERLINK("https://us2.cloudbeds.com/connect/10074733072513#/reservations/31693341114521?display=MHYXANTPJ&amp;reservation_id=31693341114521", "MHYXANTPJ")</f>
        <v>MHYXANTPJ</v>
      </c>
      <c r="B10104" t="s">
        <v>10</v>
      </c>
      <c r="C10104" t="s">
        <v>42</v>
      </c>
      <c r="D10104" t="str">
        <f>HYPERLINK("https://us2.cloudbeds.com/connect/10074733072513#/reservations/31693341114521?display=Anelise%20Zamarron&amp;reservation_id=31693341114521&amp;guest_id=31693332992192", "Anelise Zamarron")</f>
        <v>Anelise Zamarron</v>
      </c>
      <c r="E10104" t="s">
        <v>8843</v>
      </c>
      <c r="F10104" t="s">
        <v>8071</v>
      </c>
      <c r="G10104">
        <v>119</v>
      </c>
      <c r="H10104">
        <v>129.36000000000001</v>
      </c>
      <c r="I10104">
        <v>129.35</v>
      </c>
      <c r="J10104">
        <v>0.01</v>
      </c>
    </row>
    <row r="10105" spans="1:10" x14ac:dyDescent="0.3">
      <c r="A10105" t="str">
        <f>HYPERLINK("https://us2.cloudbeds.com/connect/10074733072513#/reservations/31728564572337?display=MXFRC2HQ5&amp;reservation_id=31728564572337", "MXFRC2HQ5")</f>
        <v>MXFRC2HQ5</v>
      </c>
      <c r="B10105" t="s">
        <v>10</v>
      </c>
      <c r="C10105" t="s">
        <v>20</v>
      </c>
      <c r="D10105" t="str">
        <f>HYPERLINK("https://us2.cloudbeds.com/connect/10074733072513#/reservations/31728564572337?display=Vernice%20Greiman&amp;reservation_id=31728564572337&amp;guest_id=31728555339991", "Vernice Greiman")</f>
        <v>Vernice Greiman</v>
      </c>
      <c r="E10105" t="s">
        <v>8844</v>
      </c>
      <c r="F10105" t="s">
        <v>8443</v>
      </c>
      <c r="G10105">
        <v>189</v>
      </c>
      <c r="H10105">
        <v>205.45</v>
      </c>
      <c r="I10105">
        <v>205.44</v>
      </c>
      <c r="J10105">
        <v>0.01</v>
      </c>
    </row>
    <row r="10106" spans="1:10" x14ac:dyDescent="0.3">
      <c r="A10106" t="str">
        <f>HYPERLINK("https://us2.cloudbeds.com/connect/10074733072513#/reservations/31695542046960?display=MHN8XK30W&amp;reservation_id=31695542046960", "MHN8XK30W")</f>
        <v>MHN8XK30W</v>
      </c>
      <c r="B10106" t="s">
        <v>10</v>
      </c>
      <c r="C10106" t="s">
        <v>121</v>
      </c>
      <c r="D10106" t="str">
        <f>HYPERLINK("https://us2.cloudbeds.com/connect/10074733072513#/reservations/31695542046960?display=Alex%20Kane&amp;reservation_id=31695542046960&amp;guest_id=31695531651222", "Alex Kane")</f>
        <v>Alex Kane</v>
      </c>
      <c r="E10106" t="s">
        <v>8845</v>
      </c>
      <c r="F10106" t="s">
        <v>8814</v>
      </c>
      <c r="G10106">
        <v>298</v>
      </c>
      <c r="H10106">
        <v>323.94</v>
      </c>
      <c r="I10106">
        <v>323.93</v>
      </c>
      <c r="J10106">
        <v>0.01</v>
      </c>
    </row>
    <row r="10107" spans="1:10" x14ac:dyDescent="0.3">
      <c r="A10107" t="str">
        <f>HYPERLINK("https://us2.cloudbeds.com/connect/10074733072513#/reservations/31695531647119?display=MHN89RN49&amp;reservation_id=31695531647119", "MHN89RN49")</f>
        <v>MHN89RN49</v>
      </c>
      <c r="B10107" t="s">
        <v>10</v>
      </c>
      <c r="C10107" t="s">
        <v>121</v>
      </c>
      <c r="D10107" t="str">
        <f>HYPERLINK("https://us2.cloudbeds.com/connect/10074733072513#/reservations/31695531647119?display=Alex%20Kane&amp;reservation_id=31695531647119&amp;guest_id=31695519752433", "Alex Kane")</f>
        <v>Alex Kane</v>
      </c>
      <c r="E10107" t="s">
        <v>8845</v>
      </c>
      <c r="F10107" t="s">
        <v>8814</v>
      </c>
      <c r="G10107">
        <v>298</v>
      </c>
      <c r="H10107">
        <v>323.94</v>
      </c>
      <c r="I10107">
        <v>323.93</v>
      </c>
      <c r="J10107">
        <v>0.01</v>
      </c>
    </row>
    <row r="10108" spans="1:10" x14ac:dyDescent="0.3">
      <c r="A10108" t="str">
        <f>HYPERLINK("https://us2.cloudbeds.com/connect/10074733072513#/reservations/31695500615879?display=MHN7GM6VM&amp;reservation_id=31695500615879", "MHN7GM6VM")</f>
        <v>MHN7GM6VM</v>
      </c>
      <c r="B10108" t="s">
        <v>10</v>
      </c>
      <c r="C10108" t="s">
        <v>121</v>
      </c>
      <c r="D10108" t="str">
        <f>HYPERLINK("https://us2.cloudbeds.com/connect/10074733072513#/reservations/31695500615879?display=Jeff%20Keiser&amp;reservation_id=31695500615879&amp;guest_id=31695500611834", "Jeff Keiser")</f>
        <v>Jeff Keiser</v>
      </c>
      <c r="E10108" t="s">
        <v>8849</v>
      </c>
      <c r="F10108" t="s">
        <v>8814</v>
      </c>
      <c r="G10108">
        <v>189</v>
      </c>
      <c r="H10108">
        <v>205.45</v>
      </c>
      <c r="I10108">
        <v>205.44</v>
      </c>
      <c r="J10108">
        <v>0.01</v>
      </c>
    </row>
    <row r="10109" spans="1:10" x14ac:dyDescent="0.3">
      <c r="A10109" t="str">
        <f>HYPERLINK("https://us2.cloudbeds.com/connect/10074733072513#/reservations/31693354234095?display=MHYXYPW4E&amp;reservation_id=31693354234095", "MHYXYPW4E")</f>
        <v>MHYXYPW4E</v>
      </c>
      <c r="B10109" t="s">
        <v>10</v>
      </c>
      <c r="C10109" t="s">
        <v>121</v>
      </c>
      <c r="D10109" t="str">
        <f>HYPERLINK("https://us2.cloudbeds.com/connect/10074733072513#/reservations/31693354234095?display=Eli%20Hibler&amp;reservation_id=31693354234095&amp;guest_id=31693354234093", "Eli Hibler")</f>
        <v>Eli Hibler</v>
      </c>
      <c r="E10109" t="s">
        <v>8850</v>
      </c>
      <c r="F10109" t="s">
        <v>8071</v>
      </c>
      <c r="G10109">
        <v>119</v>
      </c>
      <c r="H10109">
        <v>129.36000000000001</v>
      </c>
      <c r="I10109">
        <v>129.35</v>
      </c>
      <c r="J10109">
        <v>0.01</v>
      </c>
    </row>
    <row r="10110" spans="1:10" x14ac:dyDescent="0.3">
      <c r="A10110" t="str">
        <f>HYPERLINK("https://us2.cloudbeds.com/connect/10074733072513#/reservations/31733993808027?display=MXK1350RQ&amp;reservation_id=31733993808027", "MXK1350RQ")</f>
        <v>MXK1350RQ</v>
      </c>
      <c r="B10110" t="s">
        <v>10</v>
      </c>
      <c r="C10110" t="s">
        <v>42</v>
      </c>
      <c r="D10110" t="str">
        <f>HYPERLINK("https://us2.cloudbeds.com/connect/10074733072513#/reservations/31733993808027?display=Janice%20Calder&amp;reservation_id=31733993808027&amp;guest_id=31733993803943", "Janice Calder")</f>
        <v>Janice Calder</v>
      </c>
      <c r="E10110" t="s">
        <v>8851</v>
      </c>
      <c r="F10110" t="s">
        <v>7203</v>
      </c>
      <c r="G10110">
        <v>159</v>
      </c>
      <c r="H10110">
        <v>172.84</v>
      </c>
      <c r="I10110">
        <v>172.83</v>
      </c>
      <c r="J10110">
        <v>0.01</v>
      </c>
    </row>
    <row r="10111" spans="1:10" x14ac:dyDescent="0.3">
      <c r="A10111" t="str">
        <f>HYPERLINK("https://us2.cloudbeds.com/connect/10074733072513#/reservations/31695594627280?display=MHN9TV750&amp;reservation_id=31695594627280", "MHN9TV750")</f>
        <v>MHN9TV750</v>
      </c>
      <c r="B10111" t="s">
        <v>10</v>
      </c>
      <c r="C10111" t="s">
        <v>121</v>
      </c>
      <c r="D10111" t="str">
        <f>HYPERLINK("https://us2.cloudbeds.com/connect/10074733072513#/reservations/31695594627280?display=Jason%20Bentley&amp;reservation_id=31695594627280&amp;guest_id=31695594627267", "Jason Bentley")</f>
        <v>Jason Bentley</v>
      </c>
      <c r="E10111" t="s">
        <v>8755</v>
      </c>
      <c r="F10111" t="s">
        <v>8814</v>
      </c>
      <c r="G10111">
        <v>149</v>
      </c>
      <c r="H10111">
        <v>161.97</v>
      </c>
      <c r="I10111">
        <v>161.96</v>
      </c>
      <c r="J10111">
        <v>0.01</v>
      </c>
    </row>
    <row r="10112" spans="1:10" x14ac:dyDescent="0.3">
      <c r="A10112" t="str">
        <f>HYPERLINK("https://us2.cloudbeds.com/connect/10074733072513#/reservations/31695604945065?display=MHNA5YAN5&amp;reservation_id=31695604945065", "MHNA5YAN5")</f>
        <v>MHNA5YAN5</v>
      </c>
      <c r="B10112" t="s">
        <v>10</v>
      </c>
      <c r="C10112" t="s">
        <v>42</v>
      </c>
      <c r="D10112" t="str">
        <f>HYPERLINK("https://us2.cloudbeds.com/connect/10074733072513#/reservations/31695604945065?display=Everlast%20Rehab&amp;reservation_id=31695604945065&amp;guest_id=31695594627278", "Everlast Rehab")</f>
        <v>Everlast Rehab</v>
      </c>
      <c r="E10112" t="s">
        <v>8852</v>
      </c>
      <c r="F10112" t="s">
        <v>8811</v>
      </c>
      <c r="G10112">
        <v>376</v>
      </c>
      <c r="H10112">
        <v>408.72</v>
      </c>
      <c r="I10112">
        <v>408.71</v>
      </c>
      <c r="J10112">
        <v>0.01</v>
      </c>
    </row>
    <row r="10113" spans="1:10" x14ac:dyDescent="0.3">
      <c r="A10113" t="str">
        <f>HYPERLINK("https://us2.cloudbeds.com/connect/10074733072513#/reservations/31695100473548?display=MHMU98YQG&amp;reservation_id=31695100473548", "MHMU98YQG")</f>
        <v>MHMU98YQG</v>
      </c>
      <c r="B10113" t="s">
        <v>10</v>
      </c>
      <c r="C10113" t="s">
        <v>17</v>
      </c>
      <c r="D10113" t="str">
        <f>HYPERLINK("https://us2.cloudbeds.com/connect/10074733072513#/reservations/31695100473548?display=Miranda%20Murphey&amp;reservation_id=31695100473548&amp;guest_id=31695100473536", "Miranda Murphey")</f>
        <v>Miranda Murphey</v>
      </c>
      <c r="E10113" t="s">
        <v>8853</v>
      </c>
      <c r="F10113" t="s">
        <v>8151</v>
      </c>
      <c r="G10113">
        <v>338</v>
      </c>
      <c r="H10113">
        <v>367.42</v>
      </c>
      <c r="I10113">
        <v>367.41</v>
      </c>
      <c r="J10113">
        <v>0.01</v>
      </c>
    </row>
    <row r="10114" spans="1:10" x14ac:dyDescent="0.3">
      <c r="A10114" t="str">
        <f>HYPERLINK("https://us2.cloudbeds.com/connect/10074733072513#/reservations/31691119698175?display=MHJRXXNMZ&amp;reservation_id=31691119698175", "MHJRXXNMZ")</f>
        <v>MHJRXXNMZ</v>
      </c>
      <c r="B10114" t="s">
        <v>10</v>
      </c>
      <c r="C10114" t="s">
        <v>17</v>
      </c>
      <c r="D10114" t="str">
        <f>HYPERLINK("https://us2.cloudbeds.com/connect/10074733072513#/reservations/31691119698175?display=Edward%20Meester&amp;reservation_id=31691119698175&amp;guest_id=31691119698126", "Edward Meester")</f>
        <v>Edward Meester</v>
      </c>
      <c r="E10114" t="s">
        <v>8854</v>
      </c>
      <c r="F10114" t="s">
        <v>8413</v>
      </c>
      <c r="G10114">
        <v>129</v>
      </c>
      <c r="H10114">
        <v>140.22999999999999</v>
      </c>
      <c r="I10114">
        <v>140.22</v>
      </c>
      <c r="J10114">
        <v>0.01</v>
      </c>
    </row>
    <row r="10115" spans="1:10" x14ac:dyDescent="0.3">
      <c r="A10115" t="str">
        <f>HYPERLINK("https://us2.cloudbeds.com/connect/10074733072513#/reservations/31693173461234?display=MHYE1BN5V&amp;reservation_id=31693173461234", "MHYE1BN5V")</f>
        <v>MHYE1BN5V</v>
      </c>
      <c r="B10115" t="s">
        <v>10</v>
      </c>
      <c r="C10115" t="s">
        <v>42</v>
      </c>
      <c r="D10115" t="str">
        <f>HYPERLINK("https://us2.cloudbeds.com/connect/10074733072513#/reservations/31693173461234?display=Cindy%20Jung&amp;reservation_id=31693173461234&amp;guest_id=31693160153301", "Cindy Jung")</f>
        <v>Cindy Jung</v>
      </c>
      <c r="E10115" t="s">
        <v>8855</v>
      </c>
      <c r="F10115" t="s">
        <v>8151</v>
      </c>
      <c r="G10115">
        <v>159</v>
      </c>
      <c r="H10115">
        <v>172.84</v>
      </c>
      <c r="I10115">
        <v>172.83</v>
      </c>
      <c r="J10115">
        <v>0.01</v>
      </c>
    </row>
    <row r="10116" spans="1:10" x14ac:dyDescent="0.3">
      <c r="A10116" t="str">
        <f>HYPERLINK("https://us2.cloudbeds.com/connect/10074733072513#/reservations/31693894074516?display=MHYWEWRC2&amp;reservation_id=31693894074516", "MHYWEWRC2")</f>
        <v>MHYWEWRC2</v>
      </c>
      <c r="B10116" t="s">
        <v>10</v>
      </c>
      <c r="C10116" t="s">
        <v>14</v>
      </c>
      <c r="D10116" t="str">
        <f>HYPERLINK("https://us2.cloudbeds.com/connect/10074733072513#/reservations/31693894074516?display=Lori%20Riggs&amp;reservation_id=31693894074516&amp;guest_id=31693894074499", "Lori Riggs")</f>
        <v>Lori Riggs</v>
      </c>
      <c r="E10116" t="s">
        <v>8856</v>
      </c>
      <c r="F10116" t="s">
        <v>8450</v>
      </c>
      <c r="G10116">
        <v>219.92</v>
      </c>
      <c r="H10116">
        <v>239.06</v>
      </c>
      <c r="I10116">
        <v>239.05</v>
      </c>
      <c r="J10116">
        <v>0.01</v>
      </c>
    </row>
    <row r="10117" spans="1:10" x14ac:dyDescent="0.3">
      <c r="A10117" t="str">
        <f>HYPERLINK("https://us2.cloudbeds.com/connect/10074733072513#/reservations/31736017977496?display=MXYJQWHAX&amp;reservation_id=31736017977496", "MXYJQWHAX")</f>
        <v>MXYJQWHAX</v>
      </c>
      <c r="B10117" t="s">
        <v>10</v>
      </c>
      <c r="C10117" t="s">
        <v>42</v>
      </c>
      <c r="D10117" t="str">
        <f>HYPERLINK("https://us2.cloudbeds.com/connect/10074733072513#/reservations/31736017977496?display=Janice%20Hooker&amp;reservation_id=31736017977496&amp;guest_id=31736017977483", "Janice Hooker")</f>
        <v>Janice Hooker</v>
      </c>
      <c r="E10117" t="s">
        <v>8857</v>
      </c>
      <c r="F10117" t="s">
        <v>6916</v>
      </c>
      <c r="G10117">
        <v>159</v>
      </c>
      <c r="H10117">
        <v>172.84</v>
      </c>
      <c r="I10117">
        <v>172.83</v>
      </c>
      <c r="J10117">
        <v>0.01</v>
      </c>
    </row>
    <row r="10118" spans="1:10" x14ac:dyDescent="0.3">
      <c r="A10118" t="str">
        <f>HYPERLINK("https://us2.cloudbeds.com/connect/10074733072513#/reservations/31693904142574?display=MHYWNFWJZ&amp;reservation_id=31693904142574", "MHYWNFWJZ")</f>
        <v>MHYWNFWJZ</v>
      </c>
      <c r="B10118" t="s">
        <v>10</v>
      </c>
      <c r="C10118" t="s">
        <v>14</v>
      </c>
      <c r="D10118" t="str">
        <f>HYPERLINK("https://us2.cloudbeds.com/connect/10074733072513#/reservations/31693904142574?display=Robert%20Riggs&amp;reservation_id=31693904142574&amp;guest_id=31693904142562", "Robert Riggs")</f>
        <v>Robert Riggs</v>
      </c>
      <c r="E10118" t="s">
        <v>8858</v>
      </c>
      <c r="F10118" t="s">
        <v>8450</v>
      </c>
      <c r="G10118">
        <v>219.92</v>
      </c>
      <c r="H10118">
        <v>239.06</v>
      </c>
      <c r="I10118">
        <v>239.05</v>
      </c>
      <c r="J10118">
        <v>0.01</v>
      </c>
    </row>
    <row r="10119" spans="1:10" x14ac:dyDescent="0.3">
      <c r="A10119" t="str">
        <f>HYPERLINK("https://us2.cloudbeds.com/connect/10074733072513#/reservations/31692012785854?display=MHKHCY6XZ&amp;reservation_id=31692012785854", "MHKHCY6XZ")</f>
        <v>MHKHCY6XZ</v>
      </c>
      <c r="B10119" t="s">
        <v>10</v>
      </c>
      <c r="C10119" t="s">
        <v>42</v>
      </c>
      <c r="D10119" t="str">
        <f>HYPERLINK("https://us2.cloudbeds.com/connect/10074733072513#/reservations/31692012785854?display=Jason%20Bentley&amp;reservation_id=31692012785854&amp;guest_id=31692012785842", "Jason Bentley")</f>
        <v>Jason Bentley</v>
      </c>
      <c r="E10119" t="s">
        <v>8755</v>
      </c>
      <c r="F10119" t="s">
        <v>8811</v>
      </c>
      <c r="G10119">
        <v>149</v>
      </c>
      <c r="H10119">
        <v>161.97</v>
      </c>
      <c r="I10119">
        <v>161.96</v>
      </c>
      <c r="J10119">
        <v>0.01</v>
      </c>
    </row>
    <row r="10120" spans="1:10" x14ac:dyDescent="0.3">
      <c r="A10120" t="str">
        <f>HYPERLINK("https://us2.cloudbeds.com/connect/10074733072513#/reservations/31690163765393?display=MHJ34GFQM&amp;reservation_id=31690163765393", "MHJ34GFQM")</f>
        <v>MHJ34GFQM</v>
      </c>
      <c r="B10120" t="s">
        <v>10</v>
      </c>
      <c r="C10120" t="s">
        <v>42</v>
      </c>
      <c r="D10120" t="str">
        <f>HYPERLINK("https://us2.cloudbeds.com/connect/10074733072513#/reservations/31690163765393?display=Josh%20Nichols&amp;reservation_id=31690163765393&amp;guest_id=31690163765391", "Josh Nichols")</f>
        <v>Josh Nichols</v>
      </c>
      <c r="E10120" t="s">
        <v>8747</v>
      </c>
      <c r="F10120" t="s">
        <v>8811</v>
      </c>
      <c r="G10120">
        <v>149</v>
      </c>
      <c r="H10120">
        <v>161.97</v>
      </c>
      <c r="I10120">
        <v>161.96</v>
      </c>
      <c r="J10120">
        <v>0.01</v>
      </c>
    </row>
    <row r="10121" spans="1:10" x14ac:dyDescent="0.3">
      <c r="A10121" t="str">
        <f>HYPERLINK("https://us2.cloudbeds.com/connect/10074733072513#/reservations/31735921107163?display=MXYHB9VRU&amp;reservation_id=31735921107163", "MXYHB9VRU")</f>
        <v>MXYHB9VRU</v>
      </c>
      <c r="B10121" t="s">
        <v>10</v>
      </c>
      <c r="C10121" t="s">
        <v>42</v>
      </c>
      <c r="D10121" t="str">
        <f>HYPERLINK("https://us2.cloudbeds.com/connect/10074733072513#/reservations/31735921107163?display=Bryan%20Swanson&amp;reservation_id=31735921107163&amp;guest_id=31735921107159", "Bryan Swanson")</f>
        <v>Bryan Swanson</v>
      </c>
      <c r="E10121" t="s">
        <v>8859</v>
      </c>
      <c r="F10121" t="s">
        <v>7751</v>
      </c>
      <c r="G10121">
        <v>159</v>
      </c>
      <c r="H10121">
        <v>172.84</v>
      </c>
      <c r="I10121">
        <v>172.83</v>
      </c>
      <c r="J10121">
        <v>0.01</v>
      </c>
    </row>
    <row r="10122" spans="1:10" x14ac:dyDescent="0.3">
      <c r="A10122" t="str">
        <f>HYPERLINK("https://us2.cloudbeds.com/connect/10074733072513#/reservations/31690163761287?display=MHJ34GC17&amp;reservation_id=31690163761287", "MHJ34GC17")</f>
        <v>MHJ34GC17</v>
      </c>
      <c r="B10122" t="s">
        <v>10</v>
      </c>
      <c r="C10122" t="s">
        <v>42</v>
      </c>
      <c r="D10122" t="str">
        <f>HYPERLINK("https://us2.cloudbeds.com/connect/10074733072513#/reservations/31690163761287?display=Rory%20Beyer&amp;reservation_id=31690163761287&amp;guest_id=31690156204219", "Rory Beyer")</f>
        <v>Rory Beyer</v>
      </c>
      <c r="E10122" t="s">
        <v>8860</v>
      </c>
      <c r="F10122" t="s">
        <v>8811</v>
      </c>
      <c r="G10122">
        <v>149</v>
      </c>
      <c r="H10122">
        <v>161.97</v>
      </c>
      <c r="I10122">
        <v>161.96</v>
      </c>
      <c r="J10122">
        <v>0.01</v>
      </c>
    </row>
    <row r="10123" spans="1:10" x14ac:dyDescent="0.3">
      <c r="A10123" t="str">
        <f>HYPERLINK("https://us2.cloudbeds.com/connect/10074733072513#/reservations/31692004724970?display=MHKH5RTFH&amp;reservation_id=31692004724970", "MHKH5RTFH")</f>
        <v>MHKH5RTFH</v>
      </c>
      <c r="B10123" t="s">
        <v>10</v>
      </c>
      <c r="C10123" t="s">
        <v>121</v>
      </c>
      <c r="D10123" t="str">
        <f>HYPERLINK("https://us2.cloudbeds.com/connect/10074733072513#/reservations/31692004724970?display=Curt%20Nelson&amp;reservation_id=31692004724970&amp;guest_id=31692004724959", "Curt Nelson")</f>
        <v>Curt Nelson</v>
      </c>
      <c r="E10123" t="s">
        <v>8747</v>
      </c>
      <c r="F10123" t="s">
        <v>8811</v>
      </c>
      <c r="G10123">
        <v>149</v>
      </c>
      <c r="H10123">
        <v>161.97</v>
      </c>
      <c r="I10123">
        <v>161.96</v>
      </c>
      <c r="J10123">
        <v>0.01</v>
      </c>
    </row>
    <row r="10124" spans="1:10" x14ac:dyDescent="0.3">
      <c r="A10124" t="str">
        <f>HYPERLINK("https://us2.cloudbeds.com/connect/10074733072513#/reservations/31694244716736?display=MHM8DYS5N&amp;reservation_id=31694244716736", "MHM8DYS5N")</f>
        <v>MHM8DYS5N</v>
      </c>
      <c r="B10124" t="s">
        <v>10</v>
      </c>
      <c r="C10124" t="s">
        <v>23</v>
      </c>
      <c r="D10124" t="str">
        <f>HYPERLINK("https://us2.cloudbeds.com/connect/10074733072513#/reservations/31694244716736?display=Jamie%20Dornbusch&amp;reservation_id=31694244716736&amp;guest_id=31694244712699", "Jamie Dornbusch")</f>
        <v>Jamie Dornbusch</v>
      </c>
      <c r="E10124" t="s">
        <v>8861</v>
      </c>
      <c r="F10124" t="s">
        <v>6746</v>
      </c>
      <c r="G10124">
        <v>209</v>
      </c>
      <c r="H10124">
        <v>227.19</v>
      </c>
      <c r="I10124">
        <v>227.18</v>
      </c>
      <c r="J10124">
        <v>0.01</v>
      </c>
    </row>
    <row r="10125" spans="1:10" x14ac:dyDescent="0.3">
      <c r="A10125" t="str">
        <f>HYPERLINK("https://us2.cloudbeds.com/connect/10074733072513#/reservations/31736033542381?display=MXYK73Y4Z&amp;reservation_id=31736033542381", "MXYK73Y4Z")</f>
        <v>MXYK73Y4Z</v>
      </c>
      <c r="B10125" t="s">
        <v>10</v>
      </c>
      <c r="C10125" t="s">
        <v>42</v>
      </c>
      <c r="D10125" t="str">
        <f>HYPERLINK("https://us2.cloudbeds.com/connect/10074733072513#/reservations/31736033542381?display=Sarah%20Garcia&amp;reservation_id=31736033542381&amp;guest_id=31736033542365", "Sarah Garcia")</f>
        <v>Sarah Garcia</v>
      </c>
      <c r="E10125" t="s">
        <v>8862</v>
      </c>
      <c r="F10125" t="s">
        <v>6916</v>
      </c>
      <c r="G10125">
        <v>278</v>
      </c>
      <c r="H10125">
        <v>302.2</v>
      </c>
      <c r="I10125">
        <v>302.19</v>
      </c>
      <c r="J10125">
        <v>0.01</v>
      </c>
    </row>
    <row r="10126" spans="1:10" x14ac:dyDescent="0.3">
      <c r="A10126" t="str">
        <f>HYPERLINK("https://us2.cloudbeds.com/connect/10074733072513#/reservations/31691334979742?display=MHK02382J&amp;reservation_id=31691334979742", "MHK02382J")</f>
        <v>MHK02382J</v>
      </c>
      <c r="B10126" t="s">
        <v>10</v>
      </c>
      <c r="C10126" t="s">
        <v>17</v>
      </c>
      <c r="D10126" t="str">
        <f>HYPERLINK("https://us2.cloudbeds.com/connect/10074733072513#/reservations/31691334979742?display=Casey%20Dickerson&amp;reservation_id=31691334979742&amp;guest_id=31691334979722", "Casey Dickerson")</f>
        <v>Casey Dickerson</v>
      </c>
      <c r="E10126" t="s">
        <v>8863</v>
      </c>
      <c r="F10126" t="s">
        <v>8210</v>
      </c>
      <c r="G10126">
        <v>169</v>
      </c>
      <c r="H10126">
        <v>183.71</v>
      </c>
      <c r="I10126">
        <v>183.7</v>
      </c>
      <c r="J10126">
        <v>0.01</v>
      </c>
    </row>
    <row r="10127" spans="1:10" x14ac:dyDescent="0.3">
      <c r="A10127" t="str">
        <f>HYPERLINK("https://us2.cloudbeds.com/connect/10074733072513#/reservations/31690950811811?display=MHJN856Q4&amp;reservation_id=31690950811811", "MHJN856Q4")</f>
        <v>MHJN856Q4</v>
      </c>
      <c r="B10127" t="s">
        <v>10</v>
      </c>
      <c r="C10127" t="s">
        <v>121</v>
      </c>
      <c r="D10127" t="str">
        <f>HYPERLINK("https://us2.cloudbeds.com/connect/10074733072513#/reservations/31690950811811?display=Mary%20Koblika&amp;reservation_id=31690950811811&amp;guest_id=31690950807723", "Mary Koblika")</f>
        <v>Mary Koblika</v>
      </c>
      <c r="E10127" t="s">
        <v>8867</v>
      </c>
      <c r="F10127" t="s">
        <v>8727</v>
      </c>
      <c r="G10127">
        <v>119</v>
      </c>
      <c r="H10127">
        <v>129.36000000000001</v>
      </c>
      <c r="I10127">
        <v>129.35</v>
      </c>
      <c r="J10127">
        <v>0.01</v>
      </c>
    </row>
    <row r="10128" spans="1:10" x14ac:dyDescent="0.3">
      <c r="A10128" t="str">
        <f>HYPERLINK("https://us2.cloudbeds.com/connect/10074733072513#/reservations/31691036573846?display=MHJPEFYQM&amp;reservation_id=31691036573846", "MHJPEFYQM")</f>
        <v>MHJPEFYQM</v>
      </c>
      <c r="B10128" t="s">
        <v>10</v>
      </c>
      <c r="C10128" t="s">
        <v>121</v>
      </c>
      <c r="D10128" t="str">
        <f>HYPERLINK("https://us2.cloudbeds.com/connect/10074733072513#/reservations/31691036573846?display=Matthew%20Rogers&amp;reservation_id=31691036573846&amp;guest_id=31691036569762", "Matthew Rogers")</f>
        <v>Matthew Rogers</v>
      </c>
      <c r="E10128" t="s">
        <v>8694</v>
      </c>
      <c r="F10128" t="s">
        <v>8727</v>
      </c>
      <c r="G10128">
        <v>73</v>
      </c>
      <c r="H10128">
        <v>79.36</v>
      </c>
      <c r="I10128">
        <v>79.349999999999994</v>
      </c>
      <c r="J10128">
        <v>0.01</v>
      </c>
    </row>
    <row r="10129" spans="1:10" x14ac:dyDescent="0.3">
      <c r="A10129" t="str">
        <f>HYPERLINK("https://us2.cloudbeds.com/connect/10074733072513#/reservations/31695873429634?display=MHNH11A06&amp;reservation_id=31695873429634", "MHNH11A06")</f>
        <v>MHNH11A06</v>
      </c>
      <c r="B10129" t="s">
        <v>10</v>
      </c>
      <c r="C10129" t="s">
        <v>11</v>
      </c>
      <c r="D10129" t="str">
        <f>HYPERLINK("https://us2.cloudbeds.com/connect/10074733072513#/reservations/31695873429634?display=Gregory%20Schimkat&amp;reservation_id=31695873429634&amp;guest_id=31695873425585", "Gregory Schimkat")</f>
        <v>Gregory Schimkat</v>
      </c>
      <c r="E10129" t="s">
        <v>8868</v>
      </c>
      <c r="F10129" t="s">
        <v>8546</v>
      </c>
      <c r="G10129">
        <v>195.48</v>
      </c>
      <c r="H10129">
        <v>212.5</v>
      </c>
      <c r="I10129">
        <v>212.49</v>
      </c>
      <c r="J10129">
        <v>0.01</v>
      </c>
    </row>
    <row r="10130" spans="1:10" x14ac:dyDescent="0.3">
      <c r="A10130" t="str">
        <f>HYPERLINK("https://us2.cloudbeds.com/connect/10074733072513#/reservations/31695616196754?display=MHNAF4DRE&amp;reservation_id=31695616196754", "MHNAF4DRE")</f>
        <v>MHNAF4DRE</v>
      </c>
      <c r="B10130" t="s">
        <v>10</v>
      </c>
      <c r="C10130" t="s">
        <v>11</v>
      </c>
      <c r="D10130" t="str">
        <f>HYPERLINK("https://us2.cloudbeds.com/connect/10074733072513#/reservations/31695616196754?display=Michael%20Meier&amp;reservation_id=31695616196754&amp;guest_id=31695616196743", "Michael Meier")</f>
        <v>Michael Meier</v>
      </c>
      <c r="E10130" t="s">
        <v>8870</v>
      </c>
      <c r="F10130" t="s">
        <v>8811</v>
      </c>
      <c r="G10130">
        <v>97.74</v>
      </c>
      <c r="H10130">
        <v>106.25</v>
      </c>
      <c r="I10130">
        <v>106.24</v>
      </c>
      <c r="J10130">
        <v>0.01</v>
      </c>
    </row>
    <row r="10131" spans="1:10" x14ac:dyDescent="0.3">
      <c r="A10131" t="str">
        <f>HYPERLINK("https://us2.cloudbeds.com/connect/10074733072513#/reservations/31736040480915?display=MXYKCVNKB&amp;reservation_id=31736040480915", "MXYKCVNKB")</f>
        <v>MXYKCVNKB</v>
      </c>
      <c r="B10131" t="s">
        <v>10</v>
      </c>
      <c r="C10131" t="s">
        <v>42</v>
      </c>
      <c r="D10131" t="str">
        <f>HYPERLINK("https://us2.cloudbeds.com/connect/10074733072513#/reservations/31736040480915?display=Cindy%20Young&amp;reservation_id=31736040480915&amp;guest_id=31736040476861", "Cindy Young")</f>
        <v>Cindy Young</v>
      </c>
      <c r="E10131" t="s">
        <v>8875</v>
      </c>
      <c r="F10131" t="s">
        <v>6916</v>
      </c>
      <c r="G10131">
        <v>318</v>
      </c>
      <c r="H10131">
        <v>345.68</v>
      </c>
      <c r="I10131">
        <v>345.67</v>
      </c>
      <c r="J10131">
        <v>0.01</v>
      </c>
    </row>
    <row r="10132" spans="1:10" x14ac:dyDescent="0.3">
      <c r="A10132" t="str">
        <f>HYPERLINK("https://us2.cloudbeds.com/connect/10074733072513#/reservations/31695781761235?display=MHNEMZGAU&amp;reservation_id=31695781761235", "MHNEMZGAU")</f>
        <v>MHNEMZGAU</v>
      </c>
      <c r="B10132" t="s">
        <v>10</v>
      </c>
      <c r="C10132" t="s">
        <v>23</v>
      </c>
      <c r="D10132" t="str">
        <f>HYPERLINK("https://us2.cloudbeds.com/connect/10074733072513#/reservations/31695781761235?display=Vicki%20Gorden&amp;reservation_id=31695781761235&amp;guest_id=31695772233926", "Vicki Gorden")</f>
        <v>Vicki Gorden</v>
      </c>
      <c r="E10132" t="s">
        <v>8876</v>
      </c>
      <c r="F10132" t="s">
        <v>8450</v>
      </c>
      <c r="G10132">
        <v>149</v>
      </c>
      <c r="H10132">
        <v>161.97</v>
      </c>
      <c r="I10132">
        <v>161.96</v>
      </c>
      <c r="J10132">
        <v>0.01</v>
      </c>
    </row>
    <row r="10133" spans="1:10" x14ac:dyDescent="0.3">
      <c r="A10133" t="str">
        <f>HYPERLINK("https://us2.cloudbeds.com/connect/10074733072513#/reservations/31695114875074?display=MHMUYDDBC&amp;reservation_id=31695114875074", "MHMUYDDBC")</f>
        <v>MHMUYDDBC</v>
      </c>
      <c r="B10133" t="s">
        <v>10</v>
      </c>
      <c r="C10133" t="s">
        <v>14</v>
      </c>
      <c r="D10133" t="str">
        <f>HYPERLINK("https://us2.cloudbeds.com/connect/10074733072513#/reservations/31695114875074?display=Travis%20Fish&amp;reservation_id=31695114875074&amp;guest_id=31695108964513", "Travis Fish")</f>
        <v>Travis Fish</v>
      </c>
      <c r="E10133" t="s">
        <v>8877</v>
      </c>
      <c r="F10133" t="s">
        <v>8151</v>
      </c>
      <c r="G10133">
        <v>221.72</v>
      </c>
      <c r="H10133">
        <v>241.02</v>
      </c>
      <c r="I10133">
        <v>241.01</v>
      </c>
      <c r="J10133">
        <v>0.01</v>
      </c>
    </row>
    <row r="10134" spans="1:10" x14ac:dyDescent="0.3">
      <c r="A10134" t="str">
        <f>HYPERLINK("https://us2.cloudbeds.com/connect/10074733072513#/reservations/31695686217888?display=MHNC85SCW&amp;reservation_id=31695686217888", "MHNC85SCW")</f>
        <v>MHNC85SCW</v>
      </c>
      <c r="B10134" t="s">
        <v>10</v>
      </c>
      <c r="C10134" t="s">
        <v>17</v>
      </c>
      <c r="D10134" t="str">
        <f>HYPERLINK("https://us2.cloudbeds.com/connect/10074733072513#/reservations/31695686217888?display=Todd%20Bailey&amp;reservation_id=31695686217888&amp;guest_id=31695686217872", "Todd Bailey")</f>
        <v>Todd Bailey</v>
      </c>
      <c r="E10134" t="s">
        <v>8878</v>
      </c>
      <c r="F10134" t="s">
        <v>8546</v>
      </c>
      <c r="G10134">
        <v>338</v>
      </c>
      <c r="H10134">
        <v>367.42</v>
      </c>
      <c r="I10134">
        <v>367.41</v>
      </c>
      <c r="J10134">
        <v>0.01</v>
      </c>
    </row>
    <row r="10135" spans="1:10" x14ac:dyDescent="0.3">
      <c r="A10135" t="str">
        <f>HYPERLINK("https://us2.cloudbeds.com/connect/10074733072513#/reservations/31693102923907?display=MHYC7STK6&amp;reservation_id=31693102923907", "MHYC7STK6")</f>
        <v>MHYC7STK6</v>
      </c>
      <c r="B10135" t="s">
        <v>10</v>
      </c>
      <c r="C10135" t="s">
        <v>42</v>
      </c>
      <c r="D10135" t="str">
        <f>HYPERLINK("https://us2.cloudbeds.com/connect/10074733072513#/reservations/31693102923907?display=Rocky%20Armitage&amp;reservation_id=31693102923907&amp;guest_id=31693102919863", "Rocky Armitage")</f>
        <v>Rocky Armitage</v>
      </c>
      <c r="E10135" t="s">
        <v>8879</v>
      </c>
      <c r="F10135" t="s">
        <v>8151</v>
      </c>
      <c r="G10135">
        <v>318</v>
      </c>
      <c r="H10135">
        <v>345.68</v>
      </c>
      <c r="I10135">
        <v>345.67</v>
      </c>
      <c r="J10135">
        <v>0.01</v>
      </c>
    </row>
    <row r="10136" spans="1:10" x14ac:dyDescent="0.3">
      <c r="A10136" t="str">
        <f>HYPERLINK("https://us2.cloudbeds.com/connect/10074733072513#/reservations/31691101683966?display=MHJR3CENK&amp;reservation_id=31691101683966", "MHJR3CENK")</f>
        <v>MHJR3CENK</v>
      </c>
      <c r="B10136" t="s">
        <v>10</v>
      </c>
      <c r="C10136" t="s">
        <v>42</v>
      </c>
      <c r="D10136" t="str">
        <f>HYPERLINK("https://us2.cloudbeds.com/connect/10074733072513#/reservations/31691101683966?display=Matt%20Spreng&amp;reservation_id=31691101683966&amp;guest_id=31691101683913", "Matt Spreng")</f>
        <v>Matt Spreng</v>
      </c>
      <c r="E10136" t="s">
        <v>8700</v>
      </c>
      <c r="F10136" t="s">
        <v>8265</v>
      </c>
      <c r="G10136">
        <v>99</v>
      </c>
      <c r="H10136">
        <v>107.62</v>
      </c>
      <c r="I10136">
        <v>107.61</v>
      </c>
      <c r="J10136">
        <v>0.01</v>
      </c>
    </row>
    <row r="10137" spans="1:10" x14ac:dyDescent="0.3">
      <c r="A10137" t="str">
        <f>HYPERLINK("https://us2.cloudbeds.com/connect/10074733072513#/reservations/31693377765535?display=MHYJ8KPEC&amp;reservation_id=31693377765535", "MHYJ8KPEC")</f>
        <v>MHYJ8KPEC</v>
      </c>
      <c r="B10137" t="s">
        <v>10</v>
      </c>
      <c r="C10137" t="s">
        <v>121</v>
      </c>
      <c r="D10137" t="str">
        <f>HYPERLINK("https://us2.cloudbeds.com/connect/10074733072513#/reservations/31693377765535?display=Alija%20Heco&amp;reservation_id=31693377765535&amp;guest_id=31693377761434", "Alija Heco")</f>
        <v>Alija Heco</v>
      </c>
      <c r="E10137" t="s">
        <v>8880</v>
      </c>
      <c r="F10137" t="s">
        <v>8259</v>
      </c>
      <c r="G10137">
        <v>238</v>
      </c>
      <c r="H10137">
        <v>258.72000000000003</v>
      </c>
      <c r="I10137">
        <v>258.70999999999998</v>
      </c>
      <c r="J10137">
        <v>0.01</v>
      </c>
    </row>
    <row r="10138" spans="1:10" x14ac:dyDescent="0.3">
      <c r="A10138" t="str">
        <f>HYPERLINK("https://us2.cloudbeds.com/connect/10074733072513#/reservations/31695897149671?display=MHNHY1BG6&amp;reservation_id=31695897149671", "MHNHY1BG6")</f>
        <v>MHNHY1BG6</v>
      </c>
      <c r="B10138" t="s">
        <v>10</v>
      </c>
      <c r="C10138" t="s">
        <v>42</v>
      </c>
      <c r="D10138" t="str">
        <f>HYPERLINK("https://us2.cloudbeds.com/connect/10074733072513#/reservations/31695897149671?display=Kaysha%20Nibblink&amp;reservation_id=31695897149671&amp;guest_id=31695897149666", "Kaysha Nibblink")</f>
        <v>Kaysha Nibblink</v>
      </c>
      <c r="E10138" t="s">
        <v>8883</v>
      </c>
      <c r="F10138" t="s">
        <v>8546</v>
      </c>
      <c r="G10138">
        <v>179</v>
      </c>
      <c r="H10138">
        <v>194.58</v>
      </c>
      <c r="I10138">
        <v>194.57</v>
      </c>
      <c r="J10138">
        <v>0.01</v>
      </c>
    </row>
    <row r="10139" spans="1:10" x14ac:dyDescent="0.3">
      <c r="A10139" t="str">
        <f>HYPERLINK("https://us2.cloudbeds.com/connect/10074733072513#/reservations/31695929139392?display=MHNX8CEYS&amp;reservation_id=31695929139392", "MHNX8CEYS")</f>
        <v>MHNX8CEYS</v>
      </c>
      <c r="B10139" t="s">
        <v>10</v>
      </c>
      <c r="C10139" t="s">
        <v>42</v>
      </c>
      <c r="D10139" t="str">
        <f>HYPERLINK("https://us2.cloudbeds.com/connect/10074733072513#/reservations/31695929139392?display=Mateo%20Mendez&amp;reservation_id=31695929139392&amp;guest_id=31695921266841", "Mateo Mendez")</f>
        <v>Mateo Mendez</v>
      </c>
      <c r="E10139" t="s">
        <v>3038</v>
      </c>
      <c r="F10139" t="s">
        <v>8151</v>
      </c>
      <c r="G10139">
        <v>150</v>
      </c>
      <c r="H10139">
        <v>163.06</v>
      </c>
      <c r="I10139">
        <v>163.05000000000001</v>
      </c>
      <c r="J10139">
        <v>0.01</v>
      </c>
    </row>
    <row r="10140" spans="1:10" x14ac:dyDescent="0.3">
      <c r="A10140" t="str">
        <f>HYPERLINK("https://us2.cloudbeds.com/connect/10074733072513#/reservations/31693629935827?display=MHYPN8PPC&amp;reservation_id=31693629935827", "MHYPN8PPC")</f>
        <v>MHYPN8PPC</v>
      </c>
      <c r="B10140" t="s">
        <v>10</v>
      </c>
      <c r="C10140" t="s">
        <v>42</v>
      </c>
      <c r="D10140" t="str">
        <f>HYPERLINK("https://us2.cloudbeds.com/connect/10074733072513#/reservations/31693629935827?display=James%20Edward%20Torborg&amp;reservation_id=31693629935827&amp;guest_id=31676351418594", "James Edward Torborg")</f>
        <v>James Edward Torborg</v>
      </c>
      <c r="E10140" t="s">
        <v>7337</v>
      </c>
      <c r="F10140" t="s">
        <v>8485</v>
      </c>
      <c r="G10140">
        <v>99</v>
      </c>
      <c r="H10140">
        <v>107.62</v>
      </c>
      <c r="I10140">
        <v>107.61</v>
      </c>
      <c r="J10140">
        <v>0.01</v>
      </c>
    </row>
    <row r="10141" spans="1:10" x14ac:dyDescent="0.3">
      <c r="A10141" t="str">
        <f>HYPERLINK("https://us2.cloudbeds.com/connect/10074733072513#/reservations/31695085015256?display=MHMTT7GSD&amp;reservation_id=31695085015256", "MHMTT7GSD")</f>
        <v>MHMTT7GSD</v>
      </c>
      <c r="B10141" t="s">
        <v>10</v>
      </c>
      <c r="C10141" t="s">
        <v>11</v>
      </c>
      <c r="D10141" t="str">
        <f>HYPERLINK("https://us2.cloudbeds.com/connect/10074733072513#/reservations/31695085015256?display=Bettina%20Roundey&amp;reservation_id=31695085015256&amp;guest_id=31695085015236", "Bettina Roundey")</f>
        <v>Bettina Roundey</v>
      </c>
      <c r="E10141" t="s">
        <v>8884</v>
      </c>
      <c r="F10141" t="s">
        <v>8151</v>
      </c>
      <c r="G10141">
        <v>110.86</v>
      </c>
      <c r="H10141">
        <v>120.51</v>
      </c>
      <c r="I10141">
        <v>120.5</v>
      </c>
      <c r="J10141">
        <v>0.01</v>
      </c>
    </row>
    <row r="10142" spans="1:10" x14ac:dyDescent="0.3">
      <c r="A10142" t="str">
        <f>HYPERLINK("https://us2.cloudbeds.com/connect/10074733072513#/reservations/31695165993096?display=MHMVVGRMB&amp;reservation_id=31695165993096", "MHMVVGRMB")</f>
        <v>MHMVVGRMB</v>
      </c>
      <c r="B10142" t="s">
        <v>10</v>
      </c>
      <c r="C10142" t="s">
        <v>42</v>
      </c>
      <c r="D10142" t="str">
        <f>HYPERLINK("https://us2.cloudbeds.com/connect/10074733072513#/reservations/31695165993096?display=Connor%20Osell&amp;reservation_id=31695165993096&amp;guest_id=31695165993094", "Connor Osell")</f>
        <v>Connor Osell</v>
      </c>
      <c r="E10142" t="s">
        <v>8885</v>
      </c>
      <c r="F10142" t="s">
        <v>8151</v>
      </c>
      <c r="G10142">
        <v>221.52</v>
      </c>
      <c r="H10142">
        <v>240.8</v>
      </c>
      <c r="I10142">
        <v>240.79</v>
      </c>
      <c r="J10142">
        <v>0.01</v>
      </c>
    </row>
    <row r="10143" spans="1:10" x14ac:dyDescent="0.3">
      <c r="A10143" t="str">
        <f>HYPERLINK("https://us2.cloudbeds.com/connect/10074733072513#/reservations/31695616192659?display=MHNAF4A2B&amp;reservation_id=31695616192659", "MHNAF4A2B")</f>
        <v>MHNAF4A2B</v>
      </c>
      <c r="B10143" t="s">
        <v>10</v>
      </c>
      <c r="C10143" t="s">
        <v>121</v>
      </c>
      <c r="D10143" t="str">
        <f>HYPERLINK("https://us2.cloudbeds.com/connect/10074733072513#/reservations/31695616192659?display=Kenneth%20Kuhle&amp;reservation_id=31695616192659&amp;guest_id=31695604949152", "Kenneth Kuhle")</f>
        <v>Kenneth Kuhle</v>
      </c>
      <c r="E10143" t="s">
        <v>8886</v>
      </c>
      <c r="F10143" t="s">
        <v>8546</v>
      </c>
      <c r="G10143">
        <v>179</v>
      </c>
      <c r="H10143">
        <v>194.58</v>
      </c>
      <c r="I10143">
        <v>194.57</v>
      </c>
      <c r="J10143">
        <v>0.01</v>
      </c>
    </row>
    <row r="10144" spans="1:10" x14ac:dyDescent="0.3">
      <c r="A10144" t="str">
        <f>HYPERLINK("https://us2.cloudbeds.com/connect/10074733072513#/reservations/31693015290095?display=MHY9WWBQ4&amp;reservation_id=31693015290095", "MHY9WWBQ4")</f>
        <v>MHY9WWBQ4</v>
      </c>
      <c r="B10144" t="s">
        <v>10</v>
      </c>
      <c r="C10144" t="s">
        <v>121</v>
      </c>
      <c r="D10144" t="str">
        <f>HYPERLINK("https://us2.cloudbeds.com/connect/10074733072513#/reservations/31693015290095?display=Adam%20Mielke&amp;reservation_id=31693015290095&amp;guest_id=31693015290077", "Adam Mielke")</f>
        <v>Adam Mielke</v>
      </c>
      <c r="E10144" t="s">
        <v>8887</v>
      </c>
      <c r="F10144" t="s">
        <v>8259</v>
      </c>
      <c r="G10144">
        <v>119</v>
      </c>
      <c r="H10144">
        <v>129.36000000000001</v>
      </c>
      <c r="I10144">
        <v>129.35</v>
      </c>
      <c r="J10144">
        <v>0.01</v>
      </c>
    </row>
    <row r="10145" spans="1:10" x14ac:dyDescent="0.3">
      <c r="A10145" t="str">
        <f>HYPERLINK("https://us2.cloudbeds.com/connect/10074733072513#/reservations/31695094804657?display=MHMU4FU6U&amp;reservation_id=31695094804657", "MHMU4FU6U")</f>
        <v>MHMU4FU6U</v>
      </c>
      <c r="B10145" t="s">
        <v>10</v>
      </c>
      <c r="C10145" t="s">
        <v>11</v>
      </c>
      <c r="D10145" t="str">
        <f>HYPERLINK("https://us2.cloudbeds.com/connect/10074733072513#/reservations/31695094804657?display=Valerie%20Patton&amp;reservation_id=31695094804657&amp;guest_id=31695094804638", "Valerie Patton")</f>
        <v>Valerie Patton</v>
      </c>
      <c r="E10145" t="s">
        <v>8889</v>
      </c>
      <c r="F10145" t="s">
        <v>8151</v>
      </c>
      <c r="G10145">
        <v>221.72</v>
      </c>
      <c r="H10145">
        <v>241.02</v>
      </c>
      <c r="I10145">
        <v>241.01</v>
      </c>
      <c r="J10145">
        <v>0.01</v>
      </c>
    </row>
    <row r="10146" spans="1:10" x14ac:dyDescent="0.3">
      <c r="A10146" t="str">
        <f>HYPERLINK("https://us2.cloudbeds.com/connect/10074733072513#/reservations/31692206776464?display=MHKMB7912&amp;reservation_id=31692206776464", "MHKMB7912")</f>
        <v>MHKMB7912</v>
      </c>
      <c r="B10146" t="s">
        <v>10</v>
      </c>
      <c r="C10146" t="s">
        <v>17</v>
      </c>
      <c r="D10146" t="str">
        <f>HYPERLINK("https://us2.cloudbeds.com/connect/10074733072513#/reservations/31692206776464?display=Isabel%20Guzman&amp;reservation_id=31692206776464&amp;guest_id=31692206772372", "Isabel Guzman")</f>
        <v>Isabel Guzman</v>
      </c>
      <c r="E10146" t="s">
        <v>8890</v>
      </c>
      <c r="F10146" t="s">
        <v>8891</v>
      </c>
      <c r="G10146">
        <v>258</v>
      </c>
      <c r="H10146">
        <v>280.45999999999998</v>
      </c>
      <c r="I10146">
        <v>280.45</v>
      </c>
      <c r="J10146">
        <v>0.01</v>
      </c>
    </row>
    <row r="10147" spans="1:10" x14ac:dyDescent="0.3">
      <c r="A10147" t="str">
        <f>HYPERLINK("https://us2.cloudbeds.com/connect/10074733072513#/reservations/31695678369989?display=MHNC1XFSS&amp;reservation_id=31695678369989", "MHNC1XFSS")</f>
        <v>MHNC1XFSS</v>
      </c>
      <c r="B10147" t="s">
        <v>10</v>
      </c>
      <c r="C10147" t="s">
        <v>11</v>
      </c>
      <c r="D10147" t="str">
        <f>HYPERLINK("https://us2.cloudbeds.com/connect/10074733072513#/reservations/31695678369989?display=Jeffrey%20Lucas&amp;reservation_id=31695678369989&amp;guest_id=31695670341805", "Jeffrey Lucas")</f>
        <v>Jeffrey Lucas</v>
      </c>
      <c r="E10147" t="s">
        <v>8892</v>
      </c>
      <c r="F10147" t="s">
        <v>8151</v>
      </c>
      <c r="G10147">
        <v>221.72</v>
      </c>
      <c r="H10147">
        <v>241.02</v>
      </c>
      <c r="I10147">
        <v>241.01</v>
      </c>
      <c r="J10147">
        <v>0.01</v>
      </c>
    </row>
    <row r="10148" spans="1:10" x14ac:dyDescent="0.3">
      <c r="A10148" t="str">
        <f>HYPERLINK("https://us2.cloudbeds.com/connect/10074733072513#/reservations/31695629148392?display=MHNAQ1QWA&amp;reservation_id=31695629148392", "MHNAQ1QWA")</f>
        <v>MHNAQ1QWA</v>
      </c>
      <c r="B10148" t="s">
        <v>10</v>
      </c>
      <c r="C10148" t="s">
        <v>121</v>
      </c>
      <c r="D10148" t="str">
        <f>HYPERLINK("https://us2.cloudbeds.com/connect/10074733072513#/reservations/31695629148392?display=Marc%20Alwelt&amp;reservation_id=31695629148392&amp;guest_id=31695616196752", "Marc Alwelt")</f>
        <v>Marc Alwelt</v>
      </c>
      <c r="E10148" t="s">
        <v>8893</v>
      </c>
      <c r="F10148" t="s">
        <v>8546</v>
      </c>
      <c r="G10148">
        <v>189</v>
      </c>
      <c r="H10148">
        <v>205.45</v>
      </c>
      <c r="I10148">
        <v>205.44</v>
      </c>
      <c r="J10148">
        <v>0.01</v>
      </c>
    </row>
    <row r="10149" spans="1:10" x14ac:dyDescent="0.3">
      <c r="A10149" t="str">
        <f>HYPERLINK("https://us2.cloudbeds.com/connect/10074733072513#/reservations/31694311137408?display=MHM9T49ZR&amp;reservation_id=31694311137408", "MHM9T49ZR")</f>
        <v>MHM9T49ZR</v>
      </c>
      <c r="B10149" t="s">
        <v>10</v>
      </c>
      <c r="C10149" t="s">
        <v>17</v>
      </c>
      <c r="D10149" t="str">
        <f>HYPERLINK("https://us2.cloudbeds.com/connect/10074733072513#/reservations/31694311137408?display=Lauren%20Christensen&amp;reservation_id=31694311137408&amp;guest_id=31694302191842", "Lauren Christensen")</f>
        <v>Lauren Christensen</v>
      </c>
      <c r="E10149" t="s">
        <v>8898</v>
      </c>
      <c r="F10149" t="s">
        <v>8027</v>
      </c>
      <c r="G10149">
        <v>129</v>
      </c>
      <c r="H10149">
        <v>140.22999999999999</v>
      </c>
      <c r="I10149">
        <v>140.22</v>
      </c>
      <c r="J10149">
        <v>0.01</v>
      </c>
    </row>
    <row r="10150" spans="1:10" x14ac:dyDescent="0.3">
      <c r="A10150" t="str">
        <f>HYPERLINK("https://us2.cloudbeds.com/connect/10074733072513#/reservations/31693310582985?display=MHYHHWAFH&amp;reservation_id=31693310582985", "MHYHHWAFH")</f>
        <v>MHYHHWAFH</v>
      </c>
      <c r="B10150" t="s">
        <v>10</v>
      </c>
      <c r="C10150" t="s">
        <v>121</v>
      </c>
      <c r="D10150" t="str">
        <f>HYPERLINK("https://us2.cloudbeds.com/connect/10074733072513#/reservations/31693310582985?display=Kaysha%20Nibbelink&amp;reservation_id=31693310582985&amp;guest_id=31693310582980", "Kaysha Nibbelink")</f>
        <v>Kaysha Nibbelink</v>
      </c>
      <c r="E10150" t="s">
        <v>8899</v>
      </c>
      <c r="F10150" t="s">
        <v>8259</v>
      </c>
      <c r="G10150">
        <v>129</v>
      </c>
      <c r="H10150">
        <v>140.22999999999999</v>
      </c>
      <c r="I10150">
        <v>140.22</v>
      </c>
      <c r="J10150">
        <v>0.01</v>
      </c>
    </row>
    <row r="10151" spans="1:10" x14ac:dyDescent="0.3">
      <c r="A10151" t="str">
        <f>HYPERLINK("https://us2.cloudbeds.com/connect/10074733072513#/reservations/31695913050320?display=MHNX1EQY1&amp;reservation_id=31695913050320", "MHNX1EQY1")</f>
        <v>MHNX1EQY1</v>
      </c>
      <c r="B10151" t="s">
        <v>10</v>
      </c>
      <c r="C10151" t="s">
        <v>42</v>
      </c>
      <c r="D10151" t="str">
        <f>HYPERLINK("https://us2.cloudbeds.com/connect/10074733072513#/reservations/31695913050320?display=Cody%20Schmidlin&amp;reservation_id=31695913050320&amp;guest_id=31695913050308", "Cody Schmidlin")</f>
        <v>Cody Schmidlin</v>
      </c>
      <c r="E10151" t="s">
        <v>8900</v>
      </c>
      <c r="F10151" t="s">
        <v>8546</v>
      </c>
      <c r="G10151">
        <v>189</v>
      </c>
      <c r="H10151">
        <v>205.45</v>
      </c>
      <c r="I10151">
        <v>205.44</v>
      </c>
      <c r="J10151">
        <v>0.01</v>
      </c>
    </row>
    <row r="10152" spans="1:10" x14ac:dyDescent="0.3">
      <c r="A10152" t="str">
        <f>HYPERLINK("https://us2.cloudbeds.com/connect/10074733072513#/reservations/31692914086083?display=MHY7DY6QT&amp;reservation_id=31692914086083", "MHY7DY6QT")</f>
        <v>MHY7DY6QT</v>
      </c>
      <c r="B10152" t="s">
        <v>10</v>
      </c>
      <c r="C10152" t="s">
        <v>42</v>
      </c>
      <c r="D10152" t="str">
        <f>HYPERLINK("https://us2.cloudbeds.com/connect/10074733072513#/reservations/31692914086083?display=Deisel%20Northern%20Lights&amp;reservation_id=31692914086083&amp;guest_id=31692914081990", "Deisel Northern Lights")</f>
        <v>Deisel Northern Lights</v>
      </c>
      <c r="E10152" t="s">
        <v>8902</v>
      </c>
      <c r="F10152" t="s">
        <v>8903</v>
      </c>
      <c r="G10152">
        <v>252</v>
      </c>
      <c r="H10152">
        <v>273.93</v>
      </c>
      <c r="I10152">
        <v>273.92</v>
      </c>
      <c r="J10152">
        <v>0.01</v>
      </c>
    </row>
    <row r="10153" spans="1:10" x14ac:dyDescent="0.3">
      <c r="A10153" t="str">
        <f>HYPERLINK("https://us2.cloudbeds.com/connect/10074733072513#/reservations/31695907877051?display=MHNHU2S5A&amp;reservation_id=31695907877051", "MHNHU2S5A")</f>
        <v>MHNHU2S5A</v>
      </c>
      <c r="B10153" t="s">
        <v>10</v>
      </c>
      <c r="C10153" t="s">
        <v>42</v>
      </c>
      <c r="D10153" t="str">
        <f>HYPERLINK("https://us2.cloudbeds.com/connect/10074733072513#/reservations/31695907877051?display=Angela%20Arends&amp;reservation_id=31695907877051&amp;guest_id=31695907877036", "Angela Arends")</f>
        <v>Angela Arends</v>
      </c>
      <c r="E10153" t="s">
        <v>8907</v>
      </c>
      <c r="F10153" t="s">
        <v>8546</v>
      </c>
      <c r="G10153">
        <v>169</v>
      </c>
      <c r="H10153">
        <v>183.71</v>
      </c>
      <c r="I10153">
        <v>183.7</v>
      </c>
      <c r="J10153">
        <v>0.01</v>
      </c>
    </row>
    <row r="10154" spans="1:10" x14ac:dyDescent="0.3">
      <c r="A10154" t="str">
        <f>HYPERLINK("https://us2.cloudbeds.com/connect/10074733072513#/reservations/31693573959896?display=MHYZ925X1&amp;reservation_id=31693573959896", "MHYZ925X1")</f>
        <v>MHYZ925X1</v>
      </c>
      <c r="B10154" t="s">
        <v>10</v>
      </c>
      <c r="C10154" t="s">
        <v>14</v>
      </c>
      <c r="D10154" t="str">
        <f>HYPERLINK("https://us2.cloudbeds.com/connect/10074733072513#/reservations/31693573959896?display=Michelle%20Hatfield&amp;reservation_id=31693573959896&amp;guest_id=31693573955803", "Michelle Hatfield")</f>
        <v>Michelle Hatfield</v>
      </c>
      <c r="E10154" t="s">
        <v>8909</v>
      </c>
      <c r="F10154" t="s">
        <v>8151</v>
      </c>
      <c r="G10154">
        <v>110.86</v>
      </c>
      <c r="H10154">
        <v>120.51</v>
      </c>
      <c r="I10154">
        <v>120.5</v>
      </c>
      <c r="J10154">
        <v>0.01</v>
      </c>
    </row>
    <row r="10155" spans="1:10" x14ac:dyDescent="0.3">
      <c r="A10155" t="str">
        <f>HYPERLINK("https://us2.cloudbeds.com/connect/10074733072513#/reservations/31693970260182?display=MHM1D7QYK&amp;reservation_id=31693970260182", "MHM1D7QYK")</f>
        <v>MHM1D7QYK</v>
      </c>
      <c r="B10155" t="s">
        <v>10</v>
      </c>
      <c r="C10155" t="s">
        <v>14</v>
      </c>
      <c r="D10155" t="str">
        <f>HYPERLINK("https://us2.cloudbeds.com/connect/10074733072513#/reservations/31693970260182?display=Marvin%20Newell&amp;reservation_id=31693970260182&amp;guest_id=31693970260179", "Marvin Newell")</f>
        <v>Marvin Newell</v>
      </c>
      <c r="E10155" t="s">
        <v>8911</v>
      </c>
      <c r="F10155" t="s">
        <v>8453</v>
      </c>
      <c r="G10155">
        <v>351.6</v>
      </c>
      <c r="H10155">
        <v>382.2</v>
      </c>
      <c r="I10155">
        <v>382.19</v>
      </c>
      <c r="J10155">
        <v>0.01</v>
      </c>
    </row>
    <row r="10156" spans="1:10" x14ac:dyDescent="0.3">
      <c r="A10156" t="str">
        <f>HYPERLINK("https://us2.cloudbeds.com/connect/10074733072513#/reservations/31695573717142?display=MHN9CABUF&amp;reservation_id=31695573717142", "MHN9CABUF")</f>
        <v>MHN9CABUF</v>
      </c>
      <c r="B10156" t="s">
        <v>10</v>
      </c>
      <c r="C10156" t="s">
        <v>20</v>
      </c>
      <c r="D10156" t="str">
        <f>HYPERLINK("https://us2.cloudbeds.com/connect/10074733072513#/reservations/31695573717142?display=Danielle%20Garske&amp;reservation_id=31695573717142&amp;guest_id=31695563403449", "Danielle Garske")</f>
        <v>Danielle Garske</v>
      </c>
      <c r="E10156" t="s">
        <v>8912</v>
      </c>
      <c r="F10156" t="s">
        <v>8450</v>
      </c>
      <c r="G10156">
        <v>139</v>
      </c>
      <c r="H10156">
        <v>151.1</v>
      </c>
      <c r="I10156">
        <v>151.09</v>
      </c>
      <c r="J10156">
        <v>0.01</v>
      </c>
    </row>
    <row r="10157" spans="1:10" x14ac:dyDescent="0.3">
      <c r="A10157" t="str">
        <f>HYPERLINK("https://us2.cloudbeds.com/connect/10074733072513#/reservations/31691008249989?display=MHJZNJGZW&amp;reservation_id=31691008249989", "MHJZNJGZW")</f>
        <v>MHJZNJGZW</v>
      </c>
      <c r="B10157" t="s">
        <v>10</v>
      </c>
      <c r="C10157" t="s">
        <v>42</v>
      </c>
      <c r="D10157" t="str">
        <f>HYPERLINK("https://us2.cloudbeds.com/connect/10074733072513#/reservations/31691008249989?display=Jennifer%20Kopfmann&amp;reservation_id=31691008249989&amp;guest_id=31691008249984", "Jennifer Kopfmann")</f>
        <v>Jennifer Kopfmann</v>
      </c>
      <c r="E10157" t="s">
        <v>8913</v>
      </c>
      <c r="F10157" t="s">
        <v>8210</v>
      </c>
      <c r="G10157">
        <v>169</v>
      </c>
      <c r="H10157">
        <v>183.71</v>
      </c>
      <c r="I10157">
        <v>183.7</v>
      </c>
      <c r="J10157">
        <v>0.01</v>
      </c>
    </row>
    <row r="10158" spans="1:10" x14ac:dyDescent="0.3">
      <c r="A10158" t="str">
        <f>HYPERLINK("https://us2.cloudbeds.com/connect/10074733072513#/reservations/31694229037196?display=MHM80EYPA&amp;reservation_id=31694229037196", "MHM80EYPA")</f>
        <v>MHM80EYPA</v>
      </c>
      <c r="B10158" t="s">
        <v>10</v>
      </c>
      <c r="C10158" t="s">
        <v>42</v>
      </c>
      <c r="D10158" t="str">
        <f>HYPERLINK("https://us2.cloudbeds.com/connect/10074733072513#/reservations/31694229037196?display=David%20Olson&amp;reservation_id=31694229037196&amp;guest_id=31694229037193", "David Olson")</f>
        <v>David Olson</v>
      </c>
      <c r="E10158" t="s">
        <v>8914</v>
      </c>
      <c r="F10158" t="s">
        <v>6746</v>
      </c>
      <c r="G10158">
        <v>139</v>
      </c>
      <c r="H10158">
        <v>151.1</v>
      </c>
      <c r="I10158">
        <v>151.09</v>
      </c>
      <c r="J10158">
        <v>0.01</v>
      </c>
    </row>
    <row r="10159" spans="1:10" x14ac:dyDescent="0.3">
      <c r="A10159" t="str">
        <f>HYPERLINK("https://us2.cloudbeds.com/connect/10074733072513#/reservations/31693606252769?display=MHYP39P7V&amp;reservation_id=31693606252769", "MHYP39P7V")</f>
        <v>MHYP39P7V</v>
      </c>
      <c r="B10159" t="s">
        <v>10</v>
      </c>
      <c r="C10159" t="s">
        <v>121</v>
      </c>
      <c r="D10159" t="str">
        <f>HYPERLINK("https://us2.cloudbeds.com/connect/10074733072513#/reservations/31693606252769?display=Brydon%20Wentz&amp;reservation_id=31693606252769&amp;guest_id=31693595545733", "Brydon Wentz")</f>
        <v>Brydon Wentz</v>
      </c>
      <c r="E10159" t="s">
        <v>8915</v>
      </c>
      <c r="F10159" t="s">
        <v>8485</v>
      </c>
      <c r="G10159">
        <v>119</v>
      </c>
      <c r="H10159">
        <v>129.36000000000001</v>
      </c>
      <c r="I10159">
        <v>129.35</v>
      </c>
      <c r="J10159">
        <v>0.01</v>
      </c>
    </row>
    <row r="10160" spans="1:10" x14ac:dyDescent="0.3">
      <c r="A10160" t="str">
        <f>HYPERLINK("https://us2.cloudbeds.com/connect/10074733072513#/reservations/31692846903438?display=MHY5MWZP5&amp;reservation_id=31692846903438", "MHY5MWZP5")</f>
        <v>MHY5MWZP5</v>
      </c>
      <c r="B10160" t="s">
        <v>10</v>
      </c>
      <c r="C10160" t="s">
        <v>23</v>
      </c>
      <c r="D10160" t="str">
        <f>HYPERLINK("https://us2.cloudbeds.com/connect/10074733072513#/reservations/31692846903438?display=Matthew%20Graves&amp;reservation_id=31692846903438&amp;guest_id=31692846903426", "Matthew Graves")</f>
        <v>Matthew Graves</v>
      </c>
      <c r="E10160" t="s">
        <v>8916</v>
      </c>
      <c r="F10160" t="s">
        <v>8903</v>
      </c>
      <c r="G10160">
        <v>119</v>
      </c>
      <c r="H10160">
        <v>129.36000000000001</v>
      </c>
      <c r="I10160">
        <v>129.35</v>
      </c>
      <c r="J10160">
        <v>0.01</v>
      </c>
    </row>
    <row r="10161" spans="1:10" x14ac:dyDescent="0.3">
      <c r="A10161" t="str">
        <f>HYPERLINK("https://us2.cloudbeds.com/connect/10074733072513#/reservations/31730755301549?display=MXHHBBQMS&amp;reservation_id=31730755301549", "MXHHBBQMS")</f>
        <v>MXHHBBQMS</v>
      </c>
      <c r="B10161" t="s">
        <v>10</v>
      </c>
      <c r="C10161" t="s">
        <v>42</v>
      </c>
      <c r="D10161" t="str">
        <f>HYPERLINK("https://us2.cloudbeds.com/connect/10074733072513#/reservations/31730755301549?display=Izaak%20Berglund&amp;reservation_id=31730755301549&amp;guest_id=31730741231839", "Izaak Berglund")</f>
        <v>Izaak Berglund</v>
      </c>
      <c r="E10161" t="s">
        <v>8917</v>
      </c>
      <c r="F10161" t="s">
        <v>8918</v>
      </c>
      <c r="G10161">
        <v>358</v>
      </c>
      <c r="H10161">
        <v>389.16</v>
      </c>
      <c r="I10161">
        <v>389.15</v>
      </c>
      <c r="J10161">
        <v>0.01</v>
      </c>
    </row>
    <row r="10162" spans="1:10" x14ac:dyDescent="0.3">
      <c r="A10162" t="str">
        <f>HYPERLINK("https://us2.cloudbeds.com/connect/10074733072513#/reservations/31733676556536?display=MXJPWY158&amp;reservation_id=31733676556536", "MXJPWY158")</f>
        <v>MXJPWY158</v>
      </c>
      <c r="B10162" t="s">
        <v>10</v>
      </c>
      <c r="C10162" t="s">
        <v>42</v>
      </c>
      <c r="D10162" t="str">
        <f>HYPERLINK("https://us2.cloudbeds.com/connect/10074733072513#/reservations/31733676556536?display=Taylor%20Yliniemi&amp;reservation_id=31733676556536&amp;guest_id=31733676556531", "Taylor Yliniemi")</f>
        <v>Taylor Yliniemi</v>
      </c>
      <c r="E10162" t="s">
        <v>8922</v>
      </c>
      <c r="F10162" t="s">
        <v>6916</v>
      </c>
      <c r="G10162">
        <v>159</v>
      </c>
      <c r="H10162">
        <v>172.84</v>
      </c>
      <c r="I10162">
        <v>172.83</v>
      </c>
      <c r="J10162">
        <v>0.01</v>
      </c>
    </row>
    <row r="10163" spans="1:10" x14ac:dyDescent="0.3">
      <c r="A10163" t="str">
        <f>HYPERLINK("https://us2.cloudbeds.com/connect/10074733072513#/reservations/31730617385172?display=MXHDR22NN&amp;reservation_id=31730617385172", "MXHDR22NN")</f>
        <v>MXHDR22NN</v>
      </c>
      <c r="B10163" t="s">
        <v>10</v>
      </c>
      <c r="C10163" t="s">
        <v>42</v>
      </c>
      <c r="D10163" t="str">
        <f>HYPERLINK("https://us2.cloudbeds.com/connect/10074733072513#/reservations/31730617385172?display=Timothy%20Healy&amp;reservation_id=31730617385172&amp;guest_id=31730617381066", "Timothy Healy")</f>
        <v>Timothy Healy</v>
      </c>
      <c r="E10163" t="s">
        <v>8923</v>
      </c>
      <c r="F10163" t="s">
        <v>8920</v>
      </c>
      <c r="G10163">
        <v>209</v>
      </c>
      <c r="H10163">
        <v>227.19</v>
      </c>
      <c r="I10163">
        <v>227.18</v>
      </c>
      <c r="J10163">
        <v>0.01</v>
      </c>
    </row>
    <row r="10164" spans="1:10" x14ac:dyDescent="0.3">
      <c r="A10164" t="str">
        <f>HYPERLINK("https://us2.cloudbeds.com/connect/10074733072513#/reservations/31734226333948?display=MXK717D8R&amp;reservation_id=31734226333948", "MXK717D8R")</f>
        <v>MXK717D8R</v>
      </c>
      <c r="B10164" t="s">
        <v>10</v>
      </c>
      <c r="C10164" t="s">
        <v>42</v>
      </c>
      <c r="D10164" t="str">
        <f>HYPERLINK("https://us2.cloudbeds.com/connect/10074733072513#/reservations/31734226333948?display=Gerald%20Healy&amp;reservation_id=31734226333948&amp;guest_id=31734226333889", "Gerald Healy")</f>
        <v>Gerald Healy</v>
      </c>
      <c r="E10164" t="s">
        <v>8924</v>
      </c>
      <c r="F10164" t="s">
        <v>8920</v>
      </c>
      <c r="G10164">
        <v>209</v>
      </c>
      <c r="H10164">
        <v>227.19</v>
      </c>
      <c r="I10164">
        <v>227.18</v>
      </c>
      <c r="J10164">
        <v>0.01</v>
      </c>
    </row>
    <row r="10165" spans="1:10" x14ac:dyDescent="0.3">
      <c r="A10165" t="str">
        <f>HYPERLINK("https://us2.cloudbeds.com/connect/10074733072513#/reservations/31695929860244?display=MHNXFKXZM&amp;reservation_id=31695929860244", "MHNXFKXZM")</f>
        <v>MHNXFKXZM</v>
      </c>
      <c r="B10165" t="s">
        <v>10</v>
      </c>
      <c r="C10165" t="s">
        <v>11</v>
      </c>
      <c r="D10165" t="str">
        <f>HYPERLINK("https://us2.cloudbeds.com/connect/10074733072513#/reservations/31695929860244?display=Barb%20Bialas&amp;reservation_id=31695929860244&amp;guest_id=31695922188469", "Barb Bialas")</f>
        <v>Barb Bialas</v>
      </c>
      <c r="E10165" t="s">
        <v>8925</v>
      </c>
      <c r="F10165" t="s">
        <v>8450</v>
      </c>
      <c r="G10165">
        <v>97.74</v>
      </c>
      <c r="H10165">
        <v>106.25</v>
      </c>
      <c r="I10165">
        <v>106.24</v>
      </c>
      <c r="J10165">
        <v>0.01</v>
      </c>
    </row>
    <row r="10166" spans="1:10" x14ac:dyDescent="0.3">
      <c r="A10166" t="str">
        <f>HYPERLINK("https://us2.cloudbeds.com/connect/10074733072513#/reservations/31692590022859?display=MHKW4CM36&amp;reservation_id=31692590022859", "MHKW4CM36")</f>
        <v>MHKW4CM36</v>
      </c>
      <c r="B10166" t="s">
        <v>10</v>
      </c>
      <c r="C10166" t="s">
        <v>17</v>
      </c>
      <c r="D10166" t="str">
        <f>HYPERLINK("https://us2.cloudbeds.com/connect/10074733072513#/reservations/31692590022859?display=Emma%20Swift%20Hawk&amp;reservation_id=31692590022859&amp;guest_id=31692590022857", "Emma Swift Hawk")</f>
        <v>Emma Swift Hawk</v>
      </c>
      <c r="E10166" t="s">
        <v>8926</v>
      </c>
      <c r="F10166" t="s">
        <v>8453</v>
      </c>
      <c r="G10166">
        <v>298</v>
      </c>
      <c r="H10166">
        <v>323.94</v>
      </c>
      <c r="I10166">
        <v>323.93</v>
      </c>
      <c r="J10166">
        <v>0.01</v>
      </c>
    </row>
    <row r="10167" spans="1:10" x14ac:dyDescent="0.3">
      <c r="A10167" t="str">
        <f>HYPERLINK("https://us2.cloudbeds.com/connect/10074733072513#/reservations/31695940788452?display=MHNXZRYRG&amp;reservation_id=31695940788452", "MHNXZRYRG")</f>
        <v>MHNXZRYRG</v>
      </c>
      <c r="B10167" t="s">
        <v>10</v>
      </c>
      <c r="C10167" t="s">
        <v>20</v>
      </c>
      <c r="D10167" t="str">
        <f>HYPERLINK("https://us2.cloudbeds.com/connect/10074733072513#/reservations/31695940788452?display=Jeff%20Washinowski&amp;reservation_id=31695940788452&amp;guest_id=31695929864338", "Jeff Washinowski")</f>
        <v>Jeff Washinowski</v>
      </c>
      <c r="E10167" t="s">
        <v>8928</v>
      </c>
      <c r="F10167" t="s">
        <v>8450</v>
      </c>
      <c r="G10167">
        <v>139</v>
      </c>
      <c r="H10167">
        <v>151.1</v>
      </c>
      <c r="I10167">
        <v>151.09</v>
      </c>
      <c r="J10167">
        <v>0.01</v>
      </c>
    </row>
    <row r="10168" spans="1:10" x14ac:dyDescent="0.3">
      <c r="A10168" t="str">
        <f>HYPERLINK("https://us2.cloudbeds.com/connect/10074733072513#/reservations/31691134677195?display=MHJRV6HHE&amp;reservation_id=31691134677195", "MHJRV6HHE")</f>
        <v>MHJRV6HHE</v>
      </c>
      <c r="B10168" t="s">
        <v>10</v>
      </c>
      <c r="C10168" t="s">
        <v>23</v>
      </c>
      <c r="D10168" t="str">
        <f>HYPERLINK("https://us2.cloudbeds.com/connect/10074733072513#/reservations/31691134677195?display=Sandi%20Holstein-Jons&amp;reservation_id=31691134677195&amp;guest_id=31681814384789", "Sandi Holstein-Jons")</f>
        <v>Sandi Holstein-Jons</v>
      </c>
      <c r="E10168" t="s">
        <v>8929</v>
      </c>
      <c r="F10168" t="s">
        <v>8413</v>
      </c>
      <c r="G10168">
        <v>209</v>
      </c>
      <c r="H10168">
        <v>227.19</v>
      </c>
      <c r="I10168">
        <v>227.18</v>
      </c>
      <c r="J10168">
        <v>0.01</v>
      </c>
    </row>
    <row r="10169" spans="1:10" x14ac:dyDescent="0.3">
      <c r="A10169" t="str">
        <f>HYPERLINK("https://us2.cloudbeds.com/connect/10074733072513#/reservations/31693912260809?display=MHYWUATBS&amp;reservation_id=31693912260809", "MHYWUATBS")</f>
        <v>MHYWUATBS</v>
      </c>
      <c r="B10169" t="s">
        <v>10</v>
      </c>
      <c r="C10169" t="s">
        <v>42</v>
      </c>
      <c r="D10169" t="str">
        <f>HYPERLINK("https://us2.cloudbeds.com/connect/10074733072513#/reservations/31693912260809?display=Sukhad%20Louprasong&amp;reservation_id=31693912260809&amp;guest_id=31693912260803", "Sukhad Louprasong")</f>
        <v>Sukhad Louprasong</v>
      </c>
      <c r="E10169" t="s">
        <v>8930</v>
      </c>
      <c r="F10169" t="s">
        <v>8450</v>
      </c>
      <c r="G10169">
        <v>338</v>
      </c>
      <c r="H10169">
        <v>367.42</v>
      </c>
      <c r="I10169">
        <v>367.41</v>
      </c>
      <c r="J10169">
        <v>0.01</v>
      </c>
    </row>
    <row r="10170" spans="1:10" x14ac:dyDescent="0.3">
      <c r="A10170" t="str">
        <f>HYPERLINK("https://us2.cloudbeds.com/connect/10074733072513#/reservations/31692490657935?display=MHKTJJMTT&amp;reservation_id=31692490657935", "MHKTJJMTT")</f>
        <v>MHKTJJMTT</v>
      </c>
      <c r="B10170" t="s">
        <v>10</v>
      </c>
      <c r="C10170" t="s">
        <v>42</v>
      </c>
      <c r="D10170" t="str">
        <f>HYPERLINK("https://us2.cloudbeds.com/connect/10074733072513#/reservations/31692490657935?display=Eli%20Hofer&amp;reservation_id=31692490657935&amp;guest_id=31692490653842", "Eli Hofer")</f>
        <v>Eli Hofer</v>
      </c>
      <c r="E10170" t="s">
        <v>8931</v>
      </c>
      <c r="F10170" t="s">
        <v>8210</v>
      </c>
      <c r="G10170">
        <v>179</v>
      </c>
      <c r="H10170">
        <v>194.58</v>
      </c>
      <c r="I10170">
        <v>194.57</v>
      </c>
      <c r="J10170">
        <v>0.01</v>
      </c>
    </row>
    <row r="10171" spans="1:10" x14ac:dyDescent="0.3">
      <c r="A10171" t="str">
        <f>HYPERLINK("https://us2.cloudbeds.com/connect/10074733072513#/reservations/31692487954617?display=MHKTHAFH5&amp;reservation_id=31692487954617", "MHKTHAFH5")</f>
        <v>MHKTHAFH5</v>
      </c>
      <c r="B10171" t="s">
        <v>10</v>
      </c>
      <c r="C10171" t="s">
        <v>42</v>
      </c>
      <c r="D10171" t="str">
        <f>HYPERLINK("https://us2.cloudbeds.com/connect/10074733072513#/reservations/31692487954617?display=Dustin%20Tounsley&amp;reservation_id=31692487954617&amp;guest_id=31692477751457", "Dustin Tounsley")</f>
        <v>Dustin Tounsley</v>
      </c>
      <c r="E10171" t="s">
        <v>8932</v>
      </c>
      <c r="F10171" t="s">
        <v>8210</v>
      </c>
      <c r="G10171">
        <v>159</v>
      </c>
      <c r="H10171">
        <v>172.84</v>
      </c>
      <c r="I10171">
        <v>172.83</v>
      </c>
      <c r="J10171">
        <v>0.01</v>
      </c>
    </row>
    <row r="10172" spans="1:10" x14ac:dyDescent="0.3">
      <c r="A10172" t="str">
        <f>HYPERLINK("https://us2.cloudbeds.com/connect/10074733072513#/reservations/31690225340585?display=MHJ4NDTMJ&amp;reservation_id=31690225340585", "MHJ4NDTMJ")</f>
        <v>MHJ4NDTMJ</v>
      </c>
      <c r="B10172" t="s">
        <v>10</v>
      </c>
      <c r="C10172" t="s">
        <v>17</v>
      </c>
      <c r="D10172" t="str">
        <f>HYPERLINK("https://us2.cloudbeds.com/connect/10074733072513#/reservations/31690225340585?display=Julie%20Moore&amp;reservation_id=31690225340585&amp;guest_id=31690211004631", "Julie Moore")</f>
        <v>Julie Moore</v>
      </c>
      <c r="E10172" t="s">
        <v>8540</v>
      </c>
      <c r="F10172" t="s">
        <v>8450</v>
      </c>
      <c r="G10172">
        <v>358</v>
      </c>
      <c r="H10172">
        <v>389.16</v>
      </c>
      <c r="I10172">
        <v>389.15</v>
      </c>
      <c r="J10172">
        <v>0.01</v>
      </c>
    </row>
    <row r="10173" spans="1:10" x14ac:dyDescent="0.3">
      <c r="A10173" t="str">
        <f>HYPERLINK("https://us2.cloudbeds.com/connect/10074733072513#/reservations/31690259099854?display=MHJ5XT9UZ&amp;reservation_id=31690259099854", "MHJ5XT9UZ")</f>
        <v>MHJ5XT9UZ</v>
      </c>
      <c r="B10173" t="s">
        <v>10</v>
      </c>
      <c r="C10173" t="s">
        <v>20</v>
      </c>
      <c r="D10173" t="str">
        <f>HYPERLINK("https://us2.cloudbeds.com/connect/10074733072513#/reservations/31690259099854?display=Kris%20Jorgensen&amp;reservation_id=31690259099854&amp;guest_id=31690259099851", "Kris Jorgensen")</f>
        <v>Kris Jorgensen</v>
      </c>
      <c r="E10173" t="s">
        <v>8928</v>
      </c>
      <c r="F10173" t="s">
        <v>8450</v>
      </c>
      <c r="G10173">
        <v>139</v>
      </c>
      <c r="H10173">
        <v>151.1</v>
      </c>
      <c r="I10173">
        <v>151.09</v>
      </c>
      <c r="J10173">
        <v>0.01</v>
      </c>
    </row>
    <row r="10174" spans="1:10" x14ac:dyDescent="0.3">
      <c r="A10174" t="str">
        <f>HYPERLINK("https://us2.cloudbeds.com/connect/10074733072513#/reservations/31693970931875?display=MHM1DQGEV&amp;reservation_id=31693970931875", "MHM1DQGEV")</f>
        <v>MHM1DQGEV</v>
      </c>
      <c r="B10174" t="s">
        <v>10</v>
      </c>
      <c r="C10174" t="s">
        <v>23</v>
      </c>
      <c r="D10174" t="str">
        <f>HYPERLINK("https://us2.cloudbeds.com/connect/10074733072513#/reservations/31693970931875?display=Zane%20Rohde&amp;reservation_id=31693970931875&amp;guest_id=31693970927784", "Zane Rohde")</f>
        <v>Zane Rohde</v>
      </c>
      <c r="E10174" t="s">
        <v>8933</v>
      </c>
      <c r="F10174" t="s">
        <v>8641</v>
      </c>
      <c r="G10174">
        <v>209</v>
      </c>
      <c r="H10174">
        <v>227.19</v>
      </c>
      <c r="I10174">
        <v>227.18</v>
      </c>
      <c r="J10174">
        <v>0.01</v>
      </c>
    </row>
    <row r="10175" spans="1:10" x14ac:dyDescent="0.3">
      <c r="A10175" t="str">
        <f>HYPERLINK("https://us2.cloudbeds.com/connect/10074733072513#/reservations/31693812162723?display=MHYUBUGUB&amp;reservation_id=31693812162723", "MHYUBUGUB")</f>
        <v>MHYUBUGUB</v>
      </c>
      <c r="B10175" t="s">
        <v>10</v>
      </c>
      <c r="C10175" t="s">
        <v>23</v>
      </c>
      <c r="D10175" t="str">
        <f>HYPERLINK("https://us2.cloudbeds.com/connect/10074733072513#/reservations/31693812162723?display=Lafong%20Thanongrit&amp;reservation_id=31693812162723&amp;guest_id=31693812158625", "Lafong Thanongrit")</f>
        <v>Lafong Thanongrit</v>
      </c>
      <c r="E10175" t="s">
        <v>8936</v>
      </c>
      <c r="F10175" t="s">
        <v>8450</v>
      </c>
      <c r="G10175">
        <v>139</v>
      </c>
      <c r="H10175">
        <v>151.1</v>
      </c>
      <c r="I10175">
        <v>151.09</v>
      </c>
      <c r="J10175">
        <v>0.01</v>
      </c>
    </row>
    <row r="10176" spans="1:10" x14ac:dyDescent="0.3">
      <c r="A10176" t="str">
        <f>HYPERLINK("https://us2.cloudbeds.com/connect/10074733072513#/reservations/31692889342207?display=MHY6PPM5F&amp;reservation_id=31692889342207", "MHY6PPM5F")</f>
        <v>MHY6PPM5F</v>
      </c>
      <c r="B10176" t="s">
        <v>10</v>
      </c>
      <c r="C10176" t="s">
        <v>121</v>
      </c>
      <c r="D10176" t="str">
        <f>HYPERLINK("https://us2.cloudbeds.com/connect/10074733072513#/reservations/31692889342207?display=Jesse%20Ungs&amp;reservation_id=31692889342207&amp;guest_id=31692879155363", "Jesse Ungs")</f>
        <v>Jesse Ungs</v>
      </c>
      <c r="E10176" t="s">
        <v>8939</v>
      </c>
      <c r="F10176" t="s">
        <v>8903</v>
      </c>
      <c r="G10176">
        <v>119</v>
      </c>
      <c r="H10176">
        <v>129.36000000000001</v>
      </c>
      <c r="I10176">
        <v>129.35</v>
      </c>
      <c r="J10176">
        <v>0.01</v>
      </c>
    </row>
    <row r="10177" spans="1:10" x14ac:dyDescent="0.3">
      <c r="A10177" t="str">
        <f>HYPERLINK("https://us2.cloudbeds.com/connect/10074733072513#/reservations/31693858816149?display=MHYVX8NHN&amp;reservation_id=31693858816149", "MHYVX8NHN")</f>
        <v>MHYVX8NHN</v>
      </c>
      <c r="B10177" t="s">
        <v>10</v>
      </c>
      <c r="C10177" t="s">
        <v>23</v>
      </c>
      <c r="D10177" t="str">
        <f>HYPERLINK("https://us2.cloudbeds.com/connect/10074733072513#/reservations/31693858816149?display=Tham%20Chanthivong&amp;reservation_id=31693858816149&amp;guest_id=31693858812068", "Tham Chanthivong")</f>
        <v>Tham Chanthivong</v>
      </c>
      <c r="E10177" t="s">
        <v>8940</v>
      </c>
      <c r="F10177" t="s">
        <v>8450</v>
      </c>
      <c r="G10177">
        <v>139</v>
      </c>
      <c r="H10177">
        <v>151.1</v>
      </c>
      <c r="I10177">
        <v>151.09</v>
      </c>
      <c r="J10177">
        <v>0.01</v>
      </c>
    </row>
    <row r="10178" spans="1:10" x14ac:dyDescent="0.3">
      <c r="A10178" t="str">
        <f>HYPERLINK("https://us2.cloudbeds.com/connect/10074733072513#/reservations/31692836692219?display=MHY5ECK29&amp;reservation_id=31692836692219", "MHY5ECK29")</f>
        <v>MHY5ECK29</v>
      </c>
      <c r="B10178" t="s">
        <v>10</v>
      </c>
      <c r="C10178" t="s">
        <v>121</v>
      </c>
      <c r="D10178" t="str">
        <f>HYPERLINK("https://us2.cloudbeds.com/connect/10074733072513#/reservations/31692836692219?display=Alex%20Lopez%20Lopez&amp;reservation_id=31692836692219&amp;guest_id=31692836692215", "Alex Lopez Lopez")</f>
        <v>Alex Lopez Lopez</v>
      </c>
      <c r="E10178" t="s">
        <v>7678</v>
      </c>
      <c r="F10178" t="s">
        <v>8865</v>
      </c>
      <c r="G10178">
        <v>119</v>
      </c>
      <c r="H10178">
        <v>129.36000000000001</v>
      </c>
      <c r="I10178">
        <v>129.35</v>
      </c>
      <c r="J10178">
        <v>0.01</v>
      </c>
    </row>
    <row r="10179" spans="1:10" x14ac:dyDescent="0.3">
      <c r="A10179" t="str">
        <f>HYPERLINK("https://us2.cloudbeds.com/connect/10074733072513#/reservations/31693565980807?display=MHYZ2B4XF&amp;reservation_id=31693565980807", "MHYZ2B4XF")</f>
        <v>MHYZ2B4XF</v>
      </c>
      <c r="B10179" t="s">
        <v>10</v>
      </c>
      <c r="C10179" t="s">
        <v>121</v>
      </c>
      <c r="D10179" t="str">
        <f>HYPERLINK("https://us2.cloudbeds.com/connect/10074733072513#/reservations/31693565980807?display=Winston%20Carlson&amp;reservation_id=31693565980807&amp;guest_id=31693561618592", "Winston Carlson")</f>
        <v>Winston Carlson</v>
      </c>
      <c r="E10179" t="s">
        <v>8943</v>
      </c>
      <c r="F10179" t="s">
        <v>8903</v>
      </c>
      <c r="G10179">
        <v>119</v>
      </c>
      <c r="H10179">
        <v>129.36000000000001</v>
      </c>
      <c r="I10179">
        <v>129.35</v>
      </c>
      <c r="J10179">
        <v>0.01</v>
      </c>
    </row>
    <row r="10180" spans="1:10" x14ac:dyDescent="0.3">
      <c r="A10180" t="str">
        <f>HYPERLINK("https://us2.cloudbeds.com/connect/10074733072513#/reservations/31734988648694?display=MXKQH0UQM&amp;reservation_id=31734988648694", "MXKQH0UQM")</f>
        <v>MXKQH0UQM</v>
      </c>
      <c r="B10180" t="s">
        <v>10</v>
      </c>
      <c r="C10180" t="s">
        <v>42</v>
      </c>
      <c r="D10180" t="str">
        <f>HYPERLINK("https://us2.cloudbeds.com/connect/10074733072513#/reservations/31734988648694?display=John%20Boden&amp;reservation_id=31734988648694&amp;guest_id=31734988648691", "John Boden")</f>
        <v>John Boden</v>
      </c>
      <c r="E10180" t="s">
        <v>8944</v>
      </c>
      <c r="F10180" t="s">
        <v>7203</v>
      </c>
      <c r="G10180">
        <v>159</v>
      </c>
      <c r="H10180">
        <v>172.84</v>
      </c>
      <c r="I10180">
        <v>172.83</v>
      </c>
      <c r="J10180">
        <v>0.01</v>
      </c>
    </row>
    <row r="10181" spans="1:10" x14ac:dyDescent="0.3">
      <c r="A10181" t="str">
        <f>HYPERLINK("https://us2.cloudbeds.com/connect/10074733072513#/reservations/31734997946506?display=MXKQZSYZX&amp;reservation_id=31734997946506", "MXKQZSYZX")</f>
        <v>MXKQZSYZX</v>
      </c>
      <c r="B10181" t="s">
        <v>10</v>
      </c>
      <c r="C10181" t="s">
        <v>42</v>
      </c>
      <c r="D10181" t="str">
        <f>HYPERLINK("https://us2.cloudbeds.com/connect/10074733072513#/reservations/31734997946506?display=Julie%20Amdahl&amp;reservation_id=31734997946506&amp;guest_id=31734997942412", "Julie Amdahl")</f>
        <v>Julie Amdahl</v>
      </c>
      <c r="E10181" t="s">
        <v>8946</v>
      </c>
      <c r="F10181" t="s">
        <v>7203</v>
      </c>
      <c r="G10181">
        <v>209</v>
      </c>
      <c r="H10181">
        <v>227.19</v>
      </c>
      <c r="I10181">
        <v>227.18</v>
      </c>
      <c r="J10181">
        <v>0.01</v>
      </c>
    </row>
    <row r="10182" spans="1:10" x14ac:dyDescent="0.3">
      <c r="A10182" t="str">
        <f>HYPERLINK("https://us2.cloudbeds.com/connect/10074733072513#/reservations/31693698044124?display=MHYREMWR5&amp;reservation_id=31693698044124", "MHYREMWR5")</f>
        <v>MHYREMWR5</v>
      </c>
      <c r="B10182" t="s">
        <v>10</v>
      </c>
      <c r="C10182" t="s">
        <v>42</v>
      </c>
      <c r="D10182" t="str">
        <f>HYPERLINK("https://us2.cloudbeds.com/connect/10074733072513#/reservations/31693698044124?display=Jeanene%20Horner&amp;reservation_id=31693698044124&amp;guest_id=31693698044122", "Jeanene Horner")</f>
        <v>Jeanene Horner</v>
      </c>
      <c r="E10182" t="s">
        <v>8947</v>
      </c>
      <c r="F10182" t="s">
        <v>8210</v>
      </c>
      <c r="G10182">
        <v>322.2</v>
      </c>
      <c r="H10182">
        <v>350.24</v>
      </c>
      <c r="I10182">
        <v>350.23</v>
      </c>
      <c r="J10182">
        <v>0.01</v>
      </c>
    </row>
    <row r="10183" spans="1:10" x14ac:dyDescent="0.3">
      <c r="A10183" t="str">
        <f>HYPERLINK("https://us2.cloudbeds.com/connect/10074733072513#/reservations/31730576994483?display=MXHCQ050E&amp;reservation_id=31730576994483", "MXHCQ050E")</f>
        <v>MXHCQ050E</v>
      </c>
      <c r="B10183" t="s">
        <v>10</v>
      </c>
      <c r="C10183" t="s">
        <v>42</v>
      </c>
      <c r="D10183" t="str">
        <f>HYPERLINK("https://us2.cloudbeds.com/connect/10074733072513#/reservations/31730576994483?display=Patty%20Hughes&amp;reservation_id=31730576994483&amp;guest_id=31730559717525", "Patty Hughes")</f>
        <v>Patty Hughes</v>
      </c>
      <c r="E10183" t="s">
        <v>8948</v>
      </c>
      <c r="F10183" t="s">
        <v>8920</v>
      </c>
      <c r="G10183">
        <v>702</v>
      </c>
      <c r="H10183">
        <v>763.08</v>
      </c>
      <c r="I10183">
        <v>763.07</v>
      </c>
      <c r="J10183">
        <v>0.01</v>
      </c>
    </row>
    <row r="10184" spans="1:10" x14ac:dyDescent="0.3">
      <c r="A10184" t="str">
        <f>HYPERLINK("https://us2.cloudbeds.com/connect/10074733072513#/reservations/31690630136036?display=MHJF1ZUMD&amp;reservation_id=31690630136036", "MHJF1ZUMD")</f>
        <v>MHJF1ZUMD</v>
      </c>
      <c r="B10184" t="s">
        <v>10</v>
      </c>
      <c r="C10184" t="s">
        <v>121</v>
      </c>
      <c r="D10184" t="str">
        <f>HYPERLINK("https://us2.cloudbeds.com/connect/10074733072513#/reservations/31690630136036?display=Angela%20Christensen&amp;reservation_id=31690630136036&amp;guest_id=31690630136025", "Angela Christensen")</f>
        <v>Angela Christensen</v>
      </c>
      <c r="E10184" t="s">
        <v>8949</v>
      </c>
      <c r="F10184" t="s">
        <v>8795</v>
      </c>
      <c r="G10184">
        <v>129</v>
      </c>
      <c r="H10184">
        <v>140.22999999999999</v>
      </c>
      <c r="I10184">
        <v>140.22</v>
      </c>
      <c r="J10184">
        <v>0.01</v>
      </c>
    </row>
    <row r="10185" spans="1:10" x14ac:dyDescent="0.3">
      <c r="A10185" t="str">
        <f>HYPERLINK("https://us2.cloudbeds.com/connect/10074733072513#/reservations/31695715532936?display=MHNCWTJKP&amp;reservation_id=31695715532936", "MHNCWTJKP")</f>
        <v>MHNCWTJKP</v>
      </c>
      <c r="B10185" t="s">
        <v>10</v>
      </c>
      <c r="C10185" t="s">
        <v>23</v>
      </c>
      <c r="D10185" t="str">
        <f>HYPERLINK("https://us2.cloudbeds.com/connect/10074733072513#/reservations/31695715532936?display=Dennis%20Tribbie&amp;reservation_id=31695715532936&amp;guest_id=31695708893422", "Dennis Tribbie")</f>
        <v>Dennis Tribbie</v>
      </c>
      <c r="E10185" t="s">
        <v>8951</v>
      </c>
      <c r="F10185" t="s">
        <v>8265</v>
      </c>
      <c r="G10185">
        <v>129</v>
      </c>
      <c r="H10185">
        <v>140.22999999999999</v>
      </c>
      <c r="I10185">
        <v>140.22</v>
      </c>
      <c r="J10185">
        <v>0.01</v>
      </c>
    </row>
    <row r="10186" spans="1:10" x14ac:dyDescent="0.3">
      <c r="A10186" t="str">
        <f>HYPERLINK("https://us2.cloudbeds.com/connect/10074733072513#/reservations/31734976954521?display=MXKQ75HBQ&amp;reservation_id=31734976954521", "MXKQ75HBQ")</f>
        <v>MXKQ75HBQ</v>
      </c>
      <c r="B10186" t="s">
        <v>10</v>
      </c>
      <c r="C10186" t="s">
        <v>42</v>
      </c>
      <c r="D10186" t="str">
        <f>HYPERLINK("https://us2.cloudbeds.com/connect/10074733072513#/reservations/31734976954521?display=Jay%20Portz&amp;reservation_id=31734976954521&amp;guest_id=31734976950425", "Jay Portz")</f>
        <v>Jay Portz</v>
      </c>
      <c r="E10186" t="s">
        <v>8952</v>
      </c>
      <c r="F10186" t="s">
        <v>7203</v>
      </c>
      <c r="G10186">
        <v>159</v>
      </c>
      <c r="H10186">
        <v>172.84</v>
      </c>
      <c r="I10186">
        <v>172.83</v>
      </c>
      <c r="J10186">
        <v>0.01</v>
      </c>
    </row>
    <row r="10187" spans="1:10" x14ac:dyDescent="0.3">
      <c r="A10187" t="str">
        <f>HYPERLINK("https://us2.cloudbeds.com/connect/10074733072513#/reservations/31730593595586?display=MXHD703C5&amp;reservation_id=31730593595586", "MXHD703C5")</f>
        <v>MXHD703C5</v>
      </c>
      <c r="B10187" t="s">
        <v>10</v>
      </c>
      <c r="C10187" t="s">
        <v>42</v>
      </c>
      <c r="D10187" t="str">
        <f>HYPERLINK("https://us2.cloudbeds.com/connect/10074733072513#/reservations/31730593595586?display=Sarah%20Ortmeier&amp;reservation_id=31730593595586&amp;guest_id=31730579210464", "Sarah Ortmeier")</f>
        <v>Sarah Ortmeier</v>
      </c>
      <c r="E10187" t="s">
        <v>8953</v>
      </c>
      <c r="F10187" t="s">
        <v>8920</v>
      </c>
      <c r="G10187">
        <v>498</v>
      </c>
      <c r="H10187">
        <v>541.34</v>
      </c>
      <c r="I10187">
        <v>541.33000000000004</v>
      </c>
      <c r="J10187">
        <v>0.01</v>
      </c>
    </row>
    <row r="10188" spans="1:10" x14ac:dyDescent="0.3">
      <c r="A10188" t="str">
        <f>HYPERLINK("https://us2.cloudbeds.com/connect/10074733072513#/reservations/31691036569764?display=MHJPEFX1W&amp;reservation_id=31691036569764", "MHJPEFX1W")</f>
        <v>MHJPEFX1W</v>
      </c>
      <c r="B10188" t="s">
        <v>10</v>
      </c>
      <c r="C10188" t="s">
        <v>42</v>
      </c>
      <c r="D10188" t="str">
        <f>HYPERLINK("https://us2.cloudbeds.com/connect/10074733072513#/reservations/31691036569764?display=Eric%20Burce&amp;reservation_id=31691036569764&amp;guest_id=31691036569759", "Eric Burce")</f>
        <v>Eric Burce</v>
      </c>
      <c r="E10188" t="s">
        <v>8667</v>
      </c>
      <c r="F10188" t="s">
        <v>8265</v>
      </c>
      <c r="G10188">
        <v>73</v>
      </c>
      <c r="H10188">
        <v>79.36</v>
      </c>
      <c r="I10188">
        <v>79.349999999999994</v>
      </c>
      <c r="J10188">
        <v>0.01</v>
      </c>
    </row>
    <row r="10189" spans="1:10" x14ac:dyDescent="0.3">
      <c r="A10189" t="str">
        <f>HYPERLINK("https://us2.cloudbeds.com/connect/10074733072513#/reservations/31690244407429?display=MHJ56GF8Z&amp;reservation_id=31690244407429", "MHJ56GF8Z")</f>
        <v>MHJ56GF8Z</v>
      </c>
      <c r="B10189" t="s">
        <v>10</v>
      </c>
      <c r="C10189" t="s">
        <v>42</v>
      </c>
      <c r="D10189" t="str">
        <f>HYPERLINK("https://us2.cloudbeds.com/connect/10074733072513#/reservations/31690244407429?display=Roger%20Netz&amp;reservation_id=31690244407429&amp;guest_id=31690236354797", "Roger Netz")</f>
        <v>Roger Netz</v>
      </c>
      <c r="E10189" t="s">
        <v>8955</v>
      </c>
      <c r="F10189" t="s">
        <v>8450</v>
      </c>
      <c r="G10189">
        <v>169</v>
      </c>
      <c r="H10189">
        <v>183.71</v>
      </c>
      <c r="I10189">
        <v>183.7</v>
      </c>
      <c r="J10189">
        <v>0.01</v>
      </c>
    </row>
    <row r="10190" spans="1:10" x14ac:dyDescent="0.3">
      <c r="A10190" t="str">
        <f>HYPERLINK("https://us2.cloudbeds.com/connect/10074733072513#/reservations/31695769104561?display=MHNEC2A1B&amp;reservation_id=31695769104561", "MHNEC2A1B")</f>
        <v>MHNEC2A1B</v>
      </c>
      <c r="B10190" t="s">
        <v>10</v>
      </c>
      <c r="C10190" t="s">
        <v>121</v>
      </c>
      <c r="D10190" t="str">
        <f>HYPERLINK("https://us2.cloudbeds.com/connect/10074733072513#/reservations/31695769104561?display=Joel%20Alberts&amp;reservation_id=31695769104561&amp;guest_id=31695769104558", "Joel Alberts")</f>
        <v>Joel Alberts</v>
      </c>
      <c r="E10190" t="s">
        <v>8958</v>
      </c>
      <c r="F10190" t="s">
        <v>8265</v>
      </c>
      <c r="G10190">
        <v>129</v>
      </c>
      <c r="H10190">
        <v>140.22999999999999</v>
      </c>
      <c r="I10190">
        <v>140.22</v>
      </c>
      <c r="J10190">
        <v>0.01</v>
      </c>
    </row>
    <row r="10191" spans="1:10" x14ac:dyDescent="0.3">
      <c r="A10191" t="str">
        <f>HYPERLINK("https://us2.cloudbeds.com/connect/10074733072513#/reservations/31735993524449?display=MXYJ6C2Z4&amp;reservation_id=31735993524449", "MXYJ6C2Z4")</f>
        <v>MXYJ6C2Z4</v>
      </c>
      <c r="B10191" t="s">
        <v>10</v>
      </c>
      <c r="C10191" t="s">
        <v>42</v>
      </c>
      <c r="D10191" t="str">
        <f>HYPERLINK("https://us2.cloudbeds.com/connect/10074733072513#/reservations/31735993524449?display=Becca%20Anderson%20Soon%20To%20Be%20Mrs.%20Svatos&amp;reservation_id=31735993524449&amp;guest_id=31735993524429", "Becca Anderson Soon To Be Mrs. Svatos")</f>
        <v>Becca Anderson Soon To Be Mrs. Svatos</v>
      </c>
      <c r="E10191" t="s">
        <v>8960</v>
      </c>
      <c r="F10191" t="s">
        <v>6916</v>
      </c>
      <c r="G10191">
        <v>338</v>
      </c>
      <c r="H10191">
        <v>367.42</v>
      </c>
      <c r="I10191">
        <v>367.41</v>
      </c>
      <c r="J10191">
        <v>0.01</v>
      </c>
    </row>
    <row r="10192" spans="1:10" x14ac:dyDescent="0.3">
      <c r="A10192" t="str">
        <f>HYPERLINK("https://us2.cloudbeds.com/connect/10074733072513#/reservations/31735006154976?display=MXKQVQ2C2&amp;reservation_id=31735006154976", "MXKQVQ2C2")</f>
        <v>MXKQVQ2C2</v>
      </c>
      <c r="B10192" t="s">
        <v>10</v>
      </c>
      <c r="C10192" t="s">
        <v>42</v>
      </c>
      <c r="D10192" t="str">
        <f>HYPERLINK("https://us2.cloudbeds.com/connect/10074733072513#/reservations/31735006154976?display=Melissa%20Amdahl&amp;reservation_id=31735006154976&amp;guest_id=31735006150881", "Melissa Amdahl")</f>
        <v>Melissa Amdahl</v>
      </c>
      <c r="E10192" t="s">
        <v>8961</v>
      </c>
      <c r="F10192" t="s">
        <v>7203</v>
      </c>
      <c r="G10192">
        <v>318</v>
      </c>
      <c r="H10192">
        <v>345.68</v>
      </c>
      <c r="I10192">
        <v>345.67</v>
      </c>
      <c r="J10192">
        <v>0.01</v>
      </c>
    </row>
    <row r="10193" spans="1:10" x14ac:dyDescent="0.3">
      <c r="A10193" t="str">
        <f>HYPERLINK("https://us2.cloudbeds.com/connect/10074733072513#/reservations/31729448673422?display=MXGGVXVH4&amp;reservation_id=31729448673422", "MXGGVXVH4")</f>
        <v>MXGGVXVH4</v>
      </c>
      <c r="B10193" t="s">
        <v>10</v>
      </c>
      <c r="C10193" t="s">
        <v>42</v>
      </c>
      <c r="D10193" t="str">
        <f>HYPERLINK("https://us2.cloudbeds.com/connect/10074733072513#/reservations/31729448673422?display=Jennie%20Larson&amp;reservation_id=31729448673422&amp;guest_id=31729439723746", "Jennie Larson")</f>
        <v>Jennie Larson</v>
      </c>
      <c r="E10193" t="s">
        <v>8962</v>
      </c>
      <c r="F10193" t="s">
        <v>8835</v>
      </c>
      <c r="G10193">
        <v>258</v>
      </c>
      <c r="H10193">
        <v>280.45999999999998</v>
      </c>
      <c r="I10193">
        <v>280.45</v>
      </c>
      <c r="J10193">
        <v>0.01</v>
      </c>
    </row>
    <row r="10194" spans="1:10" x14ac:dyDescent="0.3">
      <c r="A10194" t="str">
        <f>HYPERLINK("https://us2.cloudbeds.com/connect/10074733072513#/reservations/31726142312690?display=MXDVFXJJM&amp;reservation_id=31726142312690", "MXDVFXJJM")</f>
        <v>MXDVFXJJM</v>
      </c>
      <c r="B10194" t="s">
        <v>10</v>
      </c>
      <c r="C10194" t="s">
        <v>42</v>
      </c>
      <c r="D10194" t="str">
        <f>HYPERLINK("https://us2.cloudbeds.com/connect/10074733072513#/reservations/31726142312690?display=Mikaela%20Hoeke&amp;reservation_id=31726142312690&amp;guest_id=31726142312688", "Mikaela Hoeke")</f>
        <v>Mikaela Hoeke</v>
      </c>
      <c r="E10194" t="s">
        <v>8963</v>
      </c>
      <c r="F10194" t="s">
        <v>8835</v>
      </c>
      <c r="G10194">
        <v>258</v>
      </c>
      <c r="H10194">
        <v>280.45999999999998</v>
      </c>
      <c r="I10194">
        <v>280.45</v>
      </c>
      <c r="J10194">
        <v>0.01</v>
      </c>
    </row>
    <row r="10195" spans="1:10" x14ac:dyDescent="0.3">
      <c r="A10195" t="str">
        <f>HYPERLINK("https://us2.cloudbeds.com/connect/10074733072513#/reservations/31694688805075?display=MHMJP4CG4&amp;reservation_id=31694688805075", "MHMJP4CG4")</f>
        <v>MHMJP4CG4</v>
      </c>
      <c r="B10195" t="s">
        <v>10</v>
      </c>
      <c r="C10195" t="s">
        <v>11</v>
      </c>
      <c r="D10195" t="str">
        <f>HYPERLINK("https://us2.cloudbeds.com/connect/10074733072513#/reservations/31694688805075?display=Teresa%20Allen&amp;reservation_id=31694688805075&amp;guest_id=31694680592572", "Teresa Allen")</f>
        <v>Teresa Allen</v>
      </c>
      <c r="E10195" t="s">
        <v>8964</v>
      </c>
      <c r="F10195" t="s">
        <v>8965</v>
      </c>
      <c r="G10195">
        <v>338</v>
      </c>
      <c r="H10195">
        <v>367.42</v>
      </c>
      <c r="I10195">
        <v>367.41</v>
      </c>
      <c r="J10195">
        <v>0.01</v>
      </c>
    </row>
    <row r="10196" spans="1:10" x14ac:dyDescent="0.3">
      <c r="A10196" t="str">
        <f>HYPERLINK("https://us2.cloudbeds.com/connect/10074733072513#/reservations/31729532096722?display=MXGJ2UAUU&amp;reservation_id=31729532096722", "MXGJ2UAUU")</f>
        <v>MXGJ2UAUU</v>
      </c>
      <c r="B10196" t="s">
        <v>10</v>
      </c>
      <c r="C10196" t="s">
        <v>42</v>
      </c>
      <c r="D10196" t="str">
        <f>HYPERLINK("https://us2.cloudbeds.com/connect/10074733072513#/reservations/31729532096722?display=Donna%20Shoenrock&amp;reservation_id=31729532096722&amp;guest_id=31729532096720", "Donna Shoenrock")</f>
        <v>Donna Shoenrock</v>
      </c>
      <c r="E10196" t="s">
        <v>8966</v>
      </c>
      <c r="F10196" t="s">
        <v>8835</v>
      </c>
      <c r="G10196">
        <v>258</v>
      </c>
      <c r="H10196">
        <v>280.45999999999998</v>
      </c>
      <c r="I10196">
        <v>280.45</v>
      </c>
      <c r="J10196">
        <v>0.01</v>
      </c>
    </row>
    <row r="10197" spans="1:10" x14ac:dyDescent="0.3">
      <c r="A10197" t="str">
        <f>HYPERLINK("https://us2.cloudbeds.com/connect/10074733072513#/reservations/31691111149749?display=MHJRBBRTH&amp;reservation_id=31691111149749", "MHJRBBRTH")</f>
        <v>MHJRBBRTH</v>
      </c>
      <c r="B10197" t="s">
        <v>10</v>
      </c>
      <c r="C10197" t="s">
        <v>42</v>
      </c>
      <c r="D10197" t="str">
        <f>HYPERLINK("https://us2.cloudbeds.com/connect/10074733072513#/reservations/31691111149749?display=Brad%20Nash&amp;reservation_id=31691111149749&amp;guest_id=31691111149747", "Brad Nash")</f>
        <v>Brad Nash</v>
      </c>
      <c r="E10197" t="s">
        <v>8969</v>
      </c>
      <c r="F10197" t="s">
        <v>8265</v>
      </c>
      <c r="G10197">
        <v>129</v>
      </c>
      <c r="H10197">
        <v>140.22999999999999</v>
      </c>
      <c r="I10197">
        <v>140.22</v>
      </c>
      <c r="J10197">
        <v>0.01</v>
      </c>
    </row>
    <row r="10198" spans="1:10" x14ac:dyDescent="0.3">
      <c r="A10198" t="str">
        <f>HYPERLINK("https://us2.cloudbeds.com/connect/10074733072513#/reservations/31725922693306?display=MXDPSCBTR&amp;reservation_id=31725922693306", "MXDPSCBTR")</f>
        <v>MXDPSCBTR</v>
      </c>
      <c r="B10198" t="s">
        <v>10</v>
      </c>
      <c r="C10198" t="s">
        <v>42</v>
      </c>
      <c r="D10198" t="str">
        <f>HYPERLINK("https://us2.cloudbeds.com/connect/10074733072513#/reservations/31725922693306?display=Jodi%20Larson&amp;reservation_id=31725922693306&amp;guest_id=31725922693302", "Jodi Larson")</f>
        <v>Jodi Larson</v>
      </c>
      <c r="E10198" t="s">
        <v>8971</v>
      </c>
      <c r="F10198" t="s">
        <v>8835</v>
      </c>
      <c r="G10198">
        <v>129</v>
      </c>
      <c r="H10198">
        <v>140.22999999999999</v>
      </c>
      <c r="I10198">
        <v>140.22</v>
      </c>
      <c r="J10198">
        <v>0.01</v>
      </c>
    </row>
    <row r="10199" spans="1:10" x14ac:dyDescent="0.3">
      <c r="A10199" t="str">
        <f>HYPERLINK("https://us2.cloudbeds.com/connect/10074733072513#/reservations/31728204501174?display=MXFX5F0UZ&amp;reservation_id=31728204501174", "MXFX5F0UZ")</f>
        <v>MXFX5F0UZ</v>
      </c>
      <c r="B10199" t="s">
        <v>10</v>
      </c>
      <c r="C10199" t="s">
        <v>20</v>
      </c>
      <c r="D10199" t="str">
        <f>HYPERLINK("https://us2.cloudbeds.com/connect/10074733072513#/reservations/31728204501174?display=Jeffrey%20Halbur&amp;reservation_id=31728204501174&amp;guest_id=31728204501170", "Jeffrey Halbur")</f>
        <v>Jeffrey Halbur</v>
      </c>
      <c r="E10199" t="s">
        <v>8972</v>
      </c>
      <c r="F10199" t="s">
        <v>6916</v>
      </c>
      <c r="G10199">
        <v>209</v>
      </c>
      <c r="H10199">
        <v>227.19</v>
      </c>
      <c r="I10199">
        <v>227.18</v>
      </c>
      <c r="J10199">
        <v>0.01</v>
      </c>
    </row>
    <row r="10200" spans="1:10" x14ac:dyDescent="0.3">
      <c r="A10200" t="str">
        <f>HYPERLINK("https://us2.cloudbeds.com/connect/10074733072513#/reservations/31725971112091?display=MXDR36MJZ&amp;reservation_id=31725971112091", "MXDR36MJZ")</f>
        <v>MXDR36MJZ</v>
      </c>
      <c r="B10200" t="s">
        <v>10</v>
      </c>
      <c r="C10200" t="s">
        <v>42</v>
      </c>
      <c r="D10200" t="str">
        <f>HYPERLINK("https://us2.cloudbeds.com/connect/10074733072513#/reservations/31725971112091?display=Bailee%20Uecker&amp;reservation_id=31725971112091&amp;guest_id=31725971107996", "Bailee Uecker")</f>
        <v>Bailee Uecker</v>
      </c>
      <c r="E10200" t="s">
        <v>8973</v>
      </c>
      <c r="F10200" t="s">
        <v>8835</v>
      </c>
      <c r="G10200">
        <v>258</v>
      </c>
      <c r="H10200">
        <v>280.45999999999998</v>
      </c>
      <c r="I10200">
        <v>280.45</v>
      </c>
      <c r="J10200">
        <v>0.01</v>
      </c>
    </row>
    <row r="10201" spans="1:10" x14ac:dyDescent="0.3">
      <c r="A10201" t="str">
        <f>HYPERLINK("https://us2.cloudbeds.com/connect/10074733072513#/reservations/31693717426361?display=MHYRV1B0M&amp;reservation_id=31693717426361", "MHYRV1B0M")</f>
        <v>MHYRV1B0M</v>
      </c>
      <c r="B10201" t="s">
        <v>10</v>
      </c>
      <c r="C10201" t="s">
        <v>42</v>
      </c>
      <c r="D10201" t="str">
        <f>HYPERLINK("https://us2.cloudbeds.com/connect/10074733072513#/reservations/31693717426361?display=Richard%20Locy&amp;reservation_id=31693717426361&amp;guest_id=31693717426359", "Richard Locy")</f>
        <v>Richard Locy</v>
      </c>
      <c r="E10201" t="s">
        <v>8974</v>
      </c>
      <c r="F10201" t="s">
        <v>8210</v>
      </c>
      <c r="G10201">
        <v>109</v>
      </c>
      <c r="H10201">
        <v>118.49</v>
      </c>
      <c r="I10201">
        <v>118.48</v>
      </c>
      <c r="J10201">
        <v>0.01</v>
      </c>
    </row>
    <row r="10202" spans="1:10" x14ac:dyDescent="0.3">
      <c r="A10202" t="str">
        <f>HYPERLINK("https://us2.cloudbeds.com/connect/10074733072513#/reservations/31725913473254?display=MXDPKJQCA&amp;reservation_id=31725913473254", "MXDPKJQCA")</f>
        <v>MXDPKJQCA</v>
      </c>
      <c r="B10202" t="s">
        <v>10</v>
      </c>
      <c r="C10202" t="s">
        <v>42</v>
      </c>
      <c r="D10202" t="str">
        <f>HYPERLINK("https://us2.cloudbeds.com/connect/10074733072513#/reservations/31725913473254?display=Mckenna%20Larson&amp;reservation_id=31725913473254&amp;guest_id=31725913473249", "Mckenna Larson")</f>
        <v>Mckenna Larson</v>
      </c>
      <c r="E10202" t="s">
        <v>8971</v>
      </c>
      <c r="F10202" t="s">
        <v>8835</v>
      </c>
      <c r="G10202">
        <v>129</v>
      </c>
      <c r="H10202">
        <v>140.22999999999999</v>
      </c>
      <c r="I10202">
        <v>140.22</v>
      </c>
      <c r="J10202">
        <v>0.01</v>
      </c>
    </row>
    <row r="10203" spans="1:10" x14ac:dyDescent="0.3">
      <c r="A10203" t="str">
        <f>HYPERLINK("https://us2.cloudbeds.com/connect/10074733072513#/reservations/31695573721240?display=MHN9CAFMY&amp;reservation_id=31695573721240", "MHN9CAFMY")</f>
        <v>MHN9CAFMY</v>
      </c>
      <c r="B10203" t="s">
        <v>10</v>
      </c>
      <c r="C10203" t="s">
        <v>42</v>
      </c>
      <c r="D10203" t="str">
        <f>HYPERLINK("https://us2.cloudbeds.com/connect/10074733072513#/reservations/31695573721240?display=Carrie%20Selchert&amp;reservation_id=31695573721240&amp;guest_id=31695573721237", "Carrie Selchert")</f>
        <v>Carrie Selchert</v>
      </c>
      <c r="E10203" t="s">
        <v>8977</v>
      </c>
      <c r="F10203" t="s">
        <v>8450</v>
      </c>
      <c r="G10203">
        <v>179</v>
      </c>
      <c r="H10203">
        <v>194.58</v>
      </c>
      <c r="I10203">
        <v>194.57</v>
      </c>
      <c r="J10203">
        <v>0.01</v>
      </c>
    </row>
    <row r="10204" spans="1:10" x14ac:dyDescent="0.3">
      <c r="A10204" t="str">
        <f>HYPERLINK("https://us2.cloudbeds.com/connect/10074733072513#/reservations/31692532367582?display=MHKUYPAPJ&amp;reservation_id=31692532367582", "MHKUYPAPJ")</f>
        <v>MHKUYPAPJ</v>
      </c>
      <c r="B10204" t="s">
        <v>10</v>
      </c>
      <c r="C10204" t="s">
        <v>42</v>
      </c>
      <c r="D10204" t="str">
        <f>HYPERLINK("https://us2.cloudbeds.com/connect/10074733072513#/reservations/31692532367582?display=John%20Pool&amp;reservation_id=31692532367582&amp;guest_id=31692532367577", "John Pool")</f>
        <v>John Pool</v>
      </c>
      <c r="E10204" t="s">
        <v>1918</v>
      </c>
      <c r="F10204" t="s">
        <v>8737</v>
      </c>
      <c r="G10204">
        <v>73</v>
      </c>
      <c r="H10204">
        <v>79.36</v>
      </c>
      <c r="I10204">
        <v>79.349999999999994</v>
      </c>
      <c r="J10204">
        <v>0.01</v>
      </c>
    </row>
    <row r="10205" spans="1:10" x14ac:dyDescent="0.3">
      <c r="A10205" t="str">
        <f>HYPERLINK("https://us2.cloudbeds.com/connect/10074733072513#/reservations/31692611236034?display=MHKWM8VJM&amp;reservation_id=31692611236034", "MHKWM8VJM")</f>
        <v>MHKWM8VJM</v>
      </c>
      <c r="B10205" t="s">
        <v>10</v>
      </c>
      <c r="C10205" t="s">
        <v>42</v>
      </c>
      <c r="D10205" t="str">
        <f>HYPERLINK("https://us2.cloudbeds.com/connect/10074733072513#/reservations/31692611236034?display=Alex%20Ortiz&amp;reservation_id=31692611236034&amp;guest_id=31692600029352", "Alex Ortiz")</f>
        <v>Alex Ortiz</v>
      </c>
      <c r="E10205" t="s">
        <v>8978</v>
      </c>
      <c r="F10205" t="s">
        <v>8453</v>
      </c>
      <c r="G10205">
        <v>150</v>
      </c>
      <c r="H10205">
        <v>163.06</v>
      </c>
      <c r="I10205">
        <v>163.05000000000001</v>
      </c>
      <c r="J10205">
        <v>0.01</v>
      </c>
    </row>
    <row r="10206" spans="1:10" x14ac:dyDescent="0.3">
      <c r="A10206" t="str">
        <f>HYPERLINK("https://us2.cloudbeds.com/connect/10074733072513#/reservations/31692538659020?display=MHKUR2D17&amp;reservation_id=31692538659020", "MHKUR2D17")</f>
        <v>MHKUR2D17</v>
      </c>
      <c r="B10206" t="s">
        <v>10</v>
      </c>
      <c r="C10206" t="s">
        <v>11</v>
      </c>
      <c r="D10206" t="str">
        <f>HYPERLINK("https://us2.cloudbeds.com/connect/10074733072513#/reservations/31692538659020?display=Heather%20Berney&amp;reservation_id=31692538659020&amp;guest_id=31692532936863", "Heather Berney")</f>
        <v>Heather Berney</v>
      </c>
      <c r="E10206" t="s">
        <v>8979</v>
      </c>
      <c r="F10206" t="s">
        <v>8737</v>
      </c>
      <c r="G10206">
        <v>97.74</v>
      </c>
      <c r="H10206">
        <v>106.25</v>
      </c>
      <c r="I10206">
        <v>106.24</v>
      </c>
      <c r="J10206">
        <v>0.01</v>
      </c>
    </row>
    <row r="10207" spans="1:10" x14ac:dyDescent="0.3">
      <c r="A10207" t="str">
        <f>HYPERLINK("https://us2.cloudbeds.com/connect/10074733072513#/reservations/31731789000914?display=MXXAP00J1&amp;reservation_id=31731789000914", "MXXAP00J1")</f>
        <v>MXXAP00J1</v>
      </c>
      <c r="B10207" t="s">
        <v>10</v>
      </c>
      <c r="C10207" t="s">
        <v>42</v>
      </c>
      <c r="D10207" t="str">
        <f>HYPERLINK("https://us2.cloudbeds.com/connect/10074733072513#/reservations/31731789000914?display=Lisa%20Krapf&amp;reservation_id=31731789000914&amp;guest_id=31731789000909", "Lisa Krapf")</f>
        <v>Lisa Krapf</v>
      </c>
      <c r="E10207" t="s">
        <v>8980</v>
      </c>
      <c r="F10207" t="s">
        <v>7203</v>
      </c>
      <c r="G10207">
        <v>179</v>
      </c>
      <c r="H10207">
        <v>194.58</v>
      </c>
      <c r="I10207">
        <v>194.57</v>
      </c>
      <c r="J10207">
        <v>0.01</v>
      </c>
    </row>
    <row r="10208" spans="1:10" x14ac:dyDescent="0.3">
      <c r="A10208" t="str">
        <f>HYPERLINK("https://us2.cloudbeds.com/connect/10074733072513#/reservations/31729457557736?display=MXGH625ZP&amp;reservation_id=31729457557736", "MXGH625ZP")</f>
        <v>MXGH625ZP</v>
      </c>
      <c r="B10208" t="s">
        <v>10</v>
      </c>
      <c r="C10208" t="s">
        <v>42</v>
      </c>
      <c r="D10208" t="str">
        <f>HYPERLINK("https://us2.cloudbeds.com/connect/10074733072513#/reservations/31729457557736?display=Lynn%20Grochow&amp;reservation_id=31729457557736&amp;guest_id=31729457557725", "Lynn Grochow")</f>
        <v>Lynn Grochow</v>
      </c>
      <c r="E10208" t="s">
        <v>8981</v>
      </c>
      <c r="F10208" t="s">
        <v>8835</v>
      </c>
      <c r="G10208">
        <v>258</v>
      </c>
      <c r="H10208">
        <v>280.45999999999998</v>
      </c>
      <c r="I10208">
        <v>280.45</v>
      </c>
      <c r="J10208">
        <v>0.01</v>
      </c>
    </row>
    <row r="10209" spans="1:10" x14ac:dyDescent="0.3">
      <c r="A10209" t="str">
        <f>HYPERLINK("https://us2.cloudbeds.com/connect/10074733072513#/reservations/31695179342056?display=MHMW9P9M9&amp;reservation_id=31695179342056", "MHMW9P9M9")</f>
        <v>MHMW9P9M9</v>
      </c>
      <c r="B10209" t="s">
        <v>10</v>
      </c>
      <c r="C10209" t="s">
        <v>42</v>
      </c>
      <c r="D10209" t="str">
        <f>HYPERLINK("https://us2.cloudbeds.com/connect/10074733072513#/reservations/31695179342056?display=Donna%20Grant&amp;reservation_id=31695179342056&amp;guest_id=31695166984334", "Donna Grant")</f>
        <v>Donna Grant</v>
      </c>
      <c r="E10209" t="s">
        <v>8982</v>
      </c>
      <c r="F10209" t="s">
        <v>6746</v>
      </c>
      <c r="G10209">
        <v>229</v>
      </c>
      <c r="H10209">
        <v>248.93</v>
      </c>
      <c r="I10209">
        <v>248.92</v>
      </c>
      <c r="J10209">
        <v>0.01</v>
      </c>
    </row>
    <row r="10210" spans="1:10" x14ac:dyDescent="0.3">
      <c r="A10210" t="str">
        <f>HYPERLINK("https://us2.cloudbeds.com/connect/10074733072513#/reservations/31734052044985?display=MXK2J8XA3&amp;reservation_id=31734052044985", "MXK2J8XA3")</f>
        <v>MXK2J8XA3</v>
      </c>
      <c r="B10210" t="s">
        <v>10</v>
      </c>
      <c r="C10210" t="s">
        <v>42</v>
      </c>
      <c r="D10210" t="str">
        <f>HYPERLINK("https://us2.cloudbeds.com/connect/10074733072513#/reservations/31734052044985?display=Lyle%20Portz&amp;reservation_id=31734052044985&amp;guest_id=31734052044983", "Lyle Portz")</f>
        <v>Lyle Portz</v>
      </c>
      <c r="E10210" t="s">
        <v>8983</v>
      </c>
      <c r="F10210" t="s">
        <v>7203</v>
      </c>
      <c r="G10210">
        <v>179</v>
      </c>
      <c r="H10210">
        <v>194.58</v>
      </c>
      <c r="I10210">
        <v>194.57</v>
      </c>
      <c r="J10210">
        <v>0.01</v>
      </c>
    </row>
    <row r="10211" spans="1:10" x14ac:dyDescent="0.3">
      <c r="A10211" t="str">
        <f>HYPERLINK("https://us2.cloudbeds.com/connect/10074733072513#/reservations/31694271865055?display=MHM93XDF7&amp;reservation_id=31694271865055", "MHM93XDF7")</f>
        <v>MHM93XDF7</v>
      </c>
      <c r="B10211" t="s">
        <v>10</v>
      </c>
      <c r="C10211" t="s">
        <v>42</v>
      </c>
      <c r="D10211" t="str">
        <f>HYPERLINK("https://us2.cloudbeds.com/connect/10074733072513#/reservations/31694271865055?display=Kari%20Flanagan&amp;reservation_id=31694271865055&amp;guest_id=31694271865040", "Kari Flanagan")</f>
        <v>Kari Flanagan</v>
      </c>
      <c r="E10211" t="s">
        <v>8984</v>
      </c>
      <c r="F10211" t="s">
        <v>6746</v>
      </c>
      <c r="G10211">
        <v>576</v>
      </c>
      <c r="H10211">
        <v>626.12</v>
      </c>
      <c r="I10211">
        <v>626.11</v>
      </c>
      <c r="J10211">
        <v>0.01</v>
      </c>
    </row>
    <row r="10212" spans="1:10" x14ac:dyDescent="0.3">
      <c r="A10212" t="str">
        <f>HYPERLINK("https://us2.cloudbeds.com/connect/10074733072513#/reservations/31733864485020?display=MXJUQ3DUQ&amp;reservation_id=31733864485020", "MXJUQ3DUQ")</f>
        <v>MXJUQ3DUQ</v>
      </c>
      <c r="B10212" t="s">
        <v>10</v>
      </c>
      <c r="C10212" t="s">
        <v>42</v>
      </c>
      <c r="D10212" t="str">
        <f>HYPERLINK("https://us2.cloudbeds.com/connect/10074733072513#/reservations/31733864485020?display=Susan%20Lickmes&amp;reservation_id=31733864485020&amp;guest_id=31733864480929", "Susan Lickmes")</f>
        <v>Susan Lickmes</v>
      </c>
      <c r="E10212" t="s">
        <v>8985</v>
      </c>
      <c r="F10212" t="s">
        <v>7751</v>
      </c>
      <c r="G10212">
        <v>189</v>
      </c>
      <c r="H10212">
        <v>205.45</v>
      </c>
      <c r="I10212">
        <v>205.44</v>
      </c>
      <c r="J10212">
        <v>0.01</v>
      </c>
    </row>
    <row r="10213" spans="1:10" x14ac:dyDescent="0.3">
      <c r="A10213" t="str">
        <f>HYPERLINK("https://us2.cloudbeds.com/connect/10074733072513#/reservations/31693993451728?display=MHM1WQ4RZ&amp;reservation_id=31693993451728", "MHM1WQ4RZ")</f>
        <v>MHM1WQ4RZ</v>
      </c>
      <c r="B10213" t="s">
        <v>10</v>
      </c>
      <c r="C10213" t="s">
        <v>42</v>
      </c>
      <c r="D10213" t="str">
        <f>HYPERLINK("https://us2.cloudbeds.com/connect/10074733072513#/reservations/31693993451728?display=New%20Age%20Cryo%20.&amp;reservation_id=31693993451728&amp;guest_id=31693984002233", "New Age Cryo .")</f>
        <v>New Age Cryo .</v>
      </c>
      <c r="E10213" t="s">
        <v>6390</v>
      </c>
      <c r="F10213" t="s">
        <v>8453</v>
      </c>
      <c r="G10213">
        <v>358</v>
      </c>
      <c r="H10213">
        <v>389.16</v>
      </c>
      <c r="I10213">
        <v>389.15</v>
      </c>
      <c r="J10213">
        <v>0.01</v>
      </c>
    </row>
    <row r="10214" spans="1:10" x14ac:dyDescent="0.3">
      <c r="A10214" t="str">
        <f>HYPERLINK("https://us2.cloudbeds.com/connect/10074733072513#/reservations/31694041174163?display=MHM371334&amp;reservation_id=31694041174163", "MHM371334")</f>
        <v>MHM371334</v>
      </c>
      <c r="B10214" t="s">
        <v>10</v>
      </c>
      <c r="C10214" t="s">
        <v>121</v>
      </c>
      <c r="D10214" t="str">
        <f>HYPERLINK("https://us2.cloudbeds.com/connect/10074733072513#/reservations/31694041174163?display=Jacob%20Peters&amp;reservation_id=31694041174163&amp;guest_id=31694036885722", "Jacob Peters")</f>
        <v>Jacob Peters</v>
      </c>
      <c r="E10214" t="s">
        <v>8987</v>
      </c>
      <c r="F10214" t="s">
        <v>8453</v>
      </c>
      <c r="G10214">
        <v>149</v>
      </c>
      <c r="H10214">
        <v>161.97</v>
      </c>
      <c r="I10214">
        <v>161.96</v>
      </c>
      <c r="J10214">
        <v>0.01</v>
      </c>
    </row>
    <row r="10215" spans="1:10" x14ac:dyDescent="0.3">
      <c r="A10215" t="str">
        <f>HYPERLINK("https://us2.cloudbeds.com/connect/10074733072513#/reservations/31692275892457?display=MHKZ3GHE3&amp;reservation_id=31692275892457", "MHKZ3GHE3")</f>
        <v>MHKZ3GHE3</v>
      </c>
      <c r="B10215" t="s">
        <v>10</v>
      </c>
      <c r="C10215" t="s">
        <v>14</v>
      </c>
      <c r="D10215" t="str">
        <f>HYPERLINK("https://us2.cloudbeds.com/connect/10074733072513#/reservations/31692275892457?display=Jacob%20Peterson&amp;reservation_id=31692275892457&amp;guest_id=31692275892455", "Jacob Peterson")</f>
        <v>Jacob Peterson</v>
      </c>
      <c r="E10215" t="s">
        <v>8988</v>
      </c>
      <c r="F10215" t="s">
        <v>8891</v>
      </c>
      <c r="G10215">
        <v>379.2</v>
      </c>
      <c r="H10215">
        <v>412.2</v>
      </c>
      <c r="I10215">
        <v>412.19</v>
      </c>
      <c r="J10215">
        <v>0.01</v>
      </c>
    </row>
    <row r="10216" spans="1:10" x14ac:dyDescent="0.3">
      <c r="A10216" t="str">
        <f>HYPERLINK("https://us2.cloudbeds.com/connect/10074733072513#/reservations/31692525592786?display=MHKUG1QYZ&amp;reservation_id=31692525592786", "MHKUG1QYZ")</f>
        <v>MHKUG1QYZ</v>
      </c>
      <c r="B10216" t="s">
        <v>10</v>
      </c>
      <c r="C10216" t="s">
        <v>20</v>
      </c>
      <c r="D10216" t="str">
        <f>HYPERLINK("https://us2.cloudbeds.com/connect/10074733072513#/reservations/31692525592786?display=Eric%20Marshall&amp;reservation_id=31692525592786&amp;guest_id=31692525592784", "Eric Marshall")</f>
        <v>Eric Marshall</v>
      </c>
      <c r="E10216" t="s">
        <v>8993</v>
      </c>
      <c r="F10216" t="s">
        <v>8737</v>
      </c>
      <c r="G10216">
        <v>149</v>
      </c>
      <c r="H10216">
        <v>161.97</v>
      </c>
      <c r="I10216">
        <v>161.96</v>
      </c>
      <c r="J10216">
        <v>0.01</v>
      </c>
    </row>
    <row r="10217" spans="1:10" x14ac:dyDescent="0.3">
      <c r="A10217" t="str">
        <f>HYPERLINK("https://us2.cloudbeds.com/connect/10074733072513#/reservations/31728281989256?display=MXFK4Q86G&amp;reservation_id=31728281989256", "MXFK4Q86G")</f>
        <v>MXFK4Q86G</v>
      </c>
      <c r="B10217" t="s">
        <v>10</v>
      </c>
      <c r="C10217" t="s">
        <v>23</v>
      </c>
      <c r="D10217" t="str">
        <f>HYPERLINK("https://us2.cloudbeds.com/connect/10074733072513#/reservations/31728281989256?display=Aryka%20Harvey&amp;reservation_id=31728281989256&amp;guest_id=31728264511693", "Aryka Harvey")</f>
        <v>Aryka Harvey</v>
      </c>
      <c r="E10217" t="s">
        <v>8996</v>
      </c>
      <c r="F10217" t="s">
        <v>8544</v>
      </c>
      <c r="G10217">
        <v>179</v>
      </c>
      <c r="H10217">
        <v>194.58</v>
      </c>
      <c r="I10217">
        <v>194.57</v>
      </c>
      <c r="J10217">
        <v>0.01</v>
      </c>
    </row>
    <row r="10218" spans="1:10" x14ac:dyDescent="0.3">
      <c r="A10218" t="str">
        <f>HYPERLINK("https://us2.cloudbeds.com/connect/10074733072513#/reservations/31692165152943?display=MHKY94188&amp;reservation_id=31692165152943", "MHKY94188")</f>
        <v>MHKY94188</v>
      </c>
      <c r="B10218" t="s">
        <v>10</v>
      </c>
      <c r="C10218" t="s">
        <v>42</v>
      </c>
      <c r="D10218" t="str">
        <f>HYPERLINK("https://us2.cloudbeds.com/connect/10074733072513#/reservations/31692165152943?display=Levi%20Frak%20Miliron%20Angela&amp;reservation_id=31692165152943&amp;guest_id=31692145443038", "Levi Frak Miliron Angela")</f>
        <v>Levi Frak Miliron Angela</v>
      </c>
      <c r="E10218" t="s">
        <v>8998</v>
      </c>
      <c r="F10218" t="s">
        <v>8901</v>
      </c>
      <c r="G10218">
        <v>179</v>
      </c>
      <c r="H10218">
        <v>194.58</v>
      </c>
      <c r="I10218">
        <v>194.57</v>
      </c>
      <c r="J10218">
        <v>0.01</v>
      </c>
    </row>
    <row r="10219" spans="1:10" x14ac:dyDescent="0.3">
      <c r="A10219" t="str">
        <f>HYPERLINK("https://us2.cloudbeds.com/connect/10074733072513#/reservations/31692137111691?display=MHKKXFZNB&amp;reservation_id=31692137111691", "MHKKXFZNB")</f>
        <v>MHKKXFZNB</v>
      </c>
      <c r="B10219" t="s">
        <v>10</v>
      </c>
      <c r="C10219" t="s">
        <v>42</v>
      </c>
      <c r="D10219" t="str">
        <f>HYPERLINK("https://us2.cloudbeds.com/connect/10074733072513#/reservations/31692137111691?display=Joshua%20Stevens&amp;reservation_id=31692137111691&amp;guest_id=31692137111686", "Joshua Stevens")</f>
        <v>Joshua Stevens</v>
      </c>
      <c r="E10219" t="s">
        <v>2818</v>
      </c>
      <c r="F10219" t="s">
        <v>8901</v>
      </c>
      <c r="G10219">
        <v>73</v>
      </c>
      <c r="H10219">
        <v>79.36</v>
      </c>
      <c r="I10219">
        <v>79.349999999999994</v>
      </c>
      <c r="J10219">
        <v>0.01</v>
      </c>
    </row>
    <row r="10220" spans="1:10" x14ac:dyDescent="0.3">
      <c r="A10220" t="str">
        <f>HYPERLINK("https://us2.cloudbeds.com/connect/10074733072513#/reservations/31729542918324?display=MXGJC1F48&amp;reservation_id=31729542918324", "MXGJC1F48")</f>
        <v>MXGJC1F48</v>
      </c>
      <c r="B10220" t="s">
        <v>10</v>
      </c>
      <c r="C10220" t="s">
        <v>42</v>
      </c>
      <c r="D10220" t="str">
        <f>HYPERLINK("https://us2.cloudbeds.com/connect/10074733072513#/reservations/31729542918324?display=Joni%20Thiem&amp;reservation_id=31729542918324&amp;guest_id=31729542918322", "Joni Thiem")</f>
        <v>Joni Thiem</v>
      </c>
      <c r="E10220" t="s">
        <v>8999</v>
      </c>
      <c r="F10220" t="s">
        <v>8835</v>
      </c>
      <c r="G10220">
        <v>129</v>
      </c>
      <c r="H10220">
        <v>140.22999999999999</v>
      </c>
      <c r="I10220">
        <v>140.22</v>
      </c>
      <c r="J10220">
        <v>0.01</v>
      </c>
    </row>
    <row r="10221" spans="1:10" x14ac:dyDescent="0.3">
      <c r="A10221" t="str">
        <f>HYPERLINK("https://us2.cloudbeds.com/connect/10074733072513#/reservations/31691231887508?display=MHJUE5X6G&amp;reservation_id=31691231887508", "MHJUE5X6G")</f>
        <v>MHJUE5X6G</v>
      </c>
      <c r="B10221" t="s">
        <v>10</v>
      </c>
      <c r="C10221" t="s">
        <v>42</v>
      </c>
      <c r="D10221" t="str">
        <f>HYPERLINK("https://us2.cloudbeds.com/connect/10074733072513#/reservations/31691231887508?display=Isaiah%20Gotz&amp;reservation_id=31691231887508&amp;guest_id=31691231887505", "Isaiah Gotz")</f>
        <v>Isaiah Gotz</v>
      </c>
      <c r="E10221" t="s">
        <v>9002</v>
      </c>
      <c r="F10221" t="s">
        <v>8901</v>
      </c>
      <c r="G10221">
        <v>149</v>
      </c>
      <c r="H10221">
        <v>161.97</v>
      </c>
      <c r="I10221">
        <v>161.96</v>
      </c>
      <c r="J10221">
        <v>0.01</v>
      </c>
    </row>
    <row r="10222" spans="1:10" x14ac:dyDescent="0.3">
      <c r="A10222" t="str">
        <f>HYPERLINK("https://us2.cloudbeds.com/connect/10074733072513#/reservations/31691193372802?display=MHJTEMR56&amp;reservation_id=31691193372802", "MHJTEMR56")</f>
        <v>MHJTEMR56</v>
      </c>
      <c r="B10222" t="s">
        <v>10</v>
      </c>
      <c r="C10222" t="s">
        <v>14</v>
      </c>
      <c r="D10222" t="str">
        <f>HYPERLINK("https://us2.cloudbeds.com/connect/10074733072513#/reservations/31691193372802?display=Brandon%20Johnson&amp;reservation_id=31691193372802&amp;guest_id=31691185258737", "Brandon Johnson")</f>
        <v>Brandon Johnson</v>
      </c>
      <c r="E10222" t="s">
        <v>9004</v>
      </c>
      <c r="F10222" t="s">
        <v>8901</v>
      </c>
      <c r="G10222">
        <v>97.74</v>
      </c>
      <c r="H10222">
        <v>106.25</v>
      </c>
      <c r="I10222">
        <v>106.24</v>
      </c>
      <c r="J10222">
        <v>0.01</v>
      </c>
    </row>
    <row r="10223" spans="1:10" x14ac:dyDescent="0.3">
      <c r="A10223" t="str">
        <f>HYPERLINK("https://us2.cloudbeds.com/connect/10074733072513#/reservations/31691165774051?display=MHJSZDRVD&amp;reservation_id=31691165774051", "MHJSZDRVD")</f>
        <v>MHJSZDRVD</v>
      </c>
      <c r="B10223" t="s">
        <v>10</v>
      </c>
      <c r="C10223" t="s">
        <v>121</v>
      </c>
      <c r="D10223" t="str">
        <f>HYPERLINK("https://us2.cloudbeds.com/connect/10074733072513#/reservations/31691165774051?display=Sean%20Doyle&amp;reservation_id=31691165774051&amp;guest_id=31691165774048", "Sean Doyle")</f>
        <v>Sean Doyle</v>
      </c>
      <c r="E10223" t="s">
        <v>9005</v>
      </c>
      <c r="F10223" t="s">
        <v>8901</v>
      </c>
      <c r="G10223">
        <v>169</v>
      </c>
      <c r="H10223">
        <v>183.71</v>
      </c>
      <c r="I10223">
        <v>183.7</v>
      </c>
      <c r="J10223">
        <v>0.01</v>
      </c>
    </row>
    <row r="10224" spans="1:10" x14ac:dyDescent="0.3">
      <c r="A10224" t="str">
        <f>HYPERLINK("https://us2.cloudbeds.com/connect/10074733072513#/reservations/31734090850461?display=MXK3XWCBK&amp;reservation_id=31734090850461", "MXK3XWCBK")</f>
        <v>MXK3XWCBK</v>
      </c>
      <c r="B10224" t="s">
        <v>10</v>
      </c>
      <c r="C10224" t="s">
        <v>42</v>
      </c>
      <c r="D10224" t="str">
        <f>HYPERLINK("https://us2.cloudbeds.com/connect/10074733072513#/reservations/31734090850461?display=Sarah%20Arntson&amp;reservation_id=31734090850461&amp;guest_id=31734081691780", "Sarah Arntson")</f>
        <v>Sarah Arntson</v>
      </c>
      <c r="E10224" t="s">
        <v>9006</v>
      </c>
      <c r="F10224" t="s">
        <v>7203</v>
      </c>
      <c r="G10224">
        <v>189</v>
      </c>
      <c r="H10224">
        <v>205.45</v>
      </c>
      <c r="I10224">
        <v>205.44</v>
      </c>
      <c r="J10224">
        <v>0.01</v>
      </c>
    </row>
    <row r="10225" spans="1:10" x14ac:dyDescent="0.3">
      <c r="A10225" t="str">
        <f>HYPERLINK("https://us2.cloudbeds.com/connect/10074733072513#/reservations/31695593521350?display=MHN9T0EJW&amp;reservation_id=31695593521350", "MHN9T0EJW")</f>
        <v>MHN9T0EJW</v>
      </c>
      <c r="B10225" t="s">
        <v>10</v>
      </c>
      <c r="C10225" t="s">
        <v>42</v>
      </c>
      <c r="D10225" t="str">
        <f>HYPERLINK("https://us2.cloudbeds.com/connect/10074733072513#/reservations/31695593521350?display=Jenni%20Carter&amp;reservation_id=31695593521350&amp;guest_id=31695587045614", "Jenni Carter")</f>
        <v>Jenni Carter</v>
      </c>
      <c r="E10225" t="s">
        <v>9007</v>
      </c>
      <c r="F10225" t="s">
        <v>8450</v>
      </c>
      <c r="G10225">
        <v>159</v>
      </c>
      <c r="H10225">
        <v>172.84</v>
      </c>
      <c r="I10225">
        <v>172.83</v>
      </c>
      <c r="J10225">
        <v>0.01</v>
      </c>
    </row>
    <row r="10226" spans="1:10" x14ac:dyDescent="0.3">
      <c r="A10226" t="str">
        <f>HYPERLINK("https://us2.cloudbeds.com/connect/10074733072513#/reservations/31695943463120?display=MHNXR32U1&amp;reservation_id=31695943463120", "MHNXR32U1")</f>
        <v>MHNXR32U1</v>
      </c>
      <c r="B10226" t="s">
        <v>10</v>
      </c>
      <c r="C10226" t="s">
        <v>14</v>
      </c>
      <c r="D10226" t="str">
        <f>HYPERLINK("https://us2.cloudbeds.com/connect/10074733072513#/reservations/31695943463120?display=Tyler%20Bettermann&amp;reservation_id=31695943463120&amp;guest_id=31695943463115", "Tyler Bettermann")</f>
        <v>Tyler Bettermann</v>
      </c>
      <c r="E10226" t="s">
        <v>9008</v>
      </c>
      <c r="F10226" t="s">
        <v>8450</v>
      </c>
      <c r="G10226">
        <v>322.2</v>
      </c>
      <c r="H10226">
        <v>350.24</v>
      </c>
      <c r="I10226">
        <v>350.23</v>
      </c>
      <c r="J10226">
        <v>0.01</v>
      </c>
    </row>
    <row r="10227" spans="1:10" x14ac:dyDescent="0.3">
      <c r="A10227" t="str">
        <f>HYPERLINK("https://us2.cloudbeds.com/connect/10074733072513#/reservations/31696268300499?display=MHNR405GW&amp;reservation_id=31696268300499", "MHNR405GW")</f>
        <v>MHNR405GW</v>
      </c>
      <c r="B10227" t="s">
        <v>10</v>
      </c>
      <c r="C10227" t="s">
        <v>23</v>
      </c>
      <c r="D10227" t="str">
        <f>HYPERLINK("https://us2.cloudbeds.com/connect/10074733072513#/reservations/31696268300499?display=Jesse%20Horoshak&amp;reservation_id=31696268300499&amp;guest_id=31696268300497", "Jesse Horoshak")</f>
        <v>Jesse Horoshak</v>
      </c>
      <c r="E10227" t="s">
        <v>9009</v>
      </c>
      <c r="F10227" t="s">
        <v>8513</v>
      </c>
      <c r="G10227">
        <v>587</v>
      </c>
      <c r="H10227">
        <v>638.08000000000004</v>
      </c>
      <c r="I10227">
        <v>638.07000000000005</v>
      </c>
      <c r="J10227">
        <v>0.01</v>
      </c>
    </row>
    <row r="10228" spans="1:10" x14ac:dyDescent="0.3">
      <c r="A10228" t="str">
        <f>HYPERLINK("https://us2.cloudbeds.com/connect/10074733072513#/reservations/31694696386734?display=MHMJVHBHH&amp;reservation_id=31694696386734", "MHMJVHBHH")</f>
        <v>MHMJVHBHH</v>
      </c>
      <c r="B10228" t="s">
        <v>10</v>
      </c>
      <c r="C10228" t="s">
        <v>14</v>
      </c>
      <c r="D10228" t="str">
        <f>HYPERLINK("https://us2.cloudbeds.com/connect/10074733072513#/reservations/31694696386734?display=Kevin%20Carter&amp;reservation_id=31694696386734&amp;guest_id=31694688809173", "Kevin Carter")</f>
        <v>Kevin Carter</v>
      </c>
      <c r="E10228" t="s">
        <v>9010</v>
      </c>
      <c r="F10228" t="s">
        <v>8965</v>
      </c>
      <c r="G10228">
        <v>102.58</v>
      </c>
      <c r="H10228">
        <v>111.51</v>
      </c>
      <c r="I10228">
        <v>111.5</v>
      </c>
      <c r="J10228">
        <v>0.01</v>
      </c>
    </row>
    <row r="10229" spans="1:10" x14ac:dyDescent="0.3">
      <c r="A10229" t="str">
        <f>HYPERLINK("https://us2.cloudbeds.com/connect/10074733072513#/reservations/31692333592715?display=MHKPJ541P&amp;reservation_id=31692333592715", "MHKPJ541P")</f>
        <v>MHKPJ541P</v>
      </c>
      <c r="B10229" t="s">
        <v>10</v>
      </c>
      <c r="C10229" t="s">
        <v>42</v>
      </c>
      <c r="D10229" t="str">
        <f>HYPERLINK("https://us2.cloudbeds.com/connect/10074733072513#/reservations/31692333592715?display=Erick%20Gonzalez&amp;reservation_id=31692333592715&amp;guest_id=31689272045710", "Erick Gonzalez")</f>
        <v>Erick Gonzalez</v>
      </c>
      <c r="E10229" t="s">
        <v>9011</v>
      </c>
      <c r="F10229" t="s">
        <v>8891</v>
      </c>
      <c r="G10229">
        <v>149</v>
      </c>
      <c r="H10229">
        <v>161.97</v>
      </c>
      <c r="I10229">
        <v>161.96</v>
      </c>
      <c r="J10229">
        <v>0.01</v>
      </c>
    </row>
    <row r="10230" spans="1:10" x14ac:dyDescent="0.3">
      <c r="A10230" t="str">
        <f>HYPERLINK("https://us2.cloudbeds.com/connect/10074733072513#/reservations/31736057360537?display=MXYKR6DZ1&amp;reservation_id=31736057360537", "MXYKR6DZ1")</f>
        <v>MXYKR6DZ1</v>
      </c>
      <c r="B10230" t="s">
        <v>10</v>
      </c>
      <c r="C10230" t="s">
        <v>42</v>
      </c>
      <c r="D10230" t="str">
        <f>HYPERLINK("https://us2.cloudbeds.com/connect/10074733072513#/reservations/31736057360537?display=Michele%20Bretsch&amp;reservation_id=31736057360537&amp;guest_id=31736057360535", "Michele Bretsch")</f>
        <v>Michele Bretsch</v>
      </c>
      <c r="E10230" t="s">
        <v>9012</v>
      </c>
      <c r="F10230" t="s">
        <v>6916</v>
      </c>
      <c r="G10230">
        <v>318</v>
      </c>
      <c r="H10230">
        <v>345.68</v>
      </c>
      <c r="I10230">
        <v>345.67</v>
      </c>
      <c r="J10230">
        <v>0.01</v>
      </c>
    </row>
    <row r="10231" spans="1:10" x14ac:dyDescent="0.3">
      <c r="A10231" t="str">
        <f>HYPERLINK("https://us2.cloudbeds.com/connect/10074733072513#/reservations/31692166365425?display=MHKYA4PY4&amp;reservation_id=31692166365425", "MHKYA4PY4")</f>
        <v>MHKYA4PY4</v>
      </c>
      <c r="B10231" t="s">
        <v>10</v>
      </c>
      <c r="C10231" t="s">
        <v>121</v>
      </c>
      <c r="D10231" t="str">
        <f>HYPERLINK("https://us2.cloudbeds.com/connect/10074733072513#/reservations/31692166365425?display=Louis%20Lovoy&amp;reservation_id=31692166365425&amp;guest_id=31692166365423", "Louis Lovoy")</f>
        <v>Louis Lovoy</v>
      </c>
      <c r="E10231" t="s">
        <v>9014</v>
      </c>
      <c r="F10231" t="s">
        <v>8891</v>
      </c>
      <c r="G10231">
        <v>159</v>
      </c>
      <c r="H10231">
        <v>172.84</v>
      </c>
      <c r="I10231">
        <v>172.83</v>
      </c>
      <c r="J10231">
        <v>0.01</v>
      </c>
    </row>
    <row r="10232" spans="1:10" x14ac:dyDescent="0.3">
      <c r="A10232" t="str">
        <f>HYPERLINK("https://us2.cloudbeds.com/connect/10074733072513#/reservations/31732990234790?display=MXJ8EU3WJ&amp;reservation_id=31732990234790", "MXJ8EU3WJ")</f>
        <v>MXJ8EU3WJ</v>
      </c>
      <c r="B10232" t="s">
        <v>10</v>
      </c>
      <c r="C10232" t="s">
        <v>17</v>
      </c>
      <c r="D10232" t="str">
        <f>HYPERLINK("https://us2.cloudbeds.com/connect/10074733072513#/reservations/31732990234790?display=Laurie%20Davis-Friedges&amp;reservation_id=31732990234790&amp;guest_id=31732990234788", "Laurie Davis-Friedges")</f>
        <v>Laurie Davis-Friedges</v>
      </c>
      <c r="E10232" t="s">
        <v>9017</v>
      </c>
      <c r="F10232" t="s">
        <v>9018</v>
      </c>
      <c r="G10232">
        <v>209</v>
      </c>
      <c r="H10232">
        <v>227.19</v>
      </c>
      <c r="I10232">
        <v>227.18</v>
      </c>
      <c r="J10232">
        <v>0.01</v>
      </c>
    </row>
    <row r="10233" spans="1:10" x14ac:dyDescent="0.3">
      <c r="A10233" t="str">
        <f>HYPERLINK("https://us2.cloudbeds.com/connect/10074733072513#/reservations/31732869017769?display=MXJ5BN2JH&amp;reservation_id=31732869017769", "MXJ5BN2JH")</f>
        <v>MXJ5BN2JH</v>
      </c>
      <c r="B10233" t="s">
        <v>10</v>
      </c>
      <c r="C10233" t="s">
        <v>42</v>
      </c>
      <c r="D10233" t="str">
        <f>HYPERLINK("https://us2.cloudbeds.com/connect/10074733072513#/reservations/31732869017769?display=Sonja%20Kloiber&amp;reservation_id=31732869017769&amp;guest_id=31732869017767", "Sonja Kloiber")</f>
        <v>Sonja Kloiber</v>
      </c>
      <c r="E10233" t="s">
        <v>9020</v>
      </c>
      <c r="F10233" t="s">
        <v>9021</v>
      </c>
      <c r="G10233">
        <v>318</v>
      </c>
      <c r="H10233">
        <v>345.68</v>
      </c>
      <c r="I10233">
        <v>345.67</v>
      </c>
      <c r="J10233">
        <v>0.01</v>
      </c>
    </row>
    <row r="10234" spans="1:10" x14ac:dyDescent="0.3">
      <c r="A10234" t="str">
        <f>HYPERLINK("https://us2.cloudbeds.com/connect/10074733072513#/reservations/31690244411524?display=MHJ56GJ0R&amp;reservation_id=31690244411524", "MHJ56GJ0R")</f>
        <v>MHJ56GJ0R</v>
      </c>
      <c r="B10234" t="s">
        <v>10</v>
      </c>
      <c r="C10234" t="s">
        <v>20</v>
      </c>
      <c r="D10234" t="str">
        <f>HYPERLINK("https://us2.cloudbeds.com/connect/10074733072513#/reservations/31690244411524?display=Chelsea%20Mckillip&amp;reservation_id=31690244411524&amp;guest_id=31690244411522", "Chelsea Mckillip")</f>
        <v>Chelsea Mckillip</v>
      </c>
      <c r="E10234" t="s">
        <v>9023</v>
      </c>
      <c r="F10234" t="s">
        <v>8450</v>
      </c>
      <c r="G10234">
        <v>209</v>
      </c>
      <c r="H10234">
        <v>227.19</v>
      </c>
      <c r="I10234">
        <v>227.18</v>
      </c>
      <c r="J10234">
        <v>0.01</v>
      </c>
    </row>
    <row r="10235" spans="1:10" x14ac:dyDescent="0.3">
      <c r="A10235" t="str">
        <f>HYPERLINK("https://us2.cloudbeds.com/connect/10074733072513#/reservations/31689264058552?display=MHXD4RQZ0&amp;reservation_id=31689264058552", "MHXD4RQZ0")</f>
        <v>MHXD4RQZ0</v>
      </c>
      <c r="B10235" t="s">
        <v>10</v>
      </c>
      <c r="C10235" t="s">
        <v>121</v>
      </c>
      <c r="D10235" t="str">
        <f>HYPERLINK("https://us2.cloudbeds.com/connect/10074733072513#/reservations/31689264058552?display=Bogdan%20Gapuik&amp;reservation_id=31689264058552&amp;guest_id=31689264058548", "Bogdan Gapuik")</f>
        <v>Bogdan Gapuik</v>
      </c>
      <c r="E10235" t="s">
        <v>9024</v>
      </c>
      <c r="F10235" t="s">
        <v>8891</v>
      </c>
      <c r="G10235">
        <v>149</v>
      </c>
      <c r="H10235">
        <v>161.97</v>
      </c>
      <c r="I10235">
        <v>161.96</v>
      </c>
      <c r="J10235">
        <v>0.01</v>
      </c>
    </row>
    <row r="10236" spans="1:10" x14ac:dyDescent="0.3">
      <c r="A10236" t="str">
        <f>HYPERLINK("https://us2.cloudbeds.com/connect/10074733072513#/reservations/31689272049812?display=MHXDBJ5TD&amp;reservation_id=31689272049812", "MHXDBJ5TD")</f>
        <v>MHXDBJ5TD</v>
      </c>
      <c r="B10236" t="s">
        <v>10</v>
      </c>
      <c r="C10236" t="s">
        <v>121</v>
      </c>
      <c r="D10236" t="str">
        <f>HYPERLINK("https://us2.cloudbeds.com/connect/10074733072513#/reservations/31689272049812?display=Erick%20Gonzalez&amp;reservation_id=31689272049812&amp;guest_id=31689272045710", "Erick Gonzalez")</f>
        <v>Erick Gonzalez</v>
      </c>
      <c r="E10236" t="s">
        <v>9011</v>
      </c>
      <c r="F10236" t="s">
        <v>8264</v>
      </c>
      <c r="G10236">
        <v>149</v>
      </c>
      <c r="H10236">
        <v>161.97</v>
      </c>
      <c r="I10236">
        <v>161.96</v>
      </c>
      <c r="J10236">
        <v>0.01</v>
      </c>
    </row>
    <row r="10237" spans="1:10" x14ac:dyDescent="0.3">
      <c r="A10237" t="str">
        <f>HYPERLINK("https://us2.cloudbeds.com/connect/10074733072513#/reservations/31689288306826?display=MHXDP9X96&amp;reservation_id=31689288306826", "MHXDP9X96")</f>
        <v>MHXDP9X96</v>
      </c>
      <c r="B10237" t="s">
        <v>10</v>
      </c>
      <c r="C10237" t="s">
        <v>23</v>
      </c>
      <c r="D10237" t="str">
        <f>HYPERLINK("https://us2.cloudbeds.com/connect/10074733072513#/reservations/31689288306826?display=Pat%20Rubendall&amp;reservation_id=31689288306826&amp;guest_id=31689288306823", "Pat Rubendall")</f>
        <v>Pat Rubendall</v>
      </c>
      <c r="E10237" t="s">
        <v>9025</v>
      </c>
      <c r="F10237" t="s">
        <v>8264</v>
      </c>
      <c r="G10237">
        <v>129</v>
      </c>
      <c r="H10237">
        <v>140.22999999999999</v>
      </c>
      <c r="I10237">
        <v>140.22</v>
      </c>
      <c r="J10237">
        <v>0.01</v>
      </c>
    </row>
    <row r="10238" spans="1:10" x14ac:dyDescent="0.3">
      <c r="A10238" t="str">
        <f>HYPERLINK("https://us2.cloudbeds.com/connect/10074733072513#/reservations/31693856542866?display=MHYVGBF1B&amp;reservation_id=31693856542866", "MHYVGBF1B")</f>
        <v>MHYVGBF1B</v>
      </c>
      <c r="B10238" t="s">
        <v>10</v>
      </c>
      <c r="C10238" t="s">
        <v>42</v>
      </c>
      <c r="D10238" t="str">
        <f>HYPERLINK("https://us2.cloudbeds.com/connect/10074733072513#/reservations/31693856542866?display=Lola%20Mcdonald&amp;reservation_id=31693856542866&amp;guest_id=31691693584514", "Lola Mcdonald")</f>
        <v>Lola Mcdonald</v>
      </c>
      <c r="E10238" t="s">
        <v>9027</v>
      </c>
      <c r="F10238" t="s">
        <v>8513</v>
      </c>
      <c r="G10238">
        <v>418</v>
      </c>
      <c r="H10238">
        <v>454.38</v>
      </c>
      <c r="I10238">
        <v>454.37</v>
      </c>
      <c r="J10238">
        <v>0.01</v>
      </c>
    </row>
    <row r="10239" spans="1:10" x14ac:dyDescent="0.3">
      <c r="A10239" t="str">
        <f>HYPERLINK("https://us2.cloudbeds.com/connect/10074733072513#/reservations/31693921697960?display=MHM059G84&amp;reservation_id=31693921697960", "MHM059G84")</f>
        <v>MHM059G84</v>
      </c>
      <c r="B10239" t="s">
        <v>10</v>
      </c>
      <c r="C10239" t="s">
        <v>42</v>
      </c>
      <c r="D10239" t="str">
        <f>HYPERLINK("https://us2.cloudbeds.com/connect/10074733072513#/reservations/31693921697960?display=Rick%20Hurd&amp;reservation_id=31693921697960&amp;guest_id=31693921697954", "Rick Hurd")</f>
        <v>Rick Hurd</v>
      </c>
      <c r="E10239" t="s">
        <v>4521</v>
      </c>
      <c r="F10239" t="s">
        <v>8264</v>
      </c>
      <c r="G10239">
        <v>169</v>
      </c>
      <c r="H10239">
        <v>183.71</v>
      </c>
      <c r="I10239">
        <v>183.7</v>
      </c>
      <c r="J10239">
        <v>0.01</v>
      </c>
    </row>
    <row r="10240" spans="1:10" x14ac:dyDescent="0.3">
      <c r="A10240" t="str">
        <f>HYPERLINK("https://us2.cloudbeds.com/connect/10074733072513#/reservations/31733309378770?display=MXJGK0PG9&amp;reservation_id=31733309378770", "MXJGK0PG9")</f>
        <v>MXJGK0PG9</v>
      </c>
      <c r="B10240" t="s">
        <v>10</v>
      </c>
      <c r="C10240" t="s">
        <v>42</v>
      </c>
      <c r="D10240" t="str">
        <f>HYPERLINK("https://us2.cloudbeds.com/connect/10074733072513#/reservations/31733309378770?display=Antoinett%20Johnson&amp;reservation_id=31733309378770&amp;guest_id=31733309378758", "Antoinett Johnson")</f>
        <v>Antoinett Johnson</v>
      </c>
      <c r="E10240" t="s">
        <v>9028</v>
      </c>
      <c r="F10240" t="s">
        <v>8918</v>
      </c>
      <c r="G10240">
        <v>617</v>
      </c>
      <c r="H10240">
        <v>670.69</v>
      </c>
      <c r="I10240">
        <v>670.68</v>
      </c>
      <c r="J10240">
        <v>0.01</v>
      </c>
    </row>
    <row r="10241" spans="1:10" x14ac:dyDescent="0.3">
      <c r="A10241" t="str">
        <f>HYPERLINK("https://us2.cloudbeds.com/connect/10074733072513#/reservations/31735816208530?display=MXYEYS06F&amp;reservation_id=31735816208530", "MXYEYS06F")</f>
        <v>MXYEYS06F</v>
      </c>
      <c r="B10241" t="s">
        <v>10</v>
      </c>
      <c r="C10241" t="s">
        <v>17</v>
      </c>
      <c r="D10241" t="str">
        <f>HYPERLINK("https://us2.cloudbeds.com/connect/10074733072513#/reservations/31735816208530?display=Steven%20Berke&amp;reservation_id=31735816208530&amp;guest_id=31735816208525", "Steven Berke")</f>
        <v>Steven Berke</v>
      </c>
      <c r="E10241" t="s">
        <v>9030</v>
      </c>
      <c r="F10241" t="s">
        <v>8829</v>
      </c>
      <c r="G10241">
        <v>209</v>
      </c>
      <c r="H10241">
        <v>227.19</v>
      </c>
      <c r="I10241">
        <v>227.18</v>
      </c>
      <c r="J10241">
        <v>0.01</v>
      </c>
    </row>
    <row r="10242" spans="1:10" x14ac:dyDescent="0.3">
      <c r="A10242" t="str">
        <f>HYPERLINK("https://us2.cloudbeds.com/connect/10074733072513#/reservations/31695964885181?display=MHNJC567D&amp;reservation_id=31695964885181", "MHNJC567D")</f>
        <v>MHNJC567D</v>
      </c>
      <c r="B10242" t="s">
        <v>10</v>
      </c>
      <c r="C10242" t="s">
        <v>20</v>
      </c>
      <c r="D10242" t="str">
        <f>HYPERLINK("https://us2.cloudbeds.com/connect/10074733072513#/reservations/31695964885181?display=Mwalimu%20Kaingu&amp;reservation_id=31695964885181&amp;guest_id=31695964885176", "Mwalimu Kaingu")</f>
        <v>Mwalimu Kaingu</v>
      </c>
      <c r="E10242" t="s">
        <v>9031</v>
      </c>
      <c r="F10242" t="s">
        <v>8610</v>
      </c>
      <c r="G10242">
        <v>331.2</v>
      </c>
      <c r="H10242">
        <v>360.02</v>
      </c>
      <c r="I10242">
        <v>360.01</v>
      </c>
      <c r="J10242">
        <v>0.01</v>
      </c>
    </row>
    <row r="10243" spans="1:10" x14ac:dyDescent="0.3">
      <c r="A10243" t="str">
        <f>HYPERLINK("https://us2.cloudbeds.com/connect/10074733072513#/reservations/31734836670692?display=MXKMKSUDM&amp;reservation_id=31734836670692", "MXKMKSUDM")</f>
        <v>MXKMKSUDM</v>
      </c>
      <c r="B10243" t="s">
        <v>10</v>
      </c>
      <c r="C10243" t="s">
        <v>42</v>
      </c>
      <c r="D10243" t="str">
        <f>HYPERLINK("https://us2.cloudbeds.com/connect/10074733072513#/reservations/31734836670692?display=Katliyn%20Bladow&amp;reservation_id=31734836670692&amp;guest_id=31734825627786", "Katliyn Bladow")</f>
        <v>Katliyn Bladow</v>
      </c>
      <c r="E10243" t="s">
        <v>9032</v>
      </c>
      <c r="F10243" t="s">
        <v>9033</v>
      </c>
      <c r="G10243">
        <v>189</v>
      </c>
      <c r="H10243">
        <v>205.45</v>
      </c>
      <c r="I10243">
        <v>205.44</v>
      </c>
      <c r="J10243">
        <v>0.01</v>
      </c>
    </row>
    <row r="10244" spans="1:10" x14ac:dyDescent="0.3">
      <c r="A10244" t="str">
        <f>HYPERLINK("https://us2.cloudbeds.com/connect/10074733072513#/reservations/31695600652507?display=MHNA20SVY&amp;reservation_id=31695600652507", "MHNA20SVY")</f>
        <v>MHNA20SVY</v>
      </c>
      <c r="B10244" t="s">
        <v>10</v>
      </c>
      <c r="C10244" t="s">
        <v>42</v>
      </c>
      <c r="D10244" t="str">
        <f>HYPERLINK("https://us2.cloudbeds.com/connect/10074733072513#/reservations/31695600652507?display=Jamie%20Gall&amp;reservation_id=31695600652507&amp;guest_id=31695593525444", "Jamie Gall")</f>
        <v>Jamie Gall</v>
      </c>
      <c r="E10244" t="s">
        <v>9037</v>
      </c>
      <c r="F10244" t="s">
        <v>8450</v>
      </c>
      <c r="G10244">
        <v>229</v>
      </c>
      <c r="H10244">
        <v>248.93</v>
      </c>
      <c r="I10244">
        <v>248.92</v>
      </c>
      <c r="J10244">
        <v>0.01</v>
      </c>
    </row>
    <row r="10245" spans="1:10" x14ac:dyDescent="0.3">
      <c r="A10245" t="str">
        <f>HYPERLINK("https://us2.cloudbeds.com/connect/10074733072513#/reservations/31695613030550?display=MHNACFACS&amp;reservation_id=31695613030550", "MHNACFACS")</f>
        <v>MHNACFACS</v>
      </c>
      <c r="B10245" t="s">
        <v>10</v>
      </c>
      <c r="C10245" t="s">
        <v>11</v>
      </c>
      <c r="D10245" t="str">
        <f>HYPERLINK("https://us2.cloudbeds.com/connect/10074733072513#/reservations/31695613030550?display=Ivan%20Lopez&amp;reservation_id=31695613030550&amp;guest_id=31695600656599", "Ivan Lopez")</f>
        <v>Ivan Lopez</v>
      </c>
      <c r="E10245" t="s">
        <v>9039</v>
      </c>
      <c r="F10245" t="s">
        <v>8450</v>
      </c>
      <c r="G10245">
        <v>169</v>
      </c>
      <c r="H10245">
        <v>183.71</v>
      </c>
      <c r="I10245">
        <v>183.7</v>
      </c>
      <c r="J10245">
        <v>0.01</v>
      </c>
    </row>
    <row r="10246" spans="1:10" x14ac:dyDescent="0.3">
      <c r="A10246" t="str">
        <f>HYPERLINK("https://us2.cloudbeds.com/connect/10074733072513#/reservations/31692624871620?display=MHY00PCQ8&amp;reservation_id=31692624871620", "MHY00PCQ8")</f>
        <v>MHY00PCQ8</v>
      </c>
      <c r="B10246" t="s">
        <v>10</v>
      </c>
      <c r="C10246" t="s">
        <v>11</v>
      </c>
      <c r="D10246" t="str">
        <f>HYPERLINK("https://us2.cloudbeds.com/connect/10074733072513#/reservations/31692624871620?display=Garma%20Khaying&amp;reservation_id=31692624871620&amp;guest_id=31692624867582", "Garma Khaying")</f>
        <v>Garma Khaying</v>
      </c>
      <c r="E10246" t="s">
        <v>9040</v>
      </c>
      <c r="F10246" t="s">
        <v>9041</v>
      </c>
      <c r="G10246">
        <v>102.58</v>
      </c>
      <c r="H10246">
        <v>111.51</v>
      </c>
      <c r="I10246">
        <v>111.5</v>
      </c>
      <c r="J10246">
        <v>0.01</v>
      </c>
    </row>
    <row r="10247" spans="1:10" x14ac:dyDescent="0.3">
      <c r="A10247" t="str">
        <f>HYPERLINK("https://us2.cloudbeds.com/connect/10074733072513#/reservations/31695190638777?display=MHMWJ9Y55&amp;reservation_id=31695190638777", "MHMWJ9Y55")</f>
        <v>MHMWJ9Y55</v>
      </c>
      <c r="B10247" t="s">
        <v>10</v>
      </c>
      <c r="C10247" t="s">
        <v>42</v>
      </c>
      <c r="D10247" t="str">
        <f>HYPERLINK("https://us2.cloudbeds.com/connect/10074733072513#/reservations/31695190638777?display=Teresa%20Kent&amp;reservation_id=31695190638777&amp;guest_id=31695179346146", "Teresa Kent")</f>
        <v>Teresa Kent</v>
      </c>
      <c r="E10247" t="s">
        <v>9047</v>
      </c>
      <c r="F10247" t="s">
        <v>6746</v>
      </c>
      <c r="G10247">
        <v>149</v>
      </c>
      <c r="H10247">
        <v>161.97</v>
      </c>
      <c r="I10247">
        <v>161.96</v>
      </c>
      <c r="J10247">
        <v>0.01</v>
      </c>
    </row>
    <row r="10248" spans="1:10" x14ac:dyDescent="0.3">
      <c r="A10248" t="str">
        <f>HYPERLINK("https://us2.cloudbeds.com/connect/10074733072513#/reservations/31695624839305?display=MHNAMDU1U&amp;reservation_id=31695624839305", "MHNAMDU1U")</f>
        <v>MHNAMDU1U</v>
      </c>
      <c r="B10248" t="s">
        <v>10</v>
      </c>
      <c r="C10248" t="s">
        <v>121</v>
      </c>
      <c r="D10248" t="str">
        <f>HYPERLINK("https://us2.cloudbeds.com/connect/10074733072513#/reservations/31695624839305?display=Matthew%20Knock&amp;reservation_id=31695624839305&amp;guest_id=30685370593504", "Matthew Knock")</f>
        <v>Matthew Knock</v>
      </c>
      <c r="E10248" t="s">
        <v>3886</v>
      </c>
      <c r="F10248" t="s">
        <v>9048</v>
      </c>
      <c r="G10248">
        <v>129</v>
      </c>
      <c r="H10248">
        <v>140.22999999999999</v>
      </c>
      <c r="I10248">
        <v>140.22</v>
      </c>
      <c r="J10248">
        <v>0.01</v>
      </c>
    </row>
    <row r="10249" spans="1:10" x14ac:dyDescent="0.3">
      <c r="A10249" t="str">
        <f>HYPERLINK("https://us2.cloudbeds.com/connect/10074733072513#/reservations/31695816671360?display=MHNFBGYW6&amp;reservation_id=31695816671360", "MHNFBGYW6")</f>
        <v>MHNFBGYW6</v>
      </c>
      <c r="B10249" t="s">
        <v>10</v>
      </c>
      <c r="C10249" t="s">
        <v>17</v>
      </c>
      <c r="D10249" t="str">
        <f>HYPERLINK("https://us2.cloudbeds.com/connect/10074733072513#/reservations/31695816671360?display=Erick%20Dabbs&amp;reservation_id=31695816671360&amp;guest_id=31695807570133", "Erick Dabbs")</f>
        <v>Erick Dabbs</v>
      </c>
      <c r="E10249" t="s">
        <v>8256</v>
      </c>
      <c r="F10249" t="s">
        <v>9051</v>
      </c>
      <c r="G10249">
        <v>129</v>
      </c>
      <c r="H10249">
        <v>140.22999999999999</v>
      </c>
      <c r="I10249">
        <v>140.22</v>
      </c>
      <c r="J10249">
        <v>0.01</v>
      </c>
    </row>
    <row r="10250" spans="1:10" x14ac:dyDescent="0.3">
      <c r="A10250" t="str">
        <f>HYPERLINK("https://us2.cloudbeds.com/connect/10074733072513#/reservations/31695954002073?display=MHNJ2WBX8&amp;reservation_id=31695954002073", "MHNJ2WBX8")</f>
        <v>MHNJ2WBX8</v>
      </c>
      <c r="B10250" t="s">
        <v>10</v>
      </c>
      <c r="C10250" t="s">
        <v>11</v>
      </c>
      <c r="D10250" t="str">
        <f>HYPERLINK("https://us2.cloudbeds.com/connect/10074733072513#/reservations/31695954002073?display=Jerry%20Talsma&amp;reservation_id=31695954002073&amp;guest_id=31695953997992", "Jerry Talsma")</f>
        <v>Jerry Talsma</v>
      </c>
      <c r="E10250" t="s">
        <v>9052</v>
      </c>
      <c r="F10250" t="s">
        <v>8450</v>
      </c>
      <c r="G10250">
        <v>169</v>
      </c>
      <c r="H10250">
        <v>183.71</v>
      </c>
      <c r="I10250">
        <v>183.7</v>
      </c>
      <c r="J10250">
        <v>0.01</v>
      </c>
    </row>
    <row r="10251" spans="1:10" x14ac:dyDescent="0.3">
      <c r="A10251" t="str">
        <f>HYPERLINK("https://us2.cloudbeds.com/connect/10074733072513#/reservations/31693214531812?display=MHYF2WX6U&amp;reservation_id=31693214531812", "MHYF2WX6U")</f>
        <v>MHYF2WX6U</v>
      </c>
      <c r="B10251" t="s">
        <v>10</v>
      </c>
      <c r="C10251" t="s">
        <v>17</v>
      </c>
      <c r="D10251" t="str">
        <f>HYPERLINK("https://us2.cloudbeds.com/connect/10074733072513#/reservations/31693214531812?display=Bert%20Griggs&amp;reservation_id=31693214531812&amp;guest_id=31693214531809", "Bert Griggs")</f>
        <v>Bert Griggs</v>
      </c>
      <c r="E10251" t="s">
        <v>9053</v>
      </c>
      <c r="F10251" t="s">
        <v>8027</v>
      </c>
      <c r="G10251">
        <v>696</v>
      </c>
      <c r="H10251">
        <v>756.56</v>
      </c>
      <c r="I10251">
        <v>756.55</v>
      </c>
      <c r="J10251">
        <v>0.01</v>
      </c>
    </row>
    <row r="10252" spans="1:10" x14ac:dyDescent="0.3">
      <c r="A10252" t="str">
        <f>HYPERLINK("https://us2.cloudbeds.com/connect/10074733072513#/reservations/31734936457437?display=MXKP60KVE&amp;reservation_id=31734936457437", "MXKP60KVE")</f>
        <v>MXKP60KVE</v>
      </c>
      <c r="B10252" t="s">
        <v>10</v>
      </c>
      <c r="C10252" t="s">
        <v>42</v>
      </c>
      <c r="D10252" t="str">
        <f>HYPERLINK("https://us2.cloudbeds.com/connect/10074733072513#/reservations/31734936457437?display=Paula%20Wheelock&amp;reservation_id=31734936457437&amp;guest_id=31734927753346", "Paula Wheelock")</f>
        <v>Paula Wheelock</v>
      </c>
      <c r="E10252" t="s">
        <v>9054</v>
      </c>
      <c r="F10252" t="s">
        <v>7203</v>
      </c>
      <c r="G10252">
        <v>179</v>
      </c>
      <c r="H10252">
        <v>194.58</v>
      </c>
      <c r="I10252">
        <v>194.57</v>
      </c>
      <c r="J10252">
        <v>0.01</v>
      </c>
    </row>
    <row r="10253" spans="1:10" x14ac:dyDescent="0.3">
      <c r="A10253" t="str">
        <f>HYPERLINK("https://us2.cloudbeds.com/connect/10074733072513#/reservations/31693091635425?display=MHYBVBPMW&amp;reservation_id=31693091635425", "MHYBVBPMW")</f>
        <v>MHYBVBPMW</v>
      </c>
      <c r="B10253" t="s">
        <v>10</v>
      </c>
      <c r="C10253" t="s">
        <v>42</v>
      </c>
      <c r="D10253" t="str">
        <f>HYPERLINK("https://us2.cloudbeds.com/connect/10074733072513#/reservations/31693091635425?display=Sean%20Faughn&amp;reservation_id=31693091635425&amp;guest_id=31689299341537", "Sean Faughn")</f>
        <v>Sean Faughn</v>
      </c>
      <c r="E10253" t="s">
        <v>8560</v>
      </c>
      <c r="F10253" t="s">
        <v>9001</v>
      </c>
      <c r="G10253">
        <v>278</v>
      </c>
      <c r="H10253">
        <v>302.2</v>
      </c>
      <c r="I10253">
        <v>302.19</v>
      </c>
      <c r="J10253">
        <v>0.01</v>
      </c>
    </row>
    <row r="10254" spans="1:10" x14ac:dyDescent="0.3">
      <c r="A10254" t="str">
        <f>HYPERLINK("https://us2.cloudbeds.com/connect/10074733072513#/reservations/31732300062868?display=MXXNQV29U&amp;reservation_id=31732300062868", "MXXNQV29U")</f>
        <v>MXXNQV29U</v>
      </c>
      <c r="B10254" t="s">
        <v>10</v>
      </c>
      <c r="C10254" t="s">
        <v>42</v>
      </c>
      <c r="D10254" t="str">
        <f>HYPERLINK("https://us2.cloudbeds.com/connect/10074733072513#/reservations/31732300062868?display=Pamela%20Polark&amp;reservation_id=31732300062868&amp;guest_id=31732294660346", "Pamela Polark")</f>
        <v>Pamela Polark</v>
      </c>
      <c r="E10254" t="s">
        <v>9057</v>
      </c>
      <c r="F10254" t="s">
        <v>7468</v>
      </c>
      <c r="G10254">
        <v>179</v>
      </c>
      <c r="H10254">
        <v>194.58</v>
      </c>
      <c r="I10254">
        <v>194.57</v>
      </c>
      <c r="J10254">
        <v>0.01</v>
      </c>
    </row>
    <row r="10255" spans="1:10" x14ac:dyDescent="0.3">
      <c r="A10255" t="str">
        <f>HYPERLINK("https://us2.cloudbeds.com/connect/10074733072513#/reservations/31693180494039?display=MHYE79D78&amp;reservation_id=31693180494039", "MHYE79D78")</f>
        <v>MHYE79D78</v>
      </c>
      <c r="B10255" t="s">
        <v>10</v>
      </c>
      <c r="C10255" t="s">
        <v>42</v>
      </c>
      <c r="D10255" t="str">
        <f>HYPERLINK("https://us2.cloudbeds.com/connect/10074733072513#/reservations/31693180494039?display=Holly%20Mielke&amp;reservation_id=31693180494039&amp;guest_id=31693180489946", "Holly Mielke")</f>
        <v>Holly Mielke</v>
      </c>
      <c r="E10255" t="s">
        <v>9061</v>
      </c>
      <c r="F10255" t="s">
        <v>9001</v>
      </c>
      <c r="G10255">
        <v>129</v>
      </c>
      <c r="H10255">
        <v>140.22999999999999</v>
      </c>
      <c r="I10255">
        <v>140.22</v>
      </c>
      <c r="J10255">
        <v>0.01</v>
      </c>
    </row>
    <row r="10256" spans="1:10" x14ac:dyDescent="0.3">
      <c r="A10256" t="str">
        <f>HYPERLINK("https://us2.cloudbeds.com/connect/10074733072513#/reservations/31736099487989?display=MXYYTNM8G&amp;reservation_id=31736099487989", "MXYYTNM8G")</f>
        <v>MXYYTNM8G</v>
      </c>
      <c r="B10256" t="s">
        <v>10</v>
      </c>
      <c r="C10256" t="s">
        <v>23</v>
      </c>
      <c r="D10256" t="str">
        <f>HYPERLINK("https://us2.cloudbeds.com/connect/10074733072513#/reservations/31736099487989?display=Kienna%20Berg&amp;reservation_id=31736099487989&amp;guest_id=31736087777433", "Kienna Berg")</f>
        <v>Kienna Berg</v>
      </c>
      <c r="E10256" t="s">
        <v>9062</v>
      </c>
      <c r="F10256" t="s">
        <v>9018</v>
      </c>
      <c r="G10256">
        <v>498</v>
      </c>
      <c r="H10256">
        <v>541.34</v>
      </c>
      <c r="I10256">
        <v>541.33000000000004</v>
      </c>
      <c r="J10256">
        <v>0.01</v>
      </c>
    </row>
    <row r="10257" spans="1:10" x14ac:dyDescent="0.3">
      <c r="A10257" t="str">
        <f>HYPERLINK("https://us2.cloudbeds.com/connect/10074733072513#/reservations/31693904171236?display=MHYWNGPU8&amp;reservation_id=31693904171236", "MHYWNGPU8")</f>
        <v>MHYWNGPU8</v>
      </c>
      <c r="B10257" t="s">
        <v>10</v>
      </c>
      <c r="C10257" t="s">
        <v>121</v>
      </c>
      <c r="D10257" t="str">
        <f>HYPERLINK("https://us2.cloudbeds.com/connect/10074733072513#/reservations/31693904171236?display=Kevin%20Van%20Overschelde&amp;reservation_id=31693904171236&amp;guest_id=31693892731090", "Kevin Van Overschelde")</f>
        <v>Kevin Van Overschelde</v>
      </c>
      <c r="E10257" t="s">
        <v>8816</v>
      </c>
      <c r="F10257" t="s">
        <v>9001</v>
      </c>
      <c r="G10257">
        <v>129</v>
      </c>
      <c r="H10257">
        <v>140.22999999999999</v>
      </c>
      <c r="I10257">
        <v>140.22</v>
      </c>
      <c r="J10257">
        <v>0.01</v>
      </c>
    </row>
    <row r="10258" spans="1:10" x14ac:dyDescent="0.3">
      <c r="A10258" t="str">
        <f>HYPERLINK("https://us2.cloudbeds.com/connect/10074733072513#/reservations/31695878598877?display=MHNH5D4PU&amp;reservation_id=31695878598877", "MHNH5D4PU")</f>
        <v>MHNH5D4PU</v>
      </c>
      <c r="B10258" t="s">
        <v>10</v>
      </c>
      <c r="C10258" t="s">
        <v>42</v>
      </c>
      <c r="D10258" t="str">
        <f>HYPERLINK("https://us2.cloudbeds.com/connect/10074733072513#/reservations/31695878598877?display=Joshua%20Harvey&amp;reservation_id=31695878598877&amp;guest_id=31695873429632", "Joshua Harvey")</f>
        <v>Joshua Harvey</v>
      </c>
      <c r="E10258" t="s">
        <v>9063</v>
      </c>
      <c r="F10258" t="s">
        <v>9001</v>
      </c>
      <c r="G10258">
        <v>129</v>
      </c>
      <c r="H10258">
        <v>140.22999999999999</v>
      </c>
      <c r="I10258">
        <v>140.22</v>
      </c>
      <c r="J10258">
        <v>0.01</v>
      </c>
    </row>
    <row r="10259" spans="1:10" x14ac:dyDescent="0.3">
      <c r="A10259" t="str">
        <f>HYPERLINK("https://us2.cloudbeds.com/connect/10074733072513#/reservations/31693160153303?display=MHYDN4CSA&amp;reservation_id=31693160153303", "MHYDN4CSA")</f>
        <v>MHYDN4CSA</v>
      </c>
      <c r="B10259" t="s">
        <v>10</v>
      </c>
      <c r="C10259" t="s">
        <v>20</v>
      </c>
      <c r="D10259" t="str">
        <f>HYPERLINK("https://us2.cloudbeds.com/connect/10074733072513#/reservations/31693160153303?display=Jacob%20Peterson&amp;reservation_id=31693160153303&amp;guest_id=31693160153290", "Jacob Peterson")</f>
        <v>Jacob Peterson</v>
      </c>
      <c r="E10259" t="s">
        <v>9064</v>
      </c>
      <c r="F10259" t="s">
        <v>8789</v>
      </c>
      <c r="G10259">
        <v>258</v>
      </c>
      <c r="H10259">
        <v>280.45999999999998</v>
      </c>
      <c r="I10259">
        <v>280.45</v>
      </c>
      <c r="J10259">
        <v>0.01</v>
      </c>
    </row>
    <row r="10260" spans="1:10" x14ac:dyDescent="0.3">
      <c r="A10260" t="str">
        <f>HYPERLINK("https://us2.cloudbeds.com/connect/10074733072513#/reservations/31730845958339?display=MXHJYQFEA&amp;reservation_id=31730845958339", "MXHJYQFEA")</f>
        <v>MXHJYQFEA</v>
      </c>
      <c r="B10260" t="s">
        <v>10</v>
      </c>
      <c r="C10260" t="s">
        <v>11</v>
      </c>
      <c r="D10260" t="str">
        <f>HYPERLINK("https://us2.cloudbeds.com/connect/10074733072513#/reservations/31730845958339?display=Erin%20Palmer&amp;reservation_id=31730845958339&amp;guest_id=31730845954245", "Erin Palmer")</f>
        <v>Erin Palmer</v>
      </c>
      <c r="E10260" t="s">
        <v>9065</v>
      </c>
      <c r="F10260" t="s">
        <v>8596</v>
      </c>
      <c r="G10260">
        <v>189</v>
      </c>
      <c r="H10260">
        <v>205.45</v>
      </c>
      <c r="I10260">
        <v>205.44</v>
      </c>
      <c r="J10260">
        <v>0.01</v>
      </c>
    </row>
    <row r="10261" spans="1:10" x14ac:dyDescent="0.3">
      <c r="A10261" t="str">
        <f>HYPERLINK("https://us2.cloudbeds.com/connect/10074733072513#/reservations/31693957988581?display=MHM12TAVU&amp;reservation_id=31693957988581", "MHM12TAVU")</f>
        <v>MHM12TAVU</v>
      </c>
      <c r="B10261" t="s">
        <v>10</v>
      </c>
      <c r="C10261" t="s">
        <v>42</v>
      </c>
      <c r="D10261" t="str">
        <f>HYPERLINK("https://us2.cloudbeds.com/connect/10074733072513#/reservations/31693957988581?display=Garry%20Anderson&amp;reservation_id=31693957988581&amp;guest_id=31693947683017", "Garry Anderson")</f>
        <v>Garry Anderson</v>
      </c>
      <c r="E10261" t="s">
        <v>9067</v>
      </c>
      <c r="F10261" t="s">
        <v>8789</v>
      </c>
      <c r="G10261">
        <v>73</v>
      </c>
      <c r="H10261">
        <v>79.36</v>
      </c>
      <c r="I10261">
        <v>79.349999999999994</v>
      </c>
      <c r="J10261">
        <v>0.01</v>
      </c>
    </row>
    <row r="10262" spans="1:10" x14ac:dyDescent="0.3">
      <c r="A10262" t="str">
        <f>HYPERLINK("https://us2.cloudbeds.com/connect/10074733072513#/reservations/31693203542249?display=MHYEQNZPS&amp;reservation_id=31693203542249", "MHYEQNZPS")</f>
        <v>MHYEQNZPS</v>
      </c>
      <c r="B10262" t="s">
        <v>10</v>
      </c>
      <c r="C10262" t="s">
        <v>42</v>
      </c>
      <c r="D10262" t="str">
        <f>HYPERLINK("https://us2.cloudbeds.com/connect/10074733072513#/reservations/31693203542249?display=Brian%20Kirk&amp;reservation_id=31693203542249&amp;guest_id=30677036052611", "Brian Kirk")</f>
        <v>Brian Kirk</v>
      </c>
      <c r="E10262" t="s">
        <v>9068</v>
      </c>
      <c r="F10262" t="s">
        <v>8789</v>
      </c>
      <c r="G10262">
        <v>73</v>
      </c>
      <c r="H10262">
        <v>79.36</v>
      </c>
      <c r="I10262">
        <v>79.349999999999994</v>
      </c>
      <c r="J10262">
        <v>0.01</v>
      </c>
    </row>
    <row r="10263" spans="1:10" x14ac:dyDescent="0.3">
      <c r="A10263" t="str">
        <f>HYPERLINK("https://us2.cloudbeds.com/connect/10074733072513#/reservations/31694968344744?display=MHMQTRWDB&amp;reservation_id=31694968344744", "MHMQTRWDB")</f>
        <v>MHMQTRWDB</v>
      </c>
      <c r="B10263" t="s">
        <v>10</v>
      </c>
      <c r="C10263" t="s">
        <v>42</v>
      </c>
      <c r="D10263" t="str">
        <f>HYPERLINK("https://us2.cloudbeds.com/connect/10074733072513#/reservations/31694968344744?display=Feliciano%20Ibarra&amp;reservation_id=31694968344744&amp;guest_id=31694968344741", "Feliciano Ibarra")</f>
        <v>Feliciano Ibarra</v>
      </c>
      <c r="E10263" t="s">
        <v>9070</v>
      </c>
      <c r="F10263" t="s">
        <v>8027</v>
      </c>
      <c r="G10263">
        <v>258</v>
      </c>
      <c r="H10263">
        <v>280.45999999999998</v>
      </c>
      <c r="I10263">
        <v>280.45</v>
      </c>
      <c r="J10263">
        <v>0.01</v>
      </c>
    </row>
    <row r="10264" spans="1:10" x14ac:dyDescent="0.3">
      <c r="A10264" t="str">
        <f>HYPERLINK("https://us2.cloudbeds.com/connect/10074733072513#/reservations/31734122340490?display=MXK4CHKQU&amp;reservation_id=31734122340490", "MXK4CHKQU")</f>
        <v>MXK4CHKQU</v>
      </c>
      <c r="B10264" t="s">
        <v>10</v>
      </c>
      <c r="C10264" t="s">
        <v>20</v>
      </c>
      <c r="D10264" t="str">
        <f>HYPERLINK("https://us2.cloudbeds.com/connect/10074733072513#/reservations/31734122340490?display=Marie%20Mergenthal&amp;reservation_id=31734122340490&amp;guest_id=31734122340487", "Marie Mergenthal")</f>
        <v>Marie Mergenthal</v>
      </c>
      <c r="E10264" t="s">
        <v>9071</v>
      </c>
      <c r="F10264" t="s">
        <v>7751</v>
      </c>
      <c r="G10264">
        <v>189</v>
      </c>
      <c r="H10264">
        <v>205.45</v>
      </c>
      <c r="I10264">
        <v>205.44</v>
      </c>
      <c r="J10264">
        <v>0.01</v>
      </c>
    </row>
    <row r="10265" spans="1:10" x14ac:dyDescent="0.3">
      <c r="A10265" t="str">
        <f>HYPERLINK("https://us2.cloudbeds.com/connect/10074733072513#/reservations/31729885544677?display=MXGS3VHT0&amp;reservation_id=31729885544677", "MXGS3VHT0")</f>
        <v>MXGS3VHT0</v>
      </c>
      <c r="B10265" t="s">
        <v>10</v>
      </c>
      <c r="C10265" t="s">
        <v>42</v>
      </c>
      <c r="D10265" t="str">
        <f>HYPERLINK("https://us2.cloudbeds.com/connect/10074733072513#/reservations/31729885544677?display=Clair%20Vandenboom&amp;reservation_id=31729885544677&amp;guest_id=31729885544656", "Clair Vandenboom")</f>
        <v>Clair Vandenboom</v>
      </c>
      <c r="E10265" t="s">
        <v>9072</v>
      </c>
      <c r="F10265" t="s">
        <v>8918</v>
      </c>
      <c r="G10265">
        <v>189</v>
      </c>
      <c r="H10265">
        <v>205.45</v>
      </c>
      <c r="I10265">
        <v>205.44</v>
      </c>
      <c r="J10265">
        <v>0.01</v>
      </c>
    </row>
    <row r="10266" spans="1:10" x14ac:dyDescent="0.3">
      <c r="A10266" t="str">
        <f>HYPERLINK("https://us2.cloudbeds.com/connect/10074733072513#/reservations/31693929853121?display=MHM0C5DU7&amp;reservation_id=31693929853121", "MHM0C5DU7")</f>
        <v>MHM0C5DU7</v>
      </c>
      <c r="B10266" t="s">
        <v>10</v>
      </c>
      <c r="C10266" t="s">
        <v>121</v>
      </c>
      <c r="D10266" t="str">
        <f>HYPERLINK("https://us2.cloudbeds.com/connect/10074733072513#/reservations/31693929853121?display=Jaymie%20Deyo&amp;reservation_id=31693929853121&amp;guest_id=31693929849084", "Jaymie Deyo")</f>
        <v>Jaymie Deyo</v>
      </c>
      <c r="E10266" t="s">
        <v>9073</v>
      </c>
      <c r="F10266" t="s">
        <v>8789</v>
      </c>
      <c r="G10266">
        <v>129</v>
      </c>
      <c r="H10266">
        <v>140.22999999999999</v>
      </c>
      <c r="I10266">
        <v>140.22</v>
      </c>
      <c r="J10266">
        <v>0.01</v>
      </c>
    </row>
    <row r="10267" spans="1:10" x14ac:dyDescent="0.3">
      <c r="A10267" t="str">
        <f>HYPERLINK("https://us2.cloudbeds.com/connect/10074733072513#/reservations/31734705451225?display=MXKJ97X16&amp;reservation_id=31734705451225", "MXKJ97X16")</f>
        <v>MXKJ97X16</v>
      </c>
      <c r="B10267" t="s">
        <v>10</v>
      </c>
      <c r="C10267" t="s">
        <v>42</v>
      </c>
      <c r="D10267" t="str">
        <f>HYPERLINK("https://us2.cloudbeds.com/connect/10074733072513#/reservations/31734705451225?display=Jacqueline%20Bader&amp;reservation_id=31734705451225&amp;guest_id=31734705451222", "Jacqueline Bader")</f>
        <v>Jacqueline Bader</v>
      </c>
      <c r="E10267" t="s">
        <v>9074</v>
      </c>
      <c r="F10267" t="s">
        <v>9021</v>
      </c>
      <c r="G10267">
        <v>398</v>
      </c>
      <c r="H10267">
        <v>432.64</v>
      </c>
      <c r="I10267">
        <v>432.63</v>
      </c>
      <c r="J10267">
        <v>0.01</v>
      </c>
    </row>
    <row r="10268" spans="1:10" x14ac:dyDescent="0.3">
      <c r="A10268" t="str">
        <f>HYPERLINK("https://us2.cloudbeds.com/connect/10074733072513#/reservations/31694989205719?display=MHMREEFFV&amp;reservation_id=31694989205719", "MHMREEFFV")</f>
        <v>MHMREEFFV</v>
      </c>
      <c r="B10268" t="s">
        <v>10</v>
      </c>
      <c r="C10268" t="s">
        <v>11</v>
      </c>
      <c r="D10268" t="str">
        <f>HYPERLINK("https://us2.cloudbeds.com/connect/10074733072513#/reservations/31694989205719?display=Linda%20Moyer&amp;reservation_id=31694989205719&amp;guest_id=31694989201627", "Linda Moyer")</f>
        <v>Linda Moyer</v>
      </c>
      <c r="E10268" t="s">
        <v>9075</v>
      </c>
      <c r="F10268" t="s">
        <v>8027</v>
      </c>
      <c r="G10268">
        <v>97.74</v>
      </c>
      <c r="H10268">
        <v>106.25</v>
      </c>
      <c r="I10268">
        <v>106.24</v>
      </c>
      <c r="J10268">
        <v>0.01</v>
      </c>
    </row>
    <row r="10269" spans="1:10" x14ac:dyDescent="0.3">
      <c r="A10269" t="str">
        <f>HYPERLINK("https://us2.cloudbeds.com/connect/10074733072513#/reservations/31734110413003?display=MXK42FZ3U&amp;reservation_id=31734110413003", "MXK42FZ3U")</f>
        <v>MXK42FZ3U</v>
      </c>
      <c r="B10269" t="s">
        <v>10</v>
      </c>
      <c r="C10269" t="s">
        <v>11</v>
      </c>
      <c r="D10269" t="str">
        <f>HYPERLINK("https://us2.cloudbeds.com/connect/10074733072513#/reservations/31734110413003?display=Dean%20E%20Wagner&amp;reservation_id=31734110413003&amp;guest_id=31734110413001", "Dean E Wagner")</f>
        <v>Dean E Wagner</v>
      </c>
      <c r="E10269" t="s">
        <v>9076</v>
      </c>
      <c r="F10269" t="s">
        <v>7751</v>
      </c>
      <c r="G10269">
        <v>749.78</v>
      </c>
      <c r="H10269">
        <v>815.02</v>
      </c>
      <c r="I10269">
        <v>815.01</v>
      </c>
      <c r="J10269">
        <v>0.01</v>
      </c>
    </row>
    <row r="10270" spans="1:10" x14ac:dyDescent="0.3">
      <c r="A10270" t="str">
        <f>HYPERLINK("https://us2.cloudbeds.com/connect/10074733072513#/reservations/31732879372424?display=MXJ5KE6WV&amp;reservation_id=31732879372424", "MXJ5KE6WV")</f>
        <v>MXJ5KE6WV</v>
      </c>
      <c r="B10270" t="s">
        <v>10</v>
      </c>
      <c r="C10270" t="s">
        <v>42</v>
      </c>
      <c r="D10270" t="str">
        <f>HYPERLINK("https://us2.cloudbeds.com/connect/10074733072513#/reservations/31732879372424?display=Tom%20Stodolka&amp;reservation_id=31732879372424&amp;guest_id=31732879372422", "Tom Stodolka")</f>
        <v>Tom Stodolka</v>
      </c>
      <c r="E10270" t="s">
        <v>9077</v>
      </c>
      <c r="F10270" t="s">
        <v>9021</v>
      </c>
      <c r="G10270">
        <v>398</v>
      </c>
      <c r="H10270">
        <v>432.64</v>
      </c>
      <c r="I10270">
        <v>432.63</v>
      </c>
      <c r="J10270">
        <v>0.01</v>
      </c>
    </row>
    <row r="10271" spans="1:10" x14ac:dyDescent="0.3">
      <c r="A10271" t="str">
        <f>HYPERLINK("https://us2.cloudbeds.com/connect/10074733072513#/reservations/31733313863882?display=MXJGNQJ1P&amp;reservation_id=31733313863882", "MXJGNQJ1P")</f>
        <v>MXJGNQJ1P</v>
      </c>
      <c r="B10271" t="s">
        <v>10</v>
      </c>
      <c r="C10271" t="s">
        <v>42</v>
      </c>
      <c r="D10271" t="str">
        <f>HYPERLINK("https://us2.cloudbeds.com/connect/10074733072513#/reservations/31733313863882?display=Brad%20Dannen&amp;reservation_id=31733313863882&amp;guest_id=31715096662145", "Brad Dannen")</f>
        <v>Brad Dannen</v>
      </c>
      <c r="E10271" t="s">
        <v>9078</v>
      </c>
      <c r="F10271" t="s">
        <v>9079</v>
      </c>
      <c r="G10271">
        <v>139</v>
      </c>
      <c r="H10271">
        <v>151.1</v>
      </c>
      <c r="I10271">
        <v>151.09</v>
      </c>
      <c r="J10271">
        <v>0.01</v>
      </c>
    </row>
    <row r="10272" spans="1:10" x14ac:dyDescent="0.3">
      <c r="A10272" t="str">
        <f>HYPERLINK("https://us2.cloudbeds.com/connect/10074733072513#/reservations/31734674763945?display=MXKXGBKNK&amp;reservation_id=31734674763945", "MXKXGBKNK")</f>
        <v>MXKXGBKNK</v>
      </c>
      <c r="B10272" t="s">
        <v>10</v>
      </c>
      <c r="C10272" t="s">
        <v>42</v>
      </c>
      <c r="D10272" t="str">
        <f>HYPERLINK("https://us2.cloudbeds.com/connect/10074733072513#/reservations/31734674763945?display=Troy%20Soderberg&amp;reservation_id=31734674763945&amp;guest_id=31734674763940", "Troy Soderberg")</f>
        <v>Troy Soderberg</v>
      </c>
      <c r="E10272" t="s">
        <v>9080</v>
      </c>
      <c r="F10272" t="s">
        <v>9021</v>
      </c>
      <c r="G10272">
        <v>398</v>
      </c>
      <c r="H10272">
        <v>432.64</v>
      </c>
      <c r="I10272">
        <v>432.63</v>
      </c>
      <c r="J10272">
        <v>0.01</v>
      </c>
    </row>
    <row r="10273" spans="1:10" x14ac:dyDescent="0.3">
      <c r="A10273" t="str">
        <f>HYPERLINK("https://us2.cloudbeds.com/connect/10074733072513#/reservations/31730431783051?display=MXH92XE60&amp;reservation_id=31730431783051", "MXH92XE60")</f>
        <v>MXH92XE60</v>
      </c>
      <c r="B10273" t="s">
        <v>10</v>
      </c>
      <c r="C10273" t="s">
        <v>42</v>
      </c>
      <c r="D10273" t="str">
        <f>HYPERLINK("https://us2.cloudbeds.com/connect/10074733072513#/reservations/31730431783051?display=Elaine%20Harty&amp;reservation_id=31730431783051&amp;guest_id=31730431783047", "Elaine Harty")</f>
        <v>Elaine Harty</v>
      </c>
      <c r="E10273" t="s">
        <v>9081</v>
      </c>
      <c r="F10273" t="s">
        <v>8443</v>
      </c>
      <c r="G10273">
        <v>179</v>
      </c>
      <c r="H10273">
        <v>194.58</v>
      </c>
      <c r="I10273">
        <v>194.57</v>
      </c>
      <c r="J10273">
        <v>0.01</v>
      </c>
    </row>
    <row r="10274" spans="1:10" x14ac:dyDescent="0.3">
      <c r="A10274" t="str">
        <f>HYPERLINK("https://us2.cloudbeds.com/connect/10074733072513#/reservations/31693922099372?display=MHM05KYS4&amp;reservation_id=31693922099372", "MHM05KYS4")</f>
        <v>MHM05KYS4</v>
      </c>
      <c r="B10274" t="s">
        <v>10</v>
      </c>
      <c r="C10274" t="s">
        <v>121</v>
      </c>
      <c r="D10274" t="str">
        <f>HYPERLINK("https://us2.cloudbeds.com/connect/10074733072513#/reservations/31693922099372?display=Travis%20Hulstein&amp;reservation_id=31693922099372&amp;guest_id=31693922099367", "Travis Hulstein")</f>
        <v>Travis Hulstein</v>
      </c>
      <c r="E10274" t="s">
        <v>9082</v>
      </c>
      <c r="F10274" t="s">
        <v>8789</v>
      </c>
      <c r="G10274">
        <v>129</v>
      </c>
      <c r="H10274">
        <v>140.22999999999999</v>
      </c>
      <c r="I10274">
        <v>140.22</v>
      </c>
      <c r="J10274">
        <v>0.01</v>
      </c>
    </row>
    <row r="10275" spans="1:10" x14ac:dyDescent="0.3">
      <c r="A10275" t="str">
        <f>HYPERLINK("https://us2.cloudbeds.com/connect/10074733072513#/reservations/31734683828419?display=MXKXNWSCY&amp;reservation_id=31734683828419", "MXKXNWSCY")</f>
        <v>MXKXNWSCY</v>
      </c>
      <c r="B10275" t="s">
        <v>10</v>
      </c>
      <c r="C10275" t="s">
        <v>42</v>
      </c>
      <c r="D10275" t="str">
        <f>HYPERLINK("https://us2.cloudbeds.com/connect/10074733072513#/reservations/31734683828419?display=Robert%20Or%20Stacy%20Kozol&amp;reservation_id=31734683828419&amp;guest_id=31734683828416", "Robert Or Stacy Kozol")</f>
        <v>Robert Or Stacy Kozol</v>
      </c>
      <c r="E10275" t="s">
        <v>9083</v>
      </c>
      <c r="F10275" t="s">
        <v>9021</v>
      </c>
      <c r="G10275">
        <v>615</v>
      </c>
      <c r="H10275">
        <v>668.52</v>
      </c>
      <c r="I10275">
        <v>668.51</v>
      </c>
      <c r="J10275">
        <v>0.01</v>
      </c>
    </row>
    <row r="10276" spans="1:10" x14ac:dyDescent="0.3">
      <c r="A10276" t="str">
        <f>HYPERLINK("https://us2.cloudbeds.com/connect/10074733072513#/reservations/31695781765346?display=MHNEMZK3G&amp;reservation_id=31695781765346", "MHNEMZK3G")</f>
        <v>MHNEMZK3G</v>
      </c>
      <c r="B10276" t="s">
        <v>10</v>
      </c>
      <c r="C10276" t="s">
        <v>42</v>
      </c>
      <c r="D10276" t="str">
        <f>HYPERLINK("https://us2.cloudbeds.com/connect/10074733072513#/reservations/31695781765346?display=Lori%20Bell&amp;reservation_id=31695781765346&amp;guest_id=31695781765341", "Lori Bell")</f>
        <v>Lori Bell</v>
      </c>
      <c r="E10276" t="s">
        <v>9084</v>
      </c>
      <c r="F10276" t="s">
        <v>6604</v>
      </c>
      <c r="G10276">
        <v>179</v>
      </c>
      <c r="H10276">
        <v>194.58</v>
      </c>
      <c r="I10276">
        <v>194.57</v>
      </c>
      <c r="J10276">
        <v>0.01</v>
      </c>
    </row>
    <row r="10277" spans="1:10" x14ac:dyDescent="0.3">
      <c r="A10277" t="str">
        <f>HYPERLINK("https://us2.cloudbeds.com/connect/10074733072513#/reservations/31728115720338?display=MXFFTJXRE&amp;reservation_id=31728115720338", "MXFFTJXRE")</f>
        <v>MXFFTJXRE</v>
      </c>
      <c r="B10277" t="s">
        <v>10</v>
      </c>
      <c r="C10277" t="s">
        <v>42</v>
      </c>
      <c r="D10277" t="str">
        <f>HYPERLINK("https://us2.cloudbeds.com/connect/10074733072513#/reservations/31728115720338?display=Autumn%20Chetrit&amp;reservation_id=31728115720338&amp;guest_id=31728115720336", "Autumn Chetrit")</f>
        <v>Autumn Chetrit</v>
      </c>
      <c r="E10277" t="s">
        <v>9085</v>
      </c>
      <c r="F10277" t="s">
        <v>6916</v>
      </c>
      <c r="G10277">
        <v>159</v>
      </c>
      <c r="H10277">
        <v>172.84</v>
      </c>
      <c r="I10277">
        <v>172.83</v>
      </c>
      <c r="J10277">
        <v>0.01</v>
      </c>
    </row>
    <row r="10278" spans="1:10" x14ac:dyDescent="0.3">
      <c r="A10278" t="str">
        <f>HYPERLINK("https://us2.cloudbeds.com/connect/10074733072513#/reservations/31694498844885?display=MHMETVF1T&amp;reservation_id=31694498844885", "MHMETVF1T")</f>
        <v>MHMETVF1T</v>
      </c>
      <c r="B10278" t="s">
        <v>10</v>
      </c>
      <c r="C10278" t="s">
        <v>23</v>
      </c>
      <c r="D10278" t="str">
        <f>HYPERLINK("https://us2.cloudbeds.com/connect/10074733072513#/reservations/31694498844885?display=Joe%20Gaa&amp;reservation_id=31694498844885&amp;guest_id=31694488125619", "Joe Gaa")</f>
        <v>Joe Gaa</v>
      </c>
      <c r="E10278" t="s">
        <v>9090</v>
      </c>
      <c r="F10278" t="s">
        <v>9091</v>
      </c>
      <c r="G10278">
        <v>139</v>
      </c>
      <c r="H10278">
        <v>151.1</v>
      </c>
      <c r="I10278">
        <v>151.09</v>
      </c>
      <c r="J10278">
        <v>0.01</v>
      </c>
    </row>
    <row r="10279" spans="1:10" x14ac:dyDescent="0.3">
      <c r="A10279" t="str">
        <f>HYPERLINK("https://us2.cloudbeds.com/connect/10074733072513#/reservations/31692600029354?display=MHKWCR3QA&amp;reservation_id=31692600029354", "MHKWCR3QA")</f>
        <v>MHKWCR3QA</v>
      </c>
      <c r="B10279" t="s">
        <v>10</v>
      </c>
      <c r="C10279" t="s">
        <v>11</v>
      </c>
      <c r="D10279" t="str">
        <f>HYPERLINK("https://us2.cloudbeds.com/connect/10074733072513#/reservations/31692600029354?display=Janice%20Bailles&amp;reservation_id=31692600029354&amp;guest_id=31692600029333", "Janice Bailles")</f>
        <v>Janice Bailles</v>
      </c>
      <c r="E10279" t="s">
        <v>9092</v>
      </c>
      <c r="F10279" t="s">
        <v>9041</v>
      </c>
      <c r="G10279">
        <v>110.86</v>
      </c>
      <c r="H10279">
        <v>120.51</v>
      </c>
      <c r="I10279">
        <v>120.5</v>
      </c>
      <c r="J10279">
        <v>0.01</v>
      </c>
    </row>
    <row r="10280" spans="1:10" x14ac:dyDescent="0.3">
      <c r="A10280" t="str">
        <f>HYPERLINK("https://us2.cloudbeds.com/connect/10074733072513#/reservations/31732278497512?display=MXXN8ZWD9&amp;reservation_id=31732278497512", "MXXN8ZWD9")</f>
        <v>MXXN8ZWD9</v>
      </c>
      <c r="B10280" t="s">
        <v>10</v>
      </c>
      <c r="C10280" t="s">
        <v>23</v>
      </c>
      <c r="D10280" t="str">
        <f>HYPERLINK("https://us2.cloudbeds.com/connect/10074733072513#/reservations/31732278497512?display=Elizabeth%20Cannon&amp;reservation_id=31732278497512&amp;guest_id=31732268220652", "Elizabeth Cannon")</f>
        <v>Elizabeth Cannon</v>
      </c>
      <c r="E10280" t="s">
        <v>9093</v>
      </c>
      <c r="F10280" t="s">
        <v>8767</v>
      </c>
      <c r="G10280">
        <v>497</v>
      </c>
      <c r="H10280">
        <v>540.25</v>
      </c>
      <c r="I10280">
        <v>540.24</v>
      </c>
      <c r="J10280">
        <v>0.01</v>
      </c>
    </row>
    <row r="10281" spans="1:10" x14ac:dyDescent="0.3">
      <c r="A10281" t="str">
        <f>HYPERLINK("https://us2.cloudbeds.com/connect/10074733072513#/reservations/31692684669143?display=MHY1X6B9D&amp;reservation_id=31692684669143", "MHY1X6B9D")</f>
        <v>MHY1X6B9D</v>
      </c>
      <c r="B10281" t="s">
        <v>10</v>
      </c>
      <c r="C10281" t="s">
        <v>42</v>
      </c>
      <c r="D10281" t="str">
        <f>HYPERLINK("https://us2.cloudbeds.com/connect/10074733072513#/reservations/31692684669143?display=Josh%20Byers&amp;reservation_id=31692684669143&amp;guest_id=31692673499274", "Josh Byers")</f>
        <v>Josh Byers</v>
      </c>
      <c r="E10281" t="s">
        <v>9094</v>
      </c>
      <c r="F10281" t="s">
        <v>9041</v>
      </c>
      <c r="G10281">
        <v>139</v>
      </c>
      <c r="H10281">
        <v>151.1</v>
      </c>
      <c r="I10281">
        <v>151.09</v>
      </c>
      <c r="J10281">
        <v>0.01</v>
      </c>
    </row>
    <row r="10282" spans="1:10" x14ac:dyDescent="0.3">
      <c r="A10282" t="str">
        <f>HYPERLINK("https://us2.cloudbeds.com/connect/10074733072513#/reservations/31692645937393?display=MHY0XHXV0&amp;reservation_id=31692645937393", "MHY0XHXV0")</f>
        <v>MHY0XHXV0</v>
      </c>
      <c r="B10282" t="s">
        <v>10</v>
      </c>
      <c r="C10282" t="s">
        <v>42</v>
      </c>
      <c r="D10282" t="str">
        <f>HYPERLINK("https://us2.cloudbeds.com/connect/10074733072513#/reservations/31692645937393?display=Charles%20Greer&amp;reservation_id=31692645937393&amp;guest_id=31692645937389", "Charles Greer")</f>
        <v>Charles Greer</v>
      </c>
      <c r="E10282" t="s">
        <v>7962</v>
      </c>
      <c r="F10282" t="s">
        <v>9041</v>
      </c>
      <c r="G10282">
        <v>149</v>
      </c>
      <c r="H10282">
        <v>161.97</v>
      </c>
      <c r="I10282">
        <v>161.96</v>
      </c>
      <c r="J10282">
        <v>0.01</v>
      </c>
    </row>
    <row r="10283" spans="1:10" x14ac:dyDescent="0.3">
      <c r="A10283" t="str">
        <f>HYPERLINK("https://us2.cloudbeds.com/connect/10074733072513#/reservations/31692611240130?display=MHKWM92BQ&amp;reservation_id=31692611240130", "MHKWM92BQ")</f>
        <v>MHKWM92BQ</v>
      </c>
      <c r="B10283" t="s">
        <v>10</v>
      </c>
      <c r="C10283" t="s">
        <v>42</v>
      </c>
      <c r="D10283" t="str">
        <f>HYPERLINK("https://us2.cloudbeds.com/connect/10074733072513#/reservations/31692611240130?display=Jordan%20Fitch&amp;reservation_id=31692611240130&amp;guest_id=31688083947747", "Jordan Fitch")</f>
        <v>Jordan Fitch</v>
      </c>
      <c r="E10283" t="s">
        <v>7464</v>
      </c>
      <c r="F10283" t="s">
        <v>9041</v>
      </c>
      <c r="G10283">
        <v>139</v>
      </c>
      <c r="H10283">
        <v>151.1</v>
      </c>
      <c r="I10283">
        <v>151.09</v>
      </c>
      <c r="J10283">
        <v>0.01</v>
      </c>
    </row>
    <row r="10284" spans="1:10" x14ac:dyDescent="0.3">
      <c r="A10284" t="str">
        <f>HYPERLINK("https://us2.cloudbeds.com/connect/10074733072513#/reservations/31726565793992?display=MXE99YJAD&amp;reservation_id=31726565793992", "MXE99YJAD")</f>
        <v>MXE99YJAD</v>
      </c>
      <c r="B10284" t="s">
        <v>10</v>
      </c>
      <c r="C10284" t="s">
        <v>23</v>
      </c>
      <c r="D10284" t="str">
        <f>HYPERLINK("https://us2.cloudbeds.com/connect/10074733072513#/reservations/31726565793992?display=Travis%20Trudeau&amp;reservation_id=31726565793992&amp;guest_id=31726565789901", "Travis Trudeau")</f>
        <v>Travis Trudeau</v>
      </c>
      <c r="E10284" t="s">
        <v>9095</v>
      </c>
      <c r="F10284" t="s">
        <v>9096</v>
      </c>
      <c r="G10284">
        <v>398</v>
      </c>
      <c r="H10284">
        <v>432.64</v>
      </c>
      <c r="I10284">
        <v>432.63</v>
      </c>
      <c r="J10284">
        <v>0.01</v>
      </c>
    </row>
    <row r="10285" spans="1:10" x14ac:dyDescent="0.3">
      <c r="A10285" t="str">
        <f>HYPERLINK("https://us2.cloudbeds.com/connect/10074733072513#/reservations/31694553497839?display=MHMGA18DW&amp;reservation_id=31694553497839", "MHMGA18DW")</f>
        <v>MHMGA18DW</v>
      </c>
      <c r="B10285" t="s">
        <v>10</v>
      </c>
      <c r="C10285" t="s">
        <v>121</v>
      </c>
      <c r="D10285" t="str">
        <f>HYPERLINK("https://us2.cloudbeds.com/connect/10074733072513#/reservations/31694553497839?display=Brian%20Siefker&amp;reservation_id=31694553497839&amp;guest_id=31694553497820", "Brian Siefker")</f>
        <v>Brian Siefker</v>
      </c>
      <c r="E10285" t="s">
        <v>9097</v>
      </c>
      <c r="F10285" t="s">
        <v>9091</v>
      </c>
      <c r="G10285">
        <v>129</v>
      </c>
      <c r="H10285">
        <v>140.22999999999999</v>
      </c>
      <c r="I10285">
        <v>140.22</v>
      </c>
      <c r="J10285">
        <v>0.01</v>
      </c>
    </row>
    <row r="10286" spans="1:10" x14ac:dyDescent="0.3">
      <c r="A10286" t="str">
        <f>HYPERLINK("https://us2.cloudbeds.com/connect/10074733072513#/reservations/31692263858335?display=MHKNQBYQZ&amp;reservation_id=31692263858335", "MHKNQBYQZ")</f>
        <v>MHKNQBYQZ</v>
      </c>
      <c r="B10286" t="s">
        <v>10</v>
      </c>
      <c r="C10286" t="s">
        <v>23</v>
      </c>
      <c r="D10286" t="str">
        <f>HYPERLINK("https://us2.cloudbeds.com/connect/10074733072513#/reservations/31692263858335?display=Tristan%20Kruger&amp;reservation_id=31692263858335&amp;guest_id=31691428651196", "Tristan Kruger")</f>
        <v>Tristan Kruger</v>
      </c>
      <c r="E10286" t="s">
        <v>9098</v>
      </c>
      <c r="F10286" t="s">
        <v>9043</v>
      </c>
      <c r="G10286">
        <v>258</v>
      </c>
      <c r="H10286">
        <v>280.45999999999998</v>
      </c>
      <c r="I10286">
        <v>280.45</v>
      </c>
      <c r="J10286">
        <v>0.01</v>
      </c>
    </row>
    <row r="10287" spans="1:10" x14ac:dyDescent="0.3">
      <c r="A10287" t="str">
        <f>HYPERLINK("https://us2.cloudbeds.com/connect/10074733072513#/reservations/31694277775558?display=MHM98HSUC&amp;reservation_id=31694277775558", "MHM98HSUC")</f>
        <v>MHM98HSUC</v>
      </c>
      <c r="B10287" t="s">
        <v>10</v>
      </c>
      <c r="C10287" t="s">
        <v>42</v>
      </c>
      <c r="D10287" t="str">
        <f>HYPERLINK("https://us2.cloudbeds.com/connect/10074733072513#/reservations/31694277775558?display=Cindy%20Zuehlke&amp;reservation_id=31694277775558&amp;guest_id=30661508612273", "Cindy Zuehlke")</f>
        <v>Cindy Zuehlke</v>
      </c>
      <c r="E10287" t="s">
        <v>9102</v>
      </c>
      <c r="F10287" t="s">
        <v>6746</v>
      </c>
      <c r="G10287">
        <v>219</v>
      </c>
      <c r="H10287">
        <v>238.06</v>
      </c>
      <c r="I10287">
        <v>238.05</v>
      </c>
      <c r="J10287">
        <v>0.01</v>
      </c>
    </row>
    <row r="10288" spans="1:10" x14ac:dyDescent="0.3">
      <c r="A10288" t="str">
        <f>HYPERLINK("https://us2.cloudbeds.com/connect/10074733072513#/reservations/31695892058247?display=MHNHGZM5K&amp;reservation_id=31695892058247", "MHNHGZM5K")</f>
        <v>MHNHGZM5K</v>
      </c>
      <c r="B10288" t="s">
        <v>10</v>
      </c>
      <c r="C10288" t="s">
        <v>121</v>
      </c>
      <c r="D10288" t="str">
        <f>HYPERLINK("https://us2.cloudbeds.com/connect/10074733072513#/reservations/31695892058247?display=Christopher%20Carlson&amp;reservation_id=31695892058247&amp;guest_id=31695878602972", "Christopher Carlson")</f>
        <v>Christopher Carlson</v>
      </c>
      <c r="E10288" t="s">
        <v>9103</v>
      </c>
      <c r="F10288" t="s">
        <v>9104</v>
      </c>
      <c r="G10288">
        <v>258</v>
      </c>
      <c r="H10288">
        <v>280.45999999999998</v>
      </c>
      <c r="I10288">
        <v>280.45</v>
      </c>
      <c r="J10288">
        <v>0.01</v>
      </c>
    </row>
    <row r="10289" spans="1:10" x14ac:dyDescent="0.3">
      <c r="A10289" t="str">
        <f>HYPERLINK("https://us2.cloudbeds.com/connect/10074733072513#/reservations/31695994716333?display=MHNK4A9CN&amp;reservation_id=31695994716333", "MHNK4A9CN")</f>
        <v>MHNK4A9CN</v>
      </c>
      <c r="B10289" t="s">
        <v>10</v>
      </c>
      <c r="C10289" t="s">
        <v>14</v>
      </c>
      <c r="D10289" t="str">
        <f>HYPERLINK("https://us2.cloudbeds.com/connect/10074733072513#/reservations/31695994716333?display=Jason%20Bentley&amp;reservation_id=31695994716333&amp;guest_id=31695994716320", "Jason Bentley")</f>
        <v>Jason Bentley</v>
      </c>
      <c r="E10289" t="s">
        <v>9105</v>
      </c>
      <c r="F10289" t="s">
        <v>9091</v>
      </c>
      <c r="G10289">
        <v>102.58</v>
      </c>
      <c r="H10289">
        <v>111.51</v>
      </c>
      <c r="I10289">
        <v>111.5</v>
      </c>
      <c r="J10289">
        <v>0.01</v>
      </c>
    </row>
    <row r="10290" spans="1:10" x14ac:dyDescent="0.3">
      <c r="A10290" t="str">
        <f>HYPERLINK("https://us2.cloudbeds.com/connect/10074733072513#/reservations/31696068284595?display=MHNM0BE5W&amp;reservation_id=31696068284595", "MHNM0BE5W")</f>
        <v>MHNM0BE5W</v>
      </c>
      <c r="B10290" t="s">
        <v>10</v>
      </c>
      <c r="C10290" t="s">
        <v>14</v>
      </c>
      <c r="D10290" t="str">
        <f>HYPERLINK("https://us2.cloudbeds.com/connect/10074733072513#/reservations/31696068284595?display=Joshua%20Nichols&amp;reservation_id=31696068284595&amp;guest_id=31696068284590", "Joshua Nichols")</f>
        <v>Joshua Nichols</v>
      </c>
      <c r="E10290" t="s">
        <v>9106</v>
      </c>
      <c r="F10290" t="s">
        <v>9104</v>
      </c>
      <c r="G10290">
        <v>231.58</v>
      </c>
      <c r="H10290">
        <v>251.74</v>
      </c>
      <c r="I10290">
        <v>251.73</v>
      </c>
      <c r="J10290">
        <v>0.01</v>
      </c>
    </row>
    <row r="10291" spans="1:10" x14ac:dyDescent="0.3">
      <c r="A10291" t="str">
        <f>HYPERLINK("https://us2.cloudbeds.com/connect/10074733072513#/reservations/31693774852286?display=MHYTDF9Z7&amp;reservation_id=31693774852286", "MHYTDF9Z7")</f>
        <v>MHYTDF9Z7</v>
      </c>
      <c r="B10291" t="s">
        <v>10</v>
      </c>
      <c r="C10291" t="s">
        <v>42</v>
      </c>
      <c r="D10291" t="str">
        <f>HYPERLINK("https://us2.cloudbeds.com/connect/10074733072513#/reservations/31693774852286?display=Denise%20Duffy&amp;reservation_id=31693774852286&amp;guest_id=31690554331268", "Denise Duffy")</f>
        <v>Denise Duffy</v>
      </c>
      <c r="E10291" t="s">
        <v>8274</v>
      </c>
      <c r="F10291" t="s">
        <v>8793</v>
      </c>
      <c r="G10291">
        <v>178</v>
      </c>
      <c r="H10291">
        <v>193.5</v>
      </c>
      <c r="I10291">
        <v>193.49</v>
      </c>
      <c r="J10291">
        <v>0.01</v>
      </c>
    </row>
    <row r="10292" spans="1:10" x14ac:dyDescent="0.3">
      <c r="A10292" t="str">
        <f>HYPERLINK("https://us2.cloudbeds.com/connect/10074733072513#/reservations/31695975866564?display=MHNJYDP4J&amp;reservation_id=31695975866564", "MHNJYDP4J")</f>
        <v>MHNJYDP4J</v>
      </c>
      <c r="B10292" t="s">
        <v>10</v>
      </c>
      <c r="C10292" t="s">
        <v>42</v>
      </c>
      <c r="D10292" t="str">
        <f>HYPERLINK("https://us2.cloudbeds.com/connect/10074733072513#/reservations/31695975866564?display=Kara%20Heaton&amp;reservation_id=31695975866564&amp;guest_id=31695975866560", "Kara Heaton")</f>
        <v>Kara Heaton</v>
      </c>
      <c r="E10292" t="s">
        <v>9110</v>
      </c>
      <c r="F10292" t="s">
        <v>9091</v>
      </c>
      <c r="G10292">
        <v>129</v>
      </c>
      <c r="H10292">
        <v>140.22999999999999</v>
      </c>
      <c r="I10292">
        <v>140.22</v>
      </c>
      <c r="J10292">
        <v>0.01</v>
      </c>
    </row>
    <row r="10293" spans="1:10" x14ac:dyDescent="0.3">
      <c r="A10293" t="str">
        <f>HYPERLINK("https://us2.cloudbeds.com/connect/10074733072513#/reservations/31696029987017?display=MHNY11ZHA&amp;reservation_id=31696029987017", "MHNY11ZHA")</f>
        <v>MHNY11ZHA</v>
      </c>
      <c r="B10293" t="s">
        <v>10</v>
      </c>
      <c r="C10293" t="s">
        <v>42</v>
      </c>
      <c r="D10293" t="str">
        <f>HYPERLINK("https://us2.cloudbeds.com/connect/10074733072513#/reservations/31696029987017?display=Michael%20Lovell&amp;reservation_id=31696029987017&amp;guest_id=31696029982922", "Michael Lovell")</f>
        <v>Michael Lovell</v>
      </c>
      <c r="E10293" t="s">
        <v>9111</v>
      </c>
      <c r="F10293" t="s">
        <v>9104</v>
      </c>
      <c r="G10293">
        <v>258</v>
      </c>
      <c r="H10293">
        <v>280.45999999999998</v>
      </c>
      <c r="I10293">
        <v>280.45</v>
      </c>
      <c r="J10293">
        <v>0.01</v>
      </c>
    </row>
    <row r="10294" spans="1:10" x14ac:dyDescent="0.3">
      <c r="A10294" t="str">
        <f>HYPERLINK("https://us2.cloudbeds.com/connect/10074733072513#/reservations/31691638411419?display=MHK7QVMCS&amp;reservation_id=31691638411419", "MHK7QVMCS")</f>
        <v>MHK7QVMCS</v>
      </c>
      <c r="B10294" t="s">
        <v>10</v>
      </c>
      <c r="C10294" t="s">
        <v>20</v>
      </c>
      <c r="D10294" t="str">
        <f>HYPERLINK("https://us2.cloudbeds.com/connect/10074733072513#/reservations/31691638411419?display=Seth%20Jones&amp;reservation_id=31691638411419&amp;guest_id=31691638407301", "Seth Jones")</f>
        <v>Seth Jones</v>
      </c>
      <c r="E10294" t="s">
        <v>9112</v>
      </c>
      <c r="F10294" t="s">
        <v>8793</v>
      </c>
      <c r="G10294">
        <v>129</v>
      </c>
      <c r="H10294">
        <v>140.22999999999999</v>
      </c>
      <c r="I10294">
        <v>140.22</v>
      </c>
      <c r="J10294">
        <v>0.01</v>
      </c>
    </row>
    <row r="10295" spans="1:10" x14ac:dyDescent="0.3">
      <c r="A10295" t="str">
        <f>HYPERLINK("https://us2.cloudbeds.com/connect/10074733072513#/reservations/31733457637588?display=MXJKD19YZ&amp;reservation_id=31733457637588", "MXJKD19YZ")</f>
        <v>MXJKD19YZ</v>
      </c>
      <c r="B10295" t="s">
        <v>10</v>
      </c>
      <c r="C10295" t="s">
        <v>17</v>
      </c>
      <c r="D10295" t="str">
        <f>HYPERLINK("https://us2.cloudbeds.com/connect/10074733072513#/reservations/31733457637588?display=Jason%20Curtis&amp;reservation_id=31733457637588&amp;guest_id=31733457637584", "Jason Curtis")</f>
        <v>Jason Curtis</v>
      </c>
      <c r="E10295" t="s">
        <v>9113</v>
      </c>
      <c r="F10295" t="s">
        <v>9018</v>
      </c>
      <c r="G10295">
        <v>209</v>
      </c>
      <c r="H10295">
        <v>227.19</v>
      </c>
      <c r="I10295">
        <v>227.18</v>
      </c>
      <c r="J10295">
        <v>0.01</v>
      </c>
    </row>
    <row r="10296" spans="1:10" x14ac:dyDescent="0.3">
      <c r="A10296" t="str">
        <f>HYPERLINK("https://us2.cloudbeds.com/connect/10074733072513#/reservations/31696003088519?display=MHNKBC8BA&amp;reservation_id=31696003088519", "MHNKBC8BA")</f>
        <v>MHNKBC8BA</v>
      </c>
      <c r="B10296" t="s">
        <v>10</v>
      </c>
      <c r="C10296" t="s">
        <v>42</v>
      </c>
      <c r="D10296" t="str">
        <f>HYPERLINK("https://us2.cloudbeds.com/connect/10074733072513#/reservations/31696003088519?display=Adam%20Hall&amp;reservation_id=31696003088519&amp;guest_id=31696003088517", "Adam Hall")</f>
        <v>Adam Hall</v>
      </c>
      <c r="E10296" t="s">
        <v>9114</v>
      </c>
      <c r="F10296" t="s">
        <v>9091</v>
      </c>
      <c r="G10296">
        <v>73</v>
      </c>
      <c r="H10296">
        <v>79.36</v>
      </c>
      <c r="I10296">
        <v>79.349999999999994</v>
      </c>
      <c r="J10296">
        <v>0.01</v>
      </c>
    </row>
    <row r="10297" spans="1:10" x14ac:dyDescent="0.3">
      <c r="A10297" t="str">
        <f>HYPERLINK("https://us2.cloudbeds.com/connect/10074733072513#/reservations/31692664627439?display=MHY119YH1&amp;reservation_id=31692664627439", "MHY119YH1")</f>
        <v>MHY119YH1</v>
      </c>
      <c r="B10297" t="s">
        <v>10</v>
      </c>
      <c r="C10297" t="s">
        <v>121</v>
      </c>
      <c r="D10297" t="str">
        <f>HYPERLINK("https://us2.cloudbeds.com/connect/10074733072513#/reservations/31692664627439?display=Matthew%20Ashley&amp;reservation_id=31692664627439&amp;guest_id=31686020567187", "Matthew Ashley")</f>
        <v>Matthew Ashley</v>
      </c>
      <c r="E10297" t="s">
        <v>7664</v>
      </c>
      <c r="F10297" t="s">
        <v>9043</v>
      </c>
      <c r="G10297">
        <v>225</v>
      </c>
      <c r="H10297">
        <v>244.59</v>
      </c>
      <c r="I10297">
        <v>244.58</v>
      </c>
      <c r="J10297">
        <v>0.01</v>
      </c>
    </row>
    <row r="10298" spans="1:10" x14ac:dyDescent="0.3">
      <c r="A10298" t="str">
        <f>HYPERLINK("https://us2.cloudbeds.com/connect/10074733072513#/reservations/31691685273804?display=MHK90FMT4&amp;reservation_id=31691685273804", "MHK90FMT4")</f>
        <v>MHK90FMT4</v>
      </c>
      <c r="B10298" t="s">
        <v>10</v>
      </c>
      <c r="C10298" t="s">
        <v>42</v>
      </c>
      <c r="D10298" t="str">
        <f>HYPERLINK("https://us2.cloudbeds.com/connect/10074733072513#/reservations/31691685273804?display=Danny%20Ayers&amp;reservation_id=31691685273804&amp;guest_id=30670869684446", "Danny Ayers")</f>
        <v>Danny Ayers</v>
      </c>
      <c r="E10298" t="s">
        <v>9115</v>
      </c>
      <c r="F10298" t="s">
        <v>8793</v>
      </c>
      <c r="G10298">
        <v>178</v>
      </c>
      <c r="H10298">
        <v>193.5</v>
      </c>
      <c r="I10298">
        <v>193.49</v>
      </c>
      <c r="J10298">
        <v>0.01</v>
      </c>
    </row>
    <row r="10299" spans="1:10" x14ac:dyDescent="0.3">
      <c r="A10299" t="str">
        <f>HYPERLINK("https://us2.cloudbeds.com/connect/10074733072513#/reservations/31694542196951?display=MHMG0GQ3S&amp;reservation_id=31694542196951", "MHMG0GQ3S")</f>
        <v>MHMG0GQ3S</v>
      </c>
      <c r="B10299" t="s">
        <v>10</v>
      </c>
      <c r="C10299" t="s">
        <v>42</v>
      </c>
      <c r="D10299" t="str">
        <f>HYPERLINK("https://us2.cloudbeds.com/connect/10074733072513#/reservations/31694542196951?display=Greg%20Brusven&amp;reservation_id=31694542196951&amp;guest_id=17963408818374", "Greg Brusven")</f>
        <v>Greg Brusven</v>
      </c>
      <c r="E10299" t="s">
        <v>2398</v>
      </c>
      <c r="F10299" t="s">
        <v>9091</v>
      </c>
      <c r="G10299">
        <v>89</v>
      </c>
      <c r="H10299">
        <v>96.75</v>
      </c>
      <c r="I10299">
        <v>96.74</v>
      </c>
      <c r="J10299">
        <v>0.01</v>
      </c>
    </row>
    <row r="10300" spans="1:10" x14ac:dyDescent="0.3">
      <c r="A10300" t="str">
        <f>HYPERLINK("https://us2.cloudbeds.com/connect/10074733072513#/reservations/31694075265267?display=MHM42PZ1T&amp;reservation_id=31694075265267", "MHM42PZ1T")</f>
        <v>MHM42PZ1T</v>
      </c>
      <c r="B10300" t="s">
        <v>10</v>
      </c>
      <c r="C10300" t="s">
        <v>42</v>
      </c>
      <c r="D10300" t="str">
        <f>HYPERLINK("https://us2.cloudbeds.com/connect/10074733072513#/reservations/31694075265267?display=Leonard%20Geiken&amp;reservation_id=31694075265267&amp;guest_id=31694075265264", "Leonard Geiken")</f>
        <v>Leonard Geiken</v>
      </c>
      <c r="E10300" t="s">
        <v>9119</v>
      </c>
      <c r="F10300" t="s">
        <v>6742</v>
      </c>
      <c r="G10300">
        <v>199</v>
      </c>
      <c r="H10300">
        <v>216.32</v>
      </c>
      <c r="I10300">
        <v>216.31</v>
      </c>
      <c r="J10300">
        <v>0.01</v>
      </c>
    </row>
    <row r="10301" spans="1:10" x14ac:dyDescent="0.3">
      <c r="A10301" t="str">
        <f>HYPERLINK("https://us2.cloudbeds.com/connect/10074733072513#/reservations/31691604058321?display=MHK6UWZRT&amp;reservation_id=31691604058321", "MHK6UWZRT")</f>
        <v>MHK6UWZRT</v>
      </c>
      <c r="B10301" t="s">
        <v>10</v>
      </c>
      <c r="C10301" t="s">
        <v>42</v>
      </c>
      <c r="D10301" t="str">
        <f>HYPERLINK("https://us2.cloudbeds.com/connect/10074733072513#/reservations/31691604058321?display=Kayla%20Sharp&amp;reservation_id=31691604058321&amp;guest_id=31691604054240", "Kayla Sharp")</f>
        <v>Kayla Sharp</v>
      </c>
      <c r="E10301" t="s">
        <v>9120</v>
      </c>
      <c r="F10301" t="s">
        <v>8793</v>
      </c>
      <c r="G10301">
        <v>159</v>
      </c>
      <c r="H10301">
        <v>172.84</v>
      </c>
      <c r="I10301">
        <v>172.83</v>
      </c>
      <c r="J10301">
        <v>0.01</v>
      </c>
    </row>
    <row r="10302" spans="1:10" x14ac:dyDescent="0.3">
      <c r="A10302" t="str">
        <f>HYPERLINK("https://us2.cloudbeds.com/connect/10074733072513#/reservations/31733937877186?display=MXJWYWM0R&amp;reservation_id=31733937877186", "MXJWYWM0R")</f>
        <v>MXJWYWM0R</v>
      </c>
      <c r="B10302" t="s">
        <v>10</v>
      </c>
      <c r="C10302" t="s">
        <v>11</v>
      </c>
      <c r="D10302" t="str">
        <f>HYPERLINK("https://us2.cloudbeds.com/connect/10074733072513#/reservations/31733937877186?display=Lacey%20Barnes&amp;reservation_id=31733937877186&amp;guest_id=31733928898723", "Lacey Barnes")</f>
        <v>Lacey Barnes</v>
      </c>
      <c r="E10302" t="s">
        <v>9123</v>
      </c>
      <c r="F10302" t="s">
        <v>7751</v>
      </c>
      <c r="G10302">
        <v>293.72000000000003</v>
      </c>
      <c r="H10302">
        <v>319.27999999999997</v>
      </c>
      <c r="I10302">
        <v>319.27</v>
      </c>
      <c r="J10302">
        <v>0.01</v>
      </c>
    </row>
    <row r="10303" spans="1:10" x14ac:dyDescent="0.3">
      <c r="A10303" t="str">
        <f>HYPERLINK("https://us2.cloudbeds.com/connect/10074733072513#/reservations/31694592782491?display=MHMHA5DG0&amp;reservation_id=31694592782491", "MHMHA5DG0")</f>
        <v>MHMHA5DG0</v>
      </c>
      <c r="B10303" t="s">
        <v>10</v>
      </c>
      <c r="C10303" t="s">
        <v>42</v>
      </c>
      <c r="D10303" t="str">
        <f>HYPERLINK("https://us2.cloudbeds.com/connect/10074733072513#/reservations/31694592782491?display=Keith%20Anderson&amp;reservation_id=31694592782491&amp;guest_id=17963406844038", "Keith Anderson")</f>
        <v>Keith Anderson</v>
      </c>
      <c r="E10303" t="s">
        <v>8040</v>
      </c>
      <c r="F10303" t="s">
        <v>8681</v>
      </c>
      <c r="G10303">
        <v>178</v>
      </c>
      <c r="H10303">
        <v>193.5</v>
      </c>
      <c r="I10303">
        <v>193.49</v>
      </c>
      <c r="J10303">
        <v>0.01</v>
      </c>
    </row>
    <row r="10304" spans="1:10" x14ac:dyDescent="0.3">
      <c r="A10304" t="str">
        <f>HYPERLINK("https://us2.cloudbeds.com/connect/10074733072513#/reservations/31731165802670?display=MXHRRGK1P&amp;reservation_id=31731165802670", "MXHRRGK1P")</f>
        <v>MXHRRGK1P</v>
      </c>
      <c r="B10304" t="s">
        <v>10</v>
      </c>
      <c r="C10304" t="s">
        <v>42</v>
      </c>
      <c r="D10304" t="str">
        <f>HYPERLINK("https://us2.cloudbeds.com/connect/10074733072513#/reservations/31731165802670?display=Margaret%20Mitzel&amp;reservation_id=31731165802670&amp;guest_id=31731151474838", "Margaret Mitzel")</f>
        <v>Margaret Mitzel</v>
      </c>
      <c r="E10304" t="s">
        <v>9124</v>
      </c>
      <c r="F10304" t="s">
        <v>8045</v>
      </c>
      <c r="G10304">
        <v>189</v>
      </c>
      <c r="H10304">
        <v>205.45</v>
      </c>
      <c r="I10304">
        <v>205.44</v>
      </c>
      <c r="J10304">
        <v>0.01</v>
      </c>
    </row>
    <row r="10305" spans="1:10" x14ac:dyDescent="0.3">
      <c r="A10305" t="str">
        <f>HYPERLINK("https://us2.cloudbeds.com/connect/10074733072513#/reservations/31693713014949?display=MHYRRAJ4H&amp;reservation_id=31693713014949", "MHYRRAJ4H")</f>
        <v>MHYRRAJ4H</v>
      </c>
      <c r="B10305" t="s">
        <v>10</v>
      </c>
      <c r="C10305" t="s">
        <v>121</v>
      </c>
      <c r="D10305" t="str">
        <f>HYPERLINK("https://us2.cloudbeds.com/connect/10074733072513#/reservations/31693713014949?display=Lucas%20Wosje&amp;reservation_id=31693713014949&amp;guest_id=31687794884827", "Lucas Wosje")</f>
        <v>Lucas Wosje</v>
      </c>
      <c r="E10305" t="s">
        <v>7900</v>
      </c>
      <c r="F10305" t="s">
        <v>9104</v>
      </c>
      <c r="G10305">
        <v>129</v>
      </c>
      <c r="H10305">
        <v>140.22999999999999</v>
      </c>
      <c r="I10305">
        <v>140.22</v>
      </c>
      <c r="J10305">
        <v>0.01</v>
      </c>
    </row>
    <row r="10306" spans="1:10" x14ac:dyDescent="0.3">
      <c r="A10306" t="str">
        <f>HYPERLINK("https://us2.cloudbeds.com/connect/10074733072513#/reservations/31692751048833?display=MHY385F05&amp;reservation_id=31692751048833", "MHY385F05")</f>
        <v>MHY385F05</v>
      </c>
      <c r="B10306" t="s">
        <v>10</v>
      </c>
      <c r="C10306" t="s">
        <v>42</v>
      </c>
      <c r="D10306" t="str">
        <f>HYPERLINK("https://us2.cloudbeds.com/connect/10074733072513#/reservations/31692751048833?display=Vladyslav%20Shumilov&amp;reservation_id=31692751048833&amp;guest_id=31692741632160", "Vladyslav Shumilov")</f>
        <v>Vladyslav Shumilov</v>
      </c>
      <c r="E10306" t="s">
        <v>9125</v>
      </c>
      <c r="F10306" t="s">
        <v>6742</v>
      </c>
      <c r="G10306">
        <v>252</v>
      </c>
      <c r="H10306">
        <v>273.93</v>
      </c>
      <c r="I10306">
        <v>273.92</v>
      </c>
      <c r="J10306">
        <v>0.01</v>
      </c>
    </row>
    <row r="10307" spans="1:10" x14ac:dyDescent="0.3">
      <c r="A10307" t="str">
        <f>HYPERLINK("https://us2.cloudbeds.com/connect/10074733072513#/reservations/31695816671418?display=MHNFJ5UE8&amp;reservation_id=31695816671418", "MHNFJ5UE8")</f>
        <v>MHNFJ5UE8</v>
      </c>
      <c r="B10307" t="s">
        <v>10</v>
      </c>
      <c r="C10307" t="s">
        <v>42</v>
      </c>
      <c r="D10307" t="str">
        <f>HYPERLINK("https://us2.cloudbeds.com/connect/10074733072513#/reservations/31695816671418?display=Paul%20Lambert&amp;reservation_id=31695816671418&amp;guest_id=31695807570146", "Paul Lambert")</f>
        <v>Paul Lambert</v>
      </c>
      <c r="E10307" t="s">
        <v>9126</v>
      </c>
      <c r="F10307" t="s">
        <v>8945</v>
      </c>
      <c r="G10307">
        <v>139</v>
      </c>
      <c r="H10307">
        <v>151.1</v>
      </c>
      <c r="I10307">
        <v>151.09</v>
      </c>
      <c r="J10307">
        <v>0.01</v>
      </c>
    </row>
    <row r="10308" spans="1:10" x14ac:dyDescent="0.3">
      <c r="A10308" t="str">
        <f>HYPERLINK("https://us2.cloudbeds.com/connect/10074733072513#/reservations/31696019333278?display=MHNKP29FZ&amp;reservation_id=31696019333278", "MHNKP29FZ")</f>
        <v>MHNKP29FZ</v>
      </c>
      <c r="B10308" t="s">
        <v>10</v>
      </c>
      <c r="C10308" t="s">
        <v>42</v>
      </c>
      <c r="D10308" t="str">
        <f>HYPERLINK("https://us2.cloudbeds.com/connect/10074733072513#/reservations/31696019333278?display=David%20Brandt&amp;reservation_id=31696019333278&amp;guest_id=31696019333270", "David Brandt")</f>
        <v>David Brandt</v>
      </c>
      <c r="E10308" t="s">
        <v>9128</v>
      </c>
      <c r="F10308" t="s">
        <v>6746</v>
      </c>
      <c r="G10308">
        <v>398</v>
      </c>
      <c r="H10308">
        <v>432.64</v>
      </c>
      <c r="I10308">
        <v>432.63</v>
      </c>
      <c r="J10308">
        <v>0.01</v>
      </c>
    </row>
    <row r="10309" spans="1:10" x14ac:dyDescent="0.3">
      <c r="A10309" t="str">
        <f>HYPERLINK("https://us2.cloudbeds.com/connect/10074733072513#/reservations/31693797429451?display=MHYTWGHZZ&amp;reservation_id=31693797429451", "MHYTWGHZZ")</f>
        <v>MHYTWGHZZ</v>
      </c>
      <c r="B10309" t="s">
        <v>10</v>
      </c>
      <c r="C10309" t="s">
        <v>42</v>
      </c>
      <c r="D10309" t="str">
        <f>HYPERLINK("https://us2.cloudbeds.com/connect/10074733072513#/reservations/31693797429451?display=Kayla%20Sharp&amp;reservation_id=31693797429451&amp;guest_id=31691604054240", "Kayla Sharp")</f>
        <v>Kayla Sharp</v>
      </c>
      <c r="E10309" t="s">
        <v>9120</v>
      </c>
      <c r="F10309" t="s">
        <v>8793</v>
      </c>
      <c r="G10309">
        <v>298</v>
      </c>
      <c r="H10309">
        <v>323.94</v>
      </c>
      <c r="I10309">
        <v>323.93</v>
      </c>
      <c r="J10309">
        <v>0.01</v>
      </c>
    </row>
    <row r="10310" spans="1:10" x14ac:dyDescent="0.3">
      <c r="A10310" t="str">
        <f>HYPERLINK("https://us2.cloudbeds.com/connect/10074733072513#/reservations/31695217066116?display=MHN08J0MK&amp;reservation_id=31695217066116", "MHN08J0MK")</f>
        <v>MHN08J0MK</v>
      </c>
      <c r="B10310" t="s">
        <v>10</v>
      </c>
      <c r="C10310" t="s">
        <v>23</v>
      </c>
      <c r="D10310" t="str">
        <f>HYPERLINK("https://us2.cloudbeds.com/connect/10074733072513#/reservations/31695217066116?display=Alec%20Sauer&amp;reservation_id=31695217066116&amp;guest_id=31695217066114", "Alec Sauer")</f>
        <v>Alec Sauer</v>
      </c>
      <c r="E10310" t="s">
        <v>9129</v>
      </c>
      <c r="F10310" t="s">
        <v>8945</v>
      </c>
      <c r="G10310">
        <v>139</v>
      </c>
      <c r="H10310">
        <v>151.1</v>
      </c>
      <c r="I10310">
        <v>151.09</v>
      </c>
      <c r="J10310">
        <v>0.01</v>
      </c>
    </row>
    <row r="10311" spans="1:10" x14ac:dyDescent="0.3">
      <c r="A10311" t="str">
        <f>HYPERLINK("https://us2.cloudbeds.com/connect/10074733072513#/reservations/31733437382784?display=MXJJY9DZX&amp;reservation_id=31733437382784", "MXJJY9DZX")</f>
        <v>MXJJY9DZX</v>
      </c>
      <c r="B10311" t="s">
        <v>10</v>
      </c>
      <c r="C10311" t="s">
        <v>23</v>
      </c>
      <c r="D10311" t="str">
        <f>HYPERLINK("https://us2.cloudbeds.com/connect/10074733072513#/reservations/31733437382784?display=Michael%20Frach&amp;reservation_id=31733437382784&amp;guest_id=31733428281497", "Michael Frach")</f>
        <v>Michael Frach</v>
      </c>
      <c r="E10311" t="s">
        <v>9130</v>
      </c>
      <c r="F10311" t="s">
        <v>9018</v>
      </c>
      <c r="G10311">
        <v>209</v>
      </c>
      <c r="H10311">
        <v>227.19</v>
      </c>
      <c r="I10311">
        <v>227.18</v>
      </c>
      <c r="J10311">
        <v>0.01</v>
      </c>
    </row>
    <row r="10312" spans="1:10" x14ac:dyDescent="0.3">
      <c r="A10312" t="str">
        <f>HYPERLINK("https://us2.cloudbeds.com/connect/10074733072513#/reservations/31735020273888?display=MXKRAMVCT&amp;reservation_id=31735020273888", "MXKRAMVCT")</f>
        <v>MXKRAMVCT</v>
      </c>
      <c r="B10312" t="s">
        <v>10</v>
      </c>
      <c r="C10312" t="s">
        <v>42</v>
      </c>
      <c r="D10312" t="str">
        <f>HYPERLINK("https://us2.cloudbeds.com/connect/10074733072513#/reservations/31735020273888?display=Susan%20Schavee&amp;reservation_id=31735020273888&amp;guest_id=31693765148892", "Susan Schavee")</f>
        <v>Susan Schavee</v>
      </c>
      <c r="E10312" t="s">
        <v>8805</v>
      </c>
      <c r="F10312" t="s">
        <v>9131</v>
      </c>
      <c r="G10312">
        <v>149</v>
      </c>
      <c r="H10312">
        <v>161.97</v>
      </c>
      <c r="I10312">
        <v>161.96</v>
      </c>
      <c r="J10312">
        <v>0.01</v>
      </c>
    </row>
    <row r="10313" spans="1:10" x14ac:dyDescent="0.3">
      <c r="A10313" t="str">
        <f>HYPERLINK("https://us2.cloudbeds.com/connect/10074733072513#/reservations/31735972311203?display=MXYXYFQ5G&amp;reservation_id=31735972311203", "MXYXYFQ5G")</f>
        <v>MXYXYFQ5G</v>
      </c>
      <c r="B10313" t="s">
        <v>10</v>
      </c>
      <c r="C10313" t="s">
        <v>17</v>
      </c>
      <c r="D10313" t="str">
        <f>HYPERLINK("https://us2.cloudbeds.com/connect/10074733072513#/reservations/31735972311203?display=David%20Yrkoski&amp;reservation_id=31735972311203&amp;guest_id=31735972311198", "David Yrkoski")</f>
        <v>David Yrkoski</v>
      </c>
      <c r="E10313" t="s">
        <v>9132</v>
      </c>
      <c r="F10313" t="s">
        <v>8085</v>
      </c>
      <c r="G10313">
        <v>139</v>
      </c>
      <c r="H10313">
        <v>151.1</v>
      </c>
      <c r="I10313">
        <v>151.09</v>
      </c>
      <c r="J10313">
        <v>0.01</v>
      </c>
    </row>
    <row r="10314" spans="1:10" x14ac:dyDescent="0.3">
      <c r="A10314" t="str">
        <f>HYPERLINK("https://us2.cloudbeds.com/connect/10074733072513#/reservations/31693781487833?display=MHYTJ1UWD&amp;reservation_id=31693781487833", "MHYTJ1UWD")</f>
        <v>MHYTJ1UWD</v>
      </c>
      <c r="B10314" t="s">
        <v>10</v>
      </c>
      <c r="C10314" t="s">
        <v>23</v>
      </c>
      <c r="D10314" t="str">
        <f>HYPERLINK("https://us2.cloudbeds.com/connect/10074733072513#/reservations/31693781487833?display=Joseph%20Dintzner&amp;reservation_id=31693781487833&amp;guest_id=31693781487828", "Joseph Dintzner")</f>
        <v>Joseph Dintzner</v>
      </c>
      <c r="E10314" t="s">
        <v>9135</v>
      </c>
      <c r="F10314" t="s">
        <v>8793</v>
      </c>
      <c r="G10314">
        <v>129</v>
      </c>
      <c r="H10314">
        <v>140.22999999999999</v>
      </c>
      <c r="I10314">
        <v>140.22</v>
      </c>
      <c r="J10314">
        <v>0.01</v>
      </c>
    </row>
    <row r="10315" spans="1:10" x14ac:dyDescent="0.3">
      <c r="A10315" t="str">
        <f>HYPERLINK("https://us2.cloudbeds.com/connect/10074733072513#/reservations/31692727873735?display=MHY2YKXUF&amp;reservation_id=31692727873735", "MHY2YKXUF")</f>
        <v>MHY2YKXUF</v>
      </c>
      <c r="B10315" t="s">
        <v>10</v>
      </c>
      <c r="C10315" t="s">
        <v>121</v>
      </c>
      <c r="D10315" t="str">
        <f>HYPERLINK("https://us2.cloudbeds.com/connect/10074733072513#/reservations/31692727873735?display=Hitomi%20Nakasone&amp;reservation_id=31692727873735&amp;guest_id=30660447744192", "Hitomi Nakasone")</f>
        <v>Hitomi Nakasone</v>
      </c>
      <c r="E10315" t="s">
        <v>4910</v>
      </c>
      <c r="F10315" t="s">
        <v>9043</v>
      </c>
      <c r="G10315">
        <v>129</v>
      </c>
      <c r="H10315">
        <v>140.22999999999999</v>
      </c>
      <c r="I10315">
        <v>140.22</v>
      </c>
      <c r="J10315">
        <v>0.01</v>
      </c>
    </row>
    <row r="10316" spans="1:10" x14ac:dyDescent="0.3">
      <c r="A10316" t="str">
        <f>HYPERLINK("https://us2.cloudbeds.com/connect/10074733072513#/reservations/31694470193289?display=MHME5Q61N&amp;reservation_id=31694470193289", "MHME5Q61N")</f>
        <v>MHME5Q61N</v>
      </c>
      <c r="B10316" t="s">
        <v>10</v>
      </c>
      <c r="C10316" t="s">
        <v>42</v>
      </c>
      <c r="D10316" t="str">
        <f>HYPERLINK("https://us2.cloudbeds.com/connect/10074733072513#/reservations/31694470193289?display=Janessa%20Molacek&amp;reservation_id=31694470193289&amp;guest_id=31694470193287", "Janessa Molacek")</f>
        <v>Janessa Molacek</v>
      </c>
      <c r="E10316" t="s">
        <v>9137</v>
      </c>
      <c r="F10316" t="s">
        <v>6746</v>
      </c>
      <c r="G10316">
        <v>209</v>
      </c>
      <c r="H10316">
        <v>227.19</v>
      </c>
      <c r="I10316">
        <v>227.18</v>
      </c>
      <c r="J10316">
        <v>0.01</v>
      </c>
    </row>
    <row r="10317" spans="1:10" x14ac:dyDescent="0.3">
      <c r="A10317" t="str">
        <f>HYPERLINK("https://us2.cloudbeds.com/connect/10074733072513#/reservations/31729597010101?display=MXGKZYY60&amp;reservation_id=31729597010101", "MXGKZYY60")</f>
        <v>MXGKZYY60</v>
      </c>
      <c r="B10317" t="s">
        <v>10</v>
      </c>
      <c r="C10317" t="s">
        <v>42</v>
      </c>
      <c r="D10317" t="str">
        <f>HYPERLINK("https://us2.cloudbeds.com/connect/10074733072513#/reservations/31729597010101?display=Sarah%20Schmidt&amp;reservation_id=31729597010101&amp;guest_id=31729597010096", "Sarah Schmidt")</f>
        <v>Sarah Schmidt</v>
      </c>
      <c r="E10317" t="s">
        <v>9138</v>
      </c>
      <c r="F10317" t="s">
        <v>8045</v>
      </c>
      <c r="G10317">
        <v>189</v>
      </c>
      <c r="H10317">
        <v>205.45</v>
      </c>
      <c r="I10317">
        <v>205.44</v>
      </c>
      <c r="J10317">
        <v>0.01</v>
      </c>
    </row>
    <row r="10318" spans="1:10" x14ac:dyDescent="0.3">
      <c r="A10318" t="str">
        <f>HYPERLINK("https://us2.cloudbeds.com/connect/10074733072513#/reservations/31692342542491?display=MHKPQN5D3&amp;reservation_id=31692342542491", "MHKPQN5D3")</f>
        <v>MHKPQN5D3</v>
      </c>
      <c r="B10318" t="s">
        <v>10</v>
      </c>
      <c r="C10318" t="s">
        <v>42</v>
      </c>
      <c r="D10318" t="str">
        <f>HYPERLINK("https://us2.cloudbeds.com/connect/10074733072513#/reservations/31692342542491?display=Paul%20Brungardt&amp;reservation_id=31692342542491&amp;guest_id=31692342542486", "Paul Brungardt")</f>
        <v>Paul Brungardt</v>
      </c>
      <c r="E10318" t="s">
        <v>9139</v>
      </c>
      <c r="F10318" t="s">
        <v>9043</v>
      </c>
      <c r="G10318">
        <v>102.58</v>
      </c>
      <c r="H10318">
        <v>111.51</v>
      </c>
      <c r="I10318">
        <v>111.5</v>
      </c>
      <c r="J10318">
        <v>0.01</v>
      </c>
    </row>
    <row r="10319" spans="1:10" x14ac:dyDescent="0.3">
      <c r="A10319" t="str">
        <f>HYPERLINK("https://us2.cloudbeds.com/connect/10074733072513#/reservations/31692690956416?display=MHY1NG60Y&amp;reservation_id=31692690956416", "MHY1NG60Y")</f>
        <v>MHY1NG60Y</v>
      </c>
      <c r="B10319" t="s">
        <v>10</v>
      </c>
      <c r="C10319" t="s">
        <v>23</v>
      </c>
      <c r="D10319" t="str">
        <f>HYPERLINK("https://us2.cloudbeds.com/connect/10074733072513#/reservations/31692690956416?display=Cameron%20Thurow&amp;reservation_id=31692690956416&amp;guest_id=31692690952320", "Cameron Thurow")</f>
        <v>Cameron Thurow</v>
      </c>
      <c r="E10319" t="s">
        <v>9140</v>
      </c>
      <c r="F10319" t="s">
        <v>9043</v>
      </c>
      <c r="G10319">
        <v>129</v>
      </c>
      <c r="H10319">
        <v>140.22999999999999</v>
      </c>
      <c r="I10319">
        <v>140.22</v>
      </c>
      <c r="J10319">
        <v>0.01</v>
      </c>
    </row>
    <row r="10320" spans="1:10" x14ac:dyDescent="0.3">
      <c r="A10320" t="str">
        <f>HYPERLINK("https://us2.cloudbeds.com/connect/10074733072513#/reservations/31729621504148?display=MXGYCA7DR&amp;reservation_id=31729621504148", "MXGYCA7DR")</f>
        <v>MXGYCA7DR</v>
      </c>
      <c r="B10320" t="s">
        <v>10</v>
      </c>
      <c r="C10320" t="s">
        <v>42</v>
      </c>
      <c r="D10320" t="str">
        <f>HYPERLINK("https://us2.cloudbeds.com/connect/10074733072513#/reservations/31729621504148?display=Amanda%20Weyrauch&amp;reservation_id=31729621504148&amp;guest_id=31729609121989", "Amanda Weyrauch")</f>
        <v>Amanda Weyrauch</v>
      </c>
      <c r="E10320" t="s">
        <v>9138</v>
      </c>
      <c r="F10320" t="s">
        <v>8045</v>
      </c>
      <c r="G10320">
        <v>189</v>
      </c>
      <c r="H10320">
        <v>205.45</v>
      </c>
      <c r="I10320">
        <v>205.44</v>
      </c>
      <c r="J10320">
        <v>0.01</v>
      </c>
    </row>
    <row r="10321" spans="1:10" x14ac:dyDescent="0.3">
      <c r="A10321" t="str">
        <f>HYPERLINK("https://us2.cloudbeds.com/connect/10074733072513#/reservations/31695166980244?display=MHMVWBA4U&amp;reservation_id=31695166980244", "MHMVWBA4U")</f>
        <v>MHMVWBA4U</v>
      </c>
      <c r="B10321" t="s">
        <v>10</v>
      </c>
      <c r="C10321" t="s">
        <v>42</v>
      </c>
      <c r="D10321" t="str">
        <f>HYPERLINK("https://us2.cloudbeds.com/connect/10074733072513#/reservations/31695166980244?display=Caleb%20Seppenan&amp;reservation_id=31695166980244&amp;guest_id=31695166980239", "Caleb Seppenan")</f>
        <v>Caleb Seppenan</v>
      </c>
      <c r="E10321" t="s">
        <v>8638</v>
      </c>
      <c r="F10321" t="s">
        <v>6742</v>
      </c>
      <c r="G10321">
        <v>219</v>
      </c>
      <c r="H10321">
        <v>238.06</v>
      </c>
      <c r="I10321">
        <v>238.05</v>
      </c>
      <c r="J10321">
        <v>0.01</v>
      </c>
    </row>
    <row r="10322" spans="1:10" x14ac:dyDescent="0.3">
      <c r="A10322" t="str">
        <f>HYPERLINK("https://us2.cloudbeds.com/connect/10074733072513#/reservations/31695210156236?display=MHN02ZZHA&amp;reservation_id=31695210156236", "MHN02ZZHA")</f>
        <v>MHN02ZZHA</v>
      </c>
      <c r="B10322" t="s">
        <v>10</v>
      </c>
      <c r="C10322" t="s">
        <v>42</v>
      </c>
      <c r="D10322" t="str">
        <f>HYPERLINK("https://us2.cloudbeds.com/connect/10074733072513#/reservations/31695210156236?display=Cory%20Glick&amp;reservation_id=31695210156236&amp;guest_id=31676961386701", "Cory Glick")</f>
        <v>Cory Glick</v>
      </c>
      <c r="E10322" t="s">
        <v>2769</v>
      </c>
      <c r="F10322" t="s">
        <v>6746</v>
      </c>
      <c r="G10322">
        <v>158</v>
      </c>
      <c r="H10322">
        <v>171.76</v>
      </c>
      <c r="I10322">
        <v>171.75</v>
      </c>
      <c r="J10322">
        <v>0.01</v>
      </c>
    </row>
    <row r="10323" spans="1:10" x14ac:dyDescent="0.3">
      <c r="A10323" t="str">
        <f>HYPERLINK("https://us2.cloudbeds.com/connect/10074733072513#/reservations/31692636049566?display=MHY0A6E6T&amp;reservation_id=31692636049566", "MHY0A6E6T")</f>
        <v>MHY0A6E6T</v>
      </c>
      <c r="B10323" t="s">
        <v>10</v>
      </c>
      <c r="C10323" t="s">
        <v>121</v>
      </c>
      <c r="D10323" t="str">
        <f>HYPERLINK("https://us2.cloudbeds.com/connect/10074733072513#/reservations/31692636049566?display=Colvin%20Samuel&amp;reservation_id=31692636049566&amp;guest_id=31692636049561", "Colvin Samuel")</f>
        <v>Colvin Samuel</v>
      </c>
      <c r="E10323" t="s">
        <v>9144</v>
      </c>
      <c r="F10323" t="s">
        <v>9043</v>
      </c>
      <c r="G10323">
        <v>129</v>
      </c>
      <c r="H10323">
        <v>140.22999999999999</v>
      </c>
      <c r="I10323">
        <v>140.22</v>
      </c>
      <c r="J10323">
        <v>0.01</v>
      </c>
    </row>
    <row r="10324" spans="1:10" x14ac:dyDescent="0.3">
      <c r="A10324" t="str">
        <f>HYPERLINK("https://us2.cloudbeds.com/connect/10074733072513#/reservations/31692314956021?display=MHKP3EHFF&amp;reservation_id=31692314956021", "MHKP3EHFF")</f>
        <v>MHKP3EHFF</v>
      </c>
      <c r="B10324" t="s">
        <v>10</v>
      </c>
      <c r="C10324" t="s">
        <v>121</v>
      </c>
      <c r="D10324" t="str">
        <f>HYPERLINK("https://us2.cloudbeds.com/connect/10074733072513#/reservations/31692314956021?display=Anthony%20Mueller&amp;reservation_id=31692314956021&amp;guest_id=31692301820059", "Anthony Mueller")</f>
        <v>Anthony Mueller</v>
      </c>
      <c r="E10324" t="s">
        <v>9145</v>
      </c>
      <c r="F10324" t="s">
        <v>6742</v>
      </c>
      <c r="G10324">
        <v>378</v>
      </c>
      <c r="H10324">
        <v>410.9</v>
      </c>
      <c r="I10324">
        <v>410.89</v>
      </c>
      <c r="J10324">
        <v>0.01</v>
      </c>
    </row>
    <row r="10325" spans="1:10" x14ac:dyDescent="0.3">
      <c r="A10325" t="str">
        <f>HYPERLINK("https://us2.cloudbeds.com/connect/10074733072513#/reservations/31695149428966?display=MHMVHHU90&amp;reservation_id=31695149428966", "MHMVHHU90")</f>
        <v>MHMVHHU90</v>
      </c>
      <c r="B10325" t="s">
        <v>10</v>
      </c>
      <c r="C10325" t="s">
        <v>42</v>
      </c>
      <c r="D10325" t="str">
        <f>HYPERLINK("https://us2.cloudbeds.com/connect/10074733072513#/reservations/31695149428966?display=Bambi%20Knutson&amp;reservation_id=31695149428966&amp;guest_id=31695138603210", "Bambi Knutson")</f>
        <v>Bambi Knutson</v>
      </c>
      <c r="E10325" t="s">
        <v>9146</v>
      </c>
      <c r="F10325" t="s">
        <v>6742</v>
      </c>
      <c r="G10325">
        <v>73</v>
      </c>
      <c r="H10325">
        <v>79.36</v>
      </c>
      <c r="I10325">
        <v>79.349999999999994</v>
      </c>
      <c r="J10325">
        <v>0.01</v>
      </c>
    </row>
    <row r="10326" spans="1:10" x14ac:dyDescent="0.3">
      <c r="A10326" t="str">
        <f>HYPERLINK("https://us2.cloudbeds.com/connect/10074733072513#/reservations/31732278501618?display=MXXN8P35N&amp;reservation_id=31732278501618", "MXXN8P35N")</f>
        <v>MXXN8P35N</v>
      </c>
      <c r="B10326" t="s">
        <v>10</v>
      </c>
      <c r="C10326" t="s">
        <v>17</v>
      </c>
      <c r="D10326" t="str">
        <f>HYPERLINK("https://us2.cloudbeds.com/connect/10074733072513#/reservations/31732278501618?display=Lori%20Herman&amp;reservation_id=31732278501618&amp;guest_id=31732278501613", "Lori Herman")</f>
        <v>Lori Herman</v>
      </c>
      <c r="E10326" t="s">
        <v>9147</v>
      </c>
      <c r="F10326" t="s">
        <v>7468</v>
      </c>
      <c r="G10326">
        <v>229</v>
      </c>
      <c r="H10326">
        <v>248.93</v>
      </c>
      <c r="I10326">
        <v>248.92</v>
      </c>
      <c r="J10326">
        <v>0.01</v>
      </c>
    </row>
    <row r="10327" spans="1:10" x14ac:dyDescent="0.3">
      <c r="A10327" t="str">
        <f>HYPERLINK("https://us2.cloudbeds.com/connect/10074733072513#/reservations/31692279976146?display=MHKZ6V5C8&amp;reservation_id=31692279976146", "MHKZ6V5C8")</f>
        <v>MHKZ6V5C8</v>
      </c>
      <c r="B10327" t="s">
        <v>10</v>
      </c>
      <c r="C10327" t="s">
        <v>121</v>
      </c>
      <c r="D10327" t="str">
        <f>HYPERLINK("https://us2.cloudbeds.com/connect/10074733072513#/reservations/31692279976146?display=Anthony%20Mueller&amp;reservation_id=31692279976146&amp;guest_id=31692279972052", "Anthony Mueller")</f>
        <v>Anthony Mueller</v>
      </c>
      <c r="E10327" t="s">
        <v>9145</v>
      </c>
      <c r="F10327" t="s">
        <v>6742</v>
      </c>
      <c r="G10327">
        <v>378</v>
      </c>
      <c r="H10327">
        <v>410.9</v>
      </c>
      <c r="I10327">
        <v>410.89</v>
      </c>
      <c r="J10327">
        <v>0.01</v>
      </c>
    </row>
    <row r="10328" spans="1:10" x14ac:dyDescent="0.3">
      <c r="A10328" t="str">
        <f>HYPERLINK("https://us2.cloudbeds.com/connect/10074733072513#/reservations/31694011785377?display=MHM2F8A4S&amp;reservation_id=31694011785377", "MHM2F8A4S")</f>
        <v>MHM2F8A4S</v>
      </c>
      <c r="B10328" t="s">
        <v>10</v>
      </c>
      <c r="C10328" t="s">
        <v>121</v>
      </c>
      <c r="D10328" t="str">
        <f>HYPERLINK("https://us2.cloudbeds.com/connect/10074733072513#/reservations/31694011785377?display=Brain%20Mcnary&amp;reservation_id=31694011785377&amp;guest_id=31694011781286", "Brain Mcnary")</f>
        <v>Brain Mcnary</v>
      </c>
      <c r="E10328" t="s">
        <v>9148</v>
      </c>
      <c r="F10328" t="s">
        <v>6742</v>
      </c>
      <c r="G10328">
        <v>139</v>
      </c>
      <c r="H10328">
        <v>151.1</v>
      </c>
      <c r="I10328">
        <v>151.09</v>
      </c>
      <c r="J10328">
        <v>0.01</v>
      </c>
    </row>
    <row r="10329" spans="1:10" x14ac:dyDescent="0.3">
      <c r="A10329" t="str">
        <f>HYPERLINK("https://us2.cloudbeds.com/connect/10074733072513#/reservations/31694065979546?display=MHM3RVB7D&amp;reservation_id=31694065979546", "MHM3RVB7D")</f>
        <v>MHM3RVB7D</v>
      </c>
      <c r="B10329" t="s">
        <v>10</v>
      </c>
      <c r="C10329" t="s">
        <v>42</v>
      </c>
      <c r="D10329" t="str">
        <f>HYPERLINK("https://us2.cloudbeds.com/connect/10074733072513#/reservations/31694065979546?display=Diane%20Barker&amp;reservation_id=31694065979546&amp;guest_id=31694065979533", "Diane Barker")</f>
        <v>Diane Barker</v>
      </c>
      <c r="E10329" t="s">
        <v>9149</v>
      </c>
      <c r="F10329" t="s">
        <v>6742</v>
      </c>
      <c r="G10329">
        <v>229</v>
      </c>
      <c r="H10329">
        <v>248.93</v>
      </c>
      <c r="I10329">
        <v>248.92</v>
      </c>
      <c r="J10329">
        <v>0.01</v>
      </c>
    </row>
    <row r="10330" spans="1:10" x14ac:dyDescent="0.3">
      <c r="A10330" t="str">
        <f>HYPERLINK("https://us2.cloudbeds.com/connect/10074733072513#/reservations/31691604054243?display=MHK6UWY3B&amp;reservation_id=31691604054243", "MHK6UWY3B")</f>
        <v>MHK6UWY3B</v>
      </c>
      <c r="B10330" t="s">
        <v>10</v>
      </c>
      <c r="C10330" t="s">
        <v>42</v>
      </c>
      <c r="D10330" t="str">
        <f>HYPERLINK("https://us2.cloudbeds.com/connect/10074733072513#/reservations/31691604054243?display=Paul%20Gerber`&amp;reservation_id=31691604054243&amp;guest_id=31691604054241", "Paul Gerber`")</f>
        <v>Paul Gerber`</v>
      </c>
      <c r="E10330" t="s">
        <v>9150</v>
      </c>
      <c r="F10330" t="s">
        <v>8822</v>
      </c>
      <c r="G10330">
        <v>150</v>
      </c>
      <c r="H10330">
        <v>163.06</v>
      </c>
      <c r="I10330">
        <v>163.05000000000001</v>
      </c>
      <c r="J10330">
        <v>0.01</v>
      </c>
    </row>
    <row r="10331" spans="1:10" x14ac:dyDescent="0.3">
      <c r="A10331" t="str">
        <f>HYPERLINK("https://us2.cloudbeds.com/connect/10074733072513#/reservations/31695194448035?display=MHMWMGY37&amp;reservation_id=31695194448035", "MHMWMGY37")</f>
        <v>MHMWMGY37</v>
      </c>
      <c r="B10331" t="s">
        <v>10</v>
      </c>
      <c r="C10331" t="s">
        <v>23</v>
      </c>
      <c r="D10331" t="str">
        <f>HYPERLINK("https://us2.cloudbeds.com/connect/10074733072513#/reservations/31695194448035?display=Mykhaylo%20Kovaliuk&amp;reservation_id=31695194448035&amp;guest_id=31695189762303", "Mykhaylo Kovaliuk")</f>
        <v>Mykhaylo Kovaliuk</v>
      </c>
      <c r="E10331" t="s">
        <v>9155</v>
      </c>
      <c r="F10331" t="s">
        <v>8278</v>
      </c>
      <c r="G10331">
        <v>179</v>
      </c>
      <c r="H10331">
        <v>194.58</v>
      </c>
      <c r="I10331">
        <v>194.57</v>
      </c>
      <c r="J10331">
        <v>0.01</v>
      </c>
    </row>
    <row r="10332" spans="1:10" x14ac:dyDescent="0.3">
      <c r="A10332" t="str">
        <f>HYPERLINK("https://us2.cloudbeds.com/connect/10074733072513#/reservations/31735719473295?display=MXYC696PN&amp;reservation_id=31735719473295", "MXYC696PN")</f>
        <v>MXYC696PN</v>
      </c>
      <c r="B10332" t="s">
        <v>10</v>
      </c>
      <c r="C10332" t="s">
        <v>11</v>
      </c>
      <c r="D10332" t="str">
        <f>HYPERLINK("https://us2.cloudbeds.com/connect/10074733072513#/reservations/31735719473295?display=Thomas%20Cooper&amp;reservation_id=31735719473295&amp;guest_id=31735719469202", "Thomas Cooper")</f>
        <v>Thomas Cooper</v>
      </c>
      <c r="E10332" t="s">
        <v>9158</v>
      </c>
      <c r="F10332" t="s">
        <v>9018</v>
      </c>
      <c r="G10332">
        <v>562</v>
      </c>
      <c r="H10332">
        <v>610.9</v>
      </c>
      <c r="I10332">
        <v>610.89</v>
      </c>
      <c r="J10332">
        <v>0.01</v>
      </c>
    </row>
    <row r="10333" spans="1:10" x14ac:dyDescent="0.3">
      <c r="A10333" t="str">
        <f>HYPERLINK("https://us2.cloudbeds.com/connect/10074733072513#/reservations/31733408686329?display=MXJJ4P508&amp;reservation_id=31733408686329", "MXJJ4P508")</f>
        <v>MXJJ4P508</v>
      </c>
      <c r="B10333" t="s">
        <v>10</v>
      </c>
      <c r="C10333" t="s">
        <v>23</v>
      </c>
      <c r="D10333" t="str">
        <f>HYPERLINK("https://us2.cloudbeds.com/connect/10074733072513#/reservations/31733408686329?display=Anne%20Losinski&amp;reservation_id=31733408686329&amp;guest_id=31733408686325", "Anne Losinski")</f>
        <v>Anne Losinski</v>
      </c>
      <c r="E10333" t="s">
        <v>9162</v>
      </c>
      <c r="F10333" t="s">
        <v>9018</v>
      </c>
      <c r="G10333">
        <v>169</v>
      </c>
      <c r="H10333">
        <v>183.71</v>
      </c>
      <c r="I10333">
        <v>183.7</v>
      </c>
      <c r="J10333">
        <v>0.01</v>
      </c>
    </row>
    <row r="10334" spans="1:10" x14ac:dyDescent="0.3">
      <c r="A10334" t="str">
        <f>HYPERLINK("https://us2.cloudbeds.com/connect/10074733072513#/reservations/31691889979545?display=MHKE82UPE&amp;reservation_id=31691889979545", "MHKE82UPE")</f>
        <v>MHKE82UPE</v>
      </c>
      <c r="B10334" t="s">
        <v>10</v>
      </c>
      <c r="C10334" t="s">
        <v>42</v>
      </c>
      <c r="D10334" t="str">
        <f>HYPERLINK("https://us2.cloudbeds.com/connect/10074733072513#/reservations/31691889979545?display=Jim%20Joraanstad&amp;reservation_id=31691889979545&amp;guest_id=31691889975453", "Jim Joraanstad")</f>
        <v>Jim Joraanstad</v>
      </c>
      <c r="E10334" t="s">
        <v>9164</v>
      </c>
      <c r="F10334" t="s">
        <v>8419</v>
      </c>
      <c r="G10334">
        <v>358</v>
      </c>
      <c r="H10334">
        <v>389.16</v>
      </c>
      <c r="I10334">
        <v>389.15</v>
      </c>
      <c r="J10334">
        <v>0.01</v>
      </c>
    </row>
    <row r="10335" spans="1:10" x14ac:dyDescent="0.3">
      <c r="A10335" t="str">
        <f>HYPERLINK("https://us2.cloudbeds.com/connect/10074733072513#/reservations/31696129577100?display=MHNNJ0WFK&amp;reservation_id=31696129577100", "MHNNJ0WFK")</f>
        <v>MHNNJ0WFK</v>
      </c>
      <c r="B10335" t="s">
        <v>10</v>
      </c>
      <c r="C10335" t="s">
        <v>20</v>
      </c>
      <c r="D10335" t="str">
        <f>HYPERLINK("https://us2.cloudbeds.com/connect/10074733072513#/reservations/31696129577100?display=Blaine%20Bolander&amp;reservation_id=31696129577100&amp;guest_id=31696129577098", "Blaine Bolander")</f>
        <v>Blaine Bolander</v>
      </c>
      <c r="E10335" t="s">
        <v>9166</v>
      </c>
      <c r="F10335" t="s">
        <v>8419</v>
      </c>
      <c r="G10335">
        <v>229</v>
      </c>
      <c r="H10335">
        <v>248.93</v>
      </c>
      <c r="I10335">
        <v>248.92</v>
      </c>
      <c r="J10335">
        <v>0.01</v>
      </c>
    </row>
    <row r="10336" spans="1:10" x14ac:dyDescent="0.3">
      <c r="A10336" t="str">
        <f>HYPERLINK("https://us2.cloudbeds.com/connect/10074733072513#/reservations/31730528821400?display=MXHBXCYV1&amp;reservation_id=31730528821400", "MXHBXCYV1")</f>
        <v>MXHBXCYV1</v>
      </c>
      <c r="B10336" t="s">
        <v>10</v>
      </c>
      <c r="C10336" t="s">
        <v>42</v>
      </c>
      <c r="D10336" t="str">
        <f>HYPERLINK("https://us2.cloudbeds.com/connect/10074733072513#/reservations/31730528821400?display=Peggy%20Podhradsky&amp;reservation_id=31730528821400&amp;guest_id=31730528821395", "Peggy Podhradsky")</f>
        <v>Peggy Podhradsky</v>
      </c>
      <c r="E10336" t="s">
        <v>9167</v>
      </c>
      <c r="F10336" t="s">
        <v>8920</v>
      </c>
      <c r="G10336">
        <v>219</v>
      </c>
      <c r="H10336">
        <v>238.06</v>
      </c>
      <c r="I10336">
        <v>238.05</v>
      </c>
      <c r="J10336">
        <v>0.01</v>
      </c>
    </row>
    <row r="10337" spans="1:10" x14ac:dyDescent="0.3">
      <c r="A10337" t="str">
        <f>HYPERLINK("https://us2.cloudbeds.com/connect/10074733072513#/reservations/31691784134879?display=MHKBHRYDA&amp;reservation_id=31691784134879", "MHKBHRYDA")</f>
        <v>MHKBHRYDA</v>
      </c>
      <c r="B10337" t="s">
        <v>10</v>
      </c>
      <c r="C10337" t="s">
        <v>20</v>
      </c>
      <c r="D10337" t="str">
        <f>HYPERLINK("https://us2.cloudbeds.com/connect/10074733072513#/reservations/31691784134879?display=Elliott%20O'Neal&amp;reservation_id=31691784134879&amp;guest_id=31691784130785", "Elliott O'Neal")</f>
        <v>Elliott O'Neal</v>
      </c>
      <c r="E10337" t="s">
        <v>9169</v>
      </c>
      <c r="F10337" t="s">
        <v>8791</v>
      </c>
      <c r="G10337">
        <v>139</v>
      </c>
      <c r="H10337">
        <v>151.1</v>
      </c>
      <c r="I10337">
        <v>151.09</v>
      </c>
      <c r="J10337">
        <v>0.01</v>
      </c>
    </row>
    <row r="10338" spans="1:10" x14ac:dyDescent="0.3">
      <c r="A10338" t="str">
        <f>HYPERLINK("https://us2.cloudbeds.com/connect/10074733072513#/reservations/31695807566055?display=MHNFBGX75&amp;reservation_id=31695807566055", "MHNFBGX75")</f>
        <v>MHNFBGX75</v>
      </c>
      <c r="B10338" t="s">
        <v>10</v>
      </c>
      <c r="C10338" t="s">
        <v>121</v>
      </c>
      <c r="D10338" t="str">
        <f>HYPERLINK("https://us2.cloudbeds.com/connect/10074733072513#/reservations/31695807566055?display=Steven%20Mcgrath&amp;reservation_id=31695807566055&amp;guest_id=31695796461711", "Steven Mcgrath")</f>
        <v>Steven Mcgrath</v>
      </c>
      <c r="E10338" t="s">
        <v>9170</v>
      </c>
      <c r="F10338" t="s">
        <v>8945</v>
      </c>
      <c r="G10338">
        <v>129</v>
      </c>
      <c r="H10338">
        <v>140.22999999999999</v>
      </c>
      <c r="I10338">
        <v>140.22</v>
      </c>
      <c r="J10338">
        <v>0.01</v>
      </c>
    </row>
    <row r="10339" spans="1:10" x14ac:dyDescent="0.3">
      <c r="A10339" t="str">
        <f>HYPERLINK("https://us2.cloudbeds.com/connect/10074733072513#/reservations/31735788908735?display=MXYDVRBGV&amp;reservation_id=31735788908735", "MXYDVRBGV")</f>
        <v>MXYDVRBGV</v>
      </c>
      <c r="B10339" t="s">
        <v>10</v>
      </c>
      <c r="C10339" t="s">
        <v>42</v>
      </c>
      <c r="D10339" t="str">
        <f>HYPERLINK("https://us2.cloudbeds.com/connect/10074733072513#/reservations/31735788908735?display=Ron%20Mcnichols&amp;reservation_id=31735788908735&amp;guest_id=31735788908730", "Ron Mcnichols")</f>
        <v>Ron Mcnichols</v>
      </c>
      <c r="E10339" t="s">
        <v>9174</v>
      </c>
      <c r="F10339" t="s">
        <v>9018</v>
      </c>
      <c r="G10339">
        <v>418</v>
      </c>
      <c r="H10339">
        <v>454.38</v>
      </c>
      <c r="I10339">
        <v>454.37</v>
      </c>
      <c r="J10339">
        <v>0.01</v>
      </c>
    </row>
    <row r="10340" spans="1:10" x14ac:dyDescent="0.3">
      <c r="A10340" t="str">
        <f>HYPERLINK("https://us2.cloudbeds.com/connect/10074733072513#/reservations/31694498312332?display=MHMETGY0U&amp;reservation_id=31694498312332", "MHMETGY0U")</f>
        <v>MHMETGY0U</v>
      </c>
      <c r="B10340" t="s">
        <v>10</v>
      </c>
      <c r="C10340" t="s">
        <v>121</v>
      </c>
      <c r="D10340" t="str">
        <f>HYPERLINK("https://us2.cloudbeds.com/connect/10074733072513#/reservations/31694498312332?display=Ty%20Caldwell&amp;reservation_id=31694498312332&amp;guest_id=31694498312330", "Ty Caldwell")</f>
        <v>Ty Caldwell</v>
      </c>
      <c r="E10340" t="s">
        <v>9176</v>
      </c>
      <c r="F10340" t="s">
        <v>8278</v>
      </c>
      <c r="G10340">
        <v>139</v>
      </c>
      <c r="H10340">
        <v>151.1</v>
      </c>
      <c r="I10340">
        <v>151.09</v>
      </c>
      <c r="J10340">
        <v>0.01</v>
      </c>
    </row>
    <row r="10341" spans="1:10" x14ac:dyDescent="0.3">
      <c r="A10341" t="str">
        <f>HYPERLINK("https://us2.cloudbeds.com/connect/10074733072513#/reservations/31736116576508?display=MXYMB466D&amp;reservation_id=31736116576508", "MXYMB466D")</f>
        <v>MXYMB466D</v>
      </c>
      <c r="B10341" t="s">
        <v>10</v>
      </c>
      <c r="C10341" t="s">
        <v>11</v>
      </c>
      <c r="D10341" t="str">
        <f>HYPERLINK("https://us2.cloudbeds.com/connect/10074733072513#/reservations/31736116576508?display=Dustin%20Schoenhard&amp;reservation_id=31736116576508&amp;guest_id=31736116576506", "Dustin Schoenhard")</f>
        <v>Dustin Schoenhard</v>
      </c>
      <c r="E10341" t="s">
        <v>9178</v>
      </c>
      <c r="F10341" t="s">
        <v>9018</v>
      </c>
      <c r="G10341">
        <v>221.72</v>
      </c>
      <c r="H10341">
        <v>241.02</v>
      </c>
      <c r="I10341">
        <v>241.01</v>
      </c>
      <c r="J10341">
        <v>0.01</v>
      </c>
    </row>
    <row r="10342" spans="1:10" x14ac:dyDescent="0.3">
      <c r="A10342" t="str">
        <f>HYPERLINK("https://us2.cloudbeds.com/connect/10074733072513#/reservations/31691776303235?display=MHKBB7NQP&amp;reservation_id=31691776303235", "MHKBB7NQP")</f>
        <v>MHKBB7NQP</v>
      </c>
      <c r="B10342" t="s">
        <v>10</v>
      </c>
      <c r="C10342" t="s">
        <v>17</v>
      </c>
      <c r="D10342" t="str">
        <f>HYPERLINK("https://us2.cloudbeds.com/connect/10074733072513#/reservations/31691776303235?display=Bert%20Griggs&amp;reservation_id=31691776303235&amp;guest_id=31691776299145", "Bert Griggs")</f>
        <v>Bert Griggs</v>
      </c>
      <c r="E10342" t="s">
        <v>9181</v>
      </c>
      <c r="F10342" t="s">
        <v>8791</v>
      </c>
      <c r="G10342">
        <v>298</v>
      </c>
      <c r="H10342">
        <v>323.94</v>
      </c>
      <c r="I10342">
        <v>323.93</v>
      </c>
      <c r="J10342">
        <v>0.01</v>
      </c>
    </row>
    <row r="10343" spans="1:10" x14ac:dyDescent="0.3">
      <c r="A10343" t="str">
        <f>HYPERLINK("https://us2.cloudbeds.com/connect/10074733072513#/reservations/31695796457620?display=MHNF24EKU&amp;reservation_id=31695796457620", "MHNF24EKU")</f>
        <v>MHNF24EKU</v>
      </c>
      <c r="B10343" t="s">
        <v>10</v>
      </c>
      <c r="C10343" t="s">
        <v>42</v>
      </c>
      <c r="D10343" t="str">
        <f>HYPERLINK("https://us2.cloudbeds.com/connect/10074733072513#/reservations/31695796457620?display=Adam%20Haull&amp;reservation_id=31695796457620&amp;guest_id=31695796457617", "Adam Haull")</f>
        <v>Adam Haull</v>
      </c>
      <c r="E10343" t="s">
        <v>9182</v>
      </c>
      <c r="F10343" t="s">
        <v>8945</v>
      </c>
      <c r="G10343">
        <v>129</v>
      </c>
      <c r="H10343">
        <v>140.22999999999999</v>
      </c>
      <c r="I10343">
        <v>140.22</v>
      </c>
      <c r="J10343">
        <v>0.01</v>
      </c>
    </row>
    <row r="10344" spans="1:10" x14ac:dyDescent="0.3">
      <c r="A10344" t="str">
        <f>HYPERLINK("https://us2.cloudbeds.com/connect/10074733072513#/reservations/31735778050248?display=MXYDMM6ET&amp;reservation_id=31735778050248", "MXYDMM6ET")</f>
        <v>MXYDMM6ET</v>
      </c>
      <c r="B10344" t="s">
        <v>10</v>
      </c>
      <c r="C10344" t="s">
        <v>23</v>
      </c>
      <c r="D10344" t="str">
        <f>HYPERLINK("https://us2.cloudbeds.com/connect/10074733072513#/reservations/31735778050248?display=Bobbi%20Jo%20Scarpello&amp;reservation_id=31735778050248&amp;guest_id=31735778046166", "Bobbi Jo Scarpello")</f>
        <v>Bobbi Jo Scarpello</v>
      </c>
      <c r="E10344" t="s">
        <v>9183</v>
      </c>
      <c r="F10344" t="s">
        <v>9018</v>
      </c>
      <c r="G10344">
        <v>418</v>
      </c>
      <c r="H10344">
        <v>454.38</v>
      </c>
      <c r="I10344">
        <v>454.37</v>
      </c>
      <c r="J10344">
        <v>0.01</v>
      </c>
    </row>
    <row r="10345" spans="1:10" x14ac:dyDescent="0.3">
      <c r="A10345" t="str">
        <f>HYPERLINK("https://us2.cloudbeds.com/connect/10074733072513#/reservations/31691594191050?display=MHK6MM5WN&amp;reservation_id=31691594191050", "MHK6MM5WN")</f>
        <v>MHK6MM5WN</v>
      </c>
      <c r="B10345" t="s">
        <v>10</v>
      </c>
      <c r="C10345" t="s">
        <v>42</v>
      </c>
      <c r="D10345" t="str">
        <f>HYPERLINK("https://us2.cloudbeds.com/connect/10074733072513#/reservations/31691594191050?display=Dan%20Kahlstorf&amp;reservation_id=31691594191050&amp;guest_id=31675022897303", "Dan Kahlstorf")</f>
        <v>Dan Kahlstorf</v>
      </c>
      <c r="E10345" t="s">
        <v>5754</v>
      </c>
      <c r="F10345" t="s">
        <v>8822</v>
      </c>
      <c r="G10345">
        <v>73</v>
      </c>
      <c r="H10345">
        <v>79.36</v>
      </c>
      <c r="I10345">
        <v>79.349999999999994</v>
      </c>
      <c r="J10345">
        <v>0.01</v>
      </c>
    </row>
    <row r="10346" spans="1:10" x14ac:dyDescent="0.3">
      <c r="A10346" t="str">
        <f>HYPERLINK("https://us2.cloudbeds.com/connect/10074733072513#/reservations/31733477494989?display=MXJKTPS65&amp;reservation_id=31733477494989", "MXJKTPS65")</f>
        <v>MXJKTPS65</v>
      </c>
      <c r="B10346" t="s">
        <v>10</v>
      </c>
      <c r="C10346" t="s">
        <v>23</v>
      </c>
      <c r="D10346" t="str">
        <f>HYPERLINK("https://us2.cloudbeds.com/connect/10074733072513#/reservations/31733477494989?display=Jennifer%20Stewart&amp;reservation_id=31733477494989&amp;guest_id=31733477494984", "Jennifer Stewart")</f>
        <v>Jennifer Stewart</v>
      </c>
      <c r="E10346" t="s">
        <v>9184</v>
      </c>
      <c r="F10346" t="s">
        <v>9018</v>
      </c>
      <c r="G10346">
        <v>458</v>
      </c>
      <c r="H10346">
        <v>497.86</v>
      </c>
      <c r="I10346">
        <v>497.85</v>
      </c>
      <c r="J10346">
        <v>0.01</v>
      </c>
    </row>
    <row r="10347" spans="1:10" x14ac:dyDescent="0.3">
      <c r="A10347" t="str">
        <f>HYPERLINK("https://us2.cloudbeds.com/connect/10074733072513#/reservations/31691577114819?display=MHK6890B4&amp;reservation_id=31691577114819", "MHK6890B4")</f>
        <v>MHK6890B4</v>
      </c>
      <c r="B10347" t="s">
        <v>10</v>
      </c>
      <c r="C10347" t="s">
        <v>121</v>
      </c>
      <c r="D10347" t="str">
        <f>HYPERLINK("https://us2.cloudbeds.com/connect/10074733072513#/reservations/31691577114819?display=Bryce%20Lunde&amp;reservation_id=31691577114819&amp;guest_id=31691577110732", "Bryce Lunde")</f>
        <v>Bryce Lunde</v>
      </c>
      <c r="E10347" t="s">
        <v>9185</v>
      </c>
      <c r="F10347" t="s">
        <v>8822</v>
      </c>
      <c r="G10347">
        <v>129</v>
      </c>
      <c r="H10347">
        <v>140.22999999999999</v>
      </c>
      <c r="I10347">
        <v>140.22</v>
      </c>
      <c r="J10347">
        <v>0.01</v>
      </c>
    </row>
    <row r="10348" spans="1:10" x14ac:dyDescent="0.3">
      <c r="A10348" t="str">
        <f>HYPERLINK("https://us2.cloudbeds.com/connect/10074733072513#/reservations/31691574026409?display=MHK65M2AW&amp;reservation_id=31691574026409", "MHK65M2AW")</f>
        <v>MHK65M2AW</v>
      </c>
      <c r="B10348" t="s">
        <v>10</v>
      </c>
      <c r="C10348" t="s">
        <v>121</v>
      </c>
      <c r="D10348" t="str">
        <f>HYPERLINK("https://us2.cloudbeds.com/connect/10074733072513#/reservations/31691574026409?display=Keith%20Loberg&amp;reservation_id=31691574026409&amp;guest_id=31684221669557", "Keith Loberg")</f>
        <v>Keith Loberg</v>
      </c>
      <c r="E10348" t="s">
        <v>5138</v>
      </c>
      <c r="F10348" t="s">
        <v>8822</v>
      </c>
      <c r="G10348">
        <v>73</v>
      </c>
      <c r="H10348">
        <v>79.36</v>
      </c>
      <c r="I10348">
        <v>79.349999999999994</v>
      </c>
      <c r="J10348">
        <v>0.01</v>
      </c>
    </row>
    <row r="10349" spans="1:10" x14ac:dyDescent="0.3">
      <c r="A10349" t="str">
        <f>HYPERLINK("https://us2.cloudbeds.com/connect/10074733072513#/reservations/31695793598647?display=MHNEWNTAC&amp;reservation_id=31695793598647", "MHNEWNTAC")</f>
        <v>MHNEWNTAC</v>
      </c>
      <c r="B10349" t="s">
        <v>10</v>
      </c>
      <c r="C10349" t="s">
        <v>121</v>
      </c>
      <c r="D10349" t="str">
        <f>HYPERLINK("https://us2.cloudbeds.com/connect/10074733072513#/reservations/31695793598647?display=Keith%20Bradley&amp;reservation_id=31695793598647&amp;guest_id=31695784915167", "Keith Bradley")</f>
        <v>Keith Bradley</v>
      </c>
      <c r="E10349" t="s">
        <v>9186</v>
      </c>
      <c r="F10349" t="s">
        <v>8945</v>
      </c>
      <c r="G10349">
        <v>129</v>
      </c>
      <c r="H10349">
        <v>140.22999999999999</v>
      </c>
      <c r="I10349">
        <v>140.22</v>
      </c>
      <c r="J10349">
        <v>0.01</v>
      </c>
    </row>
    <row r="10350" spans="1:10" x14ac:dyDescent="0.3">
      <c r="A10350" t="str">
        <f>HYPERLINK("https://us2.cloudbeds.com/connect/10074733072513#/reservations/31691657380014?display=MHK89VGZQ&amp;reservation_id=31691657380014", "MHK89VGZQ")</f>
        <v>MHK89VGZQ</v>
      </c>
      <c r="B10350" t="s">
        <v>10</v>
      </c>
      <c r="C10350" t="s">
        <v>42</v>
      </c>
      <c r="D10350" t="str">
        <f>HYPERLINK("https://us2.cloudbeds.com/connect/10074733072513#/reservations/31691657380014?display=Jeff%20Finke&amp;reservation_id=31691657380014&amp;guest_id=31691657380000", "Jeff Finke")</f>
        <v>Jeff Finke</v>
      </c>
      <c r="E10350" t="s">
        <v>9187</v>
      </c>
      <c r="F10350" t="s">
        <v>8791</v>
      </c>
      <c r="G10350">
        <v>149</v>
      </c>
      <c r="H10350">
        <v>161.97</v>
      </c>
      <c r="I10350">
        <v>161.96</v>
      </c>
      <c r="J10350">
        <v>0.01</v>
      </c>
    </row>
    <row r="10351" spans="1:10" x14ac:dyDescent="0.3">
      <c r="A10351" t="str">
        <f>HYPERLINK("https://us2.cloudbeds.com/connect/10074733072513#/reservations/31691795255547?display=MHKBR7378&amp;reservation_id=31691795255547", "MHKBR7378")</f>
        <v>MHKBR7378</v>
      </c>
      <c r="B10351" t="s">
        <v>10</v>
      </c>
      <c r="C10351" t="s">
        <v>17</v>
      </c>
      <c r="D10351" t="str">
        <f>HYPERLINK("https://us2.cloudbeds.com/connect/10074733072513#/reservations/31691795255547?display=Mark%20Anderson&amp;reservation_id=31691795255547&amp;guest_id=31691795255544", "Mark Anderson")</f>
        <v>Mark Anderson</v>
      </c>
      <c r="E10351" t="s">
        <v>9188</v>
      </c>
      <c r="F10351" t="s">
        <v>8791</v>
      </c>
      <c r="G10351">
        <v>169</v>
      </c>
      <c r="H10351">
        <v>183.71</v>
      </c>
      <c r="I10351">
        <v>183.7</v>
      </c>
      <c r="J10351">
        <v>0.01</v>
      </c>
    </row>
    <row r="10352" spans="1:10" x14ac:dyDescent="0.3">
      <c r="A10352" t="str">
        <f>HYPERLINK("https://us2.cloudbeds.com/connect/10074733072513#/reservations/31695237701856?display=MHN0PW7V2&amp;reservation_id=31695237701856", "MHN0PW7V2")</f>
        <v>MHN0PW7V2</v>
      </c>
      <c r="B10352" t="s">
        <v>10</v>
      </c>
      <c r="C10352" t="s">
        <v>42</v>
      </c>
      <c r="D10352" t="str">
        <f>HYPERLINK("https://us2.cloudbeds.com/connect/10074733072513#/reservations/31695237701856?display=Bryce%20Lunde&amp;reservation_id=31695237701856&amp;guest_id=31695237697753", "Bryce Lunde")</f>
        <v>Bryce Lunde</v>
      </c>
      <c r="E10352" t="s">
        <v>9185</v>
      </c>
      <c r="F10352" t="s">
        <v>8945</v>
      </c>
      <c r="G10352">
        <v>258</v>
      </c>
      <c r="H10352">
        <v>280.45999999999998</v>
      </c>
      <c r="I10352">
        <v>280.45</v>
      </c>
      <c r="J10352">
        <v>0.01</v>
      </c>
    </row>
    <row r="10353" spans="1:10" x14ac:dyDescent="0.3">
      <c r="A10353" t="str">
        <f>HYPERLINK("https://us2.cloudbeds.com/connect/10074733072513#/reservations/31691502657692?display=MHK4BG4AJ&amp;reservation_id=31691502657692", "MHK4BG4AJ")</f>
        <v>MHK4BG4AJ</v>
      </c>
      <c r="B10353" t="s">
        <v>10</v>
      </c>
      <c r="C10353" t="s">
        <v>121</v>
      </c>
      <c r="D10353" t="str">
        <f>HYPERLINK("https://us2.cloudbeds.com/connect/10074733072513#/reservations/31691502657692?display=Shane%20Gannon&amp;reservation_id=31691502657692&amp;guest_id=31691502653595", "Shane Gannon")</f>
        <v>Shane Gannon</v>
      </c>
      <c r="E10353" t="s">
        <v>9189</v>
      </c>
      <c r="F10353" t="s">
        <v>8822</v>
      </c>
      <c r="G10353">
        <v>129</v>
      </c>
      <c r="H10353">
        <v>140.22999999999999</v>
      </c>
      <c r="I10353">
        <v>140.22</v>
      </c>
      <c r="J10353">
        <v>0.01</v>
      </c>
    </row>
    <row r="10354" spans="1:10" x14ac:dyDescent="0.3">
      <c r="A10354" t="str">
        <f>HYPERLINK("https://us2.cloudbeds.com/connect/10074733072513#/reservations/31695835058376?display=MHNG1MXMQ&amp;reservation_id=31695835058376", "MHNG1MXMQ")</f>
        <v>MHNG1MXMQ</v>
      </c>
      <c r="B10354" t="s">
        <v>10</v>
      </c>
      <c r="C10354" t="s">
        <v>42</v>
      </c>
      <c r="D10354" t="str">
        <f>HYPERLINK("https://us2.cloudbeds.com/connect/10074733072513#/reservations/31695835058376?display=Shawn%20Chief&amp;reservation_id=31695835058376&amp;guest_id=31695829709037", "Shawn Chief")</f>
        <v>Shawn Chief</v>
      </c>
      <c r="E10354" t="s">
        <v>9191</v>
      </c>
      <c r="F10354" t="s">
        <v>8945</v>
      </c>
      <c r="G10354">
        <v>73</v>
      </c>
      <c r="H10354">
        <v>79.36</v>
      </c>
      <c r="I10354">
        <v>79.349999999999994</v>
      </c>
      <c r="J10354">
        <v>0.01</v>
      </c>
    </row>
    <row r="10355" spans="1:10" x14ac:dyDescent="0.3">
      <c r="A10355" t="str">
        <f>HYPERLINK("https://us2.cloudbeds.com/connect/10074733072513#/reservations/31733468201134?display=MXJKYV7T6&amp;reservation_id=31733468201134", "MXJKYV7T6")</f>
        <v>MXJKYV7T6</v>
      </c>
      <c r="B10355" t="s">
        <v>10</v>
      </c>
      <c r="C10355" t="s">
        <v>14</v>
      </c>
      <c r="D10355" t="str">
        <f>HYPERLINK("https://us2.cloudbeds.com/connect/10074733072513#/reservations/31733468201134?display=Angela%20Yates&amp;reservation_id=31733468201134&amp;guest_id=31733468201129", "Angela Yates")</f>
        <v>Angela Yates</v>
      </c>
      <c r="E10355" t="s">
        <v>9192</v>
      </c>
      <c r="F10355" t="s">
        <v>9018</v>
      </c>
      <c r="G10355">
        <v>338</v>
      </c>
      <c r="H10355">
        <v>367.42</v>
      </c>
      <c r="I10355">
        <v>367.41</v>
      </c>
      <c r="J10355">
        <v>0.01</v>
      </c>
    </row>
    <row r="10356" spans="1:10" x14ac:dyDescent="0.3">
      <c r="A10356" t="str">
        <f>HYPERLINK("https://us2.cloudbeds.com/connect/10074733072513#/reservations/31691548168323?display=MHK5GSHHK&amp;reservation_id=31691548168323", "MHK5GSHHK")</f>
        <v>MHK5GSHHK</v>
      </c>
      <c r="B10356" t="s">
        <v>10</v>
      </c>
      <c r="C10356" t="s">
        <v>121</v>
      </c>
      <c r="D10356" t="str">
        <f>HYPERLINK("https://us2.cloudbeds.com/connect/10074733072513#/reservations/31691548168323?display=Cole%20Swafford&amp;reservation_id=31691548168323&amp;guest_id=31691548164272", "Cole Swafford")</f>
        <v>Cole Swafford</v>
      </c>
      <c r="E10356" t="s">
        <v>9193</v>
      </c>
      <c r="F10356" t="s">
        <v>8822</v>
      </c>
      <c r="G10356">
        <v>129</v>
      </c>
      <c r="H10356">
        <v>140.22999999999999</v>
      </c>
      <c r="I10356">
        <v>140.22</v>
      </c>
      <c r="J10356">
        <v>0.01</v>
      </c>
    </row>
    <row r="10357" spans="1:10" x14ac:dyDescent="0.3">
      <c r="A10357" t="str">
        <f>HYPERLINK("https://us2.cloudbeds.com/connect/10074733072513#/reservations/31691460063453?display=MHK38XT52&amp;reservation_id=31691460063453", "MHK38XT52")</f>
        <v>MHK38XT52</v>
      </c>
      <c r="B10357" t="s">
        <v>10</v>
      </c>
      <c r="C10357" t="s">
        <v>121</v>
      </c>
      <c r="D10357" t="str">
        <f>HYPERLINK("https://us2.cloudbeds.com/connect/10074733072513#/reservations/31691460063453?display=Justin%20Lunde&amp;reservation_id=31691460063453&amp;guest_id=31691450536069", "Justin Lunde")</f>
        <v>Justin Lunde</v>
      </c>
      <c r="E10357" t="s">
        <v>9194</v>
      </c>
      <c r="F10357" t="s">
        <v>8822</v>
      </c>
      <c r="G10357">
        <v>129</v>
      </c>
      <c r="H10357">
        <v>140.22999999999999</v>
      </c>
      <c r="I10357">
        <v>140.22</v>
      </c>
      <c r="J10357">
        <v>0.01</v>
      </c>
    </row>
    <row r="10358" spans="1:10" x14ac:dyDescent="0.3">
      <c r="A10358" t="str">
        <f>HYPERLINK("https://us2.cloudbeds.com/connect/10074733072513#/reservations/31694766481602?display=MHMYZKRQE&amp;reservation_id=31694766481602", "MHMYZKRQE")</f>
        <v>MHMYZKRQE</v>
      </c>
      <c r="B10358" t="s">
        <v>10</v>
      </c>
      <c r="C10358" t="s">
        <v>23</v>
      </c>
      <c r="D10358" t="str">
        <f>HYPERLINK("https://us2.cloudbeds.com/connect/10074733072513#/reservations/31694766481602?display=James%20Klingle&amp;reservation_id=31694766481602&amp;guest_id=31694766477553", "James Klingle")</f>
        <v>James Klingle</v>
      </c>
      <c r="E10358" t="s">
        <v>9195</v>
      </c>
      <c r="F10358" t="s">
        <v>8195</v>
      </c>
      <c r="G10358">
        <v>149</v>
      </c>
      <c r="H10358">
        <v>161.97</v>
      </c>
      <c r="I10358">
        <v>161.96</v>
      </c>
      <c r="J10358">
        <v>0.01</v>
      </c>
    </row>
    <row r="10359" spans="1:10" x14ac:dyDescent="0.3">
      <c r="A10359" t="str">
        <f>HYPERLINK("https://us2.cloudbeds.com/connect/10074733072513#/reservations/31691496960194?display=MHK46MJF4&amp;reservation_id=31691496960194", "MHK46MJF4")</f>
        <v>MHK46MJF4</v>
      </c>
      <c r="B10359" t="s">
        <v>10</v>
      </c>
      <c r="C10359" t="s">
        <v>121</v>
      </c>
      <c r="D10359" t="str">
        <f>HYPERLINK("https://us2.cloudbeds.com/connect/10074733072513#/reservations/31691496960194?display=James%20Wrigley&amp;reservation_id=31691496960194&amp;guest_id=31691496956098", "James Wrigley")</f>
        <v>James Wrigley</v>
      </c>
      <c r="E10359" t="s">
        <v>9199</v>
      </c>
      <c r="F10359" t="s">
        <v>8822</v>
      </c>
      <c r="G10359">
        <v>129</v>
      </c>
      <c r="H10359">
        <v>140.22999999999999</v>
      </c>
      <c r="I10359">
        <v>140.22</v>
      </c>
      <c r="J10359">
        <v>0.01</v>
      </c>
    </row>
    <row r="10360" spans="1:10" x14ac:dyDescent="0.3">
      <c r="A10360" t="str">
        <f>HYPERLINK("https://us2.cloudbeds.com/connect/10074733072513#/reservations/31691645530330?display=MHK7WVPGF&amp;reservation_id=31691645530330", "MHK7WVPGF")</f>
        <v>MHK7WVPGF</v>
      </c>
      <c r="B10360" t="s">
        <v>10</v>
      </c>
      <c r="C10360" t="s">
        <v>121</v>
      </c>
      <c r="D10360" t="str">
        <f>HYPERLINK("https://us2.cloudbeds.com/connect/10074733072513#/reservations/31691645530330?display=Russell%20Fugitt&amp;reservation_id=31691645530330&amp;guest_id=30684303937667", "Russell Fugitt")</f>
        <v>Russell Fugitt</v>
      </c>
      <c r="E10360" t="s">
        <v>9200</v>
      </c>
      <c r="F10360" t="s">
        <v>8822</v>
      </c>
      <c r="G10360">
        <v>73</v>
      </c>
      <c r="H10360">
        <v>79.36</v>
      </c>
      <c r="I10360">
        <v>79.349999999999994</v>
      </c>
      <c r="J10360">
        <v>0.01</v>
      </c>
    </row>
    <row r="10361" spans="1:10" x14ac:dyDescent="0.3">
      <c r="A10361" t="str">
        <f>HYPERLINK("https://us2.cloudbeds.com/connect/10074733072513#/reservations/31691814523117?display=MHKCAF840&amp;reservation_id=31691814523117", "MHKCAF840")</f>
        <v>MHKCAF840</v>
      </c>
      <c r="B10361" t="s">
        <v>10</v>
      </c>
      <c r="C10361" t="s">
        <v>23</v>
      </c>
      <c r="D10361" t="str">
        <f>HYPERLINK("https://us2.cloudbeds.com/connect/10074733072513#/reservations/31691814523117?display=Kip%20Gearey&amp;reservation_id=31691814523117&amp;guest_id=31684756287656", "Kip Gearey")</f>
        <v>Kip Gearey</v>
      </c>
      <c r="E10361" t="s">
        <v>7621</v>
      </c>
      <c r="F10361" t="s">
        <v>9127</v>
      </c>
      <c r="G10361">
        <v>398</v>
      </c>
      <c r="H10361">
        <v>432.64</v>
      </c>
      <c r="I10361">
        <v>432.63</v>
      </c>
      <c r="J10361">
        <v>0.01</v>
      </c>
    </row>
    <row r="10362" spans="1:10" x14ac:dyDescent="0.3">
      <c r="A10362" t="str">
        <f>HYPERLINK("https://us2.cloudbeds.com/connect/10074733072513#/reservations/31731720290463?display=MXX9021J5&amp;reservation_id=31731720290463", "MXX9021J5")</f>
        <v>MXX9021J5</v>
      </c>
      <c r="B10362" t="s">
        <v>10</v>
      </c>
      <c r="C10362" t="s">
        <v>11</v>
      </c>
      <c r="D10362" t="str">
        <f>HYPERLINK("https://us2.cloudbeds.com/connect/10074733072513#/reservations/31731720290463?display=Tewasontahawitha%20Fowler&amp;reservation_id=31731720290463&amp;guest_id=31731720290459", "Tewasontahawitha Fowler")</f>
        <v>Tewasontahawitha Fowler</v>
      </c>
      <c r="E10362" t="s">
        <v>9201</v>
      </c>
      <c r="F10362" t="s">
        <v>8920</v>
      </c>
      <c r="G10362">
        <v>293.72000000000003</v>
      </c>
      <c r="H10362">
        <v>319.27999999999997</v>
      </c>
      <c r="I10362">
        <v>319.27</v>
      </c>
      <c r="J10362">
        <v>0.01</v>
      </c>
    </row>
    <row r="10363" spans="1:10" x14ac:dyDescent="0.3">
      <c r="A10363" t="str">
        <f>HYPERLINK("https://us2.cloudbeds.com/connect/10074733072513#/reservations/31691638407303?display=MHK7QVXK5&amp;reservation_id=31691638407303", "MHK7QVXK5")</f>
        <v>MHK7QVXK5</v>
      </c>
      <c r="B10363" t="s">
        <v>10</v>
      </c>
      <c r="C10363" t="s">
        <v>121</v>
      </c>
      <c r="D10363" t="str">
        <f>HYPERLINK("https://us2.cloudbeds.com/connect/10074733072513#/reservations/31691638407303?display=Jamie%20Duran&amp;reservation_id=31691638407303&amp;guest_id=31691638407298", "Jamie Duran")</f>
        <v>Jamie Duran</v>
      </c>
      <c r="E10363" t="s">
        <v>9203</v>
      </c>
      <c r="F10363" t="s">
        <v>8822</v>
      </c>
      <c r="G10363">
        <v>149</v>
      </c>
      <c r="H10363">
        <v>161.97</v>
      </c>
      <c r="I10363">
        <v>161.96</v>
      </c>
      <c r="J10363">
        <v>0.01</v>
      </c>
    </row>
    <row r="10364" spans="1:10" x14ac:dyDescent="0.3">
      <c r="A10364" t="str">
        <f>HYPERLINK("https://us2.cloudbeds.com/connect/10074733072513#/reservations/31733358133382?display=MXJHS4EXZ&amp;reservation_id=31733358133382", "MXJHS4EXZ")</f>
        <v>MXJHS4EXZ</v>
      </c>
      <c r="B10364" t="s">
        <v>10</v>
      </c>
      <c r="C10364" t="s">
        <v>11</v>
      </c>
      <c r="D10364" t="str">
        <f>HYPERLINK("https://us2.cloudbeds.com/connect/10074733072513#/reservations/31733358133382?display=Jennifer%20Daniel&amp;reservation_id=31733358133382&amp;guest_id=31733358129296", "Jennifer Daniel")</f>
        <v>Jennifer Daniel</v>
      </c>
      <c r="E10364" t="s">
        <v>9204</v>
      </c>
      <c r="F10364" t="s">
        <v>9205</v>
      </c>
      <c r="G10364">
        <v>331.2</v>
      </c>
      <c r="H10364">
        <v>360.02</v>
      </c>
      <c r="I10364">
        <v>360.01</v>
      </c>
      <c r="J10364">
        <v>0.01</v>
      </c>
    </row>
    <row r="10365" spans="1:10" x14ac:dyDescent="0.3">
      <c r="A10365" t="str">
        <f>HYPERLINK("https://us2.cloudbeds.com/connect/10074733072513#/reservations/31691768881328?display=MHKB4W6FG&amp;reservation_id=31691768881328", "MHKB4W6FG")</f>
        <v>MHKB4W6FG</v>
      </c>
      <c r="B10365" t="s">
        <v>10</v>
      </c>
      <c r="C10365" t="s">
        <v>121</v>
      </c>
      <c r="D10365" t="str">
        <f>HYPERLINK("https://us2.cloudbeds.com/connect/10074733072513#/reservations/31691768881328?display=Jordan%20Fitch&amp;reservation_id=31691768881328&amp;guest_id=31691768881308", "Jordan Fitch")</f>
        <v>Jordan Fitch</v>
      </c>
      <c r="E10365" t="s">
        <v>9207</v>
      </c>
      <c r="F10365" t="s">
        <v>8791</v>
      </c>
      <c r="G10365">
        <v>149</v>
      </c>
      <c r="H10365">
        <v>161.97</v>
      </c>
      <c r="I10365">
        <v>161.96</v>
      </c>
      <c r="J10365">
        <v>0.01</v>
      </c>
    </row>
    <row r="10366" spans="1:10" x14ac:dyDescent="0.3">
      <c r="A10366" t="str">
        <f>HYPERLINK("https://us2.cloudbeds.com/connect/10074733072513#/reservations/31691993252026?display=MHKGT5Y5X&amp;reservation_id=31691993252026", "MHKGT5Y5X")</f>
        <v>MHKGT5Y5X</v>
      </c>
      <c r="B10366" t="s">
        <v>10</v>
      </c>
      <c r="C10366" t="s">
        <v>42</v>
      </c>
      <c r="D10366" t="str">
        <f>HYPERLINK("https://us2.cloudbeds.com/connect/10074733072513#/reservations/31691993252026?display=Abby%20Hummel&amp;reservation_id=31691993252026&amp;guest_id=31691984380128", "Abby Hummel")</f>
        <v>Abby Hummel</v>
      </c>
      <c r="E10366" t="s">
        <v>9208</v>
      </c>
      <c r="F10366" t="s">
        <v>8791</v>
      </c>
      <c r="G10366">
        <v>149</v>
      </c>
      <c r="H10366">
        <v>161.97</v>
      </c>
      <c r="I10366">
        <v>161.96</v>
      </c>
      <c r="J10366">
        <v>0.01</v>
      </c>
    </row>
    <row r="10367" spans="1:10" x14ac:dyDescent="0.3">
      <c r="A10367" t="str">
        <f>HYPERLINK("https://us2.cloudbeds.com/connect/10074733072513#/reservations/31691996950671?display=MHKGW9XHN&amp;reservation_id=31691996950671", "MHKGW9XHN")</f>
        <v>MHKGW9XHN</v>
      </c>
      <c r="B10367" t="s">
        <v>10</v>
      </c>
      <c r="C10367" t="s">
        <v>42</v>
      </c>
      <c r="D10367" t="str">
        <f>HYPERLINK("https://us2.cloudbeds.com/connect/10074733072513#/reservations/31691996950671?display=Jason%20Ehlers&amp;reservation_id=31691996950671&amp;guest_id=31684144378090", "Jason Ehlers")</f>
        <v>Jason Ehlers</v>
      </c>
      <c r="E10367" t="s">
        <v>7343</v>
      </c>
      <c r="F10367" t="s">
        <v>8791</v>
      </c>
      <c r="G10367">
        <v>73</v>
      </c>
      <c r="H10367">
        <v>79.36</v>
      </c>
      <c r="I10367">
        <v>79.349999999999994</v>
      </c>
      <c r="J10367">
        <v>0.01</v>
      </c>
    </row>
    <row r="10368" spans="1:10" x14ac:dyDescent="0.3">
      <c r="A10368" t="str">
        <f>HYPERLINK("https://us2.cloudbeds.com/connect/10074733072513#/reservations/31691521687681?display=MHK4RHM1U&amp;reservation_id=31691521687681", "MHK4RHM1U")</f>
        <v>MHK4RHM1U</v>
      </c>
      <c r="B10368" t="s">
        <v>10</v>
      </c>
      <c r="C10368" t="s">
        <v>42</v>
      </c>
      <c r="D10368" t="str">
        <f>HYPERLINK("https://us2.cloudbeds.com/connect/10074733072513#/reservations/31691521687681?display=Douglas%20Tabb&amp;reservation_id=31691521687681&amp;guest_id=31691511918837", "Douglas Tabb")</f>
        <v>Douglas Tabb</v>
      </c>
      <c r="E10368" t="s">
        <v>9209</v>
      </c>
      <c r="F10368" t="s">
        <v>8822</v>
      </c>
      <c r="G10368">
        <v>129</v>
      </c>
      <c r="H10368">
        <v>140.22999999999999</v>
      </c>
      <c r="I10368">
        <v>140.22</v>
      </c>
      <c r="J10368">
        <v>0.01</v>
      </c>
    </row>
    <row r="10369" spans="1:10" x14ac:dyDescent="0.3">
      <c r="A10369" t="str">
        <f>HYPERLINK("https://us2.cloudbeds.com/connect/10074733072513#/reservations/31696056213713?display=MHNYN5HQM&amp;reservation_id=31696056213713", "MHNYN5HQM")</f>
        <v>MHNYN5HQM</v>
      </c>
      <c r="B10369" t="s">
        <v>10</v>
      </c>
      <c r="C10369" t="s">
        <v>11</v>
      </c>
      <c r="D10369" t="str">
        <f>HYPERLINK("https://us2.cloudbeds.com/connect/10074733072513#/reservations/31696056213713?display=Derek%20Ahlers&amp;reservation_id=31696056213713&amp;guest_id=31696056209628", "Derek Ahlers")</f>
        <v>Derek Ahlers</v>
      </c>
      <c r="E10369" t="s">
        <v>9210</v>
      </c>
      <c r="F10369" t="s">
        <v>8419</v>
      </c>
      <c r="G10369">
        <v>183.76</v>
      </c>
      <c r="H10369">
        <v>199.76</v>
      </c>
      <c r="I10369">
        <v>199.75</v>
      </c>
      <c r="J10369">
        <v>0.01</v>
      </c>
    </row>
    <row r="10370" spans="1:10" x14ac:dyDescent="0.3">
      <c r="A10370" t="str">
        <f>HYPERLINK("https://us2.cloudbeds.com/connect/10074733072513#/reservations/31687755083921?display=MHH7JEC31&amp;reservation_id=31687755083921", "MHH7JEC31")</f>
        <v>MHH7JEC31</v>
      </c>
      <c r="B10370" t="s">
        <v>10</v>
      </c>
      <c r="C10370" t="s">
        <v>42</v>
      </c>
      <c r="D10370" t="str">
        <f>HYPERLINK("https://us2.cloudbeds.com/connect/10074733072513#/reservations/31687755083921?display=Cole%20Southerland&amp;reservation_id=31687755083921&amp;guest_id=31687755083908", "Cole Southerland")</f>
        <v>Cole Southerland</v>
      </c>
      <c r="E10370" t="s">
        <v>9211</v>
      </c>
      <c r="F10370" t="s">
        <v>9127</v>
      </c>
      <c r="G10370">
        <v>209</v>
      </c>
      <c r="H10370">
        <v>227.19</v>
      </c>
      <c r="I10370">
        <v>227.18</v>
      </c>
      <c r="J10370">
        <v>0.01</v>
      </c>
    </row>
    <row r="10371" spans="1:10" x14ac:dyDescent="0.3">
      <c r="A10371" t="str">
        <f>HYPERLINK("https://us2.cloudbeds.com/connect/10074733072513#/reservations/31691756077255?display=MHKAR5TR9&amp;reservation_id=31691756077255", "MHKAR5TR9")</f>
        <v>MHKAR5TR9</v>
      </c>
      <c r="B10371" t="s">
        <v>10</v>
      </c>
      <c r="C10371" t="s">
        <v>42</v>
      </c>
      <c r="D10371" t="str">
        <f>HYPERLINK("https://us2.cloudbeds.com/connect/10074733072513#/reservations/31691756077255?display=Justin%20Lunde&amp;reservation_id=31691756077255&amp;guest_id=31691747455200", "Justin Lunde")</f>
        <v>Justin Lunde</v>
      </c>
      <c r="E10371" t="s">
        <v>9194</v>
      </c>
      <c r="F10371" t="s">
        <v>8791</v>
      </c>
      <c r="G10371">
        <v>298</v>
      </c>
      <c r="H10371">
        <v>323.94</v>
      </c>
      <c r="I10371">
        <v>323.93</v>
      </c>
      <c r="J10371">
        <v>0.01</v>
      </c>
    </row>
    <row r="10372" spans="1:10" x14ac:dyDescent="0.3">
      <c r="A10372" t="str">
        <f>HYPERLINK("https://us2.cloudbeds.com/connect/10074733072513#/reservations/31691840221427?display=MHKCW4B6M&amp;reservation_id=31691840221427", "MHKCW4B6M")</f>
        <v>MHKCW4B6M</v>
      </c>
      <c r="B10372" t="s">
        <v>10</v>
      </c>
      <c r="C10372" t="s">
        <v>121</v>
      </c>
      <c r="D10372" t="str">
        <f>HYPERLINK("https://us2.cloudbeds.com/connect/10074733072513#/reservations/31691840221427?display=John%20Devore&amp;reservation_id=31691840221427&amp;guest_id=31691831034076", "John Devore")</f>
        <v>John Devore</v>
      </c>
      <c r="E10372" t="s">
        <v>9215</v>
      </c>
      <c r="F10372" t="s">
        <v>8791</v>
      </c>
      <c r="G10372">
        <v>179</v>
      </c>
      <c r="H10372">
        <v>194.58</v>
      </c>
      <c r="I10372">
        <v>194.57</v>
      </c>
      <c r="J10372">
        <v>0.01</v>
      </c>
    </row>
    <row r="10373" spans="1:10" x14ac:dyDescent="0.3">
      <c r="A10373" t="str">
        <f>HYPERLINK("https://us2.cloudbeds.com/connect/10074733072513#/reservations/31691821564105?display=MHKCGD5M9&amp;reservation_id=31691821564105", "MHKCGD5M9")</f>
        <v>MHKCGD5M9</v>
      </c>
      <c r="B10373" t="s">
        <v>10</v>
      </c>
      <c r="C10373" t="s">
        <v>42</v>
      </c>
      <c r="D10373" t="str">
        <f>HYPERLINK("https://us2.cloudbeds.com/connect/10074733072513#/reservations/31691821564105?display=Tyler%20Norenberg&amp;reservation_id=31691821564105&amp;guest_id=31691821560061", "Tyler Norenberg")</f>
        <v>Tyler Norenberg</v>
      </c>
      <c r="E10373" t="s">
        <v>9216</v>
      </c>
      <c r="F10373" t="s">
        <v>9127</v>
      </c>
      <c r="G10373">
        <v>73</v>
      </c>
      <c r="H10373">
        <v>79.36</v>
      </c>
      <c r="I10373">
        <v>79.349999999999994</v>
      </c>
      <c r="J10373">
        <v>0.01</v>
      </c>
    </row>
    <row r="10374" spans="1:10" x14ac:dyDescent="0.3">
      <c r="A10374" t="str">
        <f>HYPERLINK("https://us2.cloudbeds.com/connect/10074733072513#/reservations/31691860058263?display=MHKDFSARU&amp;reservation_id=31691860058263", "MHKDFSARU")</f>
        <v>MHKDFSARU</v>
      </c>
      <c r="B10374" t="s">
        <v>10</v>
      </c>
      <c r="C10374" t="s">
        <v>11</v>
      </c>
      <c r="D10374" t="str">
        <f>HYPERLINK("https://us2.cloudbeds.com/connect/10074733072513#/reservations/31691860058263?display=Kari%20Rumsey&amp;reservation_id=31691860058263&amp;guest_id=31691844403402", "Kari Rumsey")</f>
        <v>Kari Rumsey</v>
      </c>
      <c r="E10374" t="s">
        <v>9217</v>
      </c>
      <c r="F10374" t="s">
        <v>8419</v>
      </c>
      <c r="G10374">
        <v>169</v>
      </c>
      <c r="H10374">
        <v>183.71</v>
      </c>
      <c r="I10374">
        <v>183.7</v>
      </c>
      <c r="J10374">
        <v>0.01</v>
      </c>
    </row>
    <row r="10375" spans="1:10" x14ac:dyDescent="0.3">
      <c r="A10375" t="str">
        <f>HYPERLINK("https://us2.cloudbeds.com/connect/10074733072513#/reservations/31687775772822?display=MHH83T25E&amp;reservation_id=31687775772822", "MHH83T25E")</f>
        <v>MHH83T25E</v>
      </c>
      <c r="B10375" t="s">
        <v>10</v>
      </c>
      <c r="C10375" t="s">
        <v>42</v>
      </c>
      <c r="D10375" t="str">
        <f>HYPERLINK("https://us2.cloudbeds.com/connect/10074733072513#/reservations/31687775772822?display=Faith%20High%20School&amp;reservation_id=31687775772822&amp;guest_id=31677931102352", "Faith High School")</f>
        <v>Faith High School</v>
      </c>
      <c r="E10375" t="s">
        <v>5764</v>
      </c>
      <c r="F10375" t="s">
        <v>9127</v>
      </c>
      <c r="G10375">
        <v>139</v>
      </c>
      <c r="H10375">
        <v>151.1</v>
      </c>
      <c r="I10375">
        <v>151.09</v>
      </c>
      <c r="J10375">
        <v>0.01</v>
      </c>
    </row>
    <row r="10376" spans="1:10" x14ac:dyDescent="0.3">
      <c r="A10376" t="str">
        <f>HYPERLINK("https://us2.cloudbeds.com/connect/10074733072513#/reservations/31693864739069?display=MHYVN8HD4&amp;reservation_id=31693864739069", "MHYVN8HD4")</f>
        <v>MHYVN8HD4</v>
      </c>
      <c r="B10376" t="s">
        <v>10</v>
      </c>
      <c r="C10376" t="s">
        <v>42</v>
      </c>
      <c r="D10376" t="str">
        <f>HYPERLINK("https://us2.cloudbeds.com/connect/10074733072513#/reservations/31693864739069?display=Lara%20Bridi&amp;reservation_id=31693864739069&amp;guest_id=31693864739067", "Lara Bridi")</f>
        <v>Lara Bridi</v>
      </c>
      <c r="E10376" t="s">
        <v>9218</v>
      </c>
      <c r="F10376" t="s">
        <v>8513</v>
      </c>
      <c r="G10376">
        <v>396</v>
      </c>
      <c r="H10376">
        <v>430.46</v>
      </c>
      <c r="I10376">
        <v>430.45</v>
      </c>
      <c r="J10376">
        <v>0.01</v>
      </c>
    </row>
    <row r="10377" spans="1:10" x14ac:dyDescent="0.3">
      <c r="A10377" t="str">
        <f>HYPERLINK("https://us2.cloudbeds.com/connect/10074733072513#/reservations/31691702886628?display=MHK9FAQ93&amp;reservation_id=31691702886628", "MHK9FAQ93")</f>
        <v>MHK9FAQ93</v>
      </c>
      <c r="B10377" t="s">
        <v>10</v>
      </c>
      <c r="C10377" t="s">
        <v>42</v>
      </c>
      <c r="D10377" t="str">
        <f>HYPERLINK("https://us2.cloudbeds.com/connect/10074733072513#/reservations/31691702886628?display=Lola%20Mcdonald&amp;reservation_id=31691702886628&amp;guest_id=31691693584514", "Lola Mcdonald")</f>
        <v>Lola Mcdonald</v>
      </c>
      <c r="E10377" t="s">
        <v>9027</v>
      </c>
      <c r="F10377" t="s">
        <v>8965</v>
      </c>
      <c r="G10377">
        <v>483.3</v>
      </c>
      <c r="H10377">
        <v>525.36</v>
      </c>
      <c r="I10377">
        <v>525.35</v>
      </c>
      <c r="J10377">
        <v>0.01</v>
      </c>
    </row>
    <row r="10378" spans="1:10" x14ac:dyDescent="0.3">
      <c r="A10378" t="str">
        <f>HYPERLINK("https://us2.cloudbeds.com/connect/10074733072513#/reservations/31731631276281?display=MXX6Z036N&amp;reservation_id=31731631276281", "MXX6Z036N")</f>
        <v>MXX6Z036N</v>
      </c>
      <c r="B10378" t="s">
        <v>10</v>
      </c>
      <c r="C10378" t="s">
        <v>42</v>
      </c>
      <c r="D10378" t="str">
        <f>HYPERLINK("https://us2.cloudbeds.com/connect/10074733072513#/reservations/31731631276281?display=Michael%20Wallen&amp;reservation_id=31731631276281&amp;guest_id=31731611611294", "Michael Wallen")</f>
        <v>Michael Wallen</v>
      </c>
      <c r="E10378" t="s">
        <v>9222</v>
      </c>
      <c r="F10378" t="s">
        <v>8428</v>
      </c>
      <c r="G10378">
        <v>139</v>
      </c>
      <c r="H10378">
        <v>151.1</v>
      </c>
      <c r="I10378">
        <v>151.09</v>
      </c>
      <c r="J10378">
        <v>0.01</v>
      </c>
    </row>
    <row r="10379" spans="1:10" x14ac:dyDescent="0.3">
      <c r="A10379" t="str">
        <f>HYPERLINK("https://us2.cloudbeds.com/connect/10074733072513#/reservations/31691860062370?display=MHKDFSEKC&amp;reservation_id=31691860062370", "MHKDFSEKC")</f>
        <v>MHKDFSEKC</v>
      </c>
      <c r="B10379" t="s">
        <v>10</v>
      </c>
      <c r="C10379" t="s">
        <v>121</v>
      </c>
      <c r="D10379" t="str">
        <f>HYPERLINK("https://us2.cloudbeds.com/connect/10074733072513#/reservations/31691860062370?display=Jennifer%20Wyzykowski&amp;reservation_id=31691860062370&amp;guest_id=31691860062367", "Jennifer Wyzykowski")</f>
        <v>Jennifer Wyzykowski</v>
      </c>
      <c r="E10379" t="s">
        <v>9226</v>
      </c>
      <c r="F10379" t="s">
        <v>8419</v>
      </c>
      <c r="G10379">
        <v>209</v>
      </c>
      <c r="H10379">
        <v>227.19</v>
      </c>
      <c r="I10379">
        <v>227.18</v>
      </c>
      <c r="J10379">
        <v>0.01</v>
      </c>
    </row>
    <row r="10380" spans="1:10" x14ac:dyDescent="0.3">
      <c r="A10380" t="str">
        <f>HYPERLINK("https://us2.cloudbeds.com/connect/10074733072513#/reservations/31691872293075?display=MHKDQ5PZQ&amp;reservation_id=31691872293075", "MHKDQ5PZQ")</f>
        <v>MHKDQ5PZQ</v>
      </c>
      <c r="B10380" t="s">
        <v>10</v>
      </c>
      <c r="C10380" t="s">
        <v>11</v>
      </c>
      <c r="D10380" t="str">
        <f>HYPERLINK("https://us2.cloudbeds.com/connect/10074733072513#/reservations/31691872293075?display=Terry%20Hammerstrom&amp;reservation_id=31691872293075&amp;guest_id=31691872293072", "Terry Hammerstrom")</f>
        <v>Terry Hammerstrom</v>
      </c>
      <c r="E10380" t="s">
        <v>9227</v>
      </c>
      <c r="F10380" t="s">
        <v>8419</v>
      </c>
      <c r="G10380">
        <v>169</v>
      </c>
      <c r="H10380">
        <v>183.71</v>
      </c>
      <c r="I10380">
        <v>183.7</v>
      </c>
      <c r="J10380">
        <v>0.01</v>
      </c>
    </row>
    <row r="10381" spans="1:10" x14ac:dyDescent="0.3">
      <c r="A10381" t="str">
        <f>HYPERLINK("https://us2.cloudbeds.com/connect/10074733072513#/reservations/31731836661904?display=MXXBW68DF&amp;reservation_id=31731836661904", "MXXBW68DF")</f>
        <v>MXXBW68DF</v>
      </c>
      <c r="B10381" t="s">
        <v>10</v>
      </c>
      <c r="C10381" t="s">
        <v>23</v>
      </c>
      <c r="D10381" t="str">
        <f>HYPERLINK("https://us2.cloudbeds.com/connect/10074733072513#/reservations/31731836661904?display=Hailey%20Masters&amp;reservation_id=31731836661904&amp;guest_id=31731836657817", "Hailey Masters")</f>
        <v>Hailey Masters</v>
      </c>
      <c r="E10381" t="s">
        <v>9228</v>
      </c>
      <c r="F10381" t="s">
        <v>7203</v>
      </c>
      <c r="G10381">
        <v>398</v>
      </c>
      <c r="H10381">
        <v>432.64</v>
      </c>
      <c r="I10381">
        <v>432.63</v>
      </c>
      <c r="J10381">
        <v>0.01</v>
      </c>
    </row>
    <row r="10382" spans="1:10" x14ac:dyDescent="0.3">
      <c r="A10382" t="str">
        <f>HYPERLINK("https://us2.cloudbeds.com/connect/10074733072513#/reservations/31693831082215?display=MHYURSW6F&amp;reservation_id=31693831082215", "MHYURSW6F")</f>
        <v>MHYURSW6F</v>
      </c>
      <c r="B10382" t="s">
        <v>10</v>
      </c>
      <c r="C10382" t="s">
        <v>42</v>
      </c>
      <c r="D10382" t="str">
        <f>HYPERLINK("https://us2.cloudbeds.com/connect/10074733072513#/reservations/31693831082215?display=Rodney%20Stahl&amp;reservation_id=31693831082215&amp;guest_id=31693820625103", "Rodney Stahl")</f>
        <v>Rodney Stahl</v>
      </c>
      <c r="E10382" t="s">
        <v>9229</v>
      </c>
      <c r="F10382" t="s">
        <v>8513</v>
      </c>
      <c r="G10382">
        <v>189</v>
      </c>
      <c r="H10382">
        <v>205.45</v>
      </c>
      <c r="I10382">
        <v>205.44</v>
      </c>
      <c r="J10382">
        <v>0.01</v>
      </c>
    </row>
    <row r="10383" spans="1:10" x14ac:dyDescent="0.3">
      <c r="A10383" t="str">
        <f>HYPERLINK("https://us2.cloudbeds.com/connect/10074733072513#/reservations/31691715825831?display=MHK9Q7S05&amp;reservation_id=31691715825831", "MHK9Q7S05")</f>
        <v>MHK9Q7S05</v>
      </c>
      <c r="B10383" t="s">
        <v>10</v>
      </c>
      <c r="C10383" t="s">
        <v>11</v>
      </c>
      <c r="D10383" t="str">
        <f>HYPERLINK("https://us2.cloudbeds.com/connect/10074733072513#/reservations/31691715825831?display=Dean%20Killyan&amp;reservation_id=31691715825831&amp;guest_id=31691715825827", "Dean Killyan")</f>
        <v>Dean Killyan</v>
      </c>
      <c r="E10383" t="s">
        <v>9232</v>
      </c>
      <c r="F10383" t="s">
        <v>8965</v>
      </c>
      <c r="G10383">
        <v>102.58</v>
      </c>
      <c r="H10383">
        <v>111.51</v>
      </c>
      <c r="I10383">
        <v>111.5</v>
      </c>
      <c r="J10383">
        <v>0.01</v>
      </c>
    </row>
    <row r="10384" spans="1:10" x14ac:dyDescent="0.3">
      <c r="A10384" t="str">
        <f>HYPERLINK("https://us2.cloudbeds.com/connect/10074733072513#/reservations/31694742556841?display=MHMY4F3AM&amp;reservation_id=31694742556841", "MHMY4F3AM")</f>
        <v>MHMY4F3AM</v>
      </c>
      <c r="B10384" t="s">
        <v>10</v>
      </c>
      <c r="C10384" t="s">
        <v>42</v>
      </c>
      <c r="D10384" t="str">
        <f>HYPERLINK("https://us2.cloudbeds.com/connect/10074733072513#/reservations/31694742556841?display=Cole%20Southerland&amp;reservation_id=31694742556841&amp;guest_id=31694742556826", "Cole Southerland")</f>
        <v>Cole Southerland</v>
      </c>
      <c r="E10384" t="s">
        <v>9211</v>
      </c>
      <c r="F10384" t="s">
        <v>8965</v>
      </c>
      <c r="G10384">
        <v>139</v>
      </c>
      <c r="H10384">
        <v>151.1</v>
      </c>
      <c r="I10384">
        <v>151.09</v>
      </c>
      <c r="J10384">
        <v>0.01</v>
      </c>
    </row>
    <row r="10385" spans="1:10" x14ac:dyDescent="0.3">
      <c r="A10385" t="str">
        <f>HYPERLINK("https://us2.cloudbeds.com/connect/10074733072513#/reservations/31691693580421?display=MHK97FRKR&amp;reservation_id=31691693580421", "MHK97FRKR")</f>
        <v>MHK97FRKR</v>
      </c>
      <c r="B10385" t="s">
        <v>10</v>
      </c>
      <c r="C10385" t="s">
        <v>42</v>
      </c>
      <c r="D10385" t="str">
        <f>HYPERLINK("https://us2.cloudbeds.com/connect/10074733072513#/reservations/31691693580421?display=Samma%20Abdurahman&amp;reservation_id=31691693580421&amp;guest_id=31691693580419", "Samma Abdurahman")</f>
        <v>Samma Abdurahman</v>
      </c>
      <c r="E10385" t="s">
        <v>9233</v>
      </c>
      <c r="F10385" t="s">
        <v>8513</v>
      </c>
      <c r="G10385">
        <v>229</v>
      </c>
      <c r="H10385">
        <v>248.93</v>
      </c>
      <c r="I10385">
        <v>248.92</v>
      </c>
      <c r="J10385">
        <v>0.01</v>
      </c>
    </row>
    <row r="10386" spans="1:10" x14ac:dyDescent="0.3">
      <c r="A10386" t="str">
        <f>HYPERLINK("https://us2.cloudbeds.com/connect/10074733072513#/reservations/31695943467203?display=MHNXR36YP&amp;reservation_id=31695943467203", "MHNXR36YP")</f>
        <v>MHNXR36YP</v>
      </c>
      <c r="B10386" t="s">
        <v>10</v>
      </c>
      <c r="C10386" t="s">
        <v>42</v>
      </c>
      <c r="D10386" t="str">
        <f>HYPERLINK("https://us2.cloudbeds.com/connect/10074733072513#/reservations/31695943467203?display=Adam%20Bertsch&amp;reservation_id=31695943467203&amp;guest_id=31695943463118", "Adam Bertsch")</f>
        <v>Adam Bertsch</v>
      </c>
      <c r="E10386" t="s">
        <v>9237</v>
      </c>
      <c r="F10386" t="s">
        <v>8195</v>
      </c>
      <c r="G10386">
        <v>149</v>
      </c>
      <c r="H10386">
        <v>161.97</v>
      </c>
      <c r="I10386">
        <v>161.96</v>
      </c>
      <c r="J10386">
        <v>0.01</v>
      </c>
    </row>
    <row r="10387" spans="1:10" x14ac:dyDescent="0.3">
      <c r="A10387" t="str">
        <f>HYPERLINK("https://us2.cloudbeds.com/connect/10074733072513#/reservations/31694663422154?display=MHMJ3Z20S&amp;reservation_id=31694663422154", "MHMJ3Z20S")</f>
        <v>MHMJ3Z20S</v>
      </c>
      <c r="B10387" t="s">
        <v>10</v>
      </c>
      <c r="C10387" t="s">
        <v>20</v>
      </c>
      <c r="D10387" t="str">
        <f>HYPERLINK("https://us2.cloudbeds.com/connect/10074733072513#/reservations/31694663422154?display=Korrie%20Wise&amp;reservation_id=31694663422154&amp;guest_id=31694663422150", "Korrie Wise")</f>
        <v>Korrie Wise</v>
      </c>
      <c r="E10387" t="s">
        <v>9240</v>
      </c>
      <c r="F10387" t="s">
        <v>8681</v>
      </c>
      <c r="G10387">
        <v>139</v>
      </c>
      <c r="H10387">
        <v>151.1</v>
      </c>
      <c r="I10387">
        <v>151.09</v>
      </c>
      <c r="J10387">
        <v>0.01</v>
      </c>
    </row>
    <row r="10388" spans="1:10" x14ac:dyDescent="0.3">
      <c r="A10388" t="str">
        <f>HYPERLINK("https://us2.cloudbeds.com/connect/10074733072513#/reservations/31735623151820?display=MXY9Z1UA3&amp;reservation_id=31735623151820", "MXY9Z1UA3")</f>
        <v>MXY9Z1UA3</v>
      </c>
      <c r="B10388" t="s">
        <v>10</v>
      </c>
      <c r="C10388" t="s">
        <v>23</v>
      </c>
      <c r="D10388" t="str">
        <f>HYPERLINK("https://us2.cloudbeds.com/connect/10074733072513#/reservations/31735623151820?display=Kaisee%20Murphy&amp;reservation_id=31735623151820&amp;guest_id=31735623147738", "Kaisee Murphy")</f>
        <v>Kaisee Murphy</v>
      </c>
      <c r="E10388" t="s">
        <v>9241</v>
      </c>
      <c r="F10388" t="s">
        <v>8752</v>
      </c>
      <c r="G10388">
        <v>647</v>
      </c>
      <c r="H10388">
        <v>703.3</v>
      </c>
      <c r="I10388">
        <v>703.29</v>
      </c>
      <c r="J10388">
        <v>0.01</v>
      </c>
    </row>
    <row r="10389" spans="1:10" x14ac:dyDescent="0.3">
      <c r="A10389" t="str">
        <f>HYPERLINK("https://us2.cloudbeds.com/connect/10074733072513#/reservations/31734718529780?display=MXKJK8FZ1&amp;reservation_id=31734718529780", "MXKJK8FZ1")</f>
        <v>MXKJK8FZ1</v>
      </c>
      <c r="B10389" t="s">
        <v>10</v>
      </c>
      <c r="C10389" t="s">
        <v>17</v>
      </c>
      <c r="D10389" t="str">
        <f>HYPERLINK("https://us2.cloudbeds.com/connect/10074733072513#/reservations/31734718529780?display=Sheryl%20Tornow&amp;reservation_id=31734718529780&amp;guest_id=31734718529764", "Sheryl Tornow")</f>
        <v>Sheryl Tornow</v>
      </c>
      <c r="E10389" t="s">
        <v>9242</v>
      </c>
      <c r="F10389" t="s">
        <v>9021</v>
      </c>
      <c r="G10389">
        <v>209</v>
      </c>
      <c r="H10389">
        <v>227.19</v>
      </c>
      <c r="I10389">
        <v>227.18</v>
      </c>
      <c r="J10389">
        <v>0.01</v>
      </c>
    </row>
    <row r="10390" spans="1:10" x14ac:dyDescent="0.3">
      <c r="A10390" t="str">
        <f>HYPERLINK("https://us2.cloudbeds.com/connect/10074733072513#/reservations/31734886432963?display=MXKNTRKQ9&amp;reservation_id=31734886432963", "MXKNTRKQ9")</f>
        <v>MXKNTRKQ9</v>
      </c>
      <c r="B10390" t="s">
        <v>10</v>
      </c>
      <c r="C10390" t="s">
        <v>23</v>
      </c>
      <c r="D10390" t="str">
        <f>HYPERLINK("https://us2.cloudbeds.com/connect/10074733072513#/reservations/31734886432963?display=Danielle%20Barenie&amp;reservation_id=31734886432963&amp;guest_id=31734886428879", "Danielle Barenie")</f>
        <v>Danielle Barenie</v>
      </c>
      <c r="E10390" t="s">
        <v>9243</v>
      </c>
      <c r="F10390" t="s">
        <v>7751</v>
      </c>
      <c r="G10390">
        <v>189</v>
      </c>
      <c r="H10390">
        <v>205.45</v>
      </c>
      <c r="I10390">
        <v>205.44</v>
      </c>
      <c r="J10390">
        <v>0.01</v>
      </c>
    </row>
    <row r="10391" spans="1:10" x14ac:dyDescent="0.3">
      <c r="A10391" t="str">
        <f>HYPERLINK("https://us2.cloudbeds.com/connect/10074733072513#/reservations/31695881658511?display=MHNH7W9C3&amp;reservation_id=31695881658511", "MHNH7W9C3")</f>
        <v>MHNH7W9C3</v>
      </c>
      <c r="B10391" t="s">
        <v>10</v>
      </c>
      <c r="C10391" t="s">
        <v>121</v>
      </c>
      <c r="D10391" t="str">
        <f>HYPERLINK("https://us2.cloudbeds.com/connect/10074733072513#/reservations/31695881658511?display=Michael%20Hahn&amp;reservation_id=31695881658511&amp;guest_id=31695881658506", "Michael Hahn")</f>
        <v>Michael Hahn</v>
      </c>
      <c r="E10391" t="s">
        <v>9244</v>
      </c>
      <c r="F10391" t="s">
        <v>8195</v>
      </c>
      <c r="G10391">
        <v>139</v>
      </c>
      <c r="H10391">
        <v>151.1</v>
      </c>
      <c r="I10391">
        <v>151.09</v>
      </c>
      <c r="J10391">
        <v>0.01</v>
      </c>
    </row>
    <row r="10392" spans="1:10" x14ac:dyDescent="0.3">
      <c r="A10392" t="str">
        <f>HYPERLINK("https://us2.cloudbeds.com/connect/10074733072513#/reservations/31732983181523?display=MXJ88VS57&amp;reservation_id=31732983181523", "MXJ88VS57")</f>
        <v>MXJ88VS57</v>
      </c>
      <c r="B10392" t="s">
        <v>10</v>
      </c>
      <c r="C10392" t="s">
        <v>17</v>
      </c>
      <c r="D10392" t="str">
        <f>HYPERLINK("https://us2.cloudbeds.com/connect/10074733072513#/reservations/31732983181523?display=Erick%20Dabbs&amp;reservation_id=31732983181523&amp;guest_id=31694796468396", "Erick Dabbs")</f>
        <v>Erick Dabbs</v>
      </c>
      <c r="E10392" t="s">
        <v>8256</v>
      </c>
      <c r="F10392" t="s">
        <v>9245</v>
      </c>
      <c r="G10392">
        <v>149</v>
      </c>
      <c r="H10392">
        <v>161.97</v>
      </c>
      <c r="I10392">
        <v>161.96</v>
      </c>
      <c r="J10392">
        <v>0.01</v>
      </c>
    </row>
    <row r="10393" spans="1:10" x14ac:dyDescent="0.3">
      <c r="A10393" t="str">
        <f>HYPERLINK("https://us2.cloudbeds.com/connect/10074733072513#/reservations/31729495953565?display=MXGX5EJKZ&amp;reservation_id=31729495953565", "MXGX5EJKZ")</f>
        <v>MXGX5EJKZ</v>
      </c>
      <c r="B10393" t="s">
        <v>10</v>
      </c>
      <c r="C10393" t="s">
        <v>42</v>
      </c>
      <c r="D10393" t="str">
        <f>HYPERLINK("https://us2.cloudbeds.com/connect/10074733072513#/reservations/31729495953565?display=Ebony%20Grochow&amp;reservation_id=31729495953565&amp;guest_id=31729495949481", "Ebony Grochow")</f>
        <v>Ebony Grochow</v>
      </c>
      <c r="E10393" t="s">
        <v>9248</v>
      </c>
      <c r="F10393" t="s">
        <v>8835</v>
      </c>
      <c r="G10393">
        <v>318</v>
      </c>
      <c r="H10393">
        <v>345.68</v>
      </c>
      <c r="I10393">
        <v>345.67</v>
      </c>
      <c r="J10393">
        <v>0.01</v>
      </c>
    </row>
    <row r="10394" spans="1:10" x14ac:dyDescent="0.3">
      <c r="A10394" t="str">
        <f>HYPERLINK("https://us2.cloudbeds.com/connect/10074733072513#/reservations/31691370959061?display=MHK0WEDUW&amp;reservation_id=31691370959061", "MHK0WEDUW")</f>
        <v>MHK0WEDUW</v>
      </c>
      <c r="B10394" t="s">
        <v>10</v>
      </c>
      <c r="C10394" t="s">
        <v>23</v>
      </c>
      <c r="D10394" t="str">
        <f>HYPERLINK("https://us2.cloudbeds.com/connect/10074733072513#/reservations/31691370959061?display=Walter%20Pelowski&amp;reservation_id=31691370959061&amp;guest_id=31691370954965", "Walter Pelowski")</f>
        <v>Walter Pelowski</v>
      </c>
      <c r="E10394" t="s">
        <v>9250</v>
      </c>
      <c r="F10394" t="s">
        <v>8681</v>
      </c>
      <c r="G10394">
        <v>139</v>
      </c>
      <c r="H10394">
        <v>151.1</v>
      </c>
      <c r="I10394">
        <v>151.09</v>
      </c>
      <c r="J10394">
        <v>0.01</v>
      </c>
    </row>
    <row r="10395" spans="1:10" x14ac:dyDescent="0.3">
      <c r="A10395" t="str">
        <f>HYPERLINK("https://us2.cloudbeds.com/connect/10074733072513#/reservations/31736146481342?display=MXYN3BB0F&amp;reservation_id=31736146481342", "MXYN3BB0F")</f>
        <v>MXYN3BB0F</v>
      </c>
      <c r="B10395" t="s">
        <v>10</v>
      </c>
      <c r="C10395" t="s">
        <v>17</v>
      </c>
      <c r="D10395" t="str">
        <f>HYPERLINK("https://us2.cloudbeds.com/connect/10074733072513#/reservations/31736146481342?display=Andrew%20Fries&amp;reservation_id=31736146481342&amp;guest_id=31713282101431", "Andrew Fries")</f>
        <v>Andrew Fries</v>
      </c>
      <c r="E10395" t="s">
        <v>9251</v>
      </c>
      <c r="F10395" t="s">
        <v>9018</v>
      </c>
      <c r="G10395">
        <v>438</v>
      </c>
      <c r="H10395">
        <v>476.12</v>
      </c>
      <c r="I10395">
        <v>476.11</v>
      </c>
      <c r="J10395">
        <v>0.01</v>
      </c>
    </row>
    <row r="10396" spans="1:10" x14ac:dyDescent="0.3">
      <c r="A10396" t="str">
        <f>HYPERLINK("https://us2.cloudbeds.com/connect/10074733072513#/reservations/31729803628740?display=MXGQ0T3KT&amp;reservation_id=31729803628740", "MXGQ0T3KT")</f>
        <v>MXGQ0T3KT</v>
      </c>
      <c r="B10396" t="s">
        <v>10</v>
      </c>
      <c r="C10396" t="s">
        <v>121</v>
      </c>
      <c r="D10396" t="str">
        <f>HYPERLINK("https://us2.cloudbeds.com/connect/10074733072513#/reservations/31729803628740?display=Matthew%20Fortin&amp;reservation_id=31729803628740&amp;guest_id=31692032065688", "Matthew Fortin")</f>
        <v>Matthew Fortin</v>
      </c>
      <c r="E10396" t="s">
        <v>7913</v>
      </c>
      <c r="F10396" t="s">
        <v>9197</v>
      </c>
      <c r="G10396">
        <v>278</v>
      </c>
      <c r="H10396">
        <v>302.2</v>
      </c>
      <c r="I10396">
        <v>302.19</v>
      </c>
      <c r="J10396">
        <v>0.01</v>
      </c>
    </row>
    <row r="10397" spans="1:10" x14ac:dyDescent="0.3">
      <c r="A10397" t="str">
        <f>HYPERLINK("https://us2.cloudbeds.com/connect/10074733072513#/reservations/31733724786824?display=MXJR7A3P4&amp;reservation_id=31733724786824", "MXJR7A3P4")</f>
        <v>MXJR7A3P4</v>
      </c>
      <c r="B10397" t="s">
        <v>10</v>
      </c>
      <c r="C10397" t="s">
        <v>11</v>
      </c>
      <c r="D10397" t="str">
        <f>HYPERLINK("https://us2.cloudbeds.com/connect/10074733072513#/reservations/31733724786824?display=Kevin%20Tobey&amp;reservation_id=31733724786824&amp;guest_id=31733716693201", "Kevin Tobey")</f>
        <v>Kevin Tobey</v>
      </c>
      <c r="E10397" t="s">
        <v>9252</v>
      </c>
      <c r="F10397" t="s">
        <v>8428</v>
      </c>
      <c r="G10397">
        <v>469.36</v>
      </c>
      <c r="H10397">
        <v>510.2</v>
      </c>
      <c r="I10397">
        <v>510.19</v>
      </c>
      <c r="J10397">
        <v>0.01</v>
      </c>
    </row>
    <row r="10398" spans="1:10" x14ac:dyDescent="0.3">
      <c r="A10398" t="str">
        <f>HYPERLINK("https://us2.cloudbeds.com/connect/10074733072513#/reservations/31691430473940?display=MHK2GKGT5&amp;reservation_id=31691430473940", "MHK2GKGT5")</f>
        <v>MHK2GKGT5</v>
      </c>
      <c r="B10398" t="s">
        <v>10</v>
      </c>
      <c r="C10398" t="s">
        <v>23</v>
      </c>
      <c r="D10398" t="str">
        <f>HYPERLINK("https://us2.cloudbeds.com/connect/10074733072513#/reservations/31691430473940?display=William%20Rinaldi&amp;reservation_id=31691430473940&amp;guest_id=31691430473938", "William Rinaldi")</f>
        <v>William Rinaldi</v>
      </c>
      <c r="E10398" t="s">
        <v>9253</v>
      </c>
      <c r="F10398" t="s">
        <v>8681</v>
      </c>
      <c r="G10398">
        <v>139</v>
      </c>
      <c r="H10398">
        <v>151.1</v>
      </c>
      <c r="I10398">
        <v>151.09</v>
      </c>
      <c r="J10398">
        <v>0.01</v>
      </c>
    </row>
    <row r="10399" spans="1:10" x14ac:dyDescent="0.3">
      <c r="A10399" t="str">
        <f>HYPERLINK("https://us2.cloudbeds.com/connect/10074733072513#/reservations/31694634762459?display=MHMXCXXJ8&amp;reservation_id=31694634762459", "MHMXCXXJ8")</f>
        <v>MHMXCXXJ8</v>
      </c>
      <c r="B10399" t="s">
        <v>10</v>
      </c>
      <c r="C10399" t="s">
        <v>42</v>
      </c>
      <c r="D10399" t="str">
        <f>HYPERLINK("https://us2.cloudbeds.com/connect/10074733072513#/reservations/31694634762459?display=Brock%20Smith&amp;reservation_id=31694634762459&amp;guest_id=31690473304242", "Brock Smith")</f>
        <v>Brock Smith</v>
      </c>
      <c r="E10399" t="s">
        <v>3409</v>
      </c>
      <c r="F10399" t="s">
        <v>8681</v>
      </c>
      <c r="G10399">
        <v>73</v>
      </c>
      <c r="H10399">
        <v>79.36</v>
      </c>
      <c r="I10399">
        <v>79.349999999999994</v>
      </c>
      <c r="J10399">
        <v>0.01</v>
      </c>
    </row>
    <row r="10400" spans="1:10" x14ac:dyDescent="0.3">
      <c r="A10400" t="str">
        <f>HYPERLINK("https://us2.cloudbeds.com/connect/10074733072513#/reservations/31734015586467?display=MXK1YH1DH&amp;reservation_id=31734015586467", "MXK1YH1DH")</f>
        <v>MXK1YH1DH</v>
      </c>
      <c r="B10400" t="s">
        <v>10</v>
      </c>
      <c r="C10400" t="s">
        <v>23</v>
      </c>
      <c r="D10400" t="str">
        <f>HYPERLINK("https://us2.cloudbeds.com/connect/10074733072513#/reservations/31734015586467?display=Jill%20Anderson&amp;reservation_id=31734015586467&amp;guest_id=31734015586465", "Jill Anderson")</f>
        <v>Jill Anderson</v>
      </c>
      <c r="E10400" t="s">
        <v>9254</v>
      </c>
      <c r="F10400" t="s">
        <v>7203</v>
      </c>
      <c r="G10400">
        <v>209</v>
      </c>
      <c r="H10400">
        <v>227.19</v>
      </c>
      <c r="I10400">
        <v>227.18</v>
      </c>
      <c r="J10400">
        <v>0.01</v>
      </c>
    </row>
    <row r="10401" spans="1:10" x14ac:dyDescent="0.3">
      <c r="A10401" t="str">
        <f>HYPERLINK("https://us2.cloudbeds.com/connect/10074733072513#/reservations/31734374985859?display=MXKARXSD6&amp;reservation_id=31734374985859", "MXKARXSD6")</f>
        <v>MXKARXSD6</v>
      </c>
      <c r="B10401" t="s">
        <v>10</v>
      </c>
      <c r="C10401" t="s">
        <v>23</v>
      </c>
      <c r="D10401" t="str">
        <f>HYPERLINK("https://us2.cloudbeds.com/connect/10074733072513#/reservations/31734374985859?display=Sara%20Scherer&amp;reservation_id=31734374985859&amp;guest_id=31734374981778", "Sara Scherer")</f>
        <v>Sara Scherer</v>
      </c>
      <c r="E10401" t="s">
        <v>9255</v>
      </c>
      <c r="F10401" t="s">
        <v>9256</v>
      </c>
      <c r="G10401">
        <v>209</v>
      </c>
      <c r="H10401">
        <v>227.19</v>
      </c>
      <c r="I10401">
        <v>227.18</v>
      </c>
      <c r="J10401">
        <v>0.01</v>
      </c>
    </row>
    <row r="10402" spans="1:10" x14ac:dyDescent="0.3">
      <c r="A10402" t="str">
        <f>HYPERLINK("https://us2.cloudbeds.com/connect/10074733072513#/reservations/31735383183511?display=MXY3JNEZ6&amp;reservation_id=31735383183511", "MXY3JNEZ6")</f>
        <v>MXY3JNEZ6</v>
      </c>
      <c r="B10402" t="s">
        <v>10</v>
      </c>
      <c r="C10402" t="s">
        <v>23</v>
      </c>
      <c r="D10402" t="str">
        <f>HYPERLINK("https://us2.cloudbeds.com/connect/10074733072513#/reservations/31735383183511?display=Bradley%20Kari&amp;reservation_id=31735383183511&amp;guest_id=31735383183507", "Bradley Kari")</f>
        <v>Bradley Kari</v>
      </c>
      <c r="E10402" t="s">
        <v>9257</v>
      </c>
      <c r="F10402" t="s">
        <v>9214</v>
      </c>
      <c r="G10402">
        <v>149</v>
      </c>
      <c r="H10402">
        <v>161.97</v>
      </c>
      <c r="I10402">
        <v>161.96</v>
      </c>
      <c r="J10402">
        <v>0.01</v>
      </c>
    </row>
    <row r="10403" spans="1:10" x14ac:dyDescent="0.3">
      <c r="A10403" t="str">
        <f>HYPERLINK("https://us2.cloudbeds.com/connect/10074733072513#/reservations/31725458051235?display=MXDDWJ0B2&amp;reservation_id=31725458051235", "MXDDWJ0B2")</f>
        <v>MXDDWJ0B2</v>
      </c>
      <c r="B10403" t="s">
        <v>10</v>
      </c>
      <c r="C10403" t="s">
        <v>42</v>
      </c>
      <c r="D10403" t="str">
        <f>HYPERLINK("https://us2.cloudbeds.com/connect/10074733072513#/reservations/31725458051235?display=Jessica%20Hall&amp;reservation_id=31725458051235&amp;guest_id=31725458051230", "Jessica Hall")</f>
        <v>Jessica Hall</v>
      </c>
      <c r="E10403" t="s">
        <v>9258</v>
      </c>
      <c r="F10403" t="s">
        <v>9259</v>
      </c>
      <c r="G10403">
        <v>258</v>
      </c>
      <c r="H10403">
        <v>280.45999999999998</v>
      </c>
      <c r="I10403">
        <v>280.45</v>
      </c>
      <c r="J10403">
        <v>0.01</v>
      </c>
    </row>
    <row r="10404" spans="1:10" x14ac:dyDescent="0.3">
      <c r="A10404" t="str">
        <f>HYPERLINK("https://us2.cloudbeds.com/connect/10074733072513#/reservations/31694615994591?display=MHMHTZAHW&amp;reservation_id=31694615994591", "MHMHTZAHW")</f>
        <v>MHMHTZAHW</v>
      </c>
      <c r="B10404" t="s">
        <v>10</v>
      </c>
      <c r="C10404" t="s">
        <v>42</v>
      </c>
      <c r="D10404" t="str">
        <f>HYPERLINK("https://us2.cloudbeds.com/connect/10074733072513#/reservations/31694615994591?display=Marie%20Palmer&amp;reservation_id=31694615994591&amp;guest_id=31694608806021", "Marie Palmer")</f>
        <v>Marie Palmer</v>
      </c>
      <c r="E10404" t="s">
        <v>7444</v>
      </c>
      <c r="F10404" t="s">
        <v>8681</v>
      </c>
      <c r="G10404">
        <v>288</v>
      </c>
      <c r="H10404">
        <v>313.07</v>
      </c>
      <c r="I10404">
        <v>313.06</v>
      </c>
      <c r="J10404">
        <v>0.01</v>
      </c>
    </row>
    <row r="10405" spans="1:10" x14ac:dyDescent="0.3">
      <c r="A10405" t="str">
        <f>HYPERLINK("https://us2.cloudbeds.com/connect/10074733072513#/reservations/31694625456268?display=MHMX4NJVF&amp;reservation_id=31694625456268", "MHMX4NJVF")</f>
        <v>MHMX4NJVF</v>
      </c>
      <c r="B10405" t="s">
        <v>10</v>
      </c>
      <c r="C10405" t="s">
        <v>42</v>
      </c>
      <c r="D10405" t="str">
        <f>HYPERLINK("https://us2.cloudbeds.com/connect/10074733072513#/reservations/31694625456268?display=Marie%20Palmer&amp;reservation_id=31694625456268&amp;guest_id=31694608806021", "Marie Palmer")</f>
        <v>Marie Palmer</v>
      </c>
      <c r="E10405" t="s">
        <v>7444</v>
      </c>
      <c r="F10405" t="s">
        <v>8681</v>
      </c>
      <c r="G10405">
        <v>288</v>
      </c>
      <c r="H10405">
        <v>313.07</v>
      </c>
      <c r="I10405">
        <v>313.06</v>
      </c>
      <c r="J10405">
        <v>0.01</v>
      </c>
    </row>
    <row r="10406" spans="1:10" x14ac:dyDescent="0.3">
      <c r="A10406" t="str">
        <f>HYPERLINK("https://us2.cloudbeds.com/connect/10074733072513#/reservations/31734173368461?display=MXK5MXXF1&amp;reservation_id=31734173368461", "MXK5MXXF1")</f>
        <v>MXK5MXXF1</v>
      </c>
      <c r="B10406" t="s">
        <v>10</v>
      </c>
      <c r="C10406" t="s">
        <v>14</v>
      </c>
      <c r="D10406" t="str">
        <f>HYPERLINK("https://us2.cloudbeds.com/connect/10074733072513#/reservations/31734173368461?display=Brian%20Suter&amp;reservation_id=31734173368461&amp;guest_id=31734173364379", "Brian Suter")</f>
        <v>Brian Suter</v>
      </c>
      <c r="E10406" t="s">
        <v>9261</v>
      </c>
      <c r="F10406" t="s">
        <v>9197</v>
      </c>
      <c r="G10406">
        <v>219.92</v>
      </c>
      <c r="H10406">
        <v>239.06</v>
      </c>
      <c r="I10406">
        <v>239.05</v>
      </c>
      <c r="J10406">
        <v>0.01</v>
      </c>
    </row>
    <row r="10407" spans="1:10" x14ac:dyDescent="0.3">
      <c r="A10407" t="str">
        <f>HYPERLINK("https://us2.cloudbeds.com/connect/10074733072513#/reservations/31732800082055?display=MXJ3JXRZG&amp;reservation_id=31732800082055", "MXJ3JXRZG")</f>
        <v>MXJ3JXRZG</v>
      </c>
      <c r="B10407" t="s">
        <v>10</v>
      </c>
      <c r="C10407" t="s">
        <v>42</v>
      </c>
      <c r="D10407" t="str">
        <f>HYPERLINK("https://us2.cloudbeds.com/connect/10074733072513#/reservations/31732800082055?display=Rod%20Hansen&amp;reservation_id=31732800082055&amp;guest_id=31732800082053", "Rod Hansen")</f>
        <v>Rod Hansen</v>
      </c>
      <c r="E10407" t="s">
        <v>9262</v>
      </c>
      <c r="F10407" t="s">
        <v>9021</v>
      </c>
      <c r="G10407">
        <v>318</v>
      </c>
      <c r="H10407">
        <v>345.68</v>
      </c>
      <c r="I10407">
        <v>345.67</v>
      </c>
      <c r="J10407">
        <v>0.01</v>
      </c>
    </row>
    <row r="10408" spans="1:10" x14ac:dyDescent="0.3">
      <c r="A10408" t="str">
        <f>HYPERLINK("https://us2.cloudbeds.com/connect/10074733072513#/reservations/31691403325660?display=MHK1QZ2B0&amp;reservation_id=31691403325660", "MHK1QZ2B0")</f>
        <v>MHK1QZ2B0</v>
      </c>
      <c r="B10408" t="s">
        <v>10</v>
      </c>
      <c r="C10408" t="s">
        <v>42</v>
      </c>
      <c r="D10408" t="str">
        <f>HYPERLINK("https://us2.cloudbeds.com/connect/10074733072513#/reservations/31691403325660?display=Praful%20Patel&amp;reservation_id=31691403325660&amp;guest_id=31691403325658", "Praful Patel")</f>
        <v>Praful Patel</v>
      </c>
      <c r="E10408" t="s">
        <v>9263</v>
      </c>
      <c r="F10408" t="s">
        <v>9197</v>
      </c>
      <c r="G10408">
        <v>99</v>
      </c>
      <c r="H10408">
        <v>107.62</v>
      </c>
      <c r="I10408">
        <v>107.61</v>
      </c>
      <c r="J10408">
        <v>0.01</v>
      </c>
    </row>
    <row r="10409" spans="1:10" x14ac:dyDescent="0.3">
      <c r="A10409" t="str">
        <f>HYPERLINK("https://us2.cloudbeds.com/connect/10074733072513#/reservations/31735549935792?display=MXY7SAXVK&amp;reservation_id=31735549935792", "MXY7SAXVK")</f>
        <v>MXY7SAXVK</v>
      </c>
      <c r="B10409" t="s">
        <v>10</v>
      </c>
      <c r="C10409" t="s">
        <v>11</v>
      </c>
      <c r="D10409" t="str">
        <f>HYPERLINK("https://us2.cloudbeds.com/connect/10074733072513#/reservations/31735549935792?display=Josephine%20Nirmala%20Robert-Harless&amp;reservation_id=31735549935792&amp;guest_id=31735534366936", "Josephine Nirmala Robert-Harless")</f>
        <v>Josephine Nirmala Robert-Harless</v>
      </c>
      <c r="E10409" t="s">
        <v>9265</v>
      </c>
      <c r="F10409" t="s">
        <v>8752</v>
      </c>
      <c r="G10409">
        <v>271.58</v>
      </c>
      <c r="H10409">
        <v>295.22000000000003</v>
      </c>
      <c r="I10409">
        <v>295.20999999999998</v>
      </c>
      <c r="J10409">
        <v>0.01</v>
      </c>
    </row>
    <row r="10410" spans="1:10" x14ac:dyDescent="0.3">
      <c r="A10410" t="str">
        <f>HYPERLINK("https://us2.cloudbeds.com/connect/10074733072513#/reservations/31729754620047?display=MXGZPXC7W&amp;reservation_id=31729754620047", "MXGZPXC7W")</f>
        <v>MXGZPXC7W</v>
      </c>
      <c r="B10410" t="s">
        <v>10</v>
      </c>
      <c r="C10410" t="s">
        <v>42</v>
      </c>
      <c r="D10410" t="str">
        <f>HYPERLINK("https://us2.cloudbeds.com/connect/10074733072513#/reservations/31729754620047?display=Trevor%20Simpson&amp;reservation_id=31729754620047&amp;guest_id=31729754620044", "Trevor Simpson")</f>
        <v>Trevor Simpson</v>
      </c>
      <c r="E10410" t="s">
        <v>9266</v>
      </c>
      <c r="F10410" t="s">
        <v>9197</v>
      </c>
      <c r="G10410">
        <v>129</v>
      </c>
      <c r="H10410">
        <v>140.22999999999999</v>
      </c>
      <c r="I10410">
        <v>140.22</v>
      </c>
      <c r="J10410">
        <v>0.01</v>
      </c>
    </row>
    <row r="10411" spans="1:10" x14ac:dyDescent="0.3">
      <c r="A10411" t="str">
        <f>HYPERLINK("https://us2.cloudbeds.com/connect/10074733072513#/reservations/31729778135169?display=MXGPCCNXE&amp;reservation_id=31729778135169", "MXGPCCNXE")</f>
        <v>MXGPCCNXE</v>
      </c>
      <c r="B10411" t="s">
        <v>10</v>
      </c>
      <c r="C10411" t="s">
        <v>121</v>
      </c>
      <c r="D10411" t="str">
        <f>HYPERLINK("https://us2.cloudbeds.com/connect/10074733072513#/reservations/31729778135169?display=Darin%20Corcoran&amp;reservation_id=31729778135169&amp;guest_id=31729768386783", "Darin Corcoran")</f>
        <v>Darin Corcoran</v>
      </c>
      <c r="E10411" t="s">
        <v>9267</v>
      </c>
      <c r="F10411" t="s">
        <v>9197</v>
      </c>
      <c r="G10411">
        <v>129</v>
      </c>
      <c r="H10411">
        <v>140.22999999999999</v>
      </c>
      <c r="I10411">
        <v>140.22</v>
      </c>
      <c r="J10411">
        <v>0.01</v>
      </c>
    </row>
    <row r="10412" spans="1:10" x14ac:dyDescent="0.3">
      <c r="A10412" t="str">
        <f>HYPERLINK("https://us2.cloudbeds.com/connect/10074733072513#/reservations/31729787080851?display=MXGPJUY4N&amp;reservation_id=31729787080851", "MXGPJUY4N")</f>
        <v>MXGPJUY4N</v>
      </c>
      <c r="B10412" t="s">
        <v>10</v>
      </c>
      <c r="C10412" t="s">
        <v>17</v>
      </c>
      <c r="D10412" t="str">
        <f>HYPERLINK("https://us2.cloudbeds.com/connect/10074733072513#/reservations/31729787080851?display=Christy%20Newell&amp;reservation_id=31729787080851&amp;guest_id=31729778135228", "Christy Newell")</f>
        <v>Christy Newell</v>
      </c>
      <c r="E10412" t="s">
        <v>9268</v>
      </c>
      <c r="F10412" t="s">
        <v>9197</v>
      </c>
      <c r="G10412">
        <v>129</v>
      </c>
      <c r="H10412">
        <v>140.22999999999999</v>
      </c>
      <c r="I10412">
        <v>140.22</v>
      </c>
      <c r="J10412">
        <v>0.01</v>
      </c>
    </row>
    <row r="10413" spans="1:10" x14ac:dyDescent="0.3">
      <c r="A10413" t="str">
        <f>HYPERLINK("https://us2.cloudbeds.com/connect/10074733072513#/reservations/31735319355531?display=MXY1VTB5W&amp;reservation_id=31735319355531", "MXY1VTB5W")</f>
        <v>MXY1VTB5W</v>
      </c>
      <c r="B10413" t="s">
        <v>10</v>
      </c>
      <c r="C10413" t="s">
        <v>20</v>
      </c>
      <c r="D10413" t="str">
        <f>HYPERLINK("https://us2.cloudbeds.com/connect/10074733072513#/reservations/31735319355531?display=Stacey%20Phillips&amp;reservation_id=31735319355531&amp;guest_id=31735319355529", "Stacey Phillips")</f>
        <v>Stacey Phillips</v>
      </c>
      <c r="E10413" t="s">
        <v>9269</v>
      </c>
      <c r="F10413" t="s">
        <v>9214</v>
      </c>
      <c r="G10413">
        <v>139</v>
      </c>
      <c r="H10413">
        <v>151.1</v>
      </c>
      <c r="I10413">
        <v>151.09</v>
      </c>
      <c r="J10413">
        <v>0.01</v>
      </c>
    </row>
    <row r="10414" spans="1:10" x14ac:dyDescent="0.3">
      <c r="A10414" t="str">
        <f>HYPERLINK("https://us2.cloudbeds.com/connect/10074733072513#/reservations/31735308308703?display=MXY1MXV5K&amp;reservation_id=31735308308703", "MXY1MXV5K")</f>
        <v>MXY1MXV5K</v>
      </c>
      <c r="B10414" t="s">
        <v>10</v>
      </c>
      <c r="C10414" t="s">
        <v>20</v>
      </c>
      <c r="D10414" t="str">
        <f>HYPERLINK("https://us2.cloudbeds.com/connect/10074733072513#/reservations/31735308308703?display=Brandi%20Haaven&amp;reservation_id=31735308308703&amp;guest_id=31735308308698", "Brandi Haaven")</f>
        <v>Brandi Haaven</v>
      </c>
      <c r="E10414" t="s">
        <v>9270</v>
      </c>
      <c r="F10414" t="s">
        <v>9214</v>
      </c>
      <c r="G10414">
        <v>278</v>
      </c>
      <c r="H10414">
        <v>302.2</v>
      </c>
      <c r="I10414">
        <v>302.19</v>
      </c>
      <c r="J10414">
        <v>0.01</v>
      </c>
    </row>
    <row r="10415" spans="1:10" x14ac:dyDescent="0.3">
      <c r="A10415" t="str">
        <f>HYPERLINK("https://us2.cloudbeds.com/connect/10074733072513#/reservations/31735226564745?display=MXKWJY9RW&amp;reservation_id=31735226564745", "MXKWJY9RW")</f>
        <v>MXKWJY9RW</v>
      </c>
      <c r="B10415" t="s">
        <v>10</v>
      </c>
      <c r="C10415" t="s">
        <v>42</v>
      </c>
      <c r="D10415" t="str">
        <f>HYPERLINK("https://us2.cloudbeds.com/connect/10074733072513#/reservations/31735226564745?display=Nicholas%20Sherman&amp;reservation_id=31735226564745&amp;guest_id=31729814081679", "Nicholas Sherman")</f>
        <v>Nicholas Sherman</v>
      </c>
      <c r="E10415" t="s">
        <v>9272</v>
      </c>
      <c r="F10415" t="s">
        <v>8253</v>
      </c>
      <c r="G10415">
        <v>336</v>
      </c>
      <c r="H10415">
        <v>365.24</v>
      </c>
      <c r="I10415">
        <v>365.23</v>
      </c>
      <c r="J10415">
        <v>0.01</v>
      </c>
    </row>
    <row r="10416" spans="1:10" x14ac:dyDescent="0.3">
      <c r="A10416" t="str">
        <f>HYPERLINK("https://us2.cloudbeds.com/connect/10074733072513#/reservations/31734843584643?display=MXKMQNAAB&amp;reservation_id=31734843584643", "MXKMQNAAB")</f>
        <v>MXKMQNAAB</v>
      </c>
      <c r="B10416" t="s">
        <v>10</v>
      </c>
      <c r="C10416" t="s">
        <v>42</v>
      </c>
      <c r="D10416" t="str">
        <f>HYPERLINK("https://us2.cloudbeds.com/connect/10074733072513#/reservations/31734843584643?display=Chelsey%20Falzone&amp;reservation_id=31734843584643&amp;guest_id=31734830297321", "Chelsey Falzone")</f>
        <v>Chelsey Falzone</v>
      </c>
      <c r="E10416" t="s">
        <v>9273</v>
      </c>
      <c r="F10416" t="s">
        <v>9274</v>
      </c>
      <c r="G10416">
        <v>258</v>
      </c>
      <c r="H10416">
        <v>280.45999999999998</v>
      </c>
      <c r="I10416">
        <v>280.45</v>
      </c>
      <c r="J10416">
        <v>0.01</v>
      </c>
    </row>
    <row r="10417" spans="1:10" x14ac:dyDescent="0.3">
      <c r="A10417" t="str">
        <f>HYPERLINK("https://us2.cloudbeds.com/connect/10074733072513#/reservations/31734819291274?display=MXKM67ABY&amp;reservation_id=31734819291274", "MXKM67ABY")</f>
        <v>MXKM67ABY</v>
      </c>
      <c r="B10417" t="s">
        <v>10</v>
      </c>
      <c r="C10417" t="s">
        <v>42</v>
      </c>
      <c r="D10417" t="str">
        <f>HYPERLINK("https://us2.cloudbeds.com/connect/10074733072513#/reservations/31734819291274?display=Chelsey%20Falzone&amp;reservation_id=31734819291274&amp;guest_id=31731622326499", "Chelsey Falzone")</f>
        <v>Chelsey Falzone</v>
      </c>
      <c r="E10417" t="s">
        <v>9275</v>
      </c>
      <c r="F10417" t="s">
        <v>9274</v>
      </c>
      <c r="G10417">
        <v>129</v>
      </c>
      <c r="H10417">
        <v>140.22999999999999</v>
      </c>
      <c r="I10417">
        <v>140.22</v>
      </c>
      <c r="J10417">
        <v>0.01</v>
      </c>
    </row>
    <row r="10418" spans="1:10" x14ac:dyDescent="0.3">
      <c r="A10418" t="str">
        <f>HYPERLINK("https://us2.cloudbeds.com/connect/10074733072513#/reservations/31695985291473?display=MHNJTC0PT&amp;reservation_id=31695985291473", "MHNJTC0PT")</f>
        <v>MHNJTC0PT</v>
      </c>
      <c r="B10418" t="s">
        <v>10</v>
      </c>
      <c r="C10418" t="s">
        <v>121</v>
      </c>
      <c r="D10418" t="str">
        <f>HYPERLINK("https://us2.cloudbeds.com/connect/10074733072513#/reservations/31695985291473?display=Brian%20Smith&amp;reservation_id=31695985291473&amp;guest_id=31695985287382", "Brian Smith")</f>
        <v>Brian Smith</v>
      </c>
      <c r="E10418" t="s">
        <v>9278</v>
      </c>
      <c r="F10418" t="s">
        <v>8681</v>
      </c>
      <c r="G10418">
        <v>139</v>
      </c>
      <c r="H10418">
        <v>151.1</v>
      </c>
      <c r="I10418">
        <v>151.09</v>
      </c>
      <c r="J10418">
        <v>0.01</v>
      </c>
    </row>
    <row r="10419" spans="1:10" x14ac:dyDescent="0.3">
      <c r="A10419" t="str">
        <f>HYPERLINK("https://us2.cloudbeds.com/connect/10074733072513#/reservations/31731858849994?display=MXXCHTM4Q&amp;reservation_id=31731858849994", "MXXCHTM4Q")</f>
        <v>MXXCHTM4Q</v>
      </c>
      <c r="B10419" t="s">
        <v>10</v>
      </c>
      <c r="C10419" t="s">
        <v>42</v>
      </c>
      <c r="D10419" t="str">
        <f>HYPERLINK("https://us2.cloudbeds.com/connect/10074733072513#/reservations/31731858849994?display=Jan%20Roth&amp;reservation_id=31731858849994&amp;guest_id=31731847540985", "Jan Roth")</f>
        <v>Jan Roth</v>
      </c>
      <c r="E10419" t="s">
        <v>9279</v>
      </c>
      <c r="F10419" t="s">
        <v>7203</v>
      </c>
      <c r="G10419">
        <v>398</v>
      </c>
      <c r="H10419">
        <v>432.64</v>
      </c>
      <c r="I10419">
        <v>432.63</v>
      </c>
      <c r="J10419">
        <v>0.01</v>
      </c>
    </row>
    <row r="10420" spans="1:10" x14ac:dyDescent="0.3">
      <c r="A10420" t="str">
        <f>HYPERLINK("https://us2.cloudbeds.com/connect/10074733072513#/reservations/31733690212597?display=MXJQB5159&amp;reservation_id=31733690212597", "MXJQB5159")</f>
        <v>MXJQB5159</v>
      </c>
      <c r="B10420" t="s">
        <v>10</v>
      </c>
      <c r="C10420" t="s">
        <v>23</v>
      </c>
      <c r="D10420" t="str">
        <f>HYPERLINK("https://us2.cloudbeds.com/connect/10074733072513#/reservations/31733690212597?display=Adam%20Bollman&amp;reservation_id=31733690212597&amp;guest_id=31676592869539", "Adam Bollman")</f>
        <v>Adam Bollman</v>
      </c>
      <c r="E10420" t="s">
        <v>5811</v>
      </c>
      <c r="F10420" t="s">
        <v>8596</v>
      </c>
      <c r="G10420">
        <v>189</v>
      </c>
      <c r="H10420">
        <v>205.45</v>
      </c>
      <c r="I10420">
        <v>205.44</v>
      </c>
      <c r="J10420">
        <v>0.01</v>
      </c>
    </row>
    <row r="10421" spans="1:10" x14ac:dyDescent="0.3">
      <c r="A10421" t="str">
        <f>HYPERLINK("https://us2.cloudbeds.com/connect/10074733072513#/reservations/31734226333891?display=MXK717D73&amp;reservation_id=31734226333891", "MXK717D73")</f>
        <v>MXK717D73</v>
      </c>
      <c r="B10421" t="s">
        <v>10</v>
      </c>
      <c r="C10421" t="s">
        <v>42</v>
      </c>
      <c r="D10421" t="str">
        <f>HYPERLINK("https://us2.cloudbeds.com/connect/10074733072513#/reservations/31734226333891?display=Matthew%20Rogers&amp;reservation_id=31734226333891&amp;guest_id=31691036569762", "Matthew Rogers")</f>
        <v>Matthew Rogers</v>
      </c>
      <c r="E10421" t="s">
        <v>8694</v>
      </c>
      <c r="F10421" t="s">
        <v>9197</v>
      </c>
      <c r="G10421">
        <v>73</v>
      </c>
      <c r="H10421">
        <v>79.36</v>
      </c>
      <c r="I10421">
        <v>79.349999999999994</v>
      </c>
      <c r="J10421">
        <v>0.01</v>
      </c>
    </row>
    <row r="10422" spans="1:10" x14ac:dyDescent="0.3">
      <c r="A10422" t="str">
        <f>HYPERLINK("https://us2.cloudbeds.com/connect/10074733072513#/reservations/31734164189432?display=MXK5ER4JY&amp;reservation_id=31734164189432", "MXK5ER4JY")</f>
        <v>MXK5ER4JY</v>
      </c>
      <c r="B10422" t="s">
        <v>10</v>
      </c>
      <c r="C10422" t="s">
        <v>11</v>
      </c>
      <c r="D10422" t="str">
        <f>HYPERLINK("https://us2.cloudbeds.com/connect/10074733072513#/reservations/31734164189432?display=Taylor%20Rhode&amp;reservation_id=31734164189432&amp;guest_id=31734164189382", "Taylor Rhode")</f>
        <v>Taylor Rhode</v>
      </c>
      <c r="E10422" t="s">
        <v>9280</v>
      </c>
      <c r="F10422" t="s">
        <v>9197</v>
      </c>
      <c r="G10422">
        <v>102.58</v>
      </c>
      <c r="H10422">
        <v>111.51</v>
      </c>
      <c r="I10422">
        <v>111.5</v>
      </c>
      <c r="J10422">
        <v>0.01</v>
      </c>
    </row>
    <row r="10423" spans="1:10" x14ac:dyDescent="0.3">
      <c r="A10423" t="str">
        <f>HYPERLINK("https://us2.cloudbeds.com/connect/10074733072513#/reservations/31734149697744?display=MXK52JT8J&amp;reservation_id=31734149697744", "MXK52JT8J")</f>
        <v>MXK52JT8J</v>
      </c>
      <c r="B10423" t="s">
        <v>10</v>
      </c>
      <c r="C10423" t="s">
        <v>11</v>
      </c>
      <c r="D10423" t="str">
        <f>HYPERLINK("https://us2.cloudbeds.com/connect/10074733072513#/reservations/31734149697744?display=Kelly%20Clauson&amp;reservation_id=31734149697744&amp;guest_id=31734137696386", "Kelly Clauson")</f>
        <v>Kelly Clauson</v>
      </c>
      <c r="E10423" t="s">
        <v>9281</v>
      </c>
      <c r="F10423" t="s">
        <v>9197</v>
      </c>
      <c r="G10423">
        <v>105.78</v>
      </c>
      <c r="H10423">
        <v>114.99</v>
      </c>
      <c r="I10423">
        <v>114.98</v>
      </c>
      <c r="J10423">
        <v>0.01</v>
      </c>
    </row>
    <row r="10424" spans="1:10" x14ac:dyDescent="0.3">
      <c r="A10424" t="str">
        <f>HYPERLINK("https://us2.cloudbeds.com/connect/10074733072513#/reservations/31694670012648?display=MHMJ99ETQ&amp;reservation_id=31694670012648", "MHMJ99ETQ")</f>
        <v>MHMJ99ETQ</v>
      </c>
      <c r="B10424" t="s">
        <v>10</v>
      </c>
      <c r="C10424" t="s">
        <v>42</v>
      </c>
      <c r="D10424" t="str">
        <f>HYPERLINK("https://us2.cloudbeds.com/connect/10074733072513#/reservations/31694670012648?display=Alison%20Lumsden&amp;reservation_id=31694670012648&amp;guest_id=31694670012644", "Alison Lumsden")</f>
        <v>Alison Lumsden</v>
      </c>
      <c r="E10424" t="s">
        <v>9283</v>
      </c>
      <c r="F10424" t="s">
        <v>9197</v>
      </c>
      <c r="G10424">
        <v>102.58</v>
      </c>
      <c r="H10424">
        <v>111.51</v>
      </c>
      <c r="I10424">
        <v>111.5</v>
      </c>
      <c r="J10424">
        <v>0.01</v>
      </c>
    </row>
    <row r="10425" spans="1:10" x14ac:dyDescent="0.3">
      <c r="A10425" t="str">
        <f>HYPERLINK("https://us2.cloudbeds.com/connect/10074733072513#/reservations/31734081691782?display=MXK3B8H5T&amp;reservation_id=31734081691782", "MXK3B8H5T")</f>
        <v>MXK3B8H5T</v>
      </c>
      <c r="B10425" t="s">
        <v>10</v>
      </c>
      <c r="C10425" t="s">
        <v>121</v>
      </c>
      <c r="D10425" t="str">
        <f>HYPERLINK("https://us2.cloudbeds.com/connect/10074733072513#/reservations/31734081691782?display=Morten%20Hildebrandt&amp;reservation_id=31734081691782&amp;guest_id=31734081691777", "Morten Hildebrandt")</f>
        <v>Morten Hildebrandt</v>
      </c>
      <c r="E10425" t="s">
        <v>9289</v>
      </c>
      <c r="F10425" t="s">
        <v>9197</v>
      </c>
      <c r="G10425">
        <v>129</v>
      </c>
      <c r="H10425">
        <v>140.22999999999999</v>
      </c>
      <c r="I10425">
        <v>140.22</v>
      </c>
      <c r="J10425">
        <v>0.01</v>
      </c>
    </row>
    <row r="10426" spans="1:10" x14ac:dyDescent="0.3">
      <c r="A10426" t="str">
        <f>HYPERLINK("https://us2.cloudbeds.com/connect/10074733072513#/reservations/31730117726396?display=MXH11ZB7M&amp;reservation_id=31730117726396", "MXH11ZB7M")</f>
        <v>MXH11ZB7M</v>
      </c>
      <c r="B10426" t="s">
        <v>10</v>
      </c>
      <c r="C10426" t="s">
        <v>42</v>
      </c>
      <c r="D10426" t="str">
        <f>HYPERLINK("https://us2.cloudbeds.com/connect/10074733072513#/reservations/31730117726396?display=Jaci%20Clauson&amp;reservation_id=31730117726396&amp;guest_id=31730117726391", "Jaci Clauson")</f>
        <v>Jaci Clauson</v>
      </c>
      <c r="E10426" t="s">
        <v>9294</v>
      </c>
      <c r="F10426" t="s">
        <v>8826</v>
      </c>
      <c r="G10426">
        <v>129</v>
      </c>
      <c r="H10426">
        <v>140.22999999999999</v>
      </c>
      <c r="I10426">
        <v>140.22</v>
      </c>
      <c r="J10426">
        <v>0.01</v>
      </c>
    </row>
    <row r="10427" spans="1:10" x14ac:dyDescent="0.3">
      <c r="A10427" t="str">
        <f>HYPERLINK("https://us2.cloudbeds.com/connect/10074733072513#/reservations/31735336370384?display=MXY2D7QFJ&amp;reservation_id=31735336370384", "MXY2D7QFJ")</f>
        <v>MXY2D7QFJ</v>
      </c>
      <c r="B10427" t="s">
        <v>10</v>
      </c>
      <c r="C10427" t="s">
        <v>42</v>
      </c>
      <c r="D10427" t="str">
        <f>HYPERLINK("https://us2.cloudbeds.com/connect/10074733072513#/reservations/31735336370384?display=Brook%20Darnell&amp;reservation_id=31735336370384&amp;guest_id=31732148744393", "Brook Darnell")</f>
        <v>Brook Darnell</v>
      </c>
      <c r="E10427" t="s">
        <v>9295</v>
      </c>
      <c r="F10427" t="s">
        <v>9214</v>
      </c>
      <c r="G10427">
        <v>258</v>
      </c>
      <c r="H10427">
        <v>280.45999999999998</v>
      </c>
      <c r="I10427">
        <v>280.45</v>
      </c>
      <c r="J10427">
        <v>0.01</v>
      </c>
    </row>
    <row r="10428" spans="1:10" x14ac:dyDescent="0.3">
      <c r="A10428" t="str">
        <f>HYPERLINK("https://us2.cloudbeds.com/connect/10074733072513#/reservations/31730196885704?display=MXH32G24J&amp;reservation_id=31730196885704", "MXH32G24J")</f>
        <v>MXH32G24J</v>
      </c>
      <c r="B10428" t="s">
        <v>10</v>
      </c>
      <c r="C10428" t="s">
        <v>23</v>
      </c>
      <c r="D10428" t="str">
        <f>HYPERLINK("https://us2.cloudbeds.com/connect/10074733072513#/reservations/31730196885704?display=Kathryn%20Nelson&amp;reservation_id=31730196885704&amp;guest_id=31730196881618", "Kathryn Nelson")</f>
        <v>Kathryn Nelson</v>
      </c>
      <c r="E10428" t="s">
        <v>9296</v>
      </c>
      <c r="F10428" t="s">
        <v>8716</v>
      </c>
      <c r="G10428">
        <v>552</v>
      </c>
      <c r="H10428">
        <v>600.03</v>
      </c>
      <c r="I10428">
        <v>600.02</v>
      </c>
      <c r="J10428">
        <v>0.01</v>
      </c>
    </row>
    <row r="10429" spans="1:10" x14ac:dyDescent="0.3">
      <c r="A10429" t="str">
        <f>HYPERLINK("https://us2.cloudbeds.com/connect/10074733072513#/reservations/31729885548770?display=MXGS3VYY1&amp;reservation_id=31729885548770", "MXGS3VYY1")</f>
        <v>MXGS3VYY1</v>
      </c>
      <c r="B10429" t="s">
        <v>10</v>
      </c>
      <c r="C10429" t="s">
        <v>42</v>
      </c>
      <c r="D10429" t="str">
        <f>HYPERLINK("https://us2.cloudbeds.com/connect/10074733072513#/reservations/31729885548770?display=Angela%20Jones&amp;reservation_id=31729885548770&amp;guest_id=31729885548767", "Angela Jones")</f>
        <v>Angela Jones</v>
      </c>
      <c r="E10429" t="s">
        <v>9297</v>
      </c>
      <c r="F10429" t="s">
        <v>8918</v>
      </c>
      <c r="G10429">
        <v>189</v>
      </c>
      <c r="H10429">
        <v>205.45</v>
      </c>
      <c r="I10429">
        <v>205.44</v>
      </c>
      <c r="J10429">
        <v>0.01</v>
      </c>
    </row>
    <row r="10430" spans="1:10" x14ac:dyDescent="0.3">
      <c r="A10430" t="str">
        <f>HYPERLINK("https://us2.cloudbeds.com/connect/10074733072513#/reservations/31729904230610?display=MXGSJNGMD&amp;reservation_id=31729904230610", "MXGSJNGMD")</f>
        <v>MXGSJNGMD</v>
      </c>
      <c r="B10430" t="s">
        <v>10</v>
      </c>
      <c r="C10430" t="s">
        <v>42</v>
      </c>
      <c r="D10430" t="str">
        <f>HYPERLINK("https://us2.cloudbeds.com/connect/10074733072513#/reservations/31729904230610?display=Sherri%20Bargstadt&amp;reservation_id=31729904230610&amp;guest_id=31729904230605", "Sherri Bargstadt")</f>
        <v>Sherri Bargstadt</v>
      </c>
      <c r="E10430" t="s">
        <v>9297</v>
      </c>
      <c r="F10430" t="s">
        <v>8918</v>
      </c>
      <c r="G10430">
        <v>189</v>
      </c>
      <c r="H10430">
        <v>205.45</v>
      </c>
      <c r="I10430">
        <v>205.44</v>
      </c>
      <c r="J10430">
        <v>0.01</v>
      </c>
    </row>
    <row r="10431" spans="1:10" x14ac:dyDescent="0.3">
      <c r="A10431" t="str">
        <f>HYPERLINK("https://us2.cloudbeds.com/connect/10074733072513#/reservations/31735307129025?display=MXY1YJ3TQ&amp;reservation_id=31735307129025", "MXY1YJ3TQ")</f>
        <v>MXY1YJ3TQ</v>
      </c>
      <c r="B10431" t="s">
        <v>10</v>
      </c>
      <c r="C10431" t="s">
        <v>42</v>
      </c>
      <c r="D10431" t="str">
        <f>HYPERLINK("https://us2.cloudbeds.com/connect/10074733072513#/reservations/31735307129025?display=Arlene%20Eaisterman&amp;reservation_id=31735307129025&amp;guest_id=31735293329571", "Arlene Eaisterman")</f>
        <v>Arlene Eaisterman</v>
      </c>
      <c r="E10431" t="s">
        <v>9298</v>
      </c>
      <c r="F10431" t="s">
        <v>9214</v>
      </c>
      <c r="G10431">
        <v>129</v>
      </c>
      <c r="H10431">
        <v>140.22999999999999</v>
      </c>
      <c r="I10431">
        <v>140.22</v>
      </c>
      <c r="J10431">
        <v>0.01</v>
      </c>
    </row>
    <row r="10432" spans="1:10" x14ac:dyDescent="0.3">
      <c r="A10432" t="str">
        <f>HYPERLINK("https://us2.cloudbeds.com/connect/10074733072513#/reservations/31733898371319?display=MXJVYMBRA&amp;reservation_id=31733898371319", "MXJVYMBRA")</f>
        <v>MXJVYMBRA</v>
      </c>
      <c r="B10432" t="s">
        <v>10</v>
      </c>
      <c r="C10432" t="s">
        <v>23</v>
      </c>
      <c r="D10432" t="str">
        <f>HYPERLINK("https://us2.cloudbeds.com/connect/10074733072513#/reservations/31733898371319?display=Sara%20Yarbrough&amp;reservation_id=31733898371319&amp;guest_id=31733898371266", "Sara Yarbrough")</f>
        <v>Sara Yarbrough</v>
      </c>
      <c r="E10432" t="s">
        <v>9299</v>
      </c>
      <c r="F10432" t="s">
        <v>7751</v>
      </c>
      <c r="G10432">
        <v>617</v>
      </c>
      <c r="H10432">
        <v>670.69</v>
      </c>
      <c r="I10432">
        <v>670.68</v>
      </c>
      <c r="J10432">
        <v>0.01</v>
      </c>
    </row>
    <row r="10433" spans="1:10" x14ac:dyDescent="0.3">
      <c r="A10433" t="str">
        <f>HYPERLINK("https://us2.cloudbeds.com/connect/10074733072513#/reservations/31733905391790?display=MXJVRJNHT&amp;reservation_id=31733905391790", "MXJVRJNHT")</f>
        <v>MXJVRJNHT</v>
      </c>
      <c r="B10433" t="s">
        <v>10</v>
      </c>
      <c r="C10433" t="s">
        <v>23</v>
      </c>
      <c r="D10433" t="str">
        <f>HYPERLINK("https://us2.cloudbeds.com/connect/10074733072513#/reservations/31733905391790?display=Sara%20Yarbrough&amp;reservation_id=31733905391790&amp;guest_id=31733905391788", "Sara Yarbrough")</f>
        <v>Sara Yarbrough</v>
      </c>
      <c r="E10433" t="s">
        <v>9299</v>
      </c>
      <c r="F10433" t="s">
        <v>7751</v>
      </c>
      <c r="G10433">
        <v>458</v>
      </c>
      <c r="H10433">
        <v>497.86</v>
      </c>
      <c r="I10433">
        <v>497.85</v>
      </c>
      <c r="J10433">
        <v>0.01</v>
      </c>
    </row>
    <row r="10434" spans="1:10" x14ac:dyDescent="0.3">
      <c r="A10434" t="str">
        <f>HYPERLINK("https://us2.cloudbeds.com/connect/10074733072513#/reservations/31734512840877?display=MXKEBQT0W&amp;reservation_id=31734512840877", "MXKEBQT0W")</f>
        <v>MXKEBQT0W</v>
      </c>
      <c r="B10434" t="s">
        <v>10</v>
      </c>
      <c r="C10434" t="s">
        <v>42</v>
      </c>
      <c r="D10434" t="str">
        <f>HYPERLINK("https://us2.cloudbeds.com/connect/10074733072513#/reservations/31734512840877?display=Richard%20Kleis&amp;reservation_id=31734512840877&amp;guest_id=31734493905053", "Richard Kleis")</f>
        <v>Richard Kleis</v>
      </c>
      <c r="E10434" t="s">
        <v>9300</v>
      </c>
      <c r="F10434" t="s">
        <v>8428</v>
      </c>
      <c r="G10434">
        <v>209</v>
      </c>
      <c r="H10434">
        <v>227.19</v>
      </c>
      <c r="I10434">
        <v>227.18</v>
      </c>
      <c r="J10434">
        <v>0.01</v>
      </c>
    </row>
    <row r="10435" spans="1:10" x14ac:dyDescent="0.3">
      <c r="A10435" t="str">
        <f>HYPERLINK("https://us2.cloudbeds.com/connect/10074733072513#/reservations/31731207110844?display=MXHSTB28K&amp;reservation_id=31731207110844", "MXHSTB28K")</f>
        <v>MXHSTB28K</v>
      </c>
      <c r="B10435" t="s">
        <v>10</v>
      </c>
      <c r="C10435" t="s">
        <v>42</v>
      </c>
      <c r="D10435" t="str">
        <f>HYPERLINK("https://us2.cloudbeds.com/connect/10074733072513#/reservations/31731207110844?display=Paul%20Grismer&amp;reservation_id=31731207110844&amp;guest_id=31731197190357", "Paul Grismer")</f>
        <v>Paul Grismer</v>
      </c>
      <c r="E10435" t="s">
        <v>9301</v>
      </c>
      <c r="F10435" t="s">
        <v>8045</v>
      </c>
      <c r="G10435">
        <v>554</v>
      </c>
      <c r="H10435">
        <v>602.21</v>
      </c>
      <c r="I10435">
        <v>602.20000000000005</v>
      </c>
      <c r="J10435">
        <v>0.01</v>
      </c>
    </row>
    <row r="10436" spans="1:10" x14ac:dyDescent="0.3">
      <c r="A10436" t="str">
        <f>HYPERLINK("https://us2.cloudbeds.com/connect/10074733072513#/reservations/31735839842512?display=MXYF8PYYZ&amp;reservation_id=31735839842512", "MXYF8PYYZ")</f>
        <v>MXYF8PYYZ</v>
      </c>
      <c r="B10436" t="s">
        <v>10</v>
      </c>
      <c r="C10436" t="s">
        <v>23</v>
      </c>
      <c r="D10436" t="str">
        <f>HYPERLINK("https://us2.cloudbeds.com/connect/10074733072513#/reservations/31735839842512?display=Samuel%20Greser&amp;reservation_id=31735839842512&amp;guest_id=31735839838458", "Samuel Greser")</f>
        <v>Samuel Greser</v>
      </c>
      <c r="E10436" t="s">
        <v>9302</v>
      </c>
      <c r="F10436" t="s">
        <v>8829</v>
      </c>
      <c r="G10436">
        <v>189</v>
      </c>
      <c r="H10436">
        <v>205.45</v>
      </c>
      <c r="I10436">
        <v>205.44</v>
      </c>
      <c r="J10436">
        <v>0.01</v>
      </c>
    </row>
    <row r="10437" spans="1:10" x14ac:dyDescent="0.3">
      <c r="A10437" t="str">
        <f>HYPERLINK("https://us2.cloudbeds.com/connect/10074733072513#/reservations/31732613402834?display=MXXVR574D&amp;reservation_id=31732613402834", "MXXVR574D")</f>
        <v>MXXVR574D</v>
      </c>
      <c r="B10437" t="s">
        <v>10</v>
      </c>
      <c r="C10437" t="s">
        <v>17</v>
      </c>
      <c r="D10437" t="str">
        <f>HYPERLINK("https://us2.cloudbeds.com/connect/10074733072513#/reservations/31732613402834?display=Gregory%20Wetterich&amp;reservation_id=31732613402834&amp;guest_id=31732604289260", "Gregory Wetterich")</f>
        <v>Gregory Wetterich</v>
      </c>
      <c r="E10437" t="s">
        <v>7993</v>
      </c>
      <c r="F10437" t="s">
        <v>9087</v>
      </c>
      <c r="G10437">
        <v>129</v>
      </c>
      <c r="H10437">
        <v>140.22999999999999</v>
      </c>
      <c r="I10437">
        <v>140.22</v>
      </c>
      <c r="J10437">
        <v>0.01</v>
      </c>
    </row>
    <row r="10438" spans="1:10" x14ac:dyDescent="0.3">
      <c r="A10438" t="str">
        <f>HYPERLINK("https://us2.cloudbeds.com/connect/10074733072513#/reservations/31732790472895?display=MXJ3BFETR&amp;reservation_id=31732790472895", "MXJ3BFETR")</f>
        <v>MXJ3BFETR</v>
      </c>
      <c r="B10438" t="s">
        <v>10</v>
      </c>
      <c r="C10438" t="s">
        <v>23</v>
      </c>
      <c r="D10438" t="str">
        <f>HYPERLINK("https://us2.cloudbeds.com/connect/10074733072513#/reservations/31732790472895?display=Chelsea%20Stangler&amp;reservation_id=31732790472895&amp;guest_id=31690064662775", "Chelsea Stangler")</f>
        <v>Chelsea Stangler</v>
      </c>
      <c r="E10438" t="s">
        <v>9303</v>
      </c>
      <c r="F10438" t="s">
        <v>9152</v>
      </c>
      <c r="G10438">
        <v>209</v>
      </c>
      <c r="H10438">
        <v>227.19</v>
      </c>
      <c r="I10438">
        <v>227.18</v>
      </c>
      <c r="J10438">
        <v>0.01</v>
      </c>
    </row>
    <row r="10439" spans="1:10" x14ac:dyDescent="0.3">
      <c r="A10439" t="str">
        <f>HYPERLINK("https://us2.cloudbeds.com/connect/10074733072513#/reservations/31735778046168?display=MXYDMM2N8&amp;reservation_id=31735778046168", "MXYDMM2N8")</f>
        <v>MXYDMM2N8</v>
      </c>
      <c r="B10439" t="s">
        <v>10</v>
      </c>
      <c r="C10439" t="s">
        <v>17</v>
      </c>
      <c r="D10439" t="str">
        <f>HYPERLINK("https://us2.cloudbeds.com/connect/10074733072513#/reservations/31735778046168?display=Rebekah%20Robinson&amp;reservation_id=31735778046168&amp;guest_id=31735770759422", "Rebekah Robinson")</f>
        <v>Rebekah Robinson</v>
      </c>
      <c r="E10439" t="s">
        <v>9305</v>
      </c>
      <c r="F10439" t="s">
        <v>8829</v>
      </c>
      <c r="G10439">
        <v>378</v>
      </c>
      <c r="H10439">
        <v>410.9</v>
      </c>
      <c r="I10439">
        <v>410.89</v>
      </c>
      <c r="J10439">
        <v>0.01</v>
      </c>
    </row>
    <row r="10440" spans="1:10" x14ac:dyDescent="0.3">
      <c r="A10440" t="str">
        <f>HYPERLINK("https://us2.cloudbeds.com/connect/10074733072513#/reservations/31733685231831?display=MXJQ6VEEW&amp;reservation_id=31733685231831", "MXJQ6VEEW")</f>
        <v>MXJQ6VEEW</v>
      </c>
      <c r="B10440" t="s">
        <v>10</v>
      </c>
      <c r="C10440" t="s">
        <v>42</v>
      </c>
      <c r="D10440" t="str">
        <f>HYPERLINK("https://us2.cloudbeds.com/connect/10074733072513#/reservations/31733685231831?display=Samantha%20Hansen&amp;reservation_id=31733685231831&amp;guest_id=31733685231810", "Samantha Hansen")</f>
        <v>Samantha Hansen</v>
      </c>
      <c r="E10440" t="s">
        <v>9308</v>
      </c>
      <c r="F10440" t="s">
        <v>6916</v>
      </c>
      <c r="G10440">
        <v>219</v>
      </c>
      <c r="H10440">
        <v>238.06</v>
      </c>
      <c r="I10440">
        <v>238.05</v>
      </c>
      <c r="J10440">
        <v>0.01</v>
      </c>
    </row>
    <row r="10441" spans="1:10" x14ac:dyDescent="0.3">
      <c r="A10441" t="str">
        <f>HYPERLINK("https://us2.cloudbeds.com/connect/10074733072513#/reservations/31727549366406?display=MXF1E0UV2&amp;reservation_id=31727549366406", "MXF1E0UV2")</f>
        <v>MXF1E0UV2</v>
      </c>
      <c r="B10441" t="s">
        <v>10</v>
      </c>
      <c r="C10441" t="s">
        <v>23</v>
      </c>
      <c r="D10441" t="str">
        <f>HYPERLINK("https://us2.cloudbeds.com/connect/10074733072513#/reservations/31727549366406?display=Destiny%20Traversie&amp;reservation_id=31727549366406&amp;guest_id=31727549362313", "Destiny Traversie")</f>
        <v>Destiny Traversie</v>
      </c>
      <c r="E10441" t="s">
        <v>9310</v>
      </c>
      <c r="F10441" t="s">
        <v>8826</v>
      </c>
      <c r="G10441">
        <v>129</v>
      </c>
      <c r="H10441">
        <v>140.22999999999999</v>
      </c>
      <c r="I10441">
        <v>140.22</v>
      </c>
      <c r="J10441">
        <v>0.01</v>
      </c>
    </row>
    <row r="10442" spans="1:10" x14ac:dyDescent="0.3">
      <c r="A10442" t="str">
        <f>HYPERLINK("https://us2.cloudbeds.com/connect/10074733072513#/reservations/31727574147280?display=MXF21UGXY&amp;reservation_id=31727574147280", "MXF21UGXY")</f>
        <v>MXF21UGXY</v>
      </c>
      <c r="B10442" t="s">
        <v>10</v>
      </c>
      <c r="C10442" t="s">
        <v>23</v>
      </c>
      <c r="D10442" t="str">
        <f>HYPERLINK("https://us2.cloudbeds.com/connect/10074733072513#/reservations/31727574147280?display=Mark%20Schweitzberger&amp;reservation_id=31727574147280&amp;guest_id=31727568371894", "Mark Schweitzberger")</f>
        <v>Mark Schweitzberger</v>
      </c>
      <c r="E10442" t="s">
        <v>9313</v>
      </c>
      <c r="F10442" t="s">
        <v>8826</v>
      </c>
      <c r="G10442">
        <v>129</v>
      </c>
      <c r="H10442">
        <v>140.22999999999999</v>
      </c>
      <c r="I10442">
        <v>140.22</v>
      </c>
      <c r="J10442">
        <v>0.01</v>
      </c>
    </row>
    <row r="10443" spans="1:10" x14ac:dyDescent="0.3">
      <c r="A10443" t="str">
        <f>HYPERLINK("https://us2.cloudbeds.com/connect/10074733072513#/reservations/31726171058304?display=MXDW6QC7N&amp;reservation_id=31726171058304", "MXDW6QC7N")</f>
        <v>MXDW6QC7N</v>
      </c>
      <c r="B10443" t="s">
        <v>10</v>
      </c>
      <c r="C10443" t="s">
        <v>42</v>
      </c>
      <c r="D10443" t="str">
        <f>HYPERLINK("https://us2.cloudbeds.com/connect/10074733072513#/reservations/31726171058304?display=Matt%20Funk&amp;reservation_id=31726171058304&amp;guest_id=31726171054213", "Matt Funk")</f>
        <v>Matt Funk</v>
      </c>
      <c r="E10443" t="s">
        <v>9314</v>
      </c>
      <c r="F10443" t="s">
        <v>8835</v>
      </c>
      <c r="G10443">
        <v>438</v>
      </c>
      <c r="H10443">
        <v>476.12</v>
      </c>
      <c r="I10443">
        <v>476.11</v>
      </c>
      <c r="J10443">
        <v>0.01</v>
      </c>
    </row>
    <row r="10444" spans="1:10" x14ac:dyDescent="0.3">
      <c r="A10444" t="str">
        <f>HYPERLINK("https://us2.cloudbeds.com/connect/10074733072513#/reservations/31727621103818?display=MXF38H4H0&amp;reservation_id=31727621103818", "MXF38H4H0")</f>
        <v>MXF38H4H0</v>
      </c>
      <c r="B10444" t="s">
        <v>10</v>
      </c>
      <c r="C10444" t="s">
        <v>42</v>
      </c>
      <c r="D10444" t="str">
        <f>HYPERLINK("https://us2.cloudbeds.com/connect/10074733072513#/reservations/31727621103818?display=Todd%20Seltun&amp;reservation_id=31727621103818&amp;guest_id=31727612846330", "Todd Seltun")</f>
        <v>Todd Seltun</v>
      </c>
      <c r="E10444" t="s">
        <v>9315</v>
      </c>
      <c r="F10444" t="s">
        <v>8826</v>
      </c>
      <c r="G10444">
        <v>129</v>
      </c>
      <c r="H10444">
        <v>140.22999999999999</v>
      </c>
      <c r="I10444">
        <v>140.22</v>
      </c>
      <c r="J10444">
        <v>0.01</v>
      </c>
    </row>
    <row r="10445" spans="1:10" x14ac:dyDescent="0.3">
      <c r="A10445" t="str">
        <f>HYPERLINK("https://us2.cloudbeds.com/connect/10074733072513#/reservations/31734400692475?display=MXKBG863X&amp;reservation_id=31734400692475", "MXKBG863X")</f>
        <v>MXKBG863X</v>
      </c>
      <c r="B10445" t="s">
        <v>10</v>
      </c>
      <c r="C10445" t="s">
        <v>42</v>
      </c>
      <c r="D10445" t="str">
        <f>HYPERLINK("https://us2.cloudbeds.com/connect/10074733072513#/reservations/31734400692475?display=Josh%20Roberts&amp;reservation_id=31734400692475&amp;guest_id=31734400692471", "Josh Roberts")</f>
        <v>Josh Roberts</v>
      </c>
      <c r="E10445" t="s">
        <v>9316</v>
      </c>
      <c r="F10445" t="s">
        <v>9285</v>
      </c>
      <c r="G10445">
        <v>252</v>
      </c>
      <c r="H10445">
        <v>273.93</v>
      </c>
      <c r="I10445">
        <v>273.92</v>
      </c>
      <c r="J10445">
        <v>0.01</v>
      </c>
    </row>
    <row r="10446" spans="1:10" x14ac:dyDescent="0.3">
      <c r="A10446" t="str">
        <f>HYPERLINK("https://us2.cloudbeds.com/connect/10074733072513#/reservations/31726154772689?display=MXDVQ2A9D&amp;reservation_id=31726154772689", "MXDVQ2A9D")</f>
        <v>MXDVQ2A9D</v>
      </c>
      <c r="B10446" t="s">
        <v>10</v>
      </c>
      <c r="C10446" t="s">
        <v>42</v>
      </c>
      <c r="D10446" t="str">
        <f>HYPERLINK("https://us2.cloudbeds.com/connect/10074733072513#/reservations/31726154772689?display=Nick%20Timmerman&amp;reservation_id=31726154772689&amp;guest_id=31726154772686", "Nick Timmerman")</f>
        <v>Nick Timmerman</v>
      </c>
      <c r="E10446" t="s">
        <v>9317</v>
      </c>
      <c r="F10446" t="s">
        <v>8835</v>
      </c>
      <c r="G10446">
        <v>438</v>
      </c>
      <c r="H10446">
        <v>476.12</v>
      </c>
      <c r="I10446">
        <v>476.11</v>
      </c>
      <c r="J10446">
        <v>0.01</v>
      </c>
    </row>
    <row r="10447" spans="1:10" x14ac:dyDescent="0.3">
      <c r="A10447" t="str">
        <f>HYPERLINK("https://us2.cloudbeds.com/connect/10074733072513#/reservations/31734422335631?display=MXKC1GEEP&amp;reservation_id=31734422335631", "MXKC1GEEP")</f>
        <v>MXKC1GEEP</v>
      </c>
      <c r="B10447" t="s">
        <v>10</v>
      </c>
      <c r="C10447" t="s">
        <v>42</v>
      </c>
      <c r="D10447" t="str">
        <f>HYPERLINK("https://us2.cloudbeds.com/connect/10074733072513#/reservations/31734422335631?display=Mathew%20Likins&amp;reservation_id=31734422335631&amp;guest_id=31734422331537", "Mathew Likins")</f>
        <v>Mathew Likins</v>
      </c>
      <c r="E10447" t="s">
        <v>9320</v>
      </c>
      <c r="F10447" t="s">
        <v>9285</v>
      </c>
      <c r="G10447">
        <v>252</v>
      </c>
      <c r="H10447">
        <v>273.93</v>
      </c>
      <c r="I10447">
        <v>273.92</v>
      </c>
      <c r="J10447">
        <v>0.01</v>
      </c>
    </row>
    <row r="10448" spans="1:10" x14ac:dyDescent="0.3">
      <c r="A10448" t="str">
        <f>HYPERLINK("https://us2.cloudbeds.com/connect/10074733072513#/reservations/31734764281999?display=MXKKPRJPU&amp;reservation_id=31734764281999", "MXKKPRJPU")</f>
        <v>MXKKPRJPU</v>
      </c>
      <c r="B10448" t="s">
        <v>10</v>
      </c>
      <c r="C10448" t="s">
        <v>23</v>
      </c>
      <c r="D10448" t="str">
        <f>HYPERLINK("https://us2.cloudbeds.com/connect/10074733072513#/reservations/31734764281999?display=Jentry%20Sprang&amp;reservation_id=31734764281999&amp;guest_id=31734764281988", "Jentry Sprang")</f>
        <v>Jentry Sprang</v>
      </c>
      <c r="E10448" t="s">
        <v>9321</v>
      </c>
      <c r="F10448" t="s">
        <v>9322</v>
      </c>
      <c r="G10448">
        <v>129</v>
      </c>
      <c r="H10448">
        <v>140.22999999999999</v>
      </c>
      <c r="I10448">
        <v>140.22</v>
      </c>
      <c r="J10448">
        <v>0.01</v>
      </c>
    </row>
    <row r="10449" spans="1:10" x14ac:dyDescent="0.3">
      <c r="A10449" t="str">
        <f>HYPERLINK("https://us2.cloudbeds.com/connect/10074733072513#/reservations/31734419890350?display=MXKBWED0B&amp;reservation_id=31734419890350", "MXKBWED0B")</f>
        <v>MXKBWED0B</v>
      </c>
      <c r="B10449" t="s">
        <v>10</v>
      </c>
      <c r="C10449" t="s">
        <v>42</v>
      </c>
      <c r="D10449" t="str">
        <f>HYPERLINK("https://us2.cloudbeds.com/connect/10074733072513#/reservations/31734419890350?display=Andrew%20Blencoe&amp;reservation_id=31734419890350&amp;guest_id=31734408569047", "Andrew Blencoe")</f>
        <v>Andrew Blencoe</v>
      </c>
      <c r="E10449" t="s">
        <v>9323</v>
      </c>
      <c r="F10449" t="s">
        <v>9285</v>
      </c>
      <c r="G10449">
        <v>252</v>
      </c>
      <c r="H10449">
        <v>273.93</v>
      </c>
      <c r="I10449">
        <v>273.92</v>
      </c>
      <c r="J10449">
        <v>0.01</v>
      </c>
    </row>
    <row r="10450" spans="1:10" x14ac:dyDescent="0.3">
      <c r="A10450" t="str">
        <f>HYPERLINK("https://us2.cloudbeds.com/connect/10074733072513#/reservations/31727612846272?display=MXF2RDE0K&amp;reservation_id=31727612846272", "MXF2RDE0K")</f>
        <v>MXF2RDE0K</v>
      </c>
      <c r="B10450" t="s">
        <v>10</v>
      </c>
      <c r="C10450" t="s">
        <v>42</v>
      </c>
      <c r="D10450" t="str">
        <f>HYPERLINK("https://us2.cloudbeds.com/connect/10074733072513#/reservations/31727612846272?display=Kris%20Pooch&amp;reservation_id=31727612846272&amp;guest_id=31678872862965", "Kris Pooch")</f>
        <v>Kris Pooch</v>
      </c>
      <c r="E10450" t="s">
        <v>6104</v>
      </c>
      <c r="F10450" t="s">
        <v>8826</v>
      </c>
      <c r="G10450">
        <v>129</v>
      </c>
      <c r="H10450">
        <v>140.22999999999999</v>
      </c>
      <c r="I10450">
        <v>140.22</v>
      </c>
      <c r="J10450">
        <v>0.01</v>
      </c>
    </row>
    <row r="10451" spans="1:10" x14ac:dyDescent="0.3">
      <c r="A10451" t="str">
        <f>HYPERLINK("https://us2.cloudbeds.com/connect/10074733072513#/reservations/31727595720913?display=MXF2K3R23&amp;reservation_id=31727595720913", "MXF2K3R23")</f>
        <v>MXF2K3R23</v>
      </c>
      <c r="B10451" t="s">
        <v>10</v>
      </c>
      <c r="C10451" t="s">
        <v>121</v>
      </c>
      <c r="D10451" t="str">
        <f>HYPERLINK("https://us2.cloudbeds.com/connect/10074733072513#/reservations/31727595720913?display=Thomas%20Emmanuel%20Ricks&amp;reservation_id=31727595720913&amp;guest_id=31727595716818", "Thomas Emmanuel Ricks")</f>
        <v>Thomas Emmanuel Ricks</v>
      </c>
      <c r="E10451" t="s">
        <v>9324</v>
      </c>
      <c r="F10451" t="s">
        <v>8826</v>
      </c>
      <c r="G10451">
        <v>129</v>
      </c>
      <c r="H10451">
        <v>140.22999999999999</v>
      </c>
      <c r="I10451">
        <v>140.22</v>
      </c>
      <c r="J10451">
        <v>0.01</v>
      </c>
    </row>
    <row r="10452" spans="1:10" x14ac:dyDescent="0.3">
      <c r="A10452" t="str">
        <f>HYPERLINK("https://us2.cloudbeds.com/connect/10074733072513#/reservations/31730863517942?display=MXHK3K2VG&amp;reservation_id=31730863517942", "MXHK3K2VG")</f>
        <v>MXHK3K2VG</v>
      </c>
      <c r="B10452" t="s">
        <v>10</v>
      </c>
      <c r="C10452" t="s">
        <v>42</v>
      </c>
      <c r="D10452" t="str">
        <f>HYPERLINK("https://us2.cloudbeds.com/connect/10074733072513#/reservations/31730863517942?display=Kasey%20Hofer&amp;reservation_id=31730863517942&amp;guest_id=31730863517940", "Kasey Hofer")</f>
        <v>Kasey Hofer</v>
      </c>
      <c r="E10452" t="s">
        <v>9325</v>
      </c>
      <c r="F10452" t="s">
        <v>8596</v>
      </c>
      <c r="G10452">
        <v>356</v>
      </c>
      <c r="H10452">
        <v>386.98</v>
      </c>
      <c r="I10452">
        <v>386.97</v>
      </c>
      <c r="J10452">
        <v>0.01</v>
      </c>
    </row>
    <row r="10453" spans="1:10" x14ac:dyDescent="0.3">
      <c r="A10453" t="str">
        <f>HYPERLINK("https://us2.cloudbeds.com/connect/10074733072513#/reservations/31736131223686?display=MXYMNFPA9&amp;reservation_id=31736131223686", "MXYMNFPA9")</f>
        <v>MXYMNFPA9</v>
      </c>
      <c r="B10453" t="s">
        <v>10</v>
      </c>
      <c r="C10453" t="s">
        <v>23</v>
      </c>
      <c r="D10453" t="str">
        <f>HYPERLINK("https://us2.cloudbeds.com/connect/10074733072513#/reservations/31736131223686?display=Trevor%20Groen&amp;reservation_id=31736131223686&amp;guest_id=31736116576505", "Trevor Groen")</f>
        <v>Trevor Groen</v>
      </c>
      <c r="E10453" t="s">
        <v>9326</v>
      </c>
      <c r="F10453" t="s">
        <v>9245</v>
      </c>
      <c r="G10453">
        <v>278</v>
      </c>
      <c r="H10453">
        <v>302.2</v>
      </c>
      <c r="I10453">
        <v>302.19</v>
      </c>
      <c r="J10453">
        <v>0.01</v>
      </c>
    </row>
    <row r="10454" spans="1:10" x14ac:dyDescent="0.3">
      <c r="A10454" t="str">
        <f>HYPERLINK("https://us2.cloudbeds.com/connect/10074733072513#/reservations/31732108554447?display=MXXXUF25E&amp;reservation_id=31732108554447", "MXXXUF25E")</f>
        <v>MXXXUF25E</v>
      </c>
      <c r="B10454" t="s">
        <v>10</v>
      </c>
      <c r="C10454" t="s">
        <v>23</v>
      </c>
      <c r="D10454" t="str">
        <f>HYPERLINK("https://us2.cloudbeds.com/connect/10074733072513#/reservations/31732108554447?display=Gabryel%20Marois&amp;reservation_id=31732108554447&amp;guest_id=31732108550346", "Gabryel Marois")</f>
        <v>Gabryel Marois</v>
      </c>
      <c r="E10454" t="s">
        <v>9327</v>
      </c>
      <c r="F10454" t="s">
        <v>9285</v>
      </c>
      <c r="G10454">
        <v>299.7</v>
      </c>
      <c r="H10454">
        <v>325.77999999999997</v>
      </c>
      <c r="I10454">
        <v>325.77</v>
      </c>
      <c r="J10454">
        <v>0.01</v>
      </c>
    </row>
    <row r="10455" spans="1:10" x14ac:dyDescent="0.3">
      <c r="A10455" t="str">
        <f>HYPERLINK("https://us2.cloudbeds.com/connect/10074733072513#/reservations/31736231039154?display=MXYP8Y97E&amp;reservation_id=31736231039154", "MXYP8Y97E")</f>
        <v>MXYP8Y97E</v>
      </c>
      <c r="B10455" t="s">
        <v>10</v>
      </c>
      <c r="C10455" t="s">
        <v>121</v>
      </c>
      <c r="D10455" t="str">
        <f>HYPERLINK("https://us2.cloudbeds.com/connect/10074733072513#/reservations/31736231039154?display=Timmy%20Clawson&amp;reservation_id=31736231039154&amp;guest_id=31736231039152", "Timmy Clawson")</f>
        <v>Timmy Clawson</v>
      </c>
      <c r="E10455" t="s">
        <v>9329</v>
      </c>
      <c r="F10455" t="s">
        <v>8826</v>
      </c>
      <c r="G10455">
        <v>129</v>
      </c>
      <c r="H10455">
        <v>140.22999999999999</v>
      </c>
      <c r="I10455">
        <v>140.22</v>
      </c>
      <c r="J10455">
        <v>0.01</v>
      </c>
    </row>
    <row r="10456" spans="1:10" x14ac:dyDescent="0.3">
      <c r="A10456" t="str">
        <f>HYPERLINK("https://us2.cloudbeds.com/connect/10074733072513#/reservations/31727522656452?display=MXF0ZGMTH&amp;reservation_id=31727522656452", "MXF0ZGMTH")</f>
        <v>MXF0ZGMTH</v>
      </c>
      <c r="B10456" t="s">
        <v>10</v>
      </c>
      <c r="C10456" t="s">
        <v>11</v>
      </c>
      <c r="D10456" t="str">
        <f>HYPERLINK("https://us2.cloudbeds.com/connect/10074733072513#/reservations/31727522656452?display=Anna%20Halverson&amp;reservation_id=31727522656452&amp;guest_id=31727522656449", "Anna Halverson")</f>
        <v>Anna Halverson</v>
      </c>
      <c r="E10456" t="s">
        <v>9330</v>
      </c>
      <c r="F10456" t="s">
        <v>8826</v>
      </c>
      <c r="G10456">
        <v>105.78</v>
      </c>
      <c r="H10456">
        <v>114.99</v>
      </c>
      <c r="I10456">
        <v>114.98</v>
      </c>
      <c r="J10456">
        <v>0.01</v>
      </c>
    </row>
    <row r="10457" spans="1:10" x14ac:dyDescent="0.3">
      <c r="A10457" t="str">
        <f>HYPERLINK("https://us2.cloudbeds.com/connect/10074733072513#/reservations/31735150620841?display=MXKUYK1XX&amp;reservation_id=31735150620841", "MXKUYK1XX")</f>
        <v>MXKUYK1XX</v>
      </c>
      <c r="B10457" t="s">
        <v>10</v>
      </c>
      <c r="C10457" t="s">
        <v>11</v>
      </c>
      <c r="D10457" t="str">
        <f>HYPERLINK("https://us2.cloudbeds.com/connect/10074733072513#/reservations/31735150620841?display=Oosman%20Noor&amp;reservation_id=31735150620841&amp;guest_id=31735150620835", "Oosman Noor")</f>
        <v>Oosman Noor</v>
      </c>
      <c r="E10457" t="s">
        <v>9331</v>
      </c>
      <c r="F10457" t="s">
        <v>8829</v>
      </c>
      <c r="G10457">
        <v>528.05999999999995</v>
      </c>
      <c r="H10457">
        <v>574.01</v>
      </c>
      <c r="I10457">
        <v>574</v>
      </c>
      <c r="J10457">
        <v>0.01</v>
      </c>
    </row>
    <row r="10458" spans="1:10" x14ac:dyDescent="0.3">
      <c r="A10458" t="str">
        <f>HYPERLINK("https://us2.cloudbeds.com/connect/10074733072513#/reservations/31736008589456?display=MXYJJ29HG&amp;reservation_id=31736008589456", "MXYJJ29HG")</f>
        <v>MXYJJ29HG</v>
      </c>
      <c r="B10458" t="s">
        <v>10</v>
      </c>
      <c r="C10458" t="s">
        <v>42</v>
      </c>
      <c r="D10458" t="str">
        <f>HYPERLINK("https://us2.cloudbeds.com/connect/10074733072513#/reservations/31736008589456?display=Chris%20Cline&amp;reservation_id=31736008589456&amp;guest_id=31692004724968", "Chris Cline")</f>
        <v>Chris Cline</v>
      </c>
      <c r="E10458" t="s">
        <v>9332</v>
      </c>
      <c r="F10458" t="s">
        <v>8085</v>
      </c>
      <c r="G10458">
        <v>252</v>
      </c>
      <c r="H10458">
        <v>273.93</v>
      </c>
      <c r="I10458">
        <v>273.92</v>
      </c>
      <c r="J10458">
        <v>0.01</v>
      </c>
    </row>
    <row r="10459" spans="1:10" x14ac:dyDescent="0.3">
      <c r="A10459" t="str">
        <f>HYPERLINK("https://us2.cloudbeds.com/connect/10074733072513#/reservations/31733721235607?display=MXJR4A9PG&amp;reservation_id=31733721235607", "MXJR4A9PG")</f>
        <v>MXJR4A9PG</v>
      </c>
      <c r="B10459" t="s">
        <v>10</v>
      </c>
      <c r="C10459" t="s">
        <v>42</v>
      </c>
      <c r="D10459" t="str">
        <f>HYPERLINK("https://us2.cloudbeds.com/connect/10074733072513#/reservations/31733721235607?display=Liz%20Wortmann&amp;reservation_id=31733721235607&amp;guest_id=31733721235595", "Liz Wortmann")</f>
        <v>Liz Wortmann</v>
      </c>
      <c r="E10459" t="s">
        <v>9333</v>
      </c>
      <c r="F10459" t="s">
        <v>8596</v>
      </c>
      <c r="G10459">
        <v>356</v>
      </c>
      <c r="H10459">
        <v>386.98</v>
      </c>
      <c r="I10459">
        <v>386.97</v>
      </c>
      <c r="J10459">
        <v>0.01</v>
      </c>
    </row>
    <row r="10460" spans="1:10" x14ac:dyDescent="0.3">
      <c r="A10460" t="str">
        <f>HYPERLINK("https://us2.cloudbeds.com/connect/10074733072513#/reservations/31733440233626?display=MXJJVC01V&amp;reservation_id=31733440233626", "MXJJVC01V")</f>
        <v>MXJJVC01V</v>
      </c>
      <c r="B10460" t="s">
        <v>10</v>
      </c>
      <c r="C10460" t="s">
        <v>42</v>
      </c>
      <c r="D10460" t="str">
        <f>HYPERLINK("https://us2.cloudbeds.com/connect/10074733072513#/reservations/31733440233626?display=Greg%20Hausser&amp;reservation_id=31733440233626&amp;guest_id=31733440233621", "Greg Hausser")</f>
        <v>Greg Hausser</v>
      </c>
      <c r="E10460" t="s">
        <v>9335</v>
      </c>
      <c r="F10460" t="s">
        <v>8085</v>
      </c>
      <c r="G10460">
        <v>402</v>
      </c>
      <c r="H10460">
        <v>436.98</v>
      </c>
      <c r="I10460">
        <v>436.97</v>
      </c>
      <c r="J10460">
        <v>0.01</v>
      </c>
    </row>
    <row r="10461" spans="1:10" x14ac:dyDescent="0.3">
      <c r="A10461" t="str">
        <f>HYPERLINK("https://us2.cloudbeds.com/connect/10074733072513#/reservations/31733021257929?display=MXJ982CNN&amp;reservation_id=31733021257929", "MXJ982CNN")</f>
        <v>MXJ982CNN</v>
      </c>
      <c r="B10461" t="s">
        <v>10</v>
      </c>
      <c r="C10461" t="s">
        <v>23</v>
      </c>
      <c r="D10461" t="str">
        <f>HYPERLINK("https://us2.cloudbeds.com/connect/10074733072513#/reservations/31733021257929?display=Curtis%20Plumb&amp;reservation_id=31733021257929&amp;guest_id=31733021257924", "Curtis Plumb")</f>
        <v>Curtis Plumb</v>
      </c>
      <c r="E10461" t="s">
        <v>9341</v>
      </c>
      <c r="F10461" t="s">
        <v>9245</v>
      </c>
      <c r="G10461">
        <v>129</v>
      </c>
      <c r="H10461">
        <v>140.22999999999999</v>
      </c>
      <c r="I10461">
        <v>140.22</v>
      </c>
      <c r="J10461">
        <v>0.01</v>
      </c>
    </row>
    <row r="10462" spans="1:10" x14ac:dyDescent="0.3">
      <c r="A10462" t="str">
        <f>HYPERLINK("https://us2.cloudbeds.com/connect/10074733072513#/reservations/31734784393421?display=MXKY9Q7XV&amp;reservation_id=31734784393421", "MXKY9Q7XV")</f>
        <v>MXKY9Q7XV</v>
      </c>
      <c r="B10462" t="s">
        <v>10</v>
      </c>
      <c r="C10462" t="s">
        <v>11</v>
      </c>
      <c r="D10462" t="str">
        <f>HYPERLINK("https://us2.cloudbeds.com/connect/10074733072513#/reservations/31734784393421?display=Cynthia%20Ingebretson&amp;reservation_id=31734784393421&amp;guest_id=31734784389369", "Cynthia Ingebretson")</f>
        <v>Cynthia Ingebretson</v>
      </c>
      <c r="E10462" t="s">
        <v>9343</v>
      </c>
      <c r="F10462" t="s">
        <v>9322</v>
      </c>
      <c r="G10462">
        <v>258</v>
      </c>
      <c r="H10462">
        <v>280.45999999999998</v>
      </c>
      <c r="I10462">
        <v>280.45</v>
      </c>
      <c r="J10462">
        <v>0.01</v>
      </c>
    </row>
    <row r="10463" spans="1:10" x14ac:dyDescent="0.3">
      <c r="A10463" t="str">
        <f>HYPERLINK("https://us2.cloudbeds.com/connect/10074733072513#/reservations/31734910922883?display=MXKZHG382&amp;reservation_id=31734910922883", "MXKZHG382")</f>
        <v>MXKZHG382</v>
      </c>
      <c r="B10463" t="s">
        <v>10</v>
      </c>
      <c r="C10463" t="s">
        <v>11</v>
      </c>
      <c r="D10463" t="str">
        <f>HYPERLINK("https://us2.cloudbeds.com/connect/10074733072513#/reservations/31734910922883?display=Beth%20Holzwarth&amp;reservation_id=31734910922883&amp;guest_id=31734897168614", "Beth Holzwarth")</f>
        <v>Beth Holzwarth</v>
      </c>
      <c r="E10463" t="s">
        <v>9345</v>
      </c>
      <c r="F10463" t="s">
        <v>7751</v>
      </c>
      <c r="G10463">
        <v>522.16</v>
      </c>
      <c r="H10463">
        <v>567.6</v>
      </c>
      <c r="I10463">
        <v>567.59</v>
      </c>
      <c r="J10463">
        <v>0.01</v>
      </c>
    </row>
    <row r="10464" spans="1:10" x14ac:dyDescent="0.3">
      <c r="A10464" t="str">
        <f>HYPERLINK("https://us2.cloudbeds.com/connect/10074733072513#/reservations/31732094337183?display=MXXXXFER8&amp;reservation_id=31732094337183", "MXXXXFER8")</f>
        <v>MXXXXFER8</v>
      </c>
      <c r="B10464" t="s">
        <v>10</v>
      </c>
      <c r="C10464" t="s">
        <v>121</v>
      </c>
      <c r="D10464" t="str">
        <f>HYPERLINK("https://us2.cloudbeds.com/connect/10074733072513#/reservations/31732094337183?display=Craig%20Yount&amp;reservation_id=31732094337183&amp;guest_id=31732084772997", "Craig Yount")</f>
        <v>Craig Yount</v>
      </c>
      <c r="E10464" t="s">
        <v>9347</v>
      </c>
      <c r="F10464" t="s">
        <v>9285</v>
      </c>
      <c r="G10464">
        <v>73</v>
      </c>
      <c r="H10464">
        <v>79.36</v>
      </c>
      <c r="I10464">
        <v>79.349999999999994</v>
      </c>
      <c r="J10464">
        <v>0.01</v>
      </c>
    </row>
    <row r="10465" spans="1:10" x14ac:dyDescent="0.3">
      <c r="A10465" t="str">
        <f>HYPERLINK("https://us2.cloudbeds.com/connect/10074733072513#/reservations/31732148740291?display=MXXJVB9P8&amp;reservation_id=31732148740291", "MXXJVB9P8")</f>
        <v>MXXJVB9P8</v>
      </c>
      <c r="B10465" t="s">
        <v>10</v>
      </c>
      <c r="C10465" t="s">
        <v>11</v>
      </c>
      <c r="D10465" t="str">
        <f>HYPERLINK("https://us2.cloudbeds.com/connect/10074733072513#/reservations/31732148740291?display=Michael%20Johnson&amp;reservation_id=31732148740291&amp;guest_id=31732139069619", "Michael Johnson")</f>
        <v>Michael Johnson</v>
      </c>
      <c r="E10465" t="s">
        <v>9348</v>
      </c>
      <c r="F10465" t="s">
        <v>9285</v>
      </c>
      <c r="G10465">
        <v>102.58</v>
      </c>
      <c r="H10465">
        <v>111.51</v>
      </c>
      <c r="I10465">
        <v>111.5</v>
      </c>
      <c r="J10465">
        <v>0.01</v>
      </c>
    </row>
    <row r="10466" spans="1:10" x14ac:dyDescent="0.3">
      <c r="A10466" t="str">
        <f>HYPERLINK("https://us2.cloudbeds.com/connect/10074733072513#/reservations/31732157522084?display=MXXK5ZYS7&amp;reservation_id=31732157522084", "MXXK5ZYS7")</f>
        <v>MXXK5ZYS7</v>
      </c>
      <c r="B10466" t="s">
        <v>10</v>
      </c>
      <c r="C10466" t="s">
        <v>42</v>
      </c>
      <c r="D10466" t="str">
        <f>HYPERLINK("https://us2.cloudbeds.com/connect/10074733072513#/reservations/31732157522084?display=Brook%20Darnell&amp;reservation_id=31732157522084&amp;guest_id=31732148744393", "Brook Darnell")</f>
        <v>Brook Darnell</v>
      </c>
      <c r="E10466" t="s">
        <v>9295</v>
      </c>
      <c r="F10466" t="s">
        <v>9285</v>
      </c>
      <c r="G10466">
        <v>278</v>
      </c>
      <c r="H10466">
        <v>302.2</v>
      </c>
      <c r="I10466">
        <v>302.19</v>
      </c>
      <c r="J10466">
        <v>0.01</v>
      </c>
    </row>
    <row r="10467" spans="1:10" x14ac:dyDescent="0.3">
      <c r="A10467" t="str">
        <f>HYPERLINK("https://us2.cloudbeds.com/connect/10074733072513#/reservations/31732191359173?display=MXXY197XX&amp;reservation_id=31732191359173", "MXXY197XX")</f>
        <v>MXXY197XX</v>
      </c>
      <c r="B10467" t="s">
        <v>10</v>
      </c>
      <c r="C10467" t="s">
        <v>121</v>
      </c>
      <c r="D10467" t="str">
        <f>HYPERLINK("https://us2.cloudbeds.com/connect/10074733072513#/reservations/31732191359173?display=Kevin%20Quinn&amp;reservation_id=31732191359173&amp;guest_id=31732183081132", "Kevin Quinn")</f>
        <v>Kevin Quinn</v>
      </c>
      <c r="E10467" t="s">
        <v>9349</v>
      </c>
      <c r="F10467" t="s">
        <v>9285</v>
      </c>
      <c r="G10467">
        <v>149</v>
      </c>
      <c r="H10467">
        <v>161.97</v>
      </c>
      <c r="I10467">
        <v>161.96</v>
      </c>
      <c r="J10467">
        <v>0.01</v>
      </c>
    </row>
    <row r="10468" spans="1:10" x14ac:dyDescent="0.3">
      <c r="A10468" t="str">
        <f>HYPERLINK("https://us2.cloudbeds.com/connect/10074733072513#/reservations/31735208874205?display=MXKW4Z130&amp;reservation_id=31735208874205", "MXKW4Z130")</f>
        <v>MXKW4Z130</v>
      </c>
      <c r="B10468" t="s">
        <v>10</v>
      </c>
      <c r="C10468" t="s">
        <v>23</v>
      </c>
      <c r="D10468" t="str">
        <f>HYPERLINK("https://us2.cloudbeds.com/connect/10074733072513#/reservations/31735208874205?display=James%20Crawford&amp;reservation_id=31735208874205&amp;guest_id=31735199654017", "James Crawford")</f>
        <v>James Crawford</v>
      </c>
      <c r="E10468" t="s">
        <v>9350</v>
      </c>
      <c r="F10468" t="s">
        <v>8253</v>
      </c>
      <c r="G10468">
        <v>129</v>
      </c>
      <c r="H10468">
        <v>140.22999999999999</v>
      </c>
      <c r="I10468">
        <v>140.22</v>
      </c>
      <c r="J10468">
        <v>0.01</v>
      </c>
    </row>
    <row r="10469" spans="1:10" x14ac:dyDescent="0.3">
      <c r="A10469" t="str">
        <f>HYPERLINK("https://us2.cloudbeds.com/connect/10074733072513#/reservations/31732701802688?display=MXJ0R2FHB&amp;reservation_id=31732701802688", "MXJ0R2FHB")</f>
        <v>MXJ0R2FHB</v>
      </c>
      <c r="B10469" t="s">
        <v>10</v>
      </c>
      <c r="C10469" t="s">
        <v>42</v>
      </c>
      <c r="D10469" t="str">
        <f>HYPERLINK("https://us2.cloudbeds.com/connect/10074733072513#/reservations/31732701802688?display=Rachelle%20Butler&amp;reservation_id=31732701802688&amp;guest_id=31732691570851", "Rachelle Butler")</f>
        <v>Rachelle Butler</v>
      </c>
      <c r="E10469" t="s">
        <v>9352</v>
      </c>
      <c r="F10469" t="s">
        <v>9079</v>
      </c>
      <c r="G10469">
        <v>258</v>
      </c>
      <c r="H10469">
        <v>280.45999999999998</v>
      </c>
      <c r="I10469">
        <v>280.45</v>
      </c>
      <c r="J10469">
        <v>0.01</v>
      </c>
    </row>
    <row r="10470" spans="1:10" x14ac:dyDescent="0.3">
      <c r="A10470" t="str">
        <f>HYPERLINK("https://us2.cloudbeds.com/connect/10074733072513#/reservations/31732710645978?display=MXJ1A54VB&amp;reservation_id=31732710645978", "MXJ1A54VB")</f>
        <v>MXJ1A54VB</v>
      </c>
      <c r="B10470" t="s">
        <v>10</v>
      </c>
      <c r="C10470" t="s">
        <v>42</v>
      </c>
      <c r="D10470" t="str">
        <f>HYPERLINK("https://us2.cloudbeds.com/connect/10074733072513#/reservations/31732710645978?display=Cassia%20Jirsa&amp;reservation_id=31732710645978&amp;guest_id=31732701806786", "Cassia Jirsa")</f>
        <v>Cassia Jirsa</v>
      </c>
      <c r="E10470" t="s">
        <v>9353</v>
      </c>
      <c r="F10470" t="s">
        <v>9079</v>
      </c>
      <c r="G10470">
        <v>258</v>
      </c>
      <c r="H10470">
        <v>280.45999999999998</v>
      </c>
      <c r="I10470">
        <v>280.45</v>
      </c>
      <c r="J10470">
        <v>0.01</v>
      </c>
    </row>
    <row r="10471" spans="1:10" x14ac:dyDescent="0.3">
      <c r="A10471" t="str">
        <f>HYPERLINK("https://us2.cloudbeds.com/connect/10074733072513#/reservations/31734389657768?display=MXKB6V47G&amp;reservation_id=31734389657768", "MXKB6V47G")</f>
        <v>MXKB6V47G</v>
      </c>
      <c r="B10471" t="s">
        <v>10</v>
      </c>
      <c r="C10471" t="s">
        <v>42</v>
      </c>
      <c r="D10471" t="str">
        <f>HYPERLINK("https://us2.cloudbeds.com/connect/10074733072513#/reservations/31734389657768?display=Dan%20Kahlstorf&amp;reservation_id=31734389657768&amp;guest_id=31675022897303", "Dan Kahlstorf")</f>
        <v>Dan Kahlstorf</v>
      </c>
      <c r="E10471" t="s">
        <v>5754</v>
      </c>
      <c r="F10471" t="s">
        <v>9285</v>
      </c>
      <c r="G10471">
        <v>73</v>
      </c>
      <c r="H10471">
        <v>79.36</v>
      </c>
      <c r="I10471">
        <v>79.349999999999994</v>
      </c>
      <c r="J10471">
        <v>0.01</v>
      </c>
    </row>
    <row r="10472" spans="1:10" x14ac:dyDescent="0.3">
      <c r="A10472" t="str">
        <f>HYPERLINK("https://us2.cloudbeds.com/connect/10074733072513#/reservations/31734375969003?display=MXKASD76E&amp;reservation_id=31734375969003", "MXKASD76E")</f>
        <v>MXKASD76E</v>
      </c>
      <c r="B10472" t="s">
        <v>10</v>
      </c>
      <c r="C10472" t="s">
        <v>121</v>
      </c>
      <c r="D10472" t="str">
        <f>HYPERLINK("https://us2.cloudbeds.com/connect/10074733072513#/reservations/31734375969003?display=Keith%20Anderson&amp;reservation_id=31734375969003&amp;guest_id=31734360281246", "Keith Anderson")</f>
        <v>Keith Anderson</v>
      </c>
      <c r="E10472" t="s">
        <v>9354</v>
      </c>
      <c r="F10472" t="s">
        <v>8253</v>
      </c>
      <c r="G10472">
        <v>252</v>
      </c>
      <c r="H10472">
        <v>273.93</v>
      </c>
      <c r="I10472">
        <v>273.92</v>
      </c>
      <c r="J10472">
        <v>0.01</v>
      </c>
    </row>
    <row r="10473" spans="1:10" x14ac:dyDescent="0.3">
      <c r="A10473" t="str">
        <f>HYPERLINK("https://us2.cloudbeds.com/connect/10074733072513#/reservations/31735351415028?display=MXY2PUEXT&amp;reservation_id=31735351415028", "MXY2PUEXT")</f>
        <v>MXY2PUEXT</v>
      </c>
      <c r="B10473" t="s">
        <v>10</v>
      </c>
      <c r="C10473" t="s">
        <v>42</v>
      </c>
      <c r="D10473" t="str">
        <f>HYPERLINK("https://us2.cloudbeds.com/connect/10074733072513#/reservations/31735351415028?display=Marla%20Wade`&amp;reservation_id=31735351415028&amp;guest_id=31735336374489", "Marla Wade`")</f>
        <v>Marla Wade`</v>
      </c>
      <c r="E10473" t="s">
        <v>9355</v>
      </c>
      <c r="F10473" t="s">
        <v>7751</v>
      </c>
      <c r="G10473">
        <v>229</v>
      </c>
      <c r="H10473">
        <v>248.93</v>
      </c>
      <c r="I10473">
        <v>248.92</v>
      </c>
      <c r="J10473">
        <v>0.01</v>
      </c>
    </row>
    <row r="10474" spans="1:10" x14ac:dyDescent="0.3">
      <c r="A10474" t="str">
        <f>HYPERLINK("https://us2.cloudbeds.com/connect/10074733072513#/reservations/31734374981780?display=MXKARXZYJ&amp;reservation_id=31734374981780", "MXKARXZYJ")</f>
        <v>MXKARXZYJ</v>
      </c>
      <c r="B10474" t="s">
        <v>10</v>
      </c>
      <c r="C10474" t="s">
        <v>42</v>
      </c>
      <c r="D10474" t="str">
        <f>HYPERLINK("https://us2.cloudbeds.com/connect/10074733072513#/reservations/31734374981780?display=Sara%20Layton&amp;reservation_id=31734374981780&amp;guest_id=31734374981777", "Sara Layton")</f>
        <v>Sara Layton</v>
      </c>
      <c r="E10474" t="s">
        <v>9356</v>
      </c>
      <c r="F10474" t="s">
        <v>9285</v>
      </c>
      <c r="G10474">
        <v>139</v>
      </c>
      <c r="H10474">
        <v>151.1</v>
      </c>
      <c r="I10474">
        <v>151.09</v>
      </c>
      <c r="J10474">
        <v>0.01</v>
      </c>
    </row>
    <row r="10475" spans="1:10" x14ac:dyDescent="0.3">
      <c r="A10475" t="str">
        <f>HYPERLINK("https://us2.cloudbeds.com/connect/10074733072513#/reservations/31734321148129?display=MXK9F5ZKR&amp;reservation_id=31734321148129", "MXK9F5ZKR")</f>
        <v>MXK9F5ZKR</v>
      </c>
      <c r="B10475" t="s">
        <v>10</v>
      </c>
      <c r="C10475" t="s">
        <v>42</v>
      </c>
      <c r="D10475" t="str">
        <f>HYPERLINK("https://us2.cloudbeds.com/connect/10074733072513#/reservations/31734321148129?display=Kris%20Stuckey&amp;reservation_id=31734321148129&amp;guest_id=31734321148119", "Kris Stuckey")</f>
        <v>Kris Stuckey</v>
      </c>
      <c r="E10475" t="s">
        <v>9357</v>
      </c>
      <c r="F10475" t="s">
        <v>8253</v>
      </c>
      <c r="G10475">
        <v>129</v>
      </c>
      <c r="H10475">
        <v>140.22999999999999</v>
      </c>
      <c r="I10475">
        <v>140.22</v>
      </c>
      <c r="J10475">
        <v>0.01</v>
      </c>
    </row>
    <row r="10476" spans="1:10" x14ac:dyDescent="0.3">
      <c r="A10476" t="str">
        <f>HYPERLINK("https://us2.cloudbeds.com/connect/10074733072513#/reservations/31734311530636?display=MXK97244Y&amp;reservation_id=31734311530636", "MXK97244Y")</f>
        <v>MXK97244Y</v>
      </c>
      <c r="B10476" t="s">
        <v>10</v>
      </c>
      <c r="C10476" t="s">
        <v>42</v>
      </c>
      <c r="D10476" t="str">
        <f>HYPERLINK("https://us2.cloudbeds.com/connect/10074733072513#/reservations/31734311530636?display=Kris%20Stuckey&amp;reservation_id=31734311530636&amp;guest_id=31734311530632", "Kris Stuckey")</f>
        <v>Kris Stuckey</v>
      </c>
      <c r="E10476" t="s">
        <v>9358</v>
      </c>
      <c r="F10476" t="s">
        <v>8253</v>
      </c>
      <c r="G10476">
        <v>129</v>
      </c>
      <c r="H10476">
        <v>140.22999999999999</v>
      </c>
      <c r="I10476">
        <v>140.22</v>
      </c>
      <c r="J10476">
        <v>0.01</v>
      </c>
    </row>
    <row r="10477" spans="1:10" x14ac:dyDescent="0.3">
      <c r="A10477" t="str">
        <f>HYPERLINK("https://us2.cloudbeds.com/connect/10074733072513#/reservations/31733074383039?display=MXJAJSM3H&amp;reservation_id=31733074383039", "MXJAJSM3H")</f>
        <v>MXJAJSM3H</v>
      </c>
      <c r="B10477" t="s">
        <v>10</v>
      </c>
      <c r="C10477" t="s">
        <v>23</v>
      </c>
      <c r="D10477" t="str">
        <f>HYPERLINK("https://us2.cloudbeds.com/connect/10074733072513#/reservations/31733074383039?display=Cole%20Millerbernd&amp;reservation_id=31733074383039&amp;guest_id=31733062082787", "Cole Millerbernd")</f>
        <v>Cole Millerbernd</v>
      </c>
      <c r="E10477" t="s">
        <v>9359</v>
      </c>
      <c r="F10477" t="s">
        <v>9245</v>
      </c>
      <c r="G10477">
        <v>99</v>
      </c>
      <c r="H10477">
        <v>107.62</v>
      </c>
      <c r="I10477">
        <v>107.61</v>
      </c>
      <c r="J10477">
        <v>0.01</v>
      </c>
    </row>
    <row r="10478" spans="1:10" x14ac:dyDescent="0.3">
      <c r="A10478" t="str">
        <f>HYPERLINK("https://us2.cloudbeds.com/connect/10074733072513#/reservations/31735719469204?display=MXYC6930Z&amp;reservation_id=31735719469204", "MXYC6930Z")</f>
        <v>MXYC6930Z</v>
      </c>
      <c r="B10478" t="s">
        <v>10</v>
      </c>
      <c r="C10478" t="s">
        <v>42</v>
      </c>
      <c r="D10478" t="str">
        <f>HYPERLINK("https://us2.cloudbeds.com/connect/10074733072513#/reservations/31735719469204?display=Paula%20Ames&amp;reservation_id=31735719469204&amp;guest_id=31735719469201", "Paula Ames")</f>
        <v>Paula Ames</v>
      </c>
      <c r="E10478" t="s">
        <v>9360</v>
      </c>
      <c r="F10478" t="s">
        <v>9361</v>
      </c>
      <c r="G10478">
        <v>129</v>
      </c>
      <c r="H10478">
        <v>140.22999999999999</v>
      </c>
      <c r="I10478">
        <v>140.22</v>
      </c>
      <c r="J10478">
        <v>0.01</v>
      </c>
    </row>
    <row r="10479" spans="1:10" x14ac:dyDescent="0.3">
      <c r="A10479" t="str">
        <f>HYPERLINK("https://us2.cloudbeds.com/connect/10074733072513#/reservations/31733457641678?display=MXJKD1DDM&amp;reservation_id=31733457641678", "MXJKD1DDM")</f>
        <v>MXJKD1DDM</v>
      </c>
      <c r="B10479" t="s">
        <v>10</v>
      </c>
      <c r="C10479" t="s">
        <v>42</v>
      </c>
      <c r="D10479" t="str">
        <f>HYPERLINK("https://us2.cloudbeds.com/connect/10074733072513#/reservations/31733457641678?display=Curtis%20Plumb&amp;reservation_id=31733457641678&amp;guest_id=31733021257924", "Curtis Plumb")</f>
        <v>Curtis Plumb</v>
      </c>
      <c r="E10479" t="s">
        <v>9341</v>
      </c>
      <c r="F10479" t="s">
        <v>8085</v>
      </c>
      <c r="G10479">
        <v>273</v>
      </c>
      <c r="H10479">
        <v>296.76</v>
      </c>
      <c r="I10479">
        <v>296.75</v>
      </c>
      <c r="J10479">
        <v>0.01</v>
      </c>
    </row>
    <row r="10480" spans="1:10" x14ac:dyDescent="0.3">
      <c r="A10480" t="str">
        <f>HYPERLINK("https://us2.cloudbeds.com/connect/10074733072513#/reservations/31735893262480?display=MXYGKR4QK&amp;reservation_id=31735893262480", "MXYGKR4QK")</f>
        <v>MXYGKR4QK</v>
      </c>
      <c r="B10480" t="s">
        <v>10</v>
      </c>
      <c r="C10480" t="s">
        <v>11</v>
      </c>
      <c r="D10480" t="str">
        <f>HYPERLINK("https://us2.cloudbeds.com/connect/10074733072513#/reservations/31735893262480?display=Beth%20Holzwarth&amp;reservation_id=31735893262480&amp;guest_id=31701896859885", "Beth Holzwarth")</f>
        <v>Beth Holzwarth</v>
      </c>
      <c r="E10480" t="s">
        <v>9345</v>
      </c>
      <c r="F10480" t="s">
        <v>7751</v>
      </c>
      <c r="G10480">
        <v>522.16</v>
      </c>
      <c r="H10480">
        <v>567.6</v>
      </c>
      <c r="I10480">
        <v>567.59</v>
      </c>
      <c r="J10480">
        <v>0.01</v>
      </c>
    </row>
    <row r="10481" spans="1:10" x14ac:dyDescent="0.3">
      <c r="A10481" t="str">
        <f>HYPERLINK("https://us2.cloudbeds.com/connect/10074733072513#/reservations/31735553925277?display=MXY7VMJD3&amp;reservation_id=31735553925277", "MXY7VMJD3")</f>
        <v>MXY7VMJD3</v>
      </c>
      <c r="B10481" t="s">
        <v>10</v>
      </c>
      <c r="C10481" t="s">
        <v>42</v>
      </c>
      <c r="D10481" t="str">
        <f>HYPERLINK("https://us2.cloudbeds.com/connect/10074733072513#/reservations/31735553925277?display=Haley%20Hutton&amp;reservation_id=31735553925277&amp;guest_id=31735553925272", "Haley Hutton")</f>
        <v>Haley Hutton</v>
      </c>
      <c r="E10481" t="s">
        <v>9362</v>
      </c>
      <c r="F10481" t="s">
        <v>8829</v>
      </c>
      <c r="G10481">
        <v>189</v>
      </c>
      <c r="H10481">
        <v>205.45</v>
      </c>
      <c r="I10481">
        <v>205.44</v>
      </c>
      <c r="J10481">
        <v>0.01</v>
      </c>
    </row>
    <row r="10482" spans="1:10" x14ac:dyDescent="0.3">
      <c r="A10482" t="str">
        <f>HYPERLINK("https://us2.cloudbeds.com/connect/10074733072513#/reservations/31726386950293?display=MXE4NRWSC&amp;reservation_id=31726386950293", "MXE4NRWSC")</f>
        <v>MXE4NRWSC</v>
      </c>
      <c r="B10482" t="s">
        <v>10</v>
      </c>
      <c r="C10482" t="s">
        <v>42</v>
      </c>
      <c r="D10482" t="str">
        <f>HYPERLINK("https://us2.cloudbeds.com/connect/10074733072513#/reservations/31726386950293?display=Kelly%20Grochow&amp;reservation_id=31726386950293&amp;guest_id=31726386950281", "Kelly Grochow")</f>
        <v>Kelly Grochow</v>
      </c>
      <c r="E10482" t="s">
        <v>9363</v>
      </c>
      <c r="F10482" t="s">
        <v>8835</v>
      </c>
      <c r="G10482">
        <v>258</v>
      </c>
      <c r="H10482">
        <v>280.45999999999998</v>
      </c>
      <c r="I10482">
        <v>280.45</v>
      </c>
      <c r="J10482">
        <v>0.01</v>
      </c>
    </row>
    <row r="10483" spans="1:10" x14ac:dyDescent="0.3">
      <c r="A10483" t="str">
        <f>HYPERLINK("https://us2.cloudbeds.com/connect/10074733072513#/reservations/31734917538029?display=MXKZN25P1&amp;reservation_id=31734917538029", "MXKZN25P1")</f>
        <v>MXKZN25P1</v>
      </c>
      <c r="B10483" t="s">
        <v>10</v>
      </c>
      <c r="C10483" t="s">
        <v>42</v>
      </c>
      <c r="D10483" t="str">
        <f>HYPERLINK("https://us2.cloudbeds.com/connect/10074733072513#/reservations/31734917538029?display=Molly%20Redpath&amp;reservation_id=31734917538029&amp;guest_id=31734917538024", "Molly Redpath")</f>
        <v>Molly Redpath</v>
      </c>
      <c r="E10483" t="s">
        <v>9366</v>
      </c>
      <c r="F10483" t="s">
        <v>9033</v>
      </c>
      <c r="G10483">
        <v>189</v>
      </c>
      <c r="H10483">
        <v>205.45</v>
      </c>
      <c r="I10483">
        <v>205.44</v>
      </c>
      <c r="J10483">
        <v>0.01</v>
      </c>
    </row>
    <row r="10484" spans="1:10" x14ac:dyDescent="0.3">
      <c r="A10484" t="str">
        <f>HYPERLINK("https://us2.cloudbeds.com/connect/10074733072513#/reservations/31735840362700?display=MXYF974B0&amp;reservation_id=31735840362700", "MXYF974B0")</f>
        <v>MXYF974B0</v>
      </c>
      <c r="B10484" t="s">
        <v>10</v>
      </c>
      <c r="C10484" t="s">
        <v>42</v>
      </c>
      <c r="D10484" t="str">
        <f>HYPERLINK("https://us2.cloudbeds.com/connect/10074733072513#/reservations/31735840362700?display=Andrew%20Walker&amp;reservation_id=31735840362700&amp;guest_id=31735840362698", "Andrew Walker")</f>
        <v>Andrew Walker</v>
      </c>
      <c r="E10484" t="s">
        <v>9367</v>
      </c>
      <c r="F10484" t="s">
        <v>9131</v>
      </c>
      <c r="G10484">
        <v>149</v>
      </c>
      <c r="H10484">
        <v>161.97</v>
      </c>
      <c r="I10484">
        <v>161.96</v>
      </c>
      <c r="J10484">
        <v>0.01</v>
      </c>
    </row>
    <row r="10485" spans="1:10" x14ac:dyDescent="0.3">
      <c r="A10485" t="str">
        <f>HYPERLINK("https://us2.cloudbeds.com/connect/10074733072513#/reservations/31725937963182?display=MXDQ888RB&amp;reservation_id=31725937963182", "MXDQ888RB")</f>
        <v>MXDQ888RB</v>
      </c>
      <c r="B10485" t="s">
        <v>10</v>
      </c>
      <c r="C10485" t="s">
        <v>42</v>
      </c>
      <c r="D10485" t="str">
        <f>HYPERLINK("https://us2.cloudbeds.com/connect/10074733072513#/reservations/31725937963182?display=Eric%20Grochow&amp;reservation_id=31725937963182&amp;guest_id=31725937963179", "Eric Grochow")</f>
        <v>Eric Grochow</v>
      </c>
      <c r="E10485" t="s">
        <v>9368</v>
      </c>
      <c r="F10485" t="s">
        <v>8835</v>
      </c>
      <c r="G10485">
        <v>258</v>
      </c>
      <c r="H10485">
        <v>280.45999999999998</v>
      </c>
      <c r="I10485">
        <v>280.45</v>
      </c>
      <c r="J10485">
        <v>0.01</v>
      </c>
    </row>
    <row r="10486" spans="1:10" x14ac:dyDescent="0.3">
      <c r="A10486" t="str">
        <f>HYPERLINK("https://us2.cloudbeds.com/connect/10074733072513#/reservations/31734910926994?display=MXKZHG70Y&amp;reservation_id=31734910926994", "MXKZHG70Y")</f>
        <v>MXKZHG70Y</v>
      </c>
      <c r="B10486" t="s">
        <v>10</v>
      </c>
      <c r="C10486" t="s">
        <v>42</v>
      </c>
      <c r="D10486" t="str">
        <f>HYPERLINK("https://us2.cloudbeds.com/connect/10074733072513#/reservations/31734910926994?display=Jen%20Witt&amp;reservation_id=31734910926994&amp;guest_id=31734910922881", "Jen Witt")</f>
        <v>Jen Witt</v>
      </c>
      <c r="E10486" t="s">
        <v>9370</v>
      </c>
      <c r="F10486" t="s">
        <v>9033</v>
      </c>
      <c r="G10486">
        <v>189</v>
      </c>
      <c r="H10486">
        <v>205.45</v>
      </c>
      <c r="I10486">
        <v>205.44</v>
      </c>
      <c r="J10486">
        <v>0.01</v>
      </c>
    </row>
    <row r="10487" spans="1:10" x14ac:dyDescent="0.3">
      <c r="A10487" t="str">
        <f>HYPERLINK("https://us2.cloudbeds.com/connect/10074733072513#/reservations/31735161323721?display=MXKUUKSZ8&amp;reservation_id=31735161323721", "MXKUUKSZ8")</f>
        <v>MXKUUKSZ8</v>
      </c>
      <c r="B10487" t="s">
        <v>10</v>
      </c>
      <c r="C10487" t="s">
        <v>20</v>
      </c>
      <c r="D10487" t="str">
        <f>HYPERLINK("https://us2.cloudbeds.com/connect/10074733072513#/reservations/31735161323721?display=Craig%20Fox&amp;reservation_id=31735161323721&amp;guest_id=31735161319636", "Craig Fox")</f>
        <v>Craig Fox</v>
      </c>
      <c r="E10487" t="s">
        <v>9374</v>
      </c>
      <c r="F10487" t="s">
        <v>8829</v>
      </c>
      <c r="G10487">
        <v>415.8</v>
      </c>
      <c r="H10487">
        <v>451.98</v>
      </c>
      <c r="I10487">
        <v>451.97</v>
      </c>
      <c r="J10487">
        <v>0.01</v>
      </c>
    </row>
    <row r="10488" spans="1:10" x14ac:dyDescent="0.3">
      <c r="A10488" t="str">
        <f>HYPERLINK("https://us2.cloudbeds.com/connect/10074733072513#/reservations/31735161319638?display=MXKUUKZWH&amp;reservation_id=31735161319638", "MXKUUKZWH")</f>
        <v>MXKUUKZWH</v>
      </c>
      <c r="B10488" t="s">
        <v>10</v>
      </c>
      <c r="C10488" t="s">
        <v>42</v>
      </c>
      <c r="D10488" t="str">
        <f>HYPERLINK("https://us2.cloudbeds.com/connect/10074733072513#/reservations/31735161319638?display=Greg%20Brusven&amp;reservation_id=31735161319638&amp;guest_id=17963408818374", "Greg Brusven")</f>
        <v>Greg Brusven</v>
      </c>
      <c r="E10488" t="s">
        <v>2398</v>
      </c>
      <c r="F10488" t="s">
        <v>8253</v>
      </c>
      <c r="G10488">
        <v>178</v>
      </c>
      <c r="H10488">
        <v>193.5</v>
      </c>
      <c r="I10488">
        <v>193.49</v>
      </c>
      <c r="J10488">
        <v>0.01</v>
      </c>
    </row>
    <row r="10489" spans="1:10" x14ac:dyDescent="0.3">
      <c r="A10489" t="str">
        <f>HYPERLINK("https://us2.cloudbeds.com/connect/10074733072513#/reservations/31733498716318?display=MXJYEMC5Z&amp;reservation_id=31733498716318", "MXJYEMC5Z")</f>
        <v>MXJYEMC5Z</v>
      </c>
      <c r="B10489" t="s">
        <v>10</v>
      </c>
      <c r="C10489" t="s">
        <v>42</v>
      </c>
      <c r="D10489" t="str">
        <f>HYPERLINK("https://us2.cloudbeds.com/connect/10074733072513#/reservations/31733498716318?display=Jason%20Ehlers&amp;reservation_id=31733498716318&amp;guest_id=31684144378090", "Jason Ehlers")</f>
        <v>Jason Ehlers</v>
      </c>
      <c r="E10489" t="s">
        <v>7343</v>
      </c>
      <c r="F10489" t="s">
        <v>8085</v>
      </c>
      <c r="G10489">
        <v>73</v>
      </c>
      <c r="H10489">
        <v>79.36</v>
      </c>
      <c r="I10489">
        <v>79.349999999999994</v>
      </c>
      <c r="J10489">
        <v>0.01</v>
      </c>
    </row>
    <row r="10490" spans="1:10" x14ac:dyDescent="0.3">
      <c r="A10490" t="str">
        <f>HYPERLINK("https://us2.cloudbeds.com/connect/10074733072513#/reservations/31731220889788?display=MXHT7VG3C&amp;reservation_id=31731220889788", "MXHT7VG3C")</f>
        <v>MXHT7VG3C</v>
      </c>
      <c r="B10490" t="s">
        <v>10</v>
      </c>
      <c r="C10490" t="s">
        <v>42</v>
      </c>
      <c r="D10490" t="str">
        <f>HYPERLINK("https://us2.cloudbeds.com/connect/10074733072513#/reservations/31731220889788?display=Brad%20Grismer&amp;reservation_id=31731220889788&amp;guest_id=31731220889786", "Brad Grismer")</f>
        <v>Brad Grismer</v>
      </c>
      <c r="E10490" t="s">
        <v>9375</v>
      </c>
      <c r="F10490" t="s">
        <v>8045</v>
      </c>
      <c r="G10490">
        <v>378</v>
      </c>
      <c r="H10490">
        <v>410.9</v>
      </c>
      <c r="I10490">
        <v>410.89</v>
      </c>
      <c r="J10490">
        <v>0.01</v>
      </c>
    </row>
    <row r="10491" spans="1:10" x14ac:dyDescent="0.3">
      <c r="A10491" t="str">
        <f>HYPERLINK("https://us2.cloudbeds.com/connect/10074733072513#/reservations/31730375311541?display=MXH7KV0SR&amp;reservation_id=31730375311541", "MXH7KV0SR")</f>
        <v>MXH7KV0SR</v>
      </c>
      <c r="B10491" t="s">
        <v>10</v>
      </c>
      <c r="C10491" t="s">
        <v>42</v>
      </c>
      <c r="D10491" t="str">
        <f>HYPERLINK("https://us2.cloudbeds.com/connect/10074733072513#/reservations/31730375311541?display=Kayla%20Grismer&amp;reservation_id=31730375311541&amp;guest_id=31730365976792", "Kayla Grismer")</f>
        <v>Kayla Grismer</v>
      </c>
      <c r="E10491" t="s">
        <v>9376</v>
      </c>
      <c r="F10491" t="s">
        <v>8045</v>
      </c>
      <c r="G10491">
        <v>189</v>
      </c>
      <c r="H10491">
        <v>205.45</v>
      </c>
      <c r="I10491">
        <v>205.44</v>
      </c>
      <c r="J10491">
        <v>0.01</v>
      </c>
    </row>
    <row r="10492" spans="1:10" x14ac:dyDescent="0.3">
      <c r="A10492" t="str">
        <f>HYPERLINK("https://us2.cloudbeds.com/connect/10074733072513#/reservations/31734515278043?display=MXKEDSN0G&amp;reservation_id=31734515278043", "MXKEDSN0G")</f>
        <v>MXKEDSN0G</v>
      </c>
      <c r="B10492" t="s">
        <v>10</v>
      </c>
      <c r="C10492" t="s">
        <v>42</v>
      </c>
      <c r="D10492" t="str">
        <f>HYPERLINK("https://us2.cloudbeds.com/connect/10074733072513#/reservations/31734515278043?display=Casey%20Sloan&amp;reservation_id=31734515278043&amp;guest_id=31734515273942", "Casey Sloan")</f>
        <v>Casey Sloan</v>
      </c>
      <c r="E10492" t="s">
        <v>9377</v>
      </c>
      <c r="F10492" t="s">
        <v>9338</v>
      </c>
      <c r="G10492">
        <v>219</v>
      </c>
      <c r="H10492">
        <v>238.06</v>
      </c>
      <c r="I10492">
        <v>238.05</v>
      </c>
      <c r="J10492">
        <v>0.01</v>
      </c>
    </row>
    <row r="10493" spans="1:10" x14ac:dyDescent="0.3">
      <c r="A10493" t="str">
        <f>HYPERLINK("https://us2.cloudbeds.com/connect/10074733072513#/reservations/31734807232728?display=MXKYT1PA5&amp;reservation_id=31734807232728", "MXKYT1PA5")</f>
        <v>MXKYT1PA5</v>
      </c>
      <c r="B10493" t="s">
        <v>10</v>
      </c>
      <c r="C10493" t="s">
        <v>42</v>
      </c>
      <c r="D10493" t="str">
        <f>HYPERLINK("https://us2.cloudbeds.com/connect/10074733072513#/reservations/31734807232728?display=Ashley%20Davidson&amp;reservation_id=31734807232728&amp;guest_id=31734807232717", "Ashley Davidson")</f>
        <v>Ashley Davidson</v>
      </c>
      <c r="E10493" t="s">
        <v>9382</v>
      </c>
      <c r="F10493" t="s">
        <v>9322</v>
      </c>
      <c r="G10493">
        <v>252</v>
      </c>
      <c r="H10493">
        <v>273.93</v>
      </c>
      <c r="I10493">
        <v>273.92</v>
      </c>
      <c r="J10493">
        <v>0.01</v>
      </c>
    </row>
    <row r="10494" spans="1:10" x14ac:dyDescent="0.3">
      <c r="A10494" t="str">
        <f>HYPERLINK("https://us2.cloudbeds.com/connect/10074733072513#/reservations/31734287581358?display=MXK8JSN4U&amp;reservation_id=31734287581358", "MXK8JSN4U")</f>
        <v>MXK8JSN4U</v>
      </c>
      <c r="B10494" t="s">
        <v>10</v>
      </c>
      <c r="C10494" t="s">
        <v>23</v>
      </c>
      <c r="D10494" t="str">
        <f>HYPERLINK("https://us2.cloudbeds.com/connect/10074733072513#/reservations/31734287581358?display=Keith%20Wagner&amp;reservation_id=31734287581358&amp;guest_id=31734270517472", "Keith Wagner")</f>
        <v>Keith Wagner</v>
      </c>
      <c r="E10494" t="s">
        <v>9383</v>
      </c>
      <c r="F10494" t="s">
        <v>8253</v>
      </c>
      <c r="G10494">
        <v>129</v>
      </c>
      <c r="H10494">
        <v>140.22999999999999</v>
      </c>
      <c r="I10494">
        <v>140.22</v>
      </c>
      <c r="J10494">
        <v>0.01</v>
      </c>
    </row>
    <row r="10495" spans="1:10" x14ac:dyDescent="0.3">
      <c r="A10495" t="str">
        <f>HYPERLINK("https://us2.cloudbeds.com/connect/10074733072513#/reservations/31734288658589?display=MXK8KPMBA&amp;reservation_id=31734288658589", "MXK8KPMBA")</f>
        <v>MXK8KPMBA</v>
      </c>
      <c r="B10495" t="s">
        <v>10</v>
      </c>
      <c r="C10495" t="s">
        <v>42</v>
      </c>
      <c r="D10495" t="str">
        <f>HYPERLINK("https://us2.cloudbeds.com/connect/10074733072513#/reservations/31734288658589?display=Leonard%20Wambach&amp;reservation_id=31734288658589&amp;guest_id=31734288658584", "Leonard Wambach")</f>
        <v>Leonard Wambach</v>
      </c>
      <c r="E10495" t="s">
        <v>9384</v>
      </c>
      <c r="F10495" t="s">
        <v>8253</v>
      </c>
      <c r="G10495">
        <v>129</v>
      </c>
      <c r="H10495">
        <v>140.22999999999999</v>
      </c>
      <c r="I10495">
        <v>140.22</v>
      </c>
      <c r="J10495">
        <v>0.01</v>
      </c>
    </row>
    <row r="10496" spans="1:10" x14ac:dyDescent="0.3">
      <c r="A10496" t="str">
        <f>HYPERLINK("https://us2.cloudbeds.com/connect/10074733072513#/reservations/31732972413069?display=MXJ7WT6PE&amp;reservation_id=31732972413069", "MXJ7WT6PE")</f>
        <v>MXJ7WT6PE</v>
      </c>
      <c r="B10496" t="s">
        <v>10</v>
      </c>
      <c r="C10496" t="s">
        <v>23</v>
      </c>
      <c r="D10496" t="str">
        <f>HYPERLINK("https://us2.cloudbeds.com/connect/10074733072513#/reservations/31732972413069?display=Susan%20Ackerman&amp;reservation_id=31732972413069&amp;guest_id=31732972413067", "Susan Ackerman")</f>
        <v>Susan Ackerman</v>
      </c>
      <c r="E10496" t="s">
        <v>9386</v>
      </c>
      <c r="F10496" t="s">
        <v>9018</v>
      </c>
      <c r="G10496">
        <v>229</v>
      </c>
      <c r="H10496">
        <v>248.93</v>
      </c>
      <c r="I10496">
        <v>248.92</v>
      </c>
      <c r="J10496">
        <v>0.01</v>
      </c>
    </row>
    <row r="10497" spans="1:10" x14ac:dyDescent="0.3">
      <c r="A10497" t="str">
        <f>HYPERLINK("https://us2.cloudbeds.com/connect/10074733072513#/reservations/31735945724062?display=MXYHW1VTX&amp;reservation_id=31735945724062", "MXYHW1VTX")</f>
        <v>MXYHW1VTX</v>
      </c>
      <c r="B10497" t="s">
        <v>10</v>
      </c>
      <c r="C10497" t="s">
        <v>42</v>
      </c>
      <c r="D10497" t="str">
        <f>HYPERLINK("https://us2.cloudbeds.com/connect/10074733072513#/reservations/31735945724062?display=Jeff%20Schleeter&amp;reservation_id=31735945724062&amp;guest_id=30667107336393", "Jeff Schleeter")</f>
        <v>Jeff Schleeter</v>
      </c>
      <c r="E10497" t="s">
        <v>9387</v>
      </c>
      <c r="F10497" t="s">
        <v>8253</v>
      </c>
      <c r="G10497">
        <v>89</v>
      </c>
      <c r="H10497">
        <v>96.75</v>
      </c>
      <c r="I10497">
        <v>96.74</v>
      </c>
      <c r="J10497">
        <v>0.01</v>
      </c>
    </row>
    <row r="10498" spans="1:10" x14ac:dyDescent="0.3">
      <c r="A10498" t="str">
        <f>HYPERLINK("https://us2.cloudbeds.com/connect/10074733072513#/reservations/31735902630095?display=MXYGSNQRP&amp;reservation_id=31735902630095", "MXYGSNQRP")</f>
        <v>MXYGSNQRP</v>
      </c>
      <c r="B10498" t="s">
        <v>10</v>
      </c>
      <c r="C10498" t="s">
        <v>17</v>
      </c>
      <c r="D10498" t="str">
        <f>HYPERLINK("https://us2.cloudbeds.com/connect/10074733072513#/reservations/31735902630095?display=James%20Voyles&amp;reservation_id=31735902630095&amp;guest_id=31735902630093", "James Voyles")</f>
        <v>James Voyles</v>
      </c>
      <c r="E10498" t="s">
        <v>9389</v>
      </c>
      <c r="F10498" t="s">
        <v>7751</v>
      </c>
      <c r="G10498">
        <v>398</v>
      </c>
      <c r="H10498">
        <v>432.64</v>
      </c>
      <c r="I10498">
        <v>432.63</v>
      </c>
      <c r="J10498">
        <v>0.01</v>
      </c>
    </row>
    <row r="10499" spans="1:10" x14ac:dyDescent="0.3">
      <c r="A10499" t="str">
        <f>HYPERLINK("https://us2.cloudbeds.com/connect/10074733072513#/reservations/31734173814936?display=MXK5MUWEK&amp;reservation_id=31734173814936", "MXK5MUWEK")</f>
        <v>MXK5MUWEK</v>
      </c>
      <c r="B10499" t="s">
        <v>10</v>
      </c>
      <c r="C10499" t="s">
        <v>23</v>
      </c>
      <c r="D10499" t="str">
        <f>HYPERLINK("https://us2.cloudbeds.com/connect/10074733072513#/reservations/31734173814936?display=Peter%20Dailey&amp;reservation_id=31734173814936&amp;guest_id=31734173814933", "Peter Dailey")</f>
        <v>Peter Dailey</v>
      </c>
      <c r="E10499" t="s">
        <v>9391</v>
      </c>
      <c r="F10499" t="s">
        <v>8340</v>
      </c>
      <c r="G10499">
        <v>462</v>
      </c>
      <c r="H10499">
        <v>502.2</v>
      </c>
      <c r="I10499">
        <v>502.19</v>
      </c>
      <c r="J10499">
        <v>0.01</v>
      </c>
    </row>
    <row r="10500" spans="1:10" x14ac:dyDescent="0.3">
      <c r="A10500" t="str">
        <f>HYPERLINK("https://us2.cloudbeds.com/connect/10074733072513#/reservations/31735102660857?display=MXKTE5G5N&amp;reservation_id=31735102660857", "MXKTE5G5N")</f>
        <v>MXKTE5G5N</v>
      </c>
      <c r="B10500" t="s">
        <v>10</v>
      </c>
      <c r="C10500" t="s">
        <v>11</v>
      </c>
      <c r="D10500" t="str">
        <f>HYPERLINK("https://us2.cloudbeds.com/connect/10074733072513#/reservations/31735102660857?display=Shawn-Taylor%20Mcconnell&amp;reservation_id=31735102660857&amp;guest_id=31735102660831", "Shawn-Taylor Mcconnell")</f>
        <v>Shawn-Taylor Mcconnell</v>
      </c>
      <c r="E10500" t="s">
        <v>9392</v>
      </c>
      <c r="F10500" t="s">
        <v>8829</v>
      </c>
      <c r="G10500">
        <v>169</v>
      </c>
      <c r="H10500">
        <v>183.71</v>
      </c>
      <c r="I10500">
        <v>183.7</v>
      </c>
      <c r="J10500">
        <v>0.01</v>
      </c>
    </row>
    <row r="10501" spans="1:10" x14ac:dyDescent="0.3">
      <c r="A10501" t="str">
        <f>HYPERLINK("https://us2.cloudbeds.com/connect/10074733072513#/reservations/31735246897315?display=MXY03Q2NF&amp;reservation_id=31735246897315", "MXY03Q2NF")</f>
        <v>MXY03Q2NF</v>
      </c>
      <c r="B10501" t="s">
        <v>10</v>
      </c>
      <c r="C10501" t="s">
        <v>42</v>
      </c>
      <c r="D10501" t="str">
        <f>HYPERLINK("https://us2.cloudbeds.com/connect/10074733072513#/reservations/31735246897315?display=Brooke%20Darnell&amp;reservation_id=31735246897315&amp;guest_id=31735246893247", "Brooke Darnell")</f>
        <v>Brooke Darnell</v>
      </c>
      <c r="E10501" t="s">
        <v>9393</v>
      </c>
      <c r="F10501" t="s">
        <v>8253</v>
      </c>
      <c r="G10501">
        <v>258</v>
      </c>
      <c r="H10501">
        <v>280.45999999999998</v>
      </c>
      <c r="I10501">
        <v>280.45</v>
      </c>
      <c r="J10501">
        <v>0.01</v>
      </c>
    </row>
    <row r="10502" spans="1:10" x14ac:dyDescent="0.3">
      <c r="A10502" t="str">
        <f>HYPERLINK("https://us2.cloudbeds.com/connect/10074733072513#/reservations/31735199649927?display=MXKVTVBME&amp;reservation_id=31735199649927", "MXKVTVBME")</f>
        <v>MXKVTVBME</v>
      </c>
      <c r="B10502" t="s">
        <v>10</v>
      </c>
      <c r="C10502" t="s">
        <v>42</v>
      </c>
      <c r="D10502" t="str">
        <f>HYPERLINK("https://us2.cloudbeds.com/connect/10074733072513#/reservations/31735199649927?display=Tiffany%20Danko&amp;reservation_id=31735199649927&amp;guest_id=31735194554516", "Tiffany Danko")</f>
        <v>Tiffany Danko</v>
      </c>
      <c r="E10502" t="s">
        <v>9395</v>
      </c>
      <c r="F10502" t="s">
        <v>8253</v>
      </c>
      <c r="G10502">
        <v>129</v>
      </c>
      <c r="H10502">
        <v>140.22999999999999</v>
      </c>
      <c r="I10502">
        <v>140.22</v>
      </c>
      <c r="J10502">
        <v>0.01</v>
      </c>
    </row>
    <row r="10503" spans="1:10" x14ac:dyDescent="0.3">
      <c r="A10503" t="str">
        <f>HYPERLINK("https://us2.cloudbeds.com/connect/10074733072513#/reservations/31736149700826?display=MXYN61UCK&amp;reservation_id=31736149700826", "MXYN61UCK")</f>
        <v>MXYN61UCK</v>
      </c>
      <c r="B10503" t="s">
        <v>10</v>
      </c>
      <c r="C10503" t="s">
        <v>23</v>
      </c>
      <c r="D10503" t="str">
        <f>HYPERLINK("https://us2.cloudbeds.com/connect/10074733072513#/reservations/31736149700826?display=Joe%20Fresch&amp;reservation_id=31736149700826&amp;guest_id=31736149700822", "Joe Fresch")</f>
        <v>Joe Fresch</v>
      </c>
      <c r="E10503" t="s">
        <v>9396</v>
      </c>
      <c r="F10503" t="s">
        <v>9397</v>
      </c>
      <c r="G10503">
        <v>129</v>
      </c>
      <c r="H10503">
        <v>140.22999999999999</v>
      </c>
      <c r="I10503">
        <v>140.22</v>
      </c>
      <c r="J10503">
        <v>0.01</v>
      </c>
    </row>
    <row r="10504" spans="1:10" x14ac:dyDescent="0.3">
      <c r="A10504" t="str">
        <f>HYPERLINK("https://us2.cloudbeds.com/connect/10074733072513#/reservations/31735362199720?display=MXY320HSZ&amp;reservation_id=31735362199720", "MXY320HSZ")</f>
        <v>MXY320HSZ</v>
      </c>
      <c r="B10504" t="s">
        <v>10</v>
      </c>
      <c r="C10504" t="s">
        <v>42</v>
      </c>
      <c r="D10504" t="str">
        <f>HYPERLINK("https://us2.cloudbeds.com/connect/10074733072513#/reservations/31735362199720?display=Howard%20Roth&amp;reservation_id=31735362199720&amp;guest_id=31735357493386", "Howard Roth")</f>
        <v>Howard Roth</v>
      </c>
      <c r="E10504" t="s">
        <v>9400</v>
      </c>
      <c r="F10504" t="s">
        <v>7751</v>
      </c>
      <c r="G10504">
        <v>209</v>
      </c>
      <c r="H10504">
        <v>227.19</v>
      </c>
      <c r="I10504">
        <v>227.18</v>
      </c>
      <c r="J10504">
        <v>0.01</v>
      </c>
    </row>
    <row r="10505" spans="1:10" x14ac:dyDescent="0.3">
      <c r="A10505" t="str">
        <f>HYPERLINK("https://us2.cloudbeds.com/connect/10074733072513#/reservations/31735021633685?display=MXKRBRQ1S&amp;reservation_id=31735021633685", "MXKRBRQ1S")</f>
        <v>MXKRBRQ1S</v>
      </c>
      <c r="B10505" t="s">
        <v>10</v>
      </c>
      <c r="C10505" t="s">
        <v>42</v>
      </c>
      <c r="D10505" t="str">
        <f>HYPERLINK("https://us2.cloudbeds.com/connect/10074733072513#/reservations/31735021633685?display=Matt%20Boden&amp;reservation_id=31735021633685&amp;guest_id=31735021629593", "Matt Boden")</f>
        <v>Matt Boden</v>
      </c>
      <c r="E10505" t="s">
        <v>9401</v>
      </c>
      <c r="F10505" t="s">
        <v>7203</v>
      </c>
      <c r="G10505">
        <v>209</v>
      </c>
      <c r="H10505">
        <v>227.19</v>
      </c>
      <c r="I10505">
        <v>227.18</v>
      </c>
      <c r="J10505">
        <v>0.01</v>
      </c>
    </row>
    <row r="10506" spans="1:10" x14ac:dyDescent="0.3">
      <c r="A10506" t="str">
        <f>HYPERLINK("https://us2.cloudbeds.com/connect/10074733072513#/reservations/31733037428951?display=MXJ9YNC4M&amp;reservation_id=31733037428951", "MXJ9YNC4M")</f>
        <v>MXJ9YNC4M</v>
      </c>
      <c r="B10506" t="s">
        <v>10</v>
      </c>
      <c r="C10506" t="s">
        <v>23</v>
      </c>
      <c r="D10506" t="str">
        <f>HYPERLINK("https://us2.cloudbeds.com/connect/10074733072513#/reservations/31733037428951?display=Chas%20Manfredi&amp;reservation_id=31733037428951&amp;guest_id=31733037428945", "Chas Manfredi")</f>
        <v>Chas Manfredi</v>
      </c>
      <c r="E10506" t="s">
        <v>9403</v>
      </c>
      <c r="F10506" t="s">
        <v>9108</v>
      </c>
      <c r="G10506">
        <v>189</v>
      </c>
      <c r="H10506">
        <v>205.45</v>
      </c>
      <c r="I10506">
        <v>205.44</v>
      </c>
      <c r="J10506">
        <v>0.01</v>
      </c>
    </row>
    <row r="10507" spans="1:10" x14ac:dyDescent="0.3">
      <c r="A10507" t="str">
        <f>HYPERLINK("https://us2.cloudbeds.com/connect/10074733072513#/reservations/31732214657168?display=MXXYKUHGD&amp;reservation_id=31732214657168", "MXXYKUHGD")</f>
        <v>MXXYKUHGD</v>
      </c>
      <c r="B10507" t="s">
        <v>10</v>
      </c>
      <c r="C10507" t="s">
        <v>42</v>
      </c>
      <c r="D10507" t="str">
        <f>HYPERLINK("https://us2.cloudbeds.com/connect/10074733072513#/reservations/31732214657168?display=Clarence%20Devney&amp;reservation_id=31732214657168&amp;guest_id=31689082441939", "Clarence Devney")</f>
        <v>Clarence Devney</v>
      </c>
      <c r="E10507" t="s">
        <v>7439</v>
      </c>
      <c r="F10507" t="s">
        <v>9361</v>
      </c>
      <c r="G10507">
        <v>89</v>
      </c>
      <c r="H10507">
        <v>96.75</v>
      </c>
      <c r="I10507">
        <v>96.74</v>
      </c>
      <c r="J10507">
        <v>0.01</v>
      </c>
    </row>
    <row r="10508" spans="1:10" x14ac:dyDescent="0.3">
      <c r="A10508" t="str">
        <f>HYPERLINK("https://us2.cloudbeds.com/connect/10074733072513#/reservations/31736166506711?display=MXYNK7XPS&amp;reservation_id=31736166506711", "MXYNK7XPS")</f>
        <v>MXYNK7XPS</v>
      </c>
      <c r="B10508" t="s">
        <v>10</v>
      </c>
      <c r="C10508" t="s">
        <v>42</v>
      </c>
      <c r="D10508" t="str">
        <f>HYPERLINK("https://us2.cloudbeds.com/connect/10074733072513#/reservations/31736166506711?display=Chris%20Ludemann&amp;reservation_id=31736166506711&amp;guest_id=31736166506706", "Chris Ludemann")</f>
        <v>Chris Ludemann</v>
      </c>
      <c r="E10508" t="s">
        <v>9405</v>
      </c>
      <c r="F10508" t="s">
        <v>9087</v>
      </c>
      <c r="G10508">
        <v>258</v>
      </c>
      <c r="H10508">
        <v>280.45999999999998</v>
      </c>
      <c r="I10508">
        <v>280.45</v>
      </c>
      <c r="J10508">
        <v>0.01</v>
      </c>
    </row>
    <row r="10509" spans="1:10" x14ac:dyDescent="0.3">
      <c r="A10509" t="str">
        <f>HYPERLINK("https://us2.cloudbeds.com/connect/10074733072513#/reservations/31729426706655?display=MXGGD1N0H&amp;reservation_id=31729426706655", "MXGGD1N0H")</f>
        <v>MXGGD1N0H</v>
      </c>
      <c r="B10509" t="s">
        <v>10</v>
      </c>
      <c r="C10509" t="s">
        <v>42</v>
      </c>
      <c r="D10509" t="str">
        <f>HYPERLINK("https://us2.cloudbeds.com/connect/10074733072513#/reservations/31729426706655?display=Lori%20Paulson&amp;reservation_id=31729426706655&amp;guest_id=31729426706651", "Lori Paulson")</f>
        <v>Lori Paulson</v>
      </c>
      <c r="E10509" t="s">
        <v>9408</v>
      </c>
      <c r="F10509" t="s">
        <v>9322</v>
      </c>
      <c r="G10509">
        <v>251.2</v>
      </c>
      <c r="H10509">
        <v>273.06</v>
      </c>
      <c r="I10509">
        <v>273.05</v>
      </c>
      <c r="J10509">
        <v>0.01</v>
      </c>
    </row>
    <row r="10510" spans="1:10" x14ac:dyDescent="0.3">
      <c r="A10510" t="str">
        <f>HYPERLINK("https://us2.cloudbeds.com/connect/10074733072513#/reservations/31735816954026?display=MXYEMFZP8&amp;reservation_id=31735816954026", "MXYEMFZP8")</f>
        <v>MXYEMFZP8</v>
      </c>
      <c r="B10510" t="s">
        <v>10</v>
      </c>
      <c r="C10510" t="s">
        <v>42</v>
      </c>
      <c r="D10510" t="str">
        <f>HYPERLINK("https://us2.cloudbeds.com/connect/10074733072513#/reservations/31735816954026?display=Tyler%20Davenport&amp;reservation_id=31735816954026&amp;guest_id=31735805956302", "Tyler Davenport")</f>
        <v>Tyler Davenport</v>
      </c>
      <c r="E10510" t="s">
        <v>9409</v>
      </c>
      <c r="F10510" t="s">
        <v>7751</v>
      </c>
      <c r="G10510">
        <v>249</v>
      </c>
      <c r="H10510">
        <v>270.67</v>
      </c>
      <c r="I10510">
        <v>270.66000000000003</v>
      </c>
      <c r="J10510">
        <v>0.01</v>
      </c>
    </row>
    <row r="10511" spans="1:10" x14ac:dyDescent="0.3">
      <c r="A10511" t="str">
        <f>HYPERLINK("https://us2.cloudbeds.com/connect/10074733072513#/reservations/31735455768780?display=MXY5EU7SQ&amp;reservation_id=31735455768780", "MXY5EU7SQ")</f>
        <v>MXY5EU7SQ</v>
      </c>
      <c r="B10511" t="s">
        <v>10</v>
      </c>
      <c r="C10511" t="s">
        <v>17</v>
      </c>
      <c r="D10511" t="str">
        <f>HYPERLINK("https://us2.cloudbeds.com/connect/10074733072513#/reservations/31735455768780?display=Kathleen%20Purcella&amp;reservation_id=31735455768780&amp;guest_id=31735455764683", "Kathleen Purcella")</f>
        <v>Kathleen Purcella</v>
      </c>
      <c r="E10511" t="s">
        <v>9410</v>
      </c>
      <c r="F10511" t="s">
        <v>9361</v>
      </c>
      <c r="G10511">
        <v>129</v>
      </c>
      <c r="H10511">
        <v>140.22999999999999</v>
      </c>
      <c r="I10511">
        <v>140.22</v>
      </c>
      <c r="J10511">
        <v>0.01</v>
      </c>
    </row>
    <row r="10512" spans="1:10" x14ac:dyDescent="0.3">
      <c r="A10512" t="str">
        <f>HYPERLINK("https://us2.cloudbeds.com/connect/10074733072513#/reservations/31734646452446?display=MXKHPFR0D&amp;reservation_id=31734646452446", "MXKHPFR0D")</f>
        <v>MXKHPFR0D</v>
      </c>
      <c r="B10512" t="s">
        <v>10</v>
      </c>
      <c r="C10512" t="s">
        <v>42</v>
      </c>
      <c r="D10512" t="str">
        <f>HYPERLINK("https://us2.cloudbeds.com/connect/10074733072513#/reservations/31734646452446?display=Lynn%20Coney&amp;reservation_id=31734646452446&amp;guest_id=31734646452444", "Lynn Coney")</f>
        <v>Lynn Coney</v>
      </c>
      <c r="E10512" t="s">
        <v>9411</v>
      </c>
      <c r="F10512" t="s">
        <v>8767</v>
      </c>
      <c r="G10512">
        <v>302</v>
      </c>
      <c r="H10512">
        <v>328.28</v>
      </c>
      <c r="I10512">
        <v>328.27</v>
      </c>
      <c r="J10512">
        <v>0.01</v>
      </c>
    </row>
    <row r="10513" spans="1:10" x14ac:dyDescent="0.3">
      <c r="A10513" t="str">
        <f>HYPERLINK("https://us2.cloudbeds.com/connect/10074733072513#/reservations/31728733339776?display=MXFV4ASPA&amp;reservation_id=31728733339776", "MXFV4ASPA")</f>
        <v>MXFV4ASPA</v>
      </c>
      <c r="B10513" t="s">
        <v>10</v>
      </c>
      <c r="C10513" t="s">
        <v>42</v>
      </c>
      <c r="D10513" t="str">
        <f>HYPERLINK("https://us2.cloudbeds.com/connect/10074733072513#/reservations/31728733339776?display=Cindy%20Mithun&amp;reservation_id=31728733339776&amp;guest_id=31728711925986", "Cindy Mithun")</f>
        <v>Cindy Mithun</v>
      </c>
      <c r="E10513" t="s">
        <v>9412</v>
      </c>
      <c r="F10513" t="s">
        <v>9056</v>
      </c>
      <c r="G10513">
        <v>266.10000000000002</v>
      </c>
      <c r="H10513">
        <v>289.26</v>
      </c>
      <c r="I10513">
        <v>289.25</v>
      </c>
      <c r="J10513">
        <v>0.01</v>
      </c>
    </row>
    <row r="10514" spans="1:10" x14ac:dyDescent="0.3">
      <c r="A10514" t="str">
        <f>HYPERLINK("https://us2.cloudbeds.com/connect/10074733072513#/reservations/31728467390604?display=MXFZT4AC5&amp;reservation_id=31728467390604", "MXFZT4AC5")</f>
        <v>MXFZT4AC5</v>
      </c>
      <c r="B10514" t="s">
        <v>10</v>
      </c>
      <c r="C10514" t="s">
        <v>20</v>
      </c>
      <c r="D10514" t="str">
        <f>HYPERLINK("https://us2.cloudbeds.com/connect/10074733072513#/reservations/31728467390604?display=Kristie%20Fliehs&amp;reservation_id=31728467390604&amp;guest_id=31728467386509", "Kristie Fliehs")</f>
        <v>Kristie Fliehs</v>
      </c>
      <c r="E10514" t="s">
        <v>9414</v>
      </c>
      <c r="F10514" t="s">
        <v>9235</v>
      </c>
      <c r="G10514">
        <v>398</v>
      </c>
      <c r="H10514">
        <v>432.64</v>
      </c>
      <c r="I10514">
        <v>432.63</v>
      </c>
      <c r="J10514">
        <v>0.01</v>
      </c>
    </row>
    <row r="10515" spans="1:10" x14ac:dyDescent="0.3">
      <c r="A10515" t="str">
        <f>HYPERLINK("https://us2.cloudbeds.com/connect/10074733072513#/reservations/31728394100899?display=MXFN0AUC0&amp;reservation_id=31728394100899", "MXFN0AUC0")</f>
        <v>MXFN0AUC0</v>
      </c>
      <c r="B10515" t="s">
        <v>10</v>
      </c>
      <c r="C10515" t="s">
        <v>23</v>
      </c>
      <c r="D10515" t="str">
        <f>HYPERLINK("https://us2.cloudbeds.com/connect/10074733072513#/reservations/31728394100899?display=Peggy%20Birchem&amp;reservation_id=31728394100899&amp;guest_id=31728394100894", "Peggy Birchem")</f>
        <v>Peggy Birchem</v>
      </c>
      <c r="E10515" t="s">
        <v>9415</v>
      </c>
      <c r="F10515" t="s">
        <v>9235</v>
      </c>
      <c r="G10515">
        <v>378</v>
      </c>
      <c r="H10515">
        <v>410.9</v>
      </c>
      <c r="I10515">
        <v>410.89</v>
      </c>
      <c r="J10515">
        <v>0.01</v>
      </c>
    </row>
    <row r="10516" spans="1:10" x14ac:dyDescent="0.3">
      <c r="A10516" t="str">
        <f>HYPERLINK("https://us2.cloudbeds.com/connect/10074733072513#/reservations/31727712178393?display=MXF5JADTY&amp;reservation_id=31727712178393", "MXF5JADTY")</f>
        <v>MXF5JADTY</v>
      </c>
      <c r="B10516" t="s">
        <v>10</v>
      </c>
      <c r="C10516" t="s">
        <v>23</v>
      </c>
      <c r="D10516" t="str">
        <f>HYPERLINK("https://us2.cloudbeds.com/connect/10074733072513#/reservations/31727712178393?display=Randi%20Lee&amp;reservation_id=31727712178393&amp;guest_id=31727712178378", "Randi Lee")</f>
        <v>Randi Lee</v>
      </c>
      <c r="E10516" t="s">
        <v>9416</v>
      </c>
      <c r="F10516" t="s">
        <v>9056</v>
      </c>
      <c r="G10516">
        <v>266.10000000000002</v>
      </c>
      <c r="H10516">
        <v>289.26</v>
      </c>
      <c r="I10516">
        <v>289.25</v>
      </c>
      <c r="J10516">
        <v>0.01</v>
      </c>
    </row>
    <row r="10517" spans="1:10" x14ac:dyDescent="0.3">
      <c r="A10517" t="str">
        <f>HYPERLINK("https://us2.cloudbeds.com/connect/10074733072513#/reservations/31735688990851?display=MXYBDXWX9&amp;reservation_id=31735688990851", "MXYBDXWX9")</f>
        <v>MXYBDXWX9</v>
      </c>
      <c r="B10517" t="s">
        <v>10</v>
      </c>
      <c r="C10517" t="s">
        <v>20</v>
      </c>
      <c r="D10517" t="str">
        <f>HYPERLINK("https://us2.cloudbeds.com/connect/10074733072513#/reservations/31735688990851?display=Wade%20Thurber&amp;reservation_id=31735688990851&amp;guest_id=31735688986797", "Wade Thurber")</f>
        <v>Wade Thurber</v>
      </c>
      <c r="E10517" t="s">
        <v>9417</v>
      </c>
      <c r="F10517" t="s">
        <v>9361</v>
      </c>
      <c r="G10517">
        <v>149</v>
      </c>
      <c r="H10517">
        <v>161.97</v>
      </c>
      <c r="I10517">
        <v>161.96</v>
      </c>
      <c r="J10517">
        <v>0.01</v>
      </c>
    </row>
    <row r="10518" spans="1:10" x14ac:dyDescent="0.3">
      <c r="A10518" t="str">
        <f>HYPERLINK("https://us2.cloudbeds.com/connect/10074733072513#/reservations/31730724712609?display=MXHGXXKM9&amp;reservation_id=31730724712609", "MXHGXXKM9")</f>
        <v>MXHGXXKM9</v>
      </c>
      <c r="B10518" t="s">
        <v>10</v>
      </c>
      <c r="C10518" t="s">
        <v>42</v>
      </c>
      <c r="D10518" t="str">
        <f>HYPERLINK("https://us2.cloudbeds.com/connect/10074733072513#/reservations/31730724712609?display=Stella%20Dyer&amp;reservation_id=31730724712609&amp;guest_id=31730717290629", "Stella Dyer")</f>
        <v>Stella Dyer</v>
      </c>
      <c r="E10518" t="s">
        <v>9418</v>
      </c>
      <c r="F10518" t="s">
        <v>8918</v>
      </c>
      <c r="G10518">
        <v>542</v>
      </c>
      <c r="H10518">
        <v>589.16</v>
      </c>
      <c r="I10518">
        <v>589.15</v>
      </c>
      <c r="J10518">
        <v>0.01</v>
      </c>
    </row>
    <row r="10519" spans="1:10" x14ac:dyDescent="0.3">
      <c r="A10519" t="str">
        <f>HYPERLINK("https://us2.cloudbeds.com/connect/10074733072513#/reservations/31732234391684?display=MXXM4XM61&amp;reservation_id=31732234391684", "MXXM4XM61")</f>
        <v>MXXM4XM61</v>
      </c>
      <c r="B10519" t="s">
        <v>10</v>
      </c>
      <c r="C10519" t="s">
        <v>42</v>
      </c>
      <c r="D10519" t="str">
        <f>HYPERLINK("https://us2.cloudbeds.com/connect/10074733072513#/reservations/31732234391684?display=Karen%20Caraway&amp;reservation_id=31732234391684&amp;guest_id=31732234391680", "Karen Caraway")</f>
        <v>Karen Caraway</v>
      </c>
      <c r="E10519" t="s">
        <v>9419</v>
      </c>
      <c r="F10519" t="s">
        <v>9361</v>
      </c>
      <c r="G10519">
        <v>129</v>
      </c>
      <c r="H10519">
        <v>140.22999999999999</v>
      </c>
      <c r="I10519">
        <v>140.22</v>
      </c>
      <c r="J10519">
        <v>0.01</v>
      </c>
    </row>
    <row r="10520" spans="1:10" x14ac:dyDescent="0.3">
      <c r="A10520" t="str">
        <f>HYPERLINK("https://us2.cloudbeds.com/connect/10074733072513#/reservations/31731240734947?display=MXHTZMNCR&amp;reservation_id=31731240734947", "MXHTZMNCR")</f>
        <v>MXHTZMNCR</v>
      </c>
      <c r="B10520" t="s">
        <v>10</v>
      </c>
      <c r="C10520" t="s">
        <v>11</v>
      </c>
      <c r="D10520" t="str">
        <f>HYPERLINK("https://us2.cloudbeds.com/connect/10074733072513#/reservations/31731240734947?display=Caleb%20Ostrander&amp;reservation_id=31731240734947&amp;guest_id=31731231244435", "Caleb Ostrander")</f>
        <v>Caleb Ostrander</v>
      </c>
      <c r="E10520" t="s">
        <v>9420</v>
      </c>
      <c r="F10520" t="s">
        <v>8045</v>
      </c>
      <c r="G10520">
        <v>261.08</v>
      </c>
      <c r="H10520">
        <v>283.8</v>
      </c>
      <c r="I10520">
        <v>283.79000000000002</v>
      </c>
      <c r="J10520">
        <v>0.01</v>
      </c>
    </row>
    <row r="10521" spans="1:10" x14ac:dyDescent="0.3">
      <c r="A10521" t="str">
        <f>HYPERLINK("https://us2.cloudbeds.com/connect/10074733072513#/reservations/31734693245134?display=MXKXVUTGY&amp;reservation_id=31734693245134", "MXKXVUTGY")</f>
        <v>MXKXVUTGY</v>
      </c>
      <c r="B10521" t="s">
        <v>10</v>
      </c>
      <c r="C10521" t="s">
        <v>42</v>
      </c>
      <c r="D10521" t="str">
        <f>HYPERLINK("https://us2.cloudbeds.com/connect/10074733072513#/reservations/31734693245134?display=Brent%20Hawkinson&amp;reservation_id=31734693245134&amp;guest_id=31734683828417", "Brent Hawkinson")</f>
        <v>Brent Hawkinson</v>
      </c>
      <c r="E10521" t="s">
        <v>9421</v>
      </c>
      <c r="F10521" t="s">
        <v>7203</v>
      </c>
      <c r="G10521">
        <v>189</v>
      </c>
      <c r="H10521">
        <v>205.45</v>
      </c>
      <c r="I10521">
        <v>205.44</v>
      </c>
      <c r="J10521">
        <v>0.01</v>
      </c>
    </row>
    <row r="10522" spans="1:10" x14ac:dyDescent="0.3">
      <c r="A10522" t="str">
        <f>HYPERLINK("https://us2.cloudbeds.com/connect/10074733072513#/reservations/31728384065782?display=MXFMZSMCX&amp;reservation_id=31728384065782", "MXFMZSMCX")</f>
        <v>MXFMZSMCX</v>
      </c>
      <c r="B10522" t="s">
        <v>10</v>
      </c>
      <c r="C10522" t="s">
        <v>23</v>
      </c>
      <c r="D10522" t="str">
        <f>HYPERLINK("https://us2.cloudbeds.com/connect/10074733072513#/reservations/31728384065782?display=Jamie%20Simon&amp;reservation_id=31728384065782&amp;guest_id=31728384065732", "Jamie Simon")</f>
        <v>Jamie Simon</v>
      </c>
      <c r="E10522" t="s">
        <v>9415</v>
      </c>
      <c r="F10522" t="s">
        <v>9235</v>
      </c>
      <c r="G10522">
        <v>398</v>
      </c>
      <c r="H10522">
        <v>432.64</v>
      </c>
      <c r="I10522">
        <v>432.63</v>
      </c>
      <c r="J10522">
        <v>0.01</v>
      </c>
    </row>
    <row r="10523" spans="1:10" x14ac:dyDescent="0.3">
      <c r="A10523" t="str">
        <f>HYPERLINK("https://us2.cloudbeds.com/connect/10074733072513#/reservations/31727021203651?display=MXEKUM103&amp;reservation_id=31727021203651", "MXEKUM103")</f>
        <v>MXEKUM103</v>
      </c>
      <c r="B10523" t="s">
        <v>10</v>
      </c>
      <c r="C10523" t="s">
        <v>23</v>
      </c>
      <c r="D10523" t="str">
        <f>HYPERLINK("https://us2.cloudbeds.com/connect/10074733072513#/reservations/31727021203651?display=Robin%20Welch&amp;reservation_id=31727021203651&amp;guest_id=31727021203648", "Robin Welch")</f>
        <v>Robin Welch</v>
      </c>
      <c r="E10523" t="s">
        <v>9422</v>
      </c>
      <c r="F10523" t="s">
        <v>9423</v>
      </c>
      <c r="G10523">
        <v>333</v>
      </c>
      <c r="H10523">
        <v>361.98</v>
      </c>
      <c r="I10523">
        <v>361.97</v>
      </c>
      <c r="J10523">
        <v>0.01</v>
      </c>
    </row>
    <row r="10524" spans="1:10" x14ac:dyDescent="0.3">
      <c r="A10524" t="str">
        <f>HYPERLINK("https://us2.cloudbeds.com/connect/10074733072513#/reservations/31734615150752?display=MXKGW2QG7&amp;reservation_id=31734615150752", "MXKGW2QG7")</f>
        <v>MXKGW2QG7</v>
      </c>
      <c r="B10524" t="s">
        <v>10</v>
      </c>
      <c r="C10524" t="s">
        <v>23</v>
      </c>
      <c r="D10524" t="str">
        <f>HYPERLINK("https://us2.cloudbeds.com/connect/10074733072513#/reservations/31734615150752?display=Leonsrd%20Wambach&amp;reservation_id=31734615150752&amp;guest_id=31734615150749", "Leonsrd Wambach")</f>
        <v>Leonsrd Wambach</v>
      </c>
      <c r="E10524" t="s">
        <v>9384</v>
      </c>
      <c r="F10524" t="s">
        <v>8767</v>
      </c>
      <c r="G10524">
        <v>129</v>
      </c>
      <c r="H10524">
        <v>140.22999999999999</v>
      </c>
      <c r="I10524">
        <v>140.22</v>
      </c>
      <c r="J10524">
        <v>0.01</v>
      </c>
    </row>
    <row r="10525" spans="1:10" x14ac:dyDescent="0.3">
      <c r="A10525" t="str">
        <f>HYPERLINK("https://us2.cloudbeds.com/connect/10074733072513#/reservations/31733550432447?display=MXJMP9EZ5&amp;reservation_id=31733550432447", "MXJMP9EZ5")</f>
        <v>MXJMP9EZ5</v>
      </c>
      <c r="B10525" t="s">
        <v>10</v>
      </c>
      <c r="C10525" t="s">
        <v>42</v>
      </c>
      <c r="D10525" t="str">
        <f>HYPERLINK("https://us2.cloudbeds.com/connect/10074733072513#/reservations/31733550432447?display=Nick%20Sherman&amp;reservation_id=31733550432447&amp;guest_id=31728017821824", "Nick Sherman")</f>
        <v>Nick Sherman</v>
      </c>
      <c r="E10525" t="s">
        <v>9425</v>
      </c>
      <c r="F10525" t="s">
        <v>8897</v>
      </c>
      <c r="G10525">
        <v>336</v>
      </c>
      <c r="H10525">
        <v>365.24</v>
      </c>
      <c r="I10525">
        <v>365.23</v>
      </c>
      <c r="J10525">
        <v>0.01</v>
      </c>
    </row>
    <row r="10526" spans="1:10" x14ac:dyDescent="0.3">
      <c r="A10526" t="str">
        <f>HYPERLINK("https://us2.cloudbeds.com/connect/10074733072513#/reservations/31728257265866?display=MXFJGV9BS&amp;reservation_id=31728257265866", "MXFJGV9BS")</f>
        <v>MXFJGV9BS</v>
      </c>
      <c r="B10526" t="s">
        <v>10</v>
      </c>
      <c r="C10526" t="s">
        <v>17</v>
      </c>
      <c r="D10526" t="str">
        <f>HYPERLINK("https://us2.cloudbeds.com/connect/10074733072513#/reservations/31728257265866?display=Kristie%20Fliehs&amp;reservation_id=31728257265866&amp;guest_id=31728247095445", "Kristie Fliehs")</f>
        <v>Kristie Fliehs</v>
      </c>
      <c r="E10526" t="s">
        <v>9426</v>
      </c>
      <c r="F10526" t="s">
        <v>9235</v>
      </c>
      <c r="G10526">
        <v>562</v>
      </c>
      <c r="H10526">
        <v>610.9</v>
      </c>
      <c r="I10526">
        <v>610.89</v>
      </c>
      <c r="J10526">
        <v>0.01</v>
      </c>
    </row>
    <row r="10527" spans="1:10" x14ac:dyDescent="0.3">
      <c r="A10527" t="str">
        <f>HYPERLINK("https://us2.cloudbeds.com/connect/10074733072513#/reservations/31735737307375?display=MXYCYAFBC&amp;reservation_id=31735737307375", "MXYCYAFBC")</f>
        <v>MXYCYAFBC</v>
      </c>
      <c r="B10527" t="s">
        <v>10</v>
      </c>
      <c r="C10527" t="s">
        <v>42</v>
      </c>
      <c r="D10527" t="str">
        <f>HYPERLINK("https://us2.cloudbeds.com/connect/10074733072513#/reservations/31735737307375?display=Steve%20Walling&amp;reservation_id=31735737307375&amp;guest_id=30651733360858", "Steve Walling")</f>
        <v>Steve Walling</v>
      </c>
      <c r="E10527" t="s">
        <v>5238</v>
      </c>
      <c r="F10527" t="s">
        <v>9361</v>
      </c>
      <c r="G10527">
        <v>89</v>
      </c>
      <c r="H10527">
        <v>96.75</v>
      </c>
      <c r="I10527">
        <v>96.74</v>
      </c>
      <c r="J10527">
        <v>0.01</v>
      </c>
    </row>
    <row r="10528" spans="1:10" x14ac:dyDescent="0.3">
      <c r="A10528" t="str">
        <f>HYPERLINK("https://us2.cloudbeds.com/connect/10074733072513#/reservations/31734917542112?display=MXKZN29GP&amp;reservation_id=31734917542112", "MXKZN29GP")</f>
        <v>MXKZN29GP</v>
      </c>
      <c r="B10528" t="s">
        <v>10</v>
      </c>
      <c r="C10528" t="s">
        <v>23</v>
      </c>
      <c r="D10528" t="str">
        <f>HYPERLINK("https://us2.cloudbeds.com/connect/10074733072513#/reservations/31734917542112?display=Krista%20Benson&amp;reservation_id=31734917542112&amp;guest_id=31734917538027", "Krista Benson")</f>
        <v>Krista Benson</v>
      </c>
      <c r="E10528" t="s">
        <v>9428</v>
      </c>
      <c r="F10528" t="s">
        <v>7751</v>
      </c>
      <c r="G10528">
        <v>249</v>
      </c>
      <c r="H10528">
        <v>270.67</v>
      </c>
      <c r="I10528">
        <v>270.66000000000003</v>
      </c>
      <c r="J10528">
        <v>0.01</v>
      </c>
    </row>
    <row r="10529" spans="1:10" x14ac:dyDescent="0.3">
      <c r="A10529" t="str">
        <f>HYPERLINK("https://us2.cloudbeds.com/connect/10074733072513#/reservations/31735666557126?display=MXYARYZ8D&amp;reservation_id=31735666557126", "MXYARYZ8D")</f>
        <v>MXYARYZ8D</v>
      </c>
      <c r="B10529" t="s">
        <v>10</v>
      </c>
      <c r="C10529" t="s">
        <v>121</v>
      </c>
      <c r="D10529" t="str">
        <f>HYPERLINK("https://us2.cloudbeds.com/connect/10074733072513#/reservations/31735666557126?display=Bryan%20Thomas&amp;reservation_id=31735666557126&amp;guest_id=31683386163375", "Bryan Thomas")</f>
        <v>Bryan Thomas</v>
      </c>
      <c r="E10529" t="s">
        <v>4065</v>
      </c>
      <c r="F10529" t="s">
        <v>9361</v>
      </c>
      <c r="G10529">
        <v>129</v>
      </c>
      <c r="H10529">
        <v>140.22999999999999</v>
      </c>
      <c r="I10529">
        <v>140.22</v>
      </c>
      <c r="J10529">
        <v>0.01</v>
      </c>
    </row>
    <row r="10530" spans="1:10" x14ac:dyDescent="0.3">
      <c r="A10530" t="str">
        <f>HYPERLINK("https://us2.cloudbeds.com/connect/10074733072513#/reservations/31728017821886?display=MXFDD1D8M&amp;reservation_id=31728017821886", "MXFDD1D8M")</f>
        <v>MXFDD1D8M</v>
      </c>
      <c r="B10530" t="s">
        <v>10</v>
      </c>
      <c r="C10530" t="s">
        <v>42</v>
      </c>
      <c r="D10530" t="str">
        <f>HYPERLINK("https://us2.cloudbeds.com/connect/10074733072513#/reservations/31728017821886?display=Nick%20Sherman&amp;reservation_id=31728017821886&amp;guest_id=31728017821824", "Nick Sherman")</f>
        <v>Nick Sherman</v>
      </c>
      <c r="E10530" t="s">
        <v>9425</v>
      </c>
      <c r="F10530" t="s">
        <v>9079</v>
      </c>
      <c r="G10530">
        <v>336</v>
      </c>
      <c r="H10530">
        <v>365.24</v>
      </c>
      <c r="I10530">
        <v>365.23</v>
      </c>
      <c r="J10530">
        <v>0.01</v>
      </c>
    </row>
    <row r="10531" spans="1:10" x14ac:dyDescent="0.3">
      <c r="A10531" t="str">
        <f>HYPERLINK("https://us2.cloudbeds.com/connect/10074733072513#/reservations/31736095539341?display=MXYYQCQAG&amp;reservation_id=31736095539341", "MXYYQCQAG")</f>
        <v>MXYYQCQAG</v>
      </c>
      <c r="B10531" t="s">
        <v>10</v>
      </c>
      <c r="C10531" t="s">
        <v>11</v>
      </c>
      <c r="D10531" t="str">
        <f>HYPERLINK("https://us2.cloudbeds.com/connect/10074733072513#/reservations/31736095539341?display=Alex%20Woodworth&amp;reservation_id=31736095539341&amp;guest_id=31736095535249", "Alex Woodworth")</f>
        <v>Alex Woodworth</v>
      </c>
      <c r="E10531" t="s">
        <v>9432</v>
      </c>
      <c r="F10531" t="s">
        <v>9087</v>
      </c>
      <c r="G10531">
        <v>105.78</v>
      </c>
      <c r="H10531">
        <v>114.99</v>
      </c>
      <c r="I10531">
        <v>114.98</v>
      </c>
      <c r="J10531">
        <v>0.01</v>
      </c>
    </row>
    <row r="10532" spans="1:10" x14ac:dyDescent="0.3">
      <c r="A10532" t="str">
        <f>HYPERLINK("https://us2.cloudbeds.com/connect/10074733072513#/reservations/31735450644657?display=MXY5AJYHB&amp;reservation_id=31735450644657", "MXY5AJYHB")</f>
        <v>MXY5AJYHB</v>
      </c>
      <c r="B10532" t="s">
        <v>10</v>
      </c>
      <c r="C10532" t="s">
        <v>11</v>
      </c>
      <c r="D10532" t="str">
        <f>HYPERLINK("https://us2.cloudbeds.com/connect/10074733072513#/reservations/31735450644657?display=Holly%20Hopkins&amp;reservation_id=31735450644657&amp;guest_id=31735433330905", "Holly Hopkins")</f>
        <v>Holly Hopkins</v>
      </c>
      <c r="E10532" t="s">
        <v>9435</v>
      </c>
      <c r="F10532" t="s">
        <v>9361</v>
      </c>
      <c r="G10532">
        <v>130.38</v>
      </c>
      <c r="H10532">
        <v>141.72999999999999</v>
      </c>
      <c r="I10532">
        <v>141.72</v>
      </c>
      <c r="J10532">
        <v>0.01</v>
      </c>
    </row>
    <row r="10533" spans="1:10" x14ac:dyDescent="0.3">
      <c r="A10533" t="str">
        <f>HYPERLINK("https://us2.cloudbeds.com/connect/10074733072513#/reservations/31735433326815?display=MXY4SWP08&amp;reservation_id=31735433326815", "MXY4SWP08")</f>
        <v>MXY4SWP08</v>
      </c>
      <c r="B10533" t="s">
        <v>10</v>
      </c>
      <c r="C10533" t="s">
        <v>42</v>
      </c>
      <c r="D10533" t="str">
        <f>HYPERLINK("https://us2.cloudbeds.com/connect/10074733072513#/reservations/31735433326815?display=Mark%20Steigleder&amp;reservation_id=31735433326815&amp;guest_id=31735433326812", "Mark Steigleder")</f>
        <v>Mark Steigleder</v>
      </c>
      <c r="E10533" t="s">
        <v>9436</v>
      </c>
      <c r="F10533" t="s">
        <v>9361</v>
      </c>
      <c r="G10533">
        <v>89</v>
      </c>
      <c r="H10533">
        <v>96.75</v>
      </c>
      <c r="I10533">
        <v>96.74</v>
      </c>
      <c r="J10533">
        <v>0.01</v>
      </c>
    </row>
    <row r="10534" spans="1:10" x14ac:dyDescent="0.3">
      <c r="A10534" t="str">
        <f>HYPERLINK("https://us2.cloudbeds.com/connect/10074733072513#/reservations/31735419425005?display=MXY4H8UB9&amp;reservation_id=31735419425005", "MXY4H8UB9")</f>
        <v>MXY4H8UB9</v>
      </c>
      <c r="B10534" t="s">
        <v>10</v>
      </c>
      <c r="C10534" t="s">
        <v>42</v>
      </c>
      <c r="D10534" t="str">
        <f>HYPERLINK("https://us2.cloudbeds.com/connect/10074733072513#/reservations/31735419425005?display=Stephanie%20Mttinas&amp;reservation_id=31735419425005&amp;guest_id=31735407530129", "Stephanie Mttinas")</f>
        <v>Stephanie Mttinas</v>
      </c>
      <c r="E10534" t="s">
        <v>9437</v>
      </c>
      <c r="F10534" t="s">
        <v>9361</v>
      </c>
      <c r="G10534">
        <v>159</v>
      </c>
      <c r="H10534">
        <v>172.84</v>
      </c>
      <c r="I10534">
        <v>172.83</v>
      </c>
      <c r="J10534">
        <v>0.01</v>
      </c>
    </row>
    <row r="10535" spans="1:10" x14ac:dyDescent="0.3">
      <c r="A10535" t="str">
        <f>HYPERLINK("https://us2.cloudbeds.com/connect/10074733072513#/reservations/31732575056045?display=MXXURR59G&amp;reservation_id=31732575056045", "MXXURR59G")</f>
        <v>MXXURR59G</v>
      </c>
      <c r="B10535" t="s">
        <v>10</v>
      </c>
      <c r="C10535" t="s">
        <v>42</v>
      </c>
      <c r="D10535" t="str">
        <f>HYPERLINK("https://us2.cloudbeds.com/connect/10074733072513#/reservations/31732575056045?display=Wayne%20Semerad&amp;reservation_id=31732575056045&amp;guest_id=31732575056024", "Wayne Semerad")</f>
        <v>Wayne Semerad</v>
      </c>
      <c r="E10535" t="s">
        <v>9439</v>
      </c>
      <c r="F10535" t="s">
        <v>9087</v>
      </c>
      <c r="G10535">
        <v>89</v>
      </c>
      <c r="H10535">
        <v>96.75</v>
      </c>
      <c r="I10535">
        <v>96.74</v>
      </c>
      <c r="J10535">
        <v>0.01</v>
      </c>
    </row>
    <row r="10536" spans="1:10" x14ac:dyDescent="0.3">
      <c r="A10536" t="str">
        <f>HYPERLINK("https://us2.cloudbeds.com/connect/10074733072513#/reservations/31736186245255?display=MXYZ3SR5X&amp;reservation_id=31736186245255", "MXYZ3SR5X")</f>
        <v>MXYZ3SR5X</v>
      </c>
      <c r="B10536" t="s">
        <v>10</v>
      </c>
      <c r="C10536" t="s">
        <v>42</v>
      </c>
      <c r="D10536" t="str">
        <f>HYPERLINK("https://us2.cloudbeds.com/connect/10074733072513#/reservations/31736186245255?display=Brooke%20Johnson&amp;reservation_id=31736186245255&amp;guest_id=31736186245252", "Brooke Johnson")</f>
        <v>Brooke Johnson</v>
      </c>
      <c r="E10536" t="s">
        <v>9440</v>
      </c>
      <c r="F10536" t="s">
        <v>9397</v>
      </c>
      <c r="G10536">
        <v>169</v>
      </c>
      <c r="H10536">
        <v>183.71</v>
      </c>
      <c r="I10536">
        <v>183.7</v>
      </c>
      <c r="J10536">
        <v>0.01</v>
      </c>
    </row>
    <row r="10537" spans="1:10" x14ac:dyDescent="0.3">
      <c r="A10537" t="str">
        <f>HYPERLINK("https://us2.cloudbeds.com/connect/10074733072513#/reservations/31735743680761?display=MXYCQMQS9&amp;reservation_id=31735743680761", "MXYCQMQS9")</f>
        <v>MXYCQMQS9</v>
      </c>
      <c r="B10537" t="s">
        <v>10</v>
      </c>
      <c r="C10537" t="s">
        <v>23</v>
      </c>
      <c r="D10537" t="str">
        <f>HYPERLINK("https://us2.cloudbeds.com/connect/10074733072513#/reservations/31735743680761?display=Rusty%20Flack&amp;reservation_id=31735743680761&amp;guest_id=31735743680712", "Rusty Flack")</f>
        <v>Rusty Flack</v>
      </c>
      <c r="E10537" t="s">
        <v>9446</v>
      </c>
      <c r="F10537" t="s">
        <v>9018</v>
      </c>
      <c r="G10537">
        <v>209</v>
      </c>
      <c r="H10537">
        <v>227.19</v>
      </c>
      <c r="I10537">
        <v>227.18</v>
      </c>
      <c r="J10537">
        <v>0.01</v>
      </c>
    </row>
    <row r="10538" spans="1:10" x14ac:dyDescent="0.3">
      <c r="A10538" t="str">
        <f>HYPERLINK("https://us2.cloudbeds.com/connect/10074733072513#/reservations/31735213260968?display=MXKW8E3B7&amp;reservation_id=31735213260968", "MXKW8E3B7")</f>
        <v>MXKW8E3B7</v>
      </c>
      <c r="B10538" t="s">
        <v>10</v>
      </c>
      <c r="C10538" t="s">
        <v>121</v>
      </c>
      <c r="D10538" t="str">
        <f>HYPERLINK("https://us2.cloudbeds.com/connect/10074733072513#/reservations/31735213260968?display=Vanessa%20Honomichl&amp;reservation_id=31735213260968&amp;guest_id=31735202648278", "Vanessa Honomichl")</f>
        <v>Vanessa Honomichl</v>
      </c>
      <c r="E10538" t="s">
        <v>9447</v>
      </c>
      <c r="F10538" t="s">
        <v>9397</v>
      </c>
      <c r="G10538">
        <v>159</v>
      </c>
      <c r="H10538">
        <v>172.84</v>
      </c>
      <c r="I10538">
        <v>172.83</v>
      </c>
      <c r="J10538">
        <v>0.01</v>
      </c>
    </row>
    <row r="10539" spans="1:10" x14ac:dyDescent="0.3">
      <c r="A10539" t="str">
        <f>HYPERLINK("https://us2.cloudbeds.com/connect/10074733072513#/reservations/31735216586939?display=MXKWB7YG7&amp;reservation_id=31735216586939", "MXKWB7YG7")</f>
        <v>MXKWB7YG7</v>
      </c>
      <c r="B10539" t="s">
        <v>10</v>
      </c>
      <c r="C10539" t="s">
        <v>17</v>
      </c>
      <c r="D10539" t="str">
        <f>HYPERLINK("https://us2.cloudbeds.com/connect/10074733072513#/reservations/31735216586939?display=Laurie%20Rowley&amp;reservation_id=31735216586939&amp;guest_id=31735216586887", "Laurie Rowley")</f>
        <v>Laurie Rowley</v>
      </c>
      <c r="E10539" t="s">
        <v>9448</v>
      </c>
      <c r="F10539" t="s">
        <v>9397</v>
      </c>
      <c r="G10539">
        <v>139</v>
      </c>
      <c r="H10539">
        <v>151.1</v>
      </c>
      <c r="I10539">
        <v>151.09</v>
      </c>
      <c r="J10539">
        <v>0.01</v>
      </c>
    </row>
    <row r="10540" spans="1:10" x14ac:dyDescent="0.3">
      <c r="A10540" t="str">
        <f>HYPERLINK("https://us2.cloudbeds.com/connect/10074733072513#/reservations/31735225446610?display=MXKWXN633&amp;reservation_id=31735225446610", "MXKWXN633")</f>
        <v>MXKWXN633</v>
      </c>
      <c r="B10540" t="s">
        <v>10</v>
      </c>
      <c r="C10540" t="s">
        <v>42</v>
      </c>
      <c r="D10540" t="str">
        <f>HYPERLINK("https://us2.cloudbeds.com/connect/10074733072513#/reservations/31735225446610?display=Denise%20Duffy&amp;reservation_id=31735225446610&amp;guest_id=31735225442525", "Denise Duffy")</f>
        <v>Denise Duffy</v>
      </c>
      <c r="E10540" t="s">
        <v>5728</v>
      </c>
      <c r="F10540" t="s">
        <v>9397</v>
      </c>
      <c r="G10540">
        <v>89</v>
      </c>
      <c r="H10540">
        <v>96.75</v>
      </c>
      <c r="I10540">
        <v>96.74</v>
      </c>
      <c r="J10540">
        <v>0.01</v>
      </c>
    </row>
    <row r="10541" spans="1:10" x14ac:dyDescent="0.3">
      <c r="A10541" t="str">
        <f>HYPERLINK("https://us2.cloudbeds.com/connect/10074733072513#/reservations/31735455764685?display=MXY5EU43N&amp;reservation_id=31735455764685", "MXY5EU43N")</f>
        <v>MXY5EU43N</v>
      </c>
      <c r="B10541" t="s">
        <v>10</v>
      </c>
      <c r="C10541" t="s">
        <v>23</v>
      </c>
      <c r="D10541" t="str">
        <f>HYPERLINK("https://us2.cloudbeds.com/connect/10074733072513#/reservations/31735455764685?display=Vicki%20Gorden&amp;reservation_id=31735455764685&amp;guest_id=31735455764680", "Vicki Gorden")</f>
        <v>Vicki Gorden</v>
      </c>
      <c r="E10541" t="s">
        <v>9451</v>
      </c>
      <c r="F10541" t="s">
        <v>9381</v>
      </c>
      <c r="G10541">
        <v>258</v>
      </c>
      <c r="H10541">
        <v>280.45999999999998</v>
      </c>
      <c r="I10541">
        <v>280.45</v>
      </c>
      <c r="J10541">
        <v>0.01</v>
      </c>
    </row>
    <row r="10542" spans="1:10" x14ac:dyDescent="0.3">
      <c r="A10542" t="str">
        <f>HYPERLINK("https://us2.cloudbeds.com/connect/10074733072513#/reservations/31735645069533?display=MXYA9HQP8&amp;reservation_id=31735645069533", "MXYA9HQP8")</f>
        <v>MXYA9HQP8</v>
      </c>
      <c r="B10542" t="s">
        <v>10</v>
      </c>
      <c r="C10542" t="s">
        <v>42</v>
      </c>
      <c r="D10542" t="str">
        <f>HYPERLINK("https://us2.cloudbeds.com/connect/10074733072513#/reservations/31735645069533?display=Shannon%20Opitz&amp;reservation_id=31735645069533&amp;guest_id=31685577052392", "Shannon Opitz")</f>
        <v>Shannon Opitz</v>
      </c>
      <c r="E10542" t="s">
        <v>8192</v>
      </c>
      <c r="F10542" t="s">
        <v>9361</v>
      </c>
      <c r="G10542">
        <v>169</v>
      </c>
      <c r="H10542">
        <v>183.71</v>
      </c>
      <c r="I10542">
        <v>183.7</v>
      </c>
      <c r="J10542">
        <v>0.01</v>
      </c>
    </row>
    <row r="10543" spans="1:10" x14ac:dyDescent="0.3">
      <c r="A10543" t="str">
        <f>HYPERLINK("https://us2.cloudbeds.com/connect/10074733072513#/reservations/31734456459477?display=MXKCU8WFN&amp;reservation_id=31734456459477", "MXKCU8WFN")</f>
        <v>MXKCU8WFN</v>
      </c>
      <c r="B10543" t="s">
        <v>10</v>
      </c>
      <c r="C10543" t="s">
        <v>23</v>
      </c>
      <c r="D10543" t="str">
        <f>HYPERLINK("https://us2.cloudbeds.com/connect/10074733072513#/reservations/31734456459477?display=Elizabeth%20Iszler&amp;reservation_id=31734456459477&amp;guest_id=31734456459475", "Elizabeth Iszler")</f>
        <v>Elizabeth Iszler</v>
      </c>
      <c r="E10543" t="s">
        <v>9452</v>
      </c>
      <c r="F10543" t="s">
        <v>9453</v>
      </c>
      <c r="G10543">
        <v>189</v>
      </c>
      <c r="H10543">
        <v>205.45</v>
      </c>
      <c r="I10543">
        <v>205.44</v>
      </c>
      <c r="J10543">
        <v>0.01</v>
      </c>
    </row>
    <row r="10544" spans="1:10" x14ac:dyDescent="0.3">
      <c r="A10544" t="str">
        <f>HYPERLINK("https://us2.cloudbeds.com/connect/10074733072513#/reservations/31735627686129?display=MXY9RT31E&amp;reservation_id=31735627686129", "MXY9RT31E")</f>
        <v>MXY9RT31E</v>
      </c>
      <c r="B10544" t="s">
        <v>10</v>
      </c>
      <c r="C10544" t="s">
        <v>42</v>
      </c>
      <c r="D10544" t="str">
        <f>HYPERLINK("https://us2.cloudbeds.com/connect/10074733072513#/reservations/31735627686129?display=Paul%20Lambert&amp;reservation_id=31735627686129&amp;guest_id=31695807570146", "Paul Lambert")</f>
        <v>Paul Lambert</v>
      </c>
      <c r="E10544" t="s">
        <v>9126</v>
      </c>
      <c r="F10544" t="s">
        <v>9397</v>
      </c>
      <c r="G10544">
        <v>129</v>
      </c>
      <c r="H10544">
        <v>140.22999999999999</v>
      </c>
      <c r="I10544">
        <v>140.22</v>
      </c>
      <c r="J10544">
        <v>0.01</v>
      </c>
    </row>
    <row r="10545" spans="1:10" x14ac:dyDescent="0.3">
      <c r="A10545" t="str">
        <f>HYPERLINK("https://us2.cloudbeds.com/connect/10074733072513#/reservations/31735570968721?display=MXY8D1RV3&amp;reservation_id=31735570968721", "MXY8D1RV3")</f>
        <v>MXY8D1RV3</v>
      </c>
      <c r="B10545" t="s">
        <v>10</v>
      </c>
      <c r="C10545" t="s">
        <v>11</v>
      </c>
      <c r="D10545" t="str">
        <f>HYPERLINK("https://us2.cloudbeds.com/connect/10074733072513#/reservations/31735570968721?display=Cathy%20Page&amp;reservation_id=31735570968721&amp;guest_id=31735570968719", "Cathy Page")</f>
        <v>Cathy Page</v>
      </c>
      <c r="E10545" t="s">
        <v>9454</v>
      </c>
      <c r="F10545" t="s">
        <v>9397</v>
      </c>
      <c r="G10545">
        <v>102.58</v>
      </c>
      <c r="H10545">
        <v>111.51</v>
      </c>
      <c r="I10545">
        <v>111.5</v>
      </c>
      <c r="J10545">
        <v>0.01</v>
      </c>
    </row>
    <row r="10546" spans="1:10" x14ac:dyDescent="0.3">
      <c r="A10546" t="str">
        <f>HYPERLINK("https://us2.cloudbeds.com/connect/10074733072513#/reservations/31733074382977?display=MXJAJSM1Y&amp;reservation_id=31733074382977", "MXJAJSM1Y")</f>
        <v>MXJAJSM1Y</v>
      </c>
      <c r="B10546" t="s">
        <v>10</v>
      </c>
      <c r="C10546" t="s">
        <v>42</v>
      </c>
      <c r="D10546" t="str">
        <f>HYPERLINK("https://us2.cloudbeds.com/connect/10074733072513#/reservations/31733074382977?display=Karlie%20Mcnally&amp;reservation_id=31733074382977&amp;guest_id=31733062082777", "Karlie Mcnally")</f>
        <v>Karlie Mcnally</v>
      </c>
      <c r="E10546" t="s">
        <v>9458</v>
      </c>
      <c r="F10546" t="s">
        <v>8596</v>
      </c>
      <c r="G10546">
        <v>378</v>
      </c>
      <c r="H10546">
        <v>410.9</v>
      </c>
      <c r="I10546">
        <v>410.89</v>
      </c>
      <c r="J10546">
        <v>0.01</v>
      </c>
    </row>
    <row r="10547" spans="1:10" x14ac:dyDescent="0.3">
      <c r="A10547" t="str">
        <f>HYPERLINK("https://us2.cloudbeds.com/connect/10074733072513#/reservations/31734881190070?display=MXKNPDZCZ&amp;reservation_id=31734881190070", "MXKNPDZCZ")</f>
        <v>MXKNPDZCZ</v>
      </c>
      <c r="B10547" t="s">
        <v>10</v>
      </c>
      <c r="C10547" t="s">
        <v>42</v>
      </c>
      <c r="D10547" t="str">
        <f>HYPERLINK("https://us2.cloudbeds.com/connect/10074733072513#/reservations/31734881190070?display=Karlie%20Mcnally&amp;reservation_id=31734881190070&amp;guest_id=31734868111508", "Karlie Mcnally")</f>
        <v>Karlie Mcnally</v>
      </c>
      <c r="E10547" t="s">
        <v>9458</v>
      </c>
      <c r="F10547" t="s">
        <v>9033</v>
      </c>
      <c r="G10547">
        <v>209</v>
      </c>
      <c r="H10547">
        <v>227.19</v>
      </c>
      <c r="I10547">
        <v>227.18</v>
      </c>
      <c r="J10547">
        <v>0.01</v>
      </c>
    </row>
    <row r="10548" spans="1:10" x14ac:dyDescent="0.3">
      <c r="A10548" t="str">
        <f>HYPERLINK("https://us2.cloudbeds.com/connect/10074733072513#/reservations/31723174518986?display=MXBYY1BS4&amp;reservation_id=31723174518986", "MXBYY1BS4")</f>
        <v>MXBYY1BS4</v>
      </c>
      <c r="B10548" t="s">
        <v>10</v>
      </c>
      <c r="C10548" t="s">
        <v>42</v>
      </c>
      <c r="D10548" t="str">
        <f>HYPERLINK("https://us2.cloudbeds.com/connect/10074733072513#/reservations/31723174518986?display=Katelyn%20Lineweber&amp;reservation_id=31723174518986&amp;guest_id=31723165786365", "Katelyn Lineweber")</f>
        <v>Katelyn Lineweber</v>
      </c>
      <c r="E10548" t="s">
        <v>9462</v>
      </c>
      <c r="F10548" t="s">
        <v>9463</v>
      </c>
      <c r="G10548">
        <v>358</v>
      </c>
      <c r="H10548">
        <v>389.16</v>
      </c>
      <c r="I10548">
        <v>389.15</v>
      </c>
      <c r="J10548">
        <v>0.01</v>
      </c>
    </row>
    <row r="10549" spans="1:10" x14ac:dyDescent="0.3">
      <c r="A10549" t="str">
        <f>HYPERLINK("https://us2.cloudbeds.com/connect/10074733072513#/reservations/31733599723771?display=MXJZ0S1YY&amp;reservation_id=31733599723771", "MXJZ0S1YY")</f>
        <v>MXJZ0S1YY</v>
      </c>
      <c r="B10549" t="s">
        <v>10</v>
      </c>
      <c r="C10549" t="s">
        <v>11</v>
      </c>
      <c r="D10549" t="str">
        <f>HYPERLINK("https://us2.cloudbeds.com/connect/10074733072513#/reservations/31733599723771?display=Samuel%20Neemann&amp;reservation_id=31733599723771&amp;guest_id=31733592412412", "Samuel Neemann")</f>
        <v>Samuel Neemann</v>
      </c>
      <c r="E10549" t="s">
        <v>9465</v>
      </c>
      <c r="F10549" t="s">
        <v>8897</v>
      </c>
      <c r="G10549">
        <v>135.79</v>
      </c>
      <c r="H10549">
        <v>147.61000000000001</v>
      </c>
      <c r="I10549">
        <v>147.6</v>
      </c>
      <c r="J10549">
        <v>0.01</v>
      </c>
    </row>
    <row r="10550" spans="1:10" x14ac:dyDescent="0.3">
      <c r="A10550" t="str">
        <f>HYPERLINK("https://us2.cloudbeds.com/connect/10074733072513#/reservations/31724695277745?display=MXCRGCNHT&amp;reservation_id=31724695277745", "MXCRGCNHT")</f>
        <v>MXCRGCNHT</v>
      </c>
      <c r="B10550" t="s">
        <v>10</v>
      </c>
      <c r="C10550" t="s">
        <v>42</v>
      </c>
      <c r="D10550" t="str">
        <f>HYPERLINK("https://us2.cloudbeds.com/connect/10074733072513#/reservations/31724695277745?display=Angie%20Brown&amp;reservation_id=31724695277745&amp;guest_id=31724674891986", "Angie Brown")</f>
        <v>Angie Brown</v>
      </c>
      <c r="E10550" t="s">
        <v>9466</v>
      </c>
      <c r="F10550" t="s">
        <v>9467</v>
      </c>
      <c r="G10550">
        <v>378</v>
      </c>
      <c r="H10550">
        <v>410.9</v>
      </c>
      <c r="I10550">
        <v>410.89</v>
      </c>
      <c r="J10550">
        <v>0.01</v>
      </c>
    </row>
    <row r="10551" spans="1:10" x14ac:dyDescent="0.3">
      <c r="A10551" t="str">
        <f>HYPERLINK("https://us2.cloudbeds.com/connect/10074733072513#/reservations/31733414838462?display=MXJJ9VBBH&amp;reservation_id=31733414838462", "MXJJ9VBBH")</f>
        <v>MXJJ9VBBH</v>
      </c>
      <c r="B10551" t="s">
        <v>10</v>
      </c>
      <c r="C10551" t="s">
        <v>23</v>
      </c>
      <c r="D10551" t="str">
        <f>HYPERLINK("https://us2.cloudbeds.com/connect/10074733072513#/reservations/31733414838462?display=Aaron%20Onder&amp;reservation_id=31733414838462&amp;guest_id=31733402362083", "Aaron Onder")</f>
        <v>Aaron Onder</v>
      </c>
      <c r="E10551" t="s">
        <v>9469</v>
      </c>
      <c r="F10551" t="s">
        <v>9256</v>
      </c>
      <c r="G10551">
        <v>239</v>
      </c>
      <c r="H10551">
        <v>259.8</v>
      </c>
      <c r="I10551">
        <v>259.79000000000002</v>
      </c>
      <c r="J10551">
        <v>0.01</v>
      </c>
    </row>
    <row r="10552" spans="1:10" x14ac:dyDescent="0.3">
      <c r="A10552" t="str">
        <f>HYPERLINK("https://us2.cloudbeds.com/connect/10074733072513#/reservations/31733155279020?display=MXJCM2NZT&amp;reservation_id=31733155279020", "MXJCM2NZT")</f>
        <v>MXJCM2NZT</v>
      </c>
      <c r="B10552" t="s">
        <v>10</v>
      </c>
      <c r="C10552" t="s">
        <v>121</v>
      </c>
      <c r="D10552" t="str">
        <f>HYPERLINK("https://us2.cloudbeds.com/connect/10074733072513#/reservations/31733155279020?display=Rod%20Henderson&amp;reservation_id=31733155279020&amp;guest_id=31731250110682", "Rod Henderson")</f>
        <v>Rod Henderson</v>
      </c>
      <c r="E10552" t="s">
        <v>9471</v>
      </c>
      <c r="F10552" t="s">
        <v>8897</v>
      </c>
      <c r="G10552">
        <v>129</v>
      </c>
      <c r="H10552">
        <v>140.22999999999999</v>
      </c>
      <c r="I10552">
        <v>140.22</v>
      </c>
      <c r="J10552">
        <v>0.01</v>
      </c>
    </row>
    <row r="10553" spans="1:10" x14ac:dyDescent="0.3">
      <c r="A10553" t="str">
        <f>HYPERLINK("https://us2.cloudbeds.com/connect/10074733072513#/reservations/31735959986419?display=MXYXB2RY6&amp;reservation_id=31735959986419", "MXYXB2RY6")</f>
        <v>MXYXB2RY6</v>
      </c>
      <c r="B10553" t="s">
        <v>10</v>
      </c>
      <c r="C10553" t="s">
        <v>42</v>
      </c>
      <c r="D10553" t="str">
        <f>HYPERLINK("https://us2.cloudbeds.com/connect/10074733072513#/reservations/31735959986419?display=Tim%20Arens&amp;reservation_id=31735959986419&amp;guest_id=31729231171828", "Tim Arens")</f>
        <v>Tim Arens</v>
      </c>
      <c r="E10553" t="s">
        <v>9473</v>
      </c>
      <c r="F10553" t="s">
        <v>9322</v>
      </c>
      <c r="G10553">
        <v>89</v>
      </c>
      <c r="H10553">
        <v>96.75</v>
      </c>
      <c r="I10553">
        <v>96.74</v>
      </c>
      <c r="J10553">
        <v>0.01</v>
      </c>
    </row>
    <row r="10554" spans="1:10" x14ac:dyDescent="0.3">
      <c r="A10554" t="str">
        <f>HYPERLINK("https://us2.cloudbeds.com/connect/10074733072513#/reservations/31732779217119?display=MXJ31W80N&amp;reservation_id=31732779217119", "MXJ31W80N")</f>
        <v>MXJ31W80N</v>
      </c>
      <c r="B10554" t="s">
        <v>10</v>
      </c>
      <c r="C10554" t="s">
        <v>42</v>
      </c>
      <c r="D10554" t="str">
        <f>HYPERLINK("https://us2.cloudbeds.com/connect/10074733072513#/reservations/31732779217119?display=Crystal%20Rote&amp;reservation_id=31732779217119&amp;guest_id=31732779217114", "Crystal Rote")</f>
        <v>Crystal Rote</v>
      </c>
      <c r="E10554" t="s">
        <v>9474</v>
      </c>
      <c r="F10554" t="s">
        <v>9079</v>
      </c>
      <c r="G10554">
        <v>258</v>
      </c>
      <c r="H10554">
        <v>280.45999999999998</v>
      </c>
      <c r="I10554">
        <v>280.45</v>
      </c>
      <c r="J10554">
        <v>0.01</v>
      </c>
    </row>
    <row r="10555" spans="1:10" x14ac:dyDescent="0.3">
      <c r="A10555" t="str">
        <f>HYPERLINK("https://us2.cloudbeds.com/connect/10074733072513#/reservations/31729605800169?display=MXGKW27SN&amp;reservation_id=31729605800169", "MXGKW27SN")</f>
        <v>MXGKW27SN</v>
      </c>
      <c r="B10555" t="s">
        <v>10</v>
      </c>
      <c r="C10555" t="s">
        <v>42</v>
      </c>
      <c r="D10555" t="str">
        <f>HYPERLINK("https://us2.cloudbeds.com/connect/10074733072513#/reservations/31729605800169?display=Jerry%20Grismer&amp;reservation_id=31729605800169&amp;guest_id=31729595056274", "Jerry Grismer")</f>
        <v>Jerry Grismer</v>
      </c>
      <c r="E10555" t="s">
        <v>9475</v>
      </c>
      <c r="F10555" t="s">
        <v>8045</v>
      </c>
      <c r="G10555">
        <v>189</v>
      </c>
      <c r="H10555">
        <v>205.45</v>
      </c>
      <c r="I10555">
        <v>205.44</v>
      </c>
      <c r="J10555">
        <v>0.01</v>
      </c>
    </row>
    <row r="10556" spans="1:10" x14ac:dyDescent="0.3">
      <c r="A10556" t="str">
        <f>HYPERLINK("https://us2.cloudbeds.com/connect/10074733072513#/reservations/31732800077956?display=MXJ3JXNW9&amp;reservation_id=31732800077956", "MXJ3JXNW9")</f>
        <v>MXJ3JXNW9</v>
      </c>
      <c r="B10556" t="s">
        <v>10</v>
      </c>
      <c r="C10556" t="s">
        <v>42</v>
      </c>
      <c r="D10556" t="str">
        <f>HYPERLINK("https://us2.cloudbeds.com/connect/10074733072513#/reservations/31732800077956?display=Beth%20Helkenn&amp;reservation_id=31732800077956&amp;guest_id=31732800077954", "Beth Helkenn")</f>
        <v>Beth Helkenn</v>
      </c>
      <c r="E10556" t="s">
        <v>9476</v>
      </c>
      <c r="F10556" t="s">
        <v>8596</v>
      </c>
      <c r="G10556">
        <v>398</v>
      </c>
      <c r="H10556">
        <v>432.64</v>
      </c>
      <c r="I10556">
        <v>432.63</v>
      </c>
      <c r="J10556">
        <v>0.01</v>
      </c>
    </row>
    <row r="10557" spans="1:10" x14ac:dyDescent="0.3">
      <c r="A10557" t="str">
        <f>HYPERLINK("https://us2.cloudbeds.com/connect/10074733072513#/reservations/31734258421982?display=MXK7S99SG&amp;reservation_id=31734258421982", "MXK7S99SG")</f>
        <v>MXK7S99SG</v>
      </c>
      <c r="B10557" t="s">
        <v>10</v>
      </c>
      <c r="C10557" t="s">
        <v>42</v>
      </c>
      <c r="D10557" t="str">
        <f>HYPERLINK("https://us2.cloudbeds.com/connect/10074733072513#/reservations/31734258421982?display=Todd%20Trauman&amp;reservation_id=31734258421982&amp;guest_id=31734258421970", "Todd Trauman")</f>
        <v>Todd Trauman</v>
      </c>
      <c r="E10557" t="s">
        <v>9477</v>
      </c>
      <c r="F10557" t="s">
        <v>8340</v>
      </c>
      <c r="G10557">
        <v>273</v>
      </c>
      <c r="H10557">
        <v>296.76</v>
      </c>
      <c r="I10557">
        <v>296.75</v>
      </c>
      <c r="J10557">
        <v>0.01</v>
      </c>
    </row>
    <row r="10558" spans="1:10" x14ac:dyDescent="0.3">
      <c r="A10558" t="str">
        <f>HYPERLINK("https://us2.cloudbeds.com/connect/10074733072513#/reservations/31728777617560?display=MXFWQNRK0&amp;reservation_id=31728777617560", "MXFWQNRK0")</f>
        <v>MXFWQNRK0</v>
      </c>
      <c r="B10558" t="s">
        <v>10</v>
      </c>
      <c r="C10558" t="s">
        <v>42</v>
      </c>
      <c r="D10558" t="str">
        <f>HYPERLINK("https://us2.cloudbeds.com/connect/10074733072513#/reservations/31728777617560?display=Jami%20Andersen&amp;reservation_id=31728777617560&amp;guest_id=31728777617545", "Jami Andersen")</f>
        <v>Jami Andersen</v>
      </c>
      <c r="E10558" t="s">
        <v>9478</v>
      </c>
      <c r="F10558" t="s">
        <v>9056</v>
      </c>
      <c r="G10558">
        <v>266.10000000000002</v>
      </c>
      <c r="H10558">
        <v>289.26</v>
      </c>
      <c r="I10558">
        <v>289.25</v>
      </c>
      <c r="J10558">
        <v>0.01</v>
      </c>
    </row>
    <row r="10559" spans="1:10" x14ac:dyDescent="0.3">
      <c r="A10559" t="str">
        <f>HYPERLINK("https://us2.cloudbeds.com/connect/10074733072513#/reservations/31733078008028?display=MXJAMUHRM&amp;reservation_id=31733078008028", "MXJAMUHRM")</f>
        <v>MXJAMUHRM</v>
      </c>
      <c r="B10559" t="s">
        <v>10</v>
      </c>
      <c r="C10559" t="s">
        <v>23</v>
      </c>
      <c r="D10559" t="str">
        <f>HYPERLINK("https://us2.cloudbeds.com/connect/10074733072513#/reservations/31733078008028?display=Ashley%20Dandurand&amp;reservation_id=31733078008028&amp;guest_id=31733078008022", "Ashley Dandurand")</f>
        <v>Ashley Dandurand</v>
      </c>
      <c r="E10559" t="s">
        <v>9479</v>
      </c>
      <c r="F10559" t="s">
        <v>8596</v>
      </c>
      <c r="G10559">
        <v>398</v>
      </c>
      <c r="H10559">
        <v>432.64</v>
      </c>
      <c r="I10559">
        <v>432.63</v>
      </c>
      <c r="J10559">
        <v>0.01</v>
      </c>
    </row>
    <row r="10560" spans="1:10" x14ac:dyDescent="0.3">
      <c r="A10560" t="str">
        <f>HYPERLINK("https://us2.cloudbeds.com/connect/10074733072513#/reservations/31732169769191?display=MXXKG2F1M&amp;reservation_id=31732169769191", "MXXKG2F1M")</f>
        <v>MXXKG2F1M</v>
      </c>
      <c r="B10560" t="s">
        <v>10</v>
      </c>
      <c r="C10560" t="s">
        <v>20</v>
      </c>
      <c r="D10560" t="str">
        <f>HYPERLINK("https://us2.cloudbeds.com/connect/10074733072513#/reservations/31732169769191?display=Courtney%20Owen&amp;reservation_id=31732169769191&amp;guest_id=31732169769188", "Courtney Owen")</f>
        <v>Courtney Owen</v>
      </c>
      <c r="E10560" t="s">
        <v>9480</v>
      </c>
      <c r="F10560" t="s">
        <v>8596</v>
      </c>
      <c r="G10560">
        <v>199</v>
      </c>
      <c r="H10560">
        <v>216.32</v>
      </c>
      <c r="I10560">
        <v>216.31</v>
      </c>
      <c r="J10560">
        <v>0.01</v>
      </c>
    </row>
    <row r="10561" spans="1:10" x14ac:dyDescent="0.3">
      <c r="A10561" t="str">
        <f>HYPERLINK("https://us2.cloudbeds.com/connect/10074733072513#/reservations/31732193538193?display=MXXY33SGF&amp;reservation_id=31732193538193", "MXXY33SGF")</f>
        <v>MXXY33SGF</v>
      </c>
      <c r="B10561" t="s">
        <v>10</v>
      </c>
      <c r="C10561" t="s">
        <v>42</v>
      </c>
      <c r="D10561" t="str">
        <f>HYPERLINK("https://us2.cloudbeds.com/connect/10074733072513#/reservations/31732193538193?display=Kelsey%20Beving&amp;reservation_id=31732193538193&amp;guest_id=31732193538189", "Kelsey Beving")</f>
        <v>Kelsey Beving</v>
      </c>
      <c r="E10561" t="s">
        <v>9481</v>
      </c>
      <c r="F10561" t="s">
        <v>8596</v>
      </c>
      <c r="G10561">
        <v>378</v>
      </c>
      <c r="H10561">
        <v>410.9</v>
      </c>
      <c r="I10561">
        <v>410.89</v>
      </c>
      <c r="J10561">
        <v>0.01</v>
      </c>
    </row>
    <row r="10562" spans="1:10" x14ac:dyDescent="0.3">
      <c r="A10562" t="str">
        <f>HYPERLINK("https://us2.cloudbeds.com/connect/10074733072513#/reservations/31732235325605?display=MXXM5BYPM&amp;reservation_id=31732235325605", "MXXM5BYPM")</f>
        <v>MXXM5BYPM</v>
      </c>
      <c r="B10562" t="s">
        <v>10</v>
      </c>
      <c r="C10562" t="s">
        <v>42</v>
      </c>
      <c r="D10562" t="str">
        <f>HYPERLINK("https://us2.cloudbeds.com/connect/10074733072513#/reservations/31732235325605?display=Candra%20Forest&amp;reservation_id=31732235325605&amp;guest_id=31732222509193", "Candra Forest")</f>
        <v>Candra Forest</v>
      </c>
      <c r="E10562" t="s">
        <v>9482</v>
      </c>
      <c r="F10562" t="s">
        <v>8596</v>
      </c>
      <c r="G10562">
        <v>378</v>
      </c>
      <c r="H10562">
        <v>410.9</v>
      </c>
      <c r="I10562">
        <v>410.89</v>
      </c>
      <c r="J10562">
        <v>0.01</v>
      </c>
    </row>
    <row r="10563" spans="1:10" x14ac:dyDescent="0.3">
      <c r="A10563" t="str">
        <f>HYPERLINK("https://us2.cloudbeds.com/connect/10074733072513#/reservations/31732241240258?display=MXXMAB81J&amp;reservation_id=31732241240258", "MXXMAB81J")</f>
        <v>MXXMAB81J</v>
      </c>
      <c r="B10563" t="s">
        <v>10</v>
      </c>
      <c r="C10563" t="s">
        <v>23</v>
      </c>
      <c r="D10563" t="str">
        <f>HYPERLINK("https://us2.cloudbeds.com/connect/10074733072513#/reservations/31732241240258?display=Amanda%20Ahrens&amp;reservation_id=31732241240258&amp;guest_id=31732241236163", "Amanda Ahrens")</f>
        <v>Amanda Ahrens</v>
      </c>
      <c r="E10563" t="s">
        <v>9483</v>
      </c>
      <c r="F10563" t="s">
        <v>8596</v>
      </c>
      <c r="G10563">
        <v>378</v>
      </c>
      <c r="H10563">
        <v>410.9</v>
      </c>
      <c r="I10563">
        <v>410.89</v>
      </c>
      <c r="J10563">
        <v>0.01</v>
      </c>
    </row>
    <row r="10564" spans="1:10" x14ac:dyDescent="0.3">
      <c r="A10564" t="str">
        <f>HYPERLINK("https://us2.cloudbeds.com/connect/10074733072513#/reservations/31730903130242?display=MXHY40BT7&amp;reservation_id=31730903130242", "MXHY40BT7")</f>
        <v>MXHY40BT7</v>
      </c>
      <c r="B10564" t="s">
        <v>10</v>
      </c>
      <c r="C10564" t="s">
        <v>42</v>
      </c>
      <c r="D10564" t="str">
        <f>HYPERLINK("https://us2.cloudbeds.com/connect/10074733072513#/reservations/31730903130242?display=Beth%20Severson&amp;reservation_id=31730903130242&amp;guest_id=31730903126205", "Beth Severson")</f>
        <v>Beth Severson</v>
      </c>
      <c r="E10564" t="s">
        <v>9484</v>
      </c>
      <c r="F10564" t="s">
        <v>8596</v>
      </c>
      <c r="G10564">
        <v>378</v>
      </c>
      <c r="H10564">
        <v>410.9</v>
      </c>
      <c r="I10564">
        <v>410.89</v>
      </c>
      <c r="J10564">
        <v>0.01</v>
      </c>
    </row>
    <row r="10565" spans="1:10" x14ac:dyDescent="0.3">
      <c r="A10565" t="str">
        <f>HYPERLINK("https://us2.cloudbeds.com/connect/10074733072513#/reservations/31727979950238?display=MXFCE3XNW&amp;reservation_id=31727979950238", "MXFCE3XNW")</f>
        <v>MXFCE3XNW</v>
      </c>
      <c r="B10565" t="s">
        <v>10</v>
      </c>
      <c r="C10565" t="s">
        <v>17</v>
      </c>
      <c r="D10565" t="str">
        <f>HYPERLINK("https://us2.cloudbeds.com/connect/10074733072513#/reservations/31727979950238?display=Michael%20Matthews&amp;reservation_id=31727979950238&amp;guest_id=31727979950235", "Michael Matthews")</f>
        <v>Michael Matthews</v>
      </c>
      <c r="E10565" t="s">
        <v>9485</v>
      </c>
      <c r="F10565" t="s">
        <v>9079</v>
      </c>
      <c r="G10565">
        <v>402</v>
      </c>
      <c r="H10565">
        <v>436.98</v>
      </c>
      <c r="I10565">
        <v>436.97</v>
      </c>
      <c r="J10565">
        <v>0.01</v>
      </c>
    </row>
    <row r="10566" spans="1:10" x14ac:dyDescent="0.3">
      <c r="A10566" t="str">
        <f>HYPERLINK("https://us2.cloudbeds.com/connect/10074733072513#/reservations/31733055906014?display=MXJA49H4Y&amp;reservation_id=31733055906014", "MXJA49H4Y")</f>
        <v>MXJA49H4Y</v>
      </c>
      <c r="B10566" t="s">
        <v>10</v>
      </c>
      <c r="C10566" t="s">
        <v>20</v>
      </c>
      <c r="D10566" t="str">
        <f>HYPERLINK("https://us2.cloudbeds.com/connect/10074733072513#/reservations/31733055906014?display=Jennifer%20Doll&amp;reservation_id=31733055906014&amp;guest_id=31733037433043", "Jennifer Doll")</f>
        <v>Jennifer Doll</v>
      </c>
      <c r="E10566" t="s">
        <v>9492</v>
      </c>
      <c r="F10566" t="s">
        <v>9108</v>
      </c>
      <c r="G10566">
        <v>318</v>
      </c>
      <c r="H10566">
        <v>345.68</v>
      </c>
      <c r="I10566">
        <v>345.67</v>
      </c>
      <c r="J10566">
        <v>0.01</v>
      </c>
    </row>
    <row r="10567" spans="1:10" x14ac:dyDescent="0.3">
      <c r="A10567" t="str">
        <f>HYPERLINK("https://us2.cloudbeds.com/connect/10074733072513#/reservations/31735771254985?display=MXYDGV3HR&amp;reservation_id=31735771254985", "MXYDGV3HR")</f>
        <v>MXYDGV3HR</v>
      </c>
      <c r="B10567" t="s">
        <v>10</v>
      </c>
      <c r="C10567" t="s">
        <v>42</v>
      </c>
      <c r="D10567" t="str">
        <f>HYPERLINK("https://us2.cloudbeds.com/connect/10074733072513#/reservations/31735771254985?display=Carl%20Peterson&amp;reservation_id=31735771254985&amp;guest_id=31683231355111", "Carl Peterson")</f>
        <v>Carl Peterson</v>
      </c>
      <c r="E10567" t="s">
        <v>6943</v>
      </c>
      <c r="F10567" t="s">
        <v>9131</v>
      </c>
      <c r="G10567">
        <v>252</v>
      </c>
      <c r="H10567">
        <v>273.93</v>
      </c>
      <c r="I10567">
        <v>273.92</v>
      </c>
      <c r="J10567">
        <v>0.01</v>
      </c>
    </row>
    <row r="10568" spans="1:10" x14ac:dyDescent="0.3">
      <c r="A10568" t="str">
        <f>HYPERLINK("https://us2.cloudbeds.com/connect/10074733072513#/reservations/31734644641932?display=MXKHNVEFB&amp;reservation_id=31734644641932", "MXKHNVEFB")</f>
        <v>MXKHNVEFB</v>
      </c>
      <c r="B10568" t="s">
        <v>10</v>
      </c>
      <c r="C10568" t="s">
        <v>23</v>
      </c>
      <c r="D10568" t="str">
        <f>HYPERLINK("https://us2.cloudbeds.com/connect/10074733072513#/reservations/31734644641932?display=Daniel%20Duncan&amp;reservation_id=31734644641932&amp;guest_id=31734623719665", "Daniel Duncan")</f>
        <v>Daniel Duncan</v>
      </c>
      <c r="E10568" t="s">
        <v>6299</v>
      </c>
      <c r="F10568" t="s">
        <v>8340</v>
      </c>
      <c r="G10568">
        <v>921.6</v>
      </c>
      <c r="H10568">
        <v>1001.79</v>
      </c>
      <c r="I10568">
        <v>1001.78</v>
      </c>
      <c r="J10568">
        <v>0.01</v>
      </c>
    </row>
    <row r="10569" spans="1:10" x14ac:dyDescent="0.3">
      <c r="A10569" t="str">
        <f>HYPERLINK("https://us2.cloudbeds.com/connect/10074733072513#/reservations/31735697551579?display=MXYBKQ6Y9&amp;reservation_id=31735697551579", "MXYBKQ6Y9")</f>
        <v>MXYBKQ6Y9</v>
      </c>
      <c r="B10569" t="s">
        <v>10</v>
      </c>
      <c r="C10569" t="s">
        <v>42</v>
      </c>
      <c r="D10569" t="str">
        <f>HYPERLINK("https://us2.cloudbeds.com/connect/10074733072513#/reservations/31735697551579?display=Julie%20Blair&amp;reservation_id=31735697551579&amp;guest_id=31735688990849", "Julie Blair")</f>
        <v>Julie Blair</v>
      </c>
      <c r="E10569" t="s">
        <v>9493</v>
      </c>
      <c r="F10569" t="s">
        <v>8752</v>
      </c>
      <c r="G10569">
        <v>129</v>
      </c>
      <c r="H10569">
        <v>140.22999999999999</v>
      </c>
      <c r="I10569">
        <v>140.22</v>
      </c>
      <c r="J10569">
        <v>0.01</v>
      </c>
    </row>
    <row r="10570" spans="1:10" x14ac:dyDescent="0.3">
      <c r="A10570" t="str">
        <f>HYPERLINK("https://us2.cloudbeds.com/connect/10074733072513#/reservations/31732899225827?display=MXJ645YS7&amp;reservation_id=31732899225827", "MXJ645YS7")</f>
        <v>MXJ645YS7</v>
      </c>
      <c r="B10570" t="s">
        <v>10</v>
      </c>
      <c r="C10570" t="s">
        <v>42</v>
      </c>
      <c r="D10570" t="str">
        <f>HYPERLINK("https://us2.cloudbeds.com/connect/10074733072513#/reservations/31732899225827?display=William%20Campbell&amp;reservation_id=31732899225827&amp;guest_id=31732899225825", "William Campbell")</f>
        <v>William Campbell</v>
      </c>
      <c r="E10570" t="s">
        <v>9494</v>
      </c>
      <c r="F10570" t="s">
        <v>8752</v>
      </c>
      <c r="G10570">
        <v>129</v>
      </c>
      <c r="H10570">
        <v>140.22999999999999</v>
      </c>
      <c r="I10570">
        <v>140.22</v>
      </c>
      <c r="J10570">
        <v>0.01</v>
      </c>
    </row>
    <row r="10571" spans="1:10" x14ac:dyDescent="0.3">
      <c r="A10571" t="str">
        <f>HYPERLINK("https://us2.cloudbeds.com/connect/10074733072513#/reservations/31735589073109?display=MXY8SAKNU&amp;reservation_id=31735589073109", "MXY8SAKNU")</f>
        <v>MXY8SAKNU</v>
      </c>
      <c r="B10571" t="s">
        <v>10</v>
      </c>
      <c r="C10571" t="s">
        <v>14</v>
      </c>
      <c r="D10571" t="str">
        <f>HYPERLINK("https://us2.cloudbeds.com/connect/10074733072513#/reservations/31735589073109?display=Tasha%20Lonning&amp;reservation_id=31735589073109&amp;guest_id=31735589073104", "Tasha Lonning")</f>
        <v>Tasha Lonning</v>
      </c>
      <c r="E10571" t="s">
        <v>9495</v>
      </c>
      <c r="F10571" t="s">
        <v>8752</v>
      </c>
      <c r="G10571">
        <v>102.58</v>
      </c>
      <c r="H10571">
        <v>111.51</v>
      </c>
      <c r="I10571">
        <v>111.5</v>
      </c>
      <c r="J10571">
        <v>0.01</v>
      </c>
    </row>
    <row r="10572" spans="1:10" x14ac:dyDescent="0.3">
      <c r="A10572" t="str">
        <f>HYPERLINK("https://us2.cloudbeds.com/connect/10074733072513#/reservations/31732927856891?display=MXJ6SAC07&amp;reservation_id=31732927856891", "MXJ6SAC07")</f>
        <v>MXJ6SAC07</v>
      </c>
      <c r="B10572" t="s">
        <v>10</v>
      </c>
      <c r="C10572" t="s">
        <v>42</v>
      </c>
      <c r="D10572" t="str">
        <f>HYPERLINK("https://us2.cloudbeds.com/connect/10074733072513#/reservations/31732927856891?display=Michael%20Daniels&amp;reservation_id=31732927856891&amp;guest_id=31732927856889", "Michael Daniels")</f>
        <v>Michael Daniels</v>
      </c>
      <c r="E10572" t="s">
        <v>3262</v>
      </c>
      <c r="F10572" t="s">
        <v>8752</v>
      </c>
      <c r="G10572">
        <v>158</v>
      </c>
      <c r="H10572">
        <v>171.76</v>
      </c>
      <c r="I10572">
        <v>171.75</v>
      </c>
      <c r="J10572">
        <v>0.01</v>
      </c>
    </row>
    <row r="10573" spans="1:10" x14ac:dyDescent="0.3">
      <c r="A10573" t="str">
        <f>HYPERLINK("https://us2.cloudbeds.com/connect/10074733072513#/reservations/31735127527660?display=MXKU24EN6&amp;reservation_id=31735127527660", "MXKU24EN6")</f>
        <v>MXKU24EN6</v>
      </c>
      <c r="B10573" t="s">
        <v>10</v>
      </c>
      <c r="C10573" t="s">
        <v>42</v>
      </c>
      <c r="D10573" t="str">
        <f>HYPERLINK("https://us2.cloudbeds.com/connect/10074733072513#/reservations/31735127527660?display=Jamie%20Frankenstein&amp;reservation_id=31735127527660&amp;guest_id=31735127527658", "Jamie Frankenstein")</f>
        <v>Jamie Frankenstein</v>
      </c>
      <c r="E10573" t="s">
        <v>9497</v>
      </c>
      <c r="F10573" t="s">
        <v>9491</v>
      </c>
      <c r="G10573">
        <v>129</v>
      </c>
      <c r="H10573">
        <v>140.22999999999999</v>
      </c>
      <c r="I10573">
        <v>140.22</v>
      </c>
      <c r="J10573">
        <v>0.01</v>
      </c>
    </row>
    <row r="10574" spans="1:10" x14ac:dyDescent="0.3">
      <c r="A10574" t="str">
        <f>HYPERLINK("https://us2.cloudbeds.com/connect/10074733072513#/reservations/31733139181753?display=MXJC8GQ1U&amp;reservation_id=31733139181753", "MXJC8GQ1U")</f>
        <v>MXJC8GQ1U</v>
      </c>
      <c r="B10574" t="s">
        <v>10</v>
      </c>
      <c r="C10574" t="s">
        <v>42</v>
      </c>
      <c r="D10574" t="str">
        <f>HYPERLINK("https://us2.cloudbeds.com/connect/10074733072513#/reservations/31733139181753?display=Jen%20Johanneson&amp;reservation_id=31733139181753&amp;guest_id=31682622787781", "Jen Johanneson")</f>
        <v>Jen Johanneson</v>
      </c>
      <c r="E10574" t="s">
        <v>6165</v>
      </c>
      <c r="F10574" t="s">
        <v>8596</v>
      </c>
      <c r="G10574">
        <v>356</v>
      </c>
      <c r="H10574">
        <v>386.98</v>
      </c>
      <c r="I10574">
        <v>386.97</v>
      </c>
      <c r="J10574">
        <v>0.01</v>
      </c>
    </row>
    <row r="10575" spans="1:10" x14ac:dyDescent="0.3">
      <c r="A10575" t="str">
        <f>HYPERLINK("https://us2.cloudbeds.com/connect/10074733072513#/reservations/31735697555671?display=MXYBKQAD9&amp;reservation_id=31735697555671", "MXYBKQAD9")</f>
        <v>MXYBKQAD9</v>
      </c>
      <c r="B10575" t="s">
        <v>10</v>
      </c>
      <c r="C10575" t="s">
        <v>23</v>
      </c>
      <c r="D10575" t="str">
        <f>HYPERLINK("https://us2.cloudbeds.com/connect/10074733072513#/reservations/31735697555671?display=Glen%20Foust&amp;reservation_id=31735697555671&amp;guest_id=31735697555669", "Glen Foust")</f>
        <v>Glen Foust</v>
      </c>
      <c r="E10575" t="s">
        <v>9498</v>
      </c>
      <c r="F10575" t="s">
        <v>8752</v>
      </c>
      <c r="G10575">
        <v>129</v>
      </c>
      <c r="H10575">
        <v>140.22999999999999</v>
      </c>
      <c r="I10575">
        <v>140.22</v>
      </c>
      <c r="J10575">
        <v>0.01</v>
      </c>
    </row>
    <row r="10576" spans="1:10" x14ac:dyDescent="0.3">
      <c r="A10576" t="str">
        <f>HYPERLINK("https://us2.cloudbeds.com/connect/10074733072513#/reservations/31734861897923?display=MXKN94TU7&amp;reservation_id=31734861897923", "MXKN94TU7")</f>
        <v>MXKN94TU7</v>
      </c>
      <c r="B10576" t="s">
        <v>10</v>
      </c>
      <c r="C10576" t="s">
        <v>42</v>
      </c>
      <c r="D10576" t="str">
        <f>HYPERLINK("https://us2.cloudbeds.com/connect/10074733072513#/reservations/31734861897923?display=Karlton%20Posey&amp;reservation_id=31734861897923&amp;guest_id=31734851825826", "Karlton Posey")</f>
        <v>Karlton Posey</v>
      </c>
      <c r="E10576" t="s">
        <v>9499</v>
      </c>
      <c r="F10576" t="s">
        <v>9491</v>
      </c>
      <c r="G10576">
        <v>73</v>
      </c>
      <c r="H10576">
        <v>79.36</v>
      </c>
      <c r="I10576">
        <v>79.349999999999994</v>
      </c>
      <c r="J10576">
        <v>0.01</v>
      </c>
    </row>
    <row r="10577" spans="1:10" x14ac:dyDescent="0.3">
      <c r="A10577" t="str">
        <f>HYPERLINK("https://us2.cloudbeds.com/connect/10074733072513#/reservations/31735109251284?display=MXKTJNSWK&amp;reservation_id=31735109251284", "MXKTJNSWK")</f>
        <v>MXKTJNSWK</v>
      </c>
      <c r="B10577" t="s">
        <v>10</v>
      </c>
      <c r="C10577" t="s">
        <v>42</v>
      </c>
      <c r="D10577" t="str">
        <f>HYPERLINK("https://us2.cloudbeds.com/connect/10074733072513#/reservations/31735109251284?display=Nicholas%20Sherman&amp;reservation_id=31735109251284&amp;guest_id=31729814081679", "Nicholas Sherman")</f>
        <v>Nicholas Sherman</v>
      </c>
      <c r="E10577" t="s">
        <v>9272</v>
      </c>
      <c r="F10577" t="s">
        <v>9500</v>
      </c>
      <c r="G10577">
        <v>336</v>
      </c>
      <c r="H10577">
        <v>365.24</v>
      </c>
      <c r="I10577">
        <v>365.23</v>
      </c>
      <c r="J10577">
        <v>0.01</v>
      </c>
    </row>
    <row r="10578" spans="1:10" x14ac:dyDescent="0.3">
      <c r="A10578" t="str">
        <f>HYPERLINK("https://us2.cloudbeds.com/connect/10074733072513#/reservations/31735785009285?display=MXYDSHRZQ&amp;reservation_id=31735785009285", "MXYDSHRZQ")</f>
        <v>MXYDSHRZQ</v>
      </c>
      <c r="B10578" t="s">
        <v>10</v>
      </c>
      <c r="C10578" t="s">
        <v>42</v>
      </c>
      <c r="D10578" t="str">
        <f>HYPERLINK("https://us2.cloudbeds.com/connect/10074733072513#/reservations/31735785009285?display=Nate%20Stellricht&amp;reservation_id=31735785009285&amp;guest_id=31686463946944", "Nate Stellricht")</f>
        <v>Nate Stellricht</v>
      </c>
      <c r="E10578" t="s">
        <v>7087</v>
      </c>
      <c r="F10578" t="s">
        <v>9131</v>
      </c>
      <c r="G10578">
        <v>252</v>
      </c>
      <c r="H10578">
        <v>273.93</v>
      </c>
      <c r="I10578">
        <v>273.92</v>
      </c>
      <c r="J10578">
        <v>0.01</v>
      </c>
    </row>
    <row r="10579" spans="1:10" x14ac:dyDescent="0.3">
      <c r="A10579" t="str">
        <f>HYPERLINK("https://us2.cloudbeds.com/connect/10074733072513#/reservations/31735509680332?display=MXY6RCDE6&amp;reservation_id=31735509680332", "MXY6RCDE6")</f>
        <v>MXY6RCDE6</v>
      </c>
      <c r="B10579" t="s">
        <v>10</v>
      </c>
      <c r="C10579" t="s">
        <v>42</v>
      </c>
      <c r="D10579" t="str">
        <f>HYPERLINK("https://us2.cloudbeds.com/connect/10074733072513#/reservations/31735509680332?display=Trent%20Bohlen&amp;reservation_id=31735509680332&amp;guest_id=31735509680327", "Trent Bohlen")</f>
        <v>Trent Bohlen</v>
      </c>
      <c r="E10579" t="s">
        <v>9501</v>
      </c>
      <c r="F10579" t="s">
        <v>9491</v>
      </c>
      <c r="G10579">
        <v>129</v>
      </c>
      <c r="H10579">
        <v>140.22999999999999</v>
      </c>
      <c r="I10579">
        <v>140.22</v>
      </c>
      <c r="J10579">
        <v>0.01</v>
      </c>
    </row>
    <row r="10580" spans="1:10" x14ac:dyDescent="0.3">
      <c r="A10580" t="str">
        <f>HYPERLINK("https://us2.cloudbeds.com/connect/10074733072513#/reservations/31733852692722?display=MXJUG59CE&amp;reservation_id=31733852692722", "MXJUG59CE")</f>
        <v>MXJUG59CE</v>
      </c>
      <c r="B10580" t="s">
        <v>10</v>
      </c>
      <c r="C10580" t="s">
        <v>14</v>
      </c>
      <c r="D10580" t="str">
        <f>HYPERLINK("https://us2.cloudbeds.com/connect/10074733072513#/reservations/31733852692722?display=Malhon%20Godwin&amp;reservation_id=31733852692722&amp;guest_id=31733843542171", "Malhon Godwin")</f>
        <v>Malhon Godwin</v>
      </c>
      <c r="E10580" t="s">
        <v>9502</v>
      </c>
      <c r="F10580" t="s">
        <v>9131</v>
      </c>
      <c r="G10580">
        <v>102.58</v>
      </c>
      <c r="H10580">
        <v>111.51</v>
      </c>
      <c r="I10580">
        <v>111.5</v>
      </c>
      <c r="J10580">
        <v>0.01</v>
      </c>
    </row>
    <row r="10581" spans="1:10" x14ac:dyDescent="0.3">
      <c r="A10581" t="str">
        <f>HYPERLINK("https://us2.cloudbeds.com/connect/10074733072513#/reservations/31735489642685?display=MXY6AFRCP&amp;reservation_id=31735489642685", "MXY6AFRCP")</f>
        <v>MXY6AFRCP</v>
      </c>
      <c r="B10581" t="s">
        <v>10</v>
      </c>
      <c r="C10581" t="s">
        <v>42</v>
      </c>
      <c r="D10581" t="str">
        <f>HYPERLINK("https://us2.cloudbeds.com/connect/10074733072513#/reservations/31735489642685?display=Benjamin%20Perry&amp;reservation_id=31735489642685&amp;guest_id=31735489642680", "Benjamin Perry")</f>
        <v>Benjamin Perry</v>
      </c>
      <c r="E10581" t="s">
        <v>9503</v>
      </c>
      <c r="F10581" t="s">
        <v>9491</v>
      </c>
      <c r="G10581">
        <v>73</v>
      </c>
      <c r="H10581">
        <v>79.36</v>
      </c>
      <c r="I10581">
        <v>79.349999999999994</v>
      </c>
      <c r="J10581">
        <v>0.01</v>
      </c>
    </row>
    <row r="10582" spans="1:10" x14ac:dyDescent="0.3">
      <c r="A10582" t="str">
        <f>HYPERLINK("https://us2.cloudbeds.com/connect/10074733072513#/reservations/31727976104108?display=MXFCASHUJ&amp;reservation_id=31727976104108", "MXFCASHUJ")</f>
        <v>MXFCASHUJ</v>
      </c>
      <c r="B10582" t="s">
        <v>10</v>
      </c>
      <c r="C10582" t="s">
        <v>42</v>
      </c>
      <c r="D10582" t="str">
        <f>HYPERLINK("https://us2.cloudbeds.com/connect/10074733072513#/reservations/31727976104108?display=Tyler%20Hummel&amp;reservation_id=31727976104108&amp;guest_id=31727954792662", "Tyler Hummel")</f>
        <v>Tyler Hummel</v>
      </c>
      <c r="E10582" t="s">
        <v>9505</v>
      </c>
      <c r="F10582" t="s">
        <v>9079</v>
      </c>
      <c r="G10582">
        <v>432</v>
      </c>
      <c r="H10582">
        <v>469.59</v>
      </c>
      <c r="I10582">
        <v>469.58</v>
      </c>
      <c r="J10582">
        <v>0.01</v>
      </c>
    </row>
    <row r="10583" spans="1:10" x14ac:dyDescent="0.3">
      <c r="A10583" t="str">
        <f>HYPERLINK("https://us2.cloudbeds.com/connect/10074733072513#/reservations/31735109562565?display=MXKTJWHRC&amp;reservation_id=31735109562565", "MXKTJWHRC")</f>
        <v>MXKTJWHRC</v>
      </c>
      <c r="B10583" t="s">
        <v>10</v>
      </c>
      <c r="C10583" t="s">
        <v>42</v>
      </c>
      <c r="D10583" t="str">
        <f>HYPERLINK("https://us2.cloudbeds.com/connect/10074733072513#/reservations/31735109562565?display=Kaden%20Dyck&amp;reservation_id=31735109562565&amp;guest_id=31735109562563", "Kaden Dyck")</f>
        <v>Kaden Dyck</v>
      </c>
      <c r="E10583" t="s">
        <v>9507</v>
      </c>
      <c r="F10583" t="s">
        <v>9491</v>
      </c>
      <c r="G10583">
        <v>73</v>
      </c>
      <c r="H10583">
        <v>79.36</v>
      </c>
      <c r="I10583">
        <v>79.349999999999994</v>
      </c>
      <c r="J10583">
        <v>0.01</v>
      </c>
    </row>
    <row r="10584" spans="1:10" x14ac:dyDescent="0.3">
      <c r="A10584" t="str">
        <f>HYPERLINK("https://us2.cloudbeds.com/connect/10074733072513#/reservations/31732663767207?display=MXJ03KMDH&amp;reservation_id=31732663767207", "MXJ03KMDH")</f>
        <v>MXJ03KMDH</v>
      </c>
      <c r="B10584" t="s">
        <v>10</v>
      </c>
      <c r="C10584" t="s">
        <v>42</v>
      </c>
      <c r="D10584" t="str">
        <f>HYPERLINK("https://us2.cloudbeds.com/connect/10074733072513#/reservations/31732663767207?display=Thomas%20Richard&amp;reservation_id=31732663767207&amp;guest_id=31732663767202", "Thomas Richard")</f>
        <v>Thomas Richard</v>
      </c>
      <c r="E10584" t="s">
        <v>9509</v>
      </c>
      <c r="F10584" t="s">
        <v>9079</v>
      </c>
      <c r="G10584">
        <v>696</v>
      </c>
      <c r="H10584">
        <v>756.56</v>
      </c>
      <c r="I10584">
        <v>756.55</v>
      </c>
      <c r="J10584">
        <v>0.01</v>
      </c>
    </row>
    <row r="10585" spans="1:10" x14ac:dyDescent="0.3">
      <c r="A10585" t="str">
        <f>HYPERLINK("https://us2.cloudbeds.com/connect/10074733072513#/reservations/31732182646973?display=MXXKQUQCG&amp;reservation_id=31732182646973", "MXXKQUQCG")</f>
        <v>MXXKQUQCG</v>
      </c>
      <c r="B10585" t="s">
        <v>10</v>
      </c>
      <c r="C10585" t="s">
        <v>23</v>
      </c>
      <c r="D10585" t="str">
        <f>HYPERLINK("https://us2.cloudbeds.com/connect/10074733072513#/reservations/31732182646973?display=Krystal%20Williams&amp;reservation_id=31732182646973&amp;guest_id=31732182646970", "Krystal Williams")</f>
        <v>Krystal Williams</v>
      </c>
      <c r="E10585" t="s">
        <v>9513</v>
      </c>
      <c r="F10585" t="s">
        <v>8596</v>
      </c>
      <c r="G10585">
        <v>189</v>
      </c>
      <c r="H10585">
        <v>205.45</v>
      </c>
      <c r="I10585">
        <v>205.44</v>
      </c>
      <c r="J10585">
        <v>0.01</v>
      </c>
    </row>
    <row r="10586" spans="1:10" x14ac:dyDescent="0.3">
      <c r="A10586" t="str">
        <f>HYPERLINK("https://us2.cloudbeds.com/connect/10074733072513#/reservations/31735075451114?display=MXKSZ7B61&amp;reservation_id=31735075451114", "MXKSZ7B61")</f>
        <v>MXKSZ7B61</v>
      </c>
      <c r="B10586" t="s">
        <v>10</v>
      </c>
      <c r="C10586" t="s">
        <v>23</v>
      </c>
      <c r="D10586" t="str">
        <f>HYPERLINK("https://us2.cloudbeds.com/connect/10074733072513#/reservations/31735075451114?display=Timothy%20Ronan&amp;reservation_id=31735075451114&amp;guest_id=31735075451110", "Timothy Ronan")</f>
        <v>Timothy Ronan</v>
      </c>
      <c r="E10586" t="s">
        <v>9514</v>
      </c>
      <c r="F10586" t="s">
        <v>9500</v>
      </c>
      <c r="G10586">
        <v>149</v>
      </c>
      <c r="H10586">
        <v>161.97</v>
      </c>
      <c r="I10586">
        <v>161.96</v>
      </c>
      <c r="J10586">
        <v>0.01</v>
      </c>
    </row>
    <row r="10587" spans="1:10" x14ac:dyDescent="0.3">
      <c r="A10587" t="str">
        <f>HYPERLINK("https://us2.cloudbeds.com/connect/10074733072513#/reservations/31730931101834?display=MXHYRJNF7&amp;reservation_id=31730931101834", "MXHYRJNF7")</f>
        <v>MXHYRJNF7</v>
      </c>
      <c r="B10587" t="s">
        <v>10</v>
      </c>
      <c r="C10587" t="s">
        <v>23</v>
      </c>
      <c r="D10587" t="str">
        <f>HYPERLINK("https://us2.cloudbeds.com/connect/10074733072513#/reservations/31730931101834?display=Emily%20Weyandt&amp;reservation_id=31730931101834&amp;guest_id=31730931097743", "Emily Weyandt")</f>
        <v>Emily Weyandt</v>
      </c>
      <c r="E10587" t="s">
        <v>9517</v>
      </c>
      <c r="F10587" t="s">
        <v>7468</v>
      </c>
      <c r="G10587">
        <v>189</v>
      </c>
      <c r="H10587">
        <v>205.45</v>
      </c>
      <c r="I10587">
        <v>205.44</v>
      </c>
      <c r="J10587">
        <v>0.01</v>
      </c>
    </row>
    <row r="10588" spans="1:10" x14ac:dyDescent="0.3">
      <c r="A10588" t="str">
        <f>HYPERLINK("https://us2.cloudbeds.com/connect/10074733072513#/reservations/31732341629128?display=MXXZSWNGX&amp;reservation_id=31732341629128", "MXXZSWNGX")</f>
        <v>MXXZSWNGX</v>
      </c>
      <c r="B10588" t="s">
        <v>10</v>
      </c>
      <c r="C10588" t="s">
        <v>23</v>
      </c>
      <c r="D10588" t="str">
        <f>HYPERLINK("https://us2.cloudbeds.com/connect/10074733072513#/reservations/31732341629128?display=Jennifer%20Weyandt&amp;reservation_id=31732341629128&amp;guest_id=31732341629124", "Jennifer Weyandt")</f>
        <v>Jennifer Weyandt</v>
      </c>
      <c r="E10588" t="s">
        <v>9521</v>
      </c>
      <c r="F10588" t="s">
        <v>7468</v>
      </c>
      <c r="G10588">
        <v>189</v>
      </c>
      <c r="H10588">
        <v>205.45</v>
      </c>
      <c r="I10588">
        <v>205.44</v>
      </c>
      <c r="J10588">
        <v>0.01</v>
      </c>
    </row>
    <row r="10589" spans="1:10" x14ac:dyDescent="0.3">
      <c r="A10589" t="str">
        <f>HYPERLINK("https://us2.cloudbeds.com/connect/10074733072513#/reservations/31734408569049?display=MXKBMTBVK&amp;reservation_id=31734408569049", "MXKBMTBVK")</f>
        <v>MXKBMTBVK</v>
      </c>
      <c r="B10589" t="s">
        <v>10</v>
      </c>
      <c r="C10589" t="s">
        <v>42</v>
      </c>
      <c r="D10589" t="str">
        <f>HYPERLINK("https://us2.cloudbeds.com/connect/10074733072513#/reservations/31734408569049?display=Rachel%20Cheatum&amp;reservation_id=31734408569049&amp;guest_id=31734408569044", "Rachel Cheatum")</f>
        <v>Rachel Cheatum</v>
      </c>
      <c r="E10589" t="s">
        <v>9522</v>
      </c>
      <c r="F10589" t="s">
        <v>9256</v>
      </c>
      <c r="G10589">
        <v>159</v>
      </c>
      <c r="H10589">
        <v>172.84</v>
      </c>
      <c r="I10589">
        <v>172.83</v>
      </c>
      <c r="J10589">
        <v>0.01</v>
      </c>
    </row>
    <row r="10590" spans="1:10" x14ac:dyDescent="0.3">
      <c r="A10590" t="str">
        <f>HYPERLINK("https://us2.cloudbeds.com/connect/10074733072513#/reservations/31735374745852?display=MXY3CJYYX&amp;reservation_id=31735374745852", "MXY3CJYYX")</f>
        <v>MXY3CJYYX</v>
      </c>
      <c r="B10590" t="s">
        <v>10</v>
      </c>
      <c r="C10590" t="s">
        <v>23</v>
      </c>
      <c r="D10590" t="str">
        <f>HYPERLINK("https://us2.cloudbeds.com/connect/10074733072513#/reservations/31735374745852?display=Rachel%20Sukup&amp;reservation_id=31735374745852&amp;guest_id=31735374745850", "Rachel Sukup")</f>
        <v>Rachel Sukup</v>
      </c>
      <c r="E10590" t="s">
        <v>9523</v>
      </c>
      <c r="F10590" t="s">
        <v>9033</v>
      </c>
      <c r="G10590">
        <v>229</v>
      </c>
      <c r="H10590">
        <v>248.93</v>
      </c>
      <c r="I10590">
        <v>248.92</v>
      </c>
      <c r="J10590">
        <v>0.01</v>
      </c>
    </row>
    <row r="10591" spans="1:10" x14ac:dyDescent="0.3">
      <c r="A10591" t="str">
        <f>HYPERLINK("https://us2.cloudbeds.com/connect/10074733072513#/reservations/31732762280128?display=MXJ25V14T&amp;reservation_id=31732762280128", "MXJ25V14T")</f>
        <v>MXJ25V14T</v>
      </c>
      <c r="B10591" t="s">
        <v>10</v>
      </c>
      <c r="C10591" t="s">
        <v>11</v>
      </c>
      <c r="D10591" t="str">
        <f>HYPERLINK("https://us2.cloudbeds.com/connect/10074733072513#/reservations/31732762280128?display=Wayne%20Kellander&amp;reservation_id=31732762280128&amp;guest_id=31732744781986", "Wayne Kellander")</f>
        <v>Wayne Kellander</v>
      </c>
      <c r="E10591" t="s">
        <v>9525</v>
      </c>
      <c r="F10591" t="s">
        <v>9526</v>
      </c>
      <c r="G10591">
        <v>97.74</v>
      </c>
      <c r="H10591">
        <v>106.25</v>
      </c>
      <c r="I10591">
        <v>106.24</v>
      </c>
      <c r="J10591">
        <v>0.01</v>
      </c>
    </row>
    <row r="10592" spans="1:10" x14ac:dyDescent="0.3">
      <c r="A10592" t="str">
        <f>HYPERLINK("https://us2.cloudbeds.com/connect/10074733072513#/reservations/31729336271009?display=MXGE2Q6BD&amp;reservation_id=31729336271009", "MXGE2Q6BD")</f>
        <v>MXGE2Q6BD</v>
      </c>
      <c r="B10592" t="s">
        <v>10</v>
      </c>
      <c r="C10592" t="s">
        <v>42</v>
      </c>
      <c r="D10592" t="str">
        <f>HYPERLINK("https://us2.cloudbeds.com/connect/10074733072513#/reservations/31729336271009?display=Mackenzie%20Johnson&amp;reservation_id=31729336271009&amp;guest_id=31729336270993", "Mackenzie Johnson")</f>
        <v>Mackenzie Johnson</v>
      </c>
      <c r="E10592" t="s">
        <v>2045</v>
      </c>
      <c r="F10592" t="s">
        <v>9322</v>
      </c>
      <c r="G10592">
        <v>73</v>
      </c>
      <c r="H10592">
        <v>79.36</v>
      </c>
      <c r="I10592">
        <v>79.349999999999994</v>
      </c>
      <c r="J10592">
        <v>0.01</v>
      </c>
    </row>
    <row r="10593" spans="1:10" x14ac:dyDescent="0.3">
      <c r="A10593" t="str">
        <f>HYPERLINK("https://us2.cloudbeds.com/connect/10074733072513#/reservations/31734816465081?display=MXKM3RM4D&amp;reservation_id=31734816465081", "MXKM3RM4D")</f>
        <v>MXKM3RM4D</v>
      </c>
      <c r="B10593" t="s">
        <v>10</v>
      </c>
      <c r="C10593" t="s">
        <v>42</v>
      </c>
      <c r="D10593" t="str">
        <f>HYPERLINK("https://us2.cloudbeds.com/connect/10074733072513#/reservations/31734816465081?display=Matthew%20Skornicka&amp;reservation_id=31734816465081&amp;guest_id=31734816465076", "Matthew Skornicka")</f>
        <v>Matthew Skornicka</v>
      </c>
      <c r="E10593" t="s">
        <v>9528</v>
      </c>
      <c r="F10593" t="s">
        <v>9322</v>
      </c>
      <c r="G10593">
        <v>73</v>
      </c>
      <c r="H10593">
        <v>79.36</v>
      </c>
      <c r="I10593">
        <v>79.349999999999994</v>
      </c>
      <c r="J10593">
        <v>0.01</v>
      </c>
    </row>
    <row r="10594" spans="1:10" x14ac:dyDescent="0.3">
      <c r="A10594" t="str">
        <f>HYPERLINK("https://us2.cloudbeds.com/connect/10074733072513#/reservations/31734422331539?display=MXKC1GAMP&amp;reservation_id=31734422331539", "MXKC1GAMP")</f>
        <v>MXKC1GAMP</v>
      </c>
      <c r="B10594" t="s">
        <v>10</v>
      </c>
      <c r="C10594" t="s">
        <v>42</v>
      </c>
      <c r="D10594" t="str">
        <f>HYPERLINK("https://us2.cloudbeds.com/connect/10074733072513#/reservations/31734422331539?display=Blake%20Hoke&amp;reservation_id=31734422331539&amp;guest_id=31734422331534", "Blake Hoke")</f>
        <v>Blake Hoke</v>
      </c>
      <c r="E10594" t="s">
        <v>9522</v>
      </c>
      <c r="F10594" t="s">
        <v>9256</v>
      </c>
      <c r="G10594">
        <v>159</v>
      </c>
      <c r="H10594">
        <v>172.84</v>
      </c>
      <c r="I10594">
        <v>172.83</v>
      </c>
      <c r="J10594">
        <v>0.01</v>
      </c>
    </row>
    <row r="10595" spans="1:10" x14ac:dyDescent="0.3">
      <c r="A10595" t="str">
        <f>HYPERLINK("https://us2.cloudbeds.com/connect/10074733072513#/reservations/31735993520344?display=MXYJ6BVVZ&amp;reservation_id=31735993520344", "MXYJ6BVVZ")</f>
        <v>MXYJ6BVVZ</v>
      </c>
      <c r="B10595" t="s">
        <v>10</v>
      </c>
      <c r="C10595" t="s">
        <v>23</v>
      </c>
      <c r="D10595" t="str">
        <f>HYPERLINK("https://us2.cloudbeds.com/connect/10074733072513#/reservations/31735993520344?display=Casy%20Omalley&amp;reservation_id=31735993520344&amp;guest_id=31735985656060", "Casy Omalley")</f>
        <v>Casy Omalley</v>
      </c>
      <c r="E10595" t="s">
        <v>9530</v>
      </c>
      <c r="F10595" t="s">
        <v>9531</v>
      </c>
      <c r="G10595">
        <v>258</v>
      </c>
      <c r="H10595">
        <v>280.45999999999998</v>
      </c>
      <c r="I10595">
        <v>280.45</v>
      </c>
      <c r="J10595">
        <v>0.01</v>
      </c>
    </row>
    <row r="10596" spans="1:10" x14ac:dyDescent="0.3">
      <c r="A10596" t="str">
        <f>HYPERLINK("https://us2.cloudbeds.com/connect/10074733072513#/reservations/31735840366791?display=MXYF9782W&amp;reservation_id=31735840366791", "MXYF9782W")</f>
        <v>MXYF9782W</v>
      </c>
      <c r="B10596" t="s">
        <v>10</v>
      </c>
      <c r="C10596" t="s">
        <v>42</v>
      </c>
      <c r="D10596" t="str">
        <f>HYPERLINK("https://us2.cloudbeds.com/connect/10074733072513#/reservations/31735840366791?display=Jason%20Ehlers&amp;reservation_id=31735840366791&amp;guest_id=31684144378090", "Jason Ehlers")</f>
        <v>Jason Ehlers</v>
      </c>
      <c r="E10596" t="s">
        <v>7343</v>
      </c>
      <c r="F10596" t="s">
        <v>9131</v>
      </c>
      <c r="G10596">
        <v>73</v>
      </c>
      <c r="H10596">
        <v>79.36</v>
      </c>
      <c r="I10596">
        <v>79.349999999999994</v>
      </c>
      <c r="J10596">
        <v>0.01</v>
      </c>
    </row>
    <row r="10597" spans="1:10" x14ac:dyDescent="0.3">
      <c r="A10597" t="str">
        <f>HYPERLINK("https://us2.cloudbeds.com/connect/10074733072513#/reservations/31727815966946?display=MXF87RG6A&amp;reservation_id=31727815966946", "MXF87RG6A")</f>
        <v>MXF87RG6A</v>
      </c>
      <c r="B10597" t="s">
        <v>10</v>
      </c>
      <c r="C10597" t="s">
        <v>11</v>
      </c>
      <c r="D10597" t="str">
        <f>HYPERLINK("https://us2.cloudbeds.com/connect/10074733072513#/reservations/31727815966946?display=Julie%20Umberger&amp;reservation_id=31727815966946&amp;guest_id=31727815966943", "Julie Umberger")</f>
        <v>Julie Umberger</v>
      </c>
      <c r="E10597" t="s">
        <v>9534</v>
      </c>
      <c r="F10597" t="s">
        <v>8920</v>
      </c>
      <c r="G10597">
        <v>352.76</v>
      </c>
      <c r="H10597">
        <v>383.46</v>
      </c>
      <c r="I10597">
        <v>383.45</v>
      </c>
      <c r="J10597">
        <v>0.01</v>
      </c>
    </row>
    <row r="10598" spans="1:10" x14ac:dyDescent="0.3">
      <c r="A10598" t="str">
        <f>HYPERLINK("https://us2.cloudbeds.com/connect/10074733072513#/reservations/31732721107127?display=MXJ1XW84S&amp;reservation_id=31732721107127", "MXJ1XW84S")</f>
        <v>MXJ1XW84S</v>
      </c>
      <c r="B10598" t="s">
        <v>10</v>
      </c>
      <c r="C10598" t="s">
        <v>42</v>
      </c>
      <c r="D10598" t="str">
        <f>HYPERLINK("https://us2.cloudbeds.com/connect/10074733072513#/reservations/31732721107127?display=Joe%20Heimann&amp;reservation_id=31732721107127&amp;guest_id=31732710650076", "Joe Heimann")</f>
        <v>Joe Heimann</v>
      </c>
      <c r="E10598" t="s">
        <v>9537</v>
      </c>
      <c r="F10598" t="s">
        <v>9079</v>
      </c>
      <c r="G10598">
        <v>576</v>
      </c>
      <c r="H10598">
        <v>626.12</v>
      </c>
      <c r="I10598">
        <v>626.11</v>
      </c>
      <c r="J10598">
        <v>0.01</v>
      </c>
    </row>
    <row r="10599" spans="1:10" x14ac:dyDescent="0.3">
      <c r="A10599" t="str">
        <f>HYPERLINK("https://us2.cloudbeds.com/connect/10074733072513#/reservations/31735383187595?display=MXY3JNXFV&amp;reservation_id=31735383187595", "MXY3JNXFV")</f>
        <v>MXY3JNXFV</v>
      </c>
      <c r="B10599" t="s">
        <v>10</v>
      </c>
      <c r="C10599" t="s">
        <v>42</v>
      </c>
      <c r="D10599" t="str">
        <f>HYPERLINK("https://us2.cloudbeds.com/connect/10074733072513#/reservations/31735383187595?display=Cory%20Glick&amp;reservation_id=31735383187595&amp;guest_id=31676961386701", "Cory Glick")</f>
        <v>Cory Glick</v>
      </c>
      <c r="E10599" t="s">
        <v>2769</v>
      </c>
      <c r="F10599" t="s">
        <v>9033</v>
      </c>
      <c r="G10599">
        <v>252</v>
      </c>
      <c r="H10599">
        <v>273.93</v>
      </c>
      <c r="I10599">
        <v>273.92</v>
      </c>
      <c r="J10599">
        <v>0.01</v>
      </c>
    </row>
    <row r="10600" spans="1:10" x14ac:dyDescent="0.3">
      <c r="A10600" t="str">
        <f>HYPERLINK("https://us2.cloudbeds.com/connect/10074733072513#/reservations/31735039725781?display=MXKRR37X6&amp;reservation_id=31735039725781", "MXKRR37X6")</f>
        <v>MXKRR37X6</v>
      </c>
      <c r="B10600" t="s">
        <v>10</v>
      </c>
      <c r="C10600" t="s">
        <v>42</v>
      </c>
      <c r="D10600" t="str">
        <f>HYPERLINK("https://us2.cloudbeds.com/connect/10074733072513#/reservations/31735039725781?display=Denise%20Duffy&amp;reservation_id=31735039725781&amp;guest_id=31690554331268", "Denise Duffy")</f>
        <v>Denise Duffy</v>
      </c>
      <c r="E10600" t="s">
        <v>8274</v>
      </c>
      <c r="F10600" t="s">
        <v>9131</v>
      </c>
      <c r="G10600">
        <v>89</v>
      </c>
      <c r="H10600">
        <v>96.75</v>
      </c>
      <c r="I10600">
        <v>96.74</v>
      </c>
      <c r="J10600">
        <v>0.01</v>
      </c>
    </row>
    <row r="10601" spans="1:10" x14ac:dyDescent="0.3">
      <c r="A10601" t="str">
        <f>HYPERLINK("https://us2.cloudbeds.com/connect/10074733072513#/reservations/31734897168619?display=MXKZ5TC26&amp;reservation_id=31734897168619", "MXKZ5TC26")</f>
        <v>MXKZ5TC26</v>
      </c>
      <c r="B10601" t="s">
        <v>10</v>
      </c>
      <c r="C10601" t="s">
        <v>42</v>
      </c>
      <c r="D10601" t="str">
        <f>HYPERLINK("https://us2.cloudbeds.com/connect/10074733072513#/reservations/31734897168619?display=Collen%20Ostercamp&amp;reservation_id=31734897168619&amp;guest_id=31734897168617", "Collen Ostercamp")</f>
        <v>Collen Ostercamp</v>
      </c>
      <c r="E10601" t="s">
        <v>9540</v>
      </c>
      <c r="F10601" t="s">
        <v>9033</v>
      </c>
      <c r="G10601">
        <v>219</v>
      </c>
      <c r="H10601">
        <v>238.06</v>
      </c>
      <c r="I10601">
        <v>238.05</v>
      </c>
      <c r="J10601">
        <v>0.01</v>
      </c>
    </row>
    <row r="10602" spans="1:10" x14ac:dyDescent="0.3">
      <c r="A10602" t="str">
        <f>HYPERLINK("https://us2.cloudbeds.com/connect/10074733072513#/reservations/31734868107417?display=MXKNECMUN&amp;reservation_id=31734868107417", "MXKNECMUN")</f>
        <v>MXKNECMUN</v>
      </c>
      <c r="B10602" t="s">
        <v>10</v>
      </c>
      <c r="C10602" t="s">
        <v>17</v>
      </c>
      <c r="D10602" t="str">
        <f>HYPERLINK("https://us2.cloudbeds.com/connect/10074733072513#/reservations/31734868107417?display=Shawn%20Mermans&amp;reservation_id=31734868107417&amp;guest_id=31734868107415", "Shawn Mermans")</f>
        <v>Shawn Mermans</v>
      </c>
      <c r="E10602" t="s">
        <v>9541</v>
      </c>
      <c r="F10602" t="s">
        <v>9033</v>
      </c>
      <c r="G10602">
        <v>209</v>
      </c>
      <c r="H10602">
        <v>227.19</v>
      </c>
      <c r="I10602">
        <v>227.18</v>
      </c>
      <c r="J10602">
        <v>0.01</v>
      </c>
    </row>
    <row r="10603" spans="1:10" x14ac:dyDescent="0.3">
      <c r="A10603" t="str">
        <f>HYPERLINK("https://us2.cloudbeds.com/connect/10074733072513#/reservations/31731132858514?display=MXHQWNTA0&amp;reservation_id=31731132858514", "MXHQWNTA0")</f>
        <v>MXHQWNTA0</v>
      </c>
      <c r="B10603" t="s">
        <v>10</v>
      </c>
      <c r="C10603" t="s">
        <v>23</v>
      </c>
      <c r="D10603" t="str">
        <f>HYPERLINK("https://us2.cloudbeds.com/connect/10074733072513#/reservations/31731132858514?display=Jamie%20Kratzberg&amp;reservation_id=31731132858514&amp;guest_id=31731126042873", "Jamie Kratzberg")</f>
        <v>Jamie Kratzberg</v>
      </c>
      <c r="E10603" t="s">
        <v>9543</v>
      </c>
      <c r="F10603" t="s">
        <v>9152</v>
      </c>
      <c r="G10603">
        <v>169</v>
      </c>
      <c r="H10603">
        <v>183.71</v>
      </c>
      <c r="I10603">
        <v>183.7</v>
      </c>
      <c r="J10603">
        <v>0.01</v>
      </c>
    </row>
    <row r="10604" spans="1:10" x14ac:dyDescent="0.3">
      <c r="A10604" t="str">
        <f>HYPERLINK("https://us2.cloudbeds.com/connect/10074733072513#/reservations/31733344411859?display=MXJHGXKF1&amp;reservation_id=31733344411859", "MXJHGXKF1")</f>
        <v>MXJHGXKF1</v>
      </c>
      <c r="B10604" t="s">
        <v>10</v>
      </c>
      <c r="C10604" t="s">
        <v>20</v>
      </c>
      <c r="D10604" t="str">
        <f>HYPERLINK("https://us2.cloudbeds.com/connect/10074733072513#/reservations/31733344411859?display=Ruth%20Garnhart&amp;reservation_id=31733344411859&amp;guest_id=31733344411856", "Ruth Garnhart")</f>
        <v>Ruth Garnhart</v>
      </c>
      <c r="E10604" t="s">
        <v>9544</v>
      </c>
      <c r="F10604" t="s">
        <v>8176</v>
      </c>
      <c r="G10604">
        <v>353</v>
      </c>
      <c r="H10604">
        <v>383.72</v>
      </c>
      <c r="I10604">
        <v>383.71</v>
      </c>
      <c r="J10604">
        <v>0.01</v>
      </c>
    </row>
    <row r="10605" spans="1:10" x14ac:dyDescent="0.3">
      <c r="A10605" t="str">
        <f>HYPERLINK("https://us2.cloudbeds.com/connect/10074733072513#/reservations/31735120126140?display=MXKTSTG2N&amp;reservation_id=31735120126140", "MXKTSTG2N")</f>
        <v>MXKTSTG2N</v>
      </c>
      <c r="B10605" t="s">
        <v>10</v>
      </c>
      <c r="C10605" t="s">
        <v>17</v>
      </c>
      <c r="D10605" t="str">
        <f>HYPERLINK("https://us2.cloudbeds.com/connect/10074733072513#/reservations/31735120126140?display=Ron%20Miller&amp;reservation_id=31735120126140&amp;guest_id=31735120126137", "Ron Miller")</f>
        <v>Ron Miller</v>
      </c>
      <c r="E10605" t="s">
        <v>9545</v>
      </c>
      <c r="F10605" t="s">
        <v>9500</v>
      </c>
      <c r="G10605">
        <v>129</v>
      </c>
      <c r="H10605">
        <v>140.22999999999999</v>
      </c>
      <c r="I10605">
        <v>140.22</v>
      </c>
      <c r="J10605">
        <v>0.01</v>
      </c>
    </row>
    <row r="10606" spans="1:10" x14ac:dyDescent="0.3">
      <c r="A10606" t="str">
        <f>HYPERLINK("https://us2.cloudbeds.com/connect/10074733072513#/reservations/31734408564954?display=MXKBMT86H&amp;reservation_id=31734408564954", "MXKBMT86H")</f>
        <v>MXKBMT86H</v>
      </c>
      <c r="B10606" t="s">
        <v>10</v>
      </c>
      <c r="C10606" t="s">
        <v>42</v>
      </c>
      <c r="D10606" t="str">
        <f>HYPERLINK("https://us2.cloudbeds.com/connect/10074733072513#/reservations/31734408564954?display=Candice%20Hoke&amp;reservation_id=31734408564954&amp;guest_id=31716533006487", "Candice Hoke")</f>
        <v>Candice Hoke</v>
      </c>
      <c r="E10606" t="s">
        <v>9546</v>
      </c>
      <c r="F10606" t="s">
        <v>9256</v>
      </c>
      <c r="G10606">
        <v>159</v>
      </c>
      <c r="H10606">
        <v>172.84</v>
      </c>
      <c r="I10606">
        <v>172.83</v>
      </c>
      <c r="J10606">
        <v>0.01</v>
      </c>
    </row>
    <row r="10607" spans="1:10" x14ac:dyDescent="0.3">
      <c r="A10607" t="str">
        <f>HYPERLINK("https://us2.cloudbeds.com/connect/10074733072513#/reservations/31733905395873?display=MXJVRJR9K&amp;reservation_id=31733905395873", "MXJVRJR9K")</f>
        <v>MXJVRJR9K</v>
      </c>
      <c r="B10607" t="s">
        <v>10</v>
      </c>
      <c r="C10607" t="s">
        <v>11</v>
      </c>
      <c r="D10607" t="str">
        <f>HYPERLINK("https://us2.cloudbeds.com/connect/10074733072513#/reservations/31733905395873?display=Richard%20Warren&amp;reservation_id=31733905395873&amp;guest_id=31733905391785", "Richard Warren")</f>
        <v>Richard Warren</v>
      </c>
      <c r="E10607" t="s">
        <v>9547</v>
      </c>
      <c r="F10607" t="s">
        <v>9131</v>
      </c>
      <c r="G10607">
        <v>135.79</v>
      </c>
      <c r="H10607">
        <v>147.61000000000001</v>
      </c>
      <c r="I10607">
        <v>147.6</v>
      </c>
      <c r="J10607">
        <v>0.01</v>
      </c>
    </row>
    <row r="10608" spans="1:10" x14ac:dyDescent="0.3">
      <c r="A10608" t="str">
        <f>HYPERLINK("https://us2.cloudbeds.com/connect/10074733072513#/reservations/31733882859727?display=MXJV8JNV3&amp;reservation_id=31733882859727", "MXJV8JNV3")</f>
        <v>MXJV8JNV3</v>
      </c>
      <c r="B10608" t="s">
        <v>10</v>
      </c>
      <c r="C10608" t="s">
        <v>14</v>
      </c>
      <c r="D10608" t="str">
        <f>HYPERLINK("https://us2.cloudbeds.com/connect/10074733072513#/reservations/31733882859727?display=Breisha%20Weber&amp;reservation_id=31733882859727&amp;guest_id=31733875953845", "Breisha Weber")</f>
        <v>Breisha Weber</v>
      </c>
      <c r="E10608" t="s">
        <v>9548</v>
      </c>
      <c r="F10608" t="s">
        <v>7751</v>
      </c>
      <c r="G10608">
        <v>229</v>
      </c>
      <c r="H10608">
        <v>248.93</v>
      </c>
      <c r="I10608">
        <v>248.92</v>
      </c>
      <c r="J10608">
        <v>0.01</v>
      </c>
    </row>
    <row r="10609" spans="1:10" x14ac:dyDescent="0.3">
      <c r="A10609" t="str">
        <f>HYPERLINK("https://us2.cloudbeds.com/connect/10074733072513#/reservations/31733287948434?display=MXJG1VEJ5&amp;reservation_id=31733287948434", "MXJG1VEJ5")</f>
        <v>MXJG1VEJ5</v>
      </c>
      <c r="B10609" t="s">
        <v>10</v>
      </c>
      <c r="C10609" t="s">
        <v>23</v>
      </c>
      <c r="D10609" t="str">
        <f>HYPERLINK("https://us2.cloudbeds.com/connect/10074733072513#/reservations/31733287948434?display=Krystal%20Pospisil&amp;reservation_id=31733287948434&amp;guest_id=31733287944333", "Krystal Pospisil")</f>
        <v>Krystal Pospisil</v>
      </c>
      <c r="E10609" t="s">
        <v>9549</v>
      </c>
      <c r="F10609" t="s">
        <v>8918</v>
      </c>
      <c r="G10609">
        <v>418</v>
      </c>
      <c r="H10609">
        <v>454.38</v>
      </c>
      <c r="I10609">
        <v>454.37</v>
      </c>
      <c r="J10609">
        <v>0.01</v>
      </c>
    </row>
    <row r="10610" spans="1:10" x14ac:dyDescent="0.3">
      <c r="A10610" t="str">
        <f>HYPERLINK("https://us2.cloudbeds.com/connect/10074733072513#/reservations/31733376139436?display=MXJXAAG1P&amp;reservation_id=31733376139436", "MXJXAAG1P")</f>
        <v>MXJXAAG1P</v>
      </c>
      <c r="B10610" t="s">
        <v>10</v>
      </c>
      <c r="C10610" t="s">
        <v>14</v>
      </c>
      <c r="D10610" t="str">
        <f>HYPERLINK("https://us2.cloudbeds.com/connect/10074733072513#/reservations/31733376139436?display=Bert%20Falak&amp;reservation_id=31733376139436&amp;guest_id=31733376139434", "Bert Falak")</f>
        <v>Bert Falak</v>
      </c>
      <c r="E10610" t="s">
        <v>9550</v>
      </c>
      <c r="F10610" t="s">
        <v>9256</v>
      </c>
      <c r="G10610">
        <v>322.2</v>
      </c>
      <c r="H10610">
        <v>350.24</v>
      </c>
      <c r="I10610">
        <v>350.23</v>
      </c>
      <c r="J10610">
        <v>0.01</v>
      </c>
    </row>
    <row r="10611" spans="1:10" x14ac:dyDescent="0.3">
      <c r="A10611" t="str">
        <f>HYPERLINK("https://us2.cloudbeds.com/connect/10074733072513#/reservations/31733843538078?display=MXJU8EHTW&amp;reservation_id=31733843538078", "MXJU8EHTW")</f>
        <v>MXJU8EHTW</v>
      </c>
      <c r="B10611" t="s">
        <v>10</v>
      </c>
      <c r="C10611" t="s">
        <v>42</v>
      </c>
      <c r="D10611" t="str">
        <f>HYPERLINK("https://us2.cloudbeds.com/connect/10074733072513#/reservations/31733843538078?display=Ashley%20Ugah&amp;reservation_id=31733843538078&amp;guest_id=31733834678471", "Ashley Ugah")</f>
        <v>Ashley Ugah</v>
      </c>
      <c r="E10611" t="s">
        <v>9551</v>
      </c>
      <c r="F10611" t="s">
        <v>9079</v>
      </c>
      <c r="G10611">
        <v>73</v>
      </c>
      <c r="H10611">
        <v>79.36</v>
      </c>
      <c r="I10611">
        <v>79.349999999999994</v>
      </c>
      <c r="J10611">
        <v>0.01</v>
      </c>
    </row>
    <row r="10612" spans="1:10" x14ac:dyDescent="0.3">
      <c r="A10612" t="str">
        <f>HYPERLINK("https://us2.cloudbeds.com/connect/10074733072513#/reservations/31735723806917?display=MXYC9UQ7J&amp;reservation_id=31735723806917", "MXYC9UQ7J")</f>
        <v>MXYC9UQ7J</v>
      </c>
      <c r="B10612" t="s">
        <v>10</v>
      </c>
      <c r="C10612" t="s">
        <v>17</v>
      </c>
      <c r="D10612" t="str">
        <f>HYPERLINK("https://us2.cloudbeds.com/connect/10074733072513#/reservations/31735723806917?display=Chrystyna%20Rudnitsky&amp;reservation_id=31735723806917&amp;guest_id=31735723806912", "Chrystyna Rudnitsky")</f>
        <v>Chrystyna Rudnitsky</v>
      </c>
      <c r="E10612" t="s">
        <v>9552</v>
      </c>
      <c r="F10612" t="s">
        <v>9256</v>
      </c>
      <c r="G10612">
        <v>322.2</v>
      </c>
      <c r="H10612">
        <v>350.24</v>
      </c>
      <c r="I10612">
        <v>350.23</v>
      </c>
      <c r="J10612">
        <v>0.01</v>
      </c>
    </row>
    <row r="10613" spans="1:10" x14ac:dyDescent="0.3">
      <c r="A10613" t="str">
        <f>HYPERLINK("https://us2.cloudbeds.com/connect/10074733072513#/reservations/31732128948367?display=MXXJEYXC0&amp;reservation_id=31732128948367", "MXXJEYXC0")</f>
        <v>MXXJEYXC0</v>
      </c>
      <c r="B10613" t="s">
        <v>10</v>
      </c>
      <c r="C10613" t="s">
        <v>23</v>
      </c>
      <c r="D10613" t="str">
        <f>HYPERLINK("https://us2.cloudbeds.com/connect/10074733072513#/reservations/31732128948367?display=Donavan%20Wright&amp;reservation_id=31732128948367&amp;guest_id=31732116603115", "Donavan Wright")</f>
        <v>Donavan Wright</v>
      </c>
      <c r="E10613" t="s">
        <v>9553</v>
      </c>
      <c r="F10613" t="s">
        <v>7468</v>
      </c>
      <c r="G10613">
        <v>378</v>
      </c>
      <c r="H10613">
        <v>410.9</v>
      </c>
      <c r="I10613">
        <v>410.89</v>
      </c>
      <c r="J10613">
        <v>0.01</v>
      </c>
    </row>
    <row r="10614" spans="1:10" x14ac:dyDescent="0.3">
      <c r="A10614" t="str">
        <f>HYPERLINK("https://us2.cloudbeds.com/connect/10074733072513#/reservations/31735430471815?display=MXY4QJAB3&amp;reservation_id=31735430471815", "MXY4QJAB3")</f>
        <v>MXY4QJAB3</v>
      </c>
      <c r="B10614" t="s">
        <v>10</v>
      </c>
      <c r="C10614" t="s">
        <v>42</v>
      </c>
      <c r="D10614" t="str">
        <f>HYPERLINK("https://us2.cloudbeds.com/connect/10074733072513#/reservations/31735430471815?display=Tiffany%20Mayer&amp;reservation_id=31735430471815&amp;guest_id=31735430471810", "Tiffany Mayer")</f>
        <v>Tiffany Mayer</v>
      </c>
      <c r="E10614" t="s">
        <v>9555</v>
      </c>
      <c r="F10614" t="s">
        <v>7751</v>
      </c>
      <c r="G10614">
        <v>183.76</v>
      </c>
      <c r="H10614">
        <v>199.76</v>
      </c>
      <c r="I10614">
        <v>199.75</v>
      </c>
      <c r="J10614">
        <v>0.01</v>
      </c>
    </row>
    <row r="10615" spans="1:10" x14ac:dyDescent="0.3">
      <c r="A10615" t="str">
        <f>HYPERLINK("https://us2.cloudbeds.com/connect/10074733072513#/reservations/31723860037782?display=MXC652UMW&amp;reservation_id=31723860037782", "MXC652UMW")</f>
        <v>MXC652UMW</v>
      </c>
      <c r="B10615" t="s">
        <v>10</v>
      </c>
      <c r="C10615" t="s">
        <v>14</v>
      </c>
      <c r="D10615" t="str">
        <f>HYPERLINK("https://us2.cloudbeds.com/connect/10074733072513#/reservations/31723860037782?display=James%20Beliveau&amp;reservation_id=31723860037782&amp;guest_id=31723860033686", "James Beliveau")</f>
        <v>James Beliveau</v>
      </c>
      <c r="E10615" t="s">
        <v>9556</v>
      </c>
      <c r="F10615" t="s">
        <v>9381</v>
      </c>
      <c r="G10615">
        <v>211.56</v>
      </c>
      <c r="H10615">
        <v>229.98</v>
      </c>
      <c r="I10615">
        <v>229.97</v>
      </c>
      <c r="J10615">
        <v>0.01</v>
      </c>
    </row>
    <row r="10616" spans="1:10" x14ac:dyDescent="0.3">
      <c r="A10616" t="str">
        <f>HYPERLINK("https://us2.cloudbeds.com/connect/10074733072513#/reservations/31730421850272?display=MXH8R615N&amp;reservation_id=31730421850272", "MXH8R615N")</f>
        <v>MXH8R615N</v>
      </c>
      <c r="B10616" t="s">
        <v>10</v>
      </c>
      <c r="C10616" t="s">
        <v>23</v>
      </c>
      <c r="D10616" t="str">
        <f>HYPERLINK("https://us2.cloudbeds.com/connect/10074733072513#/reservations/31730421850272?display=Tracie%20Conway&amp;reservation_id=31730421850272&amp;guest_id=31730421850268", "Tracie Conway")</f>
        <v>Tracie Conway</v>
      </c>
      <c r="E10616" t="s">
        <v>9560</v>
      </c>
      <c r="F10616" t="s">
        <v>9561</v>
      </c>
      <c r="G10616">
        <v>209</v>
      </c>
      <c r="H10616">
        <v>227.19</v>
      </c>
      <c r="I10616">
        <v>227.18</v>
      </c>
      <c r="J10616">
        <v>0.01</v>
      </c>
    </row>
    <row r="10617" spans="1:10" x14ac:dyDescent="0.3">
      <c r="A10617" t="str">
        <f>HYPERLINK("https://us2.cloudbeds.com/connect/10074733072513#/reservations/31733349441687?display=MXJHKQJ70&amp;reservation_id=31733349441687", "MXJHKQJ70")</f>
        <v>MXJHKQJ70</v>
      </c>
      <c r="B10617" t="s">
        <v>10</v>
      </c>
      <c r="C10617" t="s">
        <v>11</v>
      </c>
      <c r="D10617" t="str">
        <f>HYPERLINK("https://us2.cloudbeds.com/connect/10074733072513#/reservations/31733349441687?display=Lei%20Fan&amp;reservation_id=31733349441687&amp;guest_id=31733337989256", "Lei Fan")</f>
        <v>Lei Fan</v>
      </c>
      <c r="E10617" t="s">
        <v>9564</v>
      </c>
      <c r="F10617" t="s">
        <v>9256</v>
      </c>
      <c r="G10617">
        <v>247.96</v>
      </c>
      <c r="H10617">
        <v>269.54000000000002</v>
      </c>
      <c r="I10617">
        <v>269.52999999999997</v>
      </c>
      <c r="J10617">
        <v>0.01</v>
      </c>
    </row>
    <row r="10618" spans="1:10" x14ac:dyDescent="0.3">
      <c r="A10618" t="str">
        <f>HYPERLINK("https://us2.cloudbeds.com/connect/10074733072513#/reservations/31732411134103?display=MXXQYJQ2U&amp;reservation_id=31732411134103", "MXXQYJQ2U")</f>
        <v>MXXQYJQ2U</v>
      </c>
      <c r="B10618" t="s">
        <v>10</v>
      </c>
      <c r="C10618" t="s">
        <v>42</v>
      </c>
      <c r="D10618" t="str">
        <f>HYPERLINK("https://us2.cloudbeds.com/connect/10074733072513#/reservations/31732411134103?display=Julie%20Dagenais&amp;reservation_id=31732411134103&amp;guest_id=31732411134098", "Julie Dagenais")</f>
        <v>Julie Dagenais</v>
      </c>
      <c r="E10618" t="s">
        <v>7711</v>
      </c>
      <c r="F10618" t="s">
        <v>9122</v>
      </c>
      <c r="G10618">
        <v>378</v>
      </c>
      <c r="H10618">
        <v>410.9</v>
      </c>
      <c r="I10618">
        <v>410.89</v>
      </c>
      <c r="J10618">
        <v>0.01</v>
      </c>
    </row>
    <row r="10619" spans="1:10" x14ac:dyDescent="0.3">
      <c r="A10619" t="str">
        <f>HYPERLINK("https://us2.cloudbeds.com/connect/10074733072513#/reservations/31735075455198?display=MXKSZ7EUQ&amp;reservation_id=31735075455198", "MXKSZ7EUQ")</f>
        <v>MXKSZ7EUQ</v>
      </c>
      <c r="B10619" t="s">
        <v>10</v>
      </c>
      <c r="C10619" t="s">
        <v>121</v>
      </c>
      <c r="D10619" t="str">
        <f>HYPERLINK("https://us2.cloudbeds.com/connect/10074733072513#/reservations/31735075455198?display=Ricky%20Reinicke&amp;reservation_id=31735075455198&amp;guest_id=31715629797521", "Ricky Reinicke")</f>
        <v>Ricky Reinicke</v>
      </c>
      <c r="E10619" t="s">
        <v>9566</v>
      </c>
      <c r="F10619" t="s">
        <v>9118</v>
      </c>
      <c r="G10619">
        <v>129</v>
      </c>
      <c r="H10619">
        <v>140.22999999999999</v>
      </c>
      <c r="I10619">
        <v>140.22</v>
      </c>
      <c r="J10619">
        <v>0.01</v>
      </c>
    </row>
    <row r="10620" spans="1:10" x14ac:dyDescent="0.3">
      <c r="A10620" t="str">
        <f>HYPERLINK("https://us2.cloudbeds.com/connect/10074733072513#/reservations/31735093420173?display=MXKT6CBMW&amp;reservation_id=31735093420173", "MXKT6CBMW")</f>
        <v>MXKT6CBMW</v>
      </c>
      <c r="B10620" t="s">
        <v>10</v>
      </c>
      <c r="C10620" t="s">
        <v>23</v>
      </c>
      <c r="D10620" t="str">
        <f>HYPERLINK("https://us2.cloudbeds.com/connect/10074733072513#/reservations/31735093420173?display=Tamela%20Eitle&amp;reservation_id=31735093420173&amp;guest_id=31735085396156", "Tamela Eitle")</f>
        <v>Tamela Eitle</v>
      </c>
      <c r="E10620" t="s">
        <v>9567</v>
      </c>
      <c r="F10620" t="s">
        <v>9118</v>
      </c>
      <c r="G10620">
        <v>129</v>
      </c>
      <c r="H10620">
        <v>140.22999999999999</v>
      </c>
      <c r="I10620">
        <v>140.22</v>
      </c>
      <c r="J10620">
        <v>0.01</v>
      </c>
    </row>
    <row r="10621" spans="1:10" x14ac:dyDescent="0.3">
      <c r="A10621" t="str">
        <f>HYPERLINK("https://us2.cloudbeds.com/connect/10074733072513#/reservations/31734091530369?display=MXK3JX9MT&amp;reservation_id=31734091530369", "MXK3JX9MT")</f>
        <v>MXK3JX9MT</v>
      </c>
      <c r="B10621" t="s">
        <v>10</v>
      </c>
      <c r="C10621" t="s">
        <v>42</v>
      </c>
      <c r="D10621" t="str">
        <f>HYPERLINK("https://us2.cloudbeds.com/connect/10074733072513#/reservations/31734091530369?display=Tim%20Anderson&amp;reservation_id=31734091530369&amp;guest_id=31734082470119", "Tim Anderson")</f>
        <v>Tim Anderson</v>
      </c>
      <c r="E10621" t="s">
        <v>9568</v>
      </c>
      <c r="F10621" t="s">
        <v>9118</v>
      </c>
      <c r="G10621">
        <v>129</v>
      </c>
      <c r="H10621">
        <v>140.22999999999999</v>
      </c>
      <c r="I10621">
        <v>140.22</v>
      </c>
      <c r="J10621">
        <v>0.01</v>
      </c>
    </row>
    <row r="10622" spans="1:10" x14ac:dyDescent="0.3">
      <c r="A10622" t="str">
        <f>HYPERLINK("https://us2.cloudbeds.com/connect/10074733072513#/reservations/31735222587632?display=MXKWG9KPD&amp;reservation_id=31735222587632", "MXKWG9KPD")</f>
        <v>MXKWG9KPD</v>
      </c>
      <c r="B10622" t="s">
        <v>10</v>
      </c>
      <c r="C10622" t="s">
        <v>121</v>
      </c>
      <c r="D10622" t="str">
        <f>HYPERLINK("https://us2.cloudbeds.com/connect/10074733072513#/reservations/31735222587632?display=Michael%20Mcginnis&amp;reservation_id=31735222587632&amp;guest_id=31735208878297", "Michael Mcginnis")</f>
        <v>Michael Mcginnis</v>
      </c>
      <c r="E10622" t="s">
        <v>9569</v>
      </c>
      <c r="F10622" t="s">
        <v>9118</v>
      </c>
      <c r="G10622">
        <v>129</v>
      </c>
      <c r="H10622">
        <v>140.22999999999999</v>
      </c>
      <c r="I10622">
        <v>140.22</v>
      </c>
      <c r="J10622">
        <v>0.01</v>
      </c>
    </row>
    <row r="10623" spans="1:10" x14ac:dyDescent="0.3">
      <c r="A10623" t="str">
        <f>HYPERLINK("https://us2.cloudbeds.com/connect/10074733072513#/reservations/31734830297323?display=MXKMFGXU9&amp;reservation_id=31734830297323", "MXKMFGXU9")</f>
        <v>MXKMFGXU9</v>
      </c>
      <c r="B10623" t="s">
        <v>10</v>
      </c>
      <c r="C10623" t="s">
        <v>42</v>
      </c>
      <c r="D10623" t="str">
        <f>HYPERLINK("https://us2.cloudbeds.com/connect/10074733072513#/reservations/31734830297323?display=Jody%20Schindler&amp;reservation_id=31734830297323&amp;guest_id=31712354267273", "Jody Schindler")</f>
        <v>Jody Schindler</v>
      </c>
      <c r="E10623" t="s">
        <v>9570</v>
      </c>
      <c r="F10623" t="s">
        <v>9256</v>
      </c>
      <c r="G10623">
        <v>159</v>
      </c>
      <c r="H10623">
        <v>172.84</v>
      </c>
      <c r="I10623">
        <v>172.83</v>
      </c>
      <c r="J10623">
        <v>0.01</v>
      </c>
    </row>
    <row r="10624" spans="1:10" x14ac:dyDescent="0.3">
      <c r="A10624" t="str">
        <f>HYPERLINK("https://us2.cloudbeds.com/connect/10074733072513#/reservations/31731919614082?display=MXXE34H6R&amp;reservation_id=31731919614082", "MXXE34H6R")</f>
        <v>MXXE34H6R</v>
      </c>
      <c r="B10624" t="s">
        <v>10</v>
      </c>
      <c r="C10624" t="s">
        <v>42</v>
      </c>
      <c r="D10624" t="str">
        <f>HYPERLINK("https://us2.cloudbeds.com/connect/10074733072513#/reservations/31731919614082?display=Donna%20Mason&amp;reservation_id=31731919614082&amp;guest_id=31731908620447", "Donna Mason")</f>
        <v>Donna Mason</v>
      </c>
      <c r="E10624" t="s">
        <v>9571</v>
      </c>
      <c r="F10624" t="s">
        <v>9381</v>
      </c>
      <c r="G10624">
        <v>129</v>
      </c>
      <c r="H10624">
        <v>140.22999999999999</v>
      </c>
      <c r="I10624">
        <v>140.22</v>
      </c>
      <c r="J10624">
        <v>0.01</v>
      </c>
    </row>
    <row r="10625" spans="1:10" x14ac:dyDescent="0.3">
      <c r="A10625" t="str">
        <f>HYPERLINK("https://us2.cloudbeds.com/connect/10074733072513#/reservations/31734540546261?display=MXKF25R52&amp;reservation_id=31734540546261", "MXKF25R52")</f>
        <v>MXKF25R52</v>
      </c>
      <c r="B10625" t="s">
        <v>10</v>
      </c>
      <c r="C10625" t="s">
        <v>17</v>
      </c>
      <c r="D10625" t="str">
        <f>HYPERLINK("https://us2.cloudbeds.com/connect/10074733072513#/reservations/31734540546261?display=Dyann%20Altwine&amp;reservation_id=31734540546261&amp;guest_id=31734540546256", "Dyann Altwine")</f>
        <v>Dyann Altwine</v>
      </c>
      <c r="E10625" t="s">
        <v>9573</v>
      </c>
      <c r="F10625" t="s">
        <v>8340</v>
      </c>
      <c r="G10625">
        <v>273</v>
      </c>
      <c r="H10625">
        <v>296.76</v>
      </c>
      <c r="I10625">
        <v>296.75</v>
      </c>
      <c r="J10625">
        <v>0.01</v>
      </c>
    </row>
    <row r="10626" spans="1:10" x14ac:dyDescent="0.3">
      <c r="A10626" t="str">
        <f>HYPERLINK("https://us2.cloudbeds.com/connect/10074733072513#/reservations/31735949476037?display=MXYX27C7P&amp;reservation_id=31735949476037", "MXYX27C7P")</f>
        <v>MXYX27C7P</v>
      </c>
      <c r="B10626" t="s">
        <v>10</v>
      </c>
      <c r="C10626" t="s">
        <v>42</v>
      </c>
      <c r="D10626" t="str">
        <f>HYPERLINK("https://us2.cloudbeds.com/connect/10074733072513#/reservations/31735949476037?display=Nate%20Stellrecht&amp;reservation_id=31735949476037&amp;guest_id=31683224240261", "Nate Stellrecht")</f>
        <v>Nate Stellrecht</v>
      </c>
      <c r="E10626" t="s">
        <v>7087</v>
      </c>
      <c r="F10626" t="s">
        <v>9531</v>
      </c>
      <c r="G10626">
        <v>252</v>
      </c>
      <c r="H10626">
        <v>273.93</v>
      </c>
      <c r="I10626">
        <v>273.92</v>
      </c>
      <c r="J10626">
        <v>0.01</v>
      </c>
    </row>
    <row r="10627" spans="1:10" x14ac:dyDescent="0.3">
      <c r="A10627" t="str">
        <f>HYPERLINK("https://us2.cloudbeds.com/connect/10074733072513#/reservations/31735031730352?display=MXKRKBZXF&amp;reservation_id=31735031730352", "MXKRKBZXF")</f>
        <v>MXKRKBZXF</v>
      </c>
      <c r="B10627" t="s">
        <v>10</v>
      </c>
      <c r="C10627" t="s">
        <v>23</v>
      </c>
      <c r="D10627" t="str">
        <f>HYPERLINK("https://us2.cloudbeds.com/connect/10074733072513#/reservations/31735031730352?display=Keri%20Bostwick&amp;reservation_id=31735031730352&amp;guest_id=31735031730347", "Keri Bostwick")</f>
        <v>Keri Bostwick</v>
      </c>
      <c r="E10627" t="s">
        <v>9574</v>
      </c>
      <c r="F10627" t="s">
        <v>9118</v>
      </c>
      <c r="G10627">
        <v>129</v>
      </c>
      <c r="H10627">
        <v>140.22999999999999</v>
      </c>
      <c r="I10627">
        <v>140.22</v>
      </c>
      <c r="J10627">
        <v>0.01</v>
      </c>
    </row>
    <row r="10628" spans="1:10" x14ac:dyDescent="0.3">
      <c r="A10628" t="str">
        <f>HYPERLINK("https://us2.cloudbeds.com/connect/10074733072513#/reservations/31733640872095?display=MXJP2X22X&amp;reservation_id=31733640872095", "MXJP2X22X")</f>
        <v>MXJP2X22X</v>
      </c>
      <c r="B10628" t="s">
        <v>10</v>
      </c>
      <c r="C10628" t="s">
        <v>42</v>
      </c>
      <c r="D10628" t="str">
        <f>HYPERLINK("https://us2.cloudbeds.com/connect/10074733072513#/reservations/31733640872095?display=Chad%20Fleer&amp;reservation_id=31733640872095&amp;guest_id=31719039115516", "Chad Fleer")</f>
        <v>Chad Fleer</v>
      </c>
      <c r="E10628" t="s">
        <v>9575</v>
      </c>
      <c r="F10628" t="s">
        <v>9576</v>
      </c>
      <c r="G10628">
        <v>129</v>
      </c>
      <c r="H10628">
        <v>140.22999999999999</v>
      </c>
      <c r="I10628">
        <v>140.22</v>
      </c>
      <c r="J10628">
        <v>0.01</v>
      </c>
    </row>
    <row r="10629" spans="1:10" x14ac:dyDescent="0.3">
      <c r="A10629" t="str">
        <f>HYPERLINK("https://us2.cloudbeds.com/connect/10074733072513#/reservations/31734449287332?display=MXKCZ7DFW&amp;reservation_id=31734449287332", "MXKCZ7DFW")</f>
        <v>MXKCZ7DFW</v>
      </c>
      <c r="B10629" t="s">
        <v>10</v>
      </c>
      <c r="C10629" t="s">
        <v>42</v>
      </c>
      <c r="D10629" t="str">
        <f>HYPERLINK("https://us2.cloudbeds.com/connect/10074733072513#/reservations/31734449287332?display=Gina%20Koenig&amp;reservation_id=31734449287332&amp;guest_id=31734449287330", "Gina Koenig")</f>
        <v>Gina Koenig</v>
      </c>
      <c r="E10629" t="s">
        <v>9577</v>
      </c>
      <c r="F10629" t="s">
        <v>9256</v>
      </c>
      <c r="G10629">
        <v>159</v>
      </c>
      <c r="H10629">
        <v>172.84</v>
      </c>
      <c r="I10629">
        <v>172.83</v>
      </c>
      <c r="J10629">
        <v>0.01</v>
      </c>
    </row>
    <row r="10630" spans="1:10" x14ac:dyDescent="0.3">
      <c r="A10630" t="str">
        <f>HYPERLINK("https://us2.cloudbeds.com/connect/10074733072513#/reservations/31735640502468?display=MXYA5MNVB&amp;reservation_id=31735640502468", "MXYA5MNVB")</f>
        <v>MXYA5MNVB</v>
      </c>
      <c r="B10630" t="s">
        <v>10</v>
      </c>
      <c r="C10630" t="s">
        <v>42</v>
      </c>
      <c r="D10630" t="str">
        <f>HYPERLINK("https://us2.cloudbeds.com/connect/10074733072513#/reservations/31735640502468?display=Gene%20Westerbuhr&amp;reservation_id=31735640502468&amp;guest_id=20922712387838", "Gene Westerbuhr")</f>
        <v>Gene Westerbuhr</v>
      </c>
      <c r="E10630" t="s">
        <v>3803</v>
      </c>
      <c r="F10630" t="s">
        <v>9500</v>
      </c>
      <c r="G10630">
        <v>178</v>
      </c>
      <c r="H10630">
        <v>193.5</v>
      </c>
      <c r="I10630">
        <v>193.49</v>
      </c>
      <c r="J10630">
        <v>0.01</v>
      </c>
    </row>
    <row r="10631" spans="1:10" x14ac:dyDescent="0.3">
      <c r="A10631" t="str">
        <f>HYPERLINK("https://us2.cloudbeds.com/connect/10074733072513#/reservations/31734461808770?display=MXKD1PRJG&amp;reservation_id=31734461808770", "MXKD1PRJG")</f>
        <v>MXKD1PRJG</v>
      </c>
      <c r="B10631" t="s">
        <v>10</v>
      </c>
      <c r="C10631" t="s">
        <v>42</v>
      </c>
      <c r="D10631" t="str">
        <f>HYPERLINK("https://us2.cloudbeds.com/connect/10074733072513#/reservations/31734461808770?display=Karen%20Napier&amp;reservation_id=31734461808770&amp;guest_id=31734461804716", "Karen Napier")</f>
        <v>Karen Napier</v>
      </c>
      <c r="E10631" t="s">
        <v>9578</v>
      </c>
      <c r="F10631" t="s">
        <v>9256</v>
      </c>
      <c r="G10631">
        <v>159</v>
      </c>
      <c r="H10631">
        <v>172.84</v>
      </c>
      <c r="I10631">
        <v>172.83</v>
      </c>
      <c r="J10631">
        <v>0.01</v>
      </c>
    </row>
    <row r="10632" spans="1:10" x14ac:dyDescent="0.3">
      <c r="A10632" t="str">
        <f>HYPERLINK("https://us2.cloudbeds.com/connect/10074733072513#/reservations/31735961149624?display=MXYXC26PR&amp;reservation_id=31735961149624", "MXYXC26PR")</f>
        <v>MXYXC26PR</v>
      </c>
      <c r="B10632" t="s">
        <v>10</v>
      </c>
      <c r="C10632" t="s">
        <v>42</v>
      </c>
      <c r="D10632" t="str">
        <f>HYPERLINK("https://us2.cloudbeds.com/connect/10074733072513#/reservations/31735961149624?display=Carl%20Peterson&amp;reservation_id=31735961149624&amp;guest_id=31683231355111", "Carl Peterson")</f>
        <v>Carl Peterson</v>
      </c>
      <c r="E10632" t="s">
        <v>6943</v>
      </c>
      <c r="F10632" t="s">
        <v>9531</v>
      </c>
      <c r="G10632">
        <v>252</v>
      </c>
      <c r="H10632">
        <v>273.93</v>
      </c>
      <c r="I10632">
        <v>273.92</v>
      </c>
      <c r="J10632">
        <v>0.01</v>
      </c>
    </row>
    <row r="10633" spans="1:10" x14ac:dyDescent="0.3">
      <c r="A10633" t="str">
        <f>HYPERLINK("https://us2.cloudbeds.com/connect/10074733072513#/reservations/31733562388624?display=MXJN2C4PX&amp;reservation_id=31733562388624", "MXJN2C4PX")</f>
        <v>MXJN2C4PX</v>
      </c>
      <c r="B10633" t="s">
        <v>10</v>
      </c>
      <c r="C10633" t="s">
        <v>23</v>
      </c>
      <c r="D10633" t="str">
        <f>HYPERLINK("https://us2.cloudbeds.com/connect/10074733072513#/reservations/31733562388624?display=Sheri%20Smith&amp;reservation_id=31733562388624&amp;guest_id=31733562384528", "Sheri Smith")</f>
        <v>Sheri Smith</v>
      </c>
      <c r="E10633" t="s">
        <v>9582</v>
      </c>
      <c r="F10633" t="s">
        <v>9576</v>
      </c>
      <c r="G10633">
        <v>129</v>
      </c>
      <c r="H10633">
        <v>140.22999999999999</v>
      </c>
      <c r="I10633">
        <v>140.22</v>
      </c>
      <c r="J10633">
        <v>0.01</v>
      </c>
    </row>
    <row r="10634" spans="1:10" x14ac:dyDescent="0.3">
      <c r="A10634" t="str">
        <f>HYPERLINK("https://us2.cloudbeds.com/connect/10074733072513#/reservations/31734997942414?display=MXKQZSHWX&amp;reservation_id=31734997942414", "MXKQZSHWX")</f>
        <v>MXKQZSHWX</v>
      </c>
      <c r="B10634" t="s">
        <v>10</v>
      </c>
      <c r="C10634" t="s">
        <v>11</v>
      </c>
      <c r="D10634" t="str">
        <f>HYPERLINK("https://us2.cloudbeds.com/connect/10074733072513#/reservations/31734997942414?display=Gabriel%20Padilla&amp;reservation_id=31734997942414&amp;guest_id=31734988648692", "Gabriel Padilla")</f>
        <v>Gabriel Padilla</v>
      </c>
      <c r="E10634" t="s">
        <v>9583</v>
      </c>
      <c r="F10634" t="s">
        <v>9576</v>
      </c>
      <c r="G10634">
        <v>102.58</v>
      </c>
      <c r="H10634">
        <v>111.51</v>
      </c>
      <c r="I10634">
        <v>111.5</v>
      </c>
      <c r="J10634">
        <v>0.01</v>
      </c>
    </row>
    <row r="10635" spans="1:10" x14ac:dyDescent="0.3">
      <c r="A10635" t="str">
        <f>HYPERLINK("https://us2.cloudbeds.com/connect/10074733072513#/reservations/31733584879748?display=MXJNYAWPZ&amp;reservation_id=31733584879748", "MXJNYAWPZ")</f>
        <v>MXJNYAWPZ</v>
      </c>
      <c r="B10635" t="s">
        <v>10</v>
      </c>
      <c r="C10635" t="s">
        <v>11</v>
      </c>
      <c r="D10635" t="str">
        <f>HYPERLINK("https://us2.cloudbeds.com/connect/10074733072513#/reservations/31733584879748?display=Gabriel%20Padilla&amp;reservation_id=31733584879748&amp;guest_id=31733584875653", "Gabriel Padilla")</f>
        <v>Gabriel Padilla</v>
      </c>
      <c r="E10635" t="s">
        <v>9584</v>
      </c>
      <c r="F10635" t="s">
        <v>9576</v>
      </c>
      <c r="G10635">
        <v>102.58</v>
      </c>
      <c r="H10635">
        <v>111.51</v>
      </c>
      <c r="I10635">
        <v>111.5</v>
      </c>
      <c r="J10635">
        <v>0.01</v>
      </c>
    </row>
    <row r="10636" spans="1:10" x14ac:dyDescent="0.3">
      <c r="A10636" t="str">
        <f>HYPERLINK("https://us2.cloudbeds.com/connect/10074733072513#/reservations/31733613699209?display=MXJZCKUUP&amp;reservation_id=31733613699209", "MXJZCKUUP")</f>
        <v>MXJZCKUUP</v>
      </c>
      <c r="B10636" t="s">
        <v>10</v>
      </c>
      <c r="C10636" t="s">
        <v>121</v>
      </c>
      <c r="D10636" t="str">
        <f>HYPERLINK("https://us2.cloudbeds.com/connect/10074733072513#/reservations/31733613699209?display=Lance%20Chase&amp;reservation_id=31733613699209&amp;guest_id=31733605204150", "Lance Chase")</f>
        <v>Lance Chase</v>
      </c>
      <c r="E10636" t="s">
        <v>9585</v>
      </c>
      <c r="F10636" t="s">
        <v>9576</v>
      </c>
      <c r="G10636">
        <v>129</v>
      </c>
      <c r="H10636">
        <v>140.22999999999999</v>
      </c>
      <c r="I10636">
        <v>140.22</v>
      </c>
      <c r="J10636">
        <v>0.01</v>
      </c>
    </row>
    <row r="10637" spans="1:10" x14ac:dyDescent="0.3">
      <c r="A10637" t="str">
        <f>HYPERLINK("https://us2.cloudbeds.com/connect/10074733072513#/reservations/31731660837040?display=MXX7FUM29&amp;reservation_id=31731660837040", "MXX7FUM29")</f>
        <v>MXX7FUM29</v>
      </c>
      <c r="B10637" t="s">
        <v>10</v>
      </c>
      <c r="C10637" t="s">
        <v>23</v>
      </c>
      <c r="D10637" t="str">
        <f>HYPERLINK("https://us2.cloudbeds.com/connect/10074733072513#/reservations/31731660837040?display=Robert%20Worden&amp;reservation_id=31731660837040&amp;guest_id=31731660837038", "Robert Worden")</f>
        <v>Robert Worden</v>
      </c>
      <c r="E10637" t="s">
        <v>9586</v>
      </c>
      <c r="F10637" t="s">
        <v>9319</v>
      </c>
      <c r="G10637">
        <v>129</v>
      </c>
      <c r="H10637">
        <v>140.22999999999999</v>
      </c>
      <c r="I10637">
        <v>140.22</v>
      </c>
      <c r="J10637">
        <v>0.01</v>
      </c>
    </row>
    <row r="10638" spans="1:10" x14ac:dyDescent="0.3">
      <c r="A10638" t="str">
        <f>HYPERLINK("https://us2.cloudbeds.com/connect/10074733072513#/reservations/31734750945448?display=MXKKEJG60&amp;reservation_id=31734750945448", "MXKKEJG60")</f>
        <v>MXKKEJG60</v>
      </c>
      <c r="B10638" t="s">
        <v>10</v>
      </c>
      <c r="C10638" t="s">
        <v>14</v>
      </c>
      <c r="D10638" t="str">
        <f>HYPERLINK("https://us2.cloudbeds.com/connect/10074733072513#/reservations/31734750945448?display=Sarah%20Mattila&amp;reservation_id=31734750945448&amp;guest_id=31734741000337", "Sarah Mattila")</f>
        <v>Sarah Mattila</v>
      </c>
      <c r="E10638" t="s">
        <v>9587</v>
      </c>
      <c r="F10638" t="s">
        <v>9588</v>
      </c>
      <c r="G10638">
        <v>129</v>
      </c>
      <c r="H10638">
        <v>140.22999999999999</v>
      </c>
      <c r="I10638">
        <v>140.22</v>
      </c>
      <c r="J10638">
        <v>0.01</v>
      </c>
    </row>
    <row r="10639" spans="1:10" x14ac:dyDescent="0.3">
      <c r="A10639" t="str">
        <f>HYPERLINK("https://us2.cloudbeds.com/connect/10074733072513#/reservations/31733678792857?display=MXJQ1H8NX&amp;reservation_id=31733678792857", "MXJQ1H8NX")</f>
        <v>MXJQ1H8NX</v>
      </c>
      <c r="B10639" t="s">
        <v>10</v>
      </c>
      <c r="C10639" t="s">
        <v>11</v>
      </c>
      <c r="D10639" t="str">
        <f>HYPERLINK("https://us2.cloudbeds.com/connect/10074733072513#/reservations/31733678792857?display=Ruby%20Asquith&amp;reservation_id=31733678792857&amp;guest_id=31733670899964", "Ruby Asquith")</f>
        <v>Ruby Asquith</v>
      </c>
      <c r="E10639" t="s">
        <v>9590</v>
      </c>
      <c r="F10639" t="s">
        <v>8596</v>
      </c>
      <c r="G10639">
        <v>293.72000000000003</v>
      </c>
      <c r="H10639">
        <v>319.27999999999997</v>
      </c>
      <c r="I10639">
        <v>319.27</v>
      </c>
      <c r="J10639">
        <v>0.01</v>
      </c>
    </row>
    <row r="10640" spans="1:10" x14ac:dyDescent="0.3">
      <c r="A10640" t="str">
        <f>HYPERLINK("https://us2.cloudbeds.com/connect/10074733072513#/reservations/31731966185622?display=MXXF9DEKK&amp;reservation_id=31731966185622", "MXXF9DEKK")</f>
        <v>MXXF9DEKK</v>
      </c>
      <c r="B10640" t="s">
        <v>10</v>
      </c>
      <c r="C10640" t="s">
        <v>42</v>
      </c>
      <c r="D10640" t="str">
        <f>HYPERLINK("https://us2.cloudbeds.com/connect/10074733072513#/reservations/31731966185622?display=Brooke%20Darnell&amp;reservation_id=31731966185622&amp;guest_id=31723887587555", "Brooke Darnell")</f>
        <v>Brooke Darnell</v>
      </c>
      <c r="E10640" t="s">
        <v>9591</v>
      </c>
      <c r="F10640" t="s">
        <v>9381</v>
      </c>
      <c r="G10640">
        <v>432</v>
      </c>
      <c r="H10640">
        <v>469.59</v>
      </c>
      <c r="I10640">
        <v>469.58</v>
      </c>
      <c r="J10640">
        <v>0.01</v>
      </c>
    </row>
    <row r="10641" spans="1:10" x14ac:dyDescent="0.3">
      <c r="A10641" t="str">
        <f>HYPERLINK("https://us2.cloudbeds.com/connect/10074733072513#/reservations/31733096292488?display=MXJB5BAW7&amp;reservation_id=31733096292488", "MXJB5BAW7")</f>
        <v>MXJB5BAW7</v>
      </c>
      <c r="B10641" t="s">
        <v>10</v>
      </c>
      <c r="C10641" t="s">
        <v>42</v>
      </c>
      <c r="D10641" t="str">
        <f>HYPERLINK("https://us2.cloudbeds.com/connect/10074733072513#/reservations/31733096292488?display=Jody%20Obermeier&amp;reservation_id=31733096292488&amp;guest_id=31733078012125", "Jody Obermeier")</f>
        <v>Jody Obermeier</v>
      </c>
      <c r="E10641" t="s">
        <v>9593</v>
      </c>
      <c r="F10641" t="s">
        <v>8596</v>
      </c>
      <c r="G10641">
        <v>378</v>
      </c>
      <c r="H10641">
        <v>410.9</v>
      </c>
      <c r="I10641">
        <v>410.89</v>
      </c>
      <c r="J10641">
        <v>0.01</v>
      </c>
    </row>
    <row r="10642" spans="1:10" x14ac:dyDescent="0.3">
      <c r="A10642" t="str">
        <f>HYPERLINK("https://us2.cloudbeds.com/connect/10074733072513#/reservations/31723896508605?display=MXC72RPTE&amp;reservation_id=31723896508605", "MXC72RPTE")</f>
        <v>MXC72RPTE</v>
      </c>
      <c r="B10642" t="s">
        <v>10</v>
      </c>
      <c r="C10642" t="s">
        <v>42</v>
      </c>
      <c r="D10642" t="str">
        <f>HYPERLINK("https://us2.cloudbeds.com/connect/10074733072513#/reservations/31723896508605?display=Brooke%20Darnell&amp;reservation_id=31723896508605&amp;guest_id=31723887587555", "Brooke Darnell")</f>
        <v>Brooke Darnell</v>
      </c>
      <c r="E10642" t="s">
        <v>9591</v>
      </c>
      <c r="F10642" t="s">
        <v>9381</v>
      </c>
      <c r="G10642">
        <v>432</v>
      </c>
      <c r="H10642">
        <v>469.59</v>
      </c>
      <c r="I10642">
        <v>469.58</v>
      </c>
      <c r="J10642">
        <v>0.01</v>
      </c>
    </row>
    <row r="10643" spans="1:10" x14ac:dyDescent="0.3">
      <c r="A10643" t="str">
        <f>HYPERLINK("https://us2.cloudbeds.com/connect/10074733072513#/reservations/31735972233374?display=MXYXYDKN1&amp;reservation_id=31735972233374", "MXYXYDKN1")</f>
        <v>MXYXYDKN1</v>
      </c>
      <c r="B10643" t="s">
        <v>10</v>
      </c>
      <c r="C10643" t="s">
        <v>42</v>
      </c>
      <c r="D10643" t="str">
        <f>HYPERLINK("https://us2.cloudbeds.com/connect/10074733072513#/reservations/31735972233374?display=Andrew%20Pierce&amp;reservation_id=31735972233374&amp;guest_id=31688520413432", "Andrew Pierce")</f>
        <v>Andrew Pierce</v>
      </c>
      <c r="E10643" t="s">
        <v>7935</v>
      </c>
      <c r="F10643" t="s">
        <v>9531</v>
      </c>
      <c r="G10643">
        <v>273</v>
      </c>
      <c r="H10643">
        <v>296.76</v>
      </c>
      <c r="I10643">
        <v>296.75</v>
      </c>
      <c r="J10643">
        <v>0.01</v>
      </c>
    </row>
    <row r="10644" spans="1:10" x14ac:dyDescent="0.3">
      <c r="A10644" t="str">
        <f>HYPERLINK("https://us2.cloudbeds.com/connect/10074733072513#/reservations/31734843588741?display=MXKMQNE2H&amp;reservation_id=31734843588741", "MXKMQNE2H")</f>
        <v>MXKMQNE2H</v>
      </c>
      <c r="B10644" t="s">
        <v>10</v>
      </c>
      <c r="C10644" t="s">
        <v>42</v>
      </c>
      <c r="D10644" t="str">
        <f>HYPERLINK("https://us2.cloudbeds.com/connect/10074733072513#/reservations/31734843588741?display=Mia%20Bergman&amp;reservation_id=31734843588741&amp;guest_id=31734843584641", "Mia Bergman")</f>
        <v>Mia Bergman</v>
      </c>
      <c r="E10644" t="s">
        <v>9595</v>
      </c>
      <c r="F10644" t="s">
        <v>9256</v>
      </c>
      <c r="G10644">
        <v>179</v>
      </c>
      <c r="H10644">
        <v>194.58</v>
      </c>
      <c r="I10644">
        <v>194.57</v>
      </c>
      <c r="J10644">
        <v>0.01</v>
      </c>
    </row>
    <row r="10645" spans="1:10" x14ac:dyDescent="0.3">
      <c r="A10645" t="str">
        <f>HYPERLINK("https://us2.cloudbeds.com/connect/10074733072513#/reservations/31734493905055?display=MXKDSRVP6&amp;reservation_id=31734493905055", "MXKDSRVP6")</f>
        <v>MXKDSRVP6</v>
      </c>
      <c r="B10645" t="s">
        <v>10</v>
      </c>
      <c r="C10645" t="s">
        <v>42</v>
      </c>
      <c r="D10645" t="str">
        <f>HYPERLINK("https://us2.cloudbeds.com/connect/10074733072513#/reservations/31734493905055?display=Marian%20Gehrls&amp;reservation_id=31734493905055&amp;guest_id=31734493900960", "Marian Gehrls")</f>
        <v>Marian Gehrls</v>
      </c>
      <c r="E10645" t="s">
        <v>9597</v>
      </c>
      <c r="F10645" t="s">
        <v>9338</v>
      </c>
      <c r="G10645">
        <v>398</v>
      </c>
      <c r="H10645">
        <v>432.64</v>
      </c>
      <c r="I10645">
        <v>432.63</v>
      </c>
      <c r="J10645">
        <v>0.01</v>
      </c>
    </row>
    <row r="10646" spans="1:10" x14ac:dyDescent="0.3">
      <c r="A10646" t="str">
        <f>HYPERLINK("https://us2.cloudbeds.com/connect/10074733072513#/reservations/31732876304603?display=MXJ5HRRTM&amp;reservation_id=31732876304603", "MXJ5HRRTM")</f>
        <v>MXJ5HRRTM</v>
      </c>
      <c r="B10646" t="s">
        <v>10</v>
      </c>
      <c r="C10646" t="s">
        <v>17</v>
      </c>
      <c r="D10646" t="str">
        <f>HYPERLINK("https://us2.cloudbeds.com/connect/10074733072513#/reservations/31732876304603?display=Eileen%20Hofer&amp;reservation_id=31732876304603&amp;guest_id=31732871377084", "Eileen Hofer")</f>
        <v>Eileen Hofer</v>
      </c>
      <c r="E10646" t="s">
        <v>9599</v>
      </c>
      <c r="F10646" t="s">
        <v>9511</v>
      </c>
      <c r="G10646">
        <v>139</v>
      </c>
      <c r="H10646">
        <v>151.1</v>
      </c>
      <c r="I10646">
        <v>151.09</v>
      </c>
      <c r="J10646">
        <v>0.01</v>
      </c>
    </row>
    <row r="10647" spans="1:10" x14ac:dyDescent="0.3">
      <c r="A10647" t="str">
        <f>HYPERLINK("https://us2.cloudbeds.com/connect/10074733072513#/reservations/31734794207400?display=MXKYX2AG8&amp;reservation_id=31734794207400", "MXKYX2AG8")</f>
        <v>MXKYX2AG8</v>
      </c>
      <c r="B10647" t="s">
        <v>10</v>
      </c>
      <c r="C10647" t="s">
        <v>23</v>
      </c>
      <c r="D10647" t="str">
        <f>HYPERLINK("https://us2.cloudbeds.com/connect/10074733072513#/reservations/31734794207400?display=James%20Mccrain&amp;reservation_id=31734794207400&amp;guest_id=31734784393419", "James Mccrain")</f>
        <v>James Mccrain</v>
      </c>
      <c r="E10647" t="s">
        <v>9603</v>
      </c>
      <c r="F10647" t="s">
        <v>9531</v>
      </c>
      <c r="G10647">
        <v>129</v>
      </c>
      <c r="H10647">
        <v>140.22999999999999</v>
      </c>
      <c r="I10647">
        <v>140.22</v>
      </c>
      <c r="J10647">
        <v>0.01</v>
      </c>
    </row>
    <row r="10648" spans="1:10" x14ac:dyDescent="0.3">
      <c r="A10648" t="str">
        <f>HYPERLINK("https://us2.cloudbeds.com/connect/10074733072513#/reservations/31735402311929?display=MXY42RNS7&amp;reservation_id=31735402311929", "MXY42RNS7")</f>
        <v>MXY42RNS7</v>
      </c>
      <c r="B10648" t="s">
        <v>10</v>
      </c>
      <c r="C10648" t="s">
        <v>42</v>
      </c>
      <c r="D10648" t="str">
        <f>HYPERLINK("https://us2.cloudbeds.com/connect/10074733072513#/reservations/31735402311929?display=Jennie%20Brightwell&amp;reservation_id=31735402311929&amp;guest_id=31735390498974", "Jennie Brightwell")</f>
        <v>Jennie Brightwell</v>
      </c>
      <c r="E10648" t="s">
        <v>9605</v>
      </c>
      <c r="F10648" t="s">
        <v>9287</v>
      </c>
      <c r="G10648">
        <v>258</v>
      </c>
      <c r="H10648">
        <v>280.45999999999998</v>
      </c>
      <c r="I10648">
        <v>280.45</v>
      </c>
      <c r="J10648">
        <v>0.01</v>
      </c>
    </row>
    <row r="10649" spans="1:10" x14ac:dyDescent="0.3">
      <c r="A10649" t="str">
        <f>HYPERLINK("https://us2.cloudbeds.com/connect/10074733072513#/reservations/31730682409125?display=MXHFFTFGH&amp;reservation_id=31730682409125", "MXHFFTFGH")</f>
        <v>MXHFFTFGH</v>
      </c>
      <c r="B10649" t="s">
        <v>10</v>
      </c>
      <c r="C10649" t="s">
        <v>42</v>
      </c>
      <c r="D10649" t="str">
        <f>HYPERLINK("https://us2.cloudbeds.com/connect/10074733072513#/reservations/31730682409125?display=Geneva%20Christie&amp;reservation_id=31730682409125&amp;guest_id=31730682409120", "Geneva Christie")</f>
        <v>Geneva Christie</v>
      </c>
      <c r="E10649" t="s">
        <v>9606</v>
      </c>
      <c r="F10649" t="s">
        <v>8918</v>
      </c>
      <c r="G10649">
        <v>169</v>
      </c>
      <c r="H10649">
        <v>183.71</v>
      </c>
      <c r="I10649">
        <v>183.7</v>
      </c>
      <c r="J10649">
        <v>0.01</v>
      </c>
    </row>
    <row r="10650" spans="1:10" x14ac:dyDescent="0.3">
      <c r="A10650" t="str">
        <f>HYPERLINK("https://us2.cloudbeds.com/connect/10074733072513#/reservations/31730692063482?display=MXHFZ13RQ&amp;reservation_id=31730692063482", "MXHFZ13RQ")</f>
        <v>MXHFZ13RQ</v>
      </c>
      <c r="B10650" t="s">
        <v>10</v>
      </c>
      <c r="C10650" t="s">
        <v>42</v>
      </c>
      <c r="D10650" t="str">
        <f>HYPERLINK("https://us2.cloudbeds.com/connect/10074733072513#/reservations/31730692063482?display=Dawn%20Schlaffman&amp;reservation_id=31730692063482&amp;guest_id=31730692063477", "Dawn Schlaffman")</f>
        <v>Dawn Schlaffman</v>
      </c>
      <c r="E10650" t="s">
        <v>9607</v>
      </c>
      <c r="F10650" t="s">
        <v>8918</v>
      </c>
      <c r="G10650">
        <v>169</v>
      </c>
      <c r="H10650">
        <v>183.71</v>
      </c>
      <c r="I10650">
        <v>183.7</v>
      </c>
      <c r="J10650">
        <v>0.01</v>
      </c>
    </row>
    <row r="10651" spans="1:10" x14ac:dyDescent="0.3">
      <c r="A10651" t="str">
        <f>HYPERLINK("https://us2.cloudbeds.com/connect/10074733072513#/reservations/31731151470746?display=MXHRFDQE1&amp;reservation_id=31731151470746", "MXHRFDQE1")</f>
        <v>MXHRFDQE1</v>
      </c>
      <c r="B10651" t="s">
        <v>10</v>
      </c>
      <c r="C10651" t="s">
        <v>20</v>
      </c>
      <c r="D10651" t="str">
        <f>HYPERLINK("https://us2.cloudbeds.com/connect/10074733072513#/reservations/31731151470746?display=Austin%20Bolinger&amp;reservation_id=31731151470746&amp;guest_id=31731151470740", "Austin Bolinger")</f>
        <v>Austin Bolinger</v>
      </c>
      <c r="E10651" t="s">
        <v>9609</v>
      </c>
      <c r="F10651" t="s">
        <v>8045</v>
      </c>
      <c r="G10651">
        <v>219</v>
      </c>
      <c r="H10651">
        <v>238.06</v>
      </c>
      <c r="I10651">
        <v>238.05</v>
      </c>
      <c r="J10651">
        <v>0.01</v>
      </c>
    </row>
    <row r="10652" spans="1:10" x14ac:dyDescent="0.3">
      <c r="A10652" t="str">
        <f>HYPERLINK("https://us2.cloudbeds.com/connect/10074733072513#/reservations/31732423291014?display=MXXQVS2F5&amp;reservation_id=31732423291014", "MXXQVS2F5")</f>
        <v>MXXQVS2F5</v>
      </c>
      <c r="B10652" t="s">
        <v>10</v>
      </c>
      <c r="C10652" t="s">
        <v>23</v>
      </c>
      <c r="D10652" t="str">
        <f>HYPERLINK("https://us2.cloudbeds.com/connect/10074733072513#/reservations/31732423291014?display=Jon%20Korthuis&amp;reservation_id=31732423291014&amp;guest_id=31732423286923", "Jon Korthuis")</f>
        <v>Jon Korthuis</v>
      </c>
      <c r="E10652" t="s">
        <v>9610</v>
      </c>
      <c r="F10652" t="s">
        <v>9122</v>
      </c>
      <c r="G10652">
        <v>438</v>
      </c>
      <c r="H10652">
        <v>476.12</v>
      </c>
      <c r="I10652">
        <v>476.11</v>
      </c>
      <c r="J10652">
        <v>0.01</v>
      </c>
    </row>
    <row r="10653" spans="1:10" x14ac:dyDescent="0.3">
      <c r="A10653" t="str">
        <f>HYPERLINK("https://us2.cloudbeds.com/connect/10074733072513#/reservations/31727787966594?display=MXF7H7B6Q&amp;reservation_id=31727787966594", "MXF7H7B6Q")</f>
        <v>MXF7H7B6Q</v>
      </c>
      <c r="B10653" t="s">
        <v>10</v>
      </c>
      <c r="C10653" t="s">
        <v>23</v>
      </c>
      <c r="D10653" t="str">
        <f>HYPERLINK("https://us2.cloudbeds.com/connect/10074733072513#/reservations/31727787966594?display=Amber%20Saltness&amp;reservation_id=31727787966594&amp;guest_id=31727787962513", "Amber Saltness")</f>
        <v>Amber Saltness</v>
      </c>
      <c r="E10653" t="s">
        <v>9611</v>
      </c>
      <c r="F10653" t="s">
        <v>8920</v>
      </c>
      <c r="G10653">
        <v>438</v>
      </c>
      <c r="H10653">
        <v>476.12</v>
      </c>
      <c r="I10653">
        <v>476.11</v>
      </c>
      <c r="J10653">
        <v>0.01</v>
      </c>
    </row>
    <row r="10654" spans="1:10" x14ac:dyDescent="0.3">
      <c r="A10654" t="str">
        <f>HYPERLINK("https://us2.cloudbeds.com/connect/10074733072513#/reservations/31735888031876?display=MXYGGDJMG&amp;reservation_id=31735888031876", "MXYGGDJMG")</f>
        <v>MXYGGDJMG</v>
      </c>
      <c r="B10654" t="s">
        <v>10</v>
      </c>
      <c r="C10654" t="s">
        <v>20</v>
      </c>
      <c r="D10654" t="str">
        <f>HYPERLINK("https://us2.cloudbeds.com/connect/10074733072513#/reservations/31735888031876?display=Norbu%20Samphel&amp;reservation_id=31735888031876&amp;guest_id=31735888027791", "Norbu Samphel")</f>
        <v>Norbu Samphel</v>
      </c>
      <c r="E10654" t="s">
        <v>9614</v>
      </c>
      <c r="F10654" t="s">
        <v>9531</v>
      </c>
      <c r="G10654">
        <v>139</v>
      </c>
      <c r="H10654">
        <v>151.1</v>
      </c>
      <c r="I10654">
        <v>151.09</v>
      </c>
      <c r="J10654">
        <v>0.01</v>
      </c>
    </row>
    <row r="10655" spans="1:10" x14ac:dyDescent="0.3">
      <c r="A10655" t="str">
        <f>HYPERLINK("https://us2.cloudbeds.com/connect/10074733072513#/reservations/31735686873224?display=MXYBBQ1WP&amp;reservation_id=31735686873224", "MXYBBQ1WP")</f>
        <v>MXYBBQ1WP</v>
      </c>
      <c r="B10655" t="s">
        <v>10</v>
      </c>
      <c r="C10655" t="s">
        <v>17</v>
      </c>
      <c r="D10655" t="str">
        <f>HYPERLINK("https://us2.cloudbeds.com/connect/10074733072513#/reservations/31735686873224?display=Shari%20Hofer&amp;reservation_id=31735686873224&amp;guest_id=31735686869128", "Shari Hofer")</f>
        <v>Shari Hofer</v>
      </c>
      <c r="E10655" t="s">
        <v>5632</v>
      </c>
      <c r="F10655" t="s">
        <v>9256</v>
      </c>
      <c r="G10655">
        <v>527</v>
      </c>
      <c r="H10655">
        <v>572.86</v>
      </c>
      <c r="I10655">
        <v>572.85</v>
      </c>
      <c r="J10655">
        <v>0.01</v>
      </c>
    </row>
    <row r="10656" spans="1:10" x14ac:dyDescent="0.3">
      <c r="A10656" t="str">
        <f>HYPERLINK("https://us2.cloudbeds.com/connect/10074733072513#/reservations/31731370352847?display=MXX01WH2W&amp;reservation_id=31731370352847", "MXX01WH2W")</f>
        <v>MXX01WH2W</v>
      </c>
      <c r="B10656" t="s">
        <v>10</v>
      </c>
      <c r="C10656" t="s">
        <v>20</v>
      </c>
      <c r="D10656" t="str">
        <f>HYPERLINK("https://us2.cloudbeds.com/connect/10074733072513#/reservations/31731370352847?display=Kristen%20Gotthardt&amp;reservation_id=31731370352847&amp;guest_id=31731370352842", "Kristen Gotthardt")</f>
        <v>Kristen Gotthardt</v>
      </c>
      <c r="E10656" t="s">
        <v>9616</v>
      </c>
      <c r="F10656" t="s">
        <v>9617</v>
      </c>
      <c r="G10656">
        <v>129</v>
      </c>
      <c r="H10656">
        <v>140.22999999999999</v>
      </c>
      <c r="I10656">
        <v>140.22</v>
      </c>
      <c r="J10656">
        <v>0.01</v>
      </c>
    </row>
    <row r="10657" spans="1:10" x14ac:dyDescent="0.3">
      <c r="A10657" t="str">
        <f>HYPERLINK("https://us2.cloudbeds.com/connect/10074733072513#/reservations/31735686869130?display=MXYBBPV7N&amp;reservation_id=31735686869130", "MXYBBPV7N")</f>
        <v>MXYBBPV7N</v>
      </c>
      <c r="B10657" t="s">
        <v>10</v>
      </c>
      <c r="C10657" t="s">
        <v>42</v>
      </c>
      <c r="D10657" t="str">
        <f>HYPERLINK("https://us2.cloudbeds.com/connect/10074733072513#/reservations/31735686869130?display=Blayne%20Stenersen&amp;reservation_id=31735686869130&amp;guest_id=31731279052988", "Blayne Stenersen")</f>
        <v>Blayne Stenersen</v>
      </c>
      <c r="E10657" t="s">
        <v>9618</v>
      </c>
      <c r="F10657" t="s">
        <v>9500</v>
      </c>
      <c r="G10657">
        <v>273</v>
      </c>
      <c r="H10657">
        <v>296.76</v>
      </c>
      <c r="I10657">
        <v>296.75</v>
      </c>
      <c r="J10657">
        <v>0.01</v>
      </c>
    </row>
    <row r="10658" spans="1:10" x14ac:dyDescent="0.3">
      <c r="A10658" t="str">
        <f>HYPERLINK("https://us2.cloudbeds.com/connect/10074733072513#/reservations/31734504526009?display=MXKE4QGN9&amp;reservation_id=31734504526009", "MXKE4QGN9")</f>
        <v>MXKE4QGN9</v>
      </c>
      <c r="B10658" t="s">
        <v>10</v>
      </c>
      <c r="C10658" t="s">
        <v>11</v>
      </c>
      <c r="D10658" t="str">
        <f>HYPERLINK("https://us2.cloudbeds.com/connect/10074733072513#/reservations/31734504526009?display=Daniel%20Price&amp;reservation_id=31734504526009&amp;guest_id=31734504526006", "Daniel Price")</f>
        <v>Daniel Price</v>
      </c>
      <c r="E10658" t="s">
        <v>9622</v>
      </c>
      <c r="F10658" t="s">
        <v>9050</v>
      </c>
      <c r="G10658">
        <v>159</v>
      </c>
      <c r="H10658">
        <v>172.84</v>
      </c>
      <c r="I10658">
        <v>172.83</v>
      </c>
      <c r="J10658">
        <v>0.01</v>
      </c>
    </row>
    <row r="10659" spans="1:10" x14ac:dyDescent="0.3">
      <c r="A10659" t="str">
        <f>HYPERLINK("https://us2.cloudbeds.com/connect/10074733072513#/reservations/31734314078424?display=MXK9970NB&amp;reservation_id=31734314078424", "MXK9970NB")</f>
        <v>MXK9970NB</v>
      </c>
      <c r="B10659" t="s">
        <v>10</v>
      </c>
      <c r="C10659" t="s">
        <v>23</v>
      </c>
      <c r="D10659" t="str">
        <f>HYPERLINK("https://us2.cloudbeds.com/connect/10074733072513#/reservations/31734314078424?display=Tyler%20Mannan&amp;reservation_id=31734314078424&amp;guest_id=31734314078419", "Tyler Mannan")</f>
        <v>Tyler Mannan</v>
      </c>
      <c r="E10659" t="s">
        <v>9623</v>
      </c>
      <c r="F10659" t="s">
        <v>9338</v>
      </c>
      <c r="G10659">
        <v>229</v>
      </c>
      <c r="H10659">
        <v>248.93</v>
      </c>
      <c r="I10659">
        <v>248.92</v>
      </c>
      <c r="J10659">
        <v>0.01</v>
      </c>
    </row>
    <row r="10660" spans="1:10" x14ac:dyDescent="0.3">
      <c r="A10660" t="str">
        <f>HYPERLINK("https://us2.cloudbeds.com/connect/10074733072513#/reservations/31723842810025?display=MXC5NXHTZ&amp;reservation_id=31723842810025", "MXC5NXHTZ")</f>
        <v>MXC5NXHTZ</v>
      </c>
      <c r="B10660" t="s">
        <v>10</v>
      </c>
      <c r="C10660" t="s">
        <v>121</v>
      </c>
      <c r="D10660" t="str">
        <f>HYPERLINK("https://us2.cloudbeds.com/connect/10074733072513#/reservations/31723842810025?display=Sean%20Faughn&amp;reservation_id=31723842810025&amp;guest_id=31723842810022", "Sean Faughn")</f>
        <v>Sean Faughn</v>
      </c>
      <c r="E10660" t="s">
        <v>9625</v>
      </c>
      <c r="F10660" t="s">
        <v>9531</v>
      </c>
      <c r="G10660">
        <v>149</v>
      </c>
      <c r="H10660">
        <v>161.97</v>
      </c>
      <c r="I10660">
        <v>161.96</v>
      </c>
      <c r="J10660">
        <v>0.01</v>
      </c>
    </row>
    <row r="10661" spans="1:10" x14ac:dyDescent="0.3">
      <c r="A10661" t="str">
        <f>HYPERLINK("https://us2.cloudbeds.com/connect/10074733072513#/reservations/31732894810248?display=MXJ60EQ4Q&amp;reservation_id=31732894810248", "MXJ60EQ4Q")</f>
        <v>MXJ60EQ4Q</v>
      </c>
      <c r="B10661" t="s">
        <v>10</v>
      </c>
      <c r="C10661" t="s">
        <v>42</v>
      </c>
      <c r="D10661" t="str">
        <f>HYPERLINK("https://us2.cloudbeds.com/connect/10074733072513#/reservations/31732894810248?display=Blayne%20Stenersen&amp;reservation_id=31732894810248&amp;guest_id=31731279052988", "Blayne Stenersen")</f>
        <v>Blayne Stenersen</v>
      </c>
      <c r="E10661" t="s">
        <v>9618</v>
      </c>
      <c r="F10661" t="s">
        <v>9588</v>
      </c>
      <c r="G10661">
        <v>258</v>
      </c>
      <c r="H10661">
        <v>280.45999999999998</v>
      </c>
      <c r="I10661">
        <v>280.45</v>
      </c>
      <c r="J10661">
        <v>0.01</v>
      </c>
    </row>
    <row r="10662" spans="1:10" x14ac:dyDescent="0.3">
      <c r="A10662" t="str">
        <f>HYPERLINK("https://us2.cloudbeds.com/connect/10074733072513#/reservations/31732525564039?display=MXXTJ2W2Z&amp;reservation_id=31732525564039", "MXXTJ2W2Z")</f>
        <v>MXXTJ2W2Z</v>
      </c>
      <c r="B10662" t="s">
        <v>10</v>
      </c>
      <c r="C10662" t="s">
        <v>42</v>
      </c>
      <c r="D10662" t="str">
        <f>HYPERLINK("https://us2.cloudbeds.com/connect/10074733072513#/reservations/31732525564039?display=Curtis%20Nelson&amp;reservation_id=31732525564039&amp;guest_id=31691586252996", "Curtis Nelson")</f>
        <v>Curtis Nelson</v>
      </c>
      <c r="E10662" t="s">
        <v>8747</v>
      </c>
      <c r="F10662" t="s">
        <v>9319</v>
      </c>
      <c r="G10662">
        <v>258</v>
      </c>
      <c r="H10662">
        <v>280.45999999999998</v>
      </c>
      <c r="I10662">
        <v>280.45</v>
      </c>
      <c r="J10662">
        <v>0.01</v>
      </c>
    </row>
    <row r="10663" spans="1:10" x14ac:dyDescent="0.3">
      <c r="A10663" t="str">
        <f>HYPERLINK("https://us2.cloudbeds.com/connect/10074733072513#/reservations/31735279980701?display=MXY0VMMAA&amp;reservation_id=31735279980701", "MXY0VMMAA")</f>
        <v>MXY0VMMAA</v>
      </c>
      <c r="B10663" t="s">
        <v>10</v>
      </c>
      <c r="C10663" t="s">
        <v>42</v>
      </c>
      <c r="D10663" t="str">
        <f>HYPERLINK("https://us2.cloudbeds.com/connect/10074733072513#/reservations/31735279980701?display=Leonard%20Salvin&amp;reservation_id=31735279980701&amp;guest_id=31735279980698", "Leonard Salvin")</f>
        <v>Leonard Salvin</v>
      </c>
      <c r="E10663" t="s">
        <v>9630</v>
      </c>
      <c r="F10663" t="s">
        <v>9500</v>
      </c>
      <c r="G10663">
        <v>73</v>
      </c>
      <c r="H10663">
        <v>79.36</v>
      </c>
      <c r="I10663">
        <v>79.349999999999994</v>
      </c>
      <c r="J10663">
        <v>0.01</v>
      </c>
    </row>
    <row r="10664" spans="1:10" x14ac:dyDescent="0.3">
      <c r="A10664" t="str">
        <f>HYPERLINK("https://us2.cloudbeds.com/connect/10074733072513#/reservations/31733106499741?display=MXJBDVC0U&amp;reservation_id=31733106499741", "MXJBDVC0U")</f>
        <v>MXJBDVC0U</v>
      </c>
      <c r="B10664" t="s">
        <v>10</v>
      </c>
      <c r="C10664" t="s">
        <v>14</v>
      </c>
      <c r="D10664" t="str">
        <f>HYPERLINK("https://us2.cloudbeds.com/connect/10074733072513#/reservations/31733106499741?display=Dina%20Wiebensohn&amp;reservation_id=31733106499741&amp;guest_id=31733106499736", "Dina Wiebensohn")</f>
        <v>Dina Wiebensohn</v>
      </c>
      <c r="E10664" t="s">
        <v>9636</v>
      </c>
      <c r="F10664" t="s">
        <v>9500</v>
      </c>
      <c r="G10664">
        <v>135.79</v>
      </c>
      <c r="H10664">
        <v>147.61000000000001</v>
      </c>
      <c r="I10664">
        <v>147.6</v>
      </c>
      <c r="J10664">
        <v>0.01</v>
      </c>
    </row>
    <row r="10665" spans="1:10" x14ac:dyDescent="0.3">
      <c r="A10665" t="str">
        <f>HYPERLINK("https://us2.cloudbeds.com/connect/10074733072513#/reservations/31733128392932?display=MXJBWDXVV&amp;reservation_id=31733128392932", "MXJBWDXVV")</f>
        <v>MXJBWDXVV</v>
      </c>
      <c r="B10665" t="s">
        <v>10</v>
      </c>
      <c r="C10665" t="s">
        <v>42</v>
      </c>
      <c r="D10665" t="str">
        <f>HYPERLINK("https://us2.cloudbeds.com/connect/10074733072513#/reservations/31733128392932?display=Chelsie%20Bothun&amp;reservation_id=31733128392932&amp;guest_id=31733116596365", "Chelsie Bothun")</f>
        <v>Chelsie Bothun</v>
      </c>
      <c r="E10665" t="s">
        <v>9639</v>
      </c>
      <c r="F10665" t="s">
        <v>8596</v>
      </c>
      <c r="G10665">
        <v>229</v>
      </c>
      <c r="H10665">
        <v>248.93</v>
      </c>
      <c r="I10665">
        <v>248.92</v>
      </c>
      <c r="J10665">
        <v>0.01</v>
      </c>
    </row>
    <row r="10666" spans="1:10" x14ac:dyDescent="0.3">
      <c r="A10666" t="str">
        <f>HYPERLINK("https://us2.cloudbeds.com/connect/10074733072513#/reservations/31733044814031?display=MXJ9RUSYW&amp;reservation_id=31733044814031", "MXJ9RUSYW")</f>
        <v>MXJ9RUSYW</v>
      </c>
      <c r="B10666" t="s">
        <v>10</v>
      </c>
      <c r="C10666" t="s">
        <v>23</v>
      </c>
      <c r="D10666" t="str">
        <f>HYPERLINK("https://us2.cloudbeds.com/connect/10074733072513#/reservations/31733044814031?display=Ryan%20Beattie&amp;reservation_id=31733044814031&amp;guest_id=31733044814016", "Ryan Beattie")</f>
        <v>Ryan Beattie</v>
      </c>
      <c r="E10666" t="s">
        <v>9641</v>
      </c>
      <c r="F10666" t="s">
        <v>8596</v>
      </c>
      <c r="G10666">
        <v>219</v>
      </c>
      <c r="H10666">
        <v>238.06</v>
      </c>
      <c r="I10666">
        <v>238.05</v>
      </c>
      <c r="J10666">
        <v>0.01</v>
      </c>
    </row>
    <row r="10667" spans="1:10" x14ac:dyDescent="0.3">
      <c r="A10667" t="str">
        <f>HYPERLINK("https://us2.cloudbeds.com/connect/10074733072513#/reservations/31734270693589?display=MXK85KPXC&amp;reservation_id=31734270693589", "MXK85KPXC")</f>
        <v>MXK85KPXC</v>
      </c>
      <c r="B10667" t="s">
        <v>10</v>
      </c>
      <c r="C10667" t="s">
        <v>42</v>
      </c>
      <c r="D10667" t="str">
        <f>HYPERLINK("https://us2.cloudbeds.com/connect/10074733072513#/reservations/31734270693589?display=Alex%20Donnay&amp;reservation_id=31734270693589&amp;guest_id=31727916286170", "Alex Donnay")</f>
        <v>Alex Donnay</v>
      </c>
      <c r="E10667" t="s">
        <v>9642</v>
      </c>
      <c r="F10667" t="s">
        <v>9635</v>
      </c>
      <c r="G10667">
        <v>129</v>
      </c>
      <c r="H10667">
        <v>140.22999999999999</v>
      </c>
      <c r="I10667">
        <v>140.22</v>
      </c>
      <c r="J10667">
        <v>0.01</v>
      </c>
    </row>
    <row r="10668" spans="1:10" x14ac:dyDescent="0.3">
      <c r="A10668" t="str">
        <f>HYPERLINK("https://us2.cloudbeds.com/connect/10074733072513#/reservations/31727926730995?display=MXFB27YTY&amp;reservation_id=31727926730995", "MXFB27YTY")</f>
        <v>MXFB27YTY</v>
      </c>
      <c r="B10668" t="s">
        <v>10</v>
      </c>
      <c r="C10668" t="s">
        <v>42</v>
      </c>
      <c r="D10668" t="str">
        <f>HYPERLINK("https://us2.cloudbeds.com/connect/10074733072513#/reservations/31727926730995?display=Alex%20Donnay&amp;reservation_id=31727926730995&amp;guest_id=31727916286170", "Alex Donnay")</f>
        <v>Alex Donnay</v>
      </c>
      <c r="E10668" t="s">
        <v>9642</v>
      </c>
      <c r="F10668" t="s">
        <v>9617</v>
      </c>
      <c r="G10668">
        <v>129</v>
      </c>
      <c r="H10668">
        <v>140.22999999999999</v>
      </c>
      <c r="I10668">
        <v>140.22</v>
      </c>
      <c r="J10668">
        <v>0.01</v>
      </c>
    </row>
    <row r="10669" spans="1:10" x14ac:dyDescent="0.3">
      <c r="A10669" t="str">
        <f>HYPERLINK("https://us2.cloudbeds.com/connect/10074733072513#/reservations/31727930499209?display=MXFB5DH4V&amp;reservation_id=31727930499209", "MXFB5DH4V")</f>
        <v>MXFB5DH4V</v>
      </c>
      <c r="B10669" t="s">
        <v>10</v>
      </c>
      <c r="C10669" t="s">
        <v>42</v>
      </c>
      <c r="D10669" t="str">
        <f>HYPERLINK("https://us2.cloudbeds.com/connect/10074733072513#/reservations/31727930499209?display=Alex%20Donnay&amp;reservation_id=31727930499209&amp;guest_id=31727930495114", "Alex Donnay")</f>
        <v>Alex Donnay</v>
      </c>
      <c r="E10669" t="s">
        <v>9634</v>
      </c>
      <c r="F10669" t="s">
        <v>9617</v>
      </c>
      <c r="G10669">
        <v>258</v>
      </c>
      <c r="H10669">
        <v>280.45999999999998</v>
      </c>
      <c r="I10669">
        <v>280.45</v>
      </c>
      <c r="J10669">
        <v>0.01</v>
      </c>
    </row>
    <row r="10670" spans="1:10" x14ac:dyDescent="0.3">
      <c r="A10670" t="str">
        <f>HYPERLINK("https://us2.cloudbeds.com/connect/10074733072513#/reservations/31732969398408?display=MXJ7UBAG2&amp;reservation_id=31732969398408", "MXJ7UBAG2")</f>
        <v>MXJ7UBAG2</v>
      </c>
      <c r="B10670" t="s">
        <v>10</v>
      </c>
      <c r="C10670" t="s">
        <v>42</v>
      </c>
      <c r="D10670" t="str">
        <f>HYPERLINK("https://us2.cloudbeds.com/connect/10074733072513#/reservations/31732969398408?display=Racheal%20Riley&amp;reservation_id=31732969398408&amp;guest_id=31732956627170", "Racheal Riley")</f>
        <v>Racheal Riley</v>
      </c>
      <c r="E10670" t="s">
        <v>9645</v>
      </c>
      <c r="F10670" t="s">
        <v>8340</v>
      </c>
      <c r="G10670">
        <v>542</v>
      </c>
      <c r="H10670">
        <v>589.16</v>
      </c>
      <c r="I10670">
        <v>589.15</v>
      </c>
      <c r="J10670">
        <v>0.01</v>
      </c>
    </row>
    <row r="10671" spans="1:10" x14ac:dyDescent="0.3">
      <c r="A10671" t="str">
        <f>HYPERLINK("https://us2.cloudbeds.com/connect/10074733072513#/reservations/31732851826896?display=MXJ4U6NYW&amp;reservation_id=31732851826896", "MXJ4U6NYW")</f>
        <v>MXJ4U6NYW</v>
      </c>
      <c r="B10671" t="s">
        <v>10</v>
      </c>
      <c r="C10671" t="s">
        <v>23</v>
      </c>
      <c r="D10671" t="str">
        <f>HYPERLINK("https://us2.cloudbeds.com/connect/10074733072513#/reservations/31732851826896?display=Jessica%20Haines&amp;reservation_id=31732851826896&amp;guest_id=31732851826894", "Jessica Haines")</f>
        <v>Jessica Haines</v>
      </c>
      <c r="E10671" t="s">
        <v>9646</v>
      </c>
      <c r="F10671" t="s">
        <v>9021</v>
      </c>
      <c r="G10671">
        <v>209</v>
      </c>
      <c r="H10671">
        <v>227.19</v>
      </c>
      <c r="I10671">
        <v>227.18</v>
      </c>
      <c r="J10671">
        <v>0.01</v>
      </c>
    </row>
    <row r="10672" spans="1:10" x14ac:dyDescent="0.3">
      <c r="A10672" t="str">
        <f>HYPERLINK("https://us2.cloudbeds.com/connect/10074733072513#/reservations/31731065479362?display=MXHP8TVQH&amp;reservation_id=31731065479362", "MXHP8TVQH")</f>
        <v>MXHP8TVQH</v>
      </c>
      <c r="B10672" t="s">
        <v>10</v>
      </c>
      <c r="C10672" t="s">
        <v>23</v>
      </c>
      <c r="D10672" t="str">
        <f>HYPERLINK("https://us2.cloudbeds.com/connect/10074733072513#/reservations/31731065479362?display=Lynnelle%20Giddings&amp;reservation_id=31731065479362&amp;guest_id=31731056201909", "Lynnelle Giddings")</f>
        <v>Lynnelle Giddings</v>
      </c>
      <c r="E10672" t="s">
        <v>9648</v>
      </c>
      <c r="F10672" t="s">
        <v>9050</v>
      </c>
      <c r="G10672">
        <v>149</v>
      </c>
      <c r="H10672">
        <v>161.97</v>
      </c>
      <c r="I10672">
        <v>161.96</v>
      </c>
      <c r="J10672">
        <v>0.01</v>
      </c>
    </row>
    <row r="10673" spans="1:10" x14ac:dyDescent="0.3">
      <c r="A10673" t="str">
        <f>HYPERLINK("https://us2.cloudbeds.com/connect/10074733072513#/reservations/31734850613452?display=MXKMWKTMH&amp;reservation_id=31734850613452", "MXKMWKTMH")</f>
        <v>MXKMWKTMH</v>
      </c>
      <c r="B10673" t="s">
        <v>10</v>
      </c>
      <c r="C10673" t="s">
        <v>42</v>
      </c>
      <c r="D10673" t="str">
        <f>HYPERLINK("https://us2.cloudbeds.com/connect/10074733072513#/reservations/31734850613452?display=Anna%20/%20Cameron%20Wyly&amp;reservation_id=31734850613452&amp;guest_id=31730772390044", "Anna / Cameron Wyly")</f>
        <v>Anna / Cameron Wyly</v>
      </c>
      <c r="E10673" t="s">
        <v>5570</v>
      </c>
      <c r="F10673" t="s">
        <v>9256</v>
      </c>
      <c r="G10673">
        <v>89</v>
      </c>
      <c r="H10673">
        <v>96.75</v>
      </c>
      <c r="I10673">
        <v>96.74</v>
      </c>
      <c r="J10673">
        <v>0.01</v>
      </c>
    </row>
    <row r="10674" spans="1:10" x14ac:dyDescent="0.3">
      <c r="A10674" t="str">
        <f>HYPERLINK("https://us2.cloudbeds.com/connect/10074733072513#/reservations/31730663411948?display=MXHEWSRTG&amp;reservation_id=31730663411948", "MXHEWSRTG")</f>
        <v>MXHEWSRTG</v>
      </c>
      <c r="B10674" t="s">
        <v>10</v>
      </c>
      <c r="C10674" t="s">
        <v>23</v>
      </c>
      <c r="D10674" t="str">
        <f>HYPERLINK("https://us2.cloudbeds.com/connect/10074733072513#/reservations/31730663411948?display=Michael%20Hauge&amp;reservation_id=31730663411948&amp;guest_id=31730663411942", "Michael Hauge")</f>
        <v>Michael Hauge</v>
      </c>
      <c r="E10674" t="s">
        <v>9653</v>
      </c>
      <c r="F10674" t="s">
        <v>9274</v>
      </c>
      <c r="G10674">
        <v>258</v>
      </c>
      <c r="H10674">
        <v>280.45999999999998</v>
      </c>
      <c r="I10674">
        <v>280.45</v>
      </c>
      <c r="J10674">
        <v>0.01</v>
      </c>
    </row>
    <row r="10675" spans="1:10" x14ac:dyDescent="0.3">
      <c r="A10675" t="str">
        <f>HYPERLINK("https://us2.cloudbeds.com/connect/10074733072513#/reservations/31731166900436?display=MXHRSE53D&amp;reservation_id=31731166900436", "MXHRSE53D")</f>
        <v>MXHRSE53D</v>
      </c>
      <c r="B10675" t="s">
        <v>10</v>
      </c>
      <c r="C10675" t="s">
        <v>23</v>
      </c>
      <c r="D10675" t="str">
        <f>HYPERLINK("https://us2.cloudbeds.com/connect/10074733072513#/reservations/31731166900436?display=Brad%20Pedersen&amp;reservation_id=31731166900436&amp;guest_id=31679662264555", "Brad Pedersen")</f>
        <v>Brad Pedersen</v>
      </c>
      <c r="E10675" t="s">
        <v>6458</v>
      </c>
      <c r="F10675" t="s">
        <v>9152</v>
      </c>
      <c r="G10675">
        <v>189</v>
      </c>
      <c r="H10675">
        <v>205.45</v>
      </c>
      <c r="I10675">
        <v>205.44</v>
      </c>
      <c r="J10675">
        <v>0.01</v>
      </c>
    </row>
    <row r="10676" spans="1:10" x14ac:dyDescent="0.3">
      <c r="A10676" t="str">
        <f>HYPERLINK("https://us2.cloudbeds.com/connect/10074733072513#/reservations/31732364353767?display=MXXPF51UW&amp;reservation_id=31732364353767", "MXXPF51UW")</f>
        <v>MXXPF51UW</v>
      </c>
      <c r="B10676" t="s">
        <v>10</v>
      </c>
      <c r="C10676" t="s">
        <v>23</v>
      </c>
      <c r="D10676" t="str">
        <f>HYPERLINK("https://us2.cloudbeds.com/connect/10074733072513#/reservations/31732364353767?display=Charles%20Adams&amp;reservation_id=31732364353767&amp;guest_id=31732353573005", "Charles Adams")</f>
        <v>Charles Adams</v>
      </c>
      <c r="E10676" t="s">
        <v>9659</v>
      </c>
      <c r="F10676" t="s">
        <v>9660</v>
      </c>
      <c r="G10676">
        <v>258</v>
      </c>
      <c r="H10676">
        <v>280.45999999999998</v>
      </c>
      <c r="I10676">
        <v>280.45</v>
      </c>
      <c r="J10676">
        <v>0.01</v>
      </c>
    </row>
    <row r="10677" spans="1:10" x14ac:dyDescent="0.3">
      <c r="A10677" t="str">
        <f>HYPERLINK("https://us2.cloudbeds.com/connect/10074733072513#/reservations/31732855689377?display=MXJ50F6FS&amp;reservation_id=31732855689377", "MXJ50F6FS")</f>
        <v>MXJ50F6FS</v>
      </c>
      <c r="B10677" t="s">
        <v>10</v>
      </c>
      <c r="C10677" t="s">
        <v>23</v>
      </c>
      <c r="D10677" t="str">
        <f>HYPERLINK("https://us2.cloudbeds.com/connect/10074733072513#/reservations/31732855689377?display=Isabel%20Guzman&amp;reservation_id=31732855689377&amp;guest_id=31732855689359", "Isabel Guzman")</f>
        <v>Isabel Guzman</v>
      </c>
      <c r="E10677" t="s">
        <v>9661</v>
      </c>
      <c r="F10677" t="s">
        <v>9588</v>
      </c>
      <c r="G10677">
        <v>258</v>
      </c>
      <c r="H10677">
        <v>280.45999999999998</v>
      </c>
      <c r="I10677">
        <v>280.45</v>
      </c>
      <c r="J10677">
        <v>0.01</v>
      </c>
    </row>
    <row r="10678" spans="1:10" x14ac:dyDescent="0.3">
      <c r="A10678" t="str">
        <f>HYPERLINK("https://us2.cloudbeds.com/connect/10074733072513#/reservations/31732871377086?display=MXJ5DMZ2W&amp;reservation_id=31732871377086", "MXJ5DMZ2W")</f>
        <v>MXJ5DMZ2W</v>
      </c>
      <c r="B10678" t="s">
        <v>10</v>
      </c>
      <c r="C10678" t="s">
        <v>23</v>
      </c>
      <c r="D10678" t="str">
        <f>HYPERLINK("https://us2.cloudbeds.com/connect/10074733072513#/reservations/31732871377086?display=Isabel%20Guzman&amp;reservation_id=31732871377086&amp;guest_id=31692206772372", "Isabel Guzman")</f>
        <v>Isabel Guzman</v>
      </c>
      <c r="E10678" t="s">
        <v>8890</v>
      </c>
      <c r="F10678" t="s">
        <v>9588</v>
      </c>
      <c r="G10678">
        <v>258</v>
      </c>
      <c r="H10678">
        <v>280.45999999999998</v>
      </c>
      <c r="I10678">
        <v>280.45</v>
      </c>
      <c r="J10678">
        <v>0.01</v>
      </c>
    </row>
    <row r="10679" spans="1:10" x14ac:dyDescent="0.3">
      <c r="A10679" t="str">
        <f>HYPERLINK("https://us2.cloudbeds.com/connect/10074733072513#/reservations/31732746658037?display=MXJ27H7SN&amp;reservation_id=31732746658037", "MXJ27H7SN")</f>
        <v>MXJ27H7SN</v>
      </c>
      <c r="B10679" t="s">
        <v>10</v>
      </c>
      <c r="C10679" t="s">
        <v>42</v>
      </c>
      <c r="D10679" t="str">
        <f>HYPERLINK("https://us2.cloudbeds.com/connect/10074733072513#/reservations/31732746658037?display=Arielle%20Nichols&amp;reservation_id=31732746658037&amp;guest_id=31732730937499", "Arielle Nichols")</f>
        <v>Arielle Nichols</v>
      </c>
      <c r="E10679" t="s">
        <v>9662</v>
      </c>
      <c r="F10679" t="s">
        <v>9152</v>
      </c>
      <c r="G10679">
        <v>398</v>
      </c>
      <c r="H10679">
        <v>432.64</v>
      </c>
      <c r="I10679">
        <v>432.63</v>
      </c>
      <c r="J10679">
        <v>0.01</v>
      </c>
    </row>
    <row r="10680" spans="1:10" x14ac:dyDescent="0.3">
      <c r="A10680" t="str">
        <f>HYPERLINK("https://us2.cloudbeds.com/connect/10074733072513#/reservations/31732748693716?display=MXJ297T63&amp;reservation_id=31732748693716", "MXJ297T63")</f>
        <v>MXJ297T63</v>
      </c>
      <c r="B10680" t="s">
        <v>10</v>
      </c>
      <c r="C10680" t="s">
        <v>42</v>
      </c>
      <c r="D10680" t="str">
        <f>HYPERLINK("https://us2.cloudbeds.com/connect/10074733072513#/reservations/31732748693716?display=Arielle%20Nichols&amp;reservation_id=31732748693716&amp;guest_id=31732730937499", "Arielle Nichols")</f>
        <v>Arielle Nichols</v>
      </c>
      <c r="E10680" t="s">
        <v>9662</v>
      </c>
      <c r="F10680" t="s">
        <v>9152</v>
      </c>
      <c r="G10680">
        <v>398</v>
      </c>
      <c r="H10680">
        <v>432.64</v>
      </c>
      <c r="I10680">
        <v>432.63</v>
      </c>
      <c r="J10680">
        <v>0.01</v>
      </c>
    </row>
    <row r="10681" spans="1:10" x14ac:dyDescent="0.3">
      <c r="A10681" t="str">
        <f>HYPERLINK("https://us2.cloudbeds.com/connect/10074733072513#/reservations/31734110417123?display=MXK42FRTP&amp;reservation_id=31734110417123", "MXK42FRTP")</f>
        <v>MXK42FRTP</v>
      </c>
      <c r="B10681" t="s">
        <v>10</v>
      </c>
      <c r="C10681" t="s">
        <v>42</v>
      </c>
      <c r="D10681" t="str">
        <f>HYPERLINK("https://us2.cloudbeds.com/connect/10074733072513#/reservations/31734110417123?display=Marge%20Miller&amp;reservation_id=31734110417123&amp;guest_id=31734110412998", "Marge Miller")</f>
        <v>Marge Miller</v>
      </c>
      <c r="E10681" t="s">
        <v>9663</v>
      </c>
      <c r="F10681" t="s">
        <v>9122</v>
      </c>
      <c r="G10681">
        <v>388</v>
      </c>
      <c r="H10681">
        <v>421.77</v>
      </c>
      <c r="I10681">
        <v>421.76</v>
      </c>
      <c r="J10681">
        <v>0.01</v>
      </c>
    </row>
    <row r="10682" spans="1:10" x14ac:dyDescent="0.3">
      <c r="A10682" t="str">
        <f>HYPERLINK("https://us2.cloudbeds.com/connect/10074733072513#/reservations/31734197678231?display=MXK6A1TZB&amp;reservation_id=31734197678231", "MXK6A1TZB")</f>
        <v>MXK6A1TZB</v>
      </c>
      <c r="B10682" t="s">
        <v>10</v>
      </c>
      <c r="C10682" t="s">
        <v>42</v>
      </c>
      <c r="D10682" t="str">
        <f>HYPERLINK("https://us2.cloudbeds.com/connect/10074733072513#/reservations/31734197678231?display=Jordan%20Cornelius&amp;reservation_id=31734197678231&amp;guest_id=31731103322305", "Jordan Cornelius")</f>
        <v>Jordan Cornelius</v>
      </c>
      <c r="E10682" t="s">
        <v>9664</v>
      </c>
      <c r="F10682" t="s">
        <v>8340</v>
      </c>
      <c r="G10682">
        <v>129</v>
      </c>
      <c r="H10682">
        <v>140.22999999999999</v>
      </c>
      <c r="I10682">
        <v>140.22</v>
      </c>
      <c r="J10682">
        <v>0.01</v>
      </c>
    </row>
    <row r="10683" spans="1:10" x14ac:dyDescent="0.3">
      <c r="A10683" t="str">
        <f>HYPERLINK("https://us2.cloudbeds.com/connect/10074733072513#/reservations/31731065639051?display=MXHP91DEX&amp;reservation_id=31731065639051", "MXHP91DEX")</f>
        <v>MXHP91DEX</v>
      </c>
      <c r="B10683" t="s">
        <v>10</v>
      </c>
      <c r="C10683" t="s">
        <v>42</v>
      </c>
      <c r="D10683" t="str">
        <f>HYPERLINK("https://us2.cloudbeds.com/connect/10074733072513#/reservations/31731065639051?display=Nick%20Sherman&amp;reservation_id=31731065639051&amp;guest_id=31728017821824", "Nick Sherman")</f>
        <v>Nick Sherman</v>
      </c>
      <c r="E10683" t="s">
        <v>9425</v>
      </c>
      <c r="F10683" t="s">
        <v>9152</v>
      </c>
      <c r="G10683">
        <v>252</v>
      </c>
      <c r="H10683">
        <v>273.93</v>
      </c>
      <c r="I10683">
        <v>273.92</v>
      </c>
      <c r="J10683">
        <v>0.01</v>
      </c>
    </row>
    <row r="10684" spans="1:10" x14ac:dyDescent="0.3">
      <c r="A10684" t="str">
        <f>HYPERLINK("https://us2.cloudbeds.com/connect/10074733072513#/reservations/31731177996525?display=MXHS4PUBH&amp;reservation_id=31731177996525", "MXHS4PUBH")</f>
        <v>MXHS4PUBH</v>
      </c>
      <c r="B10684" t="s">
        <v>10</v>
      </c>
      <c r="C10684" t="s">
        <v>20</v>
      </c>
      <c r="D10684" t="str">
        <f>HYPERLINK("https://us2.cloudbeds.com/connect/10074733072513#/reservations/31731177996525?display=Terry%20Brennan&amp;reservation_id=31731177996525&amp;guest_id=31731177996522", "Terry Brennan")</f>
        <v>Terry Brennan</v>
      </c>
      <c r="E10684" t="s">
        <v>9665</v>
      </c>
      <c r="F10684" t="s">
        <v>9277</v>
      </c>
      <c r="G10684">
        <v>129</v>
      </c>
      <c r="H10684">
        <v>140.22999999999999</v>
      </c>
      <c r="I10684">
        <v>140.22</v>
      </c>
      <c r="J10684">
        <v>0.01</v>
      </c>
    </row>
    <row r="10685" spans="1:10" x14ac:dyDescent="0.3">
      <c r="A10685" t="str">
        <f>HYPERLINK("https://us2.cloudbeds.com/connect/10074733072513#/reservations/31732948193417?display=MXJ7CF8GJ&amp;reservation_id=31732948193417", "MXJ7CF8GJ")</f>
        <v>MXJ7CF8GJ</v>
      </c>
      <c r="B10685" t="s">
        <v>10</v>
      </c>
      <c r="C10685" t="s">
        <v>23</v>
      </c>
      <c r="D10685" t="str">
        <f>HYPERLINK("https://us2.cloudbeds.com/connect/10074733072513#/reservations/31732948193417?display=Blake%20Brooks&amp;reservation_id=31732948193417&amp;guest_id=31732948189368", "Blake Brooks")</f>
        <v>Blake Brooks</v>
      </c>
      <c r="E10685" t="s">
        <v>9668</v>
      </c>
      <c r="F10685" t="s">
        <v>8340</v>
      </c>
      <c r="G10685">
        <v>129</v>
      </c>
      <c r="H10685">
        <v>140.22999999999999</v>
      </c>
      <c r="I10685">
        <v>140.22</v>
      </c>
      <c r="J10685">
        <v>0.01</v>
      </c>
    </row>
    <row r="10686" spans="1:10" x14ac:dyDescent="0.3">
      <c r="A10686" t="str">
        <f>HYPERLINK("https://us2.cloudbeds.com/connect/10074733072513#/reservations/31732317302981?display=MXXZ8FQEJ&amp;reservation_id=31732317302981", "MXXZ8FQEJ")</f>
        <v>MXXZ8FQEJ</v>
      </c>
      <c r="B10686" t="s">
        <v>10</v>
      </c>
      <c r="C10686" t="s">
        <v>11</v>
      </c>
      <c r="D10686" t="str">
        <f>HYPERLINK("https://us2.cloudbeds.com/connect/10074733072513#/reservations/31732317302981?display=Dustin%20Mclaughlin&amp;reservation_id=31732317302981&amp;guest_id=31732312707226", "Dustin Mclaughlin")</f>
        <v>Dustin Mclaughlin</v>
      </c>
      <c r="E10686" t="s">
        <v>9669</v>
      </c>
      <c r="F10686" t="s">
        <v>7468</v>
      </c>
      <c r="G10686">
        <v>189</v>
      </c>
      <c r="H10686">
        <v>205.45</v>
      </c>
      <c r="I10686">
        <v>205.44</v>
      </c>
      <c r="J10686">
        <v>0.01</v>
      </c>
    </row>
    <row r="10687" spans="1:10" x14ac:dyDescent="0.3">
      <c r="A10687" t="str">
        <f>HYPERLINK("https://us2.cloudbeds.com/connect/10074733072513#/reservations/31731103322319?display=MXHQ7QWWQ&amp;reservation_id=31731103322319", "MXHQ7QWWQ")</f>
        <v>MXHQ7QWWQ</v>
      </c>
      <c r="B10687" t="s">
        <v>10</v>
      </c>
      <c r="C10687" t="s">
        <v>42</v>
      </c>
      <c r="D10687" t="str">
        <f>HYPERLINK("https://us2.cloudbeds.com/connect/10074733072513#/reservations/31731103322319?display=Jordan%20Cornelius&amp;reservation_id=31731103322319&amp;guest_id=31731103322305", "Jordan Cornelius")</f>
        <v>Jordan Cornelius</v>
      </c>
      <c r="E10687" t="s">
        <v>9664</v>
      </c>
      <c r="F10687" t="s">
        <v>9050</v>
      </c>
      <c r="G10687">
        <v>129</v>
      </c>
      <c r="H10687">
        <v>140.22999999999999</v>
      </c>
      <c r="I10687">
        <v>140.22</v>
      </c>
      <c r="J10687">
        <v>0.01</v>
      </c>
    </row>
    <row r="10688" spans="1:10" x14ac:dyDescent="0.3">
      <c r="A10688" t="str">
        <f>HYPERLINK("https://us2.cloudbeds.com/connect/10074733072513#/reservations/31734206910657?display=MXK6HRUC8&amp;reservation_id=31734206910657", "MXK6HRUC8")</f>
        <v>MXK6HRUC8</v>
      </c>
      <c r="B10688" t="s">
        <v>10</v>
      </c>
      <c r="C10688" t="s">
        <v>23</v>
      </c>
      <c r="D10688" t="str">
        <f>HYPERLINK("https://us2.cloudbeds.com/connect/10074733072513#/reservations/31734206910657?display=Hollie%20Martinson&amp;reservation_id=31734206910657&amp;guest_id=31734206906622", "Hollie Martinson")</f>
        <v>Hollie Martinson</v>
      </c>
      <c r="E10688" t="s">
        <v>9670</v>
      </c>
      <c r="F10688" t="s">
        <v>8340</v>
      </c>
      <c r="G10688">
        <v>159</v>
      </c>
      <c r="H10688">
        <v>172.84</v>
      </c>
      <c r="I10688">
        <v>172.83</v>
      </c>
      <c r="J10688">
        <v>0.01</v>
      </c>
    </row>
    <row r="10689" spans="1:10" x14ac:dyDescent="0.3">
      <c r="A10689" t="str">
        <f>HYPERLINK("https://us2.cloudbeds.com/connect/10074733072513#/reservations/31732710650078?display=MXJ1A58NJ&amp;reservation_id=31732710650078", "MXJ1A58NJ")</f>
        <v>MXJ1A58NJ</v>
      </c>
      <c r="B10689" t="s">
        <v>10</v>
      </c>
      <c r="C10689" t="s">
        <v>23</v>
      </c>
      <c r="D10689" t="str">
        <f>HYPERLINK("https://us2.cloudbeds.com/connect/10074733072513#/reservations/31732710650078?display=Andrew%20Andersen&amp;reservation_id=31732710650078&amp;guest_id=31732710650073", "Andrew Andersen")</f>
        <v>Andrew Andersen</v>
      </c>
      <c r="E10689" t="s">
        <v>9671</v>
      </c>
      <c r="F10689" t="s">
        <v>9152</v>
      </c>
      <c r="G10689">
        <v>189</v>
      </c>
      <c r="H10689">
        <v>205.45</v>
      </c>
      <c r="I10689">
        <v>205.44</v>
      </c>
      <c r="J10689">
        <v>0.01</v>
      </c>
    </row>
    <row r="10690" spans="1:10" x14ac:dyDescent="0.3">
      <c r="A10690" t="str">
        <f>HYPERLINK("https://us2.cloudbeds.com/connect/10074733072513#/reservations/31732485681333?display=MXXSXF5RT&amp;reservation_id=31732485681333", "MXXSXF5RT")</f>
        <v>MXXSXF5RT</v>
      </c>
      <c r="B10690" t="s">
        <v>10</v>
      </c>
      <c r="C10690" t="s">
        <v>11</v>
      </c>
      <c r="D10690" t="str">
        <f>HYPERLINK("https://us2.cloudbeds.com/connect/10074733072513#/reservations/31732485681333?display=Roy%20Bartlett&amp;reservation_id=31732485681333&amp;guest_id=31732479881374", "Roy Bartlett")</f>
        <v>Roy Bartlett</v>
      </c>
      <c r="E10690" t="s">
        <v>9672</v>
      </c>
      <c r="F10690" t="s">
        <v>9673</v>
      </c>
      <c r="G10690">
        <v>258</v>
      </c>
      <c r="H10690">
        <v>280.45999999999998</v>
      </c>
      <c r="I10690">
        <v>280.45</v>
      </c>
      <c r="J10690">
        <v>0.01</v>
      </c>
    </row>
    <row r="10691" spans="1:10" x14ac:dyDescent="0.3">
      <c r="A10691" t="str">
        <f>HYPERLINK("https://us2.cloudbeds.com/connect/10074733072513#/reservations/31732094873808?display=MXXXXUCJK&amp;reservation_id=31732094873808", "MXXXXUCJK")</f>
        <v>MXXXXUCJK</v>
      </c>
      <c r="B10691" t="s">
        <v>10</v>
      </c>
      <c r="C10691" t="s">
        <v>121</v>
      </c>
      <c r="D10691" t="str">
        <f>HYPERLINK("https://us2.cloudbeds.com/connect/10074733072513#/reservations/31732094873808?display=Willard%20Thompson&amp;reservation_id=31732094873808&amp;guest_id=31732088545441", "Willard Thompson")</f>
        <v>Willard Thompson</v>
      </c>
      <c r="E10691" t="s">
        <v>9676</v>
      </c>
      <c r="F10691" t="s">
        <v>9050</v>
      </c>
      <c r="G10691">
        <v>129</v>
      </c>
      <c r="H10691">
        <v>140.22999999999999</v>
      </c>
      <c r="I10691">
        <v>140.22</v>
      </c>
      <c r="J10691">
        <v>0.01</v>
      </c>
    </row>
    <row r="10692" spans="1:10" x14ac:dyDescent="0.3">
      <c r="A10692" t="str">
        <f>HYPERLINK("https://us2.cloudbeds.com/connect/10074733072513#/reservations/31732078551238?display=MXXX55609&amp;reservation_id=31732078551238", "MXXX55609")</f>
        <v>MXXX55609</v>
      </c>
      <c r="B10692" t="s">
        <v>10</v>
      </c>
      <c r="C10692" t="s">
        <v>23</v>
      </c>
      <c r="D10692" t="str">
        <f>HYPERLINK("https://us2.cloudbeds.com/connect/10074733072513#/reservations/31732078551238?display=Megan%20Stilp&amp;reservation_id=31732078551238&amp;guest_id=31732078547199", "Megan Stilp")</f>
        <v>Megan Stilp</v>
      </c>
      <c r="E10692" t="s">
        <v>9677</v>
      </c>
      <c r="F10692" t="s">
        <v>9050</v>
      </c>
      <c r="G10692">
        <v>129</v>
      </c>
      <c r="H10692">
        <v>140.22999999999999</v>
      </c>
      <c r="I10692">
        <v>140.22</v>
      </c>
      <c r="J10692">
        <v>0.01</v>
      </c>
    </row>
    <row r="10693" spans="1:10" x14ac:dyDescent="0.3">
      <c r="A10693" t="str">
        <f>HYPERLINK("https://us2.cloudbeds.com/connect/10074733072513#/reservations/31732067991706?display=MXXHT8BFD&amp;reservation_id=31732067991706", "MXXHT8BFD")</f>
        <v>MXXHT8BFD</v>
      </c>
      <c r="B10693" t="s">
        <v>10</v>
      </c>
      <c r="C10693" t="s">
        <v>121</v>
      </c>
      <c r="D10693" t="str">
        <f>HYPERLINK("https://us2.cloudbeds.com/connect/10074733072513#/reservations/31732067991706?display=Jason%20Whitt&amp;reservation_id=31732067991706&amp;guest_id=31732067991701", "Jason Whitt")</f>
        <v>Jason Whitt</v>
      </c>
      <c r="E10693" t="s">
        <v>9678</v>
      </c>
      <c r="F10693" t="s">
        <v>9050</v>
      </c>
      <c r="G10693">
        <v>139</v>
      </c>
      <c r="H10693">
        <v>151.1</v>
      </c>
      <c r="I10693">
        <v>151.09</v>
      </c>
      <c r="J10693">
        <v>0.01</v>
      </c>
    </row>
    <row r="10694" spans="1:10" x14ac:dyDescent="0.3">
      <c r="A10694" t="str">
        <f>HYPERLINK("https://us2.cloudbeds.com/connect/10074733072513#/reservations/31730707914980?display=MXHG4D6S7&amp;reservation_id=31730707914980", "MXHG4D6S7")</f>
        <v>MXHG4D6S7</v>
      </c>
      <c r="B10694" t="s">
        <v>10</v>
      </c>
      <c r="C10694" t="s">
        <v>23</v>
      </c>
      <c r="D10694" t="str">
        <f>HYPERLINK("https://us2.cloudbeds.com/connect/10074733072513#/reservations/31730707914980?display=Rocky%20Funk&amp;reservation_id=31730707914980&amp;guest_id=31730699124877", "Rocky Funk")</f>
        <v>Rocky Funk</v>
      </c>
      <c r="E10694" t="s">
        <v>9679</v>
      </c>
      <c r="F10694" t="s">
        <v>9274</v>
      </c>
      <c r="G10694">
        <v>129</v>
      </c>
      <c r="H10694">
        <v>140.22999999999999</v>
      </c>
      <c r="I10694">
        <v>140.22</v>
      </c>
      <c r="J10694">
        <v>0.01</v>
      </c>
    </row>
    <row r="10695" spans="1:10" x14ac:dyDescent="0.3">
      <c r="A10695" t="str">
        <f>HYPERLINK("https://us2.cloudbeds.com/connect/10074733072513#/reservations/31730699120783?display=MXHFTWGCD&amp;reservation_id=31730699120783", "MXHFTWGCD")</f>
        <v>MXHFTWGCD</v>
      </c>
      <c r="B10695" t="s">
        <v>10</v>
      </c>
      <c r="C10695" t="s">
        <v>23</v>
      </c>
      <c r="D10695" t="str">
        <f>HYPERLINK("https://us2.cloudbeds.com/connect/10074733072513#/reservations/31730699120783?display=Scott%20Pack&amp;reservation_id=31730699120783&amp;guest_id=31730692063480", "Scott Pack")</f>
        <v>Scott Pack</v>
      </c>
      <c r="E10695" t="s">
        <v>9680</v>
      </c>
      <c r="F10695" t="s">
        <v>9274</v>
      </c>
      <c r="G10695">
        <v>159</v>
      </c>
      <c r="H10695">
        <v>172.84</v>
      </c>
      <c r="I10695">
        <v>172.83</v>
      </c>
      <c r="J10695">
        <v>0.01</v>
      </c>
    </row>
    <row r="10696" spans="1:10" x14ac:dyDescent="0.3">
      <c r="A10696" t="str">
        <f>HYPERLINK("https://us2.cloudbeds.com/connect/10074733072513#/reservations/31731696341239?display=MXX8CSKY3&amp;reservation_id=31731696341239", "MXX8CSKY3")</f>
        <v>MXX8CSKY3</v>
      </c>
      <c r="B10696" t="s">
        <v>10</v>
      </c>
      <c r="C10696" t="s">
        <v>42</v>
      </c>
      <c r="D10696" t="str">
        <f>HYPERLINK("https://us2.cloudbeds.com/connect/10074733072513#/reservations/31731696341239?display=Colsen%20Wilber&amp;reservation_id=31731696341239&amp;guest_id=31731680657637", "Colsen Wilber")</f>
        <v>Colsen Wilber</v>
      </c>
      <c r="E10696" t="s">
        <v>9681</v>
      </c>
      <c r="F10696" t="s">
        <v>9588</v>
      </c>
      <c r="G10696">
        <v>336</v>
      </c>
      <c r="H10696">
        <v>365.24</v>
      </c>
      <c r="I10696">
        <v>365.23</v>
      </c>
      <c r="J10696">
        <v>0.01</v>
      </c>
    </row>
    <row r="10697" spans="1:10" x14ac:dyDescent="0.3">
      <c r="A10697" t="str">
        <f>HYPERLINK("https://us2.cloudbeds.com/connect/10074733072513#/reservations/31730682413214?display=MXHFFTJ8E&amp;reservation_id=31730682413214", "MXHFFTJ8E")</f>
        <v>MXHFFTJ8E</v>
      </c>
      <c r="B10697" t="s">
        <v>10</v>
      </c>
      <c r="C10697" t="s">
        <v>23</v>
      </c>
      <c r="D10697" t="str">
        <f>HYPERLINK("https://us2.cloudbeds.com/connect/10074733072513#/reservations/31730682413214?display=Dianne%20Murray&amp;reservation_id=31730682413214&amp;guest_id=31730682409123", "Dianne Murray")</f>
        <v>Dianne Murray</v>
      </c>
      <c r="E10697" t="s">
        <v>9682</v>
      </c>
      <c r="F10697" t="s">
        <v>9274</v>
      </c>
      <c r="G10697">
        <v>139</v>
      </c>
      <c r="H10697">
        <v>151.1</v>
      </c>
      <c r="I10697">
        <v>151.09</v>
      </c>
      <c r="J10697">
        <v>0.01</v>
      </c>
    </row>
    <row r="10698" spans="1:10" x14ac:dyDescent="0.3">
      <c r="A10698" t="str">
        <f>HYPERLINK("https://us2.cloudbeds.com/connect/10074733072513#/reservations/31713377996945?display=MX42ABMRS&amp;reservation_id=31713377996945", "MX42ABMRS")</f>
        <v>MX42ABMRS</v>
      </c>
      <c r="B10698" t="s">
        <v>10</v>
      </c>
      <c r="C10698" t="s">
        <v>42</v>
      </c>
      <c r="D10698" t="str">
        <f>HYPERLINK("https://us2.cloudbeds.com/connect/10074733072513#/reservations/31713377996945?display=Mr%20&amp;%20Mrs%20Nick%20Looby%20.&amp;reservation_id=31713377996945&amp;guest_id=31713366737136", "Mr &amp; Mrs Nick Looby .")</f>
        <v>Mr &amp; Mrs Nick Looby .</v>
      </c>
      <c r="E10698" t="s">
        <v>9683</v>
      </c>
      <c r="F10698" t="s">
        <v>9684</v>
      </c>
      <c r="G10698">
        <v>696</v>
      </c>
      <c r="H10698">
        <v>756.56</v>
      </c>
      <c r="I10698">
        <v>756.55</v>
      </c>
      <c r="J10698">
        <v>0.01</v>
      </c>
    </row>
    <row r="10699" spans="1:10" x14ac:dyDescent="0.3">
      <c r="A10699" t="str">
        <f>HYPERLINK("https://us2.cloudbeds.com/connect/10074733072513#/reservations/31734675439758?display=MXKXGUE9Q&amp;reservation_id=31734675439758", "MXKXGUE9Q")</f>
        <v>MXKXGUE9Q</v>
      </c>
      <c r="B10699" t="s">
        <v>10</v>
      </c>
      <c r="C10699" t="s">
        <v>121</v>
      </c>
      <c r="D10699" t="str">
        <f>HYPERLINK("https://us2.cloudbeds.com/connect/10074733072513#/reservations/31734675439758?display=Bryan%20Thomas&amp;reservation_id=31734675439758&amp;guest_id=31734675439752", "Bryan Thomas")</f>
        <v>Bryan Thomas</v>
      </c>
      <c r="E10699" t="s">
        <v>5137</v>
      </c>
      <c r="F10699" t="s">
        <v>9588</v>
      </c>
      <c r="G10699">
        <v>278</v>
      </c>
      <c r="H10699">
        <v>302.2</v>
      </c>
      <c r="I10699">
        <v>302.19</v>
      </c>
      <c r="J10699">
        <v>0.01</v>
      </c>
    </row>
    <row r="10700" spans="1:10" x14ac:dyDescent="0.3">
      <c r="A10700" t="str">
        <f>HYPERLINK("https://us2.cloudbeds.com/connect/10074733072513#/reservations/31733085065426?display=MXJASSUF7&amp;reservation_id=31733085065426", "MXJASSUF7")</f>
        <v>MXJASSUF7</v>
      </c>
      <c r="B10700" t="s">
        <v>10</v>
      </c>
      <c r="C10700" t="s">
        <v>23</v>
      </c>
      <c r="D10700" t="str">
        <f>HYPERLINK("https://us2.cloudbeds.com/connect/10074733072513#/reservations/31733085065426?display=Nancy%20Eckels&amp;reservation_id=31733085065426&amp;guest_id=31733085065421", "Nancy Eckels")</f>
        <v>Nancy Eckels</v>
      </c>
      <c r="E10700" t="s">
        <v>9685</v>
      </c>
      <c r="F10700" t="s">
        <v>9239</v>
      </c>
      <c r="G10700">
        <v>129</v>
      </c>
      <c r="H10700">
        <v>140.22999999999999</v>
      </c>
      <c r="I10700">
        <v>140.22</v>
      </c>
      <c r="J10700">
        <v>0.01</v>
      </c>
    </row>
    <row r="10701" spans="1:10" x14ac:dyDescent="0.3">
      <c r="A10701" t="str">
        <f>HYPERLINK("https://us2.cloudbeds.com/connect/10074733072513#/reservations/31734772924557?display=MXKY0430K&amp;reservation_id=31734772924557", "MXKY0430K")</f>
        <v>MXKY0430K</v>
      </c>
      <c r="B10701" t="s">
        <v>10</v>
      </c>
      <c r="C10701" t="s">
        <v>20</v>
      </c>
      <c r="D10701" t="str">
        <f>HYPERLINK("https://us2.cloudbeds.com/connect/10074733072513#/reservations/31734772924557?display=Jesse%20Searles&amp;reservation_id=31734772924557&amp;guest_id=31734758584448", "Jesse Searles")</f>
        <v>Jesse Searles</v>
      </c>
      <c r="E10701" t="s">
        <v>9686</v>
      </c>
      <c r="F10701" t="s">
        <v>9274</v>
      </c>
      <c r="G10701">
        <v>129</v>
      </c>
      <c r="H10701">
        <v>140.22999999999999</v>
      </c>
      <c r="I10701">
        <v>140.22</v>
      </c>
      <c r="J10701">
        <v>0.01</v>
      </c>
    </row>
    <row r="10702" spans="1:10" x14ac:dyDescent="0.3">
      <c r="A10702" t="str">
        <f>HYPERLINK("https://us2.cloudbeds.com/connect/10074733072513#/reservations/31729577087108?display=MXGK7S8DV&amp;reservation_id=31729577087108", "MXGK7S8DV")</f>
        <v>MXGK7S8DV</v>
      </c>
      <c r="B10702" t="s">
        <v>10</v>
      </c>
      <c r="C10702" t="s">
        <v>42</v>
      </c>
      <c r="D10702" t="str">
        <f>HYPERLINK("https://us2.cloudbeds.com/connect/10074733072513#/reservations/31729577087108?display=Kim%20Spurgin&amp;reservation_id=31729577087108&amp;guest_id=31729577083012", "Kim Spurgin")</f>
        <v>Kim Spurgin</v>
      </c>
      <c r="E10702" t="s">
        <v>9687</v>
      </c>
      <c r="F10702" t="s">
        <v>8045</v>
      </c>
      <c r="G10702">
        <v>189</v>
      </c>
      <c r="H10702">
        <v>205.45</v>
      </c>
      <c r="I10702">
        <v>205.44</v>
      </c>
      <c r="J10702">
        <v>0.01</v>
      </c>
    </row>
    <row r="10703" spans="1:10" x14ac:dyDescent="0.3">
      <c r="A10703" t="str">
        <f>HYPERLINK("https://us2.cloudbeds.com/connect/10074733072513#/reservations/31730432299259?display=MXH92WQ6M&amp;reservation_id=31730432299259", "MXH92WQ6M")</f>
        <v>MXH92WQ6M</v>
      </c>
      <c r="B10703" t="s">
        <v>10</v>
      </c>
      <c r="C10703" t="s">
        <v>42</v>
      </c>
      <c r="D10703" t="str">
        <f>HYPERLINK("https://us2.cloudbeds.com/connect/10074733072513#/reservations/31730432299259?display=John%20Young&amp;reservation_id=31730432299259&amp;guest_id=31730432299243", "John Young")</f>
        <v>John Young</v>
      </c>
      <c r="E10703" t="s">
        <v>9688</v>
      </c>
      <c r="F10703" t="s">
        <v>9561</v>
      </c>
      <c r="G10703">
        <v>497</v>
      </c>
      <c r="H10703">
        <v>540.25</v>
      </c>
      <c r="I10703">
        <v>540.24</v>
      </c>
      <c r="J10703">
        <v>0.01</v>
      </c>
    </row>
    <row r="10704" spans="1:10" x14ac:dyDescent="0.3">
      <c r="A10704" t="str">
        <f>HYPERLINK("https://us2.cloudbeds.com/connect/10074733072513#/reservations/31730403119329?display=MXH8BCR1C&amp;reservation_id=31730403119329", "MXH8BCR1C")</f>
        <v>MXH8BCR1C</v>
      </c>
      <c r="B10704" t="s">
        <v>10</v>
      </c>
      <c r="C10704" t="s">
        <v>42</v>
      </c>
      <c r="D10704" t="str">
        <f>HYPERLINK("https://us2.cloudbeds.com/connect/10074733072513#/reservations/31730403119329?display=Linda%20Hanson&amp;reservation_id=31730403119329&amp;guest_id=31730403115229", "Linda Hanson")</f>
        <v>Linda Hanson</v>
      </c>
      <c r="E10704" t="s">
        <v>9689</v>
      </c>
      <c r="F10704" t="s">
        <v>9561</v>
      </c>
      <c r="G10704">
        <v>432</v>
      </c>
      <c r="H10704">
        <v>469.59</v>
      </c>
      <c r="I10704">
        <v>469.58</v>
      </c>
      <c r="J10704">
        <v>0.01</v>
      </c>
    </row>
    <row r="10705" spans="1:10" x14ac:dyDescent="0.3">
      <c r="A10705" t="str">
        <f>HYPERLINK("https://us2.cloudbeds.com/connect/10074733072513#/reservations/31734567645334?display=MXKFP0TH3&amp;reservation_id=31734567645334", "MXKFP0TH3")</f>
        <v>MXKFP0TH3</v>
      </c>
      <c r="B10705" t="s">
        <v>10</v>
      </c>
      <c r="C10705" t="s">
        <v>23</v>
      </c>
      <c r="D10705" t="str">
        <f>HYPERLINK("https://us2.cloudbeds.com/connect/10074733072513#/reservations/31734567645334?display=Alexander%20Bunk&amp;reservation_id=31734567645334&amp;guest_id=31734558486768", "Alexander Bunk")</f>
        <v>Alexander Bunk</v>
      </c>
      <c r="E10705" t="s">
        <v>9690</v>
      </c>
      <c r="F10705" t="s">
        <v>9287</v>
      </c>
      <c r="G10705">
        <v>129</v>
      </c>
      <c r="H10705">
        <v>140.22999999999999</v>
      </c>
      <c r="I10705">
        <v>140.22</v>
      </c>
      <c r="J10705">
        <v>0.01</v>
      </c>
    </row>
    <row r="10706" spans="1:10" x14ac:dyDescent="0.3">
      <c r="A10706" t="str">
        <f>HYPERLINK("https://us2.cloudbeds.com/connect/10074733072513#/reservations/31734850609375?display=MXKMWKPV0&amp;reservation_id=31734850609375", "MXKMWKPV0")</f>
        <v>MXKMWKPV0</v>
      </c>
      <c r="B10706" t="s">
        <v>10</v>
      </c>
      <c r="C10706" t="s">
        <v>11</v>
      </c>
      <c r="D10706" t="str">
        <f>HYPERLINK("https://us2.cloudbeds.com/connect/10074733072513#/reservations/31734850609375?display=Demetria%20Dial&amp;reservation_id=31734850609375&amp;guest_id=31734850609373", "Demetria Dial")</f>
        <v>Demetria Dial</v>
      </c>
      <c r="E10706" t="s">
        <v>9692</v>
      </c>
      <c r="F10706" t="s">
        <v>9274</v>
      </c>
      <c r="G10706">
        <v>105.78</v>
      </c>
      <c r="H10706">
        <v>114.99</v>
      </c>
      <c r="I10706">
        <v>114.98</v>
      </c>
      <c r="J10706">
        <v>0.01</v>
      </c>
    </row>
    <row r="10707" spans="1:10" x14ac:dyDescent="0.3">
      <c r="A10707" t="str">
        <f>HYPERLINK("https://us2.cloudbeds.com/connect/10074733072513#/reservations/31728467386511?display=MXFZT46K4&amp;reservation_id=31728467386511", "MXFZT46K4")</f>
        <v>MXFZT46K4</v>
      </c>
      <c r="B10707" t="s">
        <v>10</v>
      </c>
      <c r="C10707" t="s">
        <v>23</v>
      </c>
      <c r="D10707" t="str">
        <f>HYPERLINK("https://us2.cloudbeds.com/connect/10074733072513#/reservations/31728467386511?display=William%20Kerby&amp;reservation_id=31728467386511&amp;guest_id=31728456335540", "William Kerby")</f>
        <v>William Kerby</v>
      </c>
      <c r="E10707" t="s">
        <v>9693</v>
      </c>
      <c r="F10707" t="s">
        <v>9379</v>
      </c>
      <c r="G10707">
        <v>129</v>
      </c>
      <c r="H10707">
        <v>140.22999999999999</v>
      </c>
      <c r="I10707">
        <v>140.22</v>
      </c>
      <c r="J10707">
        <v>0.01</v>
      </c>
    </row>
    <row r="10708" spans="1:10" x14ac:dyDescent="0.3">
      <c r="A10708" t="str">
        <f>HYPERLINK("https://us2.cloudbeds.com/connect/10074733072513#/reservations/31727861305488?display=MXF9D23CH&amp;reservation_id=31727861305488", "MXF9D23CH")</f>
        <v>MXF9D23CH</v>
      </c>
      <c r="B10708" t="s">
        <v>10</v>
      </c>
      <c r="C10708" t="s">
        <v>17</v>
      </c>
      <c r="D10708" t="str">
        <f>HYPERLINK("https://us2.cloudbeds.com/connect/10074733072513#/reservations/31727861305488?display=Paul%20Nahnsen&amp;reservation_id=31727861305488&amp;guest_id=31727861305486", "Paul Nahnsen")</f>
        <v>Paul Nahnsen</v>
      </c>
      <c r="E10708" t="s">
        <v>9694</v>
      </c>
      <c r="F10708" t="s">
        <v>9617</v>
      </c>
      <c r="G10708">
        <v>139</v>
      </c>
      <c r="H10708">
        <v>151.1</v>
      </c>
      <c r="I10708">
        <v>151.09</v>
      </c>
      <c r="J10708">
        <v>0.01</v>
      </c>
    </row>
    <row r="10709" spans="1:10" x14ac:dyDescent="0.3">
      <c r="A10709" t="str">
        <f>HYPERLINK("https://us2.cloudbeds.com/connect/10074733072513#/reservations/31731708919940?display=MXX8NFYAS&amp;reservation_id=31731708919940", "MXX8NFYAS")</f>
        <v>MXX8NFYAS</v>
      </c>
      <c r="B10709" t="s">
        <v>10</v>
      </c>
      <c r="C10709" t="s">
        <v>121</v>
      </c>
      <c r="D10709" t="str">
        <f>HYPERLINK("https://us2.cloudbeds.com/connect/10074733072513#/reservations/31731708919940?display=Brett%20Aadson&amp;reservation_id=31731708919940&amp;guest_id=31731697307798", "Brett Aadson")</f>
        <v>Brett Aadson</v>
      </c>
      <c r="E10709" t="s">
        <v>9695</v>
      </c>
      <c r="F10709" t="s">
        <v>9588</v>
      </c>
      <c r="G10709">
        <v>258</v>
      </c>
      <c r="H10709">
        <v>280.45999999999998</v>
      </c>
      <c r="I10709">
        <v>280.45</v>
      </c>
      <c r="J10709">
        <v>0.01</v>
      </c>
    </row>
    <row r="10710" spans="1:10" x14ac:dyDescent="0.3">
      <c r="A10710" t="str">
        <f>HYPERLINK("https://us2.cloudbeds.com/connect/10074733072513#/reservations/31733106503826?display=MXJBDVFPM&amp;reservation_id=31733106503826", "MXJBDVFPM")</f>
        <v>MXJBDVFPM</v>
      </c>
      <c r="B10710" t="s">
        <v>10</v>
      </c>
      <c r="C10710" t="s">
        <v>23</v>
      </c>
      <c r="D10710" t="str">
        <f>HYPERLINK("https://us2.cloudbeds.com/connect/10074733072513#/reservations/31733106503826?display=Linda%20Stetzel&amp;reservation_id=31733106503826&amp;guest_id=31733106499739", "Linda Stetzel")</f>
        <v>Linda Stetzel</v>
      </c>
      <c r="E10710" t="s">
        <v>9697</v>
      </c>
      <c r="F10710" t="s">
        <v>9239</v>
      </c>
      <c r="G10710">
        <v>139</v>
      </c>
      <c r="H10710">
        <v>151.1</v>
      </c>
      <c r="I10710">
        <v>151.09</v>
      </c>
      <c r="J10710">
        <v>0.01</v>
      </c>
    </row>
    <row r="10711" spans="1:10" x14ac:dyDescent="0.3">
      <c r="A10711" t="str">
        <f>HYPERLINK("https://us2.cloudbeds.com/connect/10074733072513#/reservations/31731115311260?display=MXHQHUK41&amp;reservation_id=31731115311260", "MXHQHUK41")</f>
        <v>MXHQHUK41</v>
      </c>
      <c r="B10711" t="s">
        <v>10</v>
      </c>
      <c r="C10711" t="s">
        <v>23</v>
      </c>
      <c r="D10711" t="str">
        <f>HYPERLINK("https://us2.cloudbeds.com/connect/10074733072513#/reservations/31731115311260?display=Joshua%20Harvey&amp;reservation_id=31731115311260&amp;guest_id=31694662926482", "Joshua Harvey")</f>
        <v>Joshua Harvey</v>
      </c>
      <c r="E10711" t="s">
        <v>8649</v>
      </c>
      <c r="F10711" t="s">
        <v>9152</v>
      </c>
      <c r="G10711">
        <v>418</v>
      </c>
      <c r="H10711">
        <v>454.38</v>
      </c>
      <c r="I10711">
        <v>454.37</v>
      </c>
      <c r="J10711">
        <v>0.01</v>
      </c>
    </row>
    <row r="10712" spans="1:10" x14ac:dyDescent="0.3">
      <c r="A10712" t="str">
        <f>HYPERLINK("https://us2.cloudbeds.com/connect/10074733072513#/reservations/31735498232009?display=MXY6HNRZ9&amp;reservation_id=31735498232009", "MXY6HNRZ9")</f>
        <v>MXY6HNRZ9</v>
      </c>
      <c r="B10712" t="s">
        <v>10</v>
      </c>
      <c r="C10712" t="s">
        <v>23</v>
      </c>
      <c r="D10712" t="str">
        <f>HYPERLINK("https://us2.cloudbeds.com/connect/10074733072513#/reservations/31735498232009?display=Laine%20Larsen&amp;reservation_id=31735498232009&amp;guest_id=31735489642683", "Laine Larsen")</f>
        <v>Laine Larsen</v>
      </c>
      <c r="E10712" t="s">
        <v>9698</v>
      </c>
      <c r="F10712" t="s">
        <v>9287</v>
      </c>
      <c r="G10712">
        <v>169</v>
      </c>
      <c r="H10712">
        <v>183.71</v>
      </c>
      <c r="I10712">
        <v>183.7</v>
      </c>
      <c r="J10712">
        <v>0.01</v>
      </c>
    </row>
    <row r="10713" spans="1:10" x14ac:dyDescent="0.3">
      <c r="A10713" t="str">
        <f>HYPERLINK("https://us2.cloudbeds.com/connect/10074733072513#/reservations/31732730933384?display=MXJ1R8MB5&amp;reservation_id=31732730933384", "MXJ1R8MB5")</f>
        <v>MXJ1R8MB5</v>
      </c>
      <c r="B10713" t="s">
        <v>10</v>
      </c>
      <c r="C10713" t="s">
        <v>23</v>
      </c>
      <c r="D10713" t="str">
        <f>HYPERLINK("https://us2.cloudbeds.com/connect/10074733072513#/reservations/31732730933384?display=Jessica%20Butcher&amp;reservation_id=31732730933384&amp;guest_id=31732721107125", "Jessica Butcher")</f>
        <v>Jessica Butcher</v>
      </c>
      <c r="E10713" t="s">
        <v>9699</v>
      </c>
      <c r="F10713" t="s">
        <v>9152</v>
      </c>
      <c r="G10713">
        <v>219</v>
      </c>
      <c r="H10713">
        <v>238.06</v>
      </c>
      <c r="I10713">
        <v>238.05</v>
      </c>
      <c r="J10713">
        <v>0.01</v>
      </c>
    </row>
    <row r="10714" spans="1:10" x14ac:dyDescent="0.3">
      <c r="A10714" t="str">
        <f>HYPERLINK("https://us2.cloudbeds.com/connect/10074733072513#/reservations/31732779221203?display=MXJ31WBPF&amp;reservation_id=31732779221203", "MXJ31WBPF")</f>
        <v>MXJ31WBPF</v>
      </c>
      <c r="B10714" t="s">
        <v>10</v>
      </c>
      <c r="C10714" t="s">
        <v>11</v>
      </c>
      <c r="D10714" t="str">
        <f>HYPERLINK("https://us2.cloudbeds.com/connect/10074733072513#/reservations/31732779221203?display=Allen%20Amborn&amp;reservation_id=31732779221203&amp;guest_id=31732779217117", "Allen Amborn")</f>
        <v>Allen Amborn</v>
      </c>
      <c r="E10714" t="s">
        <v>9700</v>
      </c>
      <c r="F10714" t="s">
        <v>9152</v>
      </c>
      <c r="G10714">
        <v>221.72</v>
      </c>
      <c r="H10714">
        <v>241.02</v>
      </c>
      <c r="I10714">
        <v>241.01</v>
      </c>
      <c r="J10714">
        <v>0.01</v>
      </c>
    </row>
    <row r="10715" spans="1:10" x14ac:dyDescent="0.3">
      <c r="A10715" t="str">
        <f>HYPERLINK("https://us2.cloudbeds.com/connect/10074733072513#/reservations/31732831887523?display=MXJ4DCSSX&amp;reservation_id=31732831887523", "MXJ4DCSSX")</f>
        <v>MXJ4DCSSX</v>
      </c>
      <c r="B10715" t="s">
        <v>10</v>
      </c>
      <c r="C10715" t="s">
        <v>23</v>
      </c>
      <c r="D10715" t="str">
        <f>HYPERLINK("https://us2.cloudbeds.com/connect/10074733072513#/reservations/31732831887523?display=Patricia%20Williams&amp;reservation_id=31732831887523&amp;guest_id=31732831887520", "Patricia Williams")</f>
        <v>Patricia Williams</v>
      </c>
      <c r="E10715" t="s">
        <v>9701</v>
      </c>
      <c r="F10715" t="s">
        <v>9588</v>
      </c>
      <c r="G10715">
        <v>129</v>
      </c>
      <c r="H10715">
        <v>140.22999999999999</v>
      </c>
      <c r="I10715">
        <v>140.22</v>
      </c>
      <c r="J10715">
        <v>0.01</v>
      </c>
    </row>
    <row r="10716" spans="1:10" x14ac:dyDescent="0.3">
      <c r="A10716" t="str">
        <f>HYPERLINK("https://us2.cloudbeds.com/connect/10074733072513#/reservations/31732831891616?display=MXJ4DCWKJ&amp;reservation_id=31732831891616", "MXJ4DCWKJ")</f>
        <v>MXJ4DCWKJ</v>
      </c>
      <c r="B10716" t="s">
        <v>10</v>
      </c>
      <c r="C10716" t="s">
        <v>42</v>
      </c>
      <c r="D10716" t="str">
        <f>HYPERLINK("https://us2.cloudbeds.com/connect/10074733072513#/reservations/31732831891616?display=Laryy%20Junker&amp;reservation_id=31732831891616&amp;guest_id=31732831891614", "Laryy Junker")</f>
        <v>Laryy Junker</v>
      </c>
      <c r="E10716" t="s">
        <v>9702</v>
      </c>
      <c r="F10716" t="s">
        <v>9588</v>
      </c>
      <c r="G10716">
        <v>123</v>
      </c>
      <c r="H10716">
        <v>133.71</v>
      </c>
      <c r="I10716">
        <v>133.69999999999999</v>
      </c>
      <c r="J10716">
        <v>0.01</v>
      </c>
    </row>
    <row r="10717" spans="1:10" x14ac:dyDescent="0.3">
      <c r="A10717" t="str">
        <f>HYPERLINK("https://us2.cloudbeds.com/connect/10074733072513#/reservations/31733372109007?display=MXJX6UB0X&amp;reservation_id=31733372109007", "MXJX6UB0X")</f>
        <v>MXJX6UB0X</v>
      </c>
      <c r="B10717" t="s">
        <v>10</v>
      </c>
      <c r="C10717" t="s">
        <v>11</v>
      </c>
      <c r="D10717" t="str">
        <f>HYPERLINK("https://us2.cloudbeds.com/connect/10074733072513#/reservations/31733372109007?display=Emery%20Risdall&amp;reservation_id=31733372109007&amp;guest_id=31733362634939", "Emery Risdall")</f>
        <v>Emery Risdall</v>
      </c>
      <c r="E10717" t="s">
        <v>9703</v>
      </c>
      <c r="F10717" t="s">
        <v>9256</v>
      </c>
      <c r="G10717">
        <v>169</v>
      </c>
      <c r="H10717">
        <v>183.71</v>
      </c>
      <c r="I10717">
        <v>183.7</v>
      </c>
      <c r="J10717">
        <v>0.01</v>
      </c>
    </row>
    <row r="10718" spans="1:10" x14ac:dyDescent="0.3">
      <c r="A10718" t="str">
        <f>HYPERLINK("https://us2.cloudbeds.com/connect/10074733072513#/reservations/31733485240509?display=MXJY3ACMT&amp;reservation_id=31733485240509", "MXJY3ACMT")</f>
        <v>MXJY3ACMT</v>
      </c>
      <c r="B10718" t="s">
        <v>10</v>
      </c>
      <c r="C10718" t="s">
        <v>11</v>
      </c>
      <c r="D10718" t="str">
        <f>HYPERLINK("https://us2.cloudbeds.com/connect/10074733072513#/reservations/31733485240509?display=Trent%20Snowden&amp;reservation_id=31733485240509&amp;guest_id=31733479964893", "Trent Snowden")</f>
        <v>Trent Snowden</v>
      </c>
      <c r="E10718" t="s">
        <v>9704</v>
      </c>
      <c r="F10718" t="s">
        <v>9705</v>
      </c>
      <c r="G10718">
        <v>261.08</v>
      </c>
      <c r="H10718">
        <v>283.8</v>
      </c>
      <c r="I10718">
        <v>283.79000000000002</v>
      </c>
      <c r="J10718">
        <v>0.01</v>
      </c>
    </row>
    <row r="10719" spans="1:10" x14ac:dyDescent="0.3">
      <c r="A10719" t="str">
        <f>HYPERLINK("https://us2.cloudbeds.com/connect/10074733072513#/reservations/31733640876188?display=MXJP2X5RJ&amp;reservation_id=31733640876188", "MXJP2X5RJ")</f>
        <v>MXJP2X5RJ</v>
      </c>
      <c r="B10719" t="s">
        <v>10</v>
      </c>
      <c r="C10719" t="s">
        <v>14</v>
      </c>
      <c r="D10719" t="str">
        <f>HYPERLINK("https://us2.cloudbeds.com/connect/10074733072513#/reservations/31733640876188?display=Desa%20Lintz&amp;reservation_id=31733640876188&amp;guest_id=31733640872093", "Desa Lintz")</f>
        <v>Desa Lintz</v>
      </c>
      <c r="E10719" t="s">
        <v>9706</v>
      </c>
      <c r="F10719" t="s">
        <v>9707</v>
      </c>
      <c r="G10719">
        <v>329.88</v>
      </c>
      <c r="H10719">
        <v>358.59</v>
      </c>
      <c r="I10719">
        <v>358.58</v>
      </c>
      <c r="J10719">
        <v>0.01</v>
      </c>
    </row>
    <row r="10720" spans="1:10" x14ac:dyDescent="0.3">
      <c r="A10720" t="str">
        <f>HYPERLINK("https://us2.cloudbeds.com/connect/10074733072513#/reservations/31730842525862?display=MXHJXTVFS&amp;reservation_id=31730842525862", "MXHJXTVFS")</f>
        <v>MXHJXTVFS</v>
      </c>
      <c r="B10720" t="s">
        <v>10</v>
      </c>
      <c r="C10720" t="s">
        <v>23</v>
      </c>
      <c r="D10720" t="str">
        <f>HYPERLINK("https://us2.cloudbeds.com/connect/10074733072513#/reservations/31730842525862?display=Jerome%20Nesheim&amp;reservation_id=31730842525862&amp;guest_id=31730833486030", "Jerome Nesheim")</f>
        <v>Jerome Nesheim</v>
      </c>
      <c r="E10720" t="s">
        <v>7552</v>
      </c>
      <c r="F10720" t="s">
        <v>8596</v>
      </c>
      <c r="G10720">
        <v>418</v>
      </c>
      <c r="H10720">
        <v>454.38</v>
      </c>
      <c r="I10720">
        <v>454.37</v>
      </c>
      <c r="J10720">
        <v>0.01</v>
      </c>
    </row>
    <row r="10721" spans="1:10" x14ac:dyDescent="0.3">
      <c r="A10721" t="str">
        <f>HYPERLINK("https://us2.cloudbeds.com/connect/10074733072513#/reservations/31728415174807?display=MXFNX3AW9&amp;reservation_id=31728415174807", "MXFNX3AW9")</f>
        <v>MXFNX3AW9</v>
      </c>
      <c r="B10721" t="s">
        <v>10</v>
      </c>
      <c r="C10721" t="s">
        <v>42</v>
      </c>
      <c r="D10721" t="str">
        <f>HYPERLINK("https://us2.cloudbeds.com/connect/10074733072513#/reservations/31728415174807?display=Ricky%20Hurd&amp;reservation_id=31728415174807&amp;guest_id=31721499725980", "Ricky Hurd")</f>
        <v>Ricky Hurd</v>
      </c>
      <c r="E10721" t="s">
        <v>6824</v>
      </c>
      <c r="F10721" t="s">
        <v>9235</v>
      </c>
      <c r="G10721">
        <v>338</v>
      </c>
      <c r="H10721">
        <v>367.42</v>
      </c>
      <c r="I10721">
        <v>367.41</v>
      </c>
      <c r="J10721">
        <v>0.01</v>
      </c>
    </row>
    <row r="10722" spans="1:10" x14ac:dyDescent="0.3">
      <c r="A10722" t="str">
        <f>HYPERLINK("https://us2.cloudbeds.com/connect/10074733072513#/reservations/31734706680001?display=MXKJA8ZCR&amp;reservation_id=31734706680001", "MXKJA8ZCR")</f>
        <v>MXKJA8ZCR</v>
      </c>
      <c r="B10722" t="s">
        <v>10</v>
      </c>
      <c r="C10722" t="s">
        <v>23</v>
      </c>
      <c r="D10722" t="str">
        <f>HYPERLINK("https://us2.cloudbeds.com/connect/10074733072513#/reservations/31734706680001?display=Rose%20Hildebrandt&amp;reservation_id=31734706680001&amp;guest_id=31724254281873", "Rose Hildebrandt")</f>
        <v>Rose Hildebrandt</v>
      </c>
      <c r="E10722" t="s">
        <v>9710</v>
      </c>
      <c r="F10722" t="s">
        <v>9588</v>
      </c>
      <c r="G10722">
        <v>159</v>
      </c>
      <c r="H10722">
        <v>172.84</v>
      </c>
      <c r="I10722">
        <v>172.83</v>
      </c>
      <c r="J10722">
        <v>0.01</v>
      </c>
    </row>
    <row r="10723" spans="1:10" x14ac:dyDescent="0.3">
      <c r="A10723" t="str">
        <f>HYPERLINK("https://us2.cloudbeds.com/connect/10074733072513#/reservations/31724120014976?display=MXCCHXBWY&amp;reservation_id=31724120014976", "MXCCHXBWY")</f>
        <v>MXCCHXBWY</v>
      </c>
      <c r="B10723" t="s">
        <v>10</v>
      </c>
      <c r="C10723" t="s">
        <v>20</v>
      </c>
      <c r="D10723" t="str">
        <f>HYPERLINK("https://us2.cloudbeds.com/connect/10074733072513#/reservations/31724120014976?display=Emily%20Stone&amp;reservation_id=31724120014976&amp;guest_id=31724109635807", "Emily Stone")</f>
        <v>Emily Stone</v>
      </c>
      <c r="E10723" t="s">
        <v>9712</v>
      </c>
      <c r="F10723" t="s">
        <v>9713</v>
      </c>
      <c r="G10723">
        <v>179</v>
      </c>
      <c r="H10723">
        <v>194.58</v>
      </c>
      <c r="I10723">
        <v>194.57</v>
      </c>
      <c r="J10723">
        <v>0.01</v>
      </c>
    </row>
    <row r="10724" spans="1:10" x14ac:dyDescent="0.3">
      <c r="A10724" t="str">
        <f>HYPERLINK("https://us2.cloudbeds.com/connect/10074733072513#/reservations/31724158165218?display=MXCDPFP8N&amp;reservation_id=31724158165218", "MXCDPFP8N")</f>
        <v>MXCDPFP8N</v>
      </c>
      <c r="B10724" t="s">
        <v>10</v>
      </c>
      <c r="C10724" t="s">
        <v>17</v>
      </c>
      <c r="D10724" t="str">
        <f>HYPERLINK("https://us2.cloudbeds.com/connect/10074733072513#/reservations/31724158165218?display=John%20Young&amp;reservation_id=31724158165218&amp;guest_id=31724158161132", "John Young")</f>
        <v>John Young</v>
      </c>
      <c r="E10724" t="s">
        <v>9714</v>
      </c>
      <c r="F10724" t="s">
        <v>9713</v>
      </c>
      <c r="G10724">
        <v>179</v>
      </c>
      <c r="H10724">
        <v>194.58</v>
      </c>
      <c r="I10724">
        <v>194.57</v>
      </c>
      <c r="J10724">
        <v>0.01</v>
      </c>
    </row>
    <row r="10725" spans="1:10" x14ac:dyDescent="0.3">
      <c r="A10725" t="str">
        <f>HYPERLINK("https://us2.cloudbeds.com/connect/10074733072513#/reservations/31732001313005?display=MXXG60U5P&amp;reservation_id=31732001313005", "MXXG60U5P")</f>
        <v>MXXG60U5P</v>
      </c>
      <c r="B10725" t="s">
        <v>10</v>
      </c>
      <c r="C10725" t="s">
        <v>17</v>
      </c>
      <c r="D10725" t="str">
        <f>HYPERLINK("https://us2.cloudbeds.com/connect/10074733072513#/reservations/31732001313005?display=Paul%20Moore&amp;reservation_id=31732001313005&amp;guest_id=31730041172171", "Paul Moore")</f>
        <v>Paul Moore</v>
      </c>
      <c r="E10725" t="s">
        <v>9711</v>
      </c>
      <c r="F10725" t="s">
        <v>9635</v>
      </c>
      <c r="G10725">
        <v>129</v>
      </c>
      <c r="H10725">
        <v>140.22999999999999</v>
      </c>
      <c r="I10725">
        <v>140.22</v>
      </c>
      <c r="J10725">
        <v>0.01</v>
      </c>
    </row>
    <row r="10726" spans="1:10" x14ac:dyDescent="0.3">
      <c r="A10726" t="str">
        <f>HYPERLINK("https://us2.cloudbeds.com/connect/10074733072513#/reservations/31733491077272?display=MXJY87QEG&amp;reservation_id=31733491077272", "MXJY87QEG")</f>
        <v>MXJY87QEG</v>
      </c>
      <c r="B10726" t="s">
        <v>10</v>
      </c>
      <c r="C10726" t="s">
        <v>23</v>
      </c>
      <c r="D10726" t="str">
        <f>HYPERLINK("https://us2.cloudbeds.com/connect/10074733072513#/reservations/31733491077272?display=Barbara%20Maruska&amp;reservation_id=31733491077272&amp;guest_id=31733491077270", "Barbara Maruska")</f>
        <v>Barbara Maruska</v>
      </c>
      <c r="E10726" t="s">
        <v>9715</v>
      </c>
      <c r="F10726" t="s">
        <v>9705</v>
      </c>
      <c r="G10726">
        <v>139</v>
      </c>
      <c r="H10726">
        <v>151.1</v>
      </c>
      <c r="I10726">
        <v>151.09</v>
      </c>
      <c r="J10726">
        <v>0.01</v>
      </c>
    </row>
    <row r="10727" spans="1:10" x14ac:dyDescent="0.3">
      <c r="A10727" t="str">
        <f>HYPERLINK("https://us2.cloudbeds.com/connect/10074733072513#/reservations/31726654685334?display=MXEBXK3TE&amp;reservation_id=31726654685334", "MXEBXK3TE")</f>
        <v>MXEBXK3TE</v>
      </c>
      <c r="B10727" t="s">
        <v>10</v>
      </c>
      <c r="C10727" t="s">
        <v>20</v>
      </c>
      <c r="D10727" t="str">
        <f>HYPERLINK("https://us2.cloudbeds.com/connect/10074733072513#/reservations/31726654685334?display=Shawna%20Riggins&amp;reservation_id=31726654685334&amp;guest_id=31726654685317", "Shawna Riggins")</f>
        <v>Shawna Riggins</v>
      </c>
      <c r="E10727" t="s">
        <v>9716</v>
      </c>
      <c r="F10727" t="s">
        <v>9717</v>
      </c>
      <c r="G10727">
        <v>199</v>
      </c>
      <c r="H10727">
        <v>216.32</v>
      </c>
      <c r="I10727">
        <v>216.31</v>
      </c>
      <c r="J10727">
        <v>0.01</v>
      </c>
    </row>
    <row r="10728" spans="1:10" x14ac:dyDescent="0.3">
      <c r="A10728" t="str">
        <f>HYPERLINK("https://us2.cloudbeds.com/connect/10074733072513#/reservations/31726937428184?display=MXEXQ0S6J&amp;reservation_id=31726937428184", "MXEXQ0S6J")</f>
        <v>MXEXQ0S6J</v>
      </c>
      <c r="B10728" t="s">
        <v>10</v>
      </c>
      <c r="C10728" t="s">
        <v>42</v>
      </c>
      <c r="D10728" t="str">
        <f>HYPERLINK("https://us2.cloudbeds.com/connect/10074733072513#/reservations/31726937428184?display=Jason%20Bently&amp;reservation_id=31726937428184&amp;guest_id=31726937428171", "Jason Bently")</f>
        <v>Jason Bently</v>
      </c>
      <c r="E10728" t="s">
        <v>9718</v>
      </c>
      <c r="F10728" t="s">
        <v>9673</v>
      </c>
      <c r="G10728">
        <v>129</v>
      </c>
      <c r="H10728">
        <v>140.22999999999999</v>
      </c>
      <c r="I10728">
        <v>140.22</v>
      </c>
      <c r="J10728">
        <v>0.01</v>
      </c>
    </row>
    <row r="10729" spans="1:10" x14ac:dyDescent="0.3">
      <c r="A10729" t="str">
        <f>HYPERLINK("https://us2.cloudbeds.com/connect/10074733072513#/reservations/31730641076385?display=MXHEE1AZ8&amp;reservation_id=31730641076385", "MXHEE1AZ8")</f>
        <v>MXHEE1AZ8</v>
      </c>
      <c r="B10729" t="s">
        <v>10</v>
      </c>
      <c r="C10729" t="s">
        <v>42</v>
      </c>
      <c r="D10729" t="str">
        <f>HYPERLINK("https://us2.cloudbeds.com/connect/10074733072513#/reservations/31730641076385?display=Sean%20Swanson&amp;reservation_id=31730641076385&amp;guest_id=31730641076370", "Sean Swanson")</f>
        <v>Sean Swanson</v>
      </c>
      <c r="E10729" t="s">
        <v>9720</v>
      </c>
      <c r="F10729" t="s">
        <v>9588</v>
      </c>
      <c r="G10729">
        <v>129</v>
      </c>
      <c r="H10729">
        <v>140.22999999999999</v>
      </c>
      <c r="I10729">
        <v>140.22</v>
      </c>
      <c r="J10729">
        <v>0.01</v>
      </c>
    </row>
    <row r="10730" spans="1:10" x14ac:dyDescent="0.3">
      <c r="A10730" t="str">
        <f>HYPERLINK("https://us2.cloudbeds.com/connect/10074733072513#/reservations/31730654855313?display=MXHEPYZXH&amp;reservation_id=31730654855313", "MXHEPYZXH")</f>
        <v>MXHEPYZXH</v>
      </c>
      <c r="B10730" t="s">
        <v>10</v>
      </c>
      <c r="C10730" t="s">
        <v>23</v>
      </c>
      <c r="D10730" t="str">
        <f>HYPERLINK("https://us2.cloudbeds.com/connect/10074733072513#/reservations/31730654855313?display=Darla%20Lloyd&amp;reservation_id=31730654855313&amp;guest_id=31730654855309", "Darla Lloyd")</f>
        <v>Darla Lloyd</v>
      </c>
      <c r="E10730" t="s">
        <v>9721</v>
      </c>
      <c r="F10730" t="s">
        <v>9588</v>
      </c>
      <c r="G10730">
        <v>159</v>
      </c>
      <c r="H10730">
        <v>172.84</v>
      </c>
      <c r="I10730">
        <v>172.83</v>
      </c>
      <c r="J10730">
        <v>0.01</v>
      </c>
    </row>
    <row r="10731" spans="1:10" x14ac:dyDescent="0.3">
      <c r="A10731" t="str">
        <f>HYPERLINK("https://us2.cloudbeds.com/connect/10074733072513#/reservations/31733100507330?display=MXJB8TKBN&amp;reservation_id=31733100507330", "MXJB8TKBN")</f>
        <v>MXJB8TKBN</v>
      </c>
      <c r="B10731" t="s">
        <v>10</v>
      </c>
      <c r="C10731" t="s">
        <v>17</v>
      </c>
      <c r="D10731" t="str">
        <f>HYPERLINK("https://us2.cloudbeds.com/connect/10074733072513#/reservations/31733100507330?display=Paul%20Moore&amp;reservation_id=31733100507330&amp;guest_id=31730041172171", "Paul Moore")</f>
        <v>Paul Moore</v>
      </c>
      <c r="E10731" t="s">
        <v>9711</v>
      </c>
      <c r="F10731" t="s">
        <v>9239</v>
      </c>
      <c r="G10731">
        <v>278</v>
      </c>
      <c r="H10731">
        <v>302.2</v>
      </c>
      <c r="I10731">
        <v>302.19</v>
      </c>
      <c r="J10731">
        <v>0.01</v>
      </c>
    </row>
    <row r="10732" spans="1:10" x14ac:dyDescent="0.3">
      <c r="A10732" t="str">
        <f>HYPERLINK("https://us2.cloudbeds.com/connect/10074733072513#/reservations/31734456463567?display=MXKCU937Y&amp;reservation_id=31734456463567", "MXKCU937Y")</f>
        <v>MXKCU937Y</v>
      </c>
      <c r="B10732" t="s">
        <v>10</v>
      </c>
      <c r="C10732" t="s">
        <v>42</v>
      </c>
      <c r="D10732" t="str">
        <f>HYPERLINK("https://us2.cloudbeds.com/connect/10074733072513#/reservations/31734456463567?display=Keith%20Broyphy&amp;reservation_id=31734456463567&amp;guest_id=31734451757306", "Keith Broyphy")</f>
        <v>Keith Broyphy</v>
      </c>
      <c r="E10732" t="s">
        <v>9723</v>
      </c>
      <c r="F10732" t="s">
        <v>9152</v>
      </c>
      <c r="G10732">
        <v>498</v>
      </c>
      <c r="H10732">
        <v>541.34</v>
      </c>
      <c r="I10732">
        <v>541.33000000000004</v>
      </c>
      <c r="J10732">
        <v>0.01</v>
      </c>
    </row>
    <row r="10733" spans="1:10" x14ac:dyDescent="0.3">
      <c r="A10733" t="str">
        <f>HYPERLINK("https://us2.cloudbeds.com/connect/10074733072513#/reservations/31729273249969?display=MXGCFYHPU&amp;reservation_id=31729273249969", "MXGCFYHPU")</f>
        <v>MXGCFYHPU</v>
      </c>
      <c r="B10733" t="s">
        <v>10</v>
      </c>
      <c r="C10733" t="s">
        <v>23</v>
      </c>
      <c r="D10733" t="str">
        <f>HYPERLINK("https://us2.cloudbeds.com/connect/10074733072513#/reservations/31729273249969?display=Daniel%20Glaesemann&amp;reservation_id=31729273249969&amp;guest_id=30664517419136", "Daniel Glaesemann")</f>
        <v>Daniel Glaesemann</v>
      </c>
      <c r="E10733" t="s">
        <v>9725</v>
      </c>
      <c r="F10733" t="s">
        <v>9407</v>
      </c>
      <c r="G10733">
        <v>159</v>
      </c>
      <c r="H10733">
        <v>172.84</v>
      </c>
      <c r="I10733">
        <v>172.83</v>
      </c>
      <c r="J10733">
        <v>0.01</v>
      </c>
    </row>
    <row r="10734" spans="1:10" x14ac:dyDescent="0.3">
      <c r="A10734" t="str">
        <f>HYPERLINK("https://us2.cloudbeds.com/connect/10074733072513#/reservations/31733735968903?display=MXJRGZ8W0&amp;reservation_id=31733735968903", "MXJRGZ8W0")</f>
        <v>MXJRGZ8W0</v>
      </c>
      <c r="B10734" t="s">
        <v>10</v>
      </c>
      <c r="C10734" t="s">
        <v>42</v>
      </c>
      <c r="D10734" t="str">
        <f>HYPERLINK("https://us2.cloudbeds.com/connect/10074733072513#/reservations/31733735968903?display=Kylie%20Rossow&amp;reservation_id=31733735968903&amp;guest_id=31733735964811", "Kylie Rossow")</f>
        <v>Kylie Rossow</v>
      </c>
      <c r="E10734" t="s">
        <v>9726</v>
      </c>
      <c r="F10734" t="s">
        <v>9511</v>
      </c>
      <c r="G10734">
        <v>258</v>
      </c>
      <c r="H10734">
        <v>280.45999999999998</v>
      </c>
      <c r="I10734">
        <v>280.45</v>
      </c>
      <c r="J10734">
        <v>0.01</v>
      </c>
    </row>
    <row r="10735" spans="1:10" x14ac:dyDescent="0.3">
      <c r="A10735" t="str">
        <f>HYPERLINK("https://us2.cloudbeds.com/connect/10074733072513#/reservations/31732769358014?display=MXJ2QYTYV&amp;reservation_id=31732769358014", "MXJ2QYTYV")</f>
        <v>MXJ2QYTYV</v>
      </c>
      <c r="B10735" t="s">
        <v>10</v>
      </c>
      <c r="C10735" t="s">
        <v>121</v>
      </c>
      <c r="D10735" t="str">
        <f>HYPERLINK("https://us2.cloudbeds.com/connect/10074733072513#/reservations/31732769358014?display=Todd%20Wilson&amp;reservation_id=31732769358014&amp;guest_id=31727540822250", "Todd Wilson")</f>
        <v>Todd Wilson</v>
      </c>
      <c r="E10735" t="s">
        <v>8602</v>
      </c>
      <c r="F10735" t="s">
        <v>9152</v>
      </c>
      <c r="G10735">
        <v>229</v>
      </c>
      <c r="H10735">
        <v>248.93</v>
      </c>
      <c r="I10735">
        <v>248.92</v>
      </c>
      <c r="J10735">
        <v>0.01</v>
      </c>
    </row>
    <row r="10736" spans="1:10" x14ac:dyDescent="0.3">
      <c r="A10736" t="str">
        <f>HYPERLINK("https://us2.cloudbeds.com/connect/10074733072513#/reservations/31733527216266?display=MXJM5NDUG&amp;reservation_id=31733527216266", "MXJM5NDUG")</f>
        <v>MXJM5NDUG</v>
      </c>
      <c r="B10736" t="s">
        <v>10</v>
      </c>
      <c r="C10736" t="s">
        <v>20</v>
      </c>
      <c r="D10736" t="str">
        <f>HYPERLINK("https://us2.cloudbeds.com/connect/10074733072513#/reservations/31733527216266?display=Mary%20Hildestad&amp;reservation_id=31733527216266&amp;guest_id=31733527216263", "Mary Hildestad")</f>
        <v>Mary Hildestad</v>
      </c>
      <c r="E10736" t="s">
        <v>9728</v>
      </c>
      <c r="F10736" t="s">
        <v>9705</v>
      </c>
      <c r="G10736">
        <v>129</v>
      </c>
      <c r="H10736">
        <v>140.22999999999999</v>
      </c>
      <c r="I10736">
        <v>140.22</v>
      </c>
      <c r="J10736">
        <v>0.01</v>
      </c>
    </row>
    <row r="10737" spans="1:10" x14ac:dyDescent="0.3">
      <c r="A10737" t="str">
        <f>HYPERLINK("https://us2.cloudbeds.com/connect/10074733072513#/reservations/31726930727101?display=MXEXKCCPF&amp;reservation_id=31726930727101", "MXEXKCCPF")</f>
        <v>MXEXKCCPF</v>
      </c>
      <c r="B10737" t="s">
        <v>10</v>
      </c>
      <c r="C10737" t="s">
        <v>23</v>
      </c>
      <c r="D10737" t="str">
        <f>HYPERLINK("https://us2.cloudbeds.com/connect/10074733072513#/reservations/31726930727101?display=Nicholas%20Schrapp&amp;reservation_id=31726930727101&amp;guest_id=31726930727086", "Nicholas Schrapp")</f>
        <v>Nicholas Schrapp</v>
      </c>
      <c r="E10737" t="s">
        <v>9729</v>
      </c>
      <c r="F10737" t="s">
        <v>9673</v>
      </c>
      <c r="G10737">
        <v>318</v>
      </c>
      <c r="H10737">
        <v>345.68</v>
      </c>
      <c r="I10737">
        <v>345.67</v>
      </c>
      <c r="J10737">
        <v>0.01</v>
      </c>
    </row>
    <row r="10738" spans="1:10" x14ac:dyDescent="0.3">
      <c r="A10738" t="str">
        <f>HYPERLINK("https://us2.cloudbeds.com/connect/10074733072513#/reservations/31726996041869?display=MXEK9ESJS&amp;reservation_id=31726996041869", "MXEK9ESJS")</f>
        <v>MXEK9ESJS</v>
      </c>
      <c r="B10738" t="s">
        <v>10</v>
      </c>
      <c r="C10738" t="s">
        <v>23</v>
      </c>
      <c r="D10738" t="str">
        <f>HYPERLINK("https://us2.cloudbeds.com/connect/10074733072513#/reservations/31726996041869?display=Courtney%20Blenner&amp;reservation_id=31726996041869&amp;guest_id=31726996041867", "Courtney Blenner")</f>
        <v>Courtney Blenner</v>
      </c>
      <c r="E10738" t="s">
        <v>9731</v>
      </c>
      <c r="F10738" t="s">
        <v>9705</v>
      </c>
      <c r="G10738">
        <v>129</v>
      </c>
      <c r="H10738">
        <v>140.22999999999999</v>
      </c>
      <c r="I10738">
        <v>140.22</v>
      </c>
      <c r="J10738">
        <v>0.01</v>
      </c>
    </row>
    <row r="10739" spans="1:10" x14ac:dyDescent="0.3">
      <c r="A10739" t="str">
        <f>HYPERLINK("https://us2.cloudbeds.com/connect/10074733072513#/reservations/31735742234756?display=MXYCPFJ0V&amp;reservation_id=31735742234756", "MXYCPFJ0V")</f>
        <v>MXYCPFJ0V</v>
      </c>
      <c r="B10739" t="s">
        <v>10</v>
      </c>
      <c r="C10739" t="s">
        <v>42</v>
      </c>
      <c r="D10739" t="str">
        <f>HYPERLINK("https://us2.cloudbeds.com/connect/10074733072513#/reservations/31735742234756?display=Kathi%20/%20Darren%20Stephen&amp;reservation_id=31735742234756&amp;guest_id=31735742230661", "Kathi / Darren Stephen")</f>
        <v>Kathi / Darren Stephen</v>
      </c>
      <c r="E10739" t="s">
        <v>9732</v>
      </c>
      <c r="F10739" t="s">
        <v>9256</v>
      </c>
      <c r="G10739">
        <v>249</v>
      </c>
      <c r="H10739">
        <v>270.67</v>
      </c>
      <c r="I10739">
        <v>270.66000000000003</v>
      </c>
      <c r="J10739">
        <v>0.01</v>
      </c>
    </row>
    <row r="10740" spans="1:10" x14ac:dyDescent="0.3">
      <c r="A10740" t="str">
        <f>HYPERLINK("https://us2.cloudbeds.com/connect/10074733072513#/reservations/31735732588718?display=MXYCHB5AP&amp;reservation_id=31735732588718", "MXYCHB5AP")</f>
        <v>MXYCHB5AP</v>
      </c>
      <c r="B10740" t="s">
        <v>10</v>
      </c>
      <c r="C10740" t="s">
        <v>23</v>
      </c>
      <c r="D10740" t="str">
        <f>HYPERLINK("https://us2.cloudbeds.com/connect/10074733072513#/reservations/31735732588718?display=Brady%20Connolly&amp;reservation_id=31735732588718&amp;guest_id=31735732588713", "Brady Connolly")</f>
        <v>Brady Connolly</v>
      </c>
      <c r="E10740" t="s">
        <v>9733</v>
      </c>
      <c r="F10740" t="s">
        <v>9256</v>
      </c>
      <c r="G10740">
        <v>219</v>
      </c>
      <c r="H10740">
        <v>238.06</v>
      </c>
      <c r="I10740">
        <v>238.05</v>
      </c>
      <c r="J10740">
        <v>0.01</v>
      </c>
    </row>
    <row r="10741" spans="1:10" x14ac:dyDescent="0.3">
      <c r="A10741" t="str">
        <f>HYPERLINK("https://us2.cloudbeds.com/connect/10074733072513#/reservations/31731877425370?display=MXXD0XXE0&amp;reservation_id=31731877425370", "MXXD0XXE0")</f>
        <v>MXXD0XXE0</v>
      </c>
      <c r="B10741" t="s">
        <v>10</v>
      </c>
      <c r="C10741" t="s">
        <v>23</v>
      </c>
      <c r="D10741" t="str">
        <f>HYPERLINK("https://us2.cloudbeds.com/connect/10074733072513#/reservations/31731877425370?display=Christen%20Bettin&amp;reservation_id=31731877425370&amp;guest_id=31731877421289", "Christen Bettin")</f>
        <v>Christen Bettin</v>
      </c>
      <c r="E10741" t="s">
        <v>9735</v>
      </c>
      <c r="F10741" t="s">
        <v>8992</v>
      </c>
      <c r="G10741">
        <v>159</v>
      </c>
      <c r="H10741">
        <v>172.84</v>
      </c>
      <c r="I10741">
        <v>172.83</v>
      </c>
      <c r="J10741">
        <v>0.01</v>
      </c>
    </row>
    <row r="10742" spans="1:10" x14ac:dyDescent="0.3">
      <c r="A10742" t="str">
        <f>HYPERLINK("https://us2.cloudbeds.com/connect/10074733072513#/reservations/31734567649430?display=MXKFP1097&amp;reservation_id=31734567649430", "MXKFP1097")</f>
        <v>MXKFP1097</v>
      </c>
      <c r="B10742" t="s">
        <v>10</v>
      </c>
      <c r="C10742" t="s">
        <v>11</v>
      </c>
      <c r="D10742" t="str">
        <f>HYPERLINK("https://us2.cloudbeds.com/connect/10074733072513#/reservations/31734567649430?display=Don%20Barnett&amp;reservation_id=31734567649430&amp;guest_id=31734567649428", "Don Barnett")</f>
        <v>Don Barnett</v>
      </c>
      <c r="E10742" t="s">
        <v>9738</v>
      </c>
      <c r="F10742" t="s">
        <v>9287</v>
      </c>
      <c r="G10742">
        <v>139</v>
      </c>
      <c r="H10742">
        <v>151.1</v>
      </c>
      <c r="I10742">
        <v>151.09</v>
      </c>
      <c r="J10742">
        <v>0.01</v>
      </c>
    </row>
    <row r="10743" spans="1:10" x14ac:dyDescent="0.3">
      <c r="A10743" t="str">
        <f>HYPERLINK("https://us2.cloudbeds.com/connect/10074733072513#/reservations/31724724236448?display=MXCS7QHXB&amp;reservation_id=31724724236448", "MXCS7QHXB")</f>
        <v>MXCS7QHXB</v>
      </c>
      <c r="B10743" t="s">
        <v>10</v>
      </c>
      <c r="C10743" t="s">
        <v>42</v>
      </c>
      <c r="D10743" t="str">
        <f>HYPERLINK("https://us2.cloudbeds.com/connect/10074733072513#/reservations/31724724236448?display=Marah%20James&amp;reservation_id=31724724236448&amp;guest_id=31724724232356", "Marah James")</f>
        <v>Marah James</v>
      </c>
      <c r="E10743" t="s">
        <v>9739</v>
      </c>
      <c r="F10743" t="s">
        <v>9740</v>
      </c>
      <c r="G10743">
        <v>159</v>
      </c>
      <c r="H10743">
        <v>172.84</v>
      </c>
      <c r="I10743">
        <v>172.83</v>
      </c>
      <c r="J10743">
        <v>0.01</v>
      </c>
    </row>
    <row r="10744" spans="1:10" x14ac:dyDescent="0.3">
      <c r="A10744" t="str">
        <f>HYPERLINK("https://us2.cloudbeds.com/connect/10074733072513#/reservations/31731669401740?display=MXX7N4WQY&amp;reservation_id=31731669401740", "MXX7N4WQY")</f>
        <v>MXX7N4WQY</v>
      </c>
      <c r="B10744" t="s">
        <v>10</v>
      </c>
      <c r="C10744" t="s">
        <v>23</v>
      </c>
      <c r="D10744" t="str">
        <f>HYPERLINK("https://us2.cloudbeds.com/connect/10074733072513#/reservations/31731669401740?display=Arthur%20Voller&amp;reservation_id=31731669401740&amp;guest_id=31731669401735", "Arthur Voller")</f>
        <v>Arthur Voller</v>
      </c>
      <c r="E10744" t="s">
        <v>9741</v>
      </c>
      <c r="F10744" t="s">
        <v>9319</v>
      </c>
      <c r="G10744">
        <v>129</v>
      </c>
      <c r="H10744">
        <v>140.22999999999999</v>
      </c>
      <c r="I10744">
        <v>140.22</v>
      </c>
      <c r="J10744">
        <v>0.01</v>
      </c>
    </row>
    <row r="10745" spans="1:10" x14ac:dyDescent="0.3">
      <c r="A10745" t="str">
        <f>HYPERLINK("https://us2.cloudbeds.com/connect/10074733072513#/reservations/31733547712673?display=MXJMMWP7P&amp;reservation_id=31733547712673", "MXJMMWP7P")</f>
        <v>MXJMMWP7P</v>
      </c>
      <c r="B10745" t="s">
        <v>10</v>
      </c>
      <c r="C10745" t="s">
        <v>42</v>
      </c>
      <c r="D10745" t="str">
        <f>HYPERLINK("https://us2.cloudbeds.com/connect/10074733072513#/reservations/31733547712673?display=Jason%20Jackson&amp;reservation_id=31733547712673&amp;guest_id=31733547712658", "Jason Jackson")</f>
        <v>Jason Jackson</v>
      </c>
      <c r="E10745" t="s">
        <v>9742</v>
      </c>
      <c r="F10745" t="s">
        <v>9705</v>
      </c>
      <c r="G10745">
        <v>129</v>
      </c>
      <c r="H10745">
        <v>140.22999999999999</v>
      </c>
      <c r="I10745">
        <v>140.22</v>
      </c>
      <c r="J10745">
        <v>0.01</v>
      </c>
    </row>
    <row r="10746" spans="1:10" x14ac:dyDescent="0.3">
      <c r="A10746" t="str">
        <f>HYPERLINK("https://us2.cloudbeds.com/connect/10074733072513#/reservations/31726132404358?display=MXDV76T15&amp;reservation_id=31726132404358", "MXDV76T15")</f>
        <v>MXDV76T15</v>
      </c>
      <c r="B10746" t="s">
        <v>10</v>
      </c>
      <c r="C10746" t="s">
        <v>23</v>
      </c>
      <c r="D10746" t="str">
        <f>HYPERLINK("https://us2.cloudbeds.com/connect/10074733072513#/reservations/31726132404358?display=Brad%20Cain&amp;reservation_id=31726132404358&amp;guest_id=31726132400277", "Brad Cain")</f>
        <v>Brad Cain</v>
      </c>
      <c r="E10746" t="s">
        <v>3753</v>
      </c>
      <c r="F10746" t="s">
        <v>8835</v>
      </c>
      <c r="G10746">
        <v>358</v>
      </c>
      <c r="H10746">
        <v>389.16</v>
      </c>
      <c r="I10746">
        <v>389.15</v>
      </c>
      <c r="J10746">
        <v>0.01</v>
      </c>
    </row>
    <row r="10747" spans="1:10" x14ac:dyDescent="0.3">
      <c r="A10747" t="str">
        <f>HYPERLINK("https://us2.cloudbeds.com/connect/10074733072513#/reservations/31728191496350?display=MXFHRG4V7&amp;reservation_id=31728191496350", "MXFHRG4V7")</f>
        <v>MXFHRG4V7</v>
      </c>
      <c r="B10747" t="s">
        <v>10</v>
      </c>
      <c r="C10747" t="s">
        <v>23</v>
      </c>
      <c r="D10747" t="str">
        <f>HYPERLINK("https://us2.cloudbeds.com/connect/10074733072513#/reservations/31728191496350?display=Steven%20Brown&amp;reservation_id=31728191496350&amp;guest_id=31728191496329", "Steven Brown")</f>
        <v>Steven Brown</v>
      </c>
      <c r="E10747" t="s">
        <v>9743</v>
      </c>
      <c r="F10747" t="s">
        <v>9744</v>
      </c>
      <c r="G10747">
        <v>129</v>
      </c>
      <c r="H10747">
        <v>140.22999999999999</v>
      </c>
      <c r="I10747">
        <v>140.22</v>
      </c>
      <c r="J10747">
        <v>0.01</v>
      </c>
    </row>
    <row r="10748" spans="1:10" x14ac:dyDescent="0.3">
      <c r="A10748" t="str">
        <f>HYPERLINK("https://us2.cloudbeds.com/connect/10074733072513#/reservations/31729240813776?display=MXGBY9VFW&amp;reservation_id=31729240813776", "MXGBY9VFW")</f>
        <v>MXGBY9VFW</v>
      </c>
      <c r="B10748" t="s">
        <v>10</v>
      </c>
      <c r="C10748" t="s">
        <v>17</v>
      </c>
      <c r="D10748" t="str">
        <f>HYPERLINK("https://us2.cloudbeds.com/connect/10074733072513#/reservations/31729240813776?display=Natasha%20Duda&amp;reservation_id=31729240813776&amp;guest_id=31729240813761", "Natasha Duda")</f>
        <v>Natasha Duda</v>
      </c>
      <c r="E10748" t="s">
        <v>9746</v>
      </c>
      <c r="F10748" t="s">
        <v>9407</v>
      </c>
      <c r="G10748">
        <v>129</v>
      </c>
      <c r="H10748">
        <v>140.22999999999999</v>
      </c>
      <c r="I10748">
        <v>140.22</v>
      </c>
      <c r="J10748">
        <v>0.01</v>
      </c>
    </row>
    <row r="10749" spans="1:10" x14ac:dyDescent="0.3">
      <c r="A10749" t="str">
        <f>HYPERLINK("https://us2.cloudbeds.com/connect/10074733072513#/reservations/31731640635536?display=MXX6VTHXG&amp;reservation_id=31731640635536", "MXX6VTHXG")</f>
        <v>MXX6VTHXG</v>
      </c>
      <c r="B10749" t="s">
        <v>10</v>
      </c>
      <c r="C10749" t="s">
        <v>17</v>
      </c>
      <c r="D10749" t="str">
        <f>HYPERLINK("https://us2.cloudbeds.com/connect/10074733072513#/reservations/31731640635536?display=Jeff%20Iverson&amp;reservation_id=31731640635536&amp;guest_id=31723839955167", "Jeff Iverson")</f>
        <v>Jeff Iverson</v>
      </c>
      <c r="E10749" t="s">
        <v>9748</v>
      </c>
      <c r="F10749" t="s">
        <v>9319</v>
      </c>
      <c r="G10749">
        <v>129</v>
      </c>
      <c r="H10749">
        <v>140.22999999999999</v>
      </c>
      <c r="I10749">
        <v>140.22</v>
      </c>
      <c r="J10749">
        <v>0.01</v>
      </c>
    </row>
    <row r="10750" spans="1:10" x14ac:dyDescent="0.3">
      <c r="A10750" t="str">
        <f>HYPERLINK("https://us2.cloudbeds.com/connect/10074733072513#/reservations/31733491073179?display=MXJY87MMF&amp;reservation_id=31733491073179", "MXJY87MMF")</f>
        <v>MXJY87MMF</v>
      </c>
      <c r="B10750" t="s">
        <v>10</v>
      </c>
      <c r="C10750" t="s">
        <v>23</v>
      </c>
      <c r="D10750" t="str">
        <f>HYPERLINK("https://us2.cloudbeds.com/connect/10074733072513#/reservations/31733491073179?display=Brett%20Ladwig&amp;reservation_id=31733491073179&amp;guest_id=31733491073177", "Brett Ladwig")</f>
        <v>Brett Ladwig</v>
      </c>
      <c r="E10750" t="s">
        <v>9750</v>
      </c>
      <c r="F10750" t="s">
        <v>9705</v>
      </c>
      <c r="G10750">
        <v>129</v>
      </c>
      <c r="H10750">
        <v>140.22999999999999</v>
      </c>
      <c r="I10750">
        <v>140.22</v>
      </c>
      <c r="J10750">
        <v>0.01</v>
      </c>
    </row>
    <row r="10751" spans="1:10" x14ac:dyDescent="0.3">
      <c r="A10751" t="str">
        <f>HYPERLINK("https://us2.cloudbeds.com/connect/10074733072513#/reservations/31732871377025?display=MXJ5DMZ14&amp;reservation_id=31732871377025", "MXJ5DMZ14")</f>
        <v>MXJ5DMZ14</v>
      </c>
      <c r="B10751" t="s">
        <v>10</v>
      </c>
      <c r="C10751" t="s">
        <v>20</v>
      </c>
      <c r="D10751" t="str">
        <f>HYPERLINK("https://us2.cloudbeds.com/connect/10074733072513#/reservations/31732871377025?display=Joseph%20Piatz&amp;reservation_id=31732871377025&amp;guest_id=31732855693460", "Joseph Piatz")</f>
        <v>Joseph Piatz</v>
      </c>
      <c r="E10751" t="s">
        <v>9751</v>
      </c>
      <c r="F10751" t="s">
        <v>9511</v>
      </c>
      <c r="G10751">
        <v>189</v>
      </c>
      <c r="H10751">
        <v>205.45</v>
      </c>
      <c r="I10751">
        <v>205.44</v>
      </c>
      <c r="J10751">
        <v>0.01</v>
      </c>
    </row>
    <row r="10752" spans="1:10" x14ac:dyDescent="0.3">
      <c r="A10752" t="str">
        <f>HYPERLINK("https://us2.cloudbeds.com/connect/10074733072513#/reservations/31733513928945?display=MXJYRGMHE&amp;reservation_id=31733513928945", "MXJYRGMHE")</f>
        <v>MXJYRGMHE</v>
      </c>
      <c r="B10752" t="s">
        <v>10</v>
      </c>
      <c r="C10752" t="s">
        <v>121</v>
      </c>
      <c r="D10752" t="str">
        <f>HYPERLINK("https://us2.cloudbeds.com/connect/10074733072513#/reservations/31733513928945?display=Charles%20Odell&amp;reservation_id=31733513928945&amp;guest_id=31733513928943", "Charles Odell")</f>
        <v>Charles Odell</v>
      </c>
      <c r="E10752" t="s">
        <v>9752</v>
      </c>
      <c r="F10752" t="s">
        <v>9705</v>
      </c>
      <c r="G10752">
        <v>129</v>
      </c>
      <c r="H10752">
        <v>140.22999999999999</v>
      </c>
      <c r="I10752">
        <v>140.22</v>
      </c>
      <c r="J10752">
        <v>0.01</v>
      </c>
    </row>
    <row r="10753" spans="1:10" x14ac:dyDescent="0.3">
      <c r="A10753" t="str">
        <f>HYPERLINK("https://us2.cloudbeds.com/connect/10074733072513#/reservations/31731323203796?display=MXHVS7HBS&amp;reservation_id=31731323203796", "MXHVS7HBS")</f>
        <v>MXHVS7HBS</v>
      </c>
      <c r="B10753" t="s">
        <v>10</v>
      </c>
      <c r="C10753" t="s">
        <v>42</v>
      </c>
      <c r="D10753" t="str">
        <f>HYPERLINK("https://us2.cloudbeds.com/connect/10074733072513#/reservations/31731323203796?display=Nick%20Sherman&amp;reservation_id=31731323203796&amp;guest_id=31687784452323", "Nick Sherman")</f>
        <v>Nick Sherman</v>
      </c>
      <c r="E10753" t="s">
        <v>9753</v>
      </c>
      <c r="F10753" t="s">
        <v>8992</v>
      </c>
      <c r="G10753">
        <v>252</v>
      </c>
      <c r="H10753">
        <v>273.93</v>
      </c>
      <c r="I10753">
        <v>273.92</v>
      </c>
      <c r="J10753">
        <v>0.01</v>
      </c>
    </row>
    <row r="10754" spans="1:10" x14ac:dyDescent="0.3">
      <c r="A10754" t="str">
        <f>HYPERLINK("https://us2.cloudbeds.com/connect/10074733072513#/reservations/31733806338300?display=MXJTA2DAW&amp;reservation_id=31733806338300", "MXJTA2DAW")</f>
        <v>MXJTA2DAW</v>
      </c>
      <c r="B10754" t="s">
        <v>10</v>
      </c>
      <c r="C10754" t="s">
        <v>42</v>
      </c>
      <c r="D10754" t="str">
        <f>HYPERLINK("https://us2.cloudbeds.com/connect/10074733072513#/reservations/31733806338300?display=Wayne%20Semerard&amp;reservation_id=31733806338300&amp;guest_id=31733806338241", "Wayne Semerard")</f>
        <v>Wayne Semerard</v>
      </c>
      <c r="E10754" t="s">
        <v>6636</v>
      </c>
      <c r="F10754" t="s">
        <v>9287</v>
      </c>
      <c r="G10754">
        <v>89</v>
      </c>
      <c r="H10754">
        <v>96.75</v>
      </c>
      <c r="I10754">
        <v>96.74</v>
      </c>
      <c r="J10754">
        <v>0.01</v>
      </c>
    </row>
    <row r="10755" spans="1:10" x14ac:dyDescent="0.3">
      <c r="A10755" t="str">
        <f>HYPERLINK("https://us2.cloudbeds.com/connect/10074733072513#/reservations/31731888251053?display=MXXD9MQC0&amp;reservation_id=31731888251053", "MXXD9MQC0")</f>
        <v>MXXD9MQC0</v>
      </c>
      <c r="B10755" t="s">
        <v>10</v>
      </c>
      <c r="C10755" t="s">
        <v>23</v>
      </c>
      <c r="D10755" t="str">
        <f>HYPERLINK("https://us2.cloudbeds.com/connect/10074733072513#/reservations/31731888251053?display=Sofia%20Christofi&amp;reservation_id=31731888251053&amp;guest_id=31731880247506", "Sofia Christofi")</f>
        <v>Sofia Christofi</v>
      </c>
      <c r="E10755" t="s">
        <v>9755</v>
      </c>
      <c r="F10755" t="s">
        <v>8992</v>
      </c>
      <c r="G10755">
        <v>129</v>
      </c>
      <c r="H10755">
        <v>140.22999999999999</v>
      </c>
      <c r="I10755">
        <v>140.22</v>
      </c>
      <c r="J10755">
        <v>0.01</v>
      </c>
    </row>
    <row r="10756" spans="1:10" x14ac:dyDescent="0.3">
      <c r="A10756" t="str">
        <f>HYPERLINK("https://us2.cloudbeds.com/connect/10074733072513#/reservations/31726905770187?display=MXEHWAUGB&amp;reservation_id=31726905770187", "MXEHWAUGB")</f>
        <v>MXEHWAUGB</v>
      </c>
      <c r="B10756" t="s">
        <v>10</v>
      </c>
      <c r="C10756" t="s">
        <v>14</v>
      </c>
      <c r="D10756" t="str">
        <f>HYPERLINK("https://us2.cloudbeds.com/connect/10074733072513#/reservations/31726905770187?display=Bartholomew%20Heyn&amp;reservation_id=31726905770187&amp;guest_id=31726905766095", "Bartholomew Heyn")</f>
        <v>Bartholomew Heyn</v>
      </c>
      <c r="E10756" t="s">
        <v>9756</v>
      </c>
      <c r="F10756" t="s">
        <v>9673</v>
      </c>
      <c r="G10756">
        <v>102.58</v>
      </c>
      <c r="H10756">
        <v>111.51</v>
      </c>
      <c r="I10756">
        <v>111.5</v>
      </c>
      <c r="J10756">
        <v>0.01</v>
      </c>
    </row>
    <row r="10757" spans="1:10" x14ac:dyDescent="0.3">
      <c r="A10757" t="str">
        <f>HYPERLINK("https://us2.cloudbeds.com/connect/10074733072513#/reservations/31731826245766?display=MXXBNDDHU&amp;reservation_id=31731826245766", "MXXBNDDHU")</f>
        <v>MXXBNDDHU</v>
      </c>
      <c r="B10757" t="s">
        <v>10</v>
      </c>
      <c r="C10757" t="s">
        <v>42</v>
      </c>
      <c r="D10757" t="str">
        <f>HYPERLINK("https://us2.cloudbeds.com/connect/10074733072513#/reservations/31731826245766?display=Colsen%20Wilber%20Miron%20Construation&amp;reservation_id=31731826245766&amp;guest_id=31731826245764", "Colsen Wilber Miron Construation")</f>
        <v>Colsen Wilber Miron Construation</v>
      </c>
      <c r="E10757" t="s">
        <v>9760</v>
      </c>
      <c r="F10757" t="s">
        <v>9319</v>
      </c>
      <c r="G10757">
        <v>338</v>
      </c>
      <c r="H10757">
        <v>367.42</v>
      </c>
      <c r="I10757">
        <v>367.41</v>
      </c>
      <c r="J10757">
        <v>0.01</v>
      </c>
    </row>
    <row r="10758" spans="1:10" x14ac:dyDescent="0.3">
      <c r="A10758" t="str">
        <f>HYPERLINK("https://us2.cloudbeds.com/connect/10074733072513#/reservations/31731834507481?display=MXXBUCA1U&amp;reservation_id=31731834507481", "MXXBUCA1U")</f>
        <v>MXXBUCA1U</v>
      </c>
      <c r="B10758" t="s">
        <v>10</v>
      </c>
      <c r="C10758" t="s">
        <v>11</v>
      </c>
      <c r="D10758" t="str">
        <f>HYPERLINK("https://us2.cloudbeds.com/connect/10074733072513#/reservations/31731834507481?display=Gabriel%20Padilla&amp;reservation_id=31731834507481&amp;guest_id=31731834503390", "Gabriel Padilla")</f>
        <v>Gabriel Padilla</v>
      </c>
      <c r="E10758" t="s">
        <v>9761</v>
      </c>
      <c r="F10758" t="s">
        <v>9319</v>
      </c>
      <c r="G10758">
        <v>205.16</v>
      </c>
      <c r="H10758">
        <v>223.02</v>
      </c>
      <c r="I10758">
        <v>223.01</v>
      </c>
      <c r="J10758">
        <v>0.01</v>
      </c>
    </row>
    <row r="10759" spans="1:10" x14ac:dyDescent="0.3">
      <c r="A10759" t="str">
        <f>HYPERLINK("https://us2.cloudbeds.com/connect/10074733072513#/reservations/31733798887632?display=MXJT3Q2J4&amp;reservation_id=31733798887632", "MXJT3Q2J4")</f>
        <v>MXJT3Q2J4</v>
      </c>
      <c r="B10759" t="s">
        <v>10</v>
      </c>
      <c r="C10759" t="s">
        <v>17</v>
      </c>
      <c r="D10759" t="str">
        <f>HYPERLINK("https://us2.cloudbeds.com/connect/10074733072513#/reservations/31733798887632?display=Jodi%20Foley&amp;reservation_id=31733798887632&amp;guest_id=31731930218707", "Jodi Foley")</f>
        <v>Jodi Foley</v>
      </c>
      <c r="E10759" t="s">
        <v>9763</v>
      </c>
      <c r="F10759" t="s">
        <v>9287</v>
      </c>
      <c r="G10759">
        <v>402</v>
      </c>
      <c r="H10759">
        <v>436.98</v>
      </c>
      <c r="I10759">
        <v>436.97</v>
      </c>
      <c r="J10759">
        <v>0.01</v>
      </c>
    </row>
    <row r="10760" spans="1:10" x14ac:dyDescent="0.3">
      <c r="A10760" t="str">
        <f>HYPERLINK("https://us2.cloudbeds.com/connect/10074733072513#/reservations/31731851788497?display=MXXCBV5P2&amp;reservation_id=31731851788497", "MXXCBV5P2")</f>
        <v>MXXCBV5P2</v>
      </c>
      <c r="B10760" t="s">
        <v>10</v>
      </c>
      <c r="C10760" t="s">
        <v>11</v>
      </c>
      <c r="D10760" t="str">
        <f>HYPERLINK("https://us2.cloudbeds.com/connect/10074733072513#/reservations/31731851788497?display=Gabriel%20Padilla&amp;reservation_id=31731851788497&amp;guest_id=31731844964536", "Gabriel Padilla")</f>
        <v>Gabriel Padilla</v>
      </c>
      <c r="E10760" t="s">
        <v>9764</v>
      </c>
      <c r="F10760" t="s">
        <v>9319</v>
      </c>
      <c r="G10760">
        <v>205.16</v>
      </c>
      <c r="H10760">
        <v>223.02</v>
      </c>
      <c r="I10760">
        <v>223.01</v>
      </c>
      <c r="J10760">
        <v>0.01</v>
      </c>
    </row>
    <row r="10761" spans="1:10" x14ac:dyDescent="0.3">
      <c r="A10761" t="str">
        <f>HYPERLINK("https://us2.cloudbeds.com/connect/10074733072513#/reservations/31735520805020?display=MXY73ZVUV&amp;reservation_id=31735520805020", "MXY73ZVUV")</f>
        <v>MXY73ZVUV</v>
      </c>
      <c r="B10761" t="s">
        <v>10</v>
      </c>
      <c r="C10761" t="s">
        <v>42</v>
      </c>
      <c r="D10761" t="str">
        <f>HYPERLINK("https://us2.cloudbeds.com/connect/10074733072513#/reservations/31735520805020?display=Dan%20Perseke&amp;reservation_id=31735520805020&amp;guest_id=31688292216983", "Dan Perseke")</f>
        <v>Dan Perseke</v>
      </c>
      <c r="E10761" t="s">
        <v>6965</v>
      </c>
      <c r="F10761" t="s">
        <v>9287</v>
      </c>
      <c r="G10761">
        <v>336</v>
      </c>
      <c r="H10761">
        <v>365.24</v>
      </c>
      <c r="I10761">
        <v>365.23</v>
      </c>
      <c r="J10761">
        <v>0.01</v>
      </c>
    </row>
    <row r="10762" spans="1:10" x14ac:dyDescent="0.3">
      <c r="A10762" t="str">
        <f>HYPERLINK("https://us2.cloudbeds.com/connect/10074733072513#/reservations/31735509684424?display=MXY6RCH66&amp;reservation_id=31735509684424", "MXY6RCH66")</f>
        <v>MXY6RCH66</v>
      </c>
      <c r="B10762" t="s">
        <v>10</v>
      </c>
      <c r="C10762" t="s">
        <v>23</v>
      </c>
      <c r="D10762" t="str">
        <f>HYPERLINK("https://us2.cloudbeds.com/connect/10074733072513#/reservations/31735509684424?display=David%20Ralston&amp;reservation_id=31735509684424&amp;guest_id=31735509680330", "David Ralston")</f>
        <v>David Ralston</v>
      </c>
      <c r="E10762" t="s">
        <v>9765</v>
      </c>
      <c r="F10762" t="s">
        <v>9287</v>
      </c>
      <c r="G10762">
        <v>139</v>
      </c>
      <c r="H10762">
        <v>151.1</v>
      </c>
      <c r="I10762">
        <v>151.09</v>
      </c>
      <c r="J10762">
        <v>0.01</v>
      </c>
    </row>
    <row r="10763" spans="1:10" x14ac:dyDescent="0.3">
      <c r="A10763" t="str">
        <f>HYPERLINK("https://us2.cloudbeds.com/connect/10074733072513#/reservations/31733813432456?display=MXJTG1QND&amp;reservation_id=31733813432456", "MXJTG1QND")</f>
        <v>MXJTG1QND</v>
      </c>
      <c r="B10763" t="s">
        <v>10</v>
      </c>
      <c r="C10763" t="s">
        <v>42</v>
      </c>
      <c r="D10763" t="str">
        <f>HYPERLINK("https://us2.cloudbeds.com/connect/10074733072513#/reservations/31733813432456?display=Trent%20Herman&amp;reservation_id=31733813432456&amp;guest_id=31725797032099", "Trent Herman")</f>
        <v>Trent Herman</v>
      </c>
      <c r="E10763" t="s">
        <v>6636</v>
      </c>
      <c r="F10763" t="s">
        <v>9287</v>
      </c>
      <c r="G10763">
        <v>89</v>
      </c>
      <c r="H10763">
        <v>96.75</v>
      </c>
      <c r="I10763">
        <v>96.74</v>
      </c>
      <c r="J10763">
        <v>0.01</v>
      </c>
    </row>
    <row r="10764" spans="1:10" x14ac:dyDescent="0.3">
      <c r="A10764" t="str">
        <f>HYPERLINK("https://us2.cloudbeds.com/connect/10074733072513#/reservations/31726996037777?display=MXEK9EZRS&amp;reservation_id=31726996037777", "MXEK9EZRS")</f>
        <v>MXEK9EZRS</v>
      </c>
      <c r="B10764" t="s">
        <v>10</v>
      </c>
      <c r="C10764" t="s">
        <v>121</v>
      </c>
      <c r="D10764" t="str">
        <f>HYPERLINK("https://us2.cloudbeds.com/connect/10074733072513#/reservations/31726996037777?display=Bradley%20Evans&amp;reservation_id=31726996037777&amp;guest_id=31726985445591", "Bradley Evans")</f>
        <v>Bradley Evans</v>
      </c>
      <c r="E10764" t="s">
        <v>9766</v>
      </c>
      <c r="F10764" t="s">
        <v>9705</v>
      </c>
      <c r="G10764">
        <v>139</v>
      </c>
      <c r="H10764">
        <v>151.1</v>
      </c>
      <c r="I10764">
        <v>151.09</v>
      </c>
      <c r="J10764">
        <v>0.01</v>
      </c>
    </row>
    <row r="10765" spans="1:10" x14ac:dyDescent="0.3">
      <c r="A10765" t="str">
        <f>HYPERLINK("https://us2.cloudbeds.com/connect/10074733072513#/reservations/31731697303715?display=MXX8DMDF1&amp;reservation_id=31731697303715", "MXX8DMDF1")</f>
        <v>MXX8DMDF1</v>
      </c>
      <c r="B10765" t="s">
        <v>10</v>
      </c>
      <c r="C10765" t="s">
        <v>42</v>
      </c>
      <c r="D10765" t="str">
        <f>HYPERLINK("https://us2.cloudbeds.com/connect/10074733072513#/reservations/31731697303715?display=Michelle%20Maxwell&amp;reservation_id=31731697303715&amp;guest_id=31731697303713", "Michelle Maxwell")</f>
        <v>Michelle Maxwell</v>
      </c>
      <c r="E10765" t="s">
        <v>9768</v>
      </c>
      <c r="F10765" t="s">
        <v>9319</v>
      </c>
      <c r="G10765">
        <v>258</v>
      </c>
      <c r="H10765">
        <v>280.45999999999998</v>
      </c>
      <c r="I10765">
        <v>280.45</v>
      </c>
      <c r="J10765">
        <v>0.01</v>
      </c>
    </row>
    <row r="10766" spans="1:10" x14ac:dyDescent="0.3">
      <c r="A10766" t="str">
        <f>HYPERLINK("https://us2.cloudbeds.com/connect/10074733072513#/reservations/31732948189317?display=MXJ7CF4ZB&amp;reservation_id=31732948189317", "MXJ7CF4ZB")</f>
        <v>MXJ7CF4ZB</v>
      </c>
      <c r="B10766" t="s">
        <v>10</v>
      </c>
      <c r="C10766" t="s">
        <v>14</v>
      </c>
      <c r="D10766" t="str">
        <f>HYPERLINK("https://us2.cloudbeds.com/connect/10074733072513#/reservations/31732948189317?display=Taylor%20Schimka&amp;reservation_id=31732948189317&amp;guest_id=31732938866925", "Taylor Schimka")</f>
        <v>Taylor Schimka</v>
      </c>
      <c r="E10766" t="s">
        <v>9769</v>
      </c>
      <c r="F10766" t="s">
        <v>9511</v>
      </c>
      <c r="G10766">
        <v>260.76</v>
      </c>
      <c r="H10766">
        <v>283.45999999999998</v>
      </c>
      <c r="I10766">
        <v>283.45</v>
      </c>
      <c r="J10766">
        <v>0.01</v>
      </c>
    </row>
    <row r="10767" spans="1:10" x14ac:dyDescent="0.3">
      <c r="A10767" t="str">
        <f>HYPERLINK("https://us2.cloudbeds.com/connect/10074733072513#/reservations/31732234391741?display=MXXM4XM7P&amp;reservation_id=31732234391741", "MXXM4XM7P")</f>
        <v>MXXM4XM7P</v>
      </c>
      <c r="B10767" t="s">
        <v>10</v>
      </c>
      <c r="C10767" t="s">
        <v>42</v>
      </c>
      <c r="D10767" t="str">
        <f>HYPERLINK("https://us2.cloudbeds.com/connect/10074733072513#/reservations/31732234391741?display=Denise%20Duffy&amp;reservation_id=31732234391741&amp;guest_id=31701626036441", "Denise Duffy")</f>
        <v>Denise Duffy</v>
      </c>
      <c r="E10767" t="s">
        <v>8274</v>
      </c>
      <c r="F10767" t="s">
        <v>9239</v>
      </c>
      <c r="G10767">
        <v>178</v>
      </c>
      <c r="H10767">
        <v>193.5</v>
      </c>
      <c r="I10767">
        <v>193.49</v>
      </c>
      <c r="J10767">
        <v>0.01</v>
      </c>
    </row>
    <row r="10768" spans="1:10" x14ac:dyDescent="0.3">
      <c r="A10768" t="str">
        <f>HYPERLINK("https://us2.cloudbeds.com/connect/10074733072513#/reservations/31732469350593?display=MXXS4MZZW&amp;reservation_id=31732469350593", "MXXS4MZZW")</f>
        <v>MXXS4MZZW</v>
      </c>
      <c r="B10768" t="s">
        <v>10</v>
      </c>
      <c r="C10768" t="s">
        <v>121</v>
      </c>
      <c r="D10768" t="str">
        <f>HYPERLINK("https://us2.cloudbeds.com/connect/10074733072513#/reservations/31732469350593?display=Jeffery%20Allen%20Byrad&amp;reservation_id=31732469350593&amp;guest_id=31732461084816", "Jeffery Allen Byrad")</f>
        <v>Jeffery Allen Byrad</v>
      </c>
      <c r="E10768" t="s">
        <v>9771</v>
      </c>
      <c r="F10768" t="s">
        <v>9673</v>
      </c>
      <c r="G10768">
        <v>149</v>
      </c>
      <c r="H10768">
        <v>161.97</v>
      </c>
      <c r="I10768">
        <v>161.96</v>
      </c>
      <c r="J10768">
        <v>0.01</v>
      </c>
    </row>
    <row r="10769" spans="1:10" x14ac:dyDescent="0.3">
      <c r="A10769" t="str">
        <f>HYPERLINK("https://us2.cloudbeds.com/connect/10074733072513#/reservations/31732504834198?display=MXXT1K4DZ&amp;reservation_id=31732504834198", "MXXT1K4DZ")</f>
        <v>MXXT1K4DZ</v>
      </c>
      <c r="B10769" t="s">
        <v>10</v>
      </c>
      <c r="C10769" t="s">
        <v>42</v>
      </c>
      <c r="D10769" t="str">
        <f>HYPERLINK("https://us2.cloudbeds.com/connect/10074733072513#/reservations/31732504834198?display=Jeff%20McCorkland&amp;reservation_id=31732504834198&amp;guest_id=31732504830142", "Jeff McCorkland")</f>
        <v>Jeff McCorkland</v>
      </c>
      <c r="E10769" t="s">
        <v>9772</v>
      </c>
      <c r="F10769" t="s">
        <v>9319</v>
      </c>
      <c r="G10769">
        <v>73</v>
      </c>
      <c r="H10769">
        <v>79.36</v>
      </c>
      <c r="I10769">
        <v>79.349999999999994</v>
      </c>
      <c r="J10769">
        <v>0.01</v>
      </c>
    </row>
    <row r="10770" spans="1:10" x14ac:dyDescent="0.3">
      <c r="A10770" t="str">
        <f>HYPERLINK("https://us2.cloudbeds.com/connect/10074733072513#/reservations/31732547514592?display=MXXU4JPN0&amp;reservation_id=31732547514592", "MXXU4JPN0")</f>
        <v>MXXU4JPN0</v>
      </c>
      <c r="B10770" t="s">
        <v>10</v>
      </c>
      <c r="C10770" t="s">
        <v>121</v>
      </c>
      <c r="D10770" t="str">
        <f>HYPERLINK("https://us2.cloudbeds.com/connect/10074733072513#/reservations/31732547514592?display=Alfred%20Palumbo&amp;reservation_id=31732547514592&amp;guest_id=31732547510500", "Alfred Palumbo")</f>
        <v>Alfred Palumbo</v>
      </c>
      <c r="E10770" t="s">
        <v>9773</v>
      </c>
      <c r="F10770" t="s">
        <v>9319</v>
      </c>
      <c r="G10770">
        <v>129</v>
      </c>
      <c r="H10770">
        <v>140.22999999999999</v>
      </c>
      <c r="I10770">
        <v>140.22</v>
      </c>
      <c r="J10770">
        <v>0.01</v>
      </c>
    </row>
    <row r="10771" spans="1:10" x14ac:dyDescent="0.3">
      <c r="A10771" t="str">
        <f>HYPERLINK("https://us2.cloudbeds.com/connect/10074733072513#/reservations/31732574523621?display=MXXURCBCE&amp;reservation_id=31732574523621", "MXXURCBCE")</f>
        <v>MXXURCBCE</v>
      </c>
      <c r="B10771" t="s">
        <v>10</v>
      </c>
      <c r="C10771" t="s">
        <v>121</v>
      </c>
      <c r="D10771" t="str">
        <f>HYPERLINK("https://us2.cloudbeds.com/connect/10074733072513#/reservations/31732574523621?display=Sherrie%20Lynn%20Pendleton-%20Boley&amp;reservation_id=31732574523621&amp;guest_id=31732564656270", "Sherrie Lynn Pendleton- Boley")</f>
        <v>Sherrie Lynn Pendleton- Boley</v>
      </c>
      <c r="E10771" t="s">
        <v>9774</v>
      </c>
      <c r="F10771" t="s">
        <v>9673</v>
      </c>
      <c r="G10771">
        <v>159</v>
      </c>
      <c r="H10771">
        <v>172.84</v>
      </c>
      <c r="I10771">
        <v>172.83</v>
      </c>
      <c r="J10771">
        <v>0.01</v>
      </c>
    </row>
    <row r="10772" spans="1:10" x14ac:dyDescent="0.3">
      <c r="A10772" t="str">
        <f>HYPERLINK("https://us2.cloudbeds.com/connect/10074733072513#/reservations/31728331075754?display=MXFYD6514&amp;reservation_id=31728331075754", "MXFYD6514")</f>
        <v>MXFYD6514</v>
      </c>
      <c r="B10772" t="s">
        <v>10</v>
      </c>
      <c r="C10772" t="s">
        <v>23</v>
      </c>
      <c r="D10772" t="str">
        <f>HYPERLINK("https://us2.cloudbeds.com/connect/10074733072513#/reservations/31728331075754?display=Darrin%20Erdmann&amp;reservation_id=31728331075754&amp;guest_id=31728313561312", "Darrin Erdmann")</f>
        <v>Darrin Erdmann</v>
      </c>
      <c r="E10772" t="s">
        <v>9775</v>
      </c>
      <c r="F10772" t="s">
        <v>9235</v>
      </c>
      <c r="G10772">
        <v>258</v>
      </c>
      <c r="H10772">
        <v>280.45999999999998</v>
      </c>
      <c r="I10772">
        <v>280.45</v>
      </c>
      <c r="J10772">
        <v>0.01</v>
      </c>
    </row>
    <row r="10773" spans="1:10" x14ac:dyDescent="0.3">
      <c r="A10773" t="str">
        <f>HYPERLINK("https://us2.cloudbeds.com/connect/10074733072513#/reservations/31731640631444?display=MXX6VTDQG&amp;reservation_id=31731640631444", "MXX6VTDQG")</f>
        <v>MXX6VTDQG</v>
      </c>
      <c r="B10773" t="s">
        <v>10</v>
      </c>
      <c r="C10773" t="s">
        <v>23</v>
      </c>
      <c r="D10773" t="str">
        <f>HYPERLINK("https://us2.cloudbeds.com/connect/10074733072513#/reservations/31731640631444?display=Jamie%20Clausen&amp;reservation_id=31731640631444&amp;guest_id=31718044504213", "Jamie Clausen")</f>
        <v>Jamie Clausen</v>
      </c>
      <c r="E10773" t="s">
        <v>9776</v>
      </c>
      <c r="F10773" t="s">
        <v>9319</v>
      </c>
      <c r="G10773">
        <v>129</v>
      </c>
      <c r="H10773">
        <v>140.22999999999999</v>
      </c>
      <c r="I10773">
        <v>140.22</v>
      </c>
      <c r="J10773">
        <v>0.01</v>
      </c>
    </row>
    <row r="10774" spans="1:10" x14ac:dyDescent="0.3">
      <c r="A10774" t="str">
        <f>HYPERLINK("https://us2.cloudbeds.com/connect/10074733072513#/reservations/31731622326501?display=MXX6GF1S8&amp;reservation_id=31731622326501", "MXX6GF1S8")</f>
        <v>MXX6GF1S8</v>
      </c>
      <c r="B10774" t="s">
        <v>10</v>
      </c>
      <c r="C10774" t="s">
        <v>121</v>
      </c>
      <c r="D10774" t="str">
        <f>HYPERLINK("https://us2.cloudbeds.com/connect/10074733072513#/reservations/31731622326501?display=Jordan%20Fitch&amp;reservation_id=31731622326501&amp;guest_id=31726732419256", "Jordan Fitch")</f>
        <v>Jordan Fitch</v>
      </c>
      <c r="E10774" t="s">
        <v>7464</v>
      </c>
      <c r="F10774" t="s">
        <v>9319</v>
      </c>
      <c r="G10774">
        <v>149</v>
      </c>
      <c r="H10774">
        <v>161.97</v>
      </c>
      <c r="I10774">
        <v>161.96</v>
      </c>
      <c r="J10774">
        <v>0.01</v>
      </c>
    </row>
    <row r="10775" spans="1:10" x14ac:dyDescent="0.3">
      <c r="A10775" t="str">
        <f>HYPERLINK("https://us2.cloudbeds.com/connect/10074733072513#/reservations/31731609587964?display=MXX65NJCV&amp;reservation_id=31731609587964", "MXX65NJCV")</f>
        <v>MXX65NJCV</v>
      </c>
      <c r="B10775" t="s">
        <v>10</v>
      </c>
      <c r="C10775" t="s">
        <v>42</v>
      </c>
      <c r="D10775" t="str">
        <f>HYPERLINK("https://us2.cloudbeds.com/connect/10074733072513#/reservations/31731609587964?display=Jack%20Olson&amp;reservation_id=31731609587964&amp;guest_id=31731609587910", "Jack Olson")</f>
        <v>Jack Olson</v>
      </c>
      <c r="E10775" t="s">
        <v>9778</v>
      </c>
      <c r="F10775" t="s">
        <v>9319</v>
      </c>
      <c r="G10775">
        <v>129</v>
      </c>
      <c r="H10775">
        <v>140.22999999999999</v>
      </c>
      <c r="I10775">
        <v>140.22</v>
      </c>
      <c r="J10775">
        <v>0.01</v>
      </c>
    </row>
    <row r="10776" spans="1:10" x14ac:dyDescent="0.3">
      <c r="A10776" t="str">
        <f>HYPERLINK("https://us2.cloudbeds.com/connect/10074733072513#/reservations/31727775305949?display=MXF76X18T&amp;reservation_id=31727775305949", "MXF76X18T")</f>
        <v>MXF76X18T</v>
      </c>
      <c r="B10776" t="s">
        <v>10</v>
      </c>
      <c r="C10776" t="s">
        <v>42</v>
      </c>
      <c r="D10776" t="str">
        <f>HYPERLINK("https://us2.cloudbeds.com/connect/10074733072513#/reservations/31727775305949?display=Jacob%20Ortmeier&amp;reservation_id=31727775305949&amp;guest_id=31727775305944", "Jacob Ortmeier")</f>
        <v>Jacob Ortmeier</v>
      </c>
      <c r="E10776" t="s">
        <v>9779</v>
      </c>
      <c r="F10776" t="s">
        <v>8920</v>
      </c>
      <c r="G10776">
        <v>418</v>
      </c>
      <c r="H10776">
        <v>454.38</v>
      </c>
      <c r="I10776">
        <v>454.37</v>
      </c>
      <c r="J10776">
        <v>0.01</v>
      </c>
    </row>
    <row r="10777" spans="1:10" x14ac:dyDescent="0.3">
      <c r="A10777" t="str">
        <f>HYPERLINK("https://us2.cloudbeds.com/connect/10074733072513#/reservations/31730998939854?display=MXHNXQDAQ&amp;reservation_id=31730998939854", "MXHNXQDAQ")</f>
        <v>MXHNXQDAQ</v>
      </c>
      <c r="B10777" t="s">
        <v>10</v>
      </c>
      <c r="C10777" t="s">
        <v>42</v>
      </c>
      <c r="D10777" t="str">
        <f>HYPERLINK("https://us2.cloudbeds.com/connect/10074733072513#/reservations/31730998939854?display=Bobbi%20White&amp;reservation_id=31730998939854&amp;guest_id=31730998935758", "Bobbi White")</f>
        <v>Bobbi White</v>
      </c>
      <c r="E10777" t="s">
        <v>9781</v>
      </c>
      <c r="F10777" t="s">
        <v>7468</v>
      </c>
      <c r="G10777">
        <v>458</v>
      </c>
      <c r="H10777">
        <v>497.86</v>
      </c>
      <c r="I10777">
        <v>497.85</v>
      </c>
      <c r="J10777">
        <v>0.01</v>
      </c>
    </row>
    <row r="10778" spans="1:10" x14ac:dyDescent="0.3">
      <c r="A10778" t="str">
        <f>HYPERLINK("https://us2.cloudbeds.com/connect/10074733072513#/reservations/31731792478419?display=MXXARUPSV&amp;reservation_id=31731792478419", "MXXARUPSV")</f>
        <v>MXXARUPSV</v>
      </c>
      <c r="B10778" t="s">
        <v>10</v>
      </c>
      <c r="C10778" t="s">
        <v>23</v>
      </c>
      <c r="D10778" t="str">
        <f>HYPERLINK("https://us2.cloudbeds.com/connect/10074733072513#/reservations/31731792478419?display=Dustyn%20Dickhaut&amp;reservation_id=31731792478419&amp;guest_id=31731792474322", "Dustyn Dickhaut")</f>
        <v>Dustyn Dickhaut</v>
      </c>
      <c r="E10778" t="s">
        <v>9783</v>
      </c>
      <c r="F10778" t="s">
        <v>9319</v>
      </c>
      <c r="G10778">
        <v>129</v>
      </c>
      <c r="H10778">
        <v>140.22999999999999</v>
      </c>
      <c r="I10778">
        <v>140.22</v>
      </c>
      <c r="J10778">
        <v>0.01</v>
      </c>
    </row>
    <row r="10779" spans="1:10" x14ac:dyDescent="0.3">
      <c r="A10779" t="str">
        <f>HYPERLINK("https://us2.cloudbeds.com/connect/10074733072513#/reservations/31729231171832?display=MXGBD5YHS&amp;reservation_id=31729231171832", "MXGBD5YHS")</f>
        <v>MXGBD5YHS</v>
      </c>
      <c r="B10779" t="s">
        <v>10</v>
      </c>
      <c r="C10779" t="s">
        <v>42</v>
      </c>
      <c r="D10779" t="str">
        <f>HYPERLINK("https://us2.cloudbeds.com/connect/10074733072513#/reservations/31729231171832?display=Tim%20Arens&amp;reservation_id=31729231171832&amp;guest_id=31729231171828", "Tim Arens")</f>
        <v>Tim Arens</v>
      </c>
      <c r="E10779" t="s">
        <v>9473</v>
      </c>
      <c r="F10779" t="s">
        <v>9407</v>
      </c>
      <c r="G10779">
        <v>89</v>
      </c>
      <c r="H10779">
        <v>96.75</v>
      </c>
      <c r="I10779">
        <v>96.74</v>
      </c>
      <c r="J10779">
        <v>0.01</v>
      </c>
    </row>
    <row r="10780" spans="1:10" x14ac:dyDescent="0.3">
      <c r="A10780" t="str">
        <f>HYPERLINK("https://us2.cloudbeds.com/connect/10074733072513#/reservations/31733125746908?display=MXJBU5V6C&amp;reservation_id=31733125746908", "MXJBU5V6C")</f>
        <v>MXJBU5V6C</v>
      </c>
      <c r="B10780" t="s">
        <v>10</v>
      </c>
      <c r="C10780" t="s">
        <v>42</v>
      </c>
      <c r="D10780" t="str">
        <f>HYPERLINK("https://us2.cloudbeds.com/connect/10074733072513#/reservations/31733125746908?display=Jesse%20Dennis&amp;reservation_id=31733125746908&amp;guest_id=31733125746904", "Jesse Dennis")</f>
        <v>Jesse Dennis</v>
      </c>
      <c r="E10780" t="s">
        <v>9785</v>
      </c>
      <c r="F10780" t="s">
        <v>9239</v>
      </c>
      <c r="G10780">
        <v>129</v>
      </c>
      <c r="H10780">
        <v>140.22999999999999</v>
      </c>
      <c r="I10780">
        <v>140.22</v>
      </c>
      <c r="J10780">
        <v>0.01</v>
      </c>
    </row>
    <row r="10781" spans="1:10" x14ac:dyDescent="0.3">
      <c r="A10781" t="str">
        <f>HYPERLINK("https://us2.cloudbeds.com/connect/10074733072513#/reservations/31734613385391?display=MXKGUJMDE&amp;reservation_id=31734613385391", "MXKGUJMDE")</f>
        <v>MXKGUJMDE</v>
      </c>
      <c r="B10781" t="s">
        <v>10</v>
      </c>
      <c r="C10781" t="s">
        <v>42</v>
      </c>
      <c r="D10781" t="str">
        <f>HYPERLINK("https://us2.cloudbeds.com/connect/10074733072513#/reservations/31734613385391?display=Shawn%20Vincich&amp;reservation_id=31734613385391&amp;guest_id=31734597914786", "Shawn Vincich")</f>
        <v>Shawn Vincich</v>
      </c>
      <c r="E10781" t="s">
        <v>9786</v>
      </c>
      <c r="F10781" t="s">
        <v>9287</v>
      </c>
      <c r="G10781">
        <v>178</v>
      </c>
      <c r="H10781">
        <v>193.5</v>
      </c>
      <c r="I10781">
        <v>193.49</v>
      </c>
      <c r="J10781">
        <v>0.01</v>
      </c>
    </row>
    <row r="10782" spans="1:10" x14ac:dyDescent="0.3">
      <c r="A10782" t="str">
        <f>HYPERLINK("https://us2.cloudbeds.com/connect/10074733072513#/reservations/31735336448183?display=MXY2D9VU4&amp;reservation_id=31735336448183", "MXY2D9VU4")</f>
        <v>MXY2D9VU4</v>
      </c>
      <c r="B10782" t="s">
        <v>10</v>
      </c>
      <c r="C10782" t="s">
        <v>42</v>
      </c>
      <c r="D10782" t="str">
        <f>HYPERLINK("https://us2.cloudbeds.com/connect/10074733072513#/reservations/31735336448183?display=Daniel%20Hofer&amp;reservation_id=31735336448183&amp;guest_id=31735336448178", "Daniel Hofer")</f>
        <v>Daniel Hofer</v>
      </c>
      <c r="E10782" t="s">
        <v>9789</v>
      </c>
      <c r="F10782" t="s">
        <v>9287</v>
      </c>
      <c r="G10782">
        <v>73</v>
      </c>
      <c r="H10782">
        <v>79.36</v>
      </c>
      <c r="I10782">
        <v>79.349999999999994</v>
      </c>
      <c r="J10782">
        <v>0.01</v>
      </c>
    </row>
    <row r="10783" spans="1:10" x14ac:dyDescent="0.3">
      <c r="A10783" t="str">
        <f>HYPERLINK("https://us2.cloudbeds.com/connect/10074733072513#/reservations/31733808267459?display=MXJTBN2RB&amp;reservation_id=31733808267459", "MXJTBN2RB")</f>
        <v>MXJTBN2RB</v>
      </c>
      <c r="B10783" t="s">
        <v>10</v>
      </c>
      <c r="C10783" t="s">
        <v>42</v>
      </c>
      <c r="D10783" t="str">
        <f>HYPERLINK("https://us2.cloudbeds.com/connect/10074733072513#/reservations/31733808267459?display=Mark%20Austin%20My%20Guy%20Inc&amp;reservation_id=31733808267459&amp;guest_id=31733797818539", "Mark Austin My Guy Inc")</f>
        <v>Mark Austin My Guy Inc</v>
      </c>
      <c r="E10783" t="s">
        <v>9791</v>
      </c>
      <c r="F10783" t="s">
        <v>8992</v>
      </c>
      <c r="G10783">
        <v>190</v>
      </c>
      <c r="H10783">
        <v>206.54</v>
      </c>
      <c r="I10783">
        <v>206.53</v>
      </c>
      <c r="J10783">
        <v>0.01</v>
      </c>
    </row>
    <row r="10784" spans="1:10" x14ac:dyDescent="0.3">
      <c r="A10784" t="str">
        <f>HYPERLINK("https://us2.cloudbeds.com/connect/10074733072513#/reservations/31731396210828?display=MXX0NQ1Q5&amp;reservation_id=31731396210828", "MXX0NQ1Q5")</f>
        <v>MXX0NQ1Q5</v>
      </c>
      <c r="B10784" t="s">
        <v>10</v>
      </c>
      <c r="C10784" t="s">
        <v>42</v>
      </c>
      <c r="D10784" t="str">
        <f>HYPERLINK("https://us2.cloudbeds.com/connect/10074733072513#/reservations/31731396210828?display=Jason%20Derby&amp;reservation_id=31731396210828&amp;guest_id=31731386175688", "Jason Derby")</f>
        <v>Jason Derby</v>
      </c>
      <c r="E10784" t="s">
        <v>9798</v>
      </c>
      <c r="F10784" t="s">
        <v>9617</v>
      </c>
      <c r="G10784">
        <v>252</v>
      </c>
      <c r="H10784">
        <v>273.93</v>
      </c>
      <c r="I10784">
        <v>273.92</v>
      </c>
      <c r="J10784">
        <v>0.01</v>
      </c>
    </row>
    <row r="10785" spans="1:10" x14ac:dyDescent="0.3">
      <c r="A10785" t="str">
        <f>HYPERLINK("https://us2.cloudbeds.com/connect/10074733072513#/reservations/31734546665716?display=MXKF7B3G3&amp;reservation_id=31734546665716", "MXKF7B3G3")</f>
        <v>MXKF7B3G3</v>
      </c>
      <c r="B10785" t="s">
        <v>10</v>
      </c>
      <c r="C10785" t="s">
        <v>42</v>
      </c>
      <c r="D10785" t="str">
        <f>HYPERLINK("https://us2.cloudbeds.com/connect/10074733072513#/reservations/31734546665716?display=Cobren%20Bird&amp;reservation_id=31734546665716&amp;guest_id=31681772536058", "Cobren Bird")</f>
        <v>Cobren Bird</v>
      </c>
      <c r="E10785" t="s">
        <v>7109</v>
      </c>
      <c r="F10785" t="s">
        <v>9287</v>
      </c>
      <c r="G10785">
        <v>73</v>
      </c>
      <c r="H10785">
        <v>79.36</v>
      </c>
      <c r="I10785">
        <v>79.349999999999994</v>
      </c>
      <c r="J10785">
        <v>0.01</v>
      </c>
    </row>
    <row r="10786" spans="1:10" x14ac:dyDescent="0.3">
      <c r="A10786" t="str">
        <f>HYPERLINK("https://us2.cloudbeds.com/connect/10074733072513#/reservations/31727239905456?display=MXEQH2Z3H&amp;reservation_id=31727239905456", "MXEQH2Z3H")</f>
        <v>MXEQH2Z3H</v>
      </c>
      <c r="B10786" t="s">
        <v>10</v>
      </c>
      <c r="C10786" t="s">
        <v>20</v>
      </c>
      <c r="D10786" t="str">
        <f>HYPERLINK("https://us2.cloudbeds.com/connect/10074733072513#/reservations/31727239905456?display=Leeann%20Short&amp;reservation_id=31727239905456&amp;guest_id=31727226695842", "Leeann Short")</f>
        <v>Leeann Short</v>
      </c>
      <c r="E10786" t="s">
        <v>9799</v>
      </c>
      <c r="F10786" t="s">
        <v>9713</v>
      </c>
      <c r="G10786">
        <v>358</v>
      </c>
      <c r="H10786">
        <v>389.16</v>
      </c>
      <c r="I10786">
        <v>389.15</v>
      </c>
      <c r="J10786">
        <v>0.01</v>
      </c>
    </row>
    <row r="10787" spans="1:10" x14ac:dyDescent="0.3">
      <c r="A10787" t="str">
        <f>HYPERLINK("https://us2.cloudbeds.com/connect/10074733072513#/reservations/31731522400404?display=MXX3V6FBM&amp;reservation_id=31731522400404", "MXX3V6FBM")</f>
        <v>MXX3V6FBM</v>
      </c>
      <c r="B10787" t="s">
        <v>10</v>
      </c>
      <c r="C10787" t="s">
        <v>42</v>
      </c>
      <c r="D10787" t="str">
        <f>HYPERLINK("https://us2.cloudbeds.com/connect/10074733072513#/reservations/31731522400404?display=Stacy%20Campbell&amp;reservation_id=31731522400404&amp;guest_id=31731508592769", "Stacy Campbell")</f>
        <v>Stacy Campbell</v>
      </c>
      <c r="E10787" t="s">
        <v>9800</v>
      </c>
      <c r="F10787" t="s">
        <v>9338</v>
      </c>
      <c r="G10787">
        <v>209</v>
      </c>
      <c r="H10787">
        <v>227.19</v>
      </c>
      <c r="I10787">
        <v>227.18</v>
      </c>
      <c r="J10787">
        <v>0.01</v>
      </c>
    </row>
    <row r="10788" spans="1:10" x14ac:dyDescent="0.3">
      <c r="A10788" t="str">
        <f>HYPERLINK("https://us2.cloudbeds.com/connect/10074733072513#/reservations/31732463972549?display=MXXS0537V&amp;reservation_id=31732463972549", "MXXS0537V")</f>
        <v>MXXS0537V</v>
      </c>
      <c r="B10788" t="s">
        <v>10</v>
      </c>
      <c r="C10788" t="s">
        <v>17</v>
      </c>
      <c r="D10788" t="str">
        <f>HYPERLINK("https://us2.cloudbeds.com/connect/10074733072513#/reservations/31732463972549?display=Taite%20Johnson&amp;reservation_id=31732463972549&amp;guest_id=31732463972544", "Taite Johnson")</f>
        <v>Taite Johnson</v>
      </c>
      <c r="E10788" t="s">
        <v>9801</v>
      </c>
      <c r="F10788" t="s">
        <v>9122</v>
      </c>
      <c r="G10788">
        <v>458</v>
      </c>
      <c r="H10788">
        <v>497.86</v>
      </c>
      <c r="I10788">
        <v>497.85</v>
      </c>
      <c r="J10788">
        <v>0.01</v>
      </c>
    </row>
    <row r="10789" spans="1:10" x14ac:dyDescent="0.3">
      <c r="A10789" t="str">
        <f>HYPERLINK("https://us2.cloudbeds.com/connect/10074733072513#/reservations/31731587203264?display=MXX5ADHSV&amp;reservation_id=31731587203264", "MXX5ADHSV")</f>
        <v>MXX5ADHSV</v>
      </c>
      <c r="B10789" t="s">
        <v>10</v>
      </c>
      <c r="C10789" t="s">
        <v>17</v>
      </c>
      <c r="D10789" t="str">
        <f>HYPERLINK("https://us2.cloudbeds.com/connect/10074733072513#/reservations/31731587203264?display=Calvin%20Bruhn&amp;reservation_id=31731587203264&amp;guest_id=31731576017077", "Calvin Bruhn")</f>
        <v>Calvin Bruhn</v>
      </c>
      <c r="E10789" t="s">
        <v>9803</v>
      </c>
      <c r="F10789" t="s">
        <v>9338</v>
      </c>
      <c r="G10789">
        <v>209</v>
      </c>
      <c r="H10789">
        <v>227.19</v>
      </c>
      <c r="I10789">
        <v>227.18</v>
      </c>
      <c r="J10789">
        <v>0.01</v>
      </c>
    </row>
    <row r="10790" spans="1:10" x14ac:dyDescent="0.3">
      <c r="A10790" t="str">
        <f>HYPERLINK("https://us2.cloudbeds.com/connect/10074733072513#/reservations/31727907500215?display=MXFAJ0HPZ&amp;reservation_id=31727907500215", "MXFAJ0HPZ")</f>
        <v>MXFAJ0HPZ</v>
      </c>
      <c r="B10790" t="s">
        <v>10</v>
      </c>
      <c r="C10790" t="s">
        <v>42</v>
      </c>
      <c r="D10790" t="str">
        <f>HYPERLINK("https://us2.cloudbeds.com/connect/10074733072513#/reservations/31727907500215?display=Chris%20Edinger&amp;reservation_id=31727907500215&amp;guest_id=31691657380012", "Chris Edinger")</f>
        <v>Chris Edinger</v>
      </c>
      <c r="E10790" t="s">
        <v>8626</v>
      </c>
      <c r="F10790" t="s">
        <v>9617</v>
      </c>
      <c r="G10790">
        <v>336</v>
      </c>
      <c r="H10790">
        <v>365.24</v>
      </c>
      <c r="I10790">
        <v>365.23</v>
      </c>
      <c r="J10790">
        <v>0.01</v>
      </c>
    </row>
    <row r="10791" spans="1:10" x14ac:dyDescent="0.3">
      <c r="A10791" t="str">
        <f>HYPERLINK("https://us2.cloudbeds.com/connect/10074733072513#/reservations/31732914843900?display=MXJ6HB8H5&amp;reservation_id=31732914843900", "MXJ6HB8H5")</f>
        <v>MXJ6HB8H5</v>
      </c>
      <c r="B10791" t="s">
        <v>10</v>
      </c>
      <c r="C10791" t="s">
        <v>42</v>
      </c>
      <c r="D10791" t="str">
        <f>HYPERLINK("https://us2.cloudbeds.com/connect/10074733072513#/reservations/31732914843900?display=Teresa%20Urlacher&amp;reservation_id=31732914843900&amp;guest_id=31732914843898", "Teresa Urlacher")</f>
        <v>Teresa Urlacher</v>
      </c>
      <c r="E10791" t="s">
        <v>9805</v>
      </c>
      <c r="F10791" t="s">
        <v>9511</v>
      </c>
      <c r="G10791">
        <v>189</v>
      </c>
      <c r="H10791">
        <v>205.45</v>
      </c>
      <c r="I10791">
        <v>205.44</v>
      </c>
      <c r="J10791">
        <v>0.01</v>
      </c>
    </row>
    <row r="10792" spans="1:10" x14ac:dyDescent="0.3">
      <c r="A10792" t="str">
        <f>HYPERLINK("https://us2.cloudbeds.com/connect/10074733072513#/reservations/31732278497497?display=MXXN8ZWCR&amp;reservation_id=31732278497497", "MXXN8ZWCR")</f>
        <v>MXXN8ZWCR</v>
      </c>
      <c r="B10792" t="s">
        <v>10</v>
      </c>
      <c r="C10792" t="s">
        <v>23</v>
      </c>
      <c r="D10792" t="str">
        <f>HYPERLINK("https://us2.cloudbeds.com/connect/10074733072513#/reservations/31732278497497?display=Bhaskar%20Setti&amp;reservation_id=31732278497497&amp;guest_id=31732278497486", "Bhaskar Setti")</f>
        <v>Bhaskar Setti</v>
      </c>
      <c r="E10792" t="s">
        <v>9806</v>
      </c>
      <c r="F10792" t="s">
        <v>8596</v>
      </c>
      <c r="G10792">
        <v>219</v>
      </c>
      <c r="H10792">
        <v>238.06</v>
      </c>
      <c r="I10792">
        <v>238.05</v>
      </c>
      <c r="J10792">
        <v>0.01</v>
      </c>
    </row>
    <row r="10793" spans="1:10" x14ac:dyDescent="0.3">
      <c r="A10793" t="str">
        <f>HYPERLINK("https://us2.cloudbeds.com/connect/10074733072513#/reservations/31728257269970?display=MXFJGVD47&amp;reservation_id=31728257269970", "MXFJGVD47")</f>
        <v>MXFJGVD47</v>
      </c>
      <c r="B10793" t="s">
        <v>10</v>
      </c>
      <c r="C10793" t="s">
        <v>20</v>
      </c>
      <c r="D10793" t="str">
        <f>HYPERLINK("https://us2.cloudbeds.com/connect/10074733072513#/reservations/31728257269970?display=Vance%20Mcinerney&amp;reservation_id=31728257269970&amp;guest_id=31728257269967", "Vance Mcinerney")</f>
        <v>Vance Mcinerney</v>
      </c>
      <c r="E10793" t="s">
        <v>9808</v>
      </c>
      <c r="F10793" t="s">
        <v>9235</v>
      </c>
      <c r="G10793">
        <v>501.3</v>
      </c>
      <c r="H10793">
        <v>544.91999999999996</v>
      </c>
      <c r="I10793">
        <v>544.91</v>
      </c>
      <c r="J10793">
        <v>0.01</v>
      </c>
    </row>
    <row r="10794" spans="1:10" x14ac:dyDescent="0.3">
      <c r="A10794" t="str">
        <f>HYPERLINK("https://us2.cloudbeds.com/connect/10074733072513#/reservations/31727830884504?display=MXF8KDJJH&amp;reservation_id=31727830884504", "MXF8KDJJH")</f>
        <v>MXF8KDJJH</v>
      </c>
      <c r="B10794" t="s">
        <v>10</v>
      </c>
      <c r="C10794" t="s">
        <v>42</v>
      </c>
      <c r="D10794" t="str">
        <f>HYPERLINK("https://us2.cloudbeds.com/connect/10074733072513#/reservations/31727830884504?display=Payton%20Johnson&amp;reservation_id=31727830884504&amp;guest_id=31727830880407", "Payton Johnson")</f>
        <v>Payton Johnson</v>
      </c>
      <c r="E10794" t="s">
        <v>9811</v>
      </c>
      <c r="F10794" t="s">
        <v>9617</v>
      </c>
      <c r="G10794">
        <v>252</v>
      </c>
      <c r="H10794">
        <v>273.93</v>
      </c>
      <c r="I10794">
        <v>273.92</v>
      </c>
      <c r="J10794">
        <v>0.01</v>
      </c>
    </row>
    <row r="10795" spans="1:10" x14ac:dyDescent="0.3">
      <c r="A10795" t="str">
        <f>HYPERLINK("https://us2.cloudbeds.com/connect/10074733072513#/reservations/31732789330156?display=MXJ3AGYXC&amp;reservation_id=31732789330156", "MXJ3AGYXC")</f>
        <v>MXJ3AGYXC</v>
      </c>
      <c r="B10795" t="s">
        <v>10</v>
      </c>
      <c r="C10795" t="s">
        <v>121</v>
      </c>
      <c r="D10795" t="str">
        <f>HYPERLINK("https://us2.cloudbeds.com/connect/10074733072513#/reservations/31732789330156?display=Jay%20Charison&amp;reservation_id=31732789330156&amp;guest_id=31732789330154", "Jay Charison")</f>
        <v>Jay Charison</v>
      </c>
      <c r="E10795" t="s">
        <v>9812</v>
      </c>
      <c r="F10795" t="s">
        <v>9526</v>
      </c>
      <c r="G10795">
        <v>129</v>
      </c>
      <c r="H10795">
        <v>140.22999999999999</v>
      </c>
      <c r="I10795">
        <v>140.22</v>
      </c>
      <c r="J10795">
        <v>0.01</v>
      </c>
    </row>
    <row r="10796" spans="1:10" x14ac:dyDescent="0.3">
      <c r="A10796" t="str">
        <f>HYPERLINK("https://us2.cloudbeds.com/connect/10074733072513#/reservations/31732771057812?display=MXJ2S36HW&amp;reservation_id=31732771057812", "MXJ2S36HW")</f>
        <v>MXJ2S36HW</v>
      </c>
      <c r="B10796" t="s">
        <v>10</v>
      </c>
      <c r="C10796" t="s">
        <v>121</v>
      </c>
      <c r="D10796" t="str">
        <f>HYPERLINK("https://us2.cloudbeds.com/connect/10074733072513#/reservations/31732771057812?display=Stephan%20Spade&amp;reservation_id=31732771057812&amp;guest_id=31732771057810", "Stephan Spade")</f>
        <v>Stephan Spade</v>
      </c>
      <c r="E10796" t="s">
        <v>9814</v>
      </c>
      <c r="F10796" t="s">
        <v>9526</v>
      </c>
      <c r="G10796">
        <v>129</v>
      </c>
      <c r="H10796">
        <v>140.22999999999999</v>
      </c>
      <c r="I10796">
        <v>140.22</v>
      </c>
      <c r="J10796">
        <v>0.01</v>
      </c>
    </row>
    <row r="10797" spans="1:10" x14ac:dyDescent="0.3">
      <c r="A10797" t="str">
        <f>HYPERLINK("https://us2.cloudbeds.com/connect/10074733072513#/reservations/31727410376918?display=MXEUSRBXD&amp;reservation_id=31727410376918", "MXEUSRBXD")</f>
        <v>MXEUSRBXD</v>
      </c>
      <c r="B10797" t="s">
        <v>10</v>
      </c>
      <c r="C10797" t="s">
        <v>42</v>
      </c>
      <c r="D10797" t="str">
        <f>HYPERLINK("https://us2.cloudbeds.com/connect/10074733072513#/reservations/31727410376918?display=Carol%20Fields&amp;reservation_id=31727410376918&amp;guest_id=30682358509702", "Carol Fields")</f>
        <v>Carol Fields</v>
      </c>
      <c r="E10797" t="s">
        <v>7680</v>
      </c>
      <c r="F10797" t="s">
        <v>9445</v>
      </c>
      <c r="G10797">
        <v>218</v>
      </c>
      <c r="H10797">
        <v>236.98</v>
      </c>
      <c r="I10797">
        <v>236.97</v>
      </c>
      <c r="J10797">
        <v>0.01</v>
      </c>
    </row>
    <row r="10798" spans="1:10" x14ac:dyDescent="0.3">
      <c r="A10798" t="str">
        <f>HYPERLINK("https://us2.cloudbeds.com/connect/10074733072513#/reservations/31733254267110?display=MXJF6X6TW&amp;reservation_id=31733254267110", "MXJF6X6TW")</f>
        <v>MXJF6X6TW</v>
      </c>
      <c r="B10798" t="s">
        <v>10</v>
      </c>
      <c r="C10798" t="s">
        <v>23</v>
      </c>
      <c r="D10798" t="str">
        <f>HYPERLINK("https://us2.cloudbeds.com/connect/10074733072513#/reservations/31733254267110?display=Peggy%20Swift&amp;reservation_id=31733254267110&amp;guest_id=31733244543114", "Peggy Swift")</f>
        <v>Peggy Swift</v>
      </c>
      <c r="E10798" t="s">
        <v>9815</v>
      </c>
      <c r="F10798" t="s">
        <v>8918</v>
      </c>
      <c r="G10798">
        <v>358</v>
      </c>
      <c r="H10798">
        <v>389.16</v>
      </c>
      <c r="I10798">
        <v>389.15</v>
      </c>
      <c r="J10798">
        <v>0.01</v>
      </c>
    </row>
    <row r="10799" spans="1:10" x14ac:dyDescent="0.3">
      <c r="A10799" t="str">
        <f>HYPERLINK("https://us2.cloudbeds.com/connect/10074733072513#/reservations/31726613639387?display=MXEAGWVFS&amp;reservation_id=31726613639387", "MXEAGWVFS")</f>
        <v>MXEAGWVFS</v>
      </c>
      <c r="B10799" t="s">
        <v>10</v>
      </c>
      <c r="C10799" t="s">
        <v>42</v>
      </c>
      <c r="D10799" t="str">
        <f>HYPERLINK("https://us2.cloudbeds.com/connect/10074733072513#/reservations/31726613639387?display=Joyce%20Brosz&amp;reservation_id=31726613639387&amp;guest_id=31726613635287", "Joyce Brosz")</f>
        <v>Joyce Brosz</v>
      </c>
      <c r="E10799" t="s">
        <v>9816</v>
      </c>
      <c r="F10799" t="s">
        <v>9817</v>
      </c>
      <c r="G10799">
        <v>418</v>
      </c>
      <c r="H10799">
        <v>454.38</v>
      </c>
      <c r="I10799">
        <v>454.37</v>
      </c>
      <c r="J10799">
        <v>0.01</v>
      </c>
    </row>
    <row r="10800" spans="1:10" x14ac:dyDescent="0.3">
      <c r="A10800" t="str">
        <f>HYPERLINK("https://us2.cloudbeds.com/connect/10074733072513#/reservations/31729610871038?display=MXGY3BBAD&amp;reservation_id=31729610871038", "MXGY3BBAD")</f>
        <v>MXGY3BBAD</v>
      </c>
      <c r="B10800" t="s">
        <v>10</v>
      </c>
      <c r="C10800" t="s">
        <v>20</v>
      </c>
      <c r="D10800" t="str">
        <f>HYPERLINK("https://us2.cloudbeds.com/connect/10074733072513#/reservations/31729610871038?display=Daryl%20Monfils&amp;reservation_id=31729610871038&amp;guest_id=31729610870978", "Daryl Monfils")</f>
        <v>Daryl Monfils</v>
      </c>
      <c r="E10800" t="s">
        <v>9818</v>
      </c>
      <c r="F10800" t="s">
        <v>8045</v>
      </c>
      <c r="G10800">
        <v>458</v>
      </c>
      <c r="H10800">
        <v>497.86</v>
      </c>
      <c r="I10800">
        <v>497.85</v>
      </c>
      <c r="J10800">
        <v>0.01</v>
      </c>
    </row>
    <row r="10801" spans="1:10" x14ac:dyDescent="0.3">
      <c r="A10801" t="str">
        <f>HYPERLINK("https://us2.cloudbeds.com/connect/10074733072513#/reservations/31731366961324?display=MXHWW44ZX&amp;reservation_id=31731366961324", "MXHWW44ZX")</f>
        <v>MXHWW44ZX</v>
      </c>
      <c r="B10801" t="s">
        <v>10</v>
      </c>
      <c r="C10801" t="s">
        <v>42</v>
      </c>
      <c r="D10801" t="str">
        <f>HYPERLINK("https://us2.cloudbeds.com/connect/10074733072513#/reservations/31731366961324?display=Joyce%20Brosz&amp;reservation_id=31731366961324&amp;guest_id=31726613635287", "Joyce Brosz")</f>
        <v>Joyce Brosz</v>
      </c>
      <c r="E10801" t="s">
        <v>9816</v>
      </c>
      <c r="F10801" t="s">
        <v>9817</v>
      </c>
      <c r="G10801">
        <v>418</v>
      </c>
      <c r="H10801">
        <v>454.38</v>
      </c>
      <c r="I10801">
        <v>454.37</v>
      </c>
      <c r="J10801">
        <v>0.01</v>
      </c>
    </row>
    <row r="10802" spans="1:10" x14ac:dyDescent="0.3">
      <c r="A10802" t="str">
        <f>HYPERLINK("https://us2.cloudbeds.com/connect/10074733072513#/reservations/31732604289262?display=MXXVJFKCX&amp;reservation_id=31732604289262", "MXXVJFKCX")</f>
        <v>MXXVJFKCX</v>
      </c>
      <c r="B10802" t="s">
        <v>10</v>
      </c>
      <c r="C10802" t="s">
        <v>42</v>
      </c>
      <c r="D10802" t="str">
        <f>HYPERLINK("https://us2.cloudbeds.com/connect/10074733072513#/reservations/31732604289262?display=Nick%20Sherman&amp;reservation_id=31732604289262&amp;guest_id=31687784452323", "Nick Sherman")</f>
        <v>Nick Sherman</v>
      </c>
      <c r="E10802" t="s">
        <v>9753</v>
      </c>
      <c r="F10802" t="s">
        <v>9822</v>
      </c>
      <c r="G10802">
        <v>336</v>
      </c>
      <c r="H10802">
        <v>365.24</v>
      </c>
      <c r="I10802">
        <v>365.23</v>
      </c>
      <c r="J10802">
        <v>0.01</v>
      </c>
    </row>
    <row r="10803" spans="1:10" x14ac:dyDescent="0.3">
      <c r="A10803" t="str">
        <f>HYPERLINK("https://us2.cloudbeds.com/connect/10074733072513#/reservations/31731579908265?display=MXX5DMNA5&amp;reservation_id=31731579908265", "MXX5DMNA5")</f>
        <v>MXX5DMNA5</v>
      </c>
      <c r="B10803" t="s">
        <v>10</v>
      </c>
      <c r="C10803" t="s">
        <v>42</v>
      </c>
      <c r="D10803" t="str">
        <f>HYPERLINK("https://us2.cloudbeds.com/connect/10074733072513#/reservations/31731579908265?display=Jamie%20Frankenstein&amp;reservation_id=31731579908265&amp;guest_id=31713449169080", "Jamie Frankenstein")</f>
        <v>Jamie Frankenstein</v>
      </c>
      <c r="E10803" t="s">
        <v>9824</v>
      </c>
      <c r="F10803" t="s">
        <v>9089</v>
      </c>
      <c r="G10803">
        <v>169</v>
      </c>
      <c r="H10803">
        <v>183.71</v>
      </c>
      <c r="I10803">
        <v>183.7</v>
      </c>
      <c r="J10803">
        <v>0.01</v>
      </c>
    </row>
    <row r="10804" spans="1:10" x14ac:dyDescent="0.3">
      <c r="A10804" t="str">
        <f>HYPERLINK("https://us2.cloudbeds.com/connect/10074733072513#/reservations/31730673201355?display=MXHF84886&amp;reservation_id=31730673201355", "MXHF84886")</f>
        <v>MXHF84886</v>
      </c>
      <c r="B10804" t="s">
        <v>10</v>
      </c>
      <c r="C10804" t="s">
        <v>42</v>
      </c>
      <c r="D10804" t="str">
        <f>HYPERLINK("https://us2.cloudbeds.com/connect/10074733072513#/reservations/31730673201355?display=Don%20Loyd&amp;reservation_id=31730673201355&amp;guest_id=31730673201350", "Don Loyd")</f>
        <v>Don Loyd</v>
      </c>
      <c r="E10804" t="s">
        <v>9825</v>
      </c>
      <c r="F10804" t="s">
        <v>8918</v>
      </c>
      <c r="G10804">
        <v>338</v>
      </c>
      <c r="H10804">
        <v>367.42</v>
      </c>
      <c r="I10804">
        <v>367.41</v>
      </c>
      <c r="J10804">
        <v>0.01</v>
      </c>
    </row>
    <row r="10805" spans="1:10" x14ac:dyDescent="0.3">
      <c r="A10805" t="str">
        <f>HYPERLINK("https://us2.cloudbeds.com/connect/10074733072513#/reservations/31729778135230?display=MXGPCCNK9&amp;reservation_id=31729778135230", "MXGPCCNK9")</f>
        <v>MXGPCCNK9</v>
      </c>
      <c r="B10805" t="s">
        <v>10</v>
      </c>
      <c r="C10805" t="s">
        <v>42</v>
      </c>
      <c r="D10805" t="str">
        <f>HYPERLINK("https://us2.cloudbeds.com/connect/10074733072513#/reservations/31729778135230?display=Linda%20Waterman&amp;reservation_id=31729778135230&amp;guest_id=31729778135225", "Linda Waterman")</f>
        <v>Linda Waterman</v>
      </c>
      <c r="E10805" t="s">
        <v>9827</v>
      </c>
      <c r="F10805" t="s">
        <v>9445</v>
      </c>
      <c r="G10805">
        <v>129</v>
      </c>
      <c r="H10805">
        <v>140.22999999999999</v>
      </c>
      <c r="I10805">
        <v>140.22</v>
      </c>
      <c r="J10805">
        <v>0.01</v>
      </c>
    </row>
    <row r="10806" spans="1:10" x14ac:dyDescent="0.3">
      <c r="A10806" t="str">
        <f>HYPERLINK("https://us2.cloudbeds.com/connect/10074733072513#/reservations/31732006305991?display=MXXGA7S3C&amp;reservation_id=31732006305991", "MXXGA7S3C")</f>
        <v>MXXGA7S3C</v>
      </c>
      <c r="B10806" t="s">
        <v>10</v>
      </c>
      <c r="C10806" t="s">
        <v>42</v>
      </c>
      <c r="D10806" t="str">
        <f>HYPERLINK("https://us2.cloudbeds.com/connect/10074733072513#/reservations/31732006305991?display=Andrew%20Pierce&amp;reservation_id=31732006305991&amp;guest_id=31688520413432", "Andrew Pierce")</f>
        <v>Andrew Pierce</v>
      </c>
      <c r="E10806" t="s">
        <v>7935</v>
      </c>
      <c r="F10806" t="s">
        <v>8992</v>
      </c>
      <c r="G10806">
        <v>252</v>
      </c>
      <c r="H10806">
        <v>273.93</v>
      </c>
      <c r="I10806">
        <v>273.92</v>
      </c>
      <c r="J10806">
        <v>0.01</v>
      </c>
    </row>
    <row r="10807" spans="1:10" x14ac:dyDescent="0.3">
      <c r="A10807" t="str">
        <f>HYPERLINK("https://us2.cloudbeds.com/connect/10074733072513#/reservations/31731979419780?display=MXXFKXN6N&amp;reservation_id=31731979419780", "MXXFKXN6N")</f>
        <v>MXXFKXN6N</v>
      </c>
      <c r="B10807" t="s">
        <v>10</v>
      </c>
      <c r="C10807" t="s">
        <v>42</v>
      </c>
      <c r="D10807" t="str">
        <f>HYPERLINK("https://us2.cloudbeds.com/connect/10074733072513#/reservations/31731979419780?display=James%20Plicker&amp;reservation_id=31731979419780&amp;guest_id=31731979419776", "James Plicker")</f>
        <v>James Plicker</v>
      </c>
      <c r="E10807" t="s">
        <v>9829</v>
      </c>
      <c r="F10807" t="s">
        <v>9407</v>
      </c>
      <c r="G10807">
        <v>169</v>
      </c>
      <c r="H10807">
        <v>183.71</v>
      </c>
      <c r="I10807">
        <v>183.7</v>
      </c>
      <c r="J10807">
        <v>0.01</v>
      </c>
    </row>
    <row r="10808" spans="1:10" x14ac:dyDescent="0.3">
      <c r="A10808" t="str">
        <f>HYPERLINK("https://us2.cloudbeds.com/connect/10074733072513#/reservations/31733625671916?display=MXJZMZ352&amp;reservation_id=31733625671916", "MXJZMZ352")</f>
        <v>MXJZMZ352</v>
      </c>
      <c r="B10808" t="s">
        <v>10</v>
      </c>
      <c r="C10808" t="s">
        <v>20</v>
      </c>
      <c r="D10808" t="str">
        <f>HYPERLINK("https://us2.cloudbeds.com/connect/10074733072513#/reservations/31733625671916?display=Hannah%20Van%20Gundy&amp;reservation_id=31733625671916&amp;guest_id=31733613703317", "Hannah Van Gundy")</f>
        <v>Hannah Van Gundy</v>
      </c>
      <c r="E10808" t="s">
        <v>9831</v>
      </c>
      <c r="F10808" t="s">
        <v>9707</v>
      </c>
      <c r="G10808">
        <v>299.7</v>
      </c>
      <c r="H10808">
        <v>325.77999999999997</v>
      </c>
      <c r="I10808">
        <v>325.77</v>
      </c>
      <c r="J10808">
        <v>0.01</v>
      </c>
    </row>
    <row r="10809" spans="1:10" x14ac:dyDescent="0.3">
      <c r="A10809" t="str">
        <f>HYPERLINK("https://us2.cloudbeds.com/connect/10074733072513#/reservations/31731930218709?display=MXXEC2K55&amp;reservation_id=31731930218709", "MXXEC2K55")</f>
        <v>MXXEC2K55</v>
      </c>
      <c r="B10809" t="s">
        <v>10</v>
      </c>
      <c r="C10809" t="s">
        <v>17</v>
      </c>
      <c r="D10809" t="str">
        <f>HYPERLINK("https://us2.cloudbeds.com/connect/10074733072513#/reservations/31731930218709?display=Jodi%20Foley&amp;reservation_id=31731930218709&amp;guest_id=31731930218707", "Jodi Foley")</f>
        <v>Jodi Foley</v>
      </c>
      <c r="E10809" t="s">
        <v>9763</v>
      </c>
      <c r="F10809" t="s">
        <v>8992</v>
      </c>
      <c r="G10809">
        <v>393</v>
      </c>
      <c r="H10809">
        <v>427.2</v>
      </c>
      <c r="I10809">
        <v>427.19</v>
      </c>
      <c r="J10809">
        <v>0.01</v>
      </c>
    </row>
    <row r="10810" spans="1:10" x14ac:dyDescent="0.3">
      <c r="A10810" t="str">
        <f>HYPERLINK("https://us2.cloudbeds.com/connect/10074733072513#/reservations/31729217802368?display=MXGB1TH0D&amp;reservation_id=31729217802368", "MXGB1TH0D")</f>
        <v>MXGB1TH0D</v>
      </c>
      <c r="B10810" t="s">
        <v>10</v>
      </c>
      <c r="C10810" t="s">
        <v>42</v>
      </c>
      <c r="D10810" t="str">
        <f>HYPERLINK("https://us2.cloudbeds.com/connect/10074733072513#/reservations/31729217802368?display=Jeffrey%20Stanton&amp;reservation_id=31729217802368&amp;guest_id=31729204334815", "Jeffrey Stanton")</f>
        <v>Jeffrey Stanton</v>
      </c>
      <c r="E10810" t="s">
        <v>9832</v>
      </c>
      <c r="F10810" t="s">
        <v>9407</v>
      </c>
      <c r="G10810">
        <v>209</v>
      </c>
      <c r="H10810">
        <v>227.19</v>
      </c>
      <c r="I10810">
        <v>227.18</v>
      </c>
      <c r="J10810">
        <v>0.01</v>
      </c>
    </row>
    <row r="10811" spans="1:10" x14ac:dyDescent="0.3">
      <c r="A10811" t="str">
        <f>HYPERLINK("https://us2.cloudbeds.com/connect/10074733072513#/reservations/31713378001055?display=MX42ABQKD&amp;reservation_id=31713378001055", "MX42ABQKD")</f>
        <v>MX42ABQKD</v>
      </c>
      <c r="B10811" t="s">
        <v>10</v>
      </c>
      <c r="C10811" t="s">
        <v>42</v>
      </c>
      <c r="D10811" t="str">
        <f>HYPERLINK("https://us2.cloudbeds.com/connect/10074733072513#/reservations/31713378001055?display=Lisa%20Sestak&amp;reservation_id=31713378001055&amp;guest_id=31713378001050", "Lisa Sestak")</f>
        <v>Lisa Sestak</v>
      </c>
      <c r="E10811" t="s">
        <v>9833</v>
      </c>
      <c r="F10811" t="s">
        <v>9834</v>
      </c>
      <c r="G10811">
        <v>318</v>
      </c>
      <c r="H10811">
        <v>345.68</v>
      </c>
      <c r="I10811">
        <v>345.67</v>
      </c>
      <c r="J10811">
        <v>0.01</v>
      </c>
    </row>
    <row r="10812" spans="1:10" x14ac:dyDescent="0.3">
      <c r="A10812" t="str">
        <f>HYPERLINK("https://us2.cloudbeds.com/connect/10074733072513#/reservations/31731542749357?display=MXX4FBN8Y&amp;reservation_id=31731542749357", "MXX4FBN8Y")</f>
        <v>MXX4FBN8Y</v>
      </c>
      <c r="B10812" t="s">
        <v>10</v>
      </c>
      <c r="C10812" t="s">
        <v>23</v>
      </c>
      <c r="D10812" t="str">
        <f>HYPERLINK("https://us2.cloudbeds.com/connect/10074733072513#/reservations/31731542749357?display=Jinny%20Fricke&amp;reservation_id=31731542749357&amp;guest_id=31731542749353", "Jinny Fricke")</f>
        <v>Jinny Fricke</v>
      </c>
      <c r="E10812" t="s">
        <v>9835</v>
      </c>
      <c r="F10812" t="s">
        <v>9089</v>
      </c>
      <c r="G10812">
        <v>99</v>
      </c>
      <c r="H10812">
        <v>107.62</v>
      </c>
      <c r="I10812">
        <v>107.61</v>
      </c>
      <c r="J10812">
        <v>0.01</v>
      </c>
    </row>
    <row r="10813" spans="1:10" x14ac:dyDescent="0.3">
      <c r="A10813" t="str">
        <f>HYPERLINK("https://us2.cloudbeds.com/connect/10074733072513#/reservations/31734288662671?display=MXK8KPQ30&amp;reservation_id=31734288662671", "MXK8KPQ30")</f>
        <v>MXK8KPQ30</v>
      </c>
      <c r="B10813" t="s">
        <v>10</v>
      </c>
      <c r="C10813" t="s">
        <v>23</v>
      </c>
      <c r="D10813" t="str">
        <f>HYPERLINK("https://us2.cloudbeds.com/connect/10074733072513#/reservations/31734288662671?display=Andrea%20Schultz&amp;reservation_id=31734288662671&amp;guest_id=31734288658587", "Andrea Schultz")</f>
        <v>Andrea Schultz</v>
      </c>
      <c r="E10813" t="s">
        <v>9836</v>
      </c>
      <c r="F10813" t="s">
        <v>9453</v>
      </c>
      <c r="G10813">
        <v>229</v>
      </c>
      <c r="H10813">
        <v>248.93</v>
      </c>
      <c r="I10813">
        <v>248.92</v>
      </c>
      <c r="J10813">
        <v>0.01</v>
      </c>
    </row>
    <row r="10814" spans="1:10" x14ac:dyDescent="0.3">
      <c r="A10814" t="str">
        <f>HYPERLINK("https://us2.cloudbeds.com/connect/10074733072513#/reservations/31727948603574?display=MXFBKM9U2&amp;reservation_id=31727948603574", "MXFBKM9U2")</f>
        <v>MXFBKM9U2</v>
      </c>
      <c r="B10814" t="s">
        <v>10</v>
      </c>
      <c r="C10814" t="s">
        <v>42</v>
      </c>
      <c r="D10814" t="str">
        <f>HYPERLINK("https://us2.cloudbeds.com/connect/10074733072513#/reservations/31727948603574?display=Jason%20Galluf&amp;reservation_id=31727948603574&amp;guest_id=31727948603522", "Jason Galluf")</f>
        <v>Jason Galluf</v>
      </c>
      <c r="E10814" t="s">
        <v>9837</v>
      </c>
      <c r="F10814" t="s">
        <v>9617</v>
      </c>
      <c r="G10814">
        <v>89</v>
      </c>
      <c r="H10814">
        <v>96.75</v>
      </c>
      <c r="I10814">
        <v>96.74</v>
      </c>
      <c r="J10814">
        <v>0.01</v>
      </c>
    </row>
    <row r="10815" spans="1:10" x14ac:dyDescent="0.3">
      <c r="A10815" t="str">
        <f>HYPERLINK("https://us2.cloudbeds.com/connect/10074733072513#/reservations/31726228934896?display=MXE0MJWG0&amp;reservation_id=31726228934896", "MXE0MJWG0")</f>
        <v>MXE0MJWG0</v>
      </c>
      <c r="B10815" t="s">
        <v>10</v>
      </c>
      <c r="C10815" t="s">
        <v>11</v>
      </c>
      <c r="D10815" t="str">
        <f>HYPERLINK("https://us2.cloudbeds.com/connect/10074733072513#/reservations/31726228934896?display=Misty%20Patty&amp;reservation_id=31726228934896&amp;guest_id=31726228934891", "Misty Patty")</f>
        <v>Misty Patty</v>
      </c>
      <c r="E10815" t="s">
        <v>9838</v>
      </c>
      <c r="F10815" t="s">
        <v>9839</v>
      </c>
      <c r="G10815">
        <v>105.78</v>
      </c>
      <c r="H10815">
        <v>114.99</v>
      </c>
      <c r="I10815">
        <v>114.98</v>
      </c>
      <c r="J10815">
        <v>0.01</v>
      </c>
    </row>
    <row r="10816" spans="1:10" x14ac:dyDescent="0.3">
      <c r="A10816" t="str">
        <f>HYPERLINK("https://us2.cloudbeds.com/connect/10074733072513#/reservations/31734017728732?display=MXK1NAYJY&amp;reservation_id=31734017728732", "MXK1NAYJY")</f>
        <v>MXK1NAYJY</v>
      </c>
      <c r="B10816" t="s">
        <v>10</v>
      </c>
      <c r="C10816" t="s">
        <v>23</v>
      </c>
      <c r="D10816" t="str">
        <f>HYPERLINK("https://us2.cloudbeds.com/connect/10074733072513#/reservations/31734017728732?display=Samantha%20Cleveland-Erb&amp;reservation_id=31734017728732&amp;guest_id=31734017728727", "Samantha Cleveland-Erb")</f>
        <v>Samantha Cleveland-Erb</v>
      </c>
      <c r="E10816" t="s">
        <v>9840</v>
      </c>
      <c r="F10816" t="s">
        <v>9122</v>
      </c>
      <c r="G10816">
        <v>209</v>
      </c>
      <c r="H10816">
        <v>227.19</v>
      </c>
      <c r="I10816">
        <v>227.18</v>
      </c>
      <c r="J10816">
        <v>0.01</v>
      </c>
    </row>
    <row r="10817" spans="1:10" x14ac:dyDescent="0.3">
      <c r="A10817" t="str">
        <f>HYPERLINK("https://us2.cloudbeds.com/connect/10074733072513#/reservations/31734921789589?display=MXKZQYFS6&amp;reservation_id=31734921789589", "MXKZQYFS6")</f>
        <v>MXKZQYFS6</v>
      </c>
      <c r="B10817" t="s">
        <v>10</v>
      </c>
      <c r="C10817" t="s">
        <v>42</v>
      </c>
      <c r="D10817" t="str">
        <f>HYPERLINK("https://us2.cloudbeds.com/connect/10074733072513#/reservations/31734921789589?display=Cory%20Glick&amp;reservation_id=31734921789589&amp;guest_id=31676961386701", "Cory Glick")</f>
        <v>Cory Glick</v>
      </c>
      <c r="E10817" t="s">
        <v>2769</v>
      </c>
      <c r="F10817" t="s">
        <v>9511</v>
      </c>
      <c r="G10817">
        <v>158</v>
      </c>
      <c r="H10817">
        <v>171.76</v>
      </c>
      <c r="I10817">
        <v>171.75</v>
      </c>
      <c r="J10817">
        <v>0.01</v>
      </c>
    </row>
    <row r="10818" spans="1:10" x14ac:dyDescent="0.3">
      <c r="A10818" t="str">
        <f>HYPERLINK("https://us2.cloudbeds.com/connect/10074733072513#/reservations/31734992576645?display=MXKQKB7ZG&amp;reservation_id=31734992576645", "MXKQKB7ZG")</f>
        <v>MXKQKB7ZG</v>
      </c>
      <c r="B10818" t="s">
        <v>10</v>
      </c>
      <c r="C10818" t="s">
        <v>17</v>
      </c>
      <c r="D10818" t="str">
        <f>HYPERLINK("https://us2.cloudbeds.com/connect/10074733072513#/reservations/31734992576645?display=Deryn%20Beck&amp;reservation_id=31734992576645&amp;guest_id=31734992576640", "Deryn Beck")</f>
        <v>Deryn Beck</v>
      </c>
      <c r="E10818" t="s">
        <v>9841</v>
      </c>
      <c r="F10818" t="s">
        <v>9511</v>
      </c>
      <c r="G10818">
        <v>189</v>
      </c>
      <c r="H10818">
        <v>205.45</v>
      </c>
      <c r="I10818">
        <v>205.44</v>
      </c>
      <c r="J10818">
        <v>0.01</v>
      </c>
    </row>
    <row r="10819" spans="1:10" x14ac:dyDescent="0.3">
      <c r="A10819" t="str">
        <f>HYPERLINK("https://us2.cloudbeds.com/connect/10074733072513#/reservations/31731910611124?display=MXXDSX00U&amp;reservation_id=31731910611124", "MXXDSX00U")</f>
        <v>MXXDSX00U</v>
      </c>
      <c r="B10819" t="s">
        <v>10</v>
      </c>
      <c r="C10819" t="s">
        <v>23</v>
      </c>
      <c r="D10819" t="str">
        <f>HYPERLINK("https://us2.cloudbeds.com/connect/10074733072513#/reservations/31731910611124?display=Joey%20Reiser&amp;reservation_id=31731910611124&amp;guest_id=31731910611121", "Joey Reiser")</f>
        <v>Joey Reiser</v>
      </c>
      <c r="E10819" t="s">
        <v>9842</v>
      </c>
      <c r="F10819" t="s">
        <v>8992</v>
      </c>
      <c r="G10819">
        <v>156.6</v>
      </c>
      <c r="H10819">
        <v>170.23</v>
      </c>
      <c r="I10819">
        <v>170.22</v>
      </c>
      <c r="J10819">
        <v>0.01</v>
      </c>
    </row>
    <row r="10820" spans="1:10" x14ac:dyDescent="0.3">
      <c r="A10820" t="str">
        <f>HYPERLINK("https://us2.cloudbeds.com/connect/10074733072513#/reservations/31732013887645?display=MXXGGKR4F&amp;reservation_id=31732013887645", "MXXGGKR4F")</f>
        <v>MXXGGKR4F</v>
      </c>
      <c r="B10820" t="s">
        <v>10</v>
      </c>
      <c r="C10820" t="s">
        <v>42</v>
      </c>
      <c r="D10820" t="str">
        <f>HYPERLINK("https://us2.cloudbeds.com/connect/10074733072513#/reservations/31732013887645?display=Audrey%20Ewalt&amp;reservation_id=31732013887645&amp;guest_id=31727979208906", "Audrey Ewalt")</f>
        <v>Audrey Ewalt</v>
      </c>
      <c r="E10820" t="s">
        <v>9843</v>
      </c>
      <c r="F10820" t="s">
        <v>9089</v>
      </c>
      <c r="G10820">
        <v>258</v>
      </c>
      <c r="H10820">
        <v>280.45999999999998</v>
      </c>
      <c r="I10820">
        <v>280.45</v>
      </c>
      <c r="J10820">
        <v>0.01</v>
      </c>
    </row>
    <row r="10821" spans="1:10" x14ac:dyDescent="0.3">
      <c r="A10821" t="str">
        <f>HYPERLINK("https://us2.cloudbeds.com/connect/10074733072513#/reservations/31731353075927?display=MXHWKDP4V&amp;reservation_id=31731353075927", "MXHWKDP4V")</f>
        <v>MXHWKDP4V</v>
      </c>
      <c r="B10821" t="s">
        <v>10</v>
      </c>
      <c r="C10821" t="s">
        <v>121</v>
      </c>
      <c r="D10821" t="str">
        <f>HYPERLINK("https://us2.cloudbeds.com/connect/10074733072513#/reservations/31731353075927?display=Jed%20Smeenk&amp;reservation_id=31731353075927&amp;guest_id=31731353075925", "Jed Smeenk")</f>
        <v>Jed Smeenk</v>
      </c>
      <c r="E10821" t="s">
        <v>9844</v>
      </c>
      <c r="F10821" t="s">
        <v>9617</v>
      </c>
      <c r="G10821">
        <v>189</v>
      </c>
      <c r="H10821">
        <v>205.45</v>
      </c>
      <c r="I10821">
        <v>205.44</v>
      </c>
      <c r="J10821">
        <v>0.01</v>
      </c>
    </row>
    <row r="10822" spans="1:10" x14ac:dyDescent="0.3">
      <c r="A10822" t="str">
        <f>HYPERLINK("https://us2.cloudbeds.com/connect/10074733072513#/reservations/31733962694813?display=MXK09U8D4&amp;reservation_id=31733962694813", "MXK09U8D4")</f>
        <v>MXK09U8D4</v>
      </c>
      <c r="B10822" t="s">
        <v>10</v>
      </c>
      <c r="C10822" t="s">
        <v>42</v>
      </c>
      <c r="D10822" t="str">
        <f>HYPERLINK("https://us2.cloudbeds.com/connect/10074733072513#/reservations/31733962694813?display=Eric%20Chryst&amp;reservation_id=31733962694813&amp;guest_id=31728910303454", "Eric Chryst")</f>
        <v>Eric Chryst</v>
      </c>
      <c r="E10822" t="s">
        <v>9847</v>
      </c>
      <c r="F10822" t="s">
        <v>9848</v>
      </c>
      <c r="G10822">
        <v>252</v>
      </c>
      <c r="H10822">
        <v>273.93</v>
      </c>
      <c r="I10822">
        <v>273.92</v>
      </c>
      <c r="J10822">
        <v>0.01</v>
      </c>
    </row>
    <row r="10823" spans="1:10" x14ac:dyDescent="0.3">
      <c r="A10823" t="str">
        <f>HYPERLINK("https://us2.cloudbeds.com/connect/10074733072513#/reservations/31732821246157?display=MXJ44DP5U&amp;reservation_id=31732821246157", "MXJ44DP5U")</f>
        <v>MXJ44DP5U</v>
      </c>
      <c r="B10823" t="s">
        <v>10</v>
      </c>
      <c r="C10823" t="s">
        <v>20</v>
      </c>
      <c r="D10823" t="str">
        <f>HYPERLINK("https://us2.cloudbeds.com/connect/10074733072513#/reservations/31732821246157?display=Drew%20Planteen&amp;reservation_id=31732821246157&amp;guest_id=31732821246152", "Drew Planteen")</f>
        <v>Drew Planteen</v>
      </c>
      <c r="E10823" t="s">
        <v>9852</v>
      </c>
      <c r="F10823" t="s">
        <v>9511</v>
      </c>
      <c r="G10823">
        <v>189</v>
      </c>
      <c r="H10823">
        <v>205.45</v>
      </c>
      <c r="I10823">
        <v>205.44</v>
      </c>
      <c r="J10823">
        <v>0.01</v>
      </c>
    </row>
    <row r="10824" spans="1:10" x14ac:dyDescent="0.3">
      <c r="A10824" t="str">
        <f>HYPERLINK("https://us2.cloudbeds.com/connect/10074733072513#/reservations/31734970675413?display=MXKQ1SQDQ&amp;reservation_id=31734970675413", "MXKQ1SQDQ")</f>
        <v>MXKQ1SQDQ</v>
      </c>
      <c r="B10824" t="s">
        <v>10</v>
      </c>
      <c r="C10824" t="s">
        <v>42</v>
      </c>
      <c r="D10824" t="str">
        <f>HYPERLINK("https://us2.cloudbeds.com/connect/10074733072513#/reservations/31734970675413?display=Audrey%20Ewalt&amp;reservation_id=31734970675413&amp;guest_id=31727979208906", "Audrey Ewalt")</f>
        <v>Audrey Ewalt</v>
      </c>
      <c r="E10824" t="s">
        <v>9843</v>
      </c>
      <c r="F10824" t="s">
        <v>9707</v>
      </c>
      <c r="G10824">
        <v>353</v>
      </c>
      <c r="H10824">
        <v>383.72</v>
      </c>
      <c r="I10824">
        <v>383.71</v>
      </c>
      <c r="J10824">
        <v>0.01</v>
      </c>
    </row>
    <row r="10825" spans="1:10" x14ac:dyDescent="0.3">
      <c r="A10825" t="str">
        <f>HYPERLINK("https://us2.cloudbeds.com/connect/10074733072513#/reservations/31732378632410?display=MXXPR6CY4&amp;reservation_id=31732378632410", "MXXPR6CY4")</f>
        <v>MXXPR6CY4</v>
      </c>
      <c r="B10825" t="s">
        <v>10</v>
      </c>
      <c r="C10825" t="s">
        <v>20</v>
      </c>
      <c r="D10825" t="str">
        <f>HYPERLINK("https://us2.cloudbeds.com/connect/10074733072513#/reservations/31732378632410?display=Jay%20Wisneski&amp;reservation_id=31732378632410&amp;guest_id=31732366688394", "Jay Wisneski")</f>
        <v>Jay Wisneski</v>
      </c>
      <c r="E10825" t="s">
        <v>9856</v>
      </c>
      <c r="F10825" t="s">
        <v>9122</v>
      </c>
      <c r="G10825">
        <v>219</v>
      </c>
      <c r="H10825">
        <v>238.06</v>
      </c>
      <c r="I10825">
        <v>238.05</v>
      </c>
      <c r="J10825">
        <v>0.01</v>
      </c>
    </row>
    <row r="10826" spans="1:10" x14ac:dyDescent="0.3">
      <c r="A10826" t="str">
        <f>HYPERLINK("https://us2.cloudbeds.com/connect/10074733072513#/reservations/31735002161301?display=MXKQSDV2J&amp;reservation_id=31735002161301", "MXKQSDV2J")</f>
        <v>MXKQSDV2J</v>
      </c>
      <c r="B10826" t="s">
        <v>10</v>
      </c>
      <c r="C10826" t="s">
        <v>42</v>
      </c>
      <c r="D10826" t="str">
        <f>HYPERLINK("https://us2.cloudbeds.com/connect/10074733072513#/reservations/31735002161301?display=Russell%20Utesch&amp;reservation_id=31735002161301&amp;guest_id=31734992576643", "Russell Utesch")</f>
        <v>Russell Utesch</v>
      </c>
      <c r="E10826" t="s">
        <v>9857</v>
      </c>
      <c r="F10826" t="s">
        <v>9707</v>
      </c>
      <c r="G10826">
        <v>209</v>
      </c>
      <c r="H10826">
        <v>227.19</v>
      </c>
      <c r="I10826">
        <v>227.18</v>
      </c>
      <c r="J10826">
        <v>0.01</v>
      </c>
    </row>
    <row r="10827" spans="1:10" x14ac:dyDescent="0.3">
      <c r="A10827" t="str">
        <f>HYPERLINK("https://us2.cloudbeds.com/connect/10074733072513#/reservations/31733731459313?display=MXJRCUPUP&amp;reservation_id=31733731459313", "MXJRCUPUP")</f>
        <v>MXJRCUPUP</v>
      </c>
      <c r="B10827" t="s">
        <v>10</v>
      </c>
      <c r="C10827" t="s">
        <v>11</v>
      </c>
      <c r="D10827" t="str">
        <f>HYPERLINK("https://us2.cloudbeds.com/connect/10074733072513#/reservations/31733731459313?display=Patrick%20Baker&amp;reservation_id=31733731459313&amp;guest_id=31733721235605", "Patrick Baker")</f>
        <v>Patrick Baker</v>
      </c>
      <c r="E10827" t="s">
        <v>9858</v>
      </c>
      <c r="F10827" t="s">
        <v>9511</v>
      </c>
      <c r="G10827">
        <v>169</v>
      </c>
      <c r="H10827">
        <v>183.71</v>
      </c>
      <c r="I10827">
        <v>183.7</v>
      </c>
      <c r="J10827">
        <v>0.01</v>
      </c>
    </row>
    <row r="10828" spans="1:10" x14ac:dyDescent="0.3">
      <c r="A10828" t="str">
        <f>HYPERLINK("https://us2.cloudbeds.com/connect/10074733072513#/reservations/31730134380672?display=MXH1FPYNH&amp;reservation_id=31730134380672", "MXH1FPYNH")</f>
        <v>MXH1FPYNH</v>
      </c>
      <c r="B10828" t="s">
        <v>10</v>
      </c>
      <c r="C10828" t="s">
        <v>17</v>
      </c>
      <c r="D10828" t="str">
        <f>HYPERLINK("https://us2.cloudbeds.com/connect/10074733072513#/reservations/31730134380672?display=Sarabeth%20Furtado&amp;reservation_id=31730134380672&amp;guest_id=31730134376638", "Sarabeth Furtado")</f>
        <v>Sarabeth Furtado</v>
      </c>
      <c r="E10828" t="s">
        <v>9859</v>
      </c>
      <c r="F10828" t="s">
        <v>9277</v>
      </c>
      <c r="G10828">
        <v>129</v>
      </c>
      <c r="H10828">
        <v>140.22999999999999</v>
      </c>
      <c r="I10828">
        <v>140.22</v>
      </c>
      <c r="J10828">
        <v>0.01</v>
      </c>
    </row>
    <row r="10829" spans="1:10" x14ac:dyDescent="0.3">
      <c r="A10829" t="str">
        <f>HYPERLINK("https://us2.cloudbeds.com/connect/10074733072513#/reservations/31732888993968?display=MXJ5SHV6T&amp;reservation_id=31732888993968", "MXJ5SHV6T")</f>
        <v>MXJ5SHV6T</v>
      </c>
      <c r="B10829" t="s">
        <v>10</v>
      </c>
      <c r="C10829" t="s">
        <v>121</v>
      </c>
      <c r="D10829" t="str">
        <f>HYPERLINK("https://us2.cloudbeds.com/connect/10074733072513#/reservations/31732888993968?display=Dennis%20Buckridge&amp;reservation_id=31732888993968&amp;guest_id=31732876308695", "Dennis Buckridge")</f>
        <v>Dennis Buckridge</v>
      </c>
      <c r="E10829" t="s">
        <v>9860</v>
      </c>
      <c r="F10829" t="s">
        <v>9511</v>
      </c>
      <c r="G10829">
        <v>229</v>
      </c>
      <c r="H10829">
        <v>248.93</v>
      </c>
      <c r="I10829">
        <v>248.92</v>
      </c>
      <c r="J10829">
        <v>0.01</v>
      </c>
    </row>
    <row r="10830" spans="1:10" x14ac:dyDescent="0.3">
      <c r="A10830" t="str">
        <f>HYPERLINK("https://us2.cloudbeds.com/connect/10074733072513#/reservations/31725663064291?display=MXDJ7EQDU&amp;reservation_id=31725663064291", "MXDJ7EQDU")</f>
        <v>MXDJ7EQDU</v>
      </c>
      <c r="B10830" t="s">
        <v>10</v>
      </c>
      <c r="C10830" t="s">
        <v>17</v>
      </c>
      <c r="D10830" t="str">
        <f>HYPERLINK("https://us2.cloudbeds.com/connect/10074733072513#/reservations/31725663064291?display=Theresa%20Baxter&amp;reservation_id=31725663064291&amp;guest_id=31725663064280", "Theresa Baxter")</f>
        <v>Theresa Baxter</v>
      </c>
      <c r="E10830" t="s">
        <v>9862</v>
      </c>
      <c r="F10830" t="s">
        <v>9713</v>
      </c>
      <c r="G10830">
        <v>322.2</v>
      </c>
      <c r="H10830">
        <v>350.24</v>
      </c>
      <c r="I10830">
        <v>350.23</v>
      </c>
      <c r="J10830">
        <v>0.01</v>
      </c>
    </row>
    <row r="10831" spans="1:10" x14ac:dyDescent="0.3">
      <c r="A10831" t="str">
        <f>HYPERLINK("https://us2.cloudbeds.com/connect/10074733072513#/reservations/31735368556771?display=MXY37CECY&amp;reservation_id=31735368556771", "MXY37CECY")</f>
        <v>MXY37CECY</v>
      </c>
      <c r="B10831" t="s">
        <v>10</v>
      </c>
      <c r="C10831" t="s">
        <v>42</v>
      </c>
      <c r="D10831" t="str">
        <f>HYPERLINK("https://us2.cloudbeds.com/connect/10074733072513#/reservations/31735368556771?display=Christina%20Harwood&amp;reservation_id=31735368556771&amp;guest_id=31686241714369", "Christina Harwood")</f>
        <v>Christina Harwood</v>
      </c>
      <c r="E10831" t="s">
        <v>9863</v>
      </c>
      <c r="F10831" t="s">
        <v>9848</v>
      </c>
      <c r="G10831">
        <v>169</v>
      </c>
      <c r="H10831">
        <v>183.71</v>
      </c>
      <c r="I10831">
        <v>183.7</v>
      </c>
      <c r="J10831">
        <v>0.01</v>
      </c>
    </row>
    <row r="10832" spans="1:10" x14ac:dyDescent="0.3">
      <c r="A10832" t="str">
        <f>HYPERLINK("https://us2.cloudbeds.com/connect/10074733072513#/reservations/31734921793691?display=MXKZQYJKG&amp;reservation_id=31734921793691", "MXKZQYJKG")</f>
        <v>MXKZQYJKG</v>
      </c>
      <c r="B10832" t="s">
        <v>10</v>
      </c>
      <c r="C10832" t="s">
        <v>42</v>
      </c>
      <c r="D10832" t="str">
        <f>HYPERLINK("https://us2.cloudbeds.com/connect/10074733072513#/reservations/31734921793691?display=Susan%20Knappenberger&amp;reservation_id=31734921793691&amp;guest_id=31734921793688", "Susan Knappenberger")</f>
        <v>Susan Knappenberger</v>
      </c>
      <c r="E10832" t="s">
        <v>9864</v>
      </c>
      <c r="F10832" t="s">
        <v>9511</v>
      </c>
      <c r="G10832">
        <v>189</v>
      </c>
      <c r="H10832">
        <v>205.45</v>
      </c>
      <c r="I10832">
        <v>205.44</v>
      </c>
      <c r="J10832">
        <v>0.01</v>
      </c>
    </row>
    <row r="10833" spans="1:10" x14ac:dyDescent="0.3">
      <c r="A10833" t="str">
        <f>HYPERLINK("https://us2.cloudbeds.com/connect/10074733072513#/reservations/31733703311584?display=MXJQM6HK9&amp;reservation_id=31733703311584", "MXJQM6HK9")</f>
        <v>MXJQM6HK9</v>
      </c>
      <c r="B10833" t="s">
        <v>10</v>
      </c>
      <c r="C10833" t="s">
        <v>23</v>
      </c>
      <c r="D10833" t="str">
        <f>HYPERLINK("https://us2.cloudbeds.com/connect/10074733072513#/reservations/31733703311584?display=Steven%20Heller&amp;reservation_id=31733703311584&amp;guest_id=31733703307493", "Steven Heller")</f>
        <v>Steven Heller</v>
      </c>
      <c r="E10833" t="s">
        <v>9865</v>
      </c>
      <c r="F10833" t="s">
        <v>9511</v>
      </c>
      <c r="G10833">
        <v>199</v>
      </c>
      <c r="H10833">
        <v>216.32</v>
      </c>
      <c r="I10833">
        <v>216.31</v>
      </c>
      <c r="J10833">
        <v>0.01</v>
      </c>
    </row>
    <row r="10834" spans="1:10" x14ac:dyDescent="0.3">
      <c r="A10834" t="str">
        <f>HYPERLINK("https://us2.cloudbeds.com/connect/10074733072513#/reservations/31732066934935?display=MXXHSBV23&amp;reservation_id=31732066934935", "MXXHSBV23")</f>
        <v>MXXHSBV23</v>
      </c>
      <c r="B10834" t="s">
        <v>10</v>
      </c>
      <c r="C10834" t="s">
        <v>42</v>
      </c>
      <c r="D10834" t="str">
        <f>HYPERLINK("https://us2.cloudbeds.com/connect/10074733072513#/reservations/31732066934935?display=Carla%20Hinners&amp;reservation_id=31732066934935&amp;guest_id=30673969996006", "Carla Hinners")</f>
        <v>Carla Hinners</v>
      </c>
      <c r="E10834" t="s">
        <v>1438</v>
      </c>
      <c r="F10834" t="s">
        <v>9089</v>
      </c>
      <c r="G10834">
        <v>250</v>
      </c>
      <c r="H10834">
        <v>271.76</v>
      </c>
      <c r="I10834">
        <v>271.75</v>
      </c>
      <c r="J10834">
        <v>0.01</v>
      </c>
    </row>
    <row r="10835" spans="1:10" x14ac:dyDescent="0.3">
      <c r="A10835" t="str">
        <f>HYPERLINK("https://us2.cloudbeds.com/connect/10074733072513#/reservations/31730080612570?display=MXH03EJJ9&amp;reservation_id=31730080612570", "MXH03EJJ9")</f>
        <v>MXH03EJJ9</v>
      </c>
      <c r="B10835" t="s">
        <v>10</v>
      </c>
      <c r="C10835" t="s">
        <v>42</v>
      </c>
      <c r="D10835" t="str">
        <f>HYPERLINK("https://us2.cloudbeds.com/connect/10074733072513#/reservations/31730080612570?display=Shane%20Zoccole&amp;reservation_id=31730080612570&amp;guest_id=31730080612568", "Shane Zoccole")</f>
        <v>Shane Zoccole</v>
      </c>
      <c r="E10835" t="s">
        <v>9866</v>
      </c>
      <c r="F10835" t="s">
        <v>9277</v>
      </c>
      <c r="G10835">
        <v>418</v>
      </c>
      <c r="H10835">
        <v>454.38</v>
      </c>
      <c r="I10835">
        <v>454.37</v>
      </c>
      <c r="J10835">
        <v>0.01</v>
      </c>
    </row>
    <row r="10836" spans="1:10" x14ac:dyDescent="0.3">
      <c r="A10836" t="str">
        <f>HYPERLINK("https://us2.cloudbeds.com/connect/10074733072513#/reservations/31731099586804?display=MXHQ4M1PB&amp;reservation_id=31731099586804", "MXHQ4M1PB")</f>
        <v>MXHQ4M1PB</v>
      </c>
      <c r="B10836" t="s">
        <v>10</v>
      </c>
      <c r="C10836" t="s">
        <v>11</v>
      </c>
      <c r="D10836" t="str">
        <f>HYPERLINK("https://us2.cloudbeds.com/connect/10074733072513#/reservations/31731099586804?display=Jackie%20Dale&amp;reservation_id=31731099586804&amp;guest_id=31731090198683", "Jackie Dale")</f>
        <v>Jackie Dale</v>
      </c>
      <c r="E10836" t="s">
        <v>9870</v>
      </c>
      <c r="F10836" t="s">
        <v>9810</v>
      </c>
      <c r="G10836">
        <v>110.86</v>
      </c>
      <c r="H10836">
        <v>120.51</v>
      </c>
      <c r="I10836">
        <v>120.5</v>
      </c>
      <c r="J10836">
        <v>0.01</v>
      </c>
    </row>
    <row r="10837" spans="1:10" x14ac:dyDescent="0.3">
      <c r="A10837" t="str">
        <f>HYPERLINK("https://us2.cloudbeds.com/connect/10074733072513#/reservations/31713393156319?display=MX42N4H9R&amp;reservation_id=31713393156319", "MX42N4H9R")</f>
        <v>MX42N4H9R</v>
      </c>
      <c r="B10837" t="s">
        <v>10</v>
      </c>
      <c r="C10837" t="s">
        <v>42</v>
      </c>
      <c r="D10837" t="str">
        <f>HYPERLINK("https://us2.cloudbeds.com/connect/10074733072513#/reservations/31713393156319?display=Shelby%20Buller&amp;reservation_id=31713393156319&amp;guest_id=31713393156314", "Shelby Buller")</f>
        <v>Shelby Buller</v>
      </c>
      <c r="E10837" t="s">
        <v>9871</v>
      </c>
      <c r="F10837" t="s">
        <v>9834</v>
      </c>
      <c r="G10837">
        <v>318</v>
      </c>
      <c r="H10837">
        <v>345.68</v>
      </c>
      <c r="I10837">
        <v>345.67</v>
      </c>
      <c r="J10837">
        <v>0.01</v>
      </c>
    </row>
    <row r="10838" spans="1:10" x14ac:dyDescent="0.3">
      <c r="A10838" t="str">
        <f>HYPERLINK("https://us2.cloudbeds.com/connect/10074733072513#/reservations/31730161946802?display=MXH260RYW&amp;reservation_id=31730161946802", "MXH260RYW")</f>
        <v>MXH260RYW</v>
      </c>
      <c r="B10838" t="s">
        <v>10</v>
      </c>
      <c r="C10838" t="s">
        <v>42</v>
      </c>
      <c r="D10838" t="str">
        <f>HYPERLINK("https://us2.cloudbeds.com/connect/10074733072513#/reservations/31730161946802?display=Ward%20Denning&amp;reservation_id=31730161946802&amp;guest_id=31730161946799", "Ward Denning")</f>
        <v>Ward Denning</v>
      </c>
      <c r="E10838" t="s">
        <v>9872</v>
      </c>
      <c r="F10838" t="s">
        <v>9277</v>
      </c>
      <c r="G10838">
        <v>129</v>
      </c>
      <c r="H10838">
        <v>140.22999999999999</v>
      </c>
      <c r="I10838">
        <v>140.22</v>
      </c>
      <c r="J10838">
        <v>0.01</v>
      </c>
    </row>
    <row r="10839" spans="1:10" x14ac:dyDescent="0.3">
      <c r="A10839" t="str">
        <f>HYPERLINK("https://us2.cloudbeds.com/connect/10074733072513#/reservations/31731208675535?display=MXHSUYK2G&amp;reservation_id=31731208675535", "MXHSUYK2G")</f>
        <v>MXHSUYK2G</v>
      </c>
      <c r="B10839" t="s">
        <v>10</v>
      </c>
      <c r="C10839" t="s">
        <v>23</v>
      </c>
      <c r="D10839" t="str">
        <f>HYPERLINK("https://us2.cloudbeds.com/connect/10074733072513#/reservations/31731208675535?display=Kerri%20Wilson&amp;reservation_id=31731208675535&amp;guest_id=31731208671455", "Kerri Wilson")</f>
        <v>Kerri Wilson</v>
      </c>
      <c r="E10839" t="s">
        <v>9873</v>
      </c>
      <c r="F10839" t="s">
        <v>9277</v>
      </c>
      <c r="G10839">
        <v>139</v>
      </c>
      <c r="H10839">
        <v>151.1</v>
      </c>
      <c r="I10839">
        <v>151.09</v>
      </c>
      <c r="J10839">
        <v>0.01</v>
      </c>
    </row>
    <row r="10840" spans="1:10" x14ac:dyDescent="0.3">
      <c r="A10840" t="str">
        <f>HYPERLINK("https://us2.cloudbeds.com/connect/10074733072513#/reservations/31724006977763?display=MXC9TWZQM&amp;reservation_id=31724006977763", "MXC9TWZQM")</f>
        <v>MXC9TWZQM</v>
      </c>
      <c r="B10840" t="s">
        <v>10</v>
      </c>
      <c r="C10840" t="s">
        <v>20</v>
      </c>
      <c r="D10840" t="str">
        <f>HYPERLINK("https://us2.cloudbeds.com/connect/10074733072513#/reservations/31724006977763?display=Jesica%20Wharton&amp;reservation_id=31724006977763&amp;guest_id=31724006977752", "Jesica Wharton")</f>
        <v>Jesica Wharton</v>
      </c>
      <c r="E10840" t="s">
        <v>9874</v>
      </c>
      <c r="F10840" t="s">
        <v>9561</v>
      </c>
      <c r="G10840">
        <v>239</v>
      </c>
      <c r="H10840">
        <v>259.8</v>
      </c>
      <c r="I10840">
        <v>259.79000000000002</v>
      </c>
      <c r="J10840">
        <v>0.01</v>
      </c>
    </row>
    <row r="10841" spans="1:10" x14ac:dyDescent="0.3">
      <c r="A10841" t="str">
        <f>HYPERLINK("https://us2.cloudbeds.com/connect/10074733072513#/reservations/31734938226867?display=MXKP7GSPH&amp;reservation_id=31734938226867", "MXKP7GSPH")</f>
        <v>MXKP7GSPH</v>
      </c>
      <c r="B10841" t="s">
        <v>10</v>
      </c>
      <c r="C10841" t="s">
        <v>20</v>
      </c>
      <c r="D10841" t="str">
        <f>HYPERLINK("https://us2.cloudbeds.com/connect/10074733072513#/reservations/31734938226867?display=Alecia%20Amezcua&amp;reservation_id=31734938226867&amp;guest_id=31734921793689", "Alecia Amezcua")</f>
        <v>Alecia Amezcua</v>
      </c>
      <c r="E10841" t="s">
        <v>9875</v>
      </c>
      <c r="F10841" t="s">
        <v>9707</v>
      </c>
      <c r="G10841">
        <v>378</v>
      </c>
      <c r="H10841">
        <v>410.9</v>
      </c>
      <c r="I10841">
        <v>410.89</v>
      </c>
      <c r="J10841">
        <v>0.01</v>
      </c>
    </row>
    <row r="10842" spans="1:10" x14ac:dyDescent="0.3">
      <c r="A10842" t="str">
        <f>HYPERLINK("https://us2.cloudbeds.com/connect/10074733072513#/reservations/31731532927189?display=MXX472CR6&amp;reservation_id=31731532927189", "MXX472CR6")</f>
        <v>MXX472CR6</v>
      </c>
      <c r="B10842" t="s">
        <v>10</v>
      </c>
      <c r="C10842" t="s">
        <v>121</v>
      </c>
      <c r="D10842" t="str">
        <f>HYPERLINK("https://us2.cloudbeds.com/connect/10074733072513#/reservations/31731532927189?display=Catherine%20Beck&amp;reservation_id=31731532927189&amp;guest_id=31731532927173", "Catherine Beck")</f>
        <v>Catherine Beck</v>
      </c>
      <c r="E10842" t="s">
        <v>9876</v>
      </c>
      <c r="F10842" t="s">
        <v>9089</v>
      </c>
      <c r="G10842">
        <v>273</v>
      </c>
      <c r="H10842">
        <v>296.76</v>
      </c>
      <c r="I10842">
        <v>296.75</v>
      </c>
      <c r="J10842">
        <v>0.01</v>
      </c>
    </row>
    <row r="10843" spans="1:10" x14ac:dyDescent="0.3">
      <c r="A10843" t="str">
        <f>HYPERLINK("https://us2.cloudbeds.com/connect/10074733072513#/reservations/31730858045639?display=MXHJVWQT4&amp;reservation_id=31730858045639", "MXHJVWQT4")</f>
        <v>MXHJVWQT4</v>
      </c>
      <c r="B10843" t="s">
        <v>10</v>
      </c>
      <c r="C10843" t="s">
        <v>42</v>
      </c>
      <c r="D10843" t="str">
        <f>HYPERLINK("https://us2.cloudbeds.com/connect/10074733072513#/reservations/31730858045639?display=Craig%20Ahachich&amp;reservation_id=31730858045639&amp;guest_id=31730858041541", "Craig Ahachich")</f>
        <v>Craig Ahachich</v>
      </c>
      <c r="E10843" t="s">
        <v>8064</v>
      </c>
      <c r="F10843" t="s">
        <v>9822</v>
      </c>
      <c r="G10843">
        <v>705</v>
      </c>
      <c r="H10843">
        <v>766.35</v>
      </c>
      <c r="I10843">
        <v>766.34</v>
      </c>
      <c r="J10843">
        <v>0.01</v>
      </c>
    </row>
    <row r="10844" spans="1:10" x14ac:dyDescent="0.3">
      <c r="A10844" t="str">
        <f>HYPERLINK("https://us2.cloudbeds.com/connect/10074733072513#/reservations/31730580951257?display=MXHCTB8DM&amp;reservation_id=31730580951257", "MXHCTB8DM")</f>
        <v>MXHCTB8DM</v>
      </c>
      <c r="B10844" t="s">
        <v>10</v>
      </c>
      <c r="C10844" t="s">
        <v>14</v>
      </c>
      <c r="D10844" t="str">
        <f>HYPERLINK("https://us2.cloudbeds.com/connect/10074733072513#/reservations/31730580951257?display=Lorna%20Mcneill&amp;reservation_id=31730580951257&amp;guest_id=31730570989708", "Lorna Mcneill")</f>
        <v>Lorna Mcneill</v>
      </c>
      <c r="E10844" t="s">
        <v>9879</v>
      </c>
      <c r="F10844" t="s">
        <v>9487</v>
      </c>
      <c r="G10844">
        <v>129</v>
      </c>
      <c r="H10844">
        <v>140.22999999999999</v>
      </c>
      <c r="I10844">
        <v>140.22</v>
      </c>
      <c r="J10844">
        <v>0.01</v>
      </c>
    </row>
    <row r="10845" spans="1:10" x14ac:dyDescent="0.3">
      <c r="A10845" t="str">
        <f>HYPERLINK("https://us2.cloudbeds.com/connect/10074733072513#/reservations/31730003161228?display=MXGV44D1U&amp;reservation_id=31730003161228", "MXGV44D1U")</f>
        <v>MXGV44D1U</v>
      </c>
      <c r="B10845" t="s">
        <v>10</v>
      </c>
      <c r="C10845" t="s">
        <v>42</v>
      </c>
      <c r="D10845" t="str">
        <f>HYPERLINK("https://us2.cloudbeds.com/connect/10074733072513#/reservations/31730003161228?display=Nick%20Sherman&amp;reservation_id=31730003161228&amp;guest_id=31728017821824", "Nick Sherman")</f>
        <v>Nick Sherman</v>
      </c>
      <c r="E10845" t="s">
        <v>9425</v>
      </c>
      <c r="F10845" t="s">
        <v>9247</v>
      </c>
      <c r="G10845">
        <v>336</v>
      </c>
      <c r="H10845">
        <v>365.24</v>
      </c>
      <c r="I10845">
        <v>365.23</v>
      </c>
      <c r="J10845">
        <v>0.01</v>
      </c>
    </row>
    <row r="10846" spans="1:10" x14ac:dyDescent="0.3">
      <c r="A10846" t="str">
        <f>HYPERLINK("https://us2.cloudbeds.com/connect/10074733072513#/reservations/31728446075078?display=MXFZB55T4&amp;reservation_id=31728446075078", "MXFZB55T4")</f>
        <v>MXFZB55T4</v>
      </c>
      <c r="B10846" t="s">
        <v>10</v>
      </c>
      <c r="C10846" t="s">
        <v>42</v>
      </c>
      <c r="D10846" t="str">
        <f>HYPERLINK("https://us2.cloudbeds.com/connect/10074733072513#/reservations/31728446075078?display=Becky%20Kotzer&amp;reservation_id=31728446075078&amp;guest_id=31728446075076", "Becky Kotzer")</f>
        <v>Becky Kotzer</v>
      </c>
      <c r="E10846" t="s">
        <v>9880</v>
      </c>
      <c r="F10846" t="s">
        <v>9235</v>
      </c>
      <c r="G10846">
        <v>378</v>
      </c>
      <c r="H10846">
        <v>410.9</v>
      </c>
      <c r="I10846">
        <v>410.89</v>
      </c>
      <c r="J10846">
        <v>0.01</v>
      </c>
    </row>
    <row r="10847" spans="1:10" x14ac:dyDescent="0.3">
      <c r="A10847" t="str">
        <f>HYPERLINK("https://us2.cloudbeds.com/connect/10074733072513#/reservations/31728484806851?display=MXFPAQV87&amp;reservation_id=31728484806851", "MXFPAQV87")</f>
        <v>MXFPAQV87</v>
      </c>
      <c r="B10847" t="s">
        <v>10</v>
      </c>
      <c r="C10847" t="s">
        <v>11</v>
      </c>
      <c r="D10847" t="str">
        <f>HYPERLINK("https://us2.cloudbeds.com/connect/10074733072513#/reservations/31728484806851?display=Chuck%20Keiser&amp;reservation_id=31728484806851&amp;guest_id=31728476033256", "Chuck Keiser")</f>
        <v>Chuck Keiser</v>
      </c>
      <c r="E10847" t="s">
        <v>9881</v>
      </c>
      <c r="F10847" t="s">
        <v>9235</v>
      </c>
      <c r="G10847">
        <v>293.72000000000003</v>
      </c>
      <c r="H10847">
        <v>319.27999999999997</v>
      </c>
      <c r="I10847">
        <v>319.27</v>
      </c>
      <c r="J10847">
        <v>0.01</v>
      </c>
    </row>
    <row r="10848" spans="1:10" x14ac:dyDescent="0.3">
      <c r="A10848" t="str">
        <f>HYPERLINK("https://us2.cloudbeds.com/connect/10074733072513#/reservations/31732525568136?display=MXXTJ32RT&amp;reservation_id=31732525568136", "MXXTJ32RT")</f>
        <v>MXXTJ32RT</v>
      </c>
      <c r="B10848" t="s">
        <v>10</v>
      </c>
      <c r="C10848" t="s">
        <v>20</v>
      </c>
      <c r="D10848" t="str">
        <f>HYPERLINK("https://us2.cloudbeds.com/connect/10074733072513#/reservations/31732525568136?display=Kayla%20Krause&amp;reservation_id=31732525568136&amp;guest_id=31732525564085", "Kayla Krause")</f>
        <v>Kayla Krause</v>
      </c>
      <c r="E10848" t="s">
        <v>9882</v>
      </c>
      <c r="F10848" t="s">
        <v>9235</v>
      </c>
      <c r="G10848">
        <v>378</v>
      </c>
      <c r="H10848">
        <v>410.9</v>
      </c>
      <c r="I10848">
        <v>410.89</v>
      </c>
      <c r="J10848">
        <v>0.01</v>
      </c>
    </row>
    <row r="10849" spans="1:10" x14ac:dyDescent="0.3">
      <c r="A10849" t="str">
        <f>HYPERLINK("https://us2.cloudbeds.com/connect/10074733072513#/reservations/31732030046422?display=MXXGU8FAC&amp;reservation_id=31732030046422", "MXXGU8FAC")</f>
        <v>MXXGU8FAC</v>
      </c>
      <c r="B10849" t="s">
        <v>10</v>
      </c>
      <c r="C10849" t="s">
        <v>42</v>
      </c>
      <c r="D10849" t="str">
        <f>HYPERLINK("https://us2.cloudbeds.com/connect/10074733072513#/reservations/31732030046422?display=Cobren%20Bird&amp;reservation_id=31732030046422&amp;guest_id=31731532927187", "Cobren Bird")</f>
        <v>Cobren Bird</v>
      </c>
      <c r="E10849" t="s">
        <v>7109</v>
      </c>
      <c r="F10849" t="s">
        <v>9089</v>
      </c>
      <c r="G10849">
        <v>73</v>
      </c>
      <c r="H10849">
        <v>79.36</v>
      </c>
      <c r="I10849">
        <v>79.349999999999994</v>
      </c>
      <c r="J10849">
        <v>0.01</v>
      </c>
    </row>
    <row r="10850" spans="1:10" x14ac:dyDescent="0.3">
      <c r="A10850" t="str">
        <f>HYPERLINK("https://us2.cloudbeds.com/connect/10074733072513#/reservations/31731203371200?display=MXHS0WPE7&amp;reservation_id=31731203371200", "MXHS0WPE7")</f>
        <v>MXHS0WPE7</v>
      </c>
      <c r="B10850" t="s">
        <v>10</v>
      </c>
      <c r="C10850" t="s">
        <v>11</v>
      </c>
      <c r="D10850" t="str">
        <f>HYPERLINK("https://us2.cloudbeds.com/connect/10074733072513#/reservations/31731203371200?display=Christopher%20Yunker&amp;reservation_id=31731203371200&amp;guest_id=31731173499041", "Christopher Yunker")</f>
        <v>Christopher Yunker</v>
      </c>
      <c r="E10850" t="s">
        <v>9883</v>
      </c>
      <c r="F10850" t="s">
        <v>9810</v>
      </c>
      <c r="G10850">
        <v>221.72</v>
      </c>
      <c r="H10850">
        <v>241.02</v>
      </c>
      <c r="I10850">
        <v>241.01</v>
      </c>
      <c r="J10850">
        <v>0.01</v>
      </c>
    </row>
    <row r="10851" spans="1:10" x14ac:dyDescent="0.3">
      <c r="A10851" t="str">
        <f>HYPERLINK("https://us2.cloudbeds.com/connect/10074733072513#/reservations/31730144522454?display=MXH1ZAWBE&amp;reservation_id=31730144522454", "MXH1ZAWBE")</f>
        <v>MXH1ZAWBE</v>
      </c>
      <c r="B10851" t="s">
        <v>10</v>
      </c>
      <c r="C10851" t="s">
        <v>23</v>
      </c>
      <c r="D10851" t="str">
        <f>HYPERLINK("https://us2.cloudbeds.com/connect/10074733072513#/reservations/31730144522454?display=Clayton%20Caudill&amp;reservation_id=31730144522454&amp;guest_id=31730144522452", "Clayton Caudill")</f>
        <v>Clayton Caudill</v>
      </c>
      <c r="E10851" t="s">
        <v>9884</v>
      </c>
      <c r="F10851" t="s">
        <v>9277</v>
      </c>
      <c r="G10851">
        <v>129</v>
      </c>
      <c r="H10851">
        <v>140.22999999999999</v>
      </c>
      <c r="I10851">
        <v>140.22</v>
      </c>
      <c r="J10851">
        <v>0.01</v>
      </c>
    </row>
    <row r="10852" spans="1:10" x14ac:dyDescent="0.3">
      <c r="A10852" t="str">
        <f>HYPERLINK("https://us2.cloudbeds.com/connect/10074733072513#/reservations/31729335845082?display=MXGE2EB7H&amp;reservation_id=31729335845082", "MXGE2EB7H")</f>
        <v>MXGE2EB7H</v>
      </c>
      <c r="B10852" t="s">
        <v>10</v>
      </c>
      <c r="C10852" t="s">
        <v>42</v>
      </c>
      <c r="D10852" t="str">
        <f>HYPERLINK("https://us2.cloudbeds.com/connect/10074733072513#/reservations/31729335845082?display=Dave%20Ellison&amp;reservation_id=31729335845082&amp;guest_id=31729335845080", "Dave Ellison")</f>
        <v>Dave Ellison</v>
      </c>
      <c r="E10852" t="s">
        <v>9885</v>
      </c>
      <c r="F10852" t="s">
        <v>9235</v>
      </c>
      <c r="G10852">
        <v>378</v>
      </c>
      <c r="H10852">
        <v>410.9</v>
      </c>
      <c r="I10852">
        <v>410.89</v>
      </c>
      <c r="J10852">
        <v>0.01</v>
      </c>
    </row>
    <row r="10853" spans="1:10" x14ac:dyDescent="0.3">
      <c r="A10853" t="str">
        <f>HYPERLINK("https://us2.cloudbeds.com/connect/10074733072513#/reservations/31734015582353?display=MXK1YGUKS&amp;reservation_id=31734015582353", "MXK1YGUKS")</f>
        <v>MXK1YGUKS</v>
      </c>
      <c r="B10853" t="s">
        <v>10</v>
      </c>
      <c r="C10853" t="s">
        <v>20</v>
      </c>
      <c r="D10853" t="str">
        <f>HYPERLINK("https://us2.cloudbeds.com/connect/10074733072513#/reservations/31734015582353?display=Thomas%20Grimm&amp;reservation_id=31734015582353&amp;guest_id=31734004998337", "Thomas Grimm")</f>
        <v>Thomas Grimm</v>
      </c>
      <c r="E10853" t="s">
        <v>9888</v>
      </c>
      <c r="F10853" t="s">
        <v>9848</v>
      </c>
      <c r="G10853">
        <v>169</v>
      </c>
      <c r="H10853">
        <v>183.71</v>
      </c>
      <c r="I10853">
        <v>183.7</v>
      </c>
      <c r="J10853">
        <v>0.01</v>
      </c>
    </row>
    <row r="10854" spans="1:10" x14ac:dyDescent="0.3">
      <c r="A10854" t="str">
        <f>HYPERLINK("https://us2.cloudbeds.com/connect/10074733072513#/reservations/31731486560392?display=MXX30W5DZ&amp;reservation_id=31731486560392", "MXX30W5DZ")</f>
        <v>MXX30W5DZ</v>
      </c>
      <c r="B10854" t="s">
        <v>10</v>
      </c>
      <c r="C10854" t="s">
        <v>20</v>
      </c>
      <c r="D10854" t="str">
        <f>HYPERLINK("https://us2.cloudbeds.com/connect/10074733072513#/reservations/31731486560392?display=Jessiray%20Flores&amp;reservation_id=31731486560392&amp;guest_id=31731486556298", "Jessiray Flores")</f>
        <v>Jessiray Flores</v>
      </c>
      <c r="E10854" t="s">
        <v>9890</v>
      </c>
      <c r="F10854" t="s">
        <v>9379</v>
      </c>
      <c r="G10854">
        <v>156.6</v>
      </c>
      <c r="H10854">
        <v>170.23</v>
      </c>
      <c r="I10854">
        <v>170.22</v>
      </c>
      <c r="J10854">
        <v>0.01</v>
      </c>
    </row>
    <row r="10855" spans="1:10" x14ac:dyDescent="0.3">
      <c r="A10855" t="str">
        <f>HYPERLINK("https://us2.cloudbeds.com/connect/10074733072513#/reservations/31729019043969?display=MXG5W9T3Q&amp;reservation_id=31729019043969", "MXG5W9T3Q")</f>
        <v>MXG5W9T3Q</v>
      </c>
      <c r="B10855" t="s">
        <v>10</v>
      </c>
      <c r="C10855" t="s">
        <v>23</v>
      </c>
      <c r="D10855" t="str">
        <f>HYPERLINK("https://us2.cloudbeds.com/connect/10074733072513#/reservations/31729019043969?display=Tony%20Ray%20Young&amp;reservation_id=31729019043969&amp;guest_id=31729019039878", "Tony Ray Young")</f>
        <v>Tony Ray Young</v>
      </c>
      <c r="E10855" t="s">
        <v>9891</v>
      </c>
      <c r="F10855" t="s">
        <v>9892</v>
      </c>
      <c r="G10855">
        <v>129</v>
      </c>
      <c r="H10855">
        <v>140.22999999999999</v>
      </c>
      <c r="I10855">
        <v>140.22</v>
      </c>
      <c r="J10855">
        <v>0.01</v>
      </c>
    </row>
    <row r="10856" spans="1:10" x14ac:dyDescent="0.3">
      <c r="A10856" t="str">
        <f>HYPERLINK("https://us2.cloudbeds.com/connect/10074733072513#/reservations/31729725661322?display=MXGZ14X6S&amp;reservation_id=31729725661322", "MXGZ14X6S")</f>
        <v>MXGZ14X6S</v>
      </c>
      <c r="B10856" t="s">
        <v>10</v>
      </c>
      <c r="C10856" t="s">
        <v>42</v>
      </c>
      <c r="D10856" t="str">
        <f>HYPERLINK("https://us2.cloudbeds.com/connect/10074733072513#/reservations/31729725661322?display=Paul%20Stevenson&amp;reservation_id=31729725661322&amp;guest_id=31674849677472", "Paul Stevenson")</f>
        <v>Paul Stevenson</v>
      </c>
      <c r="E10856" t="s">
        <v>6445</v>
      </c>
      <c r="F10856" t="s">
        <v>7468</v>
      </c>
      <c r="G10856">
        <v>89</v>
      </c>
      <c r="H10856">
        <v>96.75</v>
      </c>
      <c r="I10856">
        <v>96.74</v>
      </c>
      <c r="J10856">
        <v>0.01</v>
      </c>
    </row>
    <row r="10857" spans="1:10" x14ac:dyDescent="0.3">
      <c r="A10857" t="str">
        <f>HYPERLINK("https://us2.cloudbeds.com/connect/10074733072513#/reservations/31731370356940?display=MXX01WKS0&amp;reservation_id=31731370356940", "MXX01WKS0")</f>
        <v>MXX01WKS0</v>
      </c>
      <c r="B10857" t="s">
        <v>10</v>
      </c>
      <c r="C10857" t="s">
        <v>20</v>
      </c>
      <c r="D10857" t="str">
        <f>HYPERLINK("https://us2.cloudbeds.com/connect/10074733072513#/reservations/31731370356940?display=Heather%20Winfield&amp;reservation_id=31731370356940&amp;guest_id=31731370352845", "Heather Winfield")</f>
        <v>Heather Winfield</v>
      </c>
      <c r="E10857" t="s">
        <v>9894</v>
      </c>
      <c r="F10857" t="s">
        <v>9817</v>
      </c>
      <c r="G10857">
        <v>189</v>
      </c>
      <c r="H10857">
        <v>205.45</v>
      </c>
      <c r="I10857">
        <v>205.44</v>
      </c>
      <c r="J10857">
        <v>0.01</v>
      </c>
    </row>
    <row r="10858" spans="1:10" x14ac:dyDescent="0.3">
      <c r="A10858" t="str">
        <f>HYPERLINK("https://us2.cloudbeds.com/connect/10074733072513#/reservations/31735293288659?display=MXY19TWYP&amp;reservation_id=31735293288659", "MXY19TWYP")</f>
        <v>MXY19TWYP</v>
      </c>
      <c r="B10858" t="s">
        <v>10</v>
      </c>
      <c r="C10858" t="s">
        <v>42</v>
      </c>
      <c r="D10858" t="str">
        <f>HYPERLINK("https://us2.cloudbeds.com/connect/10074733072513#/reservations/31735293288659?display=Robert%20Lammers&amp;reservation_id=31735293288659&amp;guest_id=31735293288657", "Robert Lammers")</f>
        <v>Robert Lammers</v>
      </c>
      <c r="E10858" t="s">
        <v>9895</v>
      </c>
      <c r="F10858" t="s">
        <v>9848</v>
      </c>
      <c r="G10858">
        <v>313</v>
      </c>
      <c r="H10858">
        <v>340.24</v>
      </c>
      <c r="I10858">
        <v>340.23</v>
      </c>
      <c r="J10858">
        <v>0.01</v>
      </c>
    </row>
    <row r="10859" spans="1:10" x14ac:dyDescent="0.3">
      <c r="A10859" t="str">
        <f>HYPERLINK("https://us2.cloudbeds.com/connect/10074733072513#/reservations/31735290712299?display=MXY17Z9S8&amp;reservation_id=31735290712299", "MXY17Z9S8")</f>
        <v>MXY17Z9S8</v>
      </c>
      <c r="B10859" t="s">
        <v>10</v>
      </c>
      <c r="C10859" t="s">
        <v>42</v>
      </c>
      <c r="D10859" t="str">
        <f>HYPERLINK("https://us2.cloudbeds.com/connect/10074733072513#/reservations/31735290712299?display=Joe%20Leist&amp;reservation_id=31735290712299&amp;guest_id=31735279980699", "Joe Leist")</f>
        <v>Joe Leist</v>
      </c>
      <c r="E10859" t="s">
        <v>9896</v>
      </c>
      <c r="F10859" t="s">
        <v>9848</v>
      </c>
      <c r="G10859">
        <v>313</v>
      </c>
      <c r="H10859">
        <v>340.24</v>
      </c>
      <c r="I10859">
        <v>340.23</v>
      </c>
      <c r="J10859">
        <v>0.01</v>
      </c>
    </row>
    <row r="10860" spans="1:10" x14ac:dyDescent="0.3">
      <c r="A10860" t="str">
        <f>HYPERLINK("https://us2.cloudbeds.com/connect/10074733072513#/reservations/31728236835002?display=MXFXWNP7P&amp;reservation_id=31728236835002", "MXFXWNP7P")</f>
        <v>MXFXWNP7P</v>
      </c>
      <c r="B10860" t="s">
        <v>10</v>
      </c>
      <c r="C10860" t="s">
        <v>42</v>
      </c>
      <c r="D10860" t="str">
        <f>HYPERLINK("https://us2.cloudbeds.com/connect/10074733072513#/reservations/31728236835002?display=Brenda%20Englund&amp;reservation_id=31728236835002&amp;guest_id=31728236834998", "Brenda Englund")</f>
        <v>Brenda Englund</v>
      </c>
      <c r="E10860" t="s">
        <v>9899</v>
      </c>
      <c r="F10860" t="s">
        <v>9235</v>
      </c>
      <c r="G10860">
        <v>378</v>
      </c>
      <c r="H10860">
        <v>410.9</v>
      </c>
      <c r="I10860">
        <v>410.89</v>
      </c>
      <c r="J10860">
        <v>0.01</v>
      </c>
    </row>
    <row r="10861" spans="1:10" x14ac:dyDescent="0.3">
      <c r="A10861" t="str">
        <f>HYPERLINK("https://us2.cloudbeds.com/connect/10074733072513#/reservations/31730984870042?display=MXHN6UTCS&amp;reservation_id=31730984870042", "MXHN6UTCS")</f>
        <v>MXHN6UTCS</v>
      </c>
      <c r="B10861" t="s">
        <v>10</v>
      </c>
      <c r="C10861" t="s">
        <v>42</v>
      </c>
      <c r="D10861" t="str">
        <f>HYPERLINK("https://us2.cloudbeds.com/connect/10074733072513#/reservations/31730984870042?display=Susan%20Hawthorne&amp;reservation_id=31730984870042&amp;guest_id=31730984870039", "Susan Hawthorne")</f>
        <v>Susan Hawthorne</v>
      </c>
      <c r="E10861" t="s">
        <v>9900</v>
      </c>
      <c r="F10861" t="s">
        <v>7468</v>
      </c>
      <c r="G10861">
        <v>418</v>
      </c>
      <c r="H10861">
        <v>454.38</v>
      </c>
      <c r="I10861">
        <v>454.37</v>
      </c>
      <c r="J10861">
        <v>0.01</v>
      </c>
    </row>
    <row r="10862" spans="1:10" x14ac:dyDescent="0.3">
      <c r="A10862" t="str">
        <f>HYPERLINK("https://us2.cloudbeds.com/connect/10074733072513#/reservations/31730963243219?display=MXHMYN31J&amp;reservation_id=31730963243219", "MXHMYN31J")</f>
        <v>MXHMYN31J</v>
      </c>
      <c r="B10862" t="s">
        <v>10</v>
      </c>
      <c r="C10862" t="s">
        <v>11</v>
      </c>
      <c r="D10862" t="str">
        <f>HYPERLINK("https://us2.cloudbeds.com/connect/10074733072513#/reservations/31730963243219?display=Linda%20Wimer&amp;reservation_id=31730963243219&amp;guest_id=31730963243217", "Linda Wimer")</f>
        <v>Linda Wimer</v>
      </c>
      <c r="E10862" t="s">
        <v>9901</v>
      </c>
      <c r="F10862" t="s">
        <v>7468</v>
      </c>
      <c r="G10862">
        <v>209</v>
      </c>
      <c r="H10862">
        <v>227.19</v>
      </c>
      <c r="I10862">
        <v>227.18</v>
      </c>
      <c r="J10862">
        <v>0.01</v>
      </c>
    </row>
    <row r="10863" spans="1:10" x14ac:dyDescent="0.3">
      <c r="A10863" t="str">
        <f>HYPERLINK("https://us2.cloudbeds.com/connect/10074733072513#/reservations/31730060128483?display=MXGWJ5JJC&amp;reservation_id=31730060128483", "MXGWJ5JJC")</f>
        <v>MXGWJ5JJC</v>
      </c>
      <c r="B10863" t="s">
        <v>10</v>
      </c>
      <c r="C10863" t="s">
        <v>23</v>
      </c>
      <c r="D10863" t="str">
        <f>HYPERLINK("https://us2.cloudbeds.com/connect/10074733072513#/reservations/31730060128483?display=Morgan%20Wangrud&amp;reservation_id=31730060128483&amp;guest_id=31730060128480", "Morgan Wangrud")</f>
        <v>Morgan Wangrud</v>
      </c>
      <c r="E10863" t="s">
        <v>9903</v>
      </c>
      <c r="F10863" t="s">
        <v>8355</v>
      </c>
      <c r="G10863">
        <v>139</v>
      </c>
      <c r="H10863">
        <v>151.1</v>
      </c>
      <c r="I10863">
        <v>151.09</v>
      </c>
      <c r="J10863">
        <v>0.01</v>
      </c>
    </row>
    <row r="10864" spans="1:10" x14ac:dyDescent="0.3">
      <c r="A10864" t="str">
        <f>HYPERLINK("https://us2.cloudbeds.com/connect/10074733072513#/reservations/31726123561201?display=MXDUWZQJZ&amp;reservation_id=31726123561201", "MXDUWZQJZ")</f>
        <v>MXDUWZQJZ</v>
      </c>
      <c r="B10864" t="s">
        <v>10</v>
      </c>
      <c r="C10864" t="s">
        <v>42</v>
      </c>
      <c r="D10864" t="str">
        <f>HYPERLINK("https://us2.cloudbeds.com/connect/10074733072513#/reservations/31726123561201?display=Jennifer%20Moyer&amp;reservation_id=31726123561201&amp;guest_id=31726123561152", "Jennifer Moyer")</f>
        <v>Jennifer Moyer</v>
      </c>
      <c r="E10864" t="s">
        <v>9904</v>
      </c>
      <c r="F10864" t="s">
        <v>8835</v>
      </c>
      <c r="G10864">
        <v>129</v>
      </c>
      <c r="H10864">
        <v>140.22999999999999</v>
      </c>
      <c r="I10864">
        <v>140.22</v>
      </c>
      <c r="J10864">
        <v>0.01</v>
      </c>
    </row>
    <row r="10865" spans="1:10" x14ac:dyDescent="0.3">
      <c r="A10865" t="str">
        <f>HYPERLINK("https://us2.cloudbeds.com/connect/10074733072513#/reservations/31731033321666?display=MXHZEQ47T&amp;reservation_id=31731033321666", "MXHZEQ47T")</f>
        <v>MXHZEQ47T</v>
      </c>
      <c r="B10865" t="s">
        <v>10</v>
      </c>
      <c r="C10865" t="s">
        <v>42</v>
      </c>
      <c r="D10865" t="str">
        <f>HYPERLINK("https://us2.cloudbeds.com/connect/10074733072513#/reservations/31731033321666?display=Christine%20Kuchac&amp;reservation_id=31731033321666&amp;guest_id=31731021070513", "Christine Kuchac")</f>
        <v>Christine Kuchac</v>
      </c>
      <c r="E10865" t="s">
        <v>9906</v>
      </c>
      <c r="F10865" t="s">
        <v>7819</v>
      </c>
      <c r="G10865">
        <v>438</v>
      </c>
      <c r="H10865">
        <v>476.12</v>
      </c>
      <c r="I10865">
        <v>476.11</v>
      </c>
      <c r="J10865">
        <v>0.01</v>
      </c>
    </row>
    <row r="10866" spans="1:10" x14ac:dyDescent="0.3">
      <c r="A10866" t="str">
        <f>HYPERLINK("https://us2.cloudbeds.com/connect/10074733072513#/reservations/31732657287418?display=MXXWV5C69&amp;reservation_id=31732657287418", "MXXWV5C69")</f>
        <v>MXXWV5C69</v>
      </c>
      <c r="B10866" t="s">
        <v>10</v>
      </c>
      <c r="C10866" t="s">
        <v>42</v>
      </c>
      <c r="D10866" t="str">
        <f>HYPERLINK("https://us2.cloudbeds.com/connect/10074733072513#/reservations/31732657287418?display=Jason%20Burfeindt&amp;reservation_id=31732657287418&amp;guest_id=31692012785852", "Jason Burfeindt")</f>
        <v>Jason Burfeindt</v>
      </c>
      <c r="E10866" t="s">
        <v>9907</v>
      </c>
      <c r="F10866" t="s">
        <v>9822</v>
      </c>
      <c r="G10866">
        <v>282</v>
      </c>
      <c r="H10866">
        <v>306.54000000000002</v>
      </c>
      <c r="I10866">
        <v>306.52999999999997</v>
      </c>
      <c r="J10866">
        <v>0.01</v>
      </c>
    </row>
    <row r="10867" spans="1:10" x14ac:dyDescent="0.3">
      <c r="A10867" t="str">
        <f>HYPERLINK("https://us2.cloudbeds.com/connect/10074733072513#/reservations/31735308468466?display=MXY1MNCSU&amp;reservation_id=31735308468466", "MXY1MNCSU")</f>
        <v>MXY1MNCSU</v>
      </c>
      <c r="B10867" t="s">
        <v>10</v>
      </c>
      <c r="C10867" t="s">
        <v>42</v>
      </c>
      <c r="D10867" t="str">
        <f>HYPERLINK("https://us2.cloudbeds.com/connect/10074733072513#/reservations/31735308468466?display=Christopher%20Carlson&amp;reservation_id=31735308468466&amp;guest_id=31695878602972", "Christopher Carlson")</f>
        <v>Christopher Carlson</v>
      </c>
      <c r="E10867" t="s">
        <v>9103</v>
      </c>
      <c r="F10867" t="s">
        <v>9848</v>
      </c>
      <c r="G10867">
        <v>209</v>
      </c>
      <c r="H10867">
        <v>227.19</v>
      </c>
      <c r="I10867">
        <v>227.18</v>
      </c>
      <c r="J10867">
        <v>0.01</v>
      </c>
    </row>
    <row r="10868" spans="1:10" x14ac:dyDescent="0.3">
      <c r="A10868" t="str">
        <f>HYPERLINK("https://us2.cloudbeds.com/connect/10074733072513#/reservations/31735002165404?display=MXKQSE1RV&amp;reservation_id=31735002165404", "MXKQSE1RV")</f>
        <v>MXKQSE1RV</v>
      </c>
      <c r="B10868" t="s">
        <v>10</v>
      </c>
      <c r="C10868" t="s">
        <v>42</v>
      </c>
      <c r="D10868" t="str">
        <f>HYPERLINK("https://us2.cloudbeds.com/connect/10074733072513#/reservations/31735002165404?display=Brenda%20Hyde&amp;reservation_id=31735002165404&amp;guest_id=31735002165401", "Brenda Hyde")</f>
        <v>Brenda Hyde</v>
      </c>
      <c r="E10868" t="s">
        <v>9910</v>
      </c>
      <c r="F10868" t="s">
        <v>9707</v>
      </c>
      <c r="G10868">
        <v>353</v>
      </c>
      <c r="H10868">
        <v>383.72</v>
      </c>
      <c r="I10868">
        <v>383.71</v>
      </c>
      <c r="J10868">
        <v>0.01</v>
      </c>
    </row>
    <row r="10869" spans="1:10" x14ac:dyDescent="0.3">
      <c r="A10869" t="str">
        <f>HYPERLINK("https://us2.cloudbeds.com/connect/10074733072513#/reservations/31735020269788?display=MXKRAMRKY&amp;reservation_id=31735020269788", "MXKRAMRKY")</f>
        <v>MXKRAMRKY</v>
      </c>
      <c r="B10869" t="s">
        <v>10</v>
      </c>
      <c r="C10869" t="s">
        <v>42</v>
      </c>
      <c r="D10869" t="str">
        <f>HYPERLINK("https://us2.cloudbeds.com/connect/10074733072513#/reservations/31735020269788?display=Anna%20/%20Cameron%20Wyly&amp;reservation_id=31735020269788&amp;guest_id=31730772390044", "Anna / Cameron Wyly")</f>
        <v>Anna / Cameron Wyly</v>
      </c>
      <c r="E10869" t="s">
        <v>5570</v>
      </c>
      <c r="F10869" t="s">
        <v>9707</v>
      </c>
      <c r="G10869">
        <v>178</v>
      </c>
      <c r="H10869">
        <v>193.5</v>
      </c>
      <c r="I10869">
        <v>193.49</v>
      </c>
      <c r="J10869">
        <v>0.01</v>
      </c>
    </row>
    <row r="10870" spans="1:10" x14ac:dyDescent="0.3">
      <c r="A10870" t="str">
        <f>HYPERLINK("https://us2.cloudbeds.com/connect/10074733072513#/reservations/31730041176281?display=MXGW36797&amp;reservation_id=31730041176281", "MXGW36797")</f>
        <v>MXGW36797</v>
      </c>
      <c r="B10870" t="s">
        <v>10</v>
      </c>
      <c r="C10870" t="s">
        <v>23</v>
      </c>
      <c r="D10870" t="str">
        <f>HYPERLINK("https://us2.cloudbeds.com/connect/10074733072513#/reservations/31730041176281?display=Jeanne%20Hansen&amp;reservation_id=31730041176281&amp;guest_id=31730041172174", "Jeanne Hansen")</f>
        <v>Jeanne Hansen</v>
      </c>
      <c r="E10870" t="s">
        <v>9913</v>
      </c>
      <c r="F10870" t="s">
        <v>9914</v>
      </c>
      <c r="G10870">
        <v>139</v>
      </c>
      <c r="H10870">
        <v>151.1</v>
      </c>
      <c r="I10870">
        <v>151.09</v>
      </c>
      <c r="J10870">
        <v>0.01</v>
      </c>
    </row>
    <row r="10871" spans="1:10" x14ac:dyDescent="0.3">
      <c r="A10871" t="str">
        <f>HYPERLINK("https://us2.cloudbeds.com/connect/10074733072513#/reservations/31730772390049?display=MXHHPPAK6&amp;reservation_id=31730772390049", "MXHHPPAK6")</f>
        <v>MXHHPPAK6</v>
      </c>
      <c r="B10871" t="s">
        <v>10</v>
      </c>
      <c r="C10871" t="s">
        <v>42</v>
      </c>
      <c r="D10871" t="str">
        <f>HYPERLINK("https://us2.cloudbeds.com/connect/10074733072513#/reservations/31730772390049?display=Anna%20/%20Cameron%20Wyly&amp;reservation_id=31730772390049&amp;guest_id=31730772390044", "Anna / Cameron Wyly")</f>
        <v>Anna / Cameron Wyly</v>
      </c>
      <c r="E10871" t="s">
        <v>5570</v>
      </c>
      <c r="F10871" t="s">
        <v>9707</v>
      </c>
      <c r="G10871">
        <v>89</v>
      </c>
      <c r="H10871">
        <v>96.75</v>
      </c>
      <c r="I10871">
        <v>96.74</v>
      </c>
      <c r="J10871">
        <v>0.01</v>
      </c>
    </row>
    <row r="10872" spans="1:10" x14ac:dyDescent="0.3">
      <c r="A10872" t="str">
        <f>HYPERLINK("https://us2.cloudbeds.com/connect/10074733072513#/reservations/31733912809711?display=MXJW0S47C&amp;reservation_id=31733912809711", "MXJW0S47C")</f>
        <v>MXJW0S47C</v>
      </c>
      <c r="B10872" t="s">
        <v>10</v>
      </c>
      <c r="C10872" t="s">
        <v>42</v>
      </c>
      <c r="D10872" t="str">
        <f>HYPERLINK("https://us2.cloudbeds.com/connect/10074733072513#/reservations/31733912809711?display=Anna%20/%20Cameron%20Wyly&amp;reservation_id=31733912809711&amp;guest_id=31730772390044", "Anna / Cameron Wyly")</f>
        <v>Anna / Cameron Wyly</v>
      </c>
      <c r="E10872" t="s">
        <v>5570</v>
      </c>
      <c r="F10872" t="s">
        <v>9822</v>
      </c>
      <c r="G10872">
        <v>137.97999999999999</v>
      </c>
      <c r="H10872">
        <v>149.99</v>
      </c>
      <c r="I10872">
        <v>149.97999999999999</v>
      </c>
      <c r="J10872">
        <v>0.01</v>
      </c>
    </row>
    <row r="10873" spans="1:10" x14ac:dyDescent="0.3">
      <c r="A10873" t="str">
        <f>HYPERLINK("https://us2.cloudbeds.com/connect/10074733072513#/reservations/31725793644761?display=MXDMXXD0R&amp;reservation_id=31725793644761", "MXDMXXD0R")</f>
        <v>MXDMXXD0R</v>
      </c>
      <c r="B10873" t="s">
        <v>10</v>
      </c>
      <c r="C10873" t="s">
        <v>17</v>
      </c>
      <c r="D10873" t="str">
        <f>HYPERLINK("https://us2.cloudbeds.com/connect/10074733072513#/reservations/31725793644761?display=Paul%20Moore&amp;reservation_id=31725793644761&amp;guest_id=31725793640663", "Paul Moore")</f>
        <v>Paul Moore</v>
      </c>
      <c r="E10873" t="s">
        <v>9711</v>
      </c>
      <c r="F10873" t="s">
        <v>9839</v>
      </c>
      <c r="G10873">
        <v>258</v>
      </c>
      <c r="H10873">
        <v>280.45999999999998</v>
      </c>
      <c r="I10873">
        <v>280.45</v>
      </c>
      <c r="J10873">
        <v>0.01</v>
      </c>
    </row>
    <row r="10874" spans="1:10" x14ac:dyDescent="0.3">
      <c r="A10874" t="str">
        <f>HYPERLINK("https://us2.cloudbeds.com/connect/10074733072513#/reservations/31733981741272?display=MXK0PW88H&amp;reservation_id=31733981741272", "MXK0PW88H")</f>
        <v>MXK0PW88H</v>
      </c>
      <c r="B10874" t="s">
        <v>10</v>
      </c>
      <c r="C10874" t="s">
        <v>121</v>
      </c>
      <c r="D10874" t="str">
        <f>HYPERLINK("https://us2.cloudbeds.com/connect/10074733072513#/reservations/31733981741272?display=Isiah%20Wicklund&amp;reservation_id=31733981741272&amp;guest_id=31733981741268", "Isiah Wicklund")</f>
        <v>Isiah Wicklund</v>
      </c>
      <c r="E10874" t="s">
        <v>9915</v>
      </c>
      <c r="F10874" t="s">
        <v>9822</v>
      </c>
      <c r="G10874">
        <v>169</v>
      </c>
      <c r="H10874">
        <v>183.71</v>
      </c>
      <c r="I10874">
        <v>183.7</v>
      </c>
      <c r="J10874">
        <v>0.01</v>
      </c>
    </row>
    <row r="10875" spans="1:10" x14ac:dyDescent="0.3">
      <c r="A10875" t="str">
        <f>HYPERLINK("https://us2.cloudbeds.com/connect/10074733072513#/reservations/31732678578379?display=MXJ0G3R3U&amp;reservation_id=31732678578379", "MXJ0G3R3U")</f>
        <v>MXJ0G3R3U</v>
      </c>
      <c r="B10875" t="s">
        <v>10</v>
      </c>
      <c r="C10875" t="s">
        <v>42</v>
      </c>
      <c r="D10875" t="str">
        <f>HYPERLINK("https://us2.cloudbeds.com/connect/10074733072513#/reservations/31732678578379?display=Donald%20And%20Tiffany%20Whipple&amp;reservation_id=31732678578379&amp;guest_id=31732663767205", "Donald And Tiffany Whipple")</f>
        <v>Donald And Tiffany Whipple</v>
      </c>
      <c r="E10875" t="s">
        <v>9916</v>
      </c>
      <c r="F10875" t="s">
        <v>9822</v>
      </c>
      <c r="G10875">
        <v>209</v>
      </c>
      <c r="H10875">
        <v>227.19</v>
      </c>
      <c r="I10875">
        <v>227.18</v>
      </c>
      <c r="J10875">
        <v>0.01</v>
      </c>
    </row>
    <row r="10876" spans="1:10" x14ac:dyDescent="0.3">
      <c r="A10876" t="str">
        <f>HYPERLINK("https://us2.cloudbeds.com/connect/10074733072513#/reservations/31731340771480?display=MXHWA1C9U&amp;reservation_id=31731340771480", "MXHWA1C9U")</f>
        <v>MXHWA1C9U</v>
      </c>
      <c r="B10876" t="s">
        <v>10</v>
      </c>
      <c r="C10876" t="s">
        <v>17</v>
      </c>
      <c r="D10876" t="str">
        <f>HYPERLINK("https://us2.cloudbeds.com/connect/10074733072513#/reservations/31731340771480?display=June%20Quigley&amp;reservation_id=31731340771480&amp;guest_id=31731340771476", "June Quigley")</f>
        <v>June Quigley</v>
      </c>
      <c r="E10876" t="s">
        <v>9918</v>
      </c>
      <c r="F10876" t="s">
        <v>9817</v>
      </c>
      <c r="G10876">
        <v>169</v>
      </c>
      <c r="H10876">
        <v>183.71</v>
      </c>
      <c r="I10876">
        <v>183.7</v>
      </c>
      <c r="J10876">
        <v>0.01</v>
      </c>
    </row>
    <row r="10877" spans="1:10" x14ac:dyDescent="0.3">
      <c r="A10877" t="str">
        <f>HYPERLINK("https://us2.cloudbeds.com/connect/10074733072513#/reservations/31726481072318?display=MXE7472KV&amp;reservation_id=31726481072318", "MXE7472KV")</f>
        <v>MXE7472KV</v>
      </c>
      <c r="B10877" t="s">
        <v>10</v>
      </c>
      <c r="C10877" t="s">
        <v>42</v>
      </c>
      <c r="D10877" t="str">
        <f>HYPERLINK("https://us2.cloudbeds.com/connect/10074733072513#/reservations/31726481072318?display=Jackie%20Riecken&amp;reservation_id=31726481072318&amp;guest_id=31726472683746", "Jackie Riecken")</f>
        <v>Jackie Riecken</v>
      </c>
      <c r="E10877" t="s">
        <v>9919</v>
      </c>
      <c r="F10877" t="s">
        <v>8801</v>
      </c>
      <c r="G10877">
        <v>139</v>
      </c>
      <c r="H10877">
        <v>151.1</v>
      </c>
      <c r="I10877">
        <v>151.09</v>
      </c>
      <c r="J10877">
        <v>0.01</v>
      </c>
    </row>
    <row r="10878" spans="1:10" x14ac:dyDescent="0.3">
      <c r="A10878" t="str">
        <f>HYPERLINK("https://us2.cloudbeds.com/connect/10074733072513#/reservations/31731742851311?display=MXX9J2RK7&amp;reservation_id=31731742851311", "MXX9J2RK7")</f>
        <v>MXX9J2RK7</v>
      </c>
      <c r="B10878" t="s">
        <v>10</v>
      </c>
      <c r="C10878" t="s">
        <v>23</v>
      </c>
      <c r="D10878" t="str">
        <f>HYPERLINK("https://us2.cloudbeds.com/connect/10074733072513#/reservations/31731742851311?display=Jessica%20Hodges&amp;reservation_id=31731742851311&amp;guest_id=31731742851306", "Jessica Hodges")</f>
        <v>Jessica Hodges</v>
      </c>
      <c r="E10878" t="s">
        <v>9921</v>
      </c>
      <c r="F10878" t="s">
        <v>8920</v>
      </c>
      <c r="G10878">
        <v>458</v>
      </c>
      <c r="H10878">
        <v>497.86</v>
      </c>
      <c r="I10878">
        <v>497.85</v>
      </c>
      <c r="J10878">
        <v>0.01</v>
      </c>
    </row>
    <row r="10879" spans="1:10" x14ac:dyDescent="0.3">
      <c r="A10879" t="str">
        <f>HYPERLINK("https://us2.cloudbeds.com/connect/10074733072513#/reservations/31729554383052?display=MXGJYNFT8&amp;reservation_id=31729554383052", "MXGJYNFT8")</f>
        <v>MXGJYNFT8</v>
      </c>
      <c r="B10879" t="s">
        <v>10</v>
      </c>
      <c r="C10879" t="s">
        <v>42</v>
      </c>
      <c r="D10879" t="str">
        <f>HYPERLINK("https://us2.cloudbeds.com/connect/10074733072513#/reservations/31729554383052?display=Lisa%20Larson&amp;reservation_id=31729554383052&amp;guest_id=31729554383050", "Lisa Larson")</f>
        <v>Lisa Larson</v>
      </c>
      <c r="E10879" t="s">
        <v>9922</v>
      </c>
      <c r="F10879" t="s">
        <v>8835</v>
      </c>
      <c r="G10879">
        <v>149</v>
      </c>
      <c r="H10879">
        <v>161.97</v>
      </c>
      <c r="I10879">
        <v>161.96</v>
      </c>
      <c r="J10879">
        <v>0.01</v>
      </c>
    </row>
    <row r="10880" spans="1:10" x14ac:dyDescent="0.3">
      <c r="A10880" t="str">
        <f>HYPERLINK("https://us2.cloudbeds.com/connect/10074733072513#/reservations/31723868545271?display=MXC6C8YTM&amp;reservation_id=31723868545271", "MXC6C8YTM")</f>
        <v>MXC6C8YTM</v>
      </c>
      <c r="B10880" t="s">
        <v>10</v>
      </c>
      <c r="C10880" t="s">
        <v>42</v>
      </c>
      <c r="D10880" t="str">
        <f>HYPERLINK("https://us2.cloudbeds.com/connect/10074733072513#/reservations/31723868545271?display=Charles%20Lineweber&amp;reservation_id=31723868545271&amp;guest_id=31723868545266", "Charles Lineweber")</f>
        <v>Charles Lineweber</v>
      </c>
      <c r="E10880" t="s">
        <v>9923</v>
      </c>
      <c r="F10880" t="s">
        <v>9463</v>
      </c>
      <c r="G10880">
        <v>236.7</v>
      </c>
      <c r="H10880">
        <v>257.3</v>
      </c>
      <c r="I10880">
        <v>257.29000000000002</v>
      </c>
      <c r="J10880">
        <v>0.01</v>
      </c>
    </row>
    <row r="10881" spans="1:10" x14ac:dyDescent="0.3">
      <c r="A10881" t="str">
        <f>HYPERLINK("https://us2.cloudbeds.com/connect/10074733072513#/reservations/31729754615952?display=MXGZPX8FT&amp;reservation_id=31729754615952", "MXGZPX8FT")</f>
        <v>MXGZPX8FT</v>
      </c>
      <c r="B10881" t="s">
        <v>10</v>
      </c>
      <c r="C10881" t="s">
        <v>121</v>
      </c>
      <c r="D10881" t="str">
        <f>HYPERLINK("https://us2.cloudbeds.com/connect/10074733072513#/reservations/31729754615952?display=Keenan%20Hanson&amp;reservation_id=31729754615952&amp;guest_id=31729747624154", "Keenan Hanson")</f>
        <v>Keenan Hanson</v>
      </c>
      <c r="E10881" t="s">
        <v>9924</v>
      </c>
      <c r="F10881" t="s">
        <v>9707</v>
      </c>
      <c r="G10881">
        <v>219</v>
      </c>
      <c r="H10881">
        <v>238.06</v>
      </c>
      <c r="I10881">
        <v>238.05</v>
      </c>
      <c r="J10881">
        <v>0.01</v>
      </c>
    </row>
    <row r="10882" spans="1:10" x14ac:dyDescent="0.3">
      <c r="A10882" t="str">
        <f>HYPERLINK("https://us2.cloudbeds.com/connect/10074733072513#/reservations/31734981099683?display=MXKQAYSZZ&amp;reservation_id=31734981099683", "MXKQAYSZZ")</f>
        <v>MXKQAYSZZ</v>
      </c>
      <c r="B10882" t="s">
        <v>10</v>
      </c>
      <c r="C10882" t="s">
        <v>42</v>
      </c>
      <c r="D10882" t="str">
        <f>HYPERLINK("https://us2.cloudbeds.com/connect/10074733072513#/reservations/31734981099683?display=Tammy%20Debree&amp;reservation_id=31734981099683&amp;guest_id=31734981095598", "Tammy Debree")</f>
        <v>Tammy Debree</v>
      </c>
      <c r="E10882" t="s">
        <v>9927</v>
      </c>
      <c r="F10882" t="s">
        <v>9707</v>
      </c>
      <c r="G10882">
        <v>229</v>
      </c>
      <c r="H10882">
        <v>248.93</v>
      </c>
      <c r="I10882">
        <v>248.92</v>
      </c>
      <c r="J10882">
        <v>0.01</v>
      </c>
    </row>
    <row r="10883" spans="1:10" x14ac:dyDescent="0.3">
      <c r="A10883" t="str">
        <f>HYPERLINK("https://us2.cloudbeds.com/connect/10074733072513#/reservations/31729877205130?display=MXGRTUFTF&amp;reservation_id=31729877205130", "MXGRTUFTF")</f>
        <v>MXGRTUFTF</v>
      </c>
      <c r="B10883" t="s">
        <v>10</v>
      </c>
      <c r="C10883" t="s">
        <v>23</v>
      </c>
      <c r="D10883" t="str">
        <f>HYPERLINK("https://us2.cloudbeds.com/connect/10074733072513#/reservations/31729877205130?display=Kiara%20Zurow&amp;reservation_id=31729877205130&amp;guest_id=31729877201032", "Kiara Zurow")</f>
        <v>Kiara Zurow</v>
      </c>
      <c r="E10883" t="s">
        <v>9929</v>
      </c>
      <c r="F10883" t="s">
        <v>9930</v>
      </c>
      <c r="G10883">
        <v>159</v>
      </c>
      <c r="H10883">
        <v>172.84</v>
      </c>
      <c r="I10883">
        <v>172.83</v>
      </c>
      <c r="J10883">
        <v>0.01</v>
      </c>
    </row>
    <row r="10884" spans="1:10" x14ac:dyDescent="0.3">
      <c r="A10884" t="str">
        <f>HYPERLINK("https://us2.cloudbeds.com/connect/10074733072513#/reservations/31725128736897?display=MXD5XTBYN&amp;reservation_id=31725128736897", "MXD5XTBYN")</f>
        <v>MXD5XTBYN</v>
      </c>
      <c r="B10884" t="s">
        <v>10</v>
      </c>
      <c r="C10884" t="s">
        <v>42</v>
      </c>
      <c r="D10884" t="str">
        <f>HYPERLINK("https://us2.cloudbeds.com/connect/10074733072513#/reservations/31725128736897?display=Peggy%20Cochran&amp;reservation_id=31725128736897&amp;guest_id=31725128732817", "Peggy Cochran")</f>
        <v>Peggy Cochran</v>
      </c>
      <c r="E10884" t="s">
        <v>9923</v>
      </c>
      <c r="F10884" t="s">
        <v>9931</v>
      </c>
      <c r="G10884">
        <v>355.7</v>
      </c>
      <c r="H10884">
        <v>386.66</v>
      </c>
      <c r="I10884">
        <v>386.65</v>
      </c>
      <c r="J10884">
        <v>0.01</v>
      </c>
    </row>
    <row r="10885" spans="1:10" x14ac:dyDescent="0.3">
      <c r="A10885" t="str">
        <f>HYPERLINK("https://us2.cloudbeds.com/connect/10074733072513#/reservations/31730363883680?display=MXH7BA0WA&amp;reservation_id=31730363883680", "MXH7BA0WA")</f>
        <v>MXH7BA0WA</v>
      </c>
      <c r="B10885" t="s">
        <v>10</v>
      </c>
      <c r="C10885" t="s">
        <v>11</v>
      </c>
      <c r="D10885" t="str">
        <f>HYPERLINK("https://us2.cloudbeds.com/connect/10074733072513#/reservations/31730363883680?display=Alba%20L%20Mcguire&amp;reservation_id=31730363883680&amp;guest_id=31730363883677", "Alba L Mcguire")</f>
        <v>Alba L Mcguire</v>
      </c>
      <c r="E10885" t="s">
        <v>9933</v>
      </c>
      <c r="F10885" t="s">
        <v>8443</v>
      </c>
      <c r="G10885">
        <v>293.72000000000003</v>
      </c>
      <c r="H10885">
        <v>319.27999999999997</v>
      </c>
      <c r="I10885">
        <v>319.27</v>
      </c>
      <c r="J10885">
        <v>0.01</v>
      </c>
    </row>
    <row r="10886" spans="1:10" x14ac:dyDescent="0.3">
      <c r="A10886" t="str">
        <f>HYPERLINK("https://us2.cloudbeds.com/connect/10074733072513#/reservations/31730544935041?display=MXHBVW1M6&amp;reservation_id=31730544935041", "MXHBVW1M6")</f>
        <v>MXHBVW1M6</v>
      </c>
      <c r="B10886" t="s">
        <v>10</v>
      </c>
      <c r="C10886" t="s">
        <v>42</v>
      </c>
      <c r="D10886" t="str">
        <f>HYPERLINK("https://us2.cloudbeds.com/connect/10074733072513#/reservations/31730544935041?display=Judy%20Javersak&amp;reservation_id=31730544935041&amp;guest_id=31730544931004", "Judy Javersak")</f>
        <v>Judy Javersak</v>
      </c>
      <c r="E10886" t="s">
        <v>9934</v>
      </c>
      <c r="F10886" t="s">
        <v>9561</v>
      </c>
      <c r="G10886">
        <v>432</v>
      </c>
      <c r="H10886">
        <v>469.59</v>
      </c>
      <c r="I10886">
        <v>469.58</v>
      </c>
      <c r="J10886">
        <v>0.01</v>
      </c>
    </row>
    <row r="10887" spans="1:10" x14ac:dyDescent="0.3">
      <c r="A10887" t="str">
        <f>HYPERLINK("https://us2.cloudbeds.com/connect/10074733072513#/reservations/31731681415342?display=MXX8099J6&amp;reservation_id=31731681415342", "MXX8099J6")</f>
        <v>MXX8099J6</v>
      </c>
      <c r="B10887" t="s">
        <v>10</v>
      </c>
      <c r="C10887" t="s">
        <v>42</v>
      </c>
      <c r="D10887" t="str">
        <f>HYPERLINK("https://us2.cloudbeds.com/connect/10074733072513#/reservations/31731681415342?display=Mckenzie%20Bnsf%20Johnson&amp;reservation_id=31731681415342&amp;guest_id=31731671109845", "Mckenzie Bnsf Johnson")</f>
        <v>Mckenzie Bnsf Johnson</v>
      </c>
      <c r="E10887" t="s">
        <v>9935</v>
      </c>
      <c r="F10887" t="s">
        <v>9936</v>
      </c>
      <c r="G10887">
        <v>73</v>
      </c>
      <c r="H10887">
        <v>79.36</v>
      </c>
      <c r="I10887">
        <v>79.349999999999994</v>
      </c>
      <c r="J10887">
        <v>0.01</v>
      </c>
    </row>
    <row r="10888" spans="1:10" x14ac:dyDescent="0.3">
      <c r="A10888" t="str">
        <f>HYPERLINK("https://us2.cloudbeds.com/connect/10074733072513#/reservations/31730797367514?display=MXHXDRBP2&amp;reservation_id=31730797367514", "MXHXDRBP2")</f>
        <v>MXHXDRBP2</v>
      </c>
      <c r="B10888" t="s">
        <v>10</v>
      </c>
      <c r="C10888" t="s">
        <v>121</v>
      </c>
      <c r="D10888" t="str">
        <f>HYPERLINK("https://us2.cloudbeds.com/connect/10074733072513#/reservations/31730797367514?display=Donald%20Meyer&amp;reservation_id=31730797367514&amp;guest_id=31730797363418", "Donald Meyer")</f>
        <v>Donald Meyer</v>
      </c>
      <c r="E10888" t="s">
        <v>9937</v>
      </c>
      <c r="F10888" t="s">
        <v>9707</v>
      </c>
      <c r="G10888">
        <v>209</v>
      </c>
      <c r="H10888">
        <v>227.19</v>
      </c>
      <c r="I10888">
        <v>227.18</v>
      </c>
      <c r="J10888">
        <v>0.01</v>
      </c>
    </row>
    <row r="10889" spans="1:10" x14ac:dyDescent="0.3">
      <c r="A10889" t="str">
        <f>HYPERLINK("https://us2.cloudbeds.com/connect/10074733072513#/reservations/31733651615936?display=MXJPBJU5A&amp;reservation_id=31733651615936", "MXJPBJU5A")</f>
        <v>MXJPBJU5A</v>
      </c>
      <c r="B10889" t="s">
        <v>10</v>
      </c>
      <c r="C10889" t="s">
        <v>23</v>
      </c>
      <c r="D10889" t="str">
        <f>HYPERLINK("https://us2.cloudbeds.com/connect/10074733072513#/reservations/31733651615936?display=Kelly%20Van%20Ausdall&amp;reservation_id=31733651615936&amp;guest_id=31733651611902", "Kelly Van Ausdall")</f>
        <v>Kelly Van Ausdall</v>
      </c>
      <c r="E10889" t="s">
        <v>9939</v>
      </c>
      <c r="F10889" t="s">
        <v>9707</v>
      </c>
      <c r="G10889">
        <v>209</v>
      </c>
      <c r="H10889">
        <v>227.19</v>
      </c>
      <c r="I10889">
        <v>227.18</v>
      </c>
      <c r="J10889">
        <v>0.01</v>
      </c>
    </row>
    <row r="10890" spans="1:10" x14ac:dyDescent="0.3">
      <c r="A10890" t="str">
        <f>HYPERLINK("https://us2.cloudbeds.com/connect/10074733072513#/reservations/31732094341275?display=MXXXXFXJ8&amp;reservation_id=31732094341275", "MXXXXFXJ8")</f>
        <v>MXXXXFXJ8</v>
      </c>
      <c r="B10890" t="s">
        <v>10</v>
      </c>
      <c r="C10890" t="s">
        <v>42</v>
      </c>
      <c r="D10890" t="str">
        <f>HYPERLINK("https://us2.cloudbeds.com/connect/10074733072513#/reservations/31732094341275?display=Rodney%20Hunsberger&amp;reservation_id=31732094341275&amp;guest_id=31732094341261", "Rodney Hunsberger")</f>
        <v>Rodney Hunsberger</v>
      </c>
      <c r="E10890" t="s">
        <v>9942</v>
      </c>
      <c r="F10890" t="s">
        <v>7468</v>
      </c>
      <c r="G10890">
        <v>229</v>
      </c>
      <c r="H10890">
        <v>248.93</v>
      </c>
      <c r="I10890">
        <v>248.92</v>
      </c>
      <c r="J10890">
        <v>0.01</v>
      </c>
    </row>
    <row r="10891" spans="1:10" x14ac:dyDescent="0.3">
      <c r="A10891" t="str">
        <f>HYPERLINK("https://us2.cloudbeds.com/connect/10074733072513#/reservations/31729725665413?display=MXGZ14YVR&amp;reservation_id=31729725665413", "MXGZ14YVR")</f>
        <v>MXGZ14YVR</v>
      </c>
      <c r="B10891" t="s">
        <v>10</v>
      </c>
      <c r="C10891" t="s">
        <v>121</v>
      </c>
      <c r="D10891" t="str">
        <f>HYPERLINK("https://us2.cloudbeds.com/connect/10074733072513#/reservations/31729725665413?display=Robert%20Lammers&amp;reservation_id=31729725665413&amp;guest_id=31725447405798", "Robert Lammers")</f>
        <v>Robert Lammers</v>
      </c>
      <c r="E10891" t="s">
        <v>9944</v>
      </c>
      <c r="F10891" t="s">
        <v>7468</v>
      </c>
      <c r="G10891">
        <v>229</v>
      </c>
      <c r="H10891">
        <v>248.93</v>
      </c>
      <c r="I10891">
        <v>248.92</v>
      </c>
      <c r="J10891">
        <v>0.01</v>
      </c>
    </row>
    <row r="10892" spans="1:10" x14ac:dyDescent="0.3">
      <c r="A10892" t="str">
        <f>HYPERLINK("https://us2.cloudbeds.com/connect/10074733072513#/reservations/31723183550632?display=MXBYSYMCC&amp;reservation_id=31723183550632", "MXBYSYMCC")</f>
        <v>MXBYSYMCC</v>
      </c>
      <c r="B10892" t="s">
        <v>10</v>
      </c>
      <c r="C10892" t="s">
        <v>42</v>
      </c>
      <c r="D10892" t="str">
        <f>HYPERLINK("https://us2.cloudbeds.com/connect/10074733072513#/reservations/31723183550632?display=Chantel%20Pike&amp;reservation_id=31723183550632&amp;guest_id=31723174523095", "Chantel Pike")</f>
        <v>Chantel Pike</v>
      </c>
      <c r="E10892" t="s">
        <v>9945</v>
      </c>
      <c r="F10892" t="s">
        <v>9463</v>
      </c>
      <c r="G10892">
        <v>236.7</v>
      </c>
      <c r="H10892">
        <v>257.3</v>
      </c>
      <c r="I10892">
        <v>257.29000000000002</v>
      </c>
      <c r="J10892">
        <v>0.01</v>
      </c>
    </row>
    <row r="10893" spans="1:10" x14ac:dyDescent="0.3">
      <c r="A10893" t="str">
        <f>HYPERLINK("https://us2.cloudbeds.com/connect/10074733072513#/reservations/31726246117601?display=MXE1433U1&amp;reservation_id=31726246117601", "MXE1433U1")</f>
        <v>MXE1433U1</v>
      </c>
      <c r="B10893" t="s">
        <v>10</v>
      </c>
      <c r="C10893" t="s">
        <v>17</v>
      </c>
      <c r="D10893" t="str">
        <f>HYPERLINK("https://us2.cloudbeds.com/connect/10074733072513#/reservations/31726246117601?display=Diane%20Schaap&amp;reservation_id=31726246117601&amp;guest_id=31726238388361", "Diane Schaap")</f>
        <v>Diane Schaap</v>
      </c>
      <c r="E10893" t="s">
        <v>9948</v>
      </c>
      <c r="F10893" t="s">
        <v>8801</v>
      </c>
      <c r="G10893">
        <v>159</v>
      </c>
      <c r="H10893">
        <v>172.84</v>
      </c>
      <c r="I10893">
        <v>172.83</v>
      </c>
      <c r="J10893">
        <v>0.01</v>
      </c>
    </row>
    <row r="10894" spans="1:10" x14ac:dyDescent="0.3">
      <c r="A10894" t="str">
        <f>HYPERLINK("https://us2.cloudbeds.com/connect/10074733072513#/reservations/31725669707950?display=MXDJD1M3U&amp;reservation_id=31725669707950", "MXDJD1M3U")</f>
        <v>MXDJD1M3U</v>
      </c>
      <c r="B10894" t="s">
        <v>10</v>
      </c>
      <c r="C10894" t="s">
        <v>17</v>
      </c>
      <c r="D10894" t="str">
        <f>HYPERLINK("https://us2.cloudbeds.com/connect/10074733072513#/reservations/31725669707950?display=Kathleen%20Kimball&amp;reservation_id=31725669707950&amp;guest_id=31725669707946", "Kathleen Kimball")</f>
        <v>Kathleen Kimball</v>
      </c>
      <c r="E10894" t="s">
        <v>9950</v>
      </c>
      <c r="F10894" t="s">
        <v>9951</v>
      </c>
      <c r="G10894">
        <v>189</v>
      </c>
      <c r="H10894">
        <v>205.45</v>
      </c>
      <c r="I10894">
        <v>205.44</v>
      </c>
      <c r="J10894">
        <v>0.01</v>
      </c>
    </row>
    <row r="10895" spans="1:10" x14ac:dyDescent="0.3">
      <c r="A10895" t="str">
        <f>HYPERLINK("https://us2.cloudbeds.com/connect/10074733072513#/reservations/31732564656272?display=MXXUJ1PES&amp;reservation_id=31732564656272", "MXXUJ1PES")</f>
        <v>MXXUJ1PES</v>
      </c>
      <c r="B10895" t="s">
        <v>10</v>
      </c>
      <c r="C10895" t="s">
        <v>42</v>
      </c>
      <c r="D10895" t="str">
        <f>HYPERLINK("https://us2.cloudbeds.com/connect/10074733072513#/reservations/31732564656272?display=Allison%20Hendrickson&amp;reservation_id=31732564656272&amp;guest_id=31729214587021", "Allison Hendrickson")</f>
        <v>Allison Hendrickson</v>
      </c>
      <c r="E10895" t="s">
        <v>9952</v>
      </c>
      <c r="F10895" t="s">
        <v>9235</v>
      </c>
      <c r="G10895">
        <v>219</v>
      </c>
      <c r="H10895">
        <v>238.06</v>
      </c>
      <c r="I10895">
        <v>238.05</v>
      </c>
      <c r="J10895">
        <v>0.01</v>
      </c>
    </row>
    <row r="10896" spans="1:10" x14ac:dyDescent="0.3">
      <c r="A10896" t="str">
        <f>HYPERLINK("https://us2.cloudbeds.com/connect/10074733072513#/reservations/31729926303996?display=MXGT5AZ2T&amp;reservation_id=31729926303996", "MXGT5AZ2T")</f>
        <v>MXGT5AZ2T</v>
      </c>
      <c r="B10896" t="s">
        <v>10</v>
      </c>
      <c r="C10896" t="s">
        <v>23</v>
      </c>
      <c r="D10896" t="str">
        <f>HYPERLINK("https://us2.cloudbeds.com/connect/10074733072513#/reservations/31729926303996?display=Michelle%20Karels&amp;reservation_id=31729926303996&amp;guest_id=31729926303994", "Michelle Karels")</f>
        <v>Michelle Karels</v>
      </c>
      <c r="E10896" t="s">
        <v>9955</v>
      </c>
      <c r="F10896" t="s">
        <v>8443</v>
      </c>
      <c r="G10896">
        <v>458</v>
      </c>
      <c r="H10896">
        <v>497.86</v>
      </c>
      <c r="I10896">
        <v>497.85</v>
      </c>
      <c r="J10896">
        <v>0.01</v>
      </c>
    </row>
    <row r="10897" spans="1:10" x14ac:dyDescent="0.3">
      <c r="A10897" t="str">
        <f>HYPERLINK("https://us2.cloudbeds.com/connect/10074733072513#/reservations/31729198457084?display=MXGAXJAES&amp;reservation_id=31729198457084", "MXGAXJAES")</f>
        <v>MXGAXJAES</v>
      </c>
      <c r="B10897" t="s">
        <v>10</v>
      </c>
      <c r="C10897" t="s">
        <v>42</v>
      </c>
      <c r="D10897" t="str">
        <f>HYPERLINK("https://us2.cloudbeds.com/connect/10074733072513#/reservations/31729198457084?display=Nick%20Sherman&amp;reservation_id=31729198457084&amp;guest_id=31687784452323", "Nick Sherman")</f>
        <v>Nick Sherman</v>
      </c>
      <c r="E10897" t="s">
        <v>9753</v>
      </c>
      <c r="F10897" t="s">
        <v>9914</v>
      </c>
      <c r="G10897">
        <v>336</v>
      </c>
      <c r="H10897">
        <v>365.24</v>
      </c>
      <c r="I10897">
        <v>365.23</v>
      </c>
      <c r="J10897">
        <v>0.01</v>
      </c>
    </row>
    <row r="10898" spans="1:10" x14ac:dyDescent="0.3">
      <c r="A10898" t="str">
        <f>HYPERLINK("https://us2.cloudbeds.com/connect/10074733072513#/reservations/31726180819165?display=MXDWF132X&amp;reservation_id=31726180819165", "MXDWF132X")</f>
        <v>MXDWF132X</v>
      </c>
      <c r="B10898" t="s">
        <v>10</v>
      </c>
      <c r="C10898" t="s">
        <v>42</v>
      </c>
      <c r="D10898" t="str">
        <f>HYPERLINK("https://us2.cloudbeds.com/connect/10074733072513#/reservations/31726180819165?display=Katie%20Thompson&amp;reservation_id=31726180819165&amp;guest_id=31726180815070", "Katie Thompson")</f>
        <v>Katie Thompson</v>
      </c>
      <c r="E10898" t="s">
        <v>9956</v>
      </c>
      <c r="F10898" t="s">
        <v>8835</v>
      </c>
      <c r="G10898">
        <v>129</v>
      </c>
      <c r="H10898">
        <v>140.22999999999999</v>
      </c>
      <c r="I10898">
        <v>140.22</v>
      </c>
      <c r="J10898">
        <v>0.01</v>
      </c>
    </row>
    <row r="10899" spans="1:10" x14ac:dyDescent="0.3">
      <c r="A10899" t="str">
        <f>HYPERLINK("https://us2.cloudbeds.com/connect/10074733072513#/reservations/31730314313968?display=MXH62GMDR&amp;reservation_id=31730314313968", "MXH62GMDR")</f>
        <v>MXH62GMDR</v>
      </c>
      <c r="B10899" t="s">
        <v>10</v>
      </c>
      <c r="C10899" t="s">
        <v>42</v>
      </c>
      <c r="D10899" t="str">
        <f>HYPERLINK("https://us2.cloudbeds.com/connect/10074733072513#/reservations/31730314313968?display=Cobren%20Bird&amp;reservation_id=31730314313968&amp;guest_id=31681772536058", "Cobren Bird")</f>
        <v>Cobren Bird</v>
      </c>
      <c r="E10899" t="s">
        <v>7109</v>
      </c>
      <c r="F10899" t="s">
        <v>9936</v>
      </c>
      <c r="G10899">
        <v>73</v>
      </c>
      <c r="H10899">
        <v>79.36</v>
      </c>
      <c r="I10899">
        <v>79.349999999999994</v>
      </c>
      <c r="J10899">
        <v>0.01</v>
      </c>
    </row>
    <row r="10900" spans="1:10" x14ac:dyDescent="0.3">
      <c r="A10900" t="str">
        <f>HYPERLINK("https://us2.cloudbeds.com/connect/10074733072513#/reservations/31726238384262?display=MXE0UXUJE&amp;reservation_id=31726238384262", "MXE0UXUJE")</f>
        <v>MXE0UXUJE</v>
      </c>
      <c r="B10900" t="s">
        <v>10</v>
      </c>
      <c r="C10900" t="s">
        <v>17</v>
      </c>
      <c r="D10900" t="str">
        <f>HYPERLINK("https://us2.cloudbeds.com/connect/10074733072513#/reservations/31726238384262?display=Carrie%20Quist&amp;reservation_id=31726238384262&amp;guest_id=31726228934894", "Carrie Quist")</f>
        <v>Carrie Quist</v>
      </c>
      <c r="E10900" t="s">
        <v>9957</v>
      </c>
      <c r="F10900" t="s">
        <v>8801</v>
      </c>
      <c r="G10900">
        <v>338</v>
      </c>
      <c r="H10900">
        <v>367.42</v>
      </c>
      <c r="I10900">
        <v>367.41</v>
      </c>
      <c r="J10900">
        <v>0.01</v>
      </c>
    </row>
    <row r="10901" spans="1:10" x14ac:dyDescent="0.3">
      <c r="A10901" t="str">
        <f>HYPERLINK("https://us2.cloudbeds.com/connect/10074733072513#/reservations/31730962493657?display=MXHMY27ZJ&amp;reservation_id=31730962493657", "MXHMY27ZJ")</f>
        <v>MXHMY27ZJ</v>
      </c>
      <c r="B10901" t="s">
        <v>10</v>
      </c>
      <c r="C10901" t="s">
        <v>42</v>
      </c>
      <c r="D10901" t="str">
        <f>HYPERLINK("https://us2.cloudbeds.com/connect/10074733072513#/reservations/31730962493657?display=Robin%20Motz&amp;reservation_id=31730962493657&amp;guest_id=31730962493655", "Robin Motz")</f>
        <v>Robin Motz</v>
      </c>
      <c r="E10901" t="s">
        <v>9961</v>
      </c>
      <c r="F10901" t="s">
        <v>7819</v>
      </c>
      <c r="G10901">
        <v>129</v>
      </c>
      <c r="H10901">
        <v>140.22999999999999</v>
      </c>
      <c r="I10901">
        <v>140.22</v>
      </c>
      <c r="J10901">
        <v>0.01</v>
      </c>
    </row>
    <row r="10902" spans="1:10" x14ac:dyDescent="0.3">
      <c r="A10902" t="str">
        <f>HYPERLINK("https://us2.cloudbeds.com/connect/10074733072513#/reservations/31734589640849?display=MXKGAXVDS&amp;reservation_id=31734589640849", "MXKGAXVDS")</f>
        <v>MXKGAXVDS</v>
      </c>
      <c r="B10902" t="s">
        <v>10</v>
      </c>
      <c r="C10902" t="s">
        <v>42</v>
      </c>
      <c r="D10902" t="str">
        <f>HYPERLINK("https://us2.cloudbeds.com/connect/10074733072513#/reservations/31734589640849?display=Dean%20Motter&amp;reservation_id=31734589640849&amp;guest_id=31734589640847", "Dean Motter")</f>
        <v>Dean Motter</v>
      </c>
      <c r="E10902" t="s">
        <v>9962</v>
      </c>
      <c r="F10902" t="s">
        <v>9660</v>
      </c>
      <c r="G10902">
        <v>73</v>
      </c>
      <c r="H10902">
        <v>79.36</v>
      </c>
      <c r="I10902">
        <v>79.349999999999994</v>
      </c>
      <c r="J10902">
        <v>0.01</v>
      </c>
    </row>
    <row r="10903" spans="1:10" x14ac:dyDescent="0.3">
      <c r="A10903" t="str">
        <f>HYPERLINK("https://us2.cloudbeds.com/connect/10074733072513#/reservations/31728682696957?display=MXFUCMHH3&amp;reservation_id=31728682696957", "MXFUCMHH3")</f>
        <v>MXFUCMHH3</v>
      </c>
      <c r="B10903" t="s">
        <v>10</v>
      </c>
      <c r="C10903" t="s">
        <v>42</v>
      </c>
      <c r="D10903" t="str">
        <f>HYPERLINK("https://us2.cloudbeds.com/connect/10074733072513#/reservations/31728682696957?display=Elliot%20Oasheim&amp;reservation_id=31728682696957&amp;guest_id=31728661971156", "Elliot Oasheim")</f>
        <v>Elliot Oasheim</v>
      </c>
      <c r="E10903" t="s">
        <v>9965</v>
      </c>
      <c r="F10903" t="s">
        <v>9638</v>
      </c>
      <c r="G10903">
        <v>576</v>
      </c>
      <c r="H10903">
        <v>626.12</v>
      </c>
      <c r="I10903">
        <v>626.11</v>
      </c>
      <c r="J10903">
        <v>0.01</v>
      </c>
    </row>
    <row r="10904" spans="1:10" x14ac:dyDescent="0.3">
      <c r="A10904" t="str">
        <f>HYPERLINK("https://us2.cloudbeds.com/connect/10074733072513#/reservations/31732207325397?display=MXXYEZGUH&amp;reservation_id=31732207325397", "MXXYEZGUH")</f>
        <v>MXXYEZGUH</v>
      </c>
      <c r="B10904" t="s">
        <v>10</v>
      </c>
      <c r="C10904" t="s">
        <v>121</v>
      </c>
      <c r="D10904" t="str">
        <f>HYPERLINK("https://us2.cloudbeds.com/connect/10074733072513#/reservations/31732207325397?display=Anthony%20Wellentn&amp;reservation_id=31732207325397&amp;guest_id=31732207325395", "Anthony Wellentn")</f>
        <v>Anthony Wellentn</v>
      </c>
      <c r="E10904" t="s">
        <v>9967</v>
      </c>
      <c r="F10904" t="s">
        <v>9247</v>
      </c>
      <c r="G10904">
        <v>576</v>
      </c>
      <c r="H10904">
        <v>626.12</v>
      </c>
      <c r="I10904">
        <v>626.11</v>
      </c>
      <c r="J10904">
        <v>0.01</v>
      </c>
    </row>
    <row r="10905" spans="1:10" x14ac:dyDescent="0.3">
      <c r="A10905" t="str">
        <f>HYPERLINK("https://us2.cloudbeds.com/connect/10074733072513#/reservations/31734492287203?display=MXKDRFV4C&amp;reservation_id=31734492287203", "MXKDRFV4C")</f>
        <v>MXKDRFV4C</v>
      </c>
      <c r="B10905" t="s">
        <v>10</v>
      </c>
      <c r="C10905" t="s">
        <v>42</v>
      </c>
      <c r="D10905" t="str">
        <f>HYPERLINK("https://us2.cloudbeds.com/connect/10074733072513#/reservations/31734492287203?display=Trent%20Herman&amp;reservation_id=31734492287203&amp;guest_id=31734492287189", "Trent Herman")</f>
        <v>Trent Herman</v>
      </c>
      <c r="E10905" t="s">
        <v>9970</v>
      </c>
      <c r="F10905" t="s">
        <v>9453</v>
      </c>
      <c r="G10905">
        <v>89</v>
      </c>
      <c r="H10905">
        <v>96.75</v>
      </c>
      <c r="I10905">
        <v>96.74</v>
      </c>
      <c r="J10905">
        <v>0.01</v>
      </c>
    </row>
    <row r="10906" spans="1:10" x14ac:dyDescent="0.3">
      <c r="A10906" t="str">
        <f>HYPERLINK("https://us2.cloudbeds.com/connect/10074733072513#/reservations/31729860800657?display=MXGRG3037&amp;reservation_id=31729860800657", "MXGRG3037")</f>
        <v>MXGRG3037</v>
      </c>
      <c r="B10906" t="s">
        <v>10</v>
      </c>
      <c r="C10906" t="s">
        <v>23</v>
      </c>
      <c r="D10906" t="str">
        <f>HYPERLINK("https://us2.cloudbeds.com/connect/10074733072513#/reservations/31729860800657?display=Chris%20Klein&amp;reservation_id=31729860800657&amp;guest_id=31729860796563", "Chris Klein")</f>
        <v>Chris Klein</v>
      </c>
      <c r="E10906" t="s">
        <v>9972</v>
      </c>
      <c r="F10906" t="s">
        <v>6933</v>
      </c>
      <c r="G10906">
        <v>209</v>
      </c>
      <c r="H10906">
        <v>227.19</v>
      </c>
      <c r="I10906">
        <v>227.18</v>
      </c>
      <c r="J10906">
        <v>0.01</v>
      </c>
    </row>
    <row r="10907" spans="1:10" x14ac:dyDescent="0.3">
      <c r="A10907" t="str">
        <f>HYPERLINK("https://us2.cloudbeds.com/connect/10074733072513#/reservations/31731293110507?display=MXHV2S4G0&amp;reservation_id=31731293110507", "MXHV2S4G0")</f>
        <v>MXHV2S4G0</v>
      </c>
      <c r="B10907" t="s">
        <v>10</v>
      </c>
      <c r="C10907" t="s">
        <v>42</v>
      </c>
      <c r="D10907" t="str">
        <f>HYPERLINK("https://us2.cloudbeds.com/connect/10074733072513#/reservations/31731293110507?display=Rebecca%20Honetschlager&amp;reservation_id=31731293110507&amp;guest_id=31731279057029", "Rebecca Honetschlager")</f>
        <v>Rebecca Honetschlager</v>
      </c>
      <c r="E10907" t="s">
        <v>9976</v>
      </c>
      <c r="F10907" t="s">
        <v>9817</v>
      </c>
      <c r="G10907">
        <v>249</v>
      </c>
      <c r="H10907">
        <v>270.67</v>
      </c>
      <c r="I10907">
        <v>270.66000000000003</v>
      </c>
      <c r="J10907">
        <v>0.01</v>
      </c>
    </row>
    <row r="10908" spans="1:10" x14ac:dyDescent="0.3">
      <c r="A10908" t="str">
        <f>HYPERLINK("https://us2.cloudbeds.com/connect/10074733072513#/reservations/31723371483264?display=MXBQDGJ6W&amp;reservation_id=31723371483264", "MXBQDGJ6W")</f>
        <v>MXBQDGJ6W</v>
      </c>
      <c r="B10908" t="s">
        <v>10</v>
      </c>
      <c r="C10908" t="s">
        <v>42</v>
      </c>
      <c r="D10908" t="str">
        <f>HYPERLINK("https://us2.cloudbeds.com/connect/10074733072513#/reservations/31723371483264?display=Rick%20Schoenfelder&amp;reservation_id=31723371483264&amp;guest_id=31723361251559", "Rick Schoenfelder")</f>
        <v>Rick Schoenfelder</v>
      </c>
      <c r="E10908" t="s">
        <v>9978</v>
      </c>
      <c r="F10908" t="s">
        <v>9675</v>
      </c>
      <c r="G10908">
        <v>258</v>
      </c>
      <c r="H10908">
        <v>280.45999999999998</v>
      </c>
      <c r="I10908">
        <v>280.45</v>
      </c>
      <c r="J10908">
        <v>0.01</v>
      </c>
    </row>
    <row r="10909" spans="1:10" x14ac:dyDescent="0.3">
      <c r="A10909" t="str">
        <f>HYPERLINK("https://us2.cloudbeds.com/connect/10074733072513#/reservations/31728629534930?display=MXFT0S77J&amp;reservation_id=31728629534930", "MXFT0S77J")</f>
        <v>MXFT0S77J</v>
      </c>
      <c r="B10909" t="s">
        <v>10</v>
      </c>
      <c r="C10909" t="s">
        <v>14</v>
      </c>
      <c r="D10909" t="str">
        <f>HYPERLINK("https://us2.cloudbeds.com/connect/10074733072513#/reservations/31728629534930?display=Tyler%20Ryan&amp;reservation_id=31728629534930&amp;guest_id=31728610492605", "Tyler Ryan")</f>
        <v>Tyler Ryan</v>
      </c>
      <c r="E10909" t="s">
        <v>9979</v>
      </c>
      <c r="F10909" t="s">
        <v>9638</v>
      </c>
      <c r="G10909">
        <v>135.79</v>
      </c>
      <c r="H10909">
        <v>147.61000000000001</v>
      </c>
      <c r="I10909">
        <v>147.6</v>
      </c>
      <c r="J10909">
        <v>0.01</v>
      </c>
    </row>
    <row r="10910" spans="1:10" x14ac:dyDescent="0.3">
      <c r="A10910" t="str">
        <f>HYPERLINK("https://us2.cloudbeds.com/connect/10074733072513#/reservations/31730075852950?display=MXGWWE4VC&amp;reservation_id=31730075852950", "MXGWWE4VC")</f>
        <v>MXGWWE4VC</v>
      </c>
      <c r="B10910" t="s">
        <v>10</v>
      </c>
      <c r="C10910" t="s">
        <v>23</v>
      </c>
      <c r="D10910" t="str">
        <f>HYPERLINK("https://us2.cloudbeds.com/connect/10074733072513#/reservations/31730075852950?display=Casey%20Omalley&amp;reservation_id=31730075852950&amp;guest_id=31730075848855", "Casey Omalley")</f>
        <v>Casey Omalley</v>
      </c>
      <c r="E10910" t="s">
        <v>9986</v>
      </c>
      <c r="F10910" t="s">
        <v>9839</v>
      </c>
      <c r="G10910">
        <v>338</v>
      </c>
      <c r="H10910">
        <v>367.42</v>
      </c>
      <c r="I10910">
        <v>367.41</v>
      </c>
      <c r="J10910">
        <v>0.01</v>
      </c>
    </row>
    <row r="10911" spans="1:10" x14ac:dyDescent="0.3">
      <c r="A10911" t="str">
        <f>HYPERLINK("https://us2.cloudbeds.com/connect/10074733072513#/reservations/31730097033365?display=MXH0H9HC4&amp;reservation_id=31730097033365", "MXH0H9HC4")</f>
        <v>MXH0H9HC4</v>
      </c>
      <c r="B10911" t="s">
        <v>10</v>
      </c>
      <c r="C10911" t="s">
        <v>23</v>
      </c>
      <c r="D10911" t="str">
        <f>HYPERLINK("https://us2.cloudbeds.com/connect/10074733072513#/reservations/31730097033365?display=Casey%20Omalley&amp;reservation_id=31730097033365&amp;guest_id=31730097029267", "Casey Omalley")</f>
        <v>Casey Omalley</v>
      </c>
      <c r="E10911" t="s">
        <v>9986</v>
      </c>
      <c r="F10911" t="s">
        <v>9839</v>
      </c>
      <c r="G10911">
        <v>338</v>
      </c>
      <c r="H10911">
        <v>367.42</v>
      </c>
      <c r="I10911">
        <v>367.41</v>
      </c>
      <c r="J10911">
        <v>0.01</v>
      </c>
    </row>
    <row r="10912" spans="1:10" x14ac:dyDescent="0.3">
      <c r="A10912" t="str">
        <f>HYPERLINK("https://us2.cloudbeds.com/connect/10074733072513#/reservations/31730309484707?display=MXH5VE9RJ&amp;reservation_id=31730309484707", "MXH5VE9RJ")</f>
        <v>MXH5VE9RJ</v>
      </c>
      <c r="B10912" t="s">
        <v>10</v>
      </c>
      <c r="C10912" t="s">
        <v>42</v>
      </c>
      <c r="D10912" t="str">
        <f>HYPERLINK("https://us2.cloudbeds.com/connect/10074733072513#/reservations/31730309484707?display=Megan%20Hansen/%20Linthorne&amp;reservation_id=31730309484707&amp;guest_id=31730294935753", "Megan Hansen/ Linthorne")</f>
        <v>Megan Hansen/ Linthorne</v>
      </c>
      <c r="E10912" t="s">
        <v>9987</v>
      </c>
      <c r="F10912" t="s">
        <v>8045</v>
      </c>
      <c r="G10912">
        <v>378</v>
      </c>
      <c r="H10912">
        <v>410.9</v>
      </c>
      <c r="I10912">
        <v>410.89</v>
      </c>
      <c r="J10912">
        <v>0.01</v>
      </c>
    </row>
    <row r="10913" spans="1:10" x14ac:dyDescent="0.3">
      <c r="A10913" t="str">
        <f>HYPERLINK("https://us2.cloudbeds.com/connect/10074733072513#/reservations/31733926523016?display=MXJWCDNQ2&amp;reservation_id=31733926523016", "MXJWCDNQ2")</f>
        <v>MXJWCDNQ2</v>
      </c>
      <c r="B10913" t="s">
        <v>10</v>
      </c>
      <c r="C10913" t="s">
        <v>23</v>
      </c>
      <c r="D10913" t="str">
        <f>HYPERLINK("https://us2.cloudbeds.com/connect/10074733072513#/reservations/31733926523016?display=Clarissa%20Liu&amp;reservation_id=31733926523016&amp;guest_id=31733912813789", "Clarissa Liu")</f>
        <v>Clarissa Liu</v>
      </c>
      <c r="E10913" t="s">
        <v>9988</v>
      </c>
      <c r="F10913" t="s">
        <v>9989</v>
      </c>
      <c r="G10913">
        <v>129</v>
      </c>
      <c r="H10913">
        <v>140.22999999999999</v>
      </c>
      <c r="I10913">
        <v>140.22</v>
      </c>
      <c r="J10913">
        <v>0.01</v>
      </c>
    </row>
    <row r="10914" spans="1:10" x14ac:dyDescent="0.3">
      <c r="A10914" t="str">
        <f>HYPERLINK("https://us2.cloudbeds.com/connect/10074733072513#/reservations/31732398330036?display=MXXQAQGET&amp;reservation_id=31732398330036", "MXXQAQGET")</f>
        <v>MXXQAQGET</v>
      </c>
      <c r="B10914" t="s">
        <v>10</v>
      </c>
      <c r="C10914" t="s">
        <v>42</v>
      </c>
      <c r="D10914" t="str">
        <f>HYPERLINK("https://us2.cloudbeds.com/connect/10074733072513#/reservations/31732398330036?display=Dan%20Perseke&amp;reservation_id=31732398330036&amp;guest_id=31717890199782", "Dan Perseke")</f>
        <v>Dan Perseke</v>
      </c>
      <c r="E10914" t="s">
        <v>9991</v>
      </c>
      <c r="F10914" t="s">
        <v>9992</v>
      </c>
      <c r="G10914">
        <v>252</v>
      </c>
      <c r="H10914">
        <v>273.93</v>
      </c>
      <c r="I10914">
        <v>273.92</v>
      </c>
      <c r="J10914">
        <v>0.01</v>
      </c>
    </row>
    <row r="10915" spans="1:10" x14ac:dyDescent="0.3">
      <c r="A10915" t="str">
        <f>HYPERLINK("https://us2.cloudbeds.com/connect/10074733072513#/reservations/31726454702259?display=MXE6EW9N6&amp;reservation_id=31726454702259", "MXE6EW9N6")</f>
        <v>MXE6EW9N6</v>
      </c>
      <c r="B10915" t="s">
        <v>10</v>
      </c>
      <c r="C10915" t="s">
        <v>42</v>
      </c>
      <c r="D10915" t="str">
        <f>HYPERLINK("https://us2.cloudbeds.com/connect/10074733072513#/reservations/31726454702259?display=Katie%20Hammer&amp;reservation_id=31726454702259&amp;guest_id=31726454702254", "Katie Hammer")</f>
        <v>Katie Hammer</v>
      </c>
      <c r="E10915" t="s">
        <v>9993</v>
      </c>
      <c r="F10915" t="s">
        <v>8801</v>
      </c>
      <c r="G10915">
        <v>378</v>
      </c>
      <c r="H10915">
        <v>410.9</v>
      </c>
      <c r="I10915">
        <v>410.89</v>
      </c>
      <c r="J10915">
        <v>0.01</v>
      </c>
    </row>
    <row r="10916" spans="1:10" x14ac:dyDescent="0.3">
      <c r="A10916" t="str">
        <f>HYPERLINK("https://us2.cloudbeds.com/connect/10074733072513#/reservations/31732336840929?display=MXXZZVFKK&amp;reservation_id=31732336840929", "MXXZZVFKK")</f>
        <v>MXXZZVFKK</v>
      </c>
      <c r="B10916" t="s">
        <v>10</v>
      </c>
      <c r="C10916" t="s">
        <v>42</v>
      </c>
      <c r="D10916" t="str">
        <f>HYPERLINK("https://us2.cloudbeds.com/connect/10074733072513#/reservations/31732336840929?display=Sherri%20Perkins&amp;reservation_id=31732336840929&amp;guest_id=31732336836834", "Sherri Perkins")</f>
        <v>Sherri Perkins</v>
      </c>
      <c r="E10916" t="s">
        <v>9994</v>
      </c>
      <c r="F10916" t="s">
        <v>9660</v>
      </c>
      <c r="G10916">
        <v>156.6</v>
      </c>
      <c r="H10916">
        <v>170.23</v>
      </c>
      <c r="I10916">
        <v>170.22</v>
      </c>
      <c r="J10916">
        <v>0.01</v>
      </c>
    </row>
    <row r="10917" spans="1:10" x14ac:dyDescent="0.3">
      <c r="A10917" t="str">
        <f>HYPERLINK("https://us2.cloudbeds.com/connect/10074733072513#/reservations/31732326895755?display=MXXZGXZ7N&amp;reservation_id=31732326895755", "MXXZGXZ7N")</f>
        <v>MXXZGXZ7N</v>
      </c>
      <c r="B10917" t="s">
        <v>10</v>
      </c>
      <c r="C10917" t="s">
        <v>11</v>
      </c>
      <c r="D10917" t="str">
        <f>HYPERLINK("https://us2.cloudbeds.com/connect/10074733072513#/reservations/31732326895755?display=Isaac%20Macias&amp;reservation_id=31732326895755&amp;guest_id=31732326891661", "Isaac Macias")</f>
        <v>Isaac Macias</v>
      </c>
      <c r="E10917" t="s">
        <v>9995</v>
      </c>
      <c r="F10917" t="s">
        <v>9660</v>
      </c>
      <c r="G10917">
        <v>135.79</v>
      </c>
      <c r="H10917">
        <v>147.61000000000001</v>
      </c>
      <c r="I10917">
        <v>147.6</v>
      </c>
      <c r="J10917">
        <v>0.01</v>
      </c>
    </row>
    <row r="10918" spans="1:10" x14ac:dyDescent="0.3">
      <c r="A10918" t="str">
        <f>HYPERLINK("https://us2.cloudbeds.com/connect/10074733072513#/reservations/31723382083785?display=MXBQV254A&amp;reservation_id=31723382083785", "MXBQV254A")</f>
        <v>MXBQV254A</v>
      </c>
      <c r="B10918" t="s">
        <v>10</v>
      </c>
      <c r="C10918" t="s">
        <v>42</v>
      </c>
      <c r="D10918" t="str">
        <f>HYPERLINK("https://us2.cloudbeds.com/connect/10074733072513#/reservations/31723382083785?display=Rick%20Schoenfelder&amp;reservation_id=31723382083785&amp;guest_id=31722670514316", "Rick Schoenfelder")</f>
        <v>Rick Schoenfelder</v>
      </c>
      <c r="E10918" t="s">
        <v>9997</v>
      </c>
      <c r="F10918" t="s">
        <v>9675</v>
      </c>
      <c r="G10918">
        <v>258</v>
      </c>
      <c r="H10918">
        <v>280.45999999999998</v>
      </c>
      <c r="I10918">
        <v>280.45</v>
      </c>
      <c r="J10918">
        <v>0.01</v>
      </c>
    </row>
    <row r="10919" spans="1:10" x14ac:dyDescent="0.3">
      <c r="A10919" t="str">
        <f>HYPERLINK("https://us2.cloudbeds.com/connect/10074733072513#/reservations/31731550695555?display=MXX4M1R1H&amp;reservation_id=31731550695555", "MXX4M1R1H")</f>
        <v>MXX4M1R1H</v>
      </c>
      <c r="B10919" t="s">
        <v>10</v>
      </c>
      <c r="C10919" t="s">
        <v>42</v>
      </c>
      <c r="D10919" t="str">
        <f>HYPERLINK("https://us2.cloudbeds.com/connect/10074733072513#/reservations/31731550695555?display=Robert%20Lammers&amp;reservation_id=31731550695555&amp;guest_id=31729204330722", "Robert Lammers")</f>
        <v>Robert Lammers</v>
      </c>
      <c r="E10919" t="s">
        <v>9895</v>
      </c>
      <c r="F10919" t="s">
        <v>9989</v>
      </c>
      <c r="G10919">
        <v>482</v>
      </c>
      <c r="H10919">
        <v>523.94000000000005</v>
      </c>
      <c r="I10919">
        <v>523.92999999999995</v>
      </c>
      <c r="J10919">
        <v>0.01</v>
      </c>
    </row>
    <row r="10920" spans="1:10" x14ac:dyDescent="0.3">
      <c r="A10920" t="str">
        <f>HYPERLINK("https://us2.cloudbeds.com/connect/10074733072513#/reservations/31722678169829?display=MXB8VGNGJ&amp;reservation_id=31722678169829", "MXB8VGNGJ")</f>
        <v>MXB8VGNGJ</v>
      </c>
      <c r="B10920" t="s">
        <v>10</v>
      </c>
      <c r="C10920" t="s">
        <v>42</v>
      </c>
      <c r="D10920" t="str">
        <f>HYPERLINK("https://us2.cloudbeds.com/connect/10074733072513#/reservations/31722678169829?display=Rick%20Schoenfelder&amp;reservation_id=31722678169829&amp;guest_id=31722670514316", "Rick Schoenfelder")</f>
        <v>Rick Schoenfelder</v>
      </c>
      <c r="E10920" t="s">
        <v>9997</v>
      </c>
      <c r="F10920" t="s">
        <v>7925</v>
      </c>
      <c r="G10920">
        <v>129</v>
      </c>
      <c r="H10920">
        <v>140.22999999999999</v>
      </c>
      <c r="I10920">
        <v>140.22</v>
      </c>
      <c r="J10920">
        <v>0.01</v>
      </c>
    </row>
    <row r="10921" spans="1:10" x14ac:dyDescent="0.3">
      <c r="A10921" t="str">
        <f>HYPERLINK("https://us2.cloudbeds.com/connect/10074733072513#/reservations/31728905113732?display=MXG327JWC&amp;reservation_id=31728905113732", "MXG327JWC")</f>
        <v>MXG327JWC</v>
      </c>
      <c r="B10921" t="s">
        <v>10</v>
      </c>
      <c r="C10921" t="s">
        <v>23</v>
      </c>
      <c r="D10921" t="str">
        <f>HYPERLINK("https://us2.cloudbeds.com/connect/10074733072513#/reservations/31728905113732?display=Min%20Klein&amp;reservation_id=31728905113732&amp;guest_id=31728905109680", "Min Klein")</f>
        <v>Min Klein</v>
      </c>
      <c r="E10921" t="s">
        <v>9999</v>
      </c>
      <c r="F10921" t="s">
        <v>10000</v>
      </c>
      <c r="G10921">
        <v>129</v>
      </c>
      <c r="H10921">
        <v>140.22999999999999</v>
      </c>
      <c r="I10921">
        <v>140.22</v>
      </c>
      <c r="J10921">
        <v>0.01</v>
      </c>
    </row>
    <row r="10922" spans="1:10" x14ac:dyDescent="0.3">
      <c r="A10922" t="str">
        <f>HYPERLINK("https://us2.cloudbeds.com/connect/10074733072513#/reservations/31734321144033?display=MXK9F5KSN&amp;reservation_id=31734321144033", "MXK9F5KSN")</f>
        <v>MXK9F5KSN</v>
      </c>
      <c r="B10922" t="s">
        <v>10</v>
      </c>
      <c r="C10922" t="s">
        <v>23</v>
      </c>
      <c r="D10922" t="str">
        <f>HYPERLINK("https://us2.cloudbeds.com/connect/10074733072513#/reservations/31734321144033?display=Mary%20Lewis&amp;reservation_id=31734321144033&amp;guest_id=31729970630798", "Mary Lewis")</f>
        <v>Mary Lewis</v>
      </c>
      <c r="E10922" t="s">
        <v>10001</v>
      </c>
      <c r="F10922" t="s">
        <v>9453</v>
      </c>
      <c r="G10922">
        <v>189</v>
      </c>
      <c r="H10922">
        <v>205.45</v>
      </c>
      <c r="I10922">
        <v>205.44</v>
      </c>
      <c r="J10922">
        <v>0.01</v>
      </c>
    </row>
    <row r="10923" spans="1:10" x14ac:dyDescent="0.3">
      <c r="A10923" t="str">
        <f>HYPERLINK("https://us2.cloudbeds.com/connect/10074733072513#/reservations/31732288954545?display=MXXNHXVR2&amp;reservation_id=31732288954545", "MXXNHXVR2")</f>
        <v>MXXNHXVR2</v>
      </c>
      <c r="B10923" t="s">
        <v>10</v>
      </c>
      <c r="C10923" t="s">
        <v>42</v>
      </c>
      <c r="D10923" t="str">
        <f>HYPERLINK("https://us2.cloudbeds.com/connect/10074733072513#/reservations/31732288954545?display=Joseph%20Abornetto&amp;reservation_id=31732288954545&amp;guest_id=31732278497495", "Joseph Abornetto")</f>
        <v>Joseph Abornetto</v>
      </c>
      <c r="E10923" t="s">
        <v>10004</v>
      </c>
      <c r="F10923" t="s">
        <v>9247</v>
      </c>
      <c r="G10923">
        <v>156.6</v>
      </c>
      <c r="H10923">
        <v>170.23</v>
      </c>
      <c r="I10923">
        <v>170.22</v>
      </c>
      <c r="J10923">
        <v>0.01</v>
      </c>
    </row>
    <row r="10924" spans="1:10" x14ac:dyDescent="0.3">
      <c r="A10924" t="str">
        <f>HYPERLINK("https://us2.cloudbeds.com/connect/10074733072513#/reservations/31726637420745?display=MXEB41N92&amp;reservation_id=31726637420745", "MXEB41N92")</f>
        <v>MXEB41N92</v>
      </c>
      <c r="B10924" t="s">
        <v>10</v>
      </c>
      <c r="C10924" t="s">
        <v>11</v>
      </c>
      <c r="D10924" t="str">
        <f>HYPERLINK("https://us2.cloudbeds.com/connect/10074733072513#/reservations/31726637420745?display=Christine%20Schiltz&amp;reservation_id=31726637420745&amp;guest_id=31726637416660", "Christine Schiltz")</f>
        <v>Christine Schiltz</v>
      </c>
      <c r="E10924" t="s">
        <v>10005</v>
      </c>
      <c r="F10924" t="s">
        <v>9817</v>
      </c>
      <c r="G10924">
        <v>110.86</v>
      </c>
      <c r="H10924">
        <v>120.51</v>
      </c>
      <c r="I10924">
        <v>120.5</v>
      </c>
      <c r="J10924">
        <v>0.01</v>
      </c>
    </row>
    <row r="10925" spans="1:10" x14ac:dyDescent="0.3">
      <c r="A10925" t="str">
        <f>HYPERLINK("https://us2.cloudbeds.com/connect/10074733072513#/reservations/31726160191709?display=MXDVUY3E4&amp;reservation_id=31726160191709", "MXDVUY3E4")</f>
        <v>MXDVUY3E4</v>
      </c>
      <c r="B10925" t="s">
        <v>10</v>
      </c>
      <c r="C10925" t="s">
        <v>23</v>
      </c>
      <c r="D10925" t="str">
        <f>HYPERLINK("https://us2.cloudbeds.com/connect/10074733072513#/reservations/31726160191709?display=Breann%20Roozenboom&amp;reservation_id=31726160191709&amp;guest_id=31726160187617", "Breann Roozenboom")</f>
        <v>Breann Roozenboom</v>
      </c>
      <c r="E10925" t="s">
        <v>10006</v>
      </c>
      <c r="F10925" t="s">
        <v>9445</v>
      </c>
      <c r="G10925">
        <v>398</v>
      </c>
      <c r="H10925">
        <v>432.64</v>
      </c>
      <c r="I10925">
        <v>432.63</v>
      </c>
      <c r="J10925">
        <v>0.01</v>
      </c>
    </row>
    <row r="10926" spans="1:10" x14ac:dyDescent="0.3">
      <c r="A10926" t="str">
        <f>HYPERLINK("https://us2.cloudbeds.com/connect/10074733072513#/reservations/31726485147794?display=MXE77YG17&amp;reservation_id=31726485147794", "MXE77YG17")</f>
        <v>MXE77YG17</v>
      </c>
      <c r="B10926" t="s">
        <v>10</v>
      </c>
      <c r="C10926" t="s">
        <v>42</v>
      </c>
      <c r="D10926" t="str">
        <f>HYPERLINK("https://us2.cloudbeds.com/connect/10074733072513#/reservations/31726485147794?display=Tom%20Kotalik&amp;reservation_id=31726485147794&amp;guest_id=31726485143703", "Tom Kotalik")</f>
        <v>Tom Kotalik</v>
      </c>
      <c r="E10926" t="s">
        <v>9919</v>
      </c>
      <c r="F10926" t="s">
        <v>8801</v>
      </c>
      <c r="G10926">
        <v>139</v>
      </c>
      <c r="H10926">
        <v>151.1</v>
      </c>
      <c r="I10926">
        <v>151.09</v>
      </c>
      <c r="J10926">
        <v>0.01</v>
      </c>
    </row>
    <row r="10927" spans="1:10" x14ac:dyDescent="0.3">
      <c r="A10927" t="str">
        <f>HYPERLINK("https://us2.cloudbeds.com/connect/10074733072513#/reservations/31732547510502?display=MXXU4JYV2&amp;reservation_id=31732547510502", "MXXU4JYV2")</f>
        <v>MXXU4JYV2</v>
      </c>
      <c r="B10927" t="s">
        <v>10</v>
      </c>
      <c r="C10927" t="s">
        <v>23</v>
      </c>
      <c r="D10927" t="str">
        <f>HYPERLINK("https://us2.cloudbeds.com/connect/10074733072513#/reservations/31732547510502?display=Ciera%20Bennett&amp;reservation_id=31732547510502&amp;guest_id=31732547510497", "Ciera Bennett")</f>
        <v>Ciera Bennett</v>
      </c>
      <c r="E10927" t="s">
        <v>7094</v>
      </c>
      <c r="F10927" t="s">
        <v>9235</v>
      </c>
      <c r="G10927">
        <v>209</v>
      </c>
      <c r="H10927">
        <v>227.19</v>
      </c>
      <c r="I10927">
        <v>227.18</v>
      </c>
      <c r="J10927">
        <v>0.01</v>
      </c>
    </row>
    <row r="10928" spans="1:10" x14ac:dyDescent="0.3">
      <c r="A10928" t="str">
        <f>HYPERLINK("https://us2.cloudbeds.com/connect/10074733072513#/reservations/31726285349050?display=MXE245Q3R&amp;reservation_id=31726285349050", "MXE245Q3R")</f>
        <v>MXE245Q3R</v>
      </c>
      <c r="B10928" t="s">
        <v>10</v>
      </c>
      <c r="C10928" t="s">
        <v>23</v>
      </c>
      <c r="D10928" t="str">
        <f>HYPERLINK("https://us2.cloudbeds.com/connect/10074733072513#/reservations/31726285349050?display=Caleb%20Smith&amp;reservation_id=31726285349050&amp;guest_id=31726285349046", "Caleb Smith")</f>
        <v>Caleb Smith</v>
      </c>
      <c r="E10928" t="s">
        <v>10007</v>
      </c>
      <c r="F10928" t="s">
        <v>9839</v>
      </c>
      <c r="G10928">
        <v>129</v>
      </c>
      <c r="H10928">
        <v>140.22999999999999</v>
      </c>
      <c r="I10928">
        <v>140.22</v>
      </c>
      <c r="J10928">
        <v>0.01</v>
      </c>
    </row>
    <row r="10929" spans="1:10" x14ac:dyDescent="0.3">
      <c r="A10929" t="str">
        <f>HYPERLINK("https://us2.cloudbeds.com/connect/10074733072513#/reservations/31723185721477?display=MXBYUG2QX&amp;reservation_id=31723185721477", "MXBYUG2QX")</f>
        <v>MXBYUG2QX</v>
      </c>
      <c r="B10929" t="s">
        <v>10</v>
      </c>
      <c r="C10929" t="s">
        <v>42</v>
      </c>
      <c r="D10929" t="str">
        <f>HYPERLINK("https://us2.cloudbeds.com/connect/10074733072513#/reservations/31723185721477?display=Amy%20Olds&amp;reservation_id=31723185721477&amp;guest_id=17963682562228", "Amy Olds")</f>
        <v>Amy Olds</v>
      </c>
      <c r="E10929" t="s">
        <v>10008</v>
      </c>
      <c r="F10929" t="s">
        <v>9463</v>
      </c>
      <c r="G10929">
        <v>338</v>
      </c>
      <c r="H10929">
        <v>367.42</v>
      </c>
      <c r="I10929">
        <v>367.41</v>
      </c>
      <c r="J10929">
        <v>0.01</v>
      </c>
    </row>
    <row r="10930" spans="1:10" x14ac:dyDescent="0.3">
      <c r="A10930" t="str">
        <f>HYPERLINK("https://us2.cloudbeds.com/connect/10074733072513#/reservations/31731298160768?display=MXHV73XA1&amp;reservation_id=31731298160768", "MXHV73XA1")</f>
        <v>MXHV73XA1</v>
      </c>
      <c r="B10930" t="s">
        <v>10</v>
      </c>
      <c r="C10930" t="s">
        <v>42</v>
      </c>
      <c r="D10930" t="str">
        <f>HYPERLINK("https://us2.cloudbeds.com/connect/10074733072513#/reservations/31731298160768?display=James%20Martin&amp;reservation_id=31731298160768&amp;guest_id=31731298156734", "James Martin")</f>
        <v>James Martin</v>
      </c>
      <c r="E10930" t="s">
        <v>10009</v>
      </c>
      <c r="F10930" t="s">
        <v>9817</v>
      </c>
      <c r="G10930">
        <v>199</v>
      </c>
      <c r="H10930">
        <v>216.32</v>
      </c>
      <c r="I10930">
        <v>216.31</v>
      </c>
      <c r="J10930">
        <v>0.01</v>
      </c>
    </row>
    <row r="10931" spans="1:10" x14ac:dyDescent="0.3">
      <c r="A10931" t="str">
        <f>HYPERLINK("https://us2.cloudbeds.com/connect/10074733072513#/reservations/31729945927864?display=MXGTYSQ5X&amp;reservation_id=31729945927864", "MXGTYSQ5X")</f>
        <v>MXGTYSQ5X</v>
      </c>
      <c r="B10931" t="s">
        <v>10</v>
      </c>
      <c r="C10931" t="s">
        <v>23</v>
      </c>
      <c r="D10931" t="str">
        <f>HYPERLINK("https://us2.cloudbeds.com/connect/10074733072513#/reservations/31729945927864?display=Edna%20Sobania&amp;reservation_id=31729945927864&amp;guest_id=31725409194117", "Edna Sobania")</f>
        <v>Edna Sobania</v>
      </c>
      <c r="E10931" t="s">
        <v>3830</v>
      </c>
      <c r="F10931" t="s">
        <v>6933</v>
      </c>
      <c r="G10931">
        <v>219</v>
      </c>
      <c r="H10931">
        <v>238.06</v>
      </c>
      <c r="I10931">
        <v>238.05</v>
      </c>
      <c r="J10931">
        <v>0.01</v>
      </c>
    </row>
    <row r="10932" spans="1:10" x14ac:dyDescent="0.3">
      <c r="A10932" t="str">
        <f>HYPERLINK("https://us2.cloudbeds.com/connect/10074733072513#/reservations/31728326324479?display=MXFY95V23&amp;reservation_id=31728326324479", "MXFY95V23")</f>
        <v>MXFY95V23</v>
      </c>
      <c r="B10932" t="s">
        <v>10</v>
      </c>
      <c r="C10932" t="s">
        <v>42</v>
      </c>
      <c r="D10932" t="str">
        <f>HYPERLINK("https://us2.cloudbeds.com/connect/10074733072513#/reservations/31728326324479?display=Michael%20Storm&amp;reservation_id=31728326324479&amp;guest_id=31728313565405", "Michael Storm")</f>
        <v>Michael Storm</v>
      </c>
      <c r="E10932" t="s">
        <v>10010</v>
      </c>
      <c r="F10932" t="s">
        <v>9914</v>
      </c>
      <c r="G10932">
        <v>420</v>
      </c>
      <c r="H10932">
        <v>456.55</v>
      </c>
      <c r="I10932">
        <v>456.54</v>
      </c>
      <c r="J10932">
        <v>0.01</v>
      </c>
    </row>
    <row r="10933" spans="1:10" x14ac:dyDescent="0.3">
      <c r="A10933" t="str">
        <f>HYPERLINK("https://us2.cloudbeds.com/connect/10074733072513#/reservations/31728843374815?display=MXG1G5KP3&amp;reservation_id=31728843374815", "MXG1G5KP3")</f>
        <v>MXG1G5KP3</v>
      </c>
      <c r="B10933" t="s">
        <v>10</v>
      </c>
      <c r="C10933" t="s">
        <v>23</v>
      </c>
      <c r="D10933" t="str">
        <f>HYPERLINK("https://us2.cloudbeds.com/connect/10074733072513#/reservations/31728843374815?display=Kadie%20Roozenboom&amp;reservation_id=31728843374815&amp;guest_id=31728843374813", "Kadie Roozenboom")</f>
        <v>Kadie Roozenboom</v>
      </c>
      <c r="E10933" t="s">
        <v>10011</v>
      </c>
      <c r="F10933" t="s">
        <v>9930</v>
      </c>
      <c r="G10933">
        <v>159</v>
      </c>
      <c r="H10933">
        <v>172.84</v>
      </c>
      <c r="I10933">
        <v>172.83</v>
      </c>
      <c r="J10933">
        <v>0.01</v>
      </c>
    </row>
    <row r="10934" spans="1:10" x14ac:dyDescent="0.3">
      <c r="A10934" t="str">
        <f>HYPERLINK("https://us2.cloudbeds.com/connect/10074733072513#/reservations/31729364570242?display=MXGEQYYPU&amp;reservation_id=31729364570242", "MXGEQYYPU")</f>
        <v>MXGEQYYPU</v>
      </c>
      <c r="B10934" t="s">
        <v>10</v>
      </c>
      <c r="C10934" t="s">
        <v>42</v>
      </c>
      <c r="D10934" t="str">
        <f>HYPERLINK("https://us2.cloudbeds.com/connect/10074733072513#/reservations/31729364570242?display=Anna%20Wyly&amp;reservation_id=31729364570242&amp;guest_id=31702784688271", "Anna Wyly")</f>
        <v>Anna Wyly</v>
      </c>
      <c r="E10934" t="s">
        <v>10012</v>
      </c>
      <c r="F10934" t="s">
        <v>9235</v>
      </c>
      <c r="G10934">
        <v>178</v>
      </c>
      <c r="H10934">
        <v>193.5</v>
      </c>
      <c r="I10934">
        <v>193.49</v>
      </c>
      <c r="J10934">
        <v>0.01</v>
      </c>
    </row>
    <row r="10935" spans="1:10" x14ac:dyDescent="0.3">
      <c r="A10935" t="str">
        <f>HYPERLINK("https://us2.cloudbeds.com/connect/10074733072513#/reservations/31726354776274?display=MXE3TNNA3&amp;reservation_id=31726354776274", "MXE3TNNA3")</f>
        <v>MXE3TNNA3</v>
      </c>
      <c r="B10935" t="s">
        <v>10</v>
      </c>
      <c r="C10935" t="s">
        <v>42</v>
      </c>
      <c r="D10935" t="str">
        <f>HYPERLINK("https://us2.cloudbeds.com/connect/10074733072513#/reservations/31726354776274?display=Eric%20Pawelk&amp;reservation_id=31726354776274&amp;guest_id=31726354776269", "Eric Pawelk")</f>
        <v>Eric Pawelk</v>
      </c>
      <c r="E10935" t="s">
        <v>10013</v>
      </c>
      <c r="F10935" t="s">
        <v>8835</v>
      </c>
      <c r="G10935">
        <v>338</v>
      </c>
      <c r="H10935">
        <v>367.42</v>
      </c>
      <c r="I10935">
        <v>367.41</v>
      </c>
      <c r="J10935">
        <v>0.01</v>
      </c>
    </row>
    <row r="10936" spans="1:10" x14ac:dyDescent="0.3">
      <c r="A10936" t="str">
        <f>HYPERLINK("https://us2.cloudbeds.com/connect/10074733072513#/reservations/31730048999557?display=MXGW9PU65&amp;reservation_id=31730048999557", "MXGW9PU65")</f>
        <v>MXGW9PU65</v>
      </c>
      <c r="B10936" t="s">
        <v>10</v>
      </c>
      <c r="C10936" t="s">
        <v>23</v>
      </c>
      <c r="D10936" t="str">
        <f>HYPERLINK("https://us2.cloudbeds.com/connect/10074733072513#/reservations/31730048999557?display=Kerry%20Bartholow&amp;reservation_id=31730048999557&amp;guest_id=31730041155735", "Kerry Bartholow")</f>
        <v>Kerry Bartholow</v>
      </c>
      <c r="E10936" t="s">
        <v>10015</v>
      </c>
      <c r="F10936" t="s">
        <v>8355</v>
      </c>
      <c r="G10936">
        <v>169</v>
      </c>
      <c r="H10936">
        <v>183.71</v>
      </c>
      <c r="I10936">
        <v>183.7</v>
      </c>
      <c r="J10936">
        <v>0.01</v>
      </c>
    </row>
    <row r="10937" spans="1:10" x14ac:dyDescent="0.3">
      <c r="A10937" t="str">
        <f>HYPERLINK("https://us2.cloudbeds.com/connect/10074733072513#/reservations/31732583657600?display=MXXURCF4H&amp;reservation_id=31732583657600", "MXXURCF4H")</f>
        <v>MXXURCF4H</v>
      </c>
      <c r="B10937" t="s">
        <v>10</v>
      </c>
      <c r="C10937" t="s">
        <v>42</v>
      </c>
      <c r="D10937" t="str">
        <f>HYPERLINK("https://us2.cloudbeds.com/connect/10074733072513#/reservations/31732583657600?display=Nicholas%20Baxley&amp;reservation_id=31732583657600&amp;guest_id=31732574527711", "Nicholas Baxley")</f>
        <v>Nicholas Baxley</v>
      </c>
      <c r="E10937" t="s">
        <v>10016</v>
      </c>
      <c r="F10937" t="s">
        <v>9235</v>
      </c>
      <c r="G10937">
        <v>209</v>
      </c>
      <c r="H10937">
        <v>227.19</v>
      </c>
      <c r="I10937">
        <v>227.18</v>
      </c>
      <c r="J10937">
        <v>0.01</v>
      </c>
    </row>
    <row r="10938" spans="1:10" x14ac:dyDescent="0.3">
      <c r="A10938" t="str">
        <f>HYPERLINK("https://us2.cloudbeds.com/connect/10074733072513#/reservations/31725586800874?display=MXDH94YZ9&amp;reservation_id=31725586800874", "MXDH94YZ9")</f>
        <v>MXDH94YZ9</v>
      </c>
      <c r="B10938" t="s">
        <v>10</v>
      </c>
      <c r="C10938" t="s">
        <v>17</v>
      </c>
      <c r="D10938" t="str">
        <f>HYPERLINK("https://us2.cloudbeds.com/connect/10074733072513#/reservations/31725586800874?display=Sam%20Anderson&amp;reservation_id=31725586800874&amp;guest_id=31725586800858", "Sam Anderson")</f>
        <v>Sam Anderson</v>
      </c>
      <c r="E10938" t="s">
        <v>10017</v>
      </c>
      <c r="F10938" t="s">
        <v>9463</v>
      </c>
      <c r="G10938">
        <v>378</v>
      </c>
      <c r="H10938">
        <v>410.9</v>
      </c>
      <c r="I10938">
        <v>410.89</v>
      </c>
      <c r="J10938">
        <v>0.01</v>
      </c>
    </row>
    <row r="10939" spans="1:10" x14ac:dyDescent="0.3">
      <c r="A10939" t="str">
        <f>HYPERLINK("https://us2.cloudbeds.com/connect/10074733072513#/reservations/31732517540079?display=MXXTCAMTE&amp;reservation_id=31732517540079", "MXXTCAMTE")</f>
        <v>MXXTCAMTE</v>
      </c>
      <c r="B10939" t="s">
        <v>10</v>
      </c>
      <c r="C10939" t="s">
        <v>42</v>
      </c>
      <c r="D10939" t="str">
        <f>HYPERLINK("https://us2.cloudbeds.com/connect/10074733072513#/reservations/31732517540079?display=Edna%20Sobania&amp;reservation_id=31732517540079&amp;guest_id=31725409194117", "Edna Sobania")</f>
        <v>Edna Sobania</v>
      </c>
      <c r="E10939" t="s">
        <v>3830</v>
      </c>
      <c r="F10939" t="s">
        <v>9235</v>
      </c>
      <c r="G10939">
        <v>219</v>
      </c>
      <c r="H10939">
        <v>238.06</v>
      </c>
      <c r="I10939">
        <v>238.05</v>
      </c>
      <c r="J10939">
        <v>0.01</v>
      </c>
    </row>
    <row r="10940" spans="1:10" x14ac:dyDescent="0.3">
      <c r="A10940" t="str">
        <f>HYPERLINK("https://us2.cloudbeds.com/connect/10074733072513#/reservations/31723195003077?display=MXBM5ABS5&amp;reservation_id=31723195003077", "MXBM5ABS5")</f>
        <v>MXBM5ABS5</v>
      </c>
      <c r="B10940" t="s">
        <v>10</v>
      </c>
      <c r="C10940" t="s">
        <v>42</v>
      </c>
      <c r="D10940" t="str">
        <f>HYPERLINK("https://us2.cloudbeds.com/connect/10074733072513#/reservations/31723195003077?display=Loraine%20Erickson&amp;reservation_id=31723195003077&amp;guest_id=31723194998983", "Loraine Erickson")</f>
        <v>Loraine Erickson</v>
      </c>
      <c r="E10940" t="s">
        <v>10017</v>
      </c>
      <c r="F10940" t="s">
        <v>9463</v>
      </c>
      <c r="G10940">
        <v>338</v>
      </c>
      <c r="H10940">
        <v>367.42</v>
      </c>
      <c r="I10940">
        <v>367.41</v>
      </c>
      <c r="J10940">
        <v>0.01</v>
      </c>
    </row>
    <row r="10941" spans="1:10" x14ac:dyDescent="0.3">
      <c r="A10941" t="str">
        <f>HYPERLINK("https://us2.cloudbeds.com/connect/10074733072513#/reservations/31731319025838?display=MXHVZN8S2&amp;reservation_id=31731319025838", "MXHVZN8S2")</f>
        <v>MXHVZN8S2</v>
      </c>
      <c r="B10941" t="s">
        <v>10</v>
      </c>
      <c r="C10941" t="s">
        <v>42</v>
      </c>
      <c r="D10941" t="str">
        <f>HYPERLINK("https://us2.cloudbeds.com/connect/10074733072513#/reservations/31731319025838?display=Dan%20Murphy&amp;reservation_id=31731319025838&amp;guest_id=31731313402059", "Dan Murphy")</f>
        <v>Dan Murphy</v>
      </c>
      <c r="E10941" t="s">
        <v>10019</v>
      </c>
      <c r="F10941" t="s">
        <v>9817</v>
      </c>
      <c r="G10941">
        <v>189</v>
      </c>
      <c r="H10941">
        <v>205.45</v>
      </c>
      <c r="I10941">
        <v>205.44</v>
      </c>
      <c r="J10941">
        <v>0.01</v>
      </c>
    </row>
    <row r="10942" spans="1:10" x14ac:dyDescent="0.3">
      <c r="A10942" t="str">
        <f>HYPERLINK("https://us2.cloudbeds.com/connect/10074733072513#/reservations/31734411346139?display=MXKBP7Y2S&amp;reservation_id=31734411346139", "MXKBP7Y2S")</f>
        <v>MXKBP7Y2S</v>
      </c>
      <c r="B10942" t="s">
        <v>10</v>
      </c>
      <c r="C10942" t="s">
        <v>17</v>
      </c>
      <c r="D10942" t="str">
        <f>HYPERLINK("https://us2.cloudbeds.com/connect/10074733072513#/reservations/31734411346139?display=Brad%20Pedersen&amp;reservation_id=31734411346139&amp;guest_id=31679662264555", "Brad Pedersen")</f>
        <v>Brad Pedersen</v>
      </c>
      <c r="E10942" t="s">
        <v>6458</v>
      </c>
      <c r="F10942" t="s">
        <v>9453</v>
      </c>
      <c r="G10942">
        <v>189</v>
      </c>
      <c r="H10942">
        <v>205.45</v>
      </c>
      <c r="I10942">
        <v>205.44</v>
      </c>
      <c r="J10942">
        <v>0.01</v>
      </c>
    </row>
    <row r="10943" spans="1:10" x14ac:dyDescent="0.3">
      <c r="A10943" t="str">
        <f>HYPERLINK("https://us2.cloudbeds.com/connect/10074733072513#/reservations/31728225947812?display=MXFXNHQQU&amp;reservation_id=31728225947812", "MXFXNHQQU")</f>
        <v>MXFXNHQQU</v>
      </c>
      <c r="B10943" t="s">
        <v>10</v>
      </c>
      <c r="C10943" t="s">
        <v>23</v>
      </c>
      <c r="D10943" t="str">
        <f>HYPERLINK("https://us2.cloudbeds.com/connect/10074733072513#/reservations/31728225947812?display=Jed%20Smeenk&amp;reservation_id=31728225947812&amp;guest_id=31728225947807", "Jed Smeenk")</f>
        <v>Jed Smeenk</v>
      </c>
      <c r="E10943" t="s">
        <v>10020</v>
      </c>
      <c r="F10943" t="s">
        <v>9235</v>
      </c>
      <c r="G10943">
        <v>239</v>
      </c>
      <c r="H10943">
        <v>259.8</v>
      </c>
      <c r="I10943">
        <v>259.79000000000002</v>
      </c>
      <c r="J10943">
        <v>0.01</v>
      </c>
    </row>
    <row r="10944" spans="1:10" x14ac:dyDescent="0.3">
      <c r="A10944" t="str">
        <f>HYPERLINK("https://us2.cloudbeds.com/connect/10074733072513#/reservations/31723937849551?display=MXC84N56C&amp;reservation_id=31723937849551", "MXC84N56C")</f>
        <v>MXC84N56C</v>
      </c>
      <c r="B10944" t="s">
        <v>10</v>
      </c>
      <c r="C10944" t="s">
        <v>42</v>
      </c>
      <c r="D10944" t="str">
        <f>HYPERLINK("https://us2.cloudbeds.com/connect/10074733072513#/reservations/31723937849551?display=Rebecca%20Franzen&amp;reservation_id=31723937849551&amp;guest_id=31723937845466", "Rebecca Franzen")</f>
        <v>Rebecca Franzen</v>
      </c>
      <c r="E10944" t="s">
        <v>10022</v>
      </c>
      <c r="F10944" t="s">
        <v>9463</v>
      </c>
      <c r="G10944">
        <v>338</v>
      </c>
      <c r="H10944">
        <v>367.42</v>
      </c>
      <c r="I10944">
        <v>367.41</v>
      </c>
      <c r="J10944">
        <v>0.01</v>
      </c>
    </row>
    <row r="10945" spans="1:10" x14ac:dyDescent="0.3">
      <c r="A10945" t="str">
        <f>HYPERLINK("https://us2.cloudbeds.com/connect/10074733072513#/reservations/31729015857325?display=MXG5TK6TR&amp;reservation_id=31729015857325", "MXG5TK6TR")</f>
        <v>MXG5TK6TR</v>
      </c>
      <c r="B10945" t="s">
        <v>10</v>
      </c>
      <c r="C10945" t="s">
        <v>23</v>
      </c>
      <c r="D10945" t="str">
        <f>HYPERLINK("https://us2.cloudbeds.com/connect/10074733072513#/reservations/31729015857325?display=Nicole%20Mintzlaff&amp;reservation_id=31729015857325&amp;guest_id=31729006846102", "Nicole Mintzlaff")</f>
        <v>Nicole Mintzlaff</v>
      </c>
      <c r="E10945" t="s">
        <v>10023</v>
      </c>
      <c r="F10945" t="s">
        <v>9892</v>
      </c>
      <c r="G10945">
        <v>139</v>
      </c>
      <c r="H10945">
        <v>151.1</v>
      </c>
      <c r="I10945">
        <v>151.09</v>
      </c>
      <c r="J10945">
        <v>0.01</v>
      </c>
    </row>
    <row r="10946" spans="1:10" x14ac:dyDescent="0.3">
      <c r="A10946" t="str">
        <f>HYPERLINK("https://us2.cloudbeds.com/connect/10074733072513#/reservations/31729830514834?display=MXGQNX8E0&amp;reservation_id=31729830514834", "MXGQNX8E0")</f>
        <v>MXGQNX8E0</v>
      </c>
      <c r="B10946" t="s">
        <v>10</v>
      </c>
      <c r="C10946" t="s">
        <v>20</v>
      </c>
      <c r="D10946" t="str">
        <f>HYPERLINK("https://us2.cloudbeds.com/connect/10074733072513#/reservations/31729830514834?display=Charisse%20Mcguinn&amp;reservation_id=31729830514834&amp;guest_id=31729830510738", "Charisse Mcguinn")</f>
        <v>Charisse Mcguinn</v>
      </c>
      <c r="E10946" t="s">
        <v>10024</v>
      </c>
      <c r="F10946" t="s">
        <v>8918</v>
      </c>
      <c r="G10946">
        <v>418</v>
      </c>
      <c r="H10946">
        <v>454.38</v>
      </c>
      <c r="I10946">
        <v>454.37</v>
      </c>
      <c r="J10946">
        <v>0.01</v>
      </c>
    </row>
    <row r="10947" spans="1:10" x14ac:dyDescent="0.3">
      <c r="A10947" t="str">
        <f>HYPERLINK("https://us2.cloudbeds.com/connect/10074733072513#/reservations/31727086559446?display=MXEMJPYGZ&amp;reservation_id=31727086559446", "MXEMJPYGZ")</f>
        <v>MXEMJPYGZ</v>
      </c>
      <c r="B10947" t="s">
        <v>10</v>
      </c>
      <c r="C10947" t="s">
        <v>42</v>
      </c>
      <c r="D10947" t="str">
        <f>HYPERLINK("https://us2.cloudbeds.com/connect/10074733072513#/reservations/31727086559446?display=Jim%20Sundall&amp;reservation_id=31727086559446&amp;guest_id=31727080571132", "Jim Sundall")</f>
        <v>Jim Sundall</v>
      </c>
      <c r="E10947" t="s">
        <v>10025</v>
      </c>
      <c r="F10947" t="s">
        <v>10026</v>
      </c>
      <c r="G10947">
        <v>139</v>
      </c>
      <c r="H10947">
        <v>151.1</v>
      </c>
      <c r="I10947">
        <v>151.09</v>
      </c>
      <c r="J10947">
        <v>0.01</v>
      </c>
    </row>
    <row r="10948" spans="1:10" x14ac:dyDescent="0.3">
      <c r="A10948" t="str">
        <f>HYPERLINK("https://us2.cloudbeds.com/connect/10074733072513#/reservations/31728352882851?display=MXFYVXVU8&amp;reservation_id=31728352882851", "MXFYVXVU8")</f>
        <v>MXFYVXVU8</v>
      </c>
      <c r="B10948" t="s">
        <v>10</v>
      </c>
      <c r="C10948" t="s">
        <v>23</v>
      </c>
      <c r="D10948" t="str">
        <f>HYPERLINK("https://us2.cloudbeds.com/connect/10074733072513#/reservations/31728352882851?display=Kelley%20Hough&amp;reservation_id=31728352882851&amp;guest_id=31728342360198", "Kelley Hough")</f>
        <v>Kelley Hough</v>
      </c>
      <c r="E10948" t="s">
        <v>10027</v>
      </c>
      <c r="F10948" t="s">
        <v>9914</v>
      </c>
      <c r="G10948">
        <v>129</v>
      </c>
      <c r="H10948">
        <v>140.22999999999999</v>
      </c>
      <c r="I10948">
        <v>140.22</v>
      </c>
      <c r="J10948">
        <v>0.01</v>
      </c>
    </row>
    <row r="10949" spans="1:10" x14ac:dyDescent="0.3">
      <c r="A10949" t="str">
        <f>HYPERLINK("https://us2.cloudbeds.com/connect/10074733072513#/reservations/31730015477936?display=MXGVEH45G&amp;reservation_id=31730015477936", "MXGVEH45G")</f>
        <v>MXGVEH45G</v>
      </c>
      <c r="B10949" t="s">
        <v>10</v>
      </c>
      <c r="C10949" t="s">
        <v>11</v>
      </c>
      <c r="D10949" t="str">
        <f>HYPERLINK("https://us2.cloudbeds.com/connect/10074733072513#/reservations/31730015477936?display=Michael%20Dumbeck&amp;reservation_id=31730015477936&amp;guest_id=31730015477931", "Michael Dumbeck")</f>
        <v>Michael Dumbeck</v>
      </c>
      <c r="E10949" t="s">
        <v>10028</v>
      </c>
      <c r="F10949" t="s">
        <v>9914</v>
      </c>
      <c r="G10949">
        <v>491.4</v>
      </c>
      <c r="H10949">
        <v>534.16</v>
      </c>
      <c r="I10949">
        <v>534.15</v>
      </c>
      <c r="J10949">
        <v>0.01</v>
      </c>
    </row>
    <row r="10950" spans="1:10" x14ac:dyDescent="0.3">
      <c r="A10950" t="str">
        <f>HYPERLINK("https://us2.cloudbeds.com/connect/10074733072513#/reservations/31734400880774?display=MXKBGDE0J&amp;reservation_id=31734400880774", "MXKBGDE0J")</f>
        <v>MXKBGDE0J</v>
      </c>
      <c r="B10950" t="s">
        <v>10</v>
      </c>
      <c r="C10950" t="s">
        <v>20</v>
      </c>
      <c r="D10950" t="str">
        <f>HYPERLINK("https://us2.cloudbeds.com/connect/10074733072513#/reservations/31734400880774?display=Ginger%20Steele&amp;reservation_id=31734400880774&amp;guest_id=31734400876682", "Ginger Steele")</f>
        <v>Ginger Steele</v>
      </c>
      <c r="E10950" t="s">
        <v>10029</v>
      </c>
      <c r="F10950" t="s">
        <v>9453</v>
      </c>
      <c r="G10950">
        <v>219</v>
      </c>
      <c r="H10950">
        <v>238.06</v>
      </c>
      <c r="I10950">
        <v>238.05</v>
      </c>
      <c r="J10950">
        <v>0.01</v>
      </c>
    </row>
    <row r="10951" spans="1:10" x14ac:dyDescent="0.3">
      <c r="A10951" t="str">
        <f>HYPERLINK("https://us2.cloudbeds.com/connect/10074733072513#/reservations/31730233204923?display=MXH403N3W&amp;reservation_id=31730233204923", "MXH403N3W")</f>
        <v>MXH403N3W</v>
      </c>
      <c r="B10951" t="s">
        <v>10</v>
      </c>
      <c r="C10951" t="s">
        <v>23</v>
      </c>
      <c r="D10951" t="str">
        <f>HYPERLINK("https://us2.cloudbeds.com/connect/10074733072513#/reservations/31730233204923?display=Tammie%20Eichmann&amp;reservation_id=31730233204923&amp;guest_id=31730222780641", "Tammie Eichmann")</f>
        <v>Tammie Eichmann</v>
      </c>
      <c r="E10951" t="s">
        <v>10030</v>
      </c>
      <c r="F10951" t="s">
        <v>8716</v>
      </c>
      <c r="G10951">
        <v>527</v>
      </c>
      <c r="H10951">
        <v>572.86</v>
      </c>
      <c r="I10951">
        <v>572.85</v>
      </c>
      <c r="J10951">
        <v>0.01</v>
      </c>
    </row>
    <row r="10952" spans="1:10" x14ac:dyDescent="0.3">
      <c r="A10952" t="str">
        <f>HYPERLINK("https://us2.cloudbeds.com/connect/10074733072513#/reservations/31729637322932?display=MXGYPYDCV&amp;reservation_id=31729637322932", "MXGYPYDCV")</f>
        <v>MXGYPYDCV</v>
      </c>
      <c r="B10952" t="s">
        <v>10</v>
      </c>
      <c r="C10952" t="s">
        <v>23</v>
      </c>
      <c r="D10952" t="str">
        <f>HYPERLINK("https://us2.cloudbeds.com/connect/10074733072513#/reservations/31729637322932?display=Joshua%20Sackmann&amp;reservation_id=31729637322932&amp;guest_id=31729628233973", "Joshua Sackmann")</f>
        <v>Joshua Sackmann</v>
      </c>
      <c r="E10952" t="s">
        <v>10031</v>
      </c>
      <c r="F10952" t="s">
        <v>8045</v>
      </c>
      <c r="G10952">
        <v>418</v>
      </c>
      <c r="H10952">
        <v>454.38</v>
      </c>
      <c r="I10952">
        <v>454.37</v>
      </c>
      <c r="J10952">
        <v>0.01</v>
      </c>
    </row>
    <row r="10953" spans="1:10" x14ac:dyDescent="0.3">
      <c r="A10953" t="str">
        <f>HYPERLINK("https://us2.cloudbeds.com/connect/10074733072513#/reservations/31731571282127?display=MXX56DM51&amp;reservation_id=31731571282127", "MXX56DM51")</f>
        <v>MXX56DM51</v>
      </c>
      <c r="B10953" t="s">
        <v>10</v>
      </c>
      <c r="C10953" t="s">
        <v>42</v>
      </c>
      <c r="D10953" t="str">
        <f>HYPERLINK("https://us2.cloudbeds.com/connect/10074733072513#/reservations/31731571282127?display=Arlyn%20Johns&amp;reservation_id=31731571282127&amp;guest_id=31682571722972", "Arlyn Johns")</f>
        <v>Arlyn Johns</v>
      </c>
      <c r="E10953" t="s">
        <v>10034</v>
      </c>
      <c r="F10953" t="s">
        <v>9989</v>
      </c>
      <c r="G10953">
        <v>156.6</v>
      </c>
      <c r="H10953">
        <v>170.23</v>
      </c>
      <c r="I10953">
        <v>170.22</v>
      </c>
      <c r="J10953">
        <v>0.01</v>
      </c>
    </row>
    <row r="10954" spans="1:10" x14ac:dyDescent="0.3">
      <c r="A10954" t="str">
        <f>HYPERLINK("https://us2.cloudbeds.com/connect/10074733072513#/reservations/31728372609174?display=MXFMF6T2K&amp;reservation_id=31728372609174", "MXFMF6T2K")</f>
        <v>MXFMF6T2K</v>
      </c>
      <c r="B10954" t="s">
        <v>10</v>
      </c>
      <c r="C10954" t="s">
        <v>42</v>
      </c>
      <c r="D10954" t="str">
        <f>HYPERLINK("https://us2.cloudbeds.com/connect/10074733072513#/reservations/31728372609174?display=Elizabeth%20And%20Jay%20Geist&amp;reservation_id=31728372609174&amp;guest_id=31728372609161", "Elizabeth And Jay Geist")</f>
        <v>Elizabeth And Jay Geist</v>
      </c>
      <c r="E10954" t="s">
        <v>10036</v>
      </c>
      <c r="F10954" t="s">
        <v>9914</v>
      </c>
      <c r="G10954">
        <v>336</v>
      </c>
      <c r="H10954">
        <v>365.24</v>
      </c>
      <c r="I10954">
        <v>365.23</v>
      </c>
      <c r="J10954">
        <v>0.01</v>
      </c>
    </row>
    <row r="10955" spans="1:10" x14ac:dyDescent="0.3">
      <c r="A10955" t="str">
        <f>HYPERLINK("https://us2.cloudbeds.com/connect/10074733072513#/reservations/31731532931283?display=MXX472GJ8&amp;reservation_id=31731532931283", "MXX472GJ8")</f>
        <v>MXX472GJ8</v>
      </c>
      <c r="B10955" t="s">
        <v>10</v>
      </c>
      <c r="C10955" t="s">
        <v>42</v>
      </c>
      <c r="D10955" t="str">
        <f>HYPERLINK("https://us2.cloudbeds.com/connect/10074733072513#/reservations/31731532931283?display=Cobren%20Bird&amp;reservation_id=31731532931283&amp;guest_id=31731532927187", "Cobren Bird")</f>
        <v>Cobren Bird</v>
      </c>
      <c r="E10955" t="s">
        <v>7109</v>
      </c>
      <c r="F10955" t="s">
        <v>9989</v>
      </c>
      <c r="G10955">
        <v>73</v>
      </c>
      <c r="H10955">
        <v>79.36</v>
      </c>
      <c r="I10955">
        <v>79.349999999999994</v>
      </c>
      <c r="J10955">
        <v>0.01</v>
      </c>
    </row>
    <row r="10956" spans="1:10" x14ac:dyDescent="0.3">
      <c r="A10956" t="str">
        <f>HYPERLINK("https://us2.cloudbeds.com/connect/10074733072513#/reservations/31725700472972?display=MXDK5WZRA&amp;reservation_id=31725700472972", "MXDK5WZRA")</f>
        <v>MXDK5WZRA</v>
      </c>
      <c r="B10956" t="s">
        <v>10</v>
      </c>
      <c r="C10956" t="s">
        <v>42</v>
      </c>
      <c r="D10956" t="str">
        <f>HYPERLINK("https://us2.cloudbeds.com/connect/10074733072513#/reservations/31725700472972?display=Jason%20Derby&amp;reservation_id=31725700472972&amp;guest_id=31712130609392", "Jason Derby")</f>
        <v>Jason Derby</v>
      </c>
      <c r="E10956" t="s">
        <v>10037</v>
      </c>
      <c r="F10956" t="s">
        <v>9992</v>
      </c>
      <c r="G10956">
        <v>504</v>
      </c>
      <c r="H10956">
        <v>547.86</v>
      </c>
      <c r="I10956">
        <v>547.85</v>
      </c>
      <c r="J10956">
        <v>0.01</v>
      </c>
    </row>
    <row r="10957" spans="1:10" x14ac:dyDescent="0.3">
      <c r="A10957" t="str">
        <f>HYPERLINK("https://us2.cloudbeds.com/connect/10074733072513#/reservations/31730049700021?display=MXGWACDDC&amp;reservation_id=31730049700021", "MXGWACDDC")</f>
        <v>MXGWACDDC</v>
      </c>
      <c r="B10957" t="s">
        <v>10</v>
      </c>
      <c r="C10957" t="s">
        <v>23</v>
      </c>
      <c r="D10957" t="str">
        <f>HYPERLINK("https://us2.cloudbeds.com/connect/10074733072513#/reservations/31730049700021?display=Kristin%20Kluin&amp;reservation_id=31730049700021&amp;guest_id=31730049700016", "Kristin Kluin")</f>
        <v>Kristin Kluin</v>
      </c>
      <c r="E10957" t="s">
        <v>4389</v>
      </c>
      <c r="F10957" t="s">
        <v>9914</v>
      </c>
      <c r="G10957">
        <v>278</v>
      </c>
      <c r="H10957">
        <v>302.2</v>
      </c>
      <c r="I10957">
        <v>302.19</v>
      </c>
      <c r="J10957">
        <v>0.01</v>
      </c>
    </row>
    <row r="10958" spans="1:10" x14ac:dyDescent="0.3">
      <c r="A10958" t="str">
        <f>HYPERLINK("https://us2.cloudbeds.com/connect/10074733072513#/reservations/31724220666051?display=MXCFC5V4B&amp;reservation_id=31724220666051", "MXCFC5V4B")</f>
        <v>MXCFC5V4B</v>
      </c>
      <c r="B10958" t="s">
        <v>10</v>
      </c>
      <c r="C10958" t="s">
        <v>42</v>
      </c>
      <c r="D10958" t="str">
        <f>HYPERLINK("https://us2.cloudbeds.com/connect/10074733072513#/reservations/31724220666051?display=Pat%20Linderman&amp;reservation_id=31724220666051&amp;guest_id=31724220662014", "Pat Linderman")</f>
        <v>Pat Linderman</v>
      </c>
      <c r="E10958" t="s">
        <v>10038</v>
      </c>
      <c r="F10958" t="s">
        <v>10026</v>
      </c>
      <c r="G10958">
        <v>139</v>
      </c>
      <c r="H10958">
        <v>151.1</v>
      </c>
      <c r="I10958">
        <v>151.09</v>
      </c>
      <c r="J10958">
        <v>0.01</v>
      </c>
    </row>
    <row r="10959" spans="1:10" x14ac:dyDescent="0.3">
      <c r="A10959" t="str">
        <f>HYPERLINK("https://us2.cloudbeds.com/connect/10074733072513#/reservations/31727084519557?display=MXEMX1TAU&amp;reservation_id=31727084519557", "MXEMX1TAU")</f>
        <v>MXEMX1TAU</v>
      </c>
      <c r="B10959" t="s">
        <v>10</v>
      </c>
      <c r="C10959" t="s">
        <v>42</v>
      </c>
      <c r="D10959" t="str">
        <f>HYPERLINK("https://us2.cloudbeds.com/connect/10074733072513#/reservations/31727084519557?display=Ed%20Sundall&amp;reservation_id=31727084519557&amp;guest_id=31727074693365", "Ed Sundall")</f>
        <v>Ed Sundall</v>
      </c>
      <c r="E10959" t="s">
        <v>10039</v>
      </c>
      <c r="F10959" t="s">
        <v>10026</v>
      </c>
      <c r="G10959">
        <v>278</v>
      </c>
      <c r="H10959">
        <v>302.2</v>
      </c>
      <c r="I10959">
        <v>302.19</v>
      </c>
      <c r="J10959">
        <v>0.01</v>
      </c>
    </row>
    <row r="10960" spans="1:10" x14ac:dyDescent="0.3">
      <c r="A10960" t="str">
        <f>HYPERLINK("https://us2.cloudbeds.com/connect/10074733072513#/reservations/31728527544477?display=MXFQDS62P&amp;reservation_id=31728527544477", "MXFQDS62P")</f>
        <v>MXFQDS62P</v>
      </c>
      <c r="B10960" t="s">
        <v>10</v>
      </c>
      <c r="C10960" t="s">
        <v>42</v>
      </c>
      <c r="D10960" t="str">
        <f>HYPERLINK("https://us2.cloudbeds.com/connect/10074733072513#/reservations/31728527544477?display=Laura%20Hupke&amp;reservation_id=31728527544477&amp;guest_id=31728512872595", "Laura Hupke")</f>
        <v>Laura Hupke</v>
      </c>
      <c r="E10960" t="s">
        <v>10042</v>
      </c>
      <c r="F10960" t="s">
        <v>7649</v>
      </c>
      <c r="G10960">
        <v>169</v>
      </c>
      <c r="H10960">
        <v>183.71</v>
      </c>
      <c r="I10960">
        <v>183.7</v>
      </c>
      <c r="J10960">
        <v>0.01</v>
      </c>
    </row>
    <row r="10961" spans="1:10" x14ac:dyDescent="0.3">
      <c r="A10961" t="str">
        <f>HYPERLINK("https://us2.cloudbeds.com/connect/10074733072513#/reservations/31730318024959?display=MXH65KV43&amp;reservation_id=31730318024959", "MXH65KV43")</f>
        <v>MXH65KV43</v>
      </c>
      <c r="B10961" t="s">
        <v>10</v>
      </c>
      <c r="C10961" t="s">
        <v>11</v>
      </c>
      <c r="D10961" t="str">
        <f>HYPERLINK("https://us2.cloudbeds.com/connect/10074733072513#/reservations/31730318024959?display=Clyde%20Fischer&amp;reservation_id=31730318024959&amp;guest_id=31730318024943", "Clyde Fischer")</f>
        <v>Clyde Fischer</v>
      </c>
      <c r="E10961" t="s">
        <v>10043</v>
      </c>
      <c r="F10961" t="s">
        <v>8045</v>
      </c>
      <c r="G10961">
        <v>247.96</v>
      </c>
      <c r="H10961">
        <v>269.54000000000002</v>
      </c>
      <c r="I10961">
        <v>269.52999999999997</v>
      </c>
      <c r="J10961">
        <v>0.01</v>
      </c>
    </row>
    <row r="10962" spans="1:10" x14ac:dyDescent="0.3">
      <c r="A10962" t="str">
        <f>HYPERLINK("https://us2.cloudbeds.com/connect/10074733072513#/reservations/31726974419150?display=MXEJZ760V&amp;reservation_id=31726974419150", "MXEJZ760V")</f>
        <v>MXEJZ760V</v>
      </c>
      <c r="B10962" t="s">
        <v>10</v>
      </c>
      <c r="C10962" t="s">
        <v>42</v>
      </c>
      <c r="D10962" t="str">
        <f>HYPERLINK("https://us2.cloudbeds.com/connect/10074733072513#/reservations/31726974419150?display=Sam%20Sundall&amp;reservation_id=31726974419150&amp;guest_id=31726974419147", "Sam Sundall")</f>
        <v>Sam Sundall</v>
      </c>
      <c r="E10962" t="s">
        <v>10044</v>
      </c>
      <c r="F10962" t="s">
        <v>10026</v>
      </c>
      <c r="G10962">
        <v>278</v>
      </c>
      <c r="H10962">
        <v>302.2</v>
      </c>
      <c r="I10962">
        <v>302.19</v>
      </c>
      <c r="J10962">
        <v>0.01</v>
      </c>
    </row>
    <row r="10963" spans="1:10" x14ac:dyDescent="0.3">
      <c r="A10963" t="str">
        <f>HYPERLINK("https://us2.cloudbeds.com/connect/10074733072513#/reservations/31731021070515?display=MXHZ4F7AT&amp;reservation_id=31731021070515", "MXHZ4F7AT")</f>
        <v>MXHZ4F7AT</v>
      </c>
      <c r="B10963" t="s">
        <v>10</v>
      </c>
      <c r="C10963" t="s">
        <v>42</v>
      </c>
      <c r="D10963" t="str">
        <f>HYPERLINK("https://us2.cloudbeds.com/connect/10074733072513#/reservations/31731021070515?display=Chad%20Dlouhy&amp;reservation_id=31731021070515&amp;guest_id=31679007379686", "Chad Dlouhy")</f>
        <v>Chad Dlouhy</v>
      </c>
      <c r="E10963" t="s">
        <v>5838</v>
      </c>
      <c r="F10963" t="s">
        <v>8355</v>
      </c>
      <c r="G10963">
        <v>139</v>
      </c>
      <c r="H10963">
        <v>151.1</v>
      </c>
      <c r="I10963">
        <v>151.09</v>
      </c>
      <c r="J10963">
        <v>0.01</v>
      </c>
    </row>
    <row r="10964" spans="1:10" x14ac:dyDescent="0.3">
      <c r="A10964" t="str">
        <f>HYPERLINK("https://us2.cloudbeds.com/connect/10074733072513#/reservations/31730907988110?display=MXHY83HZB&amp;reservation_id=31730907988110", "MXHY83HZB")</f>
        <v>MXHY83HZB</v>
      </c>
      <c r="B10964" t="s">
        <v>10</v>
      </c>
      <c r="C10964" t="s">
        <v>23</v>
      </c>
      <c r="D10964" t="str">
        <f>HYPERLINK("https://us2.cloudbeds.com/connect/10074733072513#/reservations/31730907988110?display=Nicole%20Hansen&amp;reservation_id=31730907988110&amp;guest_id=31728291696854", "Nicole Hansen")</f>
        <v>Nicole Hansen</v>
      </c>
      <c r="E10964" t="s">
        <v>10048</v>
      </c>
      <c r="F10964" t="s">
        <v>10000</v>
      </c>
      <c r="G10964">
        <v>129</v>
      </c>
      <c r="H10964">
        <v>140.22999999999999</v>
      </c>
      <c r="I10964">
        <v>140.22</v>
      </c>
      <c r="J10964">
        <v>0.01</v>
      </c>
    </row>
    <row r="10965" spans="1:10" x14ac:dyDescent="0.3">
      <c r="A10965" t="str">
        <f>HYPERLINK("https://us2.cloudbeds.com/connect/10074733072513#/reservations/31730152575198?display=MXH1V41VW&amp;reservation_id=31730152575198", "MXH1V41VW")</f>
        <v>MXH1V41VW</v>
      </c>
      <c r="B10965" t="s">
        <v>10</v>
      </c>
      <c r="C10965" t="s">
        <v>42</v>
      </c>
      <c r="D10965" t="str">
        <f>HYPERLINK("https://us2.cloudbeds.com/connect/10074733072513#/reservations/31730152575198?display=Cameron%20Wyly&amp;reservation_id=31730152575198&amp;guest_id=31730152571097", "Cameron Wyly")</f>
        <v>Cameron Wyly</v>
      </c>
      <c r="E10965" t="s">
        <v>2708</v>
      </c>
      <c r="F10965" t="s">
        <v>9839</v>
      </c>
      <c r="G10965">
        <v>89</v>
      </c>
      <c r="H10965">
        <v>96.75</v>
      </c>
      <c r="I10965">
        <v>96.74</v>
      </c>
      <c r="J10965">
        <v>0.01</v>
      </c>
    </row>
    <row r="10966" spans="1:10" x14ac:dyDescent="0.3">
      <c r="A10966" t="str">
        <f>HYPERLINK("https://us2.cloudbeds.com/connect/10074733072513#/reservations/31730148475072?display=MXH1RYS7X&amp;reservation_id=31730148475072", "MXH1RYS7X")</f>
        <v>MXH1RYS7X</v>
      </c>
      <c r="B10966" t="s">
        <v>10</v>
      </c>
      <c r="C10966" t="s">
        <v>42</v>
      </c>
      <c r="D10966" t="str">
        <f>HYPERLINK("https://us2.cloudbeds.com/connect/10074733072513#/reservations/31730148475072?display=Cameron%20Wyly&amp;reservation_id=31730148475072&amp;guest_id=31676340576486", "Cameron Wyly")</f>
        <v>Cameron Wyly</v>
      </c>
      <c r="E10966" t="s">
        <v>5570</v>
      </c>
      <c r="F10966" t="s">
        <v>9839</v>
      </c>
      <c r="G10966">
        <v>89</v>
      </c>
      <c r="H10966">
        <v>96.75</v>
      </c>
      <c r="I10966">
        <v>96.74</v>
      </c>
      <c r="J10966">
        <v>0.01</v>
      </c>
    </row>
    <row r="10967" spans="1:10" x14ac:dyDescent="0.3">
      <c r="A10967" t="str">
        <f>HYPERLINK("https://us2.cloudbeds.com/connect/10074733072513#/reservations/31729190219915?display=MXGABY3FM&amp;reservation_id=31729190219915", "MXGABY3FM")</f>
        <v>MXGABY3FM</v>
      </c>
      <c r="B10967" t="s">
        <v>10</v>
      </c>
      <c r="C10967" t="s">
        <v>42</v>
      </c>
      <c r="D10967" t="str">
        <f>HYPERLINK("https://us2.cloudbeds.com/connect/10074733072513#/reservations/31729190219915?display=Elliot%20Oasheim&amp;reservation_id=31729190219915&amp;guest_id=31728661971156", "Elliot Oasheim")</f>
        <v>Elliot Oasheim</v>
      </c>
      <c r="E10967" t="s">
        <v>9965</v>
      </c>
      <c r="F10967" t="s">
        <v>9914</v>
      </c>
      <c r="G10967">
        <v>576</v>
      </c>
      <c r="H10967">
        <v>626.12</v>
      </c>
      <c r="I10967">
        <v>626.11</v>
      </c>
      <c r="J10967">
        <v>0.01</v>
      </c>
    </row>
    <row r="10968" spans="1:10" x14ac:dyDescent="0.3">
      <c r="A10968" t="str">
        <f>HYPERLINK("https://us2.cloudbeds.com/connect/10074733072513#/reservations/31725751959721?display=MXDYGDEZR&amp;reservation_id=31725751959721", "MXDYGDEZR")</f>
        <v>MXDYGDEZR</v>
      </c>
      <c r="B10968" t="s">
        <v>10</v>
      </c>
      <c r="C10968" t="s">
        <v>42</v>
      </c>
      <c r="D10968" t="str">
        <f>HYPERLINK("https://us2.cloudbeds.com/connect/10074733072513#/reservations/31725751959721?display=Daniel%20Cameron&amp;reservation_id=31725751959721&amp;guest_id=31725751959716", "Daniel Cameron")</f>
        <v>Daniel Cameron</v>
      </c>
      <c r="E10968" t="s">
        <v>10052</v>
      </c>
      <c r="F10968" t="s">
        <v>9992</v>
      </c>
      <c r="G10968">
        <v>73</v>
      </c>
      <c r="H10968">
        <v>79.36</v>
      </c>
      <c r="I10968">
        <v>79.349999999999994</v>
      </c>
      <c r="J10968">
        <v>0.01</v>
      </c>
    </row>
    <row r="10969" spans="1:10" x14ac:dyDescent="0.3">
      <c r="A10969" t="str">
        <f>HYPERLINK("https://us2.cloudbeds.com/connect/10074733072513#/reservations/31725595168970?display=MXDHG6GUV&amp;reservation_id=31725595168970", "MXDHG6GUV")</f>
        <v>MXDHG6GUV</v>
      </c>
      <c r="B10969" t="s">
        <v>10</v>
      </c>
      <c r="C10969" t="s">
        <v>23</v>
      </c>
      <c r="D10969" t="str">
        <f>HYPERLINK("https://us2.cloudbeds.com/connect/10074733072513#/reservations/31725595168970?display=Rigoberto%20Olivares&amp;reservation_id=31725595168970&amp;guest_id=31725595168965", "Rigoberto Olivares")</f>
        <v>Rigoberto Olivares</v>
      </c>
      <c r="E10969" t="s">
        <v>10055</v>
      </c>
      <c r="F10969" t="s">
        <v>9463</v>
      </c>
      <c r="G10969">
        <v>209</v>
      </c>
      <c r="H10969">
        <v>227.19</v>
      </c>
      <c r="I10969">
        <v>227.18</v>
      </c>
      <c r="J10969">
        <v>0.01</v>
      </c>
    </row>
    <row r="10970" spans="1:10" x14ac:dyDescent="0.3">
      <c r="A10970" t="str">
        <f>HYPERLINK("https://us2.cloudbeds.com/connect/10074733072513#/reservations/31731343732921?display=MXHWCHPNX&amp;reservation_id=31731343732921", "MXHWCHPNX")</f>
        <v>MXHWCHPNX</v>
      </c>
      <c r="B10970" t="s">
        <v>10</v>
      </c>
      <c r="C10970" t="s">
        <v>14</v>
      </c>
      <c r="D10970" t="str">
        <f>HYPERLINK("https://us2.cloudbeds.com/connect/10074733072513#/reservations/31731343732921?display=Tina%20Bradberry&amp;reservation_id=31731343732921&amp;guest_id=31731343732916", "Tina Bradberry")</f>
        <v>Tina Bradberry</v>
      </c>
      <c r="E10970" t="s">
        <v>10062</v>
      </c>
      <c r="F10970" t="s">
        <v>9817</v>
      </c>
      <c r="G10970">
        <v>338</v>
      </c>
      <c r="H10970">
        <v>367.42</v>
      </c>
      <c r="I10970">
        <v>367.41</v>
      </c>
      <c r="J10970">
        <v>0.01</v>
      </c>
    </row>
    <row r="10971" spans="1:10" x14ac:dyDescent="0.3">
      <c r="A10971" t="str">
        <f>HYPERLINK("https://us2.cloudbeds.com/connect/10074733072513#/reservations/31733784232136?display=MXJSZE8R7&amp;reservation_id=31733784232136", "MXJSZE8R7")</f>
        <v>MXJSZE8R7</v>
      </c>
      <c r="B10971" t="s">
        <v>10</v>
      </c>
      <c r="C10971" t="s">
        <v>14</v>
      </c>
      <c r="D10971" t="str">
        <f>HYPERLINK("https://us2.cloudbeds.com/connect/10074733072513#/reservations/31733784232136?display=Tina%20Bradberry&amp;reservation_id=31733784232136&amp;guest_id=31733784232132", "Tina Bradberry")</f>
        <v>Tina Bradberry</v>
      </c>
      <c r="E10971" t="s">
        <v>10064</v>
      </c>
      <c r="F10971" t="s">
        <v>9810</v>
      </c>
      <c r="G10971">
        <v>169</v>
      </c>
      <c r="H10971">
        <v>183.71</v>
      </c>
      <c r="I10971">
        <v>183.7</v>
      </c>
      <c r="J10971">
        <v>0.01</v>
      </c>
    </row>
    <row r="10972" spans="1:10" x14ac:dyDescent="0.3">
      <c r="A10972" t="str">
        <f>HYPERLINK("https://us2.cloudbeds.com/connect/10074733072513#/reservations/31730261610681?display=MXH4Z24CH&amp;reservation_id=31730261610681", "MXH4Z24CH")</f>
        <v>MXH4Z24CH</v>
      </c>
      <c r="B10972" t="s">
        <v>10</v>
      </c>
      <c r="C10972" t="s">
        <v>20</v>
      </c>
      <c r="D10972" t="str">
        <f>HYPERLINK("https://us2.cloudbeds.com/connect/10074733072513#/reservations/31730261610681?display=Richard%20Gilbert&amp;reservation_id=31730261610681&amp;guest_id=31730261610676", "Richard Gilbert")</f>
        <v>Richard Gilbert</v>
      </c>
      <c r="E10972" t="s">
        <v>10066</v>
      </c>
      <c r="F10972" t="s">
        <v>8716</v>
      </c>
      <c r="G10972">
        <v>322.2</v>
      </c>
      <c r="H10972">
        <v>350.24</v>
      </c>
      <c r="I10972">
        <v>350.23</v>
      </c>
      <c r="J10972">
        <v>0.01</v>
      </c>
    </row>
    <row r="10973" spans="1:10" x14ac:dyDescent="0.3">
      <c r="A10973" t="str">
        <f>HYPERLINK("https://us2.cloudbeds.com/connect/10074733072513#/reservations/31731801587886?display=MXXB2K8SE&amp;reservation_id=31731801587886", "MXXB2K8SE")</f>
        <v>MXXB2K8SE</v>
      </c>
      <c r="B10973" t="s">
        <v>10</v>
      </c>
      <c r="C10973" t="s">
        <v>20</v>
      </c>
      <c r="D10973" t="str">
        <f>HYPERLINK("https://us2.cloudbeds.com/connect/10074733072513#/reservations/31731801587886?display=Jeff%20Koster&amp;reservation_id=31731801587886&amp;guest_id=31731801587873", "Jeff Koster")</f>
        <v>Jeff Koster</v>
      </c>
      <c r="E10973" t="s">
        <v>10068</v>
      </c>
      <c r="F10973" t="s">
        <v>8920</v>
      </c>
      <c r="G10973">
        <v>249</v>
      </c>
      <c r="H10973">
        <v>270.67</v>
      </c>
      <c r="I10973">
        <v>270.66000000000003</v>
      </c>
      <c r="J10973">
        <v>0.01</v>
      </c>
    </row>
    <row r="10974" spans="1:10" x14ac:dyDescent="0.3">
      <c r="A10974" t="str">
        <f>HYPERLINK("https://us2.cloudbeds.com/connect/10074733072513#/reservations/31729970430201?display=MXGU9HK0K&amp;reservation_id=31729970430201", "MXGU9HK0K")</f>
        <v>MXGU9HK0K</v>
      </c>
      <c r="B10974" t="s">
        <v>10</v>
      </c>
      <c r="C10974" t="s">
        <v>20</v>
      </c>
      <c r="D10974" t="str">
        <f>HYPERLINK("https://us2.cloudbeds.com/connect/10074733072513#/reservations/31729970430201?display=Troy%20Bialas&amp;reservation_id=31729970430201&amp;guest_id=31729960190111", "Troy Bialas")</f>
        <v>Troy Bialas</v>
      </c>
      <c r="E10974" t="s">
        <v>10069</v>
      </c>
      <c r="F10974" t="s">
        <v>8443</v>
      </c>
      <c r="G10974">
        <v>418</v>
      </c>
      <c r="H10974">
        <v>454.38</v>
      </c>
      <c r="I10974">
        <v>454.37</v>
      </c>
      <c r="J10974">
        <v>0.01</v>
      </c>
    </row>
    <row r="10975" spans="1:10" x14ac:dyDescent="0.3">
      <c r="A10975" t="str">
        <f>HYPERLINK("https://us2.cloudbeds.com/connect/10074733072513#/reservations/31728870731992?display=MXG267T4F&amp;reservation_id=31728870731992", "MXG267T4F")</f>
        <v>MXG267T4F</v>
      </c>
      <c r="B10975" t="s">
        <v>10</v>
      </c>
      <c r="C10975" t="s">
        <v>23</v>
      </c>
      <c r="D10975" t="str">
        <f>HYPERLINK("https://us2.cloudbeds.com/connect/10074733072513#/reservations/31728870731992?display=Brian%20Lindwall&amp;reservation_id=31728870731992&amp;guest_id=31728870731989", "Brian Lindwall")</f>
        <v>Brian Lindwall</v>
      </c>
      <c r="E10975" t="s">
        <v>10070</v>
      </c>
      <c r="F10975" t="s">
        <v>10000</v>
      </c>
      <c r="G10975">
        <v>278</v>
      </c>
      <c r="H10975">
        <v>302.2</v>
      </c>
      <c r="I10975">
        <v>302.19</v>
      </c>
      <c r="J10975">
        <v>0.01</v>
      </c>
    </row>
    <row r="10976" spans="1:10" x14ac:dyDescent="0.3">
      <c r="A10976" t="str">
        <f>HYPERLINK("https://us2.cloudbeds.com/connect/10074733072513#/reservations/31731126042875?display=MXHQQW7MG&amp;reservation_id=31731126042875", "MXHQQW7MG")</f>
        <v>MXHQQW7MG</v>
      </c>
      <c r="B10976" t="s">
        <v>10</v>
      </c>
      <c r="C10976" t="s">
        <v>42</v>
      </c>
      <c r="D10976" t="str">
        <f>HYPERLINK("https://us2.cloudbeds.com/connect/10074733072513#/reservations/31731126042875?display=Cindy%20Fleckenstein&amp;reservation_id=31731126042875&amp;guest_id=31731126042854", "Cindy Fleckenstein")</f>
        <v>Cindy Fleckenstein</v>
      </c>
      <c r="E10976" t="s">
        <v>10071</v>
      </c>
      <c r="F10976" t="s">
        <v>9810</v>
      </c>
      <c r="G10976">
        <v>169</v>
      </c>
      <c r="H10976">
        <v>183.71</v>
      </c>
      <c r="I10976">
        <v>183.7</v>
      </c>
      <c r="J10976">
        <v>0.01</v>
      </c>
    </row>
    <row r="10977" spans="1:10" x14ac:dyDescent="0.3">
      <c r="A10977" t="str">
        <f>HYPERLINK("https://us2.cloudbeds.com/connect/10074733072513#/reservations/31734430556365?display=MXKC8E6AU&amp;reservation_id=31734430556365", "MXKC8E6AU")</f>
        <v>MXKC8E6AU</v>
      </c>
      <c r="B10977" t="s">
        <v>10</v>
      </c>
      <c r="C10977" t="s">
        <v>23</v>
      </c>
      <c r="D10977" t="str">
        <f>HYPERLINK("https://us2.cloudbeds.com/connect/10074733072513#/reservations/31734430556365?display=Beau%20Saiers&amp;reservation_id=31734430556365&amp;guest_id=31734422474933", "Beau Saiers")</f>
        <v>Beau Saiers</v>
      </c>
      <c r="E10977" t="s">
        <v>10072</v>
      </c>
      <c r="F10977" t="s">
        <v>9453</v>
      </c>
      <c r="G10977">
        <v>209</v>
      </c>
      <c r="H10977">
        <v>227.19</v>
      </c>
      <c r="I10977">
        <v>227.18</v>
      </c>
      <c r="J10977">
        <v>0.01</v>
      </c>
    </row>
    <row r="10978" spans="1:10" x14ac:dyDescent="0.3">
      <c r="A10978" t="str">
        <f>HYPERLINK("https://us2.cloudbeds.com/connect/10074733072513#/reservations/31723144585360?display=MXBKSQDJX&amp;reservation_id=31723144585360", "MXBKSQDJX")</f>
        <v>MXBKSQDJX</v>
      </c>
      <c r="B10978" t="s">
        <v>10</v>
      </c>
      <c r="C10978" t="s">
        <v>42</v>
      </c>
      <c r="D10978" t="str">
        <f>HYPERLINK("https://us2.cloudbeds.com/connect/10074733072513#/reservations/31723144585360?display=Jim%20Frank&amp;reservation_id=31723144585360&amp;guest_id=31723144585358", "Jim Frank")</f>
        <v>Jim Frank</v>
      </c>
      <c r="E10978" t="s">
        <v>10075</v>
      </c>
      <c r="F10978" t="s">
        <v>9463</v>
      </c>
      <c r="G10978">
        <v>149</v>
      </c>
      <c r="H10978">
        <v>161.97</v>
      </c>
      <c r="I10978">
        <v>161.96</v>
      </c>
      <c r="J10978">
        <v>0.01</v>
      </c>
    </row>
    <row r="10979" spans="1:10" x14ac:dyDescent="0.3">
      <c r="A10979" t="str">
        <f>HYPERLINK("https://us2.cloudbeds.com/connect/10074733072513#/reservations/31734440698022?display=MXKCGWD4S&amp;reservation_id=31734440698022", "MXKCGWD4S")</f>
        <v>MXKCGWD4S</v>
      </c>
      <c r="B10979" t="s">
        <v>10</v>
      </c>
      <c r="C10979" t="s">
        <v>23</v>
      </c>
      <c r="D10979" t="str">
        <f>HYPERLINK("https://us2.cloudbeds.com/connect/10074733072513#/reservations/31734440698022?display=Don%20Charlson&amp;reservation_id=31734440698022&amp;guest_id=31734430560459", "Don Charlson")</f>
        <v>Don Charlson</v>
      </c>
      <c r="E10979" t="s">
        <v>7898</v>
      </c>
      <c r="F10979" t="s">
        <v>9453</v>
      </c>
      <c r="G10979">
        <v>219</v>
      </c>
      <c r="H10979">
        <v>238.06</v>
      </c>
      <c r="I10979">
        <v>238.05</v>
      </c>
      <c r="J10979">
        <v>0.01</v>
      </c>
    </row>
    <row r="10980" spans="1:10" x14ac:dyDescent="0.3">
      <c r="A10980" t="str">
        <f>HYPERLINK("https://us2.cloudbeds.com/connect/10074733072513#/reservations/31728733339838?display=MXFVMCZHS&amp;reservation_id=31728733339838", "MXFVMCZHS")</f>
        <v>MXFVMCZHS</v>
      </c>
      <c r="B10980" t="s">
        <v>10</v>
      </c>
      <c r="C10980" t="s">
        <v>42</v>
      </c>
      <c r="D10980" t="str">
        <f>HYPERLINK("https://us2.cloudbeds.com/connect/10074733072513#/reservations/31728733339838?display=Scott%20Schweninger&amp;reservation_id=31728733339838&amp;guest_id=31728711925981", "Scott Schweninger")</f>
        <v>Scott Schweninger</v>
      </c>
      <c r="E10980" t="s">
        <v>10076</v>
      </c>
      <c r="F10980" t="s">
        <v>10000</v>
      </c>
      <c r="G10980">
        <v>1315.8</v>
      </c>
      <c r="H10980">
        <v>1430.28</v>
      </c>
      <c r="I10980">
        <v>1430.27</v>
      </c>
      <c r="J10980">
        <v>0.01</v>
      </c>
    </row>
    <row r="10981" spans="1:10" x14ac:dyDescent="0.3">
      <c r="A10981" t="str">
        <f>HYPERLINK("https://us2.cloudbeds.com/connect/10074733072513#/reservations/31734479310991?display=MXKDGHSDR&amp;reservation_id=31734479310991", "MXKDGHSDR")</f>
        <v>MXKDGHSDR</v>
      </c>
      <c r="B10981" t="s">
        <v>10</v>
      </c>
      <c r="C10981" t="s">
        <v>23</v>
      </c>
      <c r="D10981" t="str">
        <f>HYPERLINK("https://us2.cloudbeds.com/connect/10074733072513#/reservations/31734479310991?display=Jordan%20Reimers&amp;reservation_id=31734479310991&amp;guest_id=31734479310988", "Jordan Reimers")</f>
        <v>Jordan Reimers</v>
      </c>
      <c r="E10981" t="s">
        <v>10079</v>
      </c>
      <c r="F10981" t="s">
        <v>9453</v>
      </c>
      <c r="G10981">
        <v>209</v>
      </c>
      <c r="H10981">
        <v>227.19</v>
      </c>
      <c r="I10981">
        <v>227.18</v>
      </c>
      <c r="J10981">
        <v>0.01</v>
      </c>
    </row>
    <row r="10982" spans="1:10" x14ac:dyDescent="0.3">
      <c r="A10982" t="str">
        <f>HYPERLINK("https://us2.cloudbeds.com/connect/10074733072513#/reservations/31730385580197?display=MXH7TJPAH&amp;reservation_id=31730385580197", "MXH7TJPAH")</f>
        <v>MXH7TJPAH</v>
      </c>
      <c r="B10982" t="s">
        <v>10</v>
      </c>
      <c r="C10982" t="s">
        <v>20</v>
      </c>
      <c r="D10982" t="str">
        <f>HYPERLINK("https://us2.cloudbeds.com/connect/10074733072513#/reservations/31730385580197?display=Michael%20Fischer&amp;reservation_id=31730385580197&amp;guest_id=31730385580195", "Michael Fischer")</f>
        <v>Michael Fischer</v>
      </c>
      <c r="E10982" t="s">
        <v>10081</v>
      </c>
      <c r="F10982" t="s">
        <v>8045</v>
      </c>
      <c r="G10982">
        <v>189</v>
      </c>
      <c r="H10982">
        <v>205.45</v>
      </c>
      <c r="I10982">
        <v>205.44</v>
      </c>
      <c r="J10982">
        <v>0.01</v>
      </c>
    </row>
    <row r="10983" spans="1:10" x14ac:dyDescent="0.3">
      <c r="A10983" t="str">
        <f>HYPERLINK("https://us2.cloudbeds.com/connect/10074733072513#/reservations/31730323976409?display=MXH6AYX62&amp;reservation_id=31730323976409", "MXH6AYX62")</f>
        <v>MXH6AYX62</v>
      </c>
      <c r="B10983" t="s">
        <v>10</v>
      </c>
      <c r="C10983" t="s">
        <v>14</v>
      </c>
      <c r="D10983" t="str">
        <f>HYPERLINK("https://us2.cloudbeds.com/connect/10074733072513#/reservations/31730323976409?display=Buffie%20Foltz&amp;reservation_id=31730323976409&amp;guest_id=31730323976405", "Buffie Foltz")</f>
        <v>Buffie Foltz</v>
      </c>
      <c r="E10983" t="s">
        <v>10082</v>
      </c>
      <c r="F10983" t="s">
        <v>8045</v>
      </c>
      <c r="G10983">
        <v>293.72000000000003</v>
      </c>
      <c r="H10983">
        <v>319.27999999999997</v>
      </c>
      <c r="I10983">
        <v>319.27</v>
      </c>
      <c r="J10983">
        <v>0.01</v>
      </c>
    </row>
    <row r="10984" spans="1:10" x14ac:dyDescent="0.3">
      <c r="A10984" t="str">
        <f>HYPERLINK("https://us2.cloudbeds.com/connect/10074733072513#/reservations/31726632091810?display=MXEAWXDS6&amp;reservation_id=31726632091810", "MXEAWXDS6")</f>
        <v>MXEAWXDS6</v>
      </c>
      <c r="B10984" t="s">
        <v>10</v>
      </c>
      <c r="C10984" t="s">
        <v>23</v>
      </c>
      <c r="D10984" t="str">
        <f>HYPERLINK("https://us2.cloudbeds.com/connect/10074733072513#/reservations/31726632091810?display=Robin%20Akkerman&amp;reservation_id=31726632091810&amp;guest_id=31726632091804", "Robin Akkerman")</f>
        <v>Robin Akkerman</v>
      </c>
      <c r="E10984" t="s">
        <v>10083</v>
      </c>
      <c r="F10984" t="s">
        <v>9096</v>
      </c>
      <c r="G10984">
        <v>189</v>
      </c>
      <c r="H10984">
        <v>205.45</v>
      </c>
      <c r="I10984">
        <v>205.44</v>
      </c>
      <c r="J10984">
        <v>0.01</v>
      </c>
    </row>
    <row r="10985" spans="1:10" x14ac:dyDescent="0.3">
      <c r="A10985" t="str">
        <f>HYPERLINK("https://us2.cloudbeds.com/connect/10074733072513#/reservations/31728851783839?display=MXG1N8KX0&amp;reservation_id=31728851783839", "MXG1N8KX0")</f>
        <v>MXG1N8KX0</v>
      </c>
      <c r="B10985" t="s">
        <v>10</v>
      </c>
      <c r="C10985" t="s">
        <v>42</v>
      </c>
      <c r="D10985" t="str">
        <f>HYPERLINK("https://us2.cloudbeds.com/connect/10074733072513#/reservations/31728851783839?display=Michael%20Storm&amp;reservation_id=31728851783839&amp;guest_id=31728313565405", "Michael Storm")</f>
        <v>Michael Storm</v>
      </c>
      <c r="E10985" t="s">
        <v>10010</v>
      </c>
      <c r="F10985" t="s">
        <v>10000</v>
      </c>
      <c r="G10985">
        <v>336</v>
      </c>
      <c r="H10985">
        <v>365.24</v>
      </c>
      <c r="I10985">
        <v>365.23</v>
      </c>
      <c r="J10985">
        <v>0.01</v>
      </c>
    </row>
    <row r="10986" spans="1:10" x14ac:dyDescent="0.3">
      <c r="A10986" t="str">
        <f>HYPERLINK("https://us2.cloudbeds.com/connect/10074733072513#/reservations/31728614236288?display=MXFSKVD66&amp;reservation_id=31728614236288", "MXFSKVD66")</f>
        <v>MXFSKVD66</v>
      </c>
      <c r="B10986" t="s">
        <v>10</v>
      </c>
      <c r="C10986" t="s">
        <v>17</v>
      </c>
      <c r="D10986" t="str">
        <f>HYPERLINK("https://us2.cloudbeds.com/connect/10074733072513#/reservations/31728614236288?display=Glenn%20Purpura&amp;reservation_id=31728614236288&amp;guest_id=31728614232251", "Glenn Purpura")</f>
        <v>Glenn Purpura</v>
      </c>
      <c r="E10986" t="s">
        <v>10084</v>
      </c>
      <c r="F10986" t="s">
        <v>10000</v>
      </c>
      <c r="G10986">
        <v>139</v>
      </c>
      <c r="H10986">
        <v>151.1</v>
      </c>
      <c r="I10986">
        <v>151.09</v>
      </c>
      <c r="J10986">
        <v>0.01</v>
      </c>
    </row>
    <row r="10987" spans="1:10" x14ac:dyDescent="0.3">
      <c r="A10987" t="str">
        <f>HYPERLINK("https://us2.cloudbeds.com/connect/10074733072513#/reservations/31727840616700?display=MXF8SKDDX&amp;reservation_id=31727840616700", "MXF8SKDDX")</f>
        <v>MXF8SKDDX</v>
      </c>
      <c r="B10987" t="s">
        <v>10</v>
      </c>
      <c r="C10987" t="s">
        <v>23</v>
      </c>
      <c r="D10987" t="str">
        <f>HYPERLINK("https://us2.cloudbeds.com/connect/10074733072513#/reservations/31727840616700?display=Tania%20Drexler&amp;reservation_id=31727840616700&amp;guest_id=31727840616696", "Tania Drexler")</f>
        <v>Tania Drexler</v>
      </c>
      <c r="E10987" t="s">
        <v>10085</v>
      </c>
      <c r="F10987" t="s">
        <v>8920</v>
      </c>
      <c r="G10987">
        <v>209</v>
      </c>
      <c r="H10987">
        <v>227.19</v>
      </c>
      <c r="I10987">
        <v>227.18</v>
      </c>
      <c r="J10987">
        <v>0.01</v>
      </c>
    </row>
    <row r="10988" spans="1:10" x14ac:dyDescent="0.3">
      <c r="A10988" t="str">
        <f>HYPERLINK("https://us2.cloudbeds.com/connect/10074733072513#/reservations/31727174947005?display=MXEZSA5FK&amp;reservation_id=31727174947005", "MXEZSA5FK")</f>
        <v>MXEZSA5FK</v>
      </c>
      <c r="B10988" t="s">
        <v>10</v>
      </c>
      <c r="C10988" t="s">
        <v>42</v>
      </c>
      <c r="D10988" t="str">
        <f>HYPERLINK("https://us2.cloudbeds.com/connect/10074733072513#/reservations/31727174947005?display=Eileen%20Kotz&amp;reservation_id=31727174947005&amp;guest_id=31727174946944", "Eileen Kotz")</f>
        <v>Eileen Kotz</v>
      </c>
      <c r="E10988" t="s">
        <v>10089</v>
      </c>
      <c r="F10988" t="s">
        <v>10026</v>
      </c>
      <c r="G10988">
        <v>278</v>
      </c>
      <c r="H10988">
        <v>302.2</v>
      </c>
      <c r="I10988">
        <v>302.19</v>
      </c>
      <c r="J10988">
        <v>0.01</v>
      </c>
    </row>
    <row r="10989" spans="1:10" x14ac:dyDescent="0.3">
      <c r="A10989" t="str">
        <f>HYPERLINK("https://us2.cloudbeds.com/connect/10074733072513#/reservations/31726195867847?display=MXDWRNRT7&amp;reservation_id=31726195867847", "MXDWRNRT7")</f>
        <v>MXDWRNRT7</v>
      </c>
      <c r="B10989" t="s">
        <v>10</v>
      </c>
      <c r="C10989" t="s">
        <v>42</v>
      </c>
      <c r="D10989" t="str">
        <f>HYPERLINK("https://us2.cloudbeds.com/connect/10074733072513#/reservations/31726195867847?display=Danielle%20Quinn&amp;reservation_id=31726195867847&amp;guest_id=31726185812140", "Danielle Quinn")</f>
        <v>Danielle Quinn</v>
      </c>
      <c r="E10989" t="s">
        <v>10090</v>
      </c>
      <c r="F10989" t="s">
        <v>8801</v>
      </c>
      <c r="G10989">
        <v>288</v>
      </c>
      <c r="H10989">
        <v>313.07</v>
      </c>
      <c r="I10989">
        <v>313.06</v>
      </c>
      <c r="J10989">
        <v>0.01</v>
      </c>
    </row>
    <row r="10990" spans="1:10" x14ac:dyDescent="0.3">
      <c r="A10990" t="str">
        <f>HYPERLINK("https://us2.cloudbeds.com/connect/10074733072513#/reservations/31729450340560?display=MXGGWWBDF&amp;reservation_id=31729450340560", "MXGGWWBDF")</f>
        <v>MXGGWWBDF</v>
      </c>
      <c r="B10990" t="s">
        <v>10</v>
      </c>
      <c r="C10990" t="s">
        <v>42</v>
      </c>
      <c r="D10990" t="str">
        <f>HYPERLINK("https://us2.cloudbeds.com/connect/10074733072513#/reservations/31729450340560?display=Tim%20Arens&amp;reservation_id=31729450340560&amp;guest_id=31712093528300", "Tim Arens")</f>
        <v>Tim Arens</v>
      </c>
      <c r="E10990" t="s">
        <v>9473</v>
      </c>
      <c r="F10990" t="s">
        <v>9434</v>
      </c>
      <c r="G10990">
        <v>89</v>
      </c>
      <c r="H10990">
        <v>96.75</v>
      </c>
      <c r="I10990">
        <v>96.74</v>
      </c>
      <c r="J10990">
        <v>0.01</v>
      </c>
    </row>
    <row r="10991" spans="1:10" x14ac:dyDescent="0.3">
      <c r="A10991" t="str">
        <f>HYPERLINK("https://us2.cloudbeds.com/connect/10074733072513#/reservations/31731768483976?display=MXXA7N3DY&amp;reservation_id=31731768483976", "MXXA7N3DY")</f>
        <v>MXXA7N3DY</v>
      </c>
      <c r="B10991" t="s">
        <v>10</v>
      </c>
      <c r="C10991" t="s">
        <v>42</v>
      </c>
      <c r="D10991" t="str">
        <f>HYPERLINK("https://us2.cloudbeds.com/connect/10074733072513#/reservations/31731768483976?display=Robert%20Lammers&amp;reservation_id=31731768483976&amp;guest_id=31725447405798", "Robert Lammers")</f>
        <v>Robert Lammers</v>
      </c>
      <c r="E10991" t="s">
        <v>9944</v>
      </c>
      <c r="F10991" t="s">
        <v>8920</v>
      </c>
      <c r="G10991">
        <v>229</v>
      </c>
      <c r="H10991">
        <v>248.93</v>
      </c>
      <c r="I10991">
        <v>248.92</v>
      </c>
      <c r="J10991">
        <v>0.01</v>
      </c>
    </row>
    <row r="10992" spans="1:10" x14ac:dyDescent="0.3">
      <c r="A10992" t="str">
        <f>HYPERLINK("https://us2.cloudbeds.com/connect/10074733072513#/reservations/31726320234668?display=MXE30JHYP&amp;reservation_id=31726320234668", "MXE30JHYP")</f>
        <v>MXE30JHYP</v>
      </c>
      <c r="B10992" t="s">
        <v>10</v>
      </c>
      <c r="C10992" t="s">
        <v>42</v>
      </c>
      <c r="D10992" t="str">
        <f>HYPERLINK("https://us2.cloudbeds.com/connect/10074733072513#/reservations/31726320234668?display=Eddy%20Sims&amp;reservation_id=31726320234668&amp;guest_id=31726304280784", "Eddy Sims")</f>
        <v>Eddy Sims</v>
      </c>
      <c r="E10992" t="s">
        <v>10091</v>
      </c>
      <c r="F10992" t="s">
        <v>9445</v>
      </c>
      <c r="G10992">
        <v>258</v>
      </c>
      <c r="H10992">
        <v>280.45999999999998</v>
      </c>
      <c r="I10992">
        <v>280.45</v>
      </c>
      <c r="J10992">
        <v>0.01</v>
      </c>
    </row>
    <row r="10993" spans="1:10" x14ac:dyDescent="0.3">
      <c r="A10993" t="str">
        <f>HYPERLINK("https://us2.cloudbeds.com/connect/10074733072513#/reservations/31718352363763?display=MX7UDSPQ9&amp;reservation_id=31718352363763", "MX7UDSPQ9")</f>
        <v>MX7UDSPQ9</v>
      </c>
      <c r="B10993" t="s">
        <v>10</v>
      </c>
      <c r="C10993" t="s">
        <v>23</v>
      </c>
      <c r="D10993" t="str">
        <f>HYPERLINK("https://us2.cloudbeds.com/connect/10074733072513#/reservations/31718352363763?display=Renae%20Hoven&amp;reservation_id=31718352363763&amp;guest_id=31718340972683", "Renae Hoven")</f>
        <v>Renae Hoven</v>
      </c>
      <c r="E10993" t="s">
        <v>10094</v>
      </c>
      <c r="F10993" t="s">
        <v>9926</v>
      </c>
      <c r="G10993">
        <v>159</v>
      </c>
      <c r="H10993">
        <v>172.84</v>
      </c>
      <c r="I10993">
        <v>172.83</v>
      </c>
      <c r="J10993">
        <v>0.01</v>
      </c>
    </row>
    <row r="10994" spans="1:10" x14ac:dyDescent="0.3">
      <c r="A10994" t="str">
        <f>HYPERLINK("https://us2.cloudbeds.com/connect/10074733072513#/reservations/31731043778723?display=MXHZNK3MD&amp;reservation_id=31731043778723", "MXHZNK3MD")</f>
        <v>MXHZNK3MD</v>
      </c>
      <c r="B10994" t="s">
        <v>10</v>
      </c>
      <c r="C10994" t="s">
        <v>42</v>
      </c>
      <c r="D10994" t="str">
        <f>HYPERLINK("https://us2.cloudbeds.com/connect/10074733072513#/reservations/31731043778723?display=Dani%20Brunsvold&amp;reservation_id=31731043778723&amp;guest_id=31731043778709", "Dani Brunsvold")</f>
        <v>Dani Brunsvold</v>
      </c>
      <c r="E10994" t="s">
        <v>10095</v>
      </c>
      <c r="F10994" t="s">
        <v>8355</v>
      </c>
      <c r="G10994">
        <v>129</v>
      </c>
      <c r="H10994">
        <v>140.22999999999999</v>
      </c>
      <c r="I10994">
        <v>140.22</v>
      </c>
      <c r="J10994">
        <v>0.01</v>
      </c>
    </row>
    <row r="10995" spans="1:10" x14ac:dyDescent="0.3">
      <c r="A10995" t="str">
        <f>HYPERLINK("https://us2.cloudbeds.com/connect/10074733072513#/reservations/31728593334413?display=MXFS3AT87&amp;reservation_id=31728593334413", "MXFS3AT87")</f>
        <v>MXFS3AT87</v>
      </c>
      <c r="B10995" t="s">
        <v>10</v>
      </c>
      <c r="C10995" t="s">
        <v>42</v>
      </c>
      <c r="D10995" t="str">
        <f>HYPERLINK("https://us2.cloudbeds.com/connect/10074733072513#/reservations/31728593334413?display=Anthony%20Stach&amp;reservation_id=31728593334413&amp;guest_id=31728586842355", "Anthony Stach")</f>
        <v>Anthony Stach</v>
      </c>
      <c r="E10995" t="s">
        <v>10096</v>
      </c>
      <c r="F10995" t="s">
        <v>8443</v>
      </c>
      <c r="G10995">
        <v>358</v>
      </c>
      <c r="H10995">
        <v>389.16</v>
      </c>
      <c r="I10995">
        <v>389.15</v>
      </c>
      <c r="J10995">
        <v>0.01</v>
      </c>
    </row>
    <row r="10996" spans="1:10" x14ac:dyDescent="0.3">
      <c r="A10996" t="str">
        <f>HYPERLINK("https://us2.cloudbeds.com/connect/10074733072513#/reservations/31715953844423?display=MX624CEN1&amp;reservation_id=31715953844423", "MX624CEN1")</f>
        <v>MX624CEN1</v>
      </c>
      <c r="B10996" t="s">
        <v>10</v>
      </c>
      <c r="C10996" t="s">
        <v>42</v>
      </c>
      <c r="D10996" t="str">
        <f>HYPERLINK("https://us2.cloudbeds.com/connect/10074733072513#/reservations/31715953844423?display=Sarah%20Ortmeier&amp;reservation_id=31715953844423&amp;guest_id=31715953844420", "Sarah Ortmeier")</f>
        <v>Sarah Ortmeier</v>
      </c>
      <c r="E10996" t="s">
        <v>8953</v>
      </c>
      <c r="F10996" t="s">
        <v>9926</v>
      </c>
      <c r="G10996">
        <v>321.3</v>
      </c>
      <c r="H10996">
        <v>349.26</v>
      </c>
      <c r="I10996">
        <v>349.25</v>
      </c>
      <c r="J10996">
        <v>0.01</v>
      </c>
    </row>
    <row r="10997" spans="1:10" x14ac:dyDescent="0.3">
      <c r="A10997" t="str">
        <f>HYPERLINK("https://us2.cloudbeds.com/connect/10074733072513#/reservations/31733806338243?display=MXJTA2D98&amp;reservation_id=31733806338243", "MXJTA2D98")</f>
        <v>MXJTA2D98</v>
      </c>
      <c r="B10997" t="s">
        <v>10</v>
      </c>
      <c r="C10997" t="s">
        <v>42</v>
      </c>
      <c r="D10997" t="str">
        <f>HYPERLINK("https://us2.cloudbeds.com/connect/10074733072513#/reservations/31733806338243?display=Greg%20Schaefer&amp;reservation_id=31733806338243&amp;guest_id=31721207238875", "Greg Schaefer")</f>
        <v>Greg Schaefer</v>
      </c>
      <c r="E10997" t="s">
        <v>10097</v>
      </c>
      <c r="F10997" t="s">
        <v>9810</v>
      </c>
      <c r="G10997">
        <v>169</v>
      </c>
      <c r="H10997">
        <v>183.71</v>
      </c>
      <c r="I10997">
        <v>183.7</v>
      </c>
      <c r="J10997">
        <v>0.01</v>
      </c>
    </row>
    <row r="10998" spans="1:10" x14ac:dyDescent="0.3">
      <c r="A10998" t="str">
        <f>HYPERLINK("https://us2.cloudbeds.com/connect/10074733072513#/reservations/31729903865989?display=MXGSJDBS9&amp;reservation_id=31729903865989", "MXGSJDBS9")</f>
        <v>MXGSJDBS9</v>
      </c>
      <c r="B10998" t="s">
        <v>10</v>
      </c>
      <c r="C10998" t="s">
        <v>42</v>
      </c>
      <c r="D10998" t="str">
        <f>HYPERLINK("https://us2.cloudbeds.com/connect/10074733072513#/reservations/31729903865989?display=Melissa%20Muckey&amp;reservation_id=31729903865989&amp;guest_id=31694742556839", "Melissa Muckey")</f>
        <v>Melissa Muckey</v>
      </c>
      <c r="E10998" t="s">
        <v>8401</v>
      </c>
      <c r="F10998" t="s">
        <v>9487</v>
      </c>
      <c r="G10998">
        <v>218</v>
      </c>
      <c r="H10998">
        <v>236.98</v>
      </c>
      <c r="I10998">
        <v>236.97</v>
      </c>
      <c r="J10998">
        <v>0.01</v>
      </c>
    </row>
    <row r="10999" spans="1:10" x14ac:dyDescent="0.3">
      <c r="A10999" t="str">
        <f>HYPERLINK("https://us2.cloudbeds.com/connect/10074733072513#/reservations/31730570985604?display=MXHCKUV76&amp;reservation_id=31730570985604", "MXHCKUV76")</f>
        <v>MXHCKUV76</v>
      </c>
      <c r="B10999" t="s">
        <v>10</v>
      </c>
      <c r="C10999" t="s">
        <v>23</v>
      </c>
      <c r="D10999" t="str">
        <f>HYPERLINK("https://us2.cloudbeds.com/connect/10074733072513#/reservations/31730570985604?display=Nettie%20Farmer&amp;reservation_id=31730570985604&amp;guest_id=31730562814199", "Nettie Farmer")</f>
        <v>Nettie Farmer</v>
      </c>
      <c r="E10999" t="s">
        <v>10098</v>
      </c>
      <c r="F10999" t="s">
        <v>9487</v>
      </c>
      <c r="G10999">
        <v>129</v>
      </c>
      <c r="H10999">
        <v>140.22999999999999</v>
      </c>
      <c r="I10999">
        <v>140.22</v>
      </c>
      <c r="J10999">
        <v>0.01</v>
      </c>
    </row>
    <row r="11000" spans="1:10" x14ac:dyDescent="0.3">
      <c r="A11000" t="str">
        <f>HYPERLINK("https://us2.cloudbeds.com/connect/10074733072513#/reservations/31729945927810?display=MXGTYSQ3U&amp;reservation_id=31729945927810", "MXGTYSQ3U")</f>
        <v>MXGTYSQ3U</v>
      </c>
      <c r="B11000" t="s">
        <v>10</v>
      </c>
      <c r="C11000" t="s">
        <v>42</v>
      </c>
      <c r="D11000" t="str">
        <f>HYPERLINK("https://us2.cloudbeds.com/connect/10074733072513#/reservations/31729945927810?display=Anna%20Wyly&amp;reservation_id=31729945927810&amp;guest_id=31702784688271", "Anna Wyly")</f>
        <v>Anna Wyly</v>
      </c>
      <c r="E11000" t="s">
        <v>10012</v>
      </c>
      <c r="F11000" t="s">
        <v>9487</v>
      </c>
      <c r="G11000">
        <v>178</v>
      </c>
      <c r="H11000">
        <v>193.5</v>
      </c>
      <c r="I11000">
        <v>193.49</v>
      </c>
      <c r="J11000">
        <v>0.01</v>
      </c>
    </row>
    <row r="11001" spans="1:10" x14ac:dyDescent="0.3">
      <c r="A11001" t="str">
        <f>HYPERLINK("https://us2.cloudbeds.com/connect/10074733072513#/reservations/31718402203846?display=MX7VMTYKR&amp;reservation_id=31718402203846", "MX7VMTYKR")</f>
        <v>MX7VMTYKR</v>
      </c>
      <c r="B11001" t="s">
        <v>10</v>
      </c>
      <c r="C11001" t="s">
        <v>42</v>
      </c>
      <c r="D11001" t="str">
        <f>HYPERLINK("https://us2.cloudbeds.com/connect/10074733072513#/reservations/31718402203846?display=Edward%20B%20Ortmeier&amp;reservation_id=31718402203846&amp;guest_id=31718396592265", "Edward B Ortmeier")</f>
        <v>Edward B Ortmeier</v>
      </c>
      <c r="E11001" t="s">
        <v>10100</v>
      </c>
      <c r="F11001" t="s">
        <v>9926</v>
      </c>
      <c r="G11001">
        <v>302.2</v>
      </c>
      <c r="H11001">
        <v>328.5</v>
      </c>
      <c r="I11001">
        <v>328.49</v>
      </c>
      <c r="J11001">
        <v>0.01</v>
      </c>
    </row>
    <row r="11002" spans="1:10" x14ac:dyDescent="0.3">
      <c r="A11002" t="str">
        <f>HYPERLINK("https://us2.cloudbeds.com/connect/10074733072513#/reservations/31730589737145?display=MXHD3ZZ8N&amp;reservation_id=31730589737145", "MXHD3ZZ8N")</f>
        <v>MXHD3ZZ8N</v>
      </c>
      <c r="B11002" t="s">
        <v>10</v>
      </c>
      <c r="C11002" t="s">
        <v>121</v>
      </c>
      <c r="D11002" t="str">
        <f>HYPERLINK("https://us2.cloudbeds.com/connect/10074733072513#/reservations/31730589737145?display=Janene%20Bell&amp;reservation_id=31730589737145&amp;guest_id=31730580955361", "Janene Bell")</f>
        <v>Janene Bell</v>
      </c>
      <c r="E11002" t="s">
        <v>10102</v>
      </c>
      <c r="F11002" t="s">
        <v>9487</v>
      </c>
      <c r="G11002">
        <v>129</v>
      </c>
      <c r="H11002">
        <v>140.22999999999999</v>
      </c>
      <c r="I11002">
        <v>140.22</v>
      </c>
      <c r="J11002">
        <v>0.01</v>
      </c>
    </row>
    <row r="11003" spans="1:10" x14ac:dyDescent="0.3">
      <c r="A11003" t="str">
        <f>HYPERLINK("https://us2.cloudbeds.com/connect/10074733072513#/reservations/31730553401504?display=MXHC63Y6M&amp;reservation_id=31730553401504", "MXHC63Y6M")</f>
        <v>MXHC63Y6M</v>
      </c>
      <c r="B11003" t="s">
        <v>10</v>
      </c>
      <c r="C11003" t="s">
        <v>121</v>
      </c>
      <c r="D11003" t="str">
        <f>HYPERLINK("https://us2.cloudbeds.com/connect/10074733072513#/reservations/31730553401504?display=Kenny%20Manning&amp;reservation_id=31730553401504&amp;guest_id=31730553401498", "Kenny Manning")</f>
        <v>Kenny Manning</v>
      </c>
      <c r="E11003" t="s">
        <v>10103</v>
      </c>
      <c r="F11003" t="s">
        <v>9487</v>
      </c>
      <c r="G11003">
        <v>129</v>
      </c>
      <c r="H11003">
        <v>140.22999999999999</v>
      </c>
      <c r="I11003">
        <v>140.22</v>
      </c>
      <c r="J11003">
        <v>0.01</v>
      </c>
    </row>
    <row r="11004" spans="1:10" x14ac:dyDescent="0.3">
      <c r="A11004" t="str">
        <f>HYPERLINK("https://us2.cloudbeds.com/connect/10074733072513#/reservations/31730553397392?display=MXHC63HE2&amp;reservation_id=31730553397392", "MXHC63HE2")</f>
        <v>MXHC63HE2</v>
      </c>
      <c r="B11004" t="s">
        <v>10</v>
      </c>
      <c r="C11004" t="s">
        <v>121</v>
      </c>
      <c r="D11004" t="str">
        <f>HYPERLINK("https://us2.cloudbeds.com/connect/10074733072513#/reservations/31730553397392?display=Evan%20Wiseman&amp;reservation_id=31730553397392&amp;guest_id=31730544931007", "Evan Wiseman")</f>
        <v>Evan Wiseman</v>
      </c>
      <c r="E11004" t="s">
        <v>10104</v>
      </c>
      <c r="F11004" t="s">
        <v>9487</v>
      </c>
      <c r="G11004">
        <v>159</v>
      </c>
      <c r="H11004">
        <v>172.84</v>
      </c>
      <c r="I11004">
        <v>172.83</v>
      </c>
      <c r="J11004">
        <v>0.01</v>
      </c>
    </row>
    <row r="11005" spans="1:10" x14ac:dyDescent="0.3">
      <c r="A11005" t="str">
        <f>HYPERLINK("https://us2.cloudbeds.com/connect/10074733072513#/reservations/31729952080080?display=MXGTR1WJB&amp;reservation_id=31729952080080", "MXGTR1WJB")</f>
        <v>MXGTR1WJB</v>
      </c>
      <c r="B11005" t="s">
        <v>10</v>
      </c>
      <c r="C11005" t="s">
        <v>121</v>
      </c>
      <c r="D11005" t="str">
        <f>HYPERLINK("https://us2.cloudbeds.com/connect/10074733072513#/reservations/31729952080080?display=Saw%20Kyaw&amp;reservation_id=31729952080080&amp;guest_id=31729952075999", "Saw Kyaw")</f>
        <v>Saw Kyaw</v>
      </c>
      <c r="E11005" t="s">
        <v>10106</v>
      </c>
      <c r="F11005" t="s">
        <v>9487</v>
      </c>
      <c r="G11005">
        <v>129</v>
      </c>
      <c r="H11005">
        <v>140.22999999999999</v>
      </c>
      <c r="I11005">
        <v>140.22</v>
      </c>
      <c r="J11005">
        <v>0.01</v>
      </c>
    </row>
    <row r="11006" spans="1:10" x14ac:dyDescent="0.3">
      <c r="A11006" t="str">
        <f>HYPERLINK("https://us2.cloudbeds.com/connect/10074733072513#/reservations/31733259923589?display=MXJFBAK3E&amp;reservation_id=31733259923589", "MXJFBAK3E")</f>
        <v>MXJFBAK3E</v>
      </c>
      <c r="B11006" t="s">
        <v>10</v>
      </c>
      <c r="C11006" t="s">
        <v>23</v>
      </c>
      <c r="D11006" t="str">
        <f>HYPERLINK("https://us2.cloudbeds.com/connect/10074733072513#/reservations/31733259923589?display=Katrina%20Hauge&amp;reservation_id=31733259923589&amp;guest_id=31733259919493", "Katrina Hauge")</f>
        <v>Katrina Hauge</v>
      </c>
      <c r="E11006" t="s">
        <v>10110</v>
      </c>
      <c r="F11006" t="s">
        <v>8918</v>
      </c>
      <c r="G11006">
        <v>398</v>
      </c>
      <c r="H11006">
        <v>432.64</v>
      </c>
      <c r="I11006">
        <v>432.63</v>
      </c>
      <c r="J11006">
        <v>0.01</v>
      </c>
    </row>
    <row r="11007" spans="1:10" x14ac:dyDescent="0.3">
      <c r="A11007" t="str">
        <f>HYPERLINK("https://us2.cloudbeds.com/connect/10074733072513#/reservations/31733283041532?display=MXJFUQTN5&amp;reservation_id=31733283041532", "MXJFUQTN5")</f>
        <v>MXJFUQTN5</v>
      </c>
      <c r="B11007" t="s">
        <v>10</v>
      </c>
      <c r="C11007" t="s">
        <v>20</v>
      </c>
      <c r="D11007" t="str">
        <f>HYPERLINK("https://us2.cloudbeds.com/connect/10074733072513#/reservations/31733283041532?display=Douglas%20Sipma&amp;reservation_id=31733283041532&amp;guest_id=31733270565087", "Douglas Sipma")</f>
        <v>Douglas Sipma</v>
      </c>
      <c r="E11007" t="s">
        <v>10112</v>
      </c>
      <c r="F11007" t="s">
        <v>10113</v>
      </c>
      <c r="G11007">
        <v>129</v>
      </c>
      <c r="H11007">
        <v>140.22999999999999</v>
      </c>
      <c r="I11007">
        <v>140.22</v>
      </c>
      <c r="J11007">
        <v>0.01</v>
      </c>
    </row>
    <row r="11008" spans="1:10" x14ac:dyDescent="0.3">
      <c r="A11008" t="str">
        <f>HYPERLINK("https://us2.cloudbeds.com/connect/10074733072513#/reservations/31733649891502?display=MXJPA51BU&amp;reservation_id=31733649891502", "MXJPA51BU")</f>
        <v>MXJPA51BU</v>
      </c>
      <c r="B11008" t="s">
        <v>10</v>
      </c>
      <c r="C11008" t="s">
        <v>42</v>
      </c>
      <c r="D11008" t="str">
        <f>HYPERLINK("https://us2.cloudbeds.com/connect/10074733072513#/reservations/31733649891502?display=Nick%20Sherman&amp;reservation_id=31733649891502&amp;guest_id=31687784452323", "Nick Sherman")</f>
        <v>Nick Sherman</v>
      </c>
      <c r="E11008" t="s">
        <v>9753</v>
      </c>
      <c r="F11008" t="s">
        <v>10114</v>
      </c>
      <c r="G11008">
        <v>336</v>
      </c>
      <c r="H11008">
        <v>365.24</v>
      </c>
      <c r="I11008">
        <v>365.23</v>
      </c>
      <c r="J11008">
        <v>0.01</v>
      </c>
    </row>
    <row r="11009" spans="1:10" x14ac:dyDescent="0.3">
      <c r="A11009" t="str">
        <f>HYPERLINK("https://us2.cloudbeds.com/connect/10074733072513#/reservations/31730828923036?display=MXHJ7EEC0&amp;reservation_id=31730828923036", "MXHJ7EEC0")</f>
        <v>MXHJ7EEC0</v>
      </c>
      <c r="B11009" t="s">
        <v>10</v>
      </c>
      <c r="C11009" t="s">
        <v>42</v>
      </c>
      <c r="D11009" t="str">
        <f>HYPERLINK("https://us2.cloudbeds.com/connect/10074733072513#/reservations/31730828923036?display=Nick%20Sherman&amp;reservation_id=31730828923036&amp;guest_id=31687784452323", "Nick Sherman")</f>
        <v>Nick Sherman</v>
      </c>
      <c r="E11009" t="s">
        <v>9753</v>
      </c>
      <c r="F11009" t="s">
        <v>9489</v>
      </c>
      <c r="G11009">
        <v>336</v>
      </c>
      <c r="H11009">
        <v>365.24</v>
      </c>
      <c r="I11009">
        <v>365.23</v>
      </c>
      <c r="J11009">
        <v>0.01</v>
      </c>
    </row>
    <row r="11010" spans="1:10" x14ac:dyDescent="0.3">
      <c r="A11010" t="str">
        <f>HYPERLINK("https://us2.cloudbeds.com/connect/10074733072513#/reservations/31725106815171?display=MXD50DBGW&amp;reservation_id=31725106815171", "MXD50DBGW")</f>
        <v>MXD50DBGW</v>
      </c>
      <c r="B11010" t="s">
        <v>10</v>
      </c>
      <c r="C11010" t="s">
        <v>17</v>
      </c>
      <c r="D11010" t="str">
        <f>HYPERLINK("https://us2.cloudbeds.com/connect/10074733072513#/reservations/31725106815171?display=Scott%20Koepsell&amp;reservation_id=31725106815171&amp;guest_id=31725106811126", "Scott Koepsell")</f>
        <v>Scott Koepsell</v>
      </c>
      <c r="E11010" t="s">
        <v>10116</v>
      </c>
      <c r="F11010" t="s">
        <v>8443</v>
      </c>
      <c r="G11010">
        <v>418</v>
      </c>
      <c r="H11010">
        <v>454.38</v>
      </c>
      <c r="I11010">
        <v>454.37</v>
      </c>
      <c r="J11010">
        <v>0.01</v>
      </c>
    </row>
    <row r="11011" spans="1:10" x14ac:dyDescent="0.3">
      <c r="A11011" t="str">
        <f>HYPERLINK("https://us2.cloudbeds.com/connect/10074733072513#/reservations/31725401018578?display=MXDCHFWZZ&amp;reservation_id=31725401018578", "MXDCHFWZZ")</f>
        <v>MXDCHFWZZ</v>
      </c>
      <c r="B11011" t="s">
        <v>10</v>
      </c>
      <c r="C11011" t="s">
        <v>20</v>
      </c>
      <c r="D11011" t="str">
        <f>HYPERLINK("https://us2.cloudbeds.com/connect/10074733072513#/reservations/31725401018578?display=Gerod%20Olivier&amp;reservation_id=31725401018578&amp;guest_id=31725401014477", "Gerod Olivier")</f>
        <v>Gerod Olivier</v>
      </c>
      <c r="E11011" t="s">
        <v>10117</v>
      </c>
      <c r="F11011" t="s">
        <v>9434</v>
      </c>
      <c r="G11011">
        <v>156.6</v>
      </c>
      <c r="H11011">
        <v>170.23</v>
      </c>
      <c r="I11011">
        <v>170.22</v>
      </c>
      <c r="J11011">
        <v>0.01</v>
      </c>
    </row>
    <row r="11012" spans="1:10" x14ac:dyDescent="0.3">
      <c r="A11012" t="str">
        <f>HYPERLINK("https://us2.cloudbeds.com/connect/10074733072513#/reservations/31729948479683?display=MXGTZ0QED&amp;reservation_id=31729948479683", "MXGTZ0QED")</f>
        <v>MXGTZ0QED</v>
      </c>
      <c r="B11012" t="s">
        <v>10</v>
      </c>
      <c r="C11012" t="s">
        <v>17</v>
      </c>
      <c r="D11012" t="str">
        <f>HYPERLINK("https://us2.cloudbeds.com/connect/10074733072513#/reservations/31729948479683?display=Michelle%20Christensen&amp;reservation_id=31729948479683&amp;guest_id=31729937154200", "Michelle Christensen")</f>
        <v>Michelle Christensen</v>
      </c>
      <c r="E11012" t="s">
        <v>10119</v>
      </c>
      <c r="F11012" t="s">
        <v>8443</v>
      </c>
      <c r="G11012">
        <v>527</v>
      </c>
      <c r="H11012">
        <v>572.86</v>
      </c>
      <c r="I11012">
        <v>572.85</v>
      </c>
      <c r="J11012">
        <v>0.01</v>
      </c>
    </row>
    <row r="11013" spans="1:10" x14ac:dyDescent="0.3">
      <c r="A11013" t="str">
        <f>HYPERLINK("https://us2.cloudbeds.com/connect/10074733072513#/reservations/31733904228482?display=MXJVQKBA4&amp;reservation_id=31733904228482", "MXJVQKBA4")</f>
        <v>MXJVQKBA4</v>
      </c>
      <c r="B11013" t="s">
        <v>10</v>
      </c>
      <c r="C11013" t="s">
        <v>20</v>
      </c>
      <c r="D11013" t="str">
        <f>HYPERLINK("https://us2.cloudbeds.com/connect/10074733072513#/reservations/31733904228482?display=Brandi%20Hansen%20Burrington&amp;reservation_id=31733904228482&amp;guest_id=31733891412202", "Brandi Hansen Burrington")</f>
        <v>Brandi Hansen Burrington</v>
      </c>
      <c r="E11013" t="s">
        <v>10120</v>
      </c>
      <c r="F11013" t="s">
        <v>9489</v>
      </c>
      <c r="G11013">
        <v>129</v>
      </c>
      <c r="H11013">
        <v>140.22999999999999</v>
      </c>
      <c r="I11013">
        <v>140.22</v>
      </c>
      <c r="J11013">
        <v>0.01</v>
      </c>
    </row>
    <row r="11014" spans="1:10" x14ac:dyDescent="0.3">
      <c r="A11014" t="str">
        <f>HYPERLINK("https://us2.cloudbeds.com/connect/10074733072513#/reservations/31729152364717?display=MXG9CNZ1F&amp;reservation_id=31729152364717", "MXG9CNZ1F")</f>
        <v>MXG9CNZ1F</v>
      </c>
      <c r="B11014" t="s">
        <v>10</v>
      </c>
      <c r="C11014" t="s">
        <v>42</v>
      </c>
      <c r="D11014" t="str">
        <f>HYPERLINK("https://us2.cloudbeds.com/connect/10074733072513#/reservations/31729152364717?display=Veronica%20Johnson&amp;reservation_id=31729152364717&amp;guest_id=31729152364696", "Veronica Johnson")</f>
        <v>Veronica Johnson</v>
      </c>
      <c r="E11014" t="s">
        <v>10121</v>
      </c>
      <c r="F11014" t="s">
        <v>7649</v>
      </c>
      <c r="G11014">
        <v>149</v>
      </c>
      <c r="H11014">
        <v>161.97</v>
      </c>
      <c r="I11014">
        <v>161.96</v>
      </c>
      <c r="J11014">
        <v>0.01</v>
      </c>
    </row>
    <row r="11015" spans="1:10" x14ac:dyDescent="0.3">
      <c r="A11015" t="str">
        <f>HYPERLINK("https://us2.cloudbeds.com/connect/10074733072513#/reservations/31729877201034?display=MXGRTUC4B&amp;reservation_id=31729877201034", "MXGRTUC4B")</f>
        <v>MXGRTUC4B</v>
      </c>
      <c r="B11015" t="s">
        <v>10</v>
      </c>
      <c r="C11015" t="s">
        <v>42</v>
      </c>
      <c r="D11015" t="str">
        <f>HYPERLINK("https://us2.cloudbeds.com/connect/10074733072513#/reservations/31729877201034?display=Hair%20And%20Makeup%20Room%20Brides%20Maids%20And%20Bride&amp;reservation_id=31729877201034&amp;guest_id=31729864528112", "Hair And Makeup Room Brides Maids And Bride")</f>
        <v>Hair And Makeup Room Brides Maids And Bride</v>
      </c>
      <c r="E11015" t="s">
        <v>10123</v>
      </c>
      <c r="F11015" t="s">
        <v>8918</v>
      </c>
      <c r="G11015">
        <v>378</v>
      </c>
      <c r="H11015">
        <v>410.9</v>
      </c>
      <c r="I11015">
        <v>410.89</v>
      </c>
      <c r="J11015">
        <v>0.01</v>
      </c>
    </row>
    <row r="11016" spans="1:10" x14ac:dyDescent="0.3">
      <c r="A11016" t="str">
        <f>HYPERLINK("https://us2.cloudbeds.com/connect/10074733072513#/reservations/31731218591887?display=MXHT60X00&amp;reservation_id=31731218591887", "MXHT60X00")</f>
        <v>MXHT60X00</v>
      </c>
      <c r="B11016" t="s">
        <v>10</v>
      </c>
      <c r="C11016" t="s">
        <v>11</v>
      </c>
      <c r="D11016" t="str">
        <f>HYPERLINK("https://us2.cloudbeds.com/connect/10074733072513#/reservations/31731218591887?display=Mary%20Ann%20Oflanagan&amp;reservation_id=31731218591887&amp;guest_id=31731218591874", "Mary Ann Oflanagan")</f>
        <v>Mary Ann Oflanagan</v>
      </c>
      <c r="E11016" t="s">
        <v>10124</v>
      </c>
      <c r="F11016" t="s">
        <v>9975</v>
      </c>
      <c r="G11016">
        <v>403.68</v>
      </c>
      <c r="H11016">
        <v>438.81</v>
      </c>
      <c r="I11016">
        <v>438.8</v>
      </c>
      <c r="J11016">
        <v>0.01</v>
      </c>
    </row>
    <row r="11017" spans="1:10" x14ac:dyDescent="0.3">
      <c r="A11017" t="str">
        <f>HYPERLINK("https://us2.cloudbeds.com/connect/10074733072513#/reservations/31733866733713?display=MXJURWWS0&amp;reservation_id=31733866733713", "MXJURWWS0")</f>
        <v>MXJURWWS0</v>
      </c>
      <c r="B11017" t="s">
        <v>10</v>
      </c>
      <c r="C11017" t="s">
        <v>23</v>
      </c>
      <c r="D11017" t="str">
        <f>HYPERLINK("https://us2.cloudbeds.com/connect/10074733072513#/reservations/31733866733713?display=John%20Doleman&amp;reservation_id=31733866733713&amp;guest_id=31733866733708", "John Doleman")</f>
        <v>John Doleman</v>
      </c>
      <c r="E11017" t="s">
        <v>10125</v>
      </c>
      <c r="F11017" t="s">
        <v>9489</v>
      </c>
      <c r="G11017">
        <v>129</v>
      </c>
      <c r="H11017">
        <v>140.22999999999999</v>
      </c>
      <c r="I11017">
        <v>140.22</v>
      </c>
      <c r="J11017">
        <v>0.01</v>
      </c>
    </row>
    <row r="11018" spans="1:10" x14ac:dyDescent="0.3">
      <c r="A11018" t="str">
        <f>HYPERLINK("https://us2.cloudbeds.com/connect/10074733072513#/reservations/31728688226487?display=MXFUHBD4K&amp;reservation_id=31728688226487", "MXFUHBD4K")</f>
        <v>MXFUHBD4K</v>
      </c>
      <c r="B11018" t="s">
        <v>10</v>
      </c>
      <c r="C11018" t="s">
        <v>42</v>
      </c>
      <c r="D11018" t="str">
        <f>HYPERLINK("https://us2.cloudbeds.com/connect/10074733072513#/reservations/31728688226487?display=Keith%20Loberg&amp;reservation_id=31728688226487&amp;guest_id=31684221669557", "Keith Loberg")</f>
        <v>Keith Loberg</v>
      </c>
      <c r="E11018" t="s">
        <v>5138</v>
      </c>
      <c r="F11018" t="s">
        <v>10000</v>
      </c>
      <c r="G11018">
        <v>73</v>
      </c>
      <c r="H11018">
        <v>79.36</v>
      </c>
      <c r="I11018">
        <v>79.349999999999994</v>
      </c>
      <c r="J11018">
        <v>0.01</v>
      </c>
    </row>
    <row r="11019" spans="1:10" x14ac:dyDescent="0.3">
      <c r="A11019" t="str">
        <f>HYPERLINK("https://us2.cloudbeds.com/connect/10074733072513#/reservations/31728651604136?display=MXFTJFAQD&amp;reservation_id=31728651604136", "MXFTJFAQD")</f>
        <v>MXFTJFAQD</v>
      </c>
      <c r="B11019" t="s">
        <v>10</v>
      </c>
      <c r="C11019" t="s">
        <v>42</v>
      </c>
      <c r="D11019" t="str">
        <f>HYPERLINK("https://us2.cloudbeds.com/connect/10074733072513#/reservations/31728651604136?display=Dewey%20Hlavac&amp;reservation_id=31728651604136&amp;guest_id=31681864011998", "Dewey Hlavac")</f>
        <v>Dewey Hlavac</v>
      </c>
      <c r="E11019" t="s">
        <v>7322</v>
      </c>
      <c r="F11019" t="s">
        <v>10000</v>
      </c>
      <c r="G11019">
        <v>99</v>
      </c>
      <c r="H11019">
        <v>107.62</v>
      </c>
      <c r="I11019">
        <v>107.61</v>
      </c>
      <c r="J11019">
        <v>0.01</v>
      </c>
    </row>
    <row r="11020" spans="1:10" x14ac:dyDescent="0.3">
      <c r="A11020" t="str">
        <f>HYPERLINK("https://us2.cloudbeds.com/connect/10074733072513#/reservations/31730417361088?display=MXH8ND05Y&amp;reservation_id=31730417361088", "MXH8ND05Y")</f>
        <v>MXH8ND05Y</v>
      </c>
      <c r="B11020" t="s">
        <v>10</v>
      </c>
      <c r="C11020" t="s">
        <v>20</v>
      </c>
      <c r="D11020" t="str">
        <f>HYPERLINK("https://us2.cloudbeds.com/connect/10074733072513#/reservations/31730417361088?display=Mona%20Murphy&amp;reservation_id=31730417361088&amp;guest_id=31730403119327", "Mona Murphy")</f>
        <v>Mona Murphy</v>
      </c>
      <c r="E11020" t="s">
        <v>10130</v>
      </c>
      <c r="F11020" t="s">
        <v>9096</v>
      </c>
      <c r="G11020">
        <v>322.2</v>
      </c>
      <c r="H11020">
        <v>350.24</v>
      </c>
      <c r="I11020">
        <v>350.23</v>
      </c>
      <c r="J11020">
        <v>0.01</v>
      </c>
    </row>
    <row r="11021" spans="1:10" x14ac:dyDescent="0.3">
      <c r="A11021" t="str">
        <f>HYPERLINK("https://us2.cloudbeds.com/connect/10074733072513#/reservations/31729704714426?display=MXGNGFM7E&amp;reservation_id=31729704714426", "MXGNGFM7E")</f>
        <v>MXGNGFM7E</v>
      </c>
      <c r="B11021" t="s">
        <v>10</v>
      </c>
      <c r="C11021" t="s">
        <v>23</v>
      </c>
      <c r="D11021" t="str">
        <f>HYPERLINK("https://us2.cloudbeds.com/connect/10074733072513#/reservations/31729704714426?display=Shawna%20Callender&amp;reservation_id=31729704714426&amp;guest_id=31729694867683", "Shawna Callender")</f>
        <v>Shawna Callender</v>
      </c>
      <c r="E11021" t="s">
        <v>10131</v>
      </c>
      <c r="F11021" t="s">
        <v>9489</v>
      </c>
      <c r="G11021">
        <v>159</v>
      </c>
      <c r="H11021">
        <v>172.84</v>
      </c>
      <c r="I11021">
        <v>172.83</v>
      </c>
      <c r="J11021">
        <v>0.01</v>
      </c>
    </row>
    <row r="11022" spans="1:10" x14ac:dyDescent="0.3">
      <c r="A11022" t="str">
        <f>HYPERLINK("https://us2.cloudbeds.com/connect/10074733072513#/reservations/31730819862722?display=MXHXWQAH1&amp;reservation_id=31730819862722", "MXHXWQAH1")</f>
        <v>MXHXWQAH1</v>
      </c>
      <c r="B11022" t="s">
        <v>10</v>
      </c>
      <c r="C11022" t="s">
        <v>42</v>
      </c>
      <c r="D11022" t="str">
        <f>HYPERLINK("https://us2.cloudbeds.com/connect/10074733072513#/reservations/31730819862722?display=Cobren%20Bird&amp;reservation_id=31730819862722&amp;guest_id=31721712144591", "Cobren Bird")</f>
        <v>Cobren Bird</v>
      </c>
      <c r="E11022" t="s">
        <v>7109</v>
      </c>
      <c r="F11022" t="s">
        <v>9489</v>
      </c>
      <c r="G11022">
        <v>73</v>
      </c>
      <c r="H11022">
        <v>79.36</v>
      </c>
      <c r="I11022">
        <v>79.349999999999994</v>
      </c>
      <c r="J11022">
        <v>0.01</v>
      </c>
    </row>
    <row r="11023" spans="1:10" x14ac:dyDescent="0.3">
      <c r="A11023" t="str">
        <f>HYPERLINK("https://us2.cloudbeds.com/connect/10074733072513#/reservations/31733813428373?display=MXJTG1MVM&amp;reservation_id=31733813428373", "MXJTG1MVM")</f>
        <v>MXJTG1MVM</v>
      </c>
      <c r="B11023" t="s">
        <v>10</v>
      </c>
      <c r="C11023" t="s">
        <v>42</v>
      </c>
      <c r="D11023" t="str">
        <f>HYPERLINK("https://us2.cloudbeds.com/connect/10074733072513#/reservations/31733813428373?display=Robert%20Foster&amp;reservation_id=31733813428373&amp;guest_id=31726937428182", "Robert Foster")</f>
        <v>Robert Foster</v>
      </c>
      <c r="E11023" t="s">
        <v>10135</v>
      </c>
      <c r="F11023" t="s">
        <v>9810</v>
      </c>
      <c r="G11023">
        <v>73</v>
      </c>
      <c r="H11023">
        <v>79.36</v>
      </c>
      <c r="I11023">
        <v>79.349999999999994</v>
      </c>
      <c r="J11023">
        <v>0.01</v>
      </c>
    </row>
    <row r="11024" spans="1:10" x14ac:dyDescent="0.3">
      <c r="A11024" t="str">
        <f>HYPERLINK("https://us2.cloudbeds.com/connect/10074733072513#/reservations/31731077501134?display=MXHPJ1G2Y&amp;reservation_id=31731077501134", "MXHPJ1G2Y")</f>
        <v>MXHPJ1G2Y</v>
      </c>
      <c r="B11024" t="s">
        <v>10</v>
      </c>
      <c r="C11024" t="s">
        <v>42</v>
      </c>
      <c r="D11024" t="str">
        <f>HYPERLINK("https://us2.cloudbeds.com/connect/10074733072513#/reservations/31731077501134?display=Ward%20Adema&amp;reservation_id=31731077501134&amp;guest_id=31731077501129", "Ward Adema")</f>
        <v>Ward Adema</v>
      </c>
      <c r="E11024" t="s">
        <v>10136</v>
      </c>
      <c r="F11024" t="s">
        <v>9817</v>
      </c>
      <c r="G11024">
        <v>189</v>
      </c>
      <c r="H11024">
        <v>205.45</v>
      </c>
      <c r="I11024">
        <v>205.44</v>
      </c>
      <c r="J11024">
        <v>0.01</v>
      </c>
    </row>
    <row r="11025" spans="1:10" x14ac:dyDescent="0.3">
      <c r="A11025" t="str">
        <f>HYPERLINK("https://us2.cloudbeds.com/connect/10074733072513#/reservations/31730463563999?display=MXH9TBPQ1&amp;reservation_id=31730463563999", "MXH9TBPQ1")</f>
        <v>MXH9TBPQ1</v>
      </c>
      <c r="B11025" t="s">
        <v>10</v>
      </c>
      <c r="C11025" t="s">
        <v>20</v>
      </c>
      <c r="D11025" t="str">
        <f>HYPERLINK("https://us2.cloudbeds.com/connect/10074733072513#/reservations/31730463563999?display=Rodney%20Fritz&amp;reservation_id=31730463563999&amp;guest_id=31730463563997", "Rodney Fritz")</f>
        <v>Rodney Fritz</v>
      </c>
      <c r="E11025" t="s">
        <v>10137</v>
      </c>
      <c r="F11025" t="s">
        <v>10127</v>
      </c>
      <c r="G11025">
        <v>298</v>
      </c>
      <c r="H11025">
        <v>323.94</v>
      </c>
      <c r="I11025">
        <v>323.93</v>
      </c>
      <c r="J11025">
        <v>0.01</v>
      </c>
    </row>
    <row r="11026" spans="1:10" x14ac:dyDescent="0.3">
      <c r="A11026" t="str">
        <f>HYPERLINK("https://us2.cloudbeds.com/connect/10074733072513#/reservations/31731065634966?display=MXHP919MQ&amp;reservation_id=31731065634966", "MXHP919MQ")</f>
        <v>MXHP919MQ</v>
      </c>
      <c r="B11026" t="s">
        <v>10</v>
      </c>
      <c r="C11026" t="s">
        <v>23</v>
      </c>
      <c r="D11026" t="str">
        <f>HYPERLINK("https://us2.cloudbeds.com/connect/10074733072513#/reservations/31731065634966?display=Lynette%20Smith&amp;reservation_id=31731065634966&amp;guest_id=31731065634951", "Lynette Smith")</f>
        <v>Lynette Smith</v>
      </c>
      <c r="E11026" t="s">
        <v>10139</v>
      </c>
      <c r="F11026" t="s">
        <v>9810</v>
      </c>
      <c r="G11026">
        <v>199</v>
      </c>
      <c r="H11026">
        <v>216.32</v>
      </c>
      <c r="I11026">
        <v>216.31</v>
      </c>
      <c r="J11026">
        <v>0.01</v>
      </c>
    </row>
    <row r="11027" spans="1:10" x14ac:dyDescent="0.3">
      <c r="A11027" t="str">
        <f>HYPERLINK("https://us2.cloudbeds.com/connect/10074733072513#/reservations/31731065483469?display=MXHP8U2XW&amp;reservation_id=31731065483469", "MXHP8U2XW")</f>
        <v>MXHP8U2XW</v>
      </c>
      <c r="B11027" t="s">
        <v>10</v>
      </c>
      <c r="C11027" t="s">
        <v>11</v>
      </c>
      <c r="D11027" t="str">
        <f>HYPERLINK("https://us2.cloudbeds.com/connect/10074733072513#/reservations/31731065483469?display=Leeann%20Anderson&amp;reservation_id=31731065483469&amp;guest_id=31731065483467", "Leeann Anderson")</f>
        <v>Leeann Anderson</v>
      </c>
      <c r="E11027" t="s">
        <v>10140</v>
      </c>
      <c r="F11027" t="s">
        <v>9817</v>
      </c>
      <c r="G11027">
        <v>189</v>
      </c>
      <c r="H11027">
        <v>205.45</v>
      </c>
      <c r="I11027">
        <v>205.44</v>
      </c>
      <c r="J11027">
        <v>0.01</v>
      </c>
    </row>
    <row r="11028" spans="1:10" x14ac:dyDescent="0.3">
      <c r="A11028" t="str">
        <f>HYPERLINK("https://us2.cloudbeds.com/connect/10074733072513#/reservations/31725344366779?display=MXDB2NXTX&amp;reservation_id=31725344366779", "MXDB2NXTX")</f>
        <v>MXDB2NXTX</v>
      </c>
      <c r="B11028" t="s">
        <v>10</v>
      </c>
      <c r="C11028" t="s">
        <v>42</v>
      </c>
      <c r="D11028" t="str">
        <f>HYPERLINK("https://us2.cloudbeds.com/connect/10074733072513#/reservations/31725344366779?display=Bill%20Boever&amp;reservation_id=31725344366779&amp;guest_id=31725333033186", "Bill Boever")</f>
        <v>Bill Boever</v>
      </c>
      <c r="E11028" t="s">
        <v>10142</v>
      </c>
      <c r="F11028" t="s">
        <v>10127</v>
      </c>
      <c r="G11028">
        <v>318</v>
      </c>
      <c r="H11028">
        <v>345.68</v>
      </c>
      <c r="I11028">
        <v>345.67</v>
      </c>
      <c r="J11028">
        <v>0.01</v>
      </c>
    </row>
    <row r="11029" spans="1:10" x14ac:dyDescent="0.3">
      <c r="A11029" t="str">
        <f>HYPERLINK("https://us2.cloudbeds.com/connect/10074733072513#/reservations/31728737231065?display=MXFVPM0ZR&amp;reservation_id=31728737231065", "MXFVPM0ZR")</f>
        <v>MXFVPM0ZR</v>
      </c>
      <c r="B11029" t="s">
        <v>10</v>
      </c>
      <c r="C11029" t="s">
        <v>23</v>
      </c>
      <c r="D11029" t="str">
        <f>HYPERLINK("https://us2.cloudbeds.com/connect/10074733072513#/reservations/31728737231065?display=Leigh%20Thelen%20Skornicka&amp;reservation_id=31728737231065&amp;guest_id=31728737226984", "Leigh Thelen Skornicka")</f>
        <v>Leigh Thelen Skornicka</v>
      </c>
      <c r="E11029" t="s">
        <v>10143</v>
      </c>
      <c r="F11029" t="s">
        <v>10114</v>
      </c>
      <c r="G11029">
        <v>258</v>
      </c>
      <c r="H11029">
        <v>280.45999999999998</v>
      </c>
      <c r="I11029">
        <v>280.45</v>
      </c>
      <c r="J11029">
        <v>0.01</v>
      </c>
    </row>
    <row r="11030" spans="1:10" x14ac:dyDescent="0.3">
      <c r="A11030" t="str">
        <f>HYPERLINK("https://us2.cloudbeds.com/connect/10074733072513#/reservations/31727344779399?display=MXET6H02P&amp;reservation_id=31727344779399", "MXET6H02P")</f>
        <v>MXET6H02P</v>
      </c>
      <c r="B11030" t="s">
        <v>10</v>
      </c>
      <c r="C11030" t="s">
        <v>42</v>
      </c>
      <c r="D11030" t="str">
        <f>HYPERLINK("https://us2.cloudbeds.com/connect/10074733072513#/reservations/31727344779399?display=Deb%20Lucas&amp;reservation_id=31727344779399&amp;guest_id=31727336411374", "Deb Lucas")</f>
        <v>Deb Lucas</v>
      </c>
      <c r="E11030" t="s">
        <v>10145</v>
      </c>
      <c r="F11030" t="s">
        <v>10146</v>
      </c>
      <c r="G11030">
        <v>218</v>
      </c>
      <c r="H11030">
        <v>236.98</v>
      </c>
      <c r="I11030">
        <v>236.97</v>
      </c>
      <c r="J11030">
        <v>0.01</v>
      </c>
    </row>
    <row r="11031" spans="1:10" x14ac:dyDescent="0.3">
      <c r="A11031" t="str">
        <f>HYPERLINK("https://us2.cloudbeds.com/connect/10074733072513#/reservations/31730886234264?display=MXHKMP6ZT&amp;reservation_id=31730886234264", "MXHKMP6ZT")</f>
        <v>MXHKMP6ZT</v>
      </c>
      <c r="B11031" t="s">
        <v>10</v>
      </c>
      <c r="C11031" t="s">
        <v>42</v>
      </c>
      <c r="D11031" t="str">
        <f>HYPERLINK("https://us2.cloudbeds.com/connect/10074733072513#/reservations/31730886234264?display=Eliud%20Duran&amp;reservation_id=31730886234264&amp;guest_id=31730886230177", "Eliud Duran")</f>
        <v>Eliud Duran</v>
      </c>
      <c r="E11031" t="s">
        <v>10147</v>
      </c>
      <c r="F11031" t="s">
        <v>9489</v>
      </c>
      <c r="G11031">
        <v>73</v>
      </c>
      <c r="H11031">
        <v>79.36</v>
      </c>
      <c r="I11031">
        <v>79.349999999999994</v>
      </c>
      <c r="J11031">
        <v>0.01</v>
      </c>
    </row>
    <row r="11032" spans="1:10" x14ac:dyDescent="0.3">
      <c r="A11032" t="str">
        <f>HYPERLINK("https://us2.cloudbeds.com/connect/10074733072513#/reservations/31711423054036?display=MX2XBTH9Y&amp;reservation_id=31711423054036", "MX2XBTH9Y")</f>
        <v>MX2XBTH9Y</v>
      </c>
      <c r="B11032" t="s">
        <v>10</v>
      </c>
      <c r="C11032" t="s">
        <v>42</v>
      </c>
      <c r="D11032" t="str">
        <f>HYPERLINK("https://us2.cloudbeds.com/connect/10074733072513#/reservations/31711423054036?display=Robert%20Wilson&amp;reservation_id=31711423054036&amp;guest_id=31711415070967", "Robert Wilson")</f>
        <v>Robert Wilson</v>
      </c>
      <c r="E11032" t="s">
        <v>10148</v>
      </c>
      <c r="F11032" t="s">
        <v>8603</v>
      </c>
      <c r="G11032">
        <v>298</v>
      </c>
      <c r="H11032">
        <v>323.94</v>
      </c>
      <c r="I11032">
        <v>323.93</v>
      </c>
      <c r="J11032">
        <v>0.01</v>
      </c>
    </row>
    <row r="11033" spans="1:10" x14ac:dyDescent="0.3">
      <c r="A11033" t="str">
        <f>HYPERLINK("https://us2.cloudbeds.com/connect/10074733072513#/reservations/31730897379578?display=MXHKW5B6M&amp;reservation_id=31730897379578", "MXHKW5B6M")</f>
        <v>MXHKW5B6M</v>
      </c>
      <c r="B11033" t="s">
        <v>10</v>
      </c>
      <c r="C11033" t="s">
        <v>42</v>
      </c>
      <c r="D11033" t="str">
        <f>HYPERLINK("https://us2.cloudbeds.com/connect/10074733072513#/reservations/31730897379578?display=Zachry%20Johnson&amp;reservation_id=31730897379578&amp;guest_id=31730897379575", "Zachry Johnson")</f>
        <v>Zachry Johnson</v>
      </c>
      <c r="E11033" t="s">
        <v>10150</v>
      </c>
      <c r="F11033" t="s">
        <v>9489</v>
      </c>
      <c r="G11033">
        <v>73</v>
      </c>
      <c r="H11033">
        <v>79.36</v>
      </c>
      <c r="I11033">
        <v>79.349999999999994</v>
      </c>
      <c r="J11033">
        <v>0.01</v>
      </c>
    </row>
    <row r="11034" spans="1:10" x14ac:dyDescent="0.3">
      <c r="A11034" t="str">
        <f>HYPERLINK("https://us2.cloudbeds.com/connect/10074733072513#/reservations/31731240820867?display=MXHTZP39F&amp;reservation_id=31731240820867", "MXHTZP39F")</f>
        <v>MXHTZP39F</v>
      </c>
      <c r="B11034" t="s">
        <v>10</v>
      </c>
      <c r="C11034" t="s">
        <v>23</v>
      </c>
      <c r="D11034" t="str">
        <f>HYPERLINK("https://us2.cloudbeds.com/connect/10074733072513#/reservations/31731240820867?display=Christian%20Baker&amp;reservation_id=31731240820867&amp;guest_id=31731240816776", "Christian Baker")</f>
        <v>Christian Baker</v>
      </c>
      <c r="E11034" t="s">
        <v>10151</v>
      </c>
      <c r="F11034" t="s">
        <v>9975</v>
      </c>
      <c r="G11034">
        <v>159</v>
      </c>
      <c r="H11034">
        <v>172.84</v>
      </c>
      <c r="I11034">
        <v>172.83</v>
      </c>
      <c r="J11034">
        <v>0.01</v>
      </c>
    </row>
    <row r="11035" spans="1:10" x14ac:dyDescent="0.3">
      <c r="A11035" t="str">
        <f>HYPERLINK("https://us2.cloudbeds.com/connect/10074733072513#/reservations/31733215060165?display=MXJE6G76Z&amp;reservation_id=31733215060165", "MXJE6G76Z")</f>
        <v>MXJE6G76Z</v>
      </c>
      <c r="B11035" t="s">
        <v>10</v>
      </c>
      <c r="C11035" t="s">
        <v>17</v>
      </c>
      <c r="D11035" t="str">
        <f>HYPERLINK("https://us2.cloudbeds.com/connect/10074733072513#/reservations/31733215060165?display=Paul%20Moore&amp;reservation_id=31733215060165&amp;guest_id=31731836657814", "Paul Moore")</f>
        <v>Paul Moore</v>
      </c>
      <c r="E11035" t="s">
        <v>9711</v>
      </c>
      <c r="F11035" t="s">
        <v>10113</v>
      </c>
      <c r="G11035">
        <v>258</v>
      </c>
      <c r="H11035">
        <v>280.45999999999998</v>
      </c>
      <c r="I11035">
        <v>280.45</v>
      </c>
      <c r="J11035">
        <v>0.01</v>
      </c>
    </row>
    <row r="11036" spans="1:10" x14ac:dyDescent="0.3">
      <c r="A11036" t="str">
        <f>HYPERLINK("https://us2.cloudbeds.com/connect/10074733072513#/reservations/31724766658784?display=MXCTAXWSM&amp;reservation_id=31724766658784", "MXCTAXWSM")</f>
        <v>MXCTAXWSM</v>
      </c>
      <c r="B11036" t="s">
        <v>10</v>
      </c>
      <c r="C11036" t="s">
        <v>23</v>
      </c>
      <c r="D11036" t="str">
        <f>HYPERLINK("https://us2.cloudbeds.com/connect/10074733072513#/reservations/31724766658784?display=Jennifer%20V%20Ditlevson&amp;reservation_id=31724766658784&amp;guest_id=31724766658782", "Jennifer V Ditlevson")</f>
        <v>Jennifer V Ditlevson</v>
      </c>
      <c r="E11036" t="s">
        <v>10152</v>
      </c>
      <c r="F11036" t="s">
        <v>9463</v>
      </c>
      <c r="G11036">
        <v>179</v>
      </c>
      <c r="H11036">
        <v>194.58</v>
      </c>
      <c r="I11036">
        <v>194.57</v>
      </c>
      <c r="J11036">
        <v>0.01</v>
      </c>
    </row>
    <row r="11037" spans="1:10" x14ac:dyDescent="0.3">
      <c r="A11037" t="str">
        <f>HYPERLINK("https://us2.cloudbeds.com/connect/10074733072513#/reservations/31731314946180?display=MXHVC9SH4&amp;reservation_id=31731314946180", "MXHVC9SH4")</f>
        <v>MXHVC9SH4</v>
      </c>
      <c r="B11037" t="s">
        <v>10</v>
      </c>
      <c r="C11037" t="s">
        <v>11</v>
      </c>
      <c r="D11037" t="str">
        <f>HYPERLINK("https://us2.cloudbeds.com/connect/10074733072513#/reservations/31731314946180?display=Lisa%20Morris&amp;reservation_id=31731314946180&amp;guest_id=31731304313081", "Lisa Morris")</f>
        <v>Lisa Morris</v>
      </c>
      <c r="E11037" t="s">
        <v>10154</v>
      </c>
      <c r="F11037" t="s">
        <v>9975</v>
      </c>
      <c r="G11037">
        <v>102.58</v>
      </c>
      <c r="H11037">
        <v>111.51</v>
      </c>
      <c r="I11037">
        <v>111.5</v>
      </c>
      <c r="J11037">
        <v>0.01</v>
      </c>
    </row>
    <row r="11038" spans="1:10" x14ac:dyDescent="0.3">
      <c r="A11038" t="str">
        <f>HYPERLINK("https://us2.cloudbeds.com/connect/10074733072513#/reservations/31726675988707?display=MXEC3XU76&amp;reservation_id=31726675988707", "MXEC3XU76")</f>
        <v>MXEC3XU76</v>
      </c>
      <c r="B11038" t="s">
        <v>10</v>
      </c>
      <c r="C11038" t="s">
        <v>23</v>
      </c>
      <c r="D11038" t="str">
        <f>HYPERLINK("https://us2.cloudbeds.com/connect/10074733072513#/reservations/31726675988707?display=Lacey%20Burrell&amp;reservation_id=31726675988707&amp;guest_id=31726675984608", "Lacey Burrell")</f>
        <v>Lacey Burrell</v>
      </c>
      <c r="E11038" t="s">
        <v>10155</v>
      </c>
      <c r="F11038" t="s">
        <v>9817</v>
      </c>
      <c r="G11038">
        <v>249</v>
      </c>
      <c r="H11038">
        <v>270.67</v>
      </c>
      <c r="I11038">
        <v>270.66000000000003</v>
      </c>
      <c r="J11038">
        <v>0.01</v>
      </c>
    </row>
    <row r="11039" spans="1:10" x14ac:dyDescent="0.3">
      <c r="A11039" t="str">
        <f>HYPERLINK("https://us2.cloudbeds.com/connect/10074733072513#/reservations/31731836657819?display=MXXBW64YM&amp;reservation_id=31731836657819", "MXXBW64YM")</f>
        <v>MXXBW64YM</v>
      </c>
      <c r="B11039" t="s">
        <v>10</v>
      </c>
      <c r="C11039" t="s">
        <v>17</v>
      </c>
      <c r="D11039" t="str">
        <f>HYPERLINK("https://us2.cloudbeds.com/connect/10074733072513#/reservations/31731836657819?display=Paul%20Moore&amp;reservation_id=31731836657819&amp;guest_id=31731836657814", "Paul Moore")</f>
        <v>Paul Moore</v>
      </c>
      <c r="E11039" t="s">
        <v>9711</v>
      </c>
      <c r="F11039" t="s">
        <v>10003</v>
      </c>
      <c r="G11039">
        <v>258</v>
      </c>
      <c r="H11039">
        <v>280.45999999999998</v>
      </c>
      <c r="I11039">
        <v>280.45</v>
      </c>
      <c r="J11039">
        <v>0.01</v>
      </c>
    </row>
    <row r="11040" spans="1:10" x14ac:dyDescent="0.3">
      <c r="A11040" t="str">
        <f>HYPERLINK("https://us2.cloudbeds.com/connect/10074733072513#/reservations/31711434494131?display=MX2XYHSE6&amp;reservation_id=31711434494131", "MX2XYHSE6")</f>
        <v>MX2XYHSE6</v>
      </c>
      <c r="B11040" t="s">
        <v>10</v>
      </c>
      <c r="C11040" t="s">
        <v>42</v>
      </c>
      <c r="D11040" t="str">
        <f>HYPERLINK("https://us2.cloudbeds.com/connect/10074733072513#/reservations/31711434494131?display=Victoria%20Burnley&amp;reservation_id=31711434494131&amp;guest_id=31711423058134", "Victoria Burnley")</f>
        <v>Victoria Burnley</v>
      </c>
      <c r="E11040" t="s">
        <v>10156</v>
      </c>
      <c r="F11040" t="s">
        <v>8603</v>
      </c>
      <c r="G11040">
        <v>298</v>
      </c>
      <c r="H11040">
        <v>323.94</v>
      </c>
      <c r="I11040">
        <v>323.93</v>
      </c>
      <c r="J11040">
        <v>0.01</v>
      </c>
    </row>
    <row r="11041" spans="1:10" x14ac:dyDescent="0.3">
      <c r="A11041" t="str">
        <f>HYPERLINK("https://us2.cloudbeds.com/connect/10074733072513#/reservations/31731090194592?display=MXHPTZN4T&amp;reservation_id=31731090194592", "MXHPTZN4T")</f>
        <v>MXHPTZN4T</v>
      </c>
      <c r="B11041" t="s">
        <v>10</v>
      </c>
      <c r="C11041" t="s">
        <v>42</v>
      </c>
      <c r="D11041" t="str">
        <f>HYPERLINK("https://us2.cloudbeds.com/connect/10074733072513#/reservations/31731090194592?display=Victoria%20Brant&amp;reservation_id=31731090194592&amp;guest_id=30651227639952", "Victoria Brant")</f>
        <v>Victoria Brant</v>
      </c>
      <c r="E11041" t="s">
        <v>659</v>
      </c>
      <c r="F11041" t="s">
        <v>9817</v>
      </c>
      <c r="G11041">
        <v>249</v>
      </c>
      <c r="H11041">
        <v>270.67</v>
      </c>
      <c r="I11041">
        <v>270.66000000000003</v>
      </c>
      <c r="J11041">
        <v>0.01</v>
      </c>
    </row>
    <row r="11042" spans="1:10" x14ac:dyDescent="0.3">
      <c r="A11042" t="str">
        <f>HYPERLINK("https://us2.cloudbeds.com/connect/10074733072513#/reservations/31730579206373?display=MXHCRSN4D&amp;reservation_id=31730579206373", "MXHCRSN4D")</f>
        <v>MXHCRSN4D</v>
      </c>
      <c r="B11042" t="s">
        <v>10</v>
      </c>
      <c r="C11042" t="s">
        <v>23</v>
      </c>
      <c r="D11042" t="str">
        <f>HYPERLINK("https://us2.cloudbeds.com/connect/10074733072513#/reservations/31730579206373?display=William%20Prentice&amp;reservation_id=31730579206373&amp;guest_id=31720231477382", "William Prentice")</f>
        <v>William Prentice</v>
      </c>
      <c r="E11042" t="s">
        <v>10159</v>
      </c>
      <c r="F11042" t="s">
        <v>10160</v>
      </c>
      <c r="G11042">
        <v>189</v>
      </c>
      <c r="H11042">
        <v>205.45</v>
      </c>
      <c r="I11042">
        <v>205.44</v>
      </c>
      <c r="J11042">
        <v>0.01</v>
      </c>
    </row>
    <row r="11043" spans="1:10" x14ac:dyDescent="0.3">
      <c r="A11043" t="str">
        <f>HYPERLINK("https://us2.cloudbeds.com/connect/10074733072513#/reservations/31726199001296?display=MXDWUC187&amp;reservation_id=31726199001296", "MXDWUC187")</f>
        <v>MXDWUC187</v>
      </c>
      <c r="B11043" t="s">
        <v>10</v>
      </c>
      <c r="C11043" t="s">
        <v>42</v>
      </c>
      <c r="D11043" t="str">
        <f>HYPERLINK("https://us2.cloudbeds.com/connect/10074733072513#/reservations/31726199001296?display=Jo%20Ellen%20Fafching&amp;reservation_id=31726199001296&amp;guest_id=31726192959667", "Jo Ellen Fafching")</f>
        <v>Jo Ellen Fafching</v>
      </c>
      <c r="E11043" t="s">
        <v>10161</v>
      </c>
      <c r="F11043" t="s">
        <v>8835</v>
      </c>
      <c r="G11043">
        <v>139</v>
      </c>
      <c r="H11043">
        <v>151.1</v>
      </c>
      <c r="I11043">
        <v>151.09</v>
      </c>
      <c r="J11043">
        <v>0.01</v>
      </c>
    </row>
    <row r="11044" spans="1:10" x14ac:dyDescent="0.3">
      <c r="A11044" t="str">
        <f>HYPERLINK("https://us2.cloudbeds.com/connect/10074733072513#/reservations/31731228713200?display=MXHTEX64F&amp;reservation_id=31731228713200", "MXHTEX64F")</f>
        <v>MXHTEX64F</v>
      </c>
      <c r="B11044" t="s">
        <v>10</v>
      </c>
      <c r="C11044" t="s">
        <v>23</v>
      </c>
      <c r="D11044" t="str">
        <f>HYPERLINK("https://us2.cloudbeds.com/connect/10074733072513#/reservations/31731228713200?display=Mary%20Boyce&amp;reservation_id=31731228713200&amp;guest_id=31731228713196", "Mary Boyce")</f>
        <v>Mary Boyce</v>
      </c>
      <c r="E11044" t="s">
        <v>10162</v>
      </c>
      <c r="F11044" t="s">
        <v>9975</v>
      </c>
      <c r="G11044">
        <v>129</v>
      </c>
      <c r="H11044">
        <v>140.22999999999999</v>
      </c>
      <c r="I11044">
        <v>140.22</v>
      </c>
      <c r="J11044">
        <v>0.01</v>
      </c>
    </row>
    <row r="11045" spans="1:10" x14ac:dyDescent="0.3">
      <c r="A11045" t="str">
        <f>HYPERLINK("https://us2.cloudbeds.com/connect/10074733072513#/reservations/31730453135498?display=MXH9KXJXS&amp;reservation_id=31730453135498", "MXH9KXJXS")</f>
        <v>MXH9KXJXS</v>
      </c>
      <c r="B11045" t="s">
        <v>10</v>
      </c>
      <c r="C11045" t="s">
        <v>42</v>
      </c>
      <c r="D11045" t="str">
        <f>HYPERLINK("https://us2.cloudbeds.com/connect/10074733072513#/reservations/31730453135498?display=Susan%20Smith&amp;reservation_id=31730453135498&amp;guest_id=31730449850595", "Susan Smith")</f>
        <v>Susan Smith</v>
      </c>
      <c r="E11045" t="s">
        <v>10163</v>
      </c>
      <c r="F11045" t="s">
        <v>9561</v>
      </c>
      <c r="G11045">
        <v>318</v>
      </c>
      <c r="H11045">
        <v>345.68</v>
      </c>
      <c r="I11045">
        <v>345.67</v>
      </c>
      <c r="J11045">
        <v>0.01</v>
      </c>
    </row>
    <row r="11046" spans="1:10" x14ac:dyDescent="0.3">
      <c r="A11046" t="str">
        <f>HYPERLINK("https://us2.cloudbeds.com/connect/10074733072513#/reservations/31731486556300?display=MXX30W1YZ&amp;reservation_id=31731486556300", "MXX30W1YZ")</f>
        <v>MXX30W1YZ</v>
      </c>
      <c r="B11046" t="s">
        <v>10</v>
      </c>
      <c r="C11046" t="s">
        <v>11</v>
      </c>
      <c r="D11046" t="str">
        <f>HYPERLINK("https://us2.cloudbeds.com/connect/10074733072513#/reservations/31731486556300?display=Jack%20Nilles&amp;reservation_id=31731486556300&amp;guest_id=31731482017952", "Jack Nilles")</f>
        <v>Jack Nilles</v>
      </c>
      <c r="E11046" t="s">
        <v>10164</v>
      </c>
      <c r="F11046" t="s">
        <v>8935</v>
      </c>
      <c r="G11046">
        <v>105.78</v>
      </c>
      <c r="H11046">
        <v>114.99</v>
      </c>
      <c r="I11046">
        <v>114.98</v>
      </c>
      <c r="J11046">
        <v>0.01</v>
      </c>
    </row>
    <row r="11047" spans="1:10" x14ac:dyDescent="0.3">
      <c r="A11047" t="str">
        <f>HYPERLINK("https://us2.cloudbeds.com/connect/10074733072513#/reservations/31712698192124?display=MX3HV43WP&amp;reservation_id=31712698192124", "MX3HV43WP")</f>
        <v>MX3HV43WP</v>
      </c>
      <c r="B11047" t="s">
        <v>10</v>
      </c>
      <c r="C11047" t="s">
        <v>42</v>
      </c>
      <c r="D11047" t="str">
        <f>HYPERLINK("https://us2.cloudbeds.com/connect/10074733072513#/reservations/31712698192124?display=Deltin%20Striha&amp;reservation_id=31712698192124&amp;guest_id=31712698192119", "Deltin Striha")</f>
        <v>Deltin Striha</v>
      </c>
      <c r="E11047" t="s">
        <v>10165</v>
      </c>
      <c r="F11047" t="s">
        <v>8603</v>
      </c>
      <c r="G11047">
        <v>298</v>
      </c>
      <c r="H11047">
        <v>323.94</v>
      </c>
      <c r="I11047">
        <v>323.93</v>
      </c>
      <c r="J11047">
        <v>0.01</v>
      </c>
    </row>
    <row r="11048" spans="1:10" x14ac:dyDescent="0.3">
      <c r="A11048" t="str">
        <f>HYPERLINK("https://us2.cloudbeds.com/connect/10074733072513#/reservations/31731330031857?display=MXHW0WHCQ&amp;reservation_id=31731330031857", "MXHW0WHCQ")</f>
        <v>MXHW0WHCQ</v>
      </c>
      <c r="B11048" t="s">
        <v>10</v>
      </c>
      <c r="C11048" t="s">
        <v>42</v>
      </c>
      <c r="D11048" t="str">
        <f>HYPERLINK("https://us2.cloudbeds.com/connect/10074733072513#/reservations/31731330031857?display=Cassie%20Rogers&amp;reservation_id=31731330031857&amp;guest_id=31731330031809", "Cassie Rogers")</f>
        <v>Cassie Rogers</v>
      </c>
      <c r="E11048" t="s">
        <v>10166</v>
      </c>
      <c r="F11048" t="s">
        <v>9975</v>
      </c>
      <c r="G11048">
        <v>159</v>
      </c>
      <c r="H11048">
        <v>172.84</v>
      </c>
      <c r="I11048">
        <v>172.83</v>
      </c>
      <c r="J11048">
        <v>0.01</v>
      </c>
    </row>
    <row r="11049" spans="1:10" x14ac:dyDescent="0.3">
      <c r="A11049" t="str">
        <f>HYPERLINK("https://us2.cloudbeds.com/connect/10074733072513#/reservations/31723156525211?display=MXBY5SYY6&amp;reservation_id=31723156525211", "MXBY5SYY6")</f>
        <v>MXBY5SYY6</v>
      </c>
      <c r="B11049" t="s">
        <v>10</v>
      </c>
      <c r="C11049" t="s">
        <v>42</v>
      </c>
      <c r="D11049" t="str">
        <f>HYPERLINK("https://us2.cloudbeds.com/connect/10074733072513#/reservations/31723156525211?display=Kevin%20Hopp&amp;reservation_id=31723156525211&amp;guest_id=17963703771327", "Kevin Hopp")</f>
        <v>Kevin Hopp</v>
      </c>
      <c r="E11049" t="s">
        <v>10167</v>
      </c>
      <c r="F11049" t="s">
        <v>9463</v>
      </c>
      <c r="G11049">
        <v>149</v>
      </c>
      <c r="H11049">
        <v>161.97</v>
      </c>
      <c r="I11049">
        <v>161.96</v>
      </c>
      <c r="J11049">
        <v>0.01</v>
      </c>
    </row>
    <row r="11050" spans="1:10" x14ac:dyDescent="0.3">
      <c r="A11050" t="str">
        <f>HYPERLINK("https://us2.cloudbeds.com/connect/10074733072513#/reservations/31728208310418?display=MXFX8M0SE&amp;reservation_id=31728208310418", "MXFX8M0SE")</f>
        <v>MXFX8M0SE</v>
      </c>
      <c r="B11050" t="s">
        <v>10</v>
      </c>
      <c r="C11050" t="s">
        <v>17</v>
      </c>
      <c r="D11050" t="str">
        <f>HYPERLINK("https://us2.cloudbeds.com/connect/10074733072513#/reservations/31728208310418?display=Michelle%20Delaney&amp;reservation_id=31728208310418&amp;guest_id=31728208310413", "Michelle Delaney")</f>
        <v>Michelle Delaney</v>
      </c>
      <c r="E11050" t="s">
        <v>10168</v>
      </c>
      <c r="F11050" t="s">
        <v>8544</v>
      </c>
      <c r="G11050">
        <v>189</v>
      </c>
      <c r="H11050">
        <v>205.45</v>
      </c>
      <c r="I11050">
        <v>205.44</v>
      </c>
      <c r="J11050">
        <v>0.01</v>
      </c>
    </row>
    <row r="11051" spans="1:10" x14ac:dyDescent="0.3">
      <c r="A11051" t="str">
        <f>HYPERLINK("https://us2.cloudbeds.com/connect/10074733072513#/reservations/31728217481448?display=MXFXGD7CE&amp;reservation_id=31728217481448", "MXFXGD7CE")</f>
        <v>MXFXGD7CE</v>
      </c>
      <c r="B11051" t="s">
        <v>10</v>
      </c>
      <c r="C11051" t="s">
        <v>17</v>
      </c>
      <c r="D11051" t="str">
        <f>HYPERLINK("https://us2.cloudbeds.com/connect/10074733072513#/reservations/31728217481448?display=Katie%20Johnson&amp;reservation_id=31728217481448&amp;guest_id=31728217481443", "Katie Johnson")</f>
        <v>Katie Johnson</v>
      </c>
      <c r="E11051" t="s">
        <v>10168</v>
      </c>
      <c r="F11051" t="s">
        <v>8544</v>
      </c>
      <c r="G11051">
        <v>189</v>
      </c>
      <c r="H11051">
        <v>205.45</v>
      </c>
      <c r="I11051">
        <v>205.44</v>
      </c>
      <c r="J11051">
        <v>0.01</v>
      </c>
    </row>
    <row r="11052" spans="1:10" x14ac:dyDescent="0.3">
      <c r="A11052" t="str">
        <f>HYPERLINK("https://us2.cloudbeds.com/connect/10074733072513#/reservations/31728055107834?display=MXFEBFUVT&amp;reservation_id=31728055107834", "MXFEBFUVT")</f>
        <v>MXFEBFUVT</v>
      </c>
      <c r="B11052" t="s">
        <v>10</v>
      </c>
      <c r="C11052" t="s">
        <v>42</v>
      </c>
      <c r="D11052" t="str">
        <f>HYPERLINK("https://us2.cloudbeds.com/connect/10074733072513#/reservations/31728055107834?display=Cobren%20Bird&amp;reservation_id=31728055107834&amp;guest_id=31721712144591", "Cobren Bird")</f>
        <v>Cobren Bird</v>
      </c>
      <c r="E11052" t="s">
        <v>7109</v>
      </c>
      <c r="F11052" t="s">
        <v>8935</v>
      </c>
      <c r="G11052">
        <v>73</v>
      </c>
      <c r="H11052">
        <v>79.36</v>
      </c>
      <c r="I11052">
        <v>79.349999999999994</v>
      </c>
      <c r="J11052">
        <v>0.01</v>
      </c>
    </row>
    <row r="11053" spans="1:10" x14ac:dyDescent="0.3">
      <c r="A11053" t="str">
        <f>HYPERLINK("https://us2.cloudbeds.com/connect/10074733072513#/reservations/31728226537661?display=MXFXZ17F4&amp;reservation_id=31728226537661", "MXFXZ17F4")</f>
        <v>MXFXZ17F4</v>
      </c>
      <c r="B11053" t="s">
        <v>10</v>
      </c>
      <c r="C11053" t="s">
        <v>17</v>
      </c>
      <c r="D11053" t="str">
        <f>HYPERLINK("https://us2.cloudbeds.com/connect/10074733072513#/reservations/31728226537661?display=Jaci%20Hurd&amp;reservation_id=31728226537661&amp;guest_id=31728226537657", "Jaci Hurd")</f>
        <v>Jaci Hurd</v>
      </c>
      <c r="E11053" t="s">
        <v>10168</v>
      </c>
      <c r="F11053" t="s">
        <v>8544</v>
      </c>
      <c r="G11053">
        <v>199</v>
      </c>
      <c r="H11053">
        <v>216.32</v>
      </c>
      <c r="I11053">
        <v>216.31</v>
      </c>
      <c r="J11053">
        <v>0.01</v>
      </c>
    </row>
    <row r="11054" spans="1:10" x14ac:dyDescent="0.3">
      <c r="A11054" t="str">
        <f>HYPERLINK("https://us2.cloudbeds.com/connect/10074733072513#/reservations/31731465224325?display=MXX2FWF28&amp;reservation_id=31731465224325", "MXX2FWF28")</f>
        <v>MXX2FWF28</v>
      </c>
      <c r="B11054" t="s">
        <v>10</v>
      </c>
      <c r="C11054" t="s">
        <v>23</v>
      </c>
      <c r="D11054" t="str">
        <f>HYPERLINK("https://us2.cloudbeds.com/connect/10074733072513#/reservations/31731465224325?display=Collin%20Krupicka&amp;reservation_id=31731465224325&amp;guest_id=31731465220276", "Collin Krupicka")</f>
        <v>Collin Krupicka</v>
      </c>
      <c r="E11054" t="s">
        <v>10170</v>
      </c>
      <c r="F11054" t="s">
        <v>8935</v>
      </c>
      <c r="G11054">
        <v>159</v>
      </c>
      <c r="H11054">
        <v>172.84</v>
      </c>
      <c r="I11054">
        <v>172.83</v>
      </c>
      <c r="J11054">
        <v>0.01</v>
      </c>
    </row>
    <row r="11055" spans="1:10" x14ac:dyDescent="0.3">
      <c r="A11055" t="str">
        <f>HYPERLINK("https://us2.cloudbeds.com/connect/10074733072513#/reservations/31731446706331?display=MXX20C5FU&amp;reservation_id=31731446706331", "MXX20C5FU")</f>
        <v>MXX20C5FU</v>
      </c>
      <c r="B11055" t="s">
        <v>10</v>
      </c>
      <c r="C11055" t="s">
        <v>121</v>
      </c>
      <c r="D11055" t="str">
        <f>HYPERLINK("https://us2.cloudbeds.com/connect/10074733072513#/reservations/31731446706331?display=Jordan%20Fitch&amp;reservation_id=31731446706331&amp;guest_id=31726732419256", "Jordan Fitch")</f>
        <v>Jordan Fitch</v>
      </c>
      <c r="E11055" t="s">
        <v>7464</v>
      </c>
      <c r="F11055" t="s">
        <v>8935</v>
      </c>
      <c r="G11055">
        <v>129</v>
      </c>
      <c r="H11055">
        <v>140.22999999999999</v>
      </c>
      <c r="I11055">
        <v>140.22</v>
      </c>
      <c r="J11055">
        <v>0.01</v>
      </c>
    </row>
    <row r="11056" spans="1:10" x14ac:dyDescent="0.3">
      <c r="A11056" t="str">
        <f>HYPERLINK("https://us2.cloudbeds.com/connect/10074733072513#/reservations/31728037990586?display=MXFDU1KYD&amp;reservation_id=31728037990586", "MXFDU1KYD")</f>
        <v>MXFDU1KYD</v>
      </c>
      <c r="B11056" t="s">
        <v>10</v>
      </c>
      <c r="C11056" t="s">
        <v>42</v>
      </c>
      <c r="D11056" t="str">
        <f>HYPERLINK("https://us2.cloudbeds.com/connect/10074733072513#/reservations/31728037990586?display=Dustin%20Klein&amp;reservation_id=31728037990586&amp;guest_id=31728024043744", "Dustin Klein")</f>
        <v>Dustin Klein</v>
      </c>
      <c r="E11056" t="s">
        <v>10171</v>
      </c>
      <c r="F11056" t="s">
        <v>8935</v>
      </c>
      <c r="G11056">
        <v>178</v>
      </c>
      <c r="H11056">
        <v>193.5</v>
      </c>
      <c r="I11056">
        <v>193.49</v>
      </c>
      <c r="J11056">
        <v>0.01</v>
      </c>
    </row>
    <row r="11057" spans="1:10" x14ac:dyDescent="0.3">
      <c r="A11057" t="str">
        <f>HYPERLINK("https://us2.cloudbeds.com/connect/10074733072513#/reservations/31728000282769?display=MXFCV8BX9&amp;reservation_id=31728000282769", "MXFCV8BX9")</f>
        <v>MXFCV8BX9</v>
      </c>
      <c r="B11057" t="s">
        <v>10</v>
      </c>
      <c r="C11057" t="s">
        <v>42</v>
      </c>
      <c r="D11057" t="str">
        <f>HYPERLINK("https://us2.cloudbeds.com/connect/10074733072513#/reservations/31728000282769?display=Brock%20Smith&amp;reservation_id=31728000282769&amp;guest_id=31728000282754", "Brock Smith")</f>
        <v>Brock Smith</v>
      </c>
      <c r="E11057" t="s">
        <v>3409</v>
      </c>
      <c r="F11057" t="s">
        <v>8935</v>
      </c>
      <c r="G11057">
        <v>73</v>
      </c>
      <c r="H11057">
        <v>79.36</v>
      </c>
      <c r="I11057">
        <v>79.349999999999994</v>
      </c>
      <c r="J11057">
        <v>0.01</v>
      </c>
    </row>
    <row r="11058" spans="1:10" x14ac:dyDescent="0.3">
      <c r="A11058" t="str">
        <f>HYPERLINK("https://us2.cloudbeds.com/connect/10074733072513#/reservations/31727979954317?display=MXFCE3MFJ&amp;reservation_id=31727979954317", "MXFCE3MFJ")</f>
        <v>MXFCE3MFJ</v>
      </c>
      <c r="B11058" t="s">
        <v>10</v>
      </c>
      <c r="C11058" t="s">
        <v>42</v>
      </c>
      <c r="D11058" t="str">
        <f>HYPERLINK("https://us2.cloudbeds.com/connect/10074733072513#/reservations/31727979954317?display=Adam%20Hull&amp;reservation_id=31727979954317&amp;guest_id=31688951021811", "Adam Hull")</f>
        <v>Adam Hull</v>
      </c>
      <c r="E11058" t="s">
        <v>6474</v>
      </c>
      <c r="F11058" t="s">
        <v>8935</v>
      </c>
      <c r="G11058">
        <v>73</v>
      </c>
      <c r="H11058">
        <v>79.36</v>
      </c>
      <c r="I11058">
        <v>79.349999999999994</v>
      </c>
      <c r="J11058">
        <v>0.01</v>
      </c>
    </row>
    <row r="11059" spans="1:10" x14ac:dyDescent="0.3">
      <c r="A11059" t="str">
        <f>HYPERLINK("https://us2.cloudbeds.com/connect/10074733072513#/reservations/31727954792664?display=MXFBPTH68&amp;reservation_id=31727954792664", "MXFBPTH68")</f>
        <v>MXFBPTH68</v>
      </c>
      <c r="B11059" t="s">
        <v>10</v>
      </c>
      <c r="C11059" t="s">
        <v>23</v>
      </c>
      <c r="D11059" t="str">
        <f>HYPERLINK("https://us2.cloudbeds.com/connect/10074733072513#/reservations/31727954792664?display=Clay%20Hinrichs&amp;reservation_id=31727954792664&amp;guest_id=31727954788570", "Clay Hinrichs")</f>
        <v>Clay Hinrichs</v>
      </c>
      <c r="E11059" t="s">
        <v>10172</v>
      </c>
      <c r="F11059" t="s">
        <v>8935</v>
      </c>
      <c r="G11059">
        <v>258</v>
      </c>
      <c r="H11059">
        <v>280.45999999999998</v>
      </c>
      <c r="I11059">
        <v>280.45</v>
      </c>
      <c r="J11059">
        <v>0.01</v>
      </c>
    </row>
    <row r="11060" spans="1:10" x14ac:dyDescent="0.3">
      <c r="A11060" t="str">
        <f>HYPERLINK("https://us2.cloudbeds.com/connect/10074733072513#/reservations/31731240816778?display=MXHTZZWHX&amp;reservation_id=31731240816778", "MXHTZZWHX")</f>
        <v>MXHTZZWHX</v>
      </c>
      <c r="B11060" t="s">
        <v>10</v>
      </c>
      <c r="C11060" t="s">
        <v>42</v>
      </c>
      <c r="D11060" t="str">
        <f>HYPERLINK("https://us2.cloudbeds.com/connect/10074733072513#/reservations/31731240816778?display=Susan%20Hansen&amp;reservation_id=31731240816778&amp;guest_id=31731228717282", "Susan Hansen")</f>
        <v>Susan Hansen</v>
      </c>
      <c r="E11060" t="s">
        <v>10173</v>
      </c>
      <c r="F11060" t="s">
        <v>9975</v>
      </c>
      <c r="G11060">
        <v>129</v>
      </c>
      <c r="H11060">
        <v>140.22999999999999</v>
      </c>
      <c r="I11060">
        <v>140.22</v>
      </c>
      <c r="J11060">
        <v>0.01</v>
      </c>
    </row>
    <row r="11061" spans="1:10" x14ac:dyDescent="0.3">
      <c r="A11061" t="str">
        <f>HYPERLINK("https://us2.cloudbeds.com/connect/10074733072513#/reservations/31728378953894?display=MXFMKXE8S&amp;reservation_id=31728378953894", "MXFMKXE8S")</f>
        <v>MXFMKXE8S</v>
      </c>
      <c r="B11061" t="s">
        <v>10</v>
      </c>
      <c r="C11061" t="s">
        <v>23</v>
      </c>
      <c r="D11061" t="str">
        <f>HYPERLINK("https://us2.cloudbeds.com/connect/10074733072513#/reservations/31728378953894?display=Sarah%20Hansen&amp;reservation_id=31728378953894&amp;guest_id=31728370524364", "Sarah Hansen")</f>
        <v>Sarah Hansen</v>
      </c>
      <c r="E11061" t="s">
        <v>10174</v>
      </c>
      <c r="F11061" t="s">
        <v>10114</v>
      </c>
      <c r="G11061">
        <v>258</v>
      </c>
      <c r="H11061">
        <v>280.45999999999998</v>
      </c>
      <c r="I11061">
        <v>280.45</v>
      </c>
      <c r="J11061">
        <v>0.01</v>
      </c>
    </row>
    <row r="11062" spans="1:10" x14ac:dyDescent="0.3">
      <c r="A11062" t="str">
        <f>HYPERLINK("https://us2.cloudbeds.com/connect/10074733072513#/reservations/31730813169874?display=MXHXR52YF&amp;reservation_id=31730813169874", "MXHXR52YF")</f>
        <v>MXHXR52YF</v>
      </c>
      <c r="B11062" t="s">
        <v>10</v>
      </c>
      <c r="C11062" t="s">
        <v>42</v>
      </c>
      <c r="D11062" t="str">
        <f>HYPERLINK("https://us2.cloudbeds.com/connect/10074733072513#/reservations/31730813169874?display=Nick%20Sherman&amp;reservation_id=31730813169874&amp;guest_id=31687784452323", "Nick Sherman")</f>
        <v>Nick Sherman</v>
      </c>
      <c r="E11062" t="s">
        <v>9753</v>
      </c>
      <c r="F11062" t="s">
        <v>10175</v>
      </c>
      <c r="G11062">
        <v>336</v>
      </c>
      <c r="H11062">
        <v>365.24</v>
      </c>
      <c r="I11062">
        <v>365.23</v>
      </c>
      <c r="J11062">
        <v>0.01</v>
      </c>
    </row>
    <row r="11063" spans="1:10" x14ac:dyDescent="0.3">
      <c r="A11063" t="str">
        <f>HYPERLINK("https://us2.cloudbeds.com/connect/10074733072513#/reservations/31730797363420?display=MXHXDR800&amp;reservation_id=31730797363420", "MXHXDR800")</f>
        <v>MXHXDR800</v>
      </c>
      <c r="B11063" t="s">
        <v>10</v>
      </c>
      <c r="C11063" t="s">
        <v>14</v>
      </c>
      <c r="D11063" t="str">
        <f>HYPERLINK("https://us2.cloudbeds.com/connect/10074733072513#/reservations/31730797363420?display=Lawrence%20Lewis&amp;reservation_id=31730797363420&amp;guest_id=31730787500226", "Lawrence Lewis")</f>
        <v>Lawrence Lewis</v>
      </c>
      <c r="E11063" t="s">
        <v>10176</v>
      </c>
      <c r="F11063" t="s">
        <v>9045</v>
      </c>
      <c r="G11063">
        <v>129</v>
      </c>
      <c r="H11063">
        <v>140.22999999999999</v>
      </c>
      <c r="I11063">
        <v>140.22</v>
      </c>
      <c r="J11063">
        <v>0.01</v>
      </c>
    </row>
    <row r="11064" spans="1:10" x14ac:dyDescent="0.3">
      <c r="A11064" t="str">
        <f>HYPERLINK("https://us2.cloudbeds.com/connect/10074733072513#/reservations/31730731143363?display=MXHGNWXSK&amp;reservation_id=31730731143363", "MXHGNWXSK")</f>
        <v>MXHGNWXSK</v>
      </c>
      <c r="B11064" t="s">
        <v>10</v>
      </c>
      <c r="C11064" t="s">
        <v>42</v>
      </c>
      <c r="D11064" t="str">
        <f>HYPERLINK("https://us2.cloudbeds.com/connect/10074733072513#/reservations/31730731143363?display=Trina%20Lein&amp;reservation_id=31730731143363&amp;guest_id=31730731139268", "Trina Lein")</f>
        <v>Trina Lein</v>
      </c>
      <c r="E11064" t="s">
        <v>10177</v>
      </c>
      <c r="F11064" t="s">
        <v>8918</v>
      </c>
      <c r="G11064">
        <v>527</v>
      </c>
      <c r="H11064">
        <v>572.86</v>
      </c>
      <c r="I11064">
        <v>572.85</v>
      </c>
      <c r="J11064">
        <v>0.01</v>
      </c>
    </row>
    <row r="11065" spans="1:10" x14ac:dyDescent="0.3">
      <c r="A11065" t="str">
        <f>HYPERLINK("https://us2.cloudbeds.com/connect/10074733072513#/reservations/31730497761412?display=MXHAP6CC9&amp;reservation_id=31730497761412", "MXHAP6CC9")</f>
        <v>MXHAP6CC9</v>
      </c>
      <c r="B11065" t="s">
        <v>10</v>
      </c>
      <c r="C11065" t="s">
        <v>20</v>
      </c>
      <c r="D11065" t="str">
        <f>HYPERLINK("https://us2.cloudbeds.com/connect/10074733072513#/reservations/31730497761412?display=Evan%20Emery&amp;reservation_id=31730497761412&amp;guest_id=31730488365206", "Evan Emery")</f>
        <v>Evan Emery</v>
      </c>
      <c r="E11065" t="s">
        <v>10178</v>
      </c>
      <c r="F11065" t="s">
        <v>8045</v>
      </c>
      <c r="G11065">
        <v>209</v>
      </c>
      <c r="H11065">
        <v>227.19</v>
      </c>
      <c r="I11065">
        <v>227.18</v>
      </c>
      <c r="J11065">
        <v>0.01</v>
      </c>
    </row>
    <row r="11066" spans="1:10" x14ac:dyDescent="0.3">
      <c r="A11066" t="str">
        <f>HYPERLINK("https://us2.cloudbeds.com/connect/10074733072513#/reservations/31730347528425?display=MXH6UGUCH&amp;reservation_id=31730347528425", "MXH6UGUCH")</f>
        <v>MXH6UGUCH</v>
      </c>
      <c r="B11066" t="s">
        <v>10</v>
      </c>
      <c r="C11066" t="s">
        <v>11</v>
      </c>
      <c r="D11066" t="str">
        <f>HYPERLINK("https://us2.cloudbeds.com/connect/10074733072513#/reservations/31730347528425?display=Isaias%20Arriaga&amp;reservation_id=31730347528425&amp;guest_id=31730347528422", "Isaias Arriaga")</f>
        <v>Isaias Arriaga</v>
      </c>
      <c r="E11066" t="s">
        <v>10179</v>
      </c>
      <c r="F11066" t="s">
        <v>8045</v>
      </c>
      <c r="G11066">
        <v>261.08</v>
      </c>
      <c r="H11066">
        <v>283.8</v>
      </c>
      <c r="I11066">
        <v>283.79000000000002</v>
      </c>
      <c r="J11066">
        <v>0.01</v>
      </c>
    </row>
    <row r="11067" spans="1:10" x14ac:dyDescent="0.3">
      <c r="A11067" t="str">
        <f>HYPERLINK("https://us2.cloudbeds.com/connect/10074733072513#/reservations/31731197186264?display=MXHSKVTPP&amp;reservation_id=31731197186264", "MXHSKVTPP")</f>
        <v>MXHSKVTPP</v>
      </c>
      <c r="B11067" t="s">
        <v>10</v>
      </c>
      <c r="C11067" t="s">
        <v>42</v>
      </c>
      <c r="D11067" t="str">
        <f>HYPERLINK("https://us2.cloudbeds.com/connect/10074733072513#/reservations/31731197186264?display=Christine%20Hanten&amp;reservation_id=31731197186264&amp;guest_id=31731188445312", "Christine Hanten")</f>
        <v>Christine Hanten</v>
      </c>
      <c r="E11067" t="s">
        <v>10180</v>
      </c>
      <c r="F11067" t="s">
        <v>8045</v>
      </c>
      <c r="G11067">
        <v>219</v>
      </c>
      <c r="H11067">
        <v>238.06</v>
      </c>
      <c r="I11067">
        <v>238.05</v>
      </c>
      <c r="J11067">
        <v>0.01</v>
      </c>
    </row>
    <row r="11068" spans="1:10" x14ac:dyDescent="0.3">
      <c r="A11068" t="str">
        <f>HYPERLINK("https://us2.cloudbeds.com/connect/10074733072513#/reservations/31731178000604?display=MXHS4Q134&amp;reservation_id=31731178000604", "MXHS4Q134")</f>
        <v>MXHS4Q134</v>
      </c>
      <c r="B11068" t="s">
        <v>10</v>
      </c>
      <c r="C11068" t="s">
        <v>42</v>
      </c>
      <c r="D11068" t="str">
        <f>HYPERLINK("https://us2.cloudbeds.com/connect/10074733072513#/reservations/31731178000604?display=Shawn%20Hatlestad&amp;reservation_id=31731178000604&amp;guest_id=31731177996523", "Shawn Hatlestad")</f>
        <v>Shawn Hatlestad</v>
      </c>
      <c r="E11068" t="s">
        <v>10181</v>
      </c>
      <c r="F11068" t="s">
        <v>8045</v>
      </c>
      <c r="G11068">
        <v>209</v>
      </c>
      <c r="H11068">
        <v>227.19</v>
      </c>
      <c r="I11068">
        <v>227.18</v>
      </c>
      <c r="J11068">
        <v>0.01</v>
      </c>
    </row>
    <row r="11069" spans="1:10" x14ac:dyDescent="0.3">
      <c r="A11069" t="str">
        <f>HYPERLINK("https://us2.cloudbeds.com/connect/10074733072513#/reservations/31731170074765?display=MXHRV3G06&amp;reservation_id=31731170074765", "MXHRV3G06")</f>
        <v>MXHRV3G06</v>
      </c>
      <c r="B11069" t="s">
        <v>10</v>
      </c>
      <c r="C11069" t="s">
        <v>42</v>
      </c>
      <c r="D11069" t="str">
        <f>HYPERLINK("https://us2.cloudbeds.com/connect/10074733072513#/reservations/31731170074765?display=Junior%20Linthorne&amp;reservation_id=31731170074765&amp;guest_id=31731170070663", "Junior Linthorne")</f>
        <v>Junior Linthorne</v>
      </c>
      <c r="E11069" t="s">
        <v>10182</v>
      </c>
      <c r="F11069" t="s">
        <v>8045</v>
      </c>
      <c r="G11069">
        <v>378</v>
      </c>
      <c r="H11069">
        <v>410.9</v>
      </c>
      <c r="I11069">
        <v>410.89</v>
      </c>
      <c r="J11069">
        <v>0.01</v>
      </c>
    </row>
    <row r="11070" spans="1:10" x14ac:dyDescent="0.3">
      <c r="A11070" t="str">
        <f>HYPERLINK("https://us2.cloudbeds.com/connect/10074733072513#/reservations/31725885370549?display=MXDZTTQD6&amp;reservation_id=31725885370549", "MXDZTTQD6")</f>
        <v>MXDZTTQD6</v>
      </c>
      <c r="B11070" t="s">
        <v>10</v>
      </c>
      <c r="C11070" t="s">
        <v>42</v>
      </c>
      <c r="D11070" t="str">
        <f>HYPERLINK("https://us2.cloudbeds.com/connect/10074733072513#/reservations/31725885370549?display=Josh%20Moore&amp;reservation_id=31725885370549&amp;guest_id=31725871689886", "Josh Moore")</f>
        <v>Josh Moore</v>
      </c>
      <c r="E11070" t="s">
        <v>10183</v>
      </c>
      <c r="F11070" t="s">
        <v>8835</v>
      </c>
      <c r="G11070">
        <v>318</v>
      </c>
      <c r="H11070">
        <v>345.68</v>
      </c>
      <c r="I11070">
        <v>345.67</v>
      </c>
      <c r="J11070">
        <v>0.01</v>
      </c>
    </row>
    <row r="11071" spans="1:10" x14ac:dyDescent="0.3">
      <c r="A11071" t="str">
        <f>HYPERLINK("https://us2.cloudbeds.com/connect/10074733072513#/reservations/31728512868489?display=MXFQ1FQGT&amp;reservation_id=31728512868489", "MXFQ1FQGT")</f>
        <v>MXFQ1FQGT</v>
      </c>
      <c r="B11071" t="s">
        <v>10</v>
      </c>
      <c r="C11071" t="s">
        <v>42</v>
      </c>
      <c r="D11071" t="str">
        <f>HYPERLINK("https://us2.cloudbeds.com/connect/10074733072513#/reservations/31728512868489?display=Dave%20Mccandless&amp;reservation_id=31728512868489&amp;guest_id=31677327991015", "Dave Mccandless")</f>
        <v>Dave Mccandless</v>
      </c>
      <c r="E11071" t="s">
        <v>6185</v>
      </c>
      <c r="F11071" t="s">
        <v>8443</v>
      </c>
      <c r="G11071">
        <v>89</v>
      </c>
      <c r="H11071">
        <v>96.75</v>
      </c>
      <c r="I11071">
        <v>96.74</v>
      </c>
      <c r="J11071">
        <v>0.01</v>
      </c>
    </row>
    <row r="11072" spans="1:10" x14ac:dyDescent="0.3">
      <c r="A11072" t="str">
        <f>HYPERLINK("https://us2.cloudbeds.com/connect/10074733072513#/reservations/31731771367642?display=MXXAA4BDF&amp;reservation_id=31731771367642", "MXXAA4BDF")</f>
        <v>MXXAA4BDF</v>
      </c>
      <c r="B11072" t="s">
        <v>10</v>
      </c>
      <c r="C11072" t="s">
        <v>121</v>
      </c>
      <c r="D11072" t="str">
        <f>HYPERLINK("https://us2.cloudbeds.com/connect/10074733072513#/reservations/31731771367642?display=Blayne%20Stenersen&amp;reservation_id=31731771367642&amp;guest_id=31731771367638", "Blayne Stenersen")</f>
        <v>Blayne Stenersen</v>
      </c>
      <c r="E11072" t="s">
        <v>9618</v>
      </c>
      <c r="F11072" t="s">
        <v>10003</v>
      </c>
      <c r="G11072">
        <v>129</v>
      </c>
      <c r="H11072">
        <v>140.22999999999999</v>
      </c>
      <c r="I11072">
        <v>140.22</v>
      </c>
      <c r="J11072">
        <v>0.01</v>
      </c>
    </row>
    <row r="11073" spans="1:10" x14ac:dyDescent="0.3">
      <c r="A11073" t="str">
        <f>HYPERLINK("https://us2.cloudbeds.com/connect/10074733072513#/reservations/31733997150376?display=MXK15W113&amp;reservation_id=31733997150376", "MXK15W113")</f>
        <v>MXK15W113</v>
      </c>
      <c r="B11073" t="s">
        <v>10</v>
      </c>
      <c r="C11073" t="s">
        <v>42</v>
      </c>
      <c r="D11073" t="str">
        <f>HYPERLINK("https://us2.cloudbeds.com/connect/10074733072513#/reservations/31733997150376?display=Clay%20Hinrichs&amp;reservation_id=31733997150376&amp;guest_id=31727954788570", "Clay Hinrichs")</f>
        <v>Clay Hinrichs</v>
      </c>
      <c r="E11073" t="s">
        <v>10172</v>
      </c>
      <c r="F11073" t="s">
        <v>10184</v>
      </c>
      <c r="G11073">
        <v>258</v>
      </c>
      <c r="H11073">
        <v>280.45999999999998</v>
      </c>
      <c r="I11073">
        <v>280.45</v>
      </c>
      <c r="J11073">
        <v>0.01</v>
      </c>
    </row>
    <row r="11074" spans="1:10" x14ac:dyDescent="0.3">
      <c r="A11074" t="str">
        <f>HYPERLINK("https://us2.cloudbeds.com/connect/10074733072513#/reservations/31727991255293?display=MXFCNY4SD&amp;reservation_id=31727991255293", "MXFCNY4SD")</f>
        <v>MXFCNY4SD</v>
      </c>
      <c r="B11074" t="s">
        <v>10</v>
      </c>
      <c r="C11074" t="s">
        <v>121</v>
      </c>
      <c r="D11074" t="str">
        <f>HYPERLINK("https://us2.cloudbeds.com/connect/10074733072513#/reservations/31727991255293?display=Jim%20Wheels&amp;reservation_id=31727991255293&amp;guest_id=31727991255288", "Jim Wheels")</f>
        <v>Jim Wheels</v>
      </c>
      <c r="E11074" t="s">
        <v>10186</v>
      </c>
      <c r="F11074" t="s">
        <v>8935</v>
      </c>
      <c r="G11074">
        <v>129</v>
      </c>
      <c r="H11074">
        <v>140.22999999999999</v>
      </c>
      <c r="I11074">
        <v>140.22</v>
      </c>
      <c r="J11074">
        <v>0.01</v>
      </c>
    </row>
    <row r="11075" spans="1:10" x14ac:dyDescent="0.3">
      <c r="A11075" t="str">
        <f>HYPERLINK("https://us2.cloudbeds.com/connect/10074733072513#/reservations/31733986234535?display=MXK0TP9A1&amp;reservation_id=31733986234535", "MXK0TP9A1")</f>
        <v>MXK0TP9A1</v>
      </c>
      <c r="B11075" t="s">
        <v>10</v>
      </c>
      <c r="C11075" t="s">
        <v>42</v>
      </c>
      <c r="D11075" t="str">
        <f>HYPERLINK("https://us2.cloudbeds.com/connect/10074733072513#/reservations/31733986234535?display=Mark%20Steigleder&amp;reservation_id=31733986234535&amp;guest_id=31700861939846", "Mark Steigleder")</f>
        <v>Mark Steigleder</v>
      </c>
      <c r="E11075" t="s">
        <v>8106</v>
      </c>
      <c r="F11075" t="s">
        <v>10184</v>
      </c>
      <c r="G11075">
        <v>178</v>
      </c>
      <c r="H11075">
        <v>193.5</v>
      </c>
      <c r="I11075">
        <v>193.49</v>
      </c>
      <c r="J11075">
        <v>0.01</v>
      </c>
    </row>
    <row r="11076" spans="1:10" x14ac:dyDescent="0.3">
      <c r="A11076" t="str">
        <f>HYPERLINK("https://us2.cloudbeds.com/connect/10074733072513#/reservations/31731743137953?display=MXX9JAQRB&amp;reservation_id=31731743137953", "MXX9JAQRB")</f>
        <v>MXX9JAQRB</v>
      </c>
      <c r="B11076" t="s">
        <v>10</v>
      </c>
      <c r="C11076" t="s">
        <v>14</v>
      </c>
      <c r="D11076" t="str">
        <f>HYPERLINK("https://us2.cloudbeds.com/connect/10074733072513#/reservations/31731743137953?display=Cindy%20Robertson&amp;reservation_id=31731743137953&amp;guest_id=31731743137950", "Cindy Robertson")</f>
        <v>Cindy Robertson</v>
      </c>
      <c r="E11076" t="s">
        <v>10187</v>
      </c>
      <c r="F11076" t="s">
        <v>10003</v>
      </c>
      <c r="G11076">
        <v>102.58</v>
      </c>
      <c r="H11076">
        <v>111.51</v>
      </c>
      <c r="I11076">
        <v>111.5</v>
      </c>
      <c r="J11076">
        <v>0.01</v>
      </c>
    </row>
    <row r="11077" spans="1:10" x14ac:dyDescent="0.3">
      <c r="A11077" t="str">
        <f>HYPERLINK("https://us2.cloudbeds.com/connect/10074733072513#/reservations/31731801948320?display=MXXB2U9RM&amp;reservation_id=31731801948320", "MXXB2U9RM")</f>
        <v>MXXB2U9RM</v>
      </c>
      <c r="B11077" t="s">
        <v>10</v>
      </c>
      <c r="C11077" t="s">
        <v>42</v>
      </c>
      <c r="D11077" t="str">
        <f>HYPERLINK("https://us2.cloudbeds.com/connect/10074733072513#/reservations/31731801948320?display=Mason%20Lebeda&amp;reservation_id=31731801948320&amp;guest_id=31731789000912", "Mason Lebeda")</f>
        <v>Mason Lebeda</v>
      </c>
      <c r="E11077" t="s">
        <v>10188</v>
      </c>
      <c r="F11077" t="s">
        <v>10003</v>
      </c>
      <c r="G11077">
        <v>129</v>
      </c>
      <c r="H11077">
        <v>140.22999999999999</v>
      </c>
      <c r="I11077">
        <v>140.22</v>
      </c>
      <c r="J11077">
        <v>0.01</v>
      </c>
    </row>
    <row r="11078" spans="1:10" x14ac:dyDescent="0.3">
      <c r="A11078" t="str">
        <f>HYPERLINK("https://us2.cloudbeds.com/connect/10074733072513#/reservations/31731788996819?display=MXXAZWTQV&amp;reservation_id=31731788996819", "MXXAZWTQV")</f>
        <v>MXXAZWTQV</v>
      </c>
      <c r="B11078" t="s">
        <v>10</v>
      </c>
      <c r="C11078" t="s">
        <v>42</v>
      </c>
      <c r="D11078" t="str">
        <f>HYPERLINK("https://us2.cloudbeds.com/connect/10074733072513#/reservations/31731788996819?display=Cody%20Lunders&amp;reservation_id=31731788996819&amp;guest_id=31731781734577", "Cody Lunders")</f>
        <v>Cody Lunders</v>
      </c>
      <c r="E11078" t="s">
        <v>10189</v>
      </c>
      <c r="F11078" t="s">
        <v>10003</v>
      </c>
      <c r="G11078">
        <v>129</v>
      </c>
      <c r="H11078">
        <v>140.22999999999999</v>
      </c>
      <c r="I11078">
        <v>140.22</v>
      </c>
      <c r="J11078">
        <v>0.01</v>
      </c>
    </row>
    <row r="11079" spans="1:10" x14ac:dyDescent="0.3">
      <c r="A11079" t="str">
        <f>HYPERLINK("https://us2.cloudbeds.com/connect/10074733072513#/reservations/31726275178700?display=MXE1SJPV6&amp;reservation_id=31726275178700", "MXE1SJPV6")</f>
        <v>MXE1SJPV6</v>
      </c>
      <c r="B11079" t="s">
        <v>10</v>
      </c>
      <c r="C11079" t="s">
        <v>42</v>
      </c>
      <c r="D11079" t="str">
        <f>HYPERLINK("https://us2.cloudbeds.com/connect/10074733072513#/reservations/31726275178700?display=Kennard%20Bunger&amp;reservation_id=31726275178700&amp;guest_id=31726268592374", "Kennard Bunger")</f>
        <v>Kennard Bunger</v>
      </c>
      <c r="E11079" t="s">
        <v>10190</v>
      </c>
      <c r="F11079" t="s">
        <v>8801</v>
      </c>
      <c r="G11079">
        <v>318</v>
      </c>
      <c r="H11079">
        <v>345.68</v>
      </c>
      <c r="I11079">
        <v>345.67</v>
      </c>
      <c r="J11079">
        <v>0.01</v>
      </c>
    </row>
    <row r="11080" spans="1:10" x14ac:dyDescent="0.3">
      <c r="A11080" t="str">
        <f>HYPERLINK("https://us2.cloudbeds.com/connect/10074733072513#/reservations/31728824844502?display=MXG10HWSF&amp;reservation_id=31728824844502", "MXG10HWSF")</f>
        <v>MXG10HWSF</v>
      </c>
      <c r="B11080" t="s">
        <v>10</v>
      </c>
      <c r="C11080" t="s">
        <v>11</v>
      </c>
      <c r="D11080" t="str">
        <f>HYPERLINK("https://us2.cloudbeds.com/connect/10074733072513#/reservations/31728824844502?display=Olena%20Sav&amp;reservation_id=31728824844502&amp;guest_id=31728824840395", "Olena Sav")</f>
        <v>Olena Sav</v>
      </c>
      <c r="E11080" t="s">
        <v>10191</v>
      </c>
      <c r="F11080" t="s">
        <v>10184</v>
      </c>
      <c r="G11080">
        <v>97.74</v>
      </c>
      <c r="H11080">
        <v>106.25</v>
      </c>
      <c r="I11080">
        <v>106.24</v>
      </c>
      <c r="J11080">
        <v>0.01</v>
      </c>
    </row>
    <row r="11081" spans="1:10" x14ac:dyDescent="0.3">
      <c r="A11081" t="str">
        <f>HYPERLINK("https://us2.cloudbeds.com/connect/10074733072513#/reservations/31727507456133?display=MXF0BMNRQ&amp;reservation_id=31727507456133", "MXF0BMNRQ")</f>
        <v>MXF0BMNRQ</v>
      </c>
      <c r="B11081" t="s">
        <v>10</v>
      </c>
      <c r="C11081" t="s">
        <v>20</v>
      </c>
      <c r="D11081" t="str">
        <f>HYPERLINK("https://us2.cloudbeds.com/connect/10074733072513#/reservations/31727507456133?display=Robert%20Loser&amp;reservation_id=31727507456133&amp;guest_id=31727498592474", "Robert Loser")</f>
        <v>Robert Loser</v>
      </c>
      <c r="E11081" t="s">
        <v>10192</v>
      </c>
      <c r="F11081" t="s">
        <v>9445</v>
      </c>
      <c r="G11081">
        <v>338</v>
      </c>
      <c r="H11081">
        <v>367.42</v>
      </c>
      <c r="I11081">
        <v>367.41</v>
      </c>
      <c r="J11081">
        <v>0.01</v>
      </c>
    </row>
    <row r="11082" spans="1:10" x14ac:dyDescent="0.3">
      <c r="A11082" t="str">
        <f>HYPERLINK("https://us2.cloudbeds.com/connect/10074733072513#/reservations/31728760623248?display=MXFWCCV5S&amp;reservation_id=31728760623248", "MXFWCCV5S")</f>
        <v>MXFWCCV5S</v>
      </c>
      <c r="B11082" t="s">
        <v>10</v>
      </c>
      <c r="C11082" t="s">
        <v>17</v>
      </c>
      <c r="D11082" t="str">
        <f>HYPERLINK("https://us2.cloudbeds.com/connect/10074733072513#/reservations/31728760623248?display=Kory%20Schwan&amp;reservation_id=31728760623248&amp;guest_id=31728760623245", "Kory Schwan")</f>
        <v>Kory Schwan</v>
      </c>
      <c r="E11082" t="s">
        <v>10193</v>
      </c>
      <c r="F11082" t="s">
        <v>10114</v>
      </c>
      <c r="G11082">
        <v>139</v>
      </c>
      <c r="H11082">
        <v>151.1</v>
      </c>
      <c r="I11082">
        <v>151.09</v>
      </c>
      <c r="J11082">
        <v>0.01</v>
      </c>
    </row>
    <row r="11083" spans="1:10" x14ac:dyDescent="0.3">
      <c r="A11083" t="str">
        <f>HYPERLINK("https://us2.cloudbeds.com/connect/10074733072513#/reservations/31728860201154?display=MXG1UBRV5&amp;reservation_id=31728860201154", "MXG1UBRV5")</f>
        <v>MXG1UBRV5</v>
      </c>
      <c r="B11083" t="s">
        <v>10</v>
      </c>
      <c r="C11083" t="s">
        <v>121</v>
      </c>
      <c r="D11083" t="str">
        <f>HYPERLINK("https://us2.cloudbeds.com/connect/10074733072513#/reservations/31728860201154?display=Jeremy%20Rempel&amp;reservation_id=31728860201154&amp;guest_id=31728860197117", "Jeremy Rempel")</f>
        <v>Jeremy Rempel</v>
      </c>
      <c r="E11083" t="s">
        <v>10194</v>
      </c>
      <c r="F11083" t="s">
        <v>10184</v>
      </c>
      <c r="G11083">
        <v>129</v>
      </c>
      <c r="H11083">
        <v>140.22999999999999</v>
      </c>
      <c r="I11083">
        <v>140.22</v>
      </c>
      <c r="J11083">
        <v>0.01</v>
      </c>
    </row>
    <row r="11084" spans="1:10" x14ac:dyDescent="0.3">
      <c r="A11084" t="str">
        <f>HYPERLINK("https://us2.cloudbeds.com/connect/10074733072513#/reservations/31728843649221?display=MXG1GD8ZE&amp;reservation_id=31728843649221", "MXG1GD8ZE")</f>
        <v>MXG1GD8ZE</v>
      </c>
      <c r="B11084" t="s">
        <v>10</v>
      </c>
      <c r="C11084" t="s">
        <v>42</v>
      </c>
      <c r="D11084" t="str">
        <f>HYPERLINK("https://us2.cloudbeds.com/connect/10074733072513#/reservations/31728843649221?display=Michael%20Bahneman&amp;reservation_id=31728843649221&amp;guest_id=31728843645129", "Michael Bahneman")</f>
        <v>Michael Bahneman</v>
      </c>
      <c r="E11084" t="s">
        <v>10195</v>
      </c>
      <c r="F11084" t="s">
        <v>10184</v>
      </c>
      <c r="G11084">
        <v>129</v>
      </c>
      <c r="H11084">
        <v>140.22999999999999</v>
      </c>
      <c r="I11084">
        <v>140.22</v>
      </c>
      <c r="J11084">
        <v>0.01</v>
      </c>
    </row>
    <row r="11085" spans="1:10" x14ac:dyDescent="0.3">
      <c r="A11085" t="str">
        <f>HYPERLINK("https://us2.cloudbeds.com/connect/10074733072513#/reservations/31733275381890?display=MXJFZBP1Q&amp;reservation_id=31733275381890", "MXJFZBP1Q")</f>
        <v>MXJFZBP1Q</v>
      </c>
      <c r="B11085" t="s">
        <v>10</v>
      </c>
      <c r="C11085" t="s">
        <v>11</v>
      </c>
      <c r="D11085" t="str">
        <f>HYPERLINK("https://us2.cloudbeds.com/connect/10074733072513#/reservations/31733275381890?display=Steven%20Carlson&amp;reservation_id=31733275381890&amp;guest_id=31733269512347", "Steven Carlson")</f>
        <v>Steven Carlson</v>
      </c>
      <c r="E11085" t="s">
        <v>10196</v>
      </c>
      <c r="F11085" t="s">
        <v>9983</v>
      </c>
      <c r="G11085">
        <v>87.82</v>
      </c>
      <c r="H11085">
        <v>95.47</v>
      </c>
      <c r="I11085">
        <v>95.46</v>
      </c>
      <c r="J11085">
        <v>0.01</v>
      </c>
    </row>
    <row r="11086" spans="1:10" x14ac:dyDescent="0.3">
      <c r="A11086" t="str">
        <f>HYPERLINK("https://us2.cloudbeds.com/connect/10074733072513#/reservations/31723204743297?display=MXBMDHD1B&amp;reservation_id=31723204743297", "MXBMDHD1B")</f>
        <v>MXBMDHD1B</v>
      </c>
      <c r="B11086" t="s">
        <v>10</v>
      </c>
      <c r="C11086" t="s">
        <v>42</v>
      </c>
      <c r="D11086" t="str">
        <f>HYPERLINK("https://us2.cloudbeds.com/connect/10074733072513#/reservations/31723204743297?display=Don%20Behnke&amp;reservation_id=31723204743297&amp;guest_id=31723204739262", "Don Behnke")</f>
        <v>Don Behnke</v>
      </c>
      <c r="E11086" t="s">
        <v>10197</v>
      </c>
      <c r="F11086" t="s">
        <v>9463</v>
      </c>
      <c r="G11086">
        <v>438</v>
      </c>
      <c r="H11086">
        <v>476.12</v>
      </c>
      <c r="I11086">
        <v>476.11</v>
      </c>
      <c r="J11086">
        <v>0.01</v>
      </c>
    </row>
    <row r="11087" spans="1:10" x14ac:dyDescent="0.3">
      <c r="A11087" t="str">
        <f>HYPERLINK("https://us2.cloudbeds.com/connect/10074733072513#/reservations/31728860197059?display=MXG1UBZ62&amp;reservation_id=31728860197059", "MXG1UBZ62")</f>
        <v>MXG1UBZ62</v>
      </c>
      <c r="B11087" t="s">
        <v>10</v>
      </c>
      <c r="C11087" t="s">
        <v>121</v>
      </c>
      <c r="D11087" t="str">
        <f>HYPERLINK("https://us2.cloudbeds.com/connect/10074733072513#/reservations/31728860197059?display=David%20Alquist&amp;reservation_id=31728860197059&amp;guest_id=31728851783837", "David Alquist")</f>
        <v>David Alquist</v>
      </c>
      <c r="E11087" t="s">
        <v>10198</v>
      </c>
      <c r="F11087" t="s">
        <v>10184</v>
      </c>
      <c r="G11087">
        <v>129</v>
      </c>
      <c r="H11087">
        <v>140.22999999999999</v>
      </c>
      <c r="I11087">
        <v>140.22</v>
      </c>
      <c r="J11087">
        <v>0.01</v>
      </c>
    </row>
    <row r="11088" spans="1:10" x14ac:dyDescent="0.3">
      <c r="A11088" t="str">
        <f>HYPERLINK("https://us2.cloudbeds.com/connect/10074733072513#/reservations/31733944234129?display=MXJWRBXEF&amp;reservation_id=31733944234129", "MXJWRBXEF")</f>
        <v>MXJWRBXEF</v>
      </c>
      <c r="B11088" t="s">
        <v>10</v>
      </c>
      <c r="C11088" t="s">
        <v>121</v>
      </c>
      <c r="D11088" t="str">
        <f>HYPERLINK("https://us2.cloudbeds.com/connect/10074733072513#/reservations/31733944234129?display=Ryan%20Jones&amp;reservation_id=31733944234129&amp;guest_id=31733944230043", "Ryan Jones")</f>
        <v>Ryan Jones</v>
      </c>
      <c r="E11088" t="s">
        <v>10199</v>
      </c>
      <c r="F11088" t="s">
        <v>10114</v>
      </c>
      <c r="G11088">
        <v>129</v>
      </c>
      <c r="H11088">
        <v>140.22999999999999</v>
      </c>
      <c r="I11088">
        <v>140.22</v>
      </c>
      <c r="J11088">
        <v>0.01</v>
      </c>
    </row>
    <row r="11089" spans="1:10" x14ac:dyDescent="0.3">
      <c r="A11089" t="str">
        <f>HYPERLINK("https://us2.cloudbeds.com/connect/10074733072513#/reservations/31728347803854?display=MXFYR9Y08&amp;reservation_id=31728347803854", "MXFYR9Y08")</f>
        <v>MXFYR9Y08</v>
      </c>
      <c r="B11089" t="s">
        <v>10</v>
      </c>
      <c r="C11089" t="s">
        <v>42</v>
      </c>
      <c r="D11089" t="str">
        <f>HYPERLINK("https://us2.cloudbeds.com/connect/10074733072513#/reservations/31728347803854?display=Doug%20Rodencal&amp;reservation_id=31728347803854&amp;guest_id=31728347799759", "Doug Rodencal")</f>
        <v>Doug Rodencal</v>
      </c>
      <c r="E11089" t="s">
        <v>10200</v>
      </c>
      <c r="F11089" t="s">
        <v>10160</v>
      </c>
      <c r="G11089">
        <v>159</v>
      </c>
      <c r="H11089">
        <v>172.84</v>
      </c>
      <c r="I11089">
        <v>172.83</v>
      </c>
      <c r="J11089">
        <v>0.01</v>
      </c>
    </row>
    <row r="11090" spans="1:10" x14ac:dyDescent="0.3">
      <c r="A11090" t="str">
        <f>HYPERLINK("https://us2.cloudbeds.com/connect/10074733072513#/reservations/31729161556219?display=MXG9KFGBR&amp;reservation_id=31729161556219", "MXG9KFGBR")</f>
        <v>MXG9KFGBR</v>
      </c>
      <c r="B11090" t="s">
        <v>10</v>
      </c>
      <c r="C11090" t="s">
        <v>14</v>
      </c>
      <c r="D11090" t="str">
        <f>HYPERLINK("https://us2.cloudbeds.com/connect/10074733072513#/reservations/31729161556219?display=Rita%20Caso&amp;reservation_id=31729161556219&amp;guest_id=31729152753823", "Rita Caso")</f>
        <v>Rita Caso</v>
      </c>
      <c r="E11090" t="s">
        <v>10201</v>
      </c>
      <c r="F11090" t="s">
        <v>10202</v>
      </c>
      <c r="G11090">
        <v>473.4</v>
      </c>
      <c r="H11090">
        <v>514.6</v>
      </c>
      <c r="I11090">
        <v>514.59</v>
      </c>
      <c r="J11090">
        <v>0.01</v>
      </c>
    </row>
    <row r="11091" spans="1:10" x14ac:dyDescent="0.3">
      <c r="A11091" t="str">
        <f>HYPERLINK("https://us2.cloudbeds.com/connect/10074733072513#/reservations/31728384065735?display=MXFMZSMB4&amp;reservation_id=31728384065735", "MXFMZSMB4")</f>
        <v>MXFMZSMB4</v>
      </c>
      <c r="B11091" t="s">
        <v>10</v>
      </c>
      <c r="C11091" t="s">
        <v>121</v>
      </c>
      <c r="D11091" t="str">
        <f>HYPERLINK("https://us2.cloudbeds.com/connect/10074733072513#/reservations/31728384065735?display=Zachary%20Swift&amp;reservation_id=31728384065735&amp;guest_id=31728384065733", "Zachary Swift")</f>
        <v>Zachary Swift</v>
      </c>
      <c r="E11091" t="s">
        <v>10203</v>
      </c>
      <c r="F11091" t="s">
        <v>10114</v>
      </c>
      <c r="G11091">
        <v>129</v>
      </c>
      <c r="H11091">
        <v>140.22999999999999</v>
      </c>
      <c r="I11091">
        <v>140.22</v>
      </c>
      <c r="J11091">
        <v>0.01</v>
      </c>
    </row>
    <row r="11092" spans="1:10" x14ac:dyDescent="0.3">
      <c r="A11092" t="str">
        <f>HYPERLINK("https://us2.cloudbeds.com/connect/10074733072513#/reservations/31733760315615?display=MXJS48ZU5&amp;reservation_id=31733760315615", "MXJS48ZU5")</f>
        <v>MXJS48ZU5</v>
      </c>
      <c r="B11092" t="s">
        <v>10</v>
      </c>
      <c r="C11092" t="s">
        <v>42</v>
      </c>
      <c r="D11092" t="str">
        <f>HYPERLINK("https://us2.cloudbeds.com/connect/10074733072513#/reservations/31733760315615?display=Kelly%20Rogers&amp;reservation_id=31733760315615&amp;guest_id=31733760311514", "Kelly Rogers")</f>
        <v>Kelly Rogers</v>
      </c>
      <c r="E11092" t="s">
        <v>10204</v>
      </c>
      <c r="F11092" t="s">
        <v>10175</v>
      </c>
      <c r="G11092">
        <v>336</v>
      </c>
      <c r="H11092">
        <v>365.24</v>
      </c>
      <c r="I11092">
        <v>365.23</v>
      </c>
      <c r="J11092">
        <v>0.01</v>
      </c>
    </row>
    <row r="11093" spans="1:10" x14ac:dyDescent="0.3">
      <c r="A11093" t="str">
        <f>HYPERLINK("https://us2.cloudbeds.com/connect/10074733072513#/reservations/31728865644739?display=MXG21VAY9&amp;reservation_id=31728865644739", "MXG21VAY9")</f>
        <v>MXG21VAY9</v>
      </c>
      <c r="B11093" t="s">
        <v>10</v>
      </c>
      <c r="C11093" t="s">
        <v>17</v>
      </c>
      <c r="D11093" t="str">
        <f>HYPERLINK("https://us2.cloudbeds.com/connect/10074733072513#/reservations/31728865644739?display=James%20Buss&amp;reservation_id=31728865644739&amp;guest_id=31728843378906", "James Buss")</f>
        <v>James Buss</v>
      </c>
      <c r="E11093" t="s">
        <v>10205</v>
      </c>
      <c r="F11093" t="s">
        <v>9930</v>
      </c>
      <c r="G11093">
        <v>179</v>
      </c>
      <c r="H11093">
        <v>194.58</v>
      </c>
      <c r="I11093">
        <v>194.57</v>
      </c>
      <c r="J11093">
        <v>0.01</v>
      </c>
    </row>
    <row r="11094" spans="1:10" x14ac:dyDescent="0.3">
      <c r="A11094" t="str">
        <f>HYPERLINK("https://us2.cloudbeds.com/connect/10074733072513#/reservations/31730528825491?display=MXHBXCPN0&amp;reservation_id=31730528825491", "MXHBXCPN0")</f>
        <v>MXHBXCPN0</v>
      </c>
      <c r="B11094" t="s">
        <v>10</v>
      </c>
      <c r="C11094" t="s">
        <v>11</v>
      </c>
      <c r="D11094" t="str">
        <f>HYPERLINK("https://us2.cloudbeds.com/connect/10074733072513#/reservations/31730528825491?display=Jessie%20Boss&amp;reservation_id=31730528825491&amp;guest_id=31730528821398", "Jessie Boss")</f>
        <v>Jessie Boss</v>
      </c>
      <c r="E11094" t="s">
        <v>10206</v>
      </c>
      <c r="F11094" t="s">
        <v>8045</v>
      </c>
      <c r="G11094">
        <v>183.76</v>
      </c>
      <c r="H11094">
        <v>199.76</v>
      </c>
      <c r="I11094">
        <v>199.75</v>
      </c>
      <c r="J11094">
        <v>0.01</v>
      </c>
    </row>
    <row r="11095" spans="1:10" x14ac:dyDescent="0.3">
      <c r="A11095" t="str">
        <f>HYPERLINK("https://us2.cloudbeds.com/connect/10074733072513#/reservations/31728370520274?display=MXFMDEZTK&amp;reservation_id=31728370520274", "MXFMDEZTK")</f>
        <v>MXFMDEZTK</v>
      </c>
      <c r="B11095" t="s">
        <v>10</v>
      </c>
      <c r="C11095" t="s">
        <v>42</v>
      </c>
      <c r="D11095" t="str">
        <f>HYPERLINK("https://us2.cloudbeds.com/connect/10074733072513#/reservations/31728370520274?display=Lisa%20Vetter&amp;reservation_id=31728370520274&amp;guest_id=31728365465785", "Lisa Vetter")</f>
        <v>Lisa Vetter</v>
      </c>
      <c r="E11095" t="s">
        <v>10207</v>
      </c>
      <c r="F11095" t="s">
        <v>10160</v>
      </c>
      <c r="G11095">
        <v>129</v>
      </c>
      <c r="H11095">
        <v>140.22999999999999</v>
      </c>
      <c r="I11095">
        <v>140.22</v>
      </c>
      <c r="J11095">
        <v>0.01</v>
      </c>
    </row>
    <row r="11096" spans="1:10" x14ac:dyDescent="0.3">
      <c r="A11096" t="str">
        <f>HYPERLINK("https://us2.cloudbeds.com/connect/10074733072513#/reservations/31728356909283?display=MXFM1W09B&amp;reservation_id=31728356909283", "MXFM1W09B")</f>
        <v>MXFM1W09B</v>
      </c>
      <c r="B11096" t="s">
        <v>10</v>
      </c>
      <c r="C11096" t="s">
        <v>42</v>
      </c>
      <c r="D11096" t="str">
        <f>HYPERLINK("https://us2.cloudbeds.com/connect/10074733072513#/reservations/31728356909283?display=Cadence%20Rogers&amp;reservation_id=31728356909283&amp;guest_id=31728356905188", "Cadence Rogers")</f>
        <v>Cadence Rogers</v>
      </c>
      <c r="E11096" t="s">
        <v>10208</v>
      </c>
      <c r="F11096" t="s">
        <v>10160</v>
      </c>
      <c r="G11096">
        <v>189</v>
      </c>
      <c r="H11096">
        <v>205.45</v>
      </c>
      <c r="I11096">
        <v>205.44</v>
      </c>
      <c r="J11096">
        <v>0.01</v>
      </c>
    </row>
    <row r="11097" spans="1:10" x14ac:dyDescent="0.3">
      <c r="A11097" t="str">
        <f>HYPERLINK("https://us2.cloudbeds.com/connect/10074733072513#/reservations/31729532424404?display=MXGJ36ERM&amp;reservation_id=31729532424404", "MXGJ36ERM")</f>
        <v>MXGJ36ERM</v>
      </c>
      <c r="B11097" t="s">
        <v>10</v>
      </c>
      <c r="C11097" t="s">
        <v>42</v>
      </c>
      <c r="D11097" t="str">
        <f>HYPERLINK("https://us2.cloudbeds.com/connect/10074733072513#/reservations/31729532424404?display=Elizabeth%20Beth%20Swanson&amp;reservation_id=31729532424404&amp;guest_id=31729532424399", "Elizabeth Beth Swanson")</f>
        <v>Elizabeth Beth Swanson</v>
      </c>
      <c r="E11097" t="s">
        <v>10209</v>
      </c>
      <c r="F11097" t="s">
        <v>9423</v>
      </c>
      <c r="G11097">
        <v>64.5</v>
      </c>
      <c r="H11097">
        <v>70.12</v>
      </c>
      <c r="I11097">
        <v>70.11</v>
      </c>
      <c r="J11097">
        <v>0.01</v>
      </c>
    </row>
    <row r="11098" spans="1:10" x14ac:dyDescent="0.3">
      <c r="A11098" t="str">
        <f>HYPERLINK("https://us2.cloudbeds.com/connect/10074733072513#/reservations/31724700131537?display=MXCRKFPYG&amp;reservation_id=31724700131537", "MXCRKFPYG")</f>
        <v>MXCRKFPYG</v>
      </c>
      <c r="B11098" t="s">
        <v>10</v>
      </c>
      <c r="C11098" t="s">
        <v>42</v>
      </c>
      <c r="D11098" t="str">
        <f>HYPERLINK("https://us2.cloudbeds.com/connect/10074733072513#/reservations/31724700131537?display=Michelle%20O'Connell&amp;reservation_id=31724700131537&amp;guest_id=31724700127445", "Michelle O'Connell")</f>
        <v>Michelle O'Connell</v>
      </c>
      <c r="E11098" t="s">
        <v>10211</v>
      </c>
      <c r="F11098" t="s">
        <v>9463</v>
      </c>
      <c r="G11098">
        <v>298</v>
      </c>
      <c r="H11098">
        <v>323.94</v>
      </c>
      <c r="I11098">
        <v>323.93</v>
      </c>
      <c r="J11098">
        <v>0.01</v>
      </c>
    </row>
    <row r="11099" spans="1:10" x14ac:dyDescent="0.3">
      <c r="A11099" t="str">
        <f>HYPERLINK("https://us2.cloudbeds.com/connect/10074733072513#/reservations/31728960266394?display=MXG4FZA75&amp;reservation_id=31728960266394", "MXG4FZA75")</f>
        <v>MXG4FZA75</v>
      </c>
      <c r="B11099" t="s">
        <v>10</v>
      </c>
      <c r="C11099" t="s">
        <v>20</v>
      </c>
      <c r="D11099" t="str">
        <f>HYPERLINK("https://us2.cloudbeds.com/connect/10074733072513#/reservations/31728960266394?display=John%20Schlichtemeier&amp;reservation_id=31728960266394&amp;guest_id=31728960266389", "John Schlichtemeier")</f>
        <v>John Schlichtemeier</v>
      </c>
      <c r="E11099" t="s">
        <v>10213</v>
      </c>
      <c r="F11099" t="s">
        <v>10214</v>
      </c>
      <c r="G11099">
        <v>129</v>
      </c>
      <c r="H11099">
        <v>140.22999999999999</v>
      </c>
      <c r="I11099">
        <v>140.22</v>
      </c>
      <c r="J11099">
        <v>0.01</v>
      </c>
    </row>
    <row r="11100" spans="1:10" x14ac:dyDescent="0.3">
      <c r="A11100" t="str">
        <f>HYPERLINK("https://us2.cloudbeds.com/connect/10074733072513#/reservations/31728309272790?display=MXFKRQEV8&amp;reservation_id=31728309272790", "MXFKRQEV8")</f>
        <v>MXFKRQEV8</v>
      </c>
      <c r="B11100" t="s">
        <v>10</v>
      </c>
      <c r="C11100" t="s">
        <v>23</v>
      </c>
      <c r="D11100" t="str">
        <f>HYPERLINK("https://us2.cloudbeds.com/connect/10074733072513#/reservations/31728309272790?display=Carey%20Thacker&amp;reservation_id=31728309272790&amp;guest_id=31728309268698", "Carey Thacker")</f>
        <v>Carey Thacker</v>
      </c>
      <c r="E11100" t="s">
        <v>10215</v>
      </c>
      <c r="F11100" t="s">
        <v>10160</v>
      </c>
      <c r="G11100">
        <v>169</v>
      </c>
      <c r="H11100">
        <v>183.71</v>
      </c>
      <c r="I11100">
        <v>183.7</v>
      </c>
      <c r="J11100">
        <v>0.01</v>
      </c>
    </row>
    <row r="11101" spans="1:10" x14ac:dyDescent="0.3">
      <c r="A11101" t="str">
        <f>HYPERLINK("https://us2.cloudbeds.com/connect/10074733072513#/reservations/31725559611610?display=MXDGJ72X6&amp;reservation_id=31725559611610", "MXDGJ72X6")</f>
        <v>MXDGJ72X6</v>
      </c>
      <c r="B11101" t="s">
        <v>10</v>
      </c>
      <c r="C11101" t="s">
        <v>42</v>
      </c>
      <c r="D11101" t="str">
        <f>HYPERLINK("https://us2.cloudbeds.com/connect/10074733072513#/reservations/31725559611610?display=Jennifer%20Hojnacki&amp;reservation_id=31725559611610&amp;guest_id=31725559607515", "Jennifer Hojnacki")</f>
        <v>Jennifer Hojnacki</v>
      </c>
      <c r="E11101" t="s">
        <v>10216</v>
      </c>
      <c r="F11101" t="s">
        <v>9463</v>
      </c>
      <c r="G11101">
        <v>338</v>
      </c>
      <c r="H11101">
        <v>367.42</v>
      </c>
      <c r="I11101">
        <v>367.41</v>
      </c>
      <c r="J11101">
        <v>0.01</v>
      </c>
    </row>
    <row r="11102" spans="1:10" x14ac:dyDescent="0.3">
      <c r="A11102" t="str">
        <f>HYPERLINK("https://us2.cloudbeds.com/connect/10074733072513#/reservations/31723248898200?display=MXBNHP2AN&amp;reservation_id=31723248898200", "MXBNHP2AN")</f>
        <v>MXBNHP2AN</v>
      </c>
      <c r="B11102" t="s">
        <v>10</v>
      </c>
      <c r="C11102" t="s">
        <v>42</v>
      </c>
      <c r="D11102" t="str">
        <f>HYPERLINK("https://us2.cloudbeds.com/connect/10074733072513#/reservations/31723248898200?display=Lee%20Wietrzytkowski&amp;reservation_id=31723248898200&amp;guest_id=31723243053308", "Lee Wietrzytkowski")</f>
        <v>Lee Wietrzytkowski</v>
      </c>
      <c r="E11102" t="s">
        <v>10217</v>
      </c>
      <c r="F11102" t="s">
        <v>9463</v>
      </c>
      <c r="G11102">
        <v>298</v>
      </c>
      <c r="H11102">
        <v>323.94</v>
      </c>
      <c r="I11102">
        <v>323.93</v>
      </c>
      <c r="J11102">
        <v>0.01</v>
      </c>
    </row>
    <row r="11103" spans="1:10" x14ac:dyDescent="0.3">
      <c r="A11103" t="str">
        <f>HYPERLINK("https://us2.cloudbeds.com/connect/10074733072513#/reservations/31730764898552?display=MXHHJESC4&amp;reservation_id=31730764898552", "MXHHJESC4")</f>
        <v>MXHHJESC4</v>
      </c>
      <c r="B11103" t="s">
        <v>10</v>
      </c>
      <c r="C11103" t="s">
        <v>20</v>
      </c>
      <c r="D11103" t="str">
        <f>HYPERLINK("https://us2.cloudbeds.com/connect/10074733072513#/reservations/31730764898552?display=Kenneth%20Haak&amp;reservation_id=31730764898552&amp;guest_id=31730764898539", "Kenneth Haak")</f>
        <v>Kenneth Haak</v>
      </c>
      <c r="E11103" t="s">
        <v>10218</v>
      </c>
      <c r="F11103" t="s">
        <v>9045</v>
      </c>
      <c r="G11103">
        <v>696</v>
      </c>
      <c r="H11103">
        <v>756.56</v>
      </c>
      <c r="I11103">
        <v>756.55</v>
      </c>
      <c r="J11103">
        <v>0.01</v>
      </c>
    </row>
    <row r="11104" spans="1:10" x14ac:dyDescent="0.3">
      <c r="A11104" t="str">
        <f>HYPERLINK("https://us2.cloudbeds.com/connect/10074733072513#/reservations/31723231506654?display=MXBN33445&amp;reservation_id=31723231506654", "MXBN33445")</f>
        <v>MXBN33445</v>
      </c>
      <c r="B11104" t="s">
        <v>10</v>
      </c>
      <c r="C11104" t="s">
        <v>42</v>
      </c>
      <c r="D11104" t="str">
        <f>HYPERLINK("https://us2.cloudbeds.com/connect/10074733072513#/reservations/31723231506654?display=Jenny%20Knade&amp;reservation_id=31723231506654&amp;guest_id=31723231502562", "Jenny Knade")</f>
        <v>Jenny Knade</v>
      </c>
      <c r="E11104" t="s">
        <v>10219</v>
      </c>
      <c r="F11104" t="s">
        <v>9463</v>
      </c>
      <c r="G11104">
        <v>298</v>
      </c>
      <c r="H11104">
        <v>323.94</v>
      </c>
      <c r="I11104">
        <v>323.93</v>
      </c>
      <c r="J11104">
        <v>0.01</v>
      </c>
    </row>
    <row r="11105" spans="1:10" x14ac:dyDescent="0.3">
      <c r="A11105" t="str">
        <f>HYPERLINK("https://us2.cloudbeds.com/connect/10074733072513#/reservations/31724725297288?display=MXCS8N1N0&amp;reservation_id=31724725297288", "MXCS8N1N0")</f>
        <v>MXCS8N1N0</v>
      </c>
      <c r="B11105" t="s">
        <v>10</v>
      </c>
      <c r="C11105" t="s">
        <v>42</v>
      </c>
      <c r="D11105" t="str">
        <f>HYPERLINK("https://us2.cloudbeds.com/connect/10074733072513#/reservations/31724725297288?display=Gayle%20Schiszik&amp;reservation_id=31724725297288&amp;guest_id=17963694264463", "Gayle Schiszik")</f>
        <v>Gayle Schiszik</v>
      </c>
      <c r="E11105" t="s">
        <v>10221</v>
      </c>
      <c r="F11105" t="s">
        <v>9463</v>
      </c>
      <c r="G11105">
        <v>298</v>
      </c>
      <c r="H11105">
        <v>323.94</v>
      </c>
      <c r="I11105">
        <v>323.93</v>
      </c>
      <c r="J11105">
        <v>0.01</v>
      </c>
    </row>
    <row r="11106" spans="1:10" x14ac:dyDescent="0.3">
      <c r="A11106" t="str">
        <f>HYPERLINK("https://us2.cloudbeds.com/connect/10074733072513#/reservations/31727054319811?display=MXEYPJHN3&amp;reservation_id=31727054319811", "MXEYPJHN3")</f>
        <v>MXEYPJHN3</v>
      </c>
      <c r="B11106" t="s">
        <v>10</v>
      </c>
      <c r="C11106" t="s">
        <v>17</v>
      </c>
      <c r="D11106" t="str">
        <f>HYPERLINK("https://us2.cloudbeds.com/connect/10074733072513#/reservations/31727054319811?display=Robert%20Vanpeeren&amp;reservation_id=31727054319811&amp;guest_id=31727042699442", "Robert Vanpeeren")</f>
        <v>Robert Vanpeeren</v>
      </c>
      <c r="E11106" t="s">
        <v>10222</v>
      </c>
      <c r="F11106" t="s">
        <v>9423</v>
      </c>
      <c r="G11106">
        <v>159</v>
      </c>
      <c r="H11106">
        <v>172.84</v>
      </c>
      <c r="I11106">
        <v>172.83</v>
      </c>
      <c r="J11106">
        <v>0.01</v>
      </c>
    </row>
    <row r="11107" spans="1:10" x14ac:dyDescent="0.3">
      <c r="A11107" t="str">
        <f>HYPERLINK("https://us2.cloudbeds.com/connect/10074733072513#/reservations/31729555374297?display=MXGJMX23W&amp;reservation_id=31729555374297", "MXGJMX23W")</f>
        <v>MXGJMX23W</v>
      </c>
      <c r="B11107" t="s">
        <v>10</v>
      </c>
      <c r="C11107" t="s">
        <v>42</v>
      </c>
      <c r="D11107" t="str">
        <f>HYPERLINK("https://us2.cloudbeds.com/connect/10074733072513#/reservations/31729555374297?display=Stepan%20Shevchuk&amp;reservation_id=31729555374297&amp;guest_id=31729555374293", "Stepan Shevchuk")</f>
        <v>Stepan Shevchuk</v>
      </c>
      <c r="E11107" t="s">
        <v>10223</v>
      </c>
      <c r="F11107" t="s">
        <v>9423</v>
      </c>
      <c r="G11107">
        <v>129</v>
      </c>
      <c r="H11107">
        <v>140.22999999999999</v>
      </c>
      <c r="I11107">
        <v>140.22</v>
      </c>
      <c r="J11107">
        <v>0.01</v>
      </c>
    </row>
    <row r="11108" spans="1:10" x14ac:dyDescent="0.3">
      <c r="A11108" t="str">
        <f>HYPERLINK("https://us2.cloudbeds.com/connect/10074733072513#/reservations/31727923491023?display=MXFAWGGNM&amp;reservation_id=31727923491023", "MXFAWGGNM")</f>
        <v>MXFAWGGNM</v>
      </c>
      <c r="B11108" t="s">
        <v>10</v>
      </c>
      <c r="C11108" t="s">
        <v>20</v>
      </c>
      <c r="D11108" t="str">
        <f>HYPERLINK("https://us2.cloudbeds.com/connect/10074733072513#/reservations/31727923491023?display=Audra%20Blom&amp;reservation_id=31727923491023&amp;guest_id=31727923491021", "Audra Blom")</f>
        <v>Audra Blom</v>
      </c>
      <c r="E11108" t="s">
        <v>10224</v>
      </c>
      <c r="F11108" t="s">
        <v>10113</v>
      </c>
      <c r="G11108">
        <v>129</v>
      </c>
      <c r="H11108">
        <v>140.22999999999999</v>
      </c>
      <c r="I11108">
        <v>140.22</v>
      </c>
      <c r="J11108">
        <v>0.01</v>
      </c>
    </row>
    <row r="11109" spans="1:10" x14ac:dyDescent="0.3">
      <c r="A11109" t="str">
        <f>HYPERLINK("https://us2.cloudbeds.com/connect/10074733072513#/reservations/31731556155535?display=MXX4QYZQE&amp;reservation_id=31731556155535", "MXX4QYZQE")</f>
        <v>MXX4QYZQE</v>
      </c>
      <c r="B11109" t="s">
        <v>10</v>
      </c>
      <c r="C11109" t="s">
        <v>23</v>
      </c>
      <c r="D11109" t="str">
        <f>HYPERLINK("https://us2.cloudbeds.com/connect/10074733072513#/reservations/31731556155535?display=Jennifer%20Mathis&amp;reservation_id=31731556155535&amp;guest_id=31731556155531", "Jennifer Mathis")</f>
        <v>Jennifer Mathis</v>
      </c>
      <c r="E11109" t="s">
        <v>10225</v>
      </c>
      <c r="F11109" t="s">
        <v>10226</v>
      </c>
      <c r="G11109">
        <v>119</v>
      </c>
      <c r="H11109">
        <v>129.36000000000001</v>
      </c>
      <c r="I11109">
        <v>129.35</v>
      </c>
      <c r="J11109">
        <v>0.01</v>
      </c>
    </row>
    <row r="11110" spans="1:10" x14ac:dyDescent="0.3">
      <c r="A11110" t="str">
        <f>HYPERLINK("https://us2.cloudbeds.com/connect/10074733072513#/reservations/31726916468898?display=MXEX8BKRN&amp;reservation_id=31726916468898", "MXEX8BKRN")</f>
        <v>MXEX8BKRN</v>
      </c>
      <c r="B11110" t="s">
        <v>10</v>
      </c>
      <c r="C11110" t="s">
        <v>42</v>
      </c>
      <c r="D11110" t="str">
        <f>HYPERLINK("https://us2.cloudbeds.com/connect/10074733072513#/reservations/31726916468898?display=Deann%20Motter&amp;reservation_id=31726916468898&amp;guest_id=31716898230465", "Deann Motter")</f>
        <v>Deann Motter</v>
      </c>
      <c r="E11110" t="s">
        <v>10227</v>
      </c>
      <c r="F11110" t="s">
        <v>10226</v>
      </c>
      <c r="G11110">
        <v>73</v>
      </c>
      <c r="H11110">
        <v>79.36</v>
      </c>
      <c r="I11110">
        <v>79.349999999999994</v>
      </c>
      <c r="J11110">
        <v>0.01</v>
      </c>
    </row>
    <row r="11111" spans="1:10" x14ac:dyDescent="0.3">
      <c r="A11111" t="str">
        <f>HYPERLINK("https://us2.cloudbeds.com/connect/10074733072513#/reservations/31723906613414?display=MXC7BBVSP&amp;reservation_id=31723906613414", "MXC7BBVSP")</f>
        <v>MXC7BBVSP</v>
      </c>
      <c r="B11111" t="s">
        <v>10</v>
      </c>
      <c r="C11111" t="s">
        <v>17</v>
      </c>
      <c r="D11111" t="str">
        <f>HYPERLINK("https://us2.cloudbeds.com/connect/10074733072513#/reservations/31723906613414?display=Angela%20Wierzba&amp;reservation_id=31723906613414&amp;guest_id=31723896508603", "Angela Wierzba")</f>
        <v>Angela Wierzba</v>
      </c>
      <c r="E11111" t="s">
        <v>10228</v>
      </c>
      <c r="F11111" t="s">
        <v>9463</v>
      </c>
      <c r="G11111">
        <v>662.2</v>
      </c>
      <c r="H11111">
        <v>719.82</v>
      </c>
      <c r="I11111">
        <v>719.81</v>
      </c>
      <c r="J11111">
        <v>0.01</v>
      </c>
    </row>
    <row r="11112" spans="1:10" x14ac:dyDescent="0.3">
      <c r="A11112" t="str">
        <f>HYPERLINK("https://us2.cloudbeds.com/connect/10074733072513#/reservations/31728927871197?display=MXG3YDSXH&amp;reservation_id=31728927871197", "MXG3YDSXH")</f>
        <v>MXG3YDSXH</v>
      </c>
      <c r="B11112" t="s">
        <v>10</v>
      </c>
      <c r="C11112" t="s">
        <v>42</v>
      </c>
      <c r="D11112" t="str">
        <f>HYPERLINK("https://us2.cloudbeds.com/connect/10074733072513#/reservations/31728927871197?display=Nick%20Sherman&amp;reservation_id=31728927871197&amp;guest_id=31723967779048", "Nick Sherman")</f>
        <v>Nick Sherman</v>
      </c>
      <c r="E11112" t="s">
        <v>9425</v>
      </c>
      <c r="F11112" t="s">
        <v>10214</v>
      </c>
      <c r="G11112">
        <v>252</v>
      </c>
      <c r="H11112">
        <v>273.93</v>
      </c>
      <c r="I11112">
        <v>273.92</v>
      </c>
      <c r="J11112">
        <v>0.01</v>
      </c>
    </row>
    <row r="11113" spans="1:10" x14ac:dyDescent="0.3">
      <c r="A11113" t="str">
        <f>HYPERLINK("https://us2.cloudbeds.com/connect/10074733072513#/reservations/31726977552581?display=MXEJQSCCD&amp;reservation_id=31726977552581", "MXEJQSCCD")</f>
        <v>MXEJQSCCD</v>
      </c>
      <c r="B11113" t="s">
        <v>10</v>
      </c>
      <c r="C11113" t="s">
        <v>42</v>
      </c>
      <c r="D11113" t="str">
        <f>HYPERLINK("https://us2.cloudbeds.com/connect/10074733072513#/reservations/31726977552581?display=Gerod%20Olivier&amp;reservation_id=31726977552581&amp;guest_id=31726977552576", "Gerod Olivier")</f>
        <v>Gerod Olivier</v>
      </c>
      <c r="E11113" t="s">
        <v>10229</v>
      </c>
      <c r="F11113" t="s">
        <v>9423</v>
      </c>
      <c r="G11113">
        <v>159</v>
      </c>
      <c r="H11113">
        <v>172.84</v>
      </c>
      <c r="I11113">
        <v>172.83</v>
      </c>
      <c r="J11113">
        <v>0.01</v>
      </c>
    </row>
    <row r="11114" spans="1:10" x14ac:dyDescent="0.3">
      <c r="A11114" t="str">
        <f>HYPERLINK("https://us2.cloudbeds.com/connect/10074733072513#/reservations/31733301870775?display=MXJGDMS39&amp;reservation_id=31733301870775", "MXJGDMS39")</f>
        <v>MXJGDMS39</v>
      </c>
      <c r="B11114" t="s">
        <v>10</v>
      </c>
      <c r="C11114" t="s">
        <v>23</v>
      </c>
      <c r="D11114" t="str">
        <f>HYPERLINK("https://us2.cloudbeds.com/connect/10074733072513#/reservations/31733301870775?display=George%20Martin%20Nygaard&amp;reservation_id=31733301870775&amp;guest_id=31733301870754", "George Martin Nygaard")</f>
        <v>George Martin Nygaard</v>
      </c>
      <c r="E11114" t="s">
        <v>10230</v>
      </c>
      <c r="F11114" t="s">
        <v>10113</v>
      </c>
      <c r="G11114">
        <v>129</v>
      </c>
      <c r="H11114">
        <v>140.22999999999999</v>
      </c>
      <c r="I11114">
        <v>140.22</v>
      </c>
      <c r="J11114">
        <v>0.01</v>
      </c>
    </row>
    <row r="11115" spans="1:10" x14ac:dyDescent="0.3">
      <c r="A11115" t="str">
        <f>HYPERLINK("https://us2.cloudbeds.com/connect/10074733072513#/reservations/31731611607201?display=MXX67DPJW&amp;reservation_id=31731611607201", "MXX67DPJW")</f>
        <v>MXX67DPJW</v>
      </c>
      <c r="B11115" t="s">
        <v>10</v>
      </c>
      <c r="C11115" t="s">
        <v>42</v>
      </c>
      <c r="D11115" t="str">
        <f>HYPERLINK("https://us2.cloudbeds.com/connect/10074733072513#/reservations/31731611607201?display=James%20Birr&amp;reservation_id=31731611607201&amp;guest_id=31731611607195", "James Birr")</f>
        <v>James Birr</v>
      </c>
      <c r="E11115" t="s">
        <v>10231</v>
      </c>
      <c r="F11115" t="s">
        <v>10226</v>
      </c>
      <c r="G11115">
        <v>109</v>
      </c>
      <c r="H11115">
        <v>118.49</v>
      </c>
      <c r="I11115">
        <v>118.48</v>
      </c>
      <c r="J11115">
        <v>0.01</v>
      </c>
    </row>
    <row r="11116" spans="1:10" x14ac:dyDescent="0.3">
      <c r="A11116" t="str">
        <f>HYPERLINK("https://us2.cloudbeds.com/connect/10074733072513#/reservations/31733287944344?display=MXJG1VAR7&amp;reservation_id=31733287944344", "MXJG1VAR7")</f>
        <v>MXJG1VAR7</v>
      </c>
      <c r="B11116" t="s">
        <v>10</v>
      </c>
      <c r="C11116" t="s">
        <v>14</v>
      </c>
      <c r="D11116" t="str">
        <f>HYPERLINK("https://us2.cloudbeds.com/connect/10074733072513#/reservations/31733287944344?display=Matt%20Bird&amp;reservation_id=31733287944344&amp;guest_id=31733287944342", "Matt Bird")</f>
        <v>Matt Bird</v>
      </c>
      <c r="E11116" t="s">
        <v>10232</v>
      </c>
      <c r="F11116" t="s">
        <v>10113</v>
      </c>
      <c r="G11116">
        <v>102.58</v>
      </c>
      <c r="H11116">
        <v>111.51</v>
      </c>
      <c r="I11116">
        <v>111.5</v>
      </c>
      <c r="J11116">
        <v>0.01</v>
      </c>
    </row>
    <row r="11117" spans="1:10" x14ac:dyDescent="0.3">
      <c r="A11117" t="str">
        <f>HYPERLINK("https://us2.cloudbeds.com/connect/10074733072513#/reservations/31726960140500?display=MXEJC5SAX&amp;reservation_id=31726960140500", "MXEJC5SAX")</f>
        <v>MXEJC5SAX</v>
      </c>
      <c r="B11117" t="s">
        <v>10</v>
      </c>
      <c r="C11117" t="s">
        <v>14</v>
      </c>
      <c r="D11117" t="str">
        <f>HYPERLINK("https://us2.cloudbeds.com/connect/10074733072513#/reservations/31726960140500?display=Patti%20Stewart&amp;reservation_id=31726960140500&amp;guest_id=31726960140496", "Patti Stewart")</f>
        <v>Patti Stewart</v>
      </c>
      <c r="E11117" t="s">
        <v>10233</v>
      </c>
      <c r="F11117" t="s">
        <v>10226</v>
      </c>
      <c r="G11117">
        <v>87.82</v>
      </c>
      <c r="H11117">
        <v>95.47</v>
      </c>
      <c r="I11117">
        <v>95.46</v>
      </c>
      <c r="J11117">
        <v>0.01</v>
      </c>
    </row>
    <row r="11118" spans="1:10" x14ac:dyDescent="0.3">
      <c r="A11118" t="str">
        <f>HYPERLINK("https://us2.cloudbeds.com/connect/10074733072513#/reservations/31723931119791?display=MXC7W0TE8&amp;reservation_id=31723931119791", "MXC7W0TE8")</f>
        <v>MXC7W0TE8</v>
      </c>
      <c r="B11118" t="s">
        <v>10</v>
      </c>
      <c r="C11118" t="s">
        <v>17</v>
      </c>
      <c r="D11118" t="str">
        <f>HYPERLINK("https://us2.cloudbeds.com/connect/10074733072513#/reservations/31723931119791?display=Angela%20Wierzba&amp;reservation_id=31723931119791&amp;guest_id=31723912745157", "Angela Wierzba")</f>
        <v>Angela Wierzba</v>
      </c>
      <c r="E11118" t="s">
        <v>10228</v>
      </c>
      <c r="F11118" t="s">
        <v>9463</v>
      </c>
      <c r="G11118">
        <v>662.2</v>
      </c>
      <c r="H11118">
        <v>719.82</v>
      </c>
      <c r="I11118">
        <v>719.81</v>
      </c>
      <c r="J11118">
        <v>0.01</v>
      </c>
    </row>
    <row r="11119" spans="1:10" x14ac:dyDescent="0.3">
      <c r="A11119" t="str">
        <f>HYPERLINK("https://us2.cloudbeds.com/connect/10074733072513#/reservations/31724734103779?display=MXCSG43FC&amp;reservation_id=31724734103779", "MXCSG43FC")</f>
        <v>MXCSG43FC</v>
      </c>
      <c r="B11119" t="s">
        <v>10</v>
      </c>
      <c r="C11119" t="s">
        <v>42</v>
      </c>
      <c r="D11119" t="str">
        <f>HYPERLINK("https://us2.cloudbeds.com/connect/10074733072513#/reservations/31724734103779?display=Chris%20Manthey&amp;reservation_id=31724734103779&amp;guest_id=31724725301384", "Chris Manthey")</f>
        <v>Chris Manthey</v>
      </c>
      <c r="E11119" t="s">
        <v>10234</v>
      </c>
      <c r="F11119" t="s">
        <v>9463</v>
      </c>
      <c r="G11119">
        <v>338</v>
      </c>
      <c r="H11119">
        <v>367.42</v>
      </c>
      <c r="I11119">
        <v>367.41</v>
      </c>
      <c r="J11119">
        <v>0.01</v>
      </c>
    </row>
    <row r="11120" spans="1:10" x14ac:dyDescent="0.3">
      <c r="A11120" t="str">
        <f>HYPERLINK("https://us2.cloudbeds.com/connect/10074733072513#/reservations/31727943065738?display=MXFBG06YS&amp;reservation_id=31727943065738", "MXFBG06YS")</f>
        <v>MXFBG06YS</v>
      </c>
      <c r="B11120" t="s">
        <v>10</v>
      </c>
      <c r="C11120" t="s">
        <v>121</v>
      </c>
      <c r="D11120" t="str">
        <f>HYPERLINK("https://us2.cloudbeds.com/connect/10074733072513#/reservations/31727943065738?display=Ronald%20Cornman&amp;reservation_id=31727943065738&amp;guest_id=31727943065733", "Ronald Cornman")</f>
        <v>Ronald Cornman</v>
      </c>
      <c r="E11120" t="s">
        <v>10236</v>
      </c>
      <c r="F11120" t="s">
        <v>10113</v>
      </c>
      <c r="G11120">
        <v>129</v>
      </c>
      <c r="H11120">
        <v>140.22999999999999</v>
      </c>
      <c r="I11120">
        <v>140.22</v>
      </c>
      <c r="J11120">
        <v>0.01</v>
      </c>
    </row>
    <row r="11121" spans="1:10" x14ac:dyDescent="0.3">
      <c r="A11121" t="str">
        <f>HYPERLINK("https://us2.cloudbeds.com/connect/10074733072513#/reservations/31731587207374?display=MXX5JRQT9&amp;reservation_id=31731587207374", "MXX5JRQT9")</f>
        <v>MXX5JRQT9</v>
      </c>
      <c r="B11121" t="s">
        <v>10</v>
      </c>
      <c r="C11121" t="s">
        <v>14</v>
      </c>
      <c r="D11121" t="str">
        <f>HYPERLINK("https://us2.cloudbeds.com/connect/10074733072513#/reservations/31731587207374?display=Bartholomew%20Heyn&amp;reservation_id=31731587207374&amp;guest_id=31731587207371", "Bartholomew Heyn")</f>
        <v>Bartholomew Heyn</v>
      </c>
      <c r="E11121" t="s">
        <v>10237</v>
      </c>
      <c r="F11121" t="s">
        <v>10226</v>
      </c>
      <c r="G11121">
        <v>87.82</v>
      </c>
      <c r="H11121">
        <v>95.47</v>
      </c>
      <c r="I11121">
        <v>95.46</v>
      </c>
      <c r="J11121">
        <v>0.01</v>
      </c>
    </row>
    <row r="11122" spans="1:10" x14ac:dyDescent="0.3">
      <c r="A11122" t="str">
        <f>HYPERLINK("https://us2.cloudbeds.com/connect/10074733072513#/reservations/31731522404504?display=MXX3V6J3V&amp;reservation_id=31731522404504", "MXX3V6J3V")</f>
        <v>MXX3V6J3V</v>
      </c>
      <c r="B11122" t="s">
        <v>10</v>
      </c>
      <c r="C11122" t="s">
        <v>42</v>
      </c>
      <c r="D11122" t="str">
        <f>HYPERLINK("https://us2.cloudbeds.com/connect/10074733072513#/reservations/31731522404504?display=Kevin%20Goebel&amp;reservation_id=31731522404504&amp;guest_id=31731522404499", "Kevin Goebel")</f>
        <v>Kevin Goebel</v>
      </c>
      <c r="E11122" t="s">
        <v>10238</v>
      </c>
      <c r="F11122" t="s">
        <v>10113</v>
      </c>
      <c r="G11122">
        <v>73</v>
      </c>
      <c r="H11122">
        <v>79.36</v>
      </c>
      <c r="I11122">
        <v>79.349999999999994</v>
      </c>
      <c r="J11122">
        <v>0.01</v>
      </c>
    </row>
    <row r="11123" spans="1:10" x14ac:dyDescent="0.3">
      <c r="A11123" t="str">
        <f>HYPERLINK("https://us2.cloudbeds.com/connect/10074733072513#/reservations/31723996164234?display=MXC9KSS0W&amp;reservation_id=31723996164234", "MXC9KSS0W")</f>
        <v>MXC9KSS0W</v>
      </c>
      <c r="B11123" t="s">
        <v>10</v>
      </c>
      <c r="C11123" t="s">
        <v>42</v>
      </c>
      <c r="D11123" t="str">
        <f>HYPERLINK("https://us2.cloudbeds.com/connect/10074733072513#/reservations/31723996164234?display=Brooke%20Stranski&amp;reservation_id=31723996164234&amp;guest_id=31723996160140", "Brooke Stranski")</f>
        <v>Brooke Stranski</v>
      </c>
      <c r="E11123" t="s">
        <v>10239</v>
      </c>
      <c r="F11123" t="s">
        <v>9561</v>
      </c>
      <c r="G11123">
        <v>318</v>
      </c>
      <c r="H11123">
        <v>345.68</v>
      </c>
      <c r="I11123">
        <v>345.67</v>
      </c>
      <c r="J11123">
        <v>0.01</v>
      </c>
    </row>
    <row r="11124" spans="1:10" x14ac:dyDescent="0.3">
      <c r="A11124" t="str">
        <f>HYPERLINK("https://us2.cloudbeds.com/connect/10074733072513#/reservations/31733234016504?display=MXJEMFNA8&amp;reservation_id=31733234016504", "MXJEMFNA8")</f>
        <v>MXJEMFNA8</v>
      </c>
      <c r="B11124" t="s">
        <v>10</v>
      </c>
      <c r="C11124" t="s">
        <v>42</v>
      </c>
      <c r="D11124" t="str">
        <f>HYPERLINK("https://us2.cloudbeds.com/connect/10074733072513#/reservations/31733234016504?display=Gene%20Westerbuhr&amp;reservation_id=31733234016504&amp;guest_id=20922712387838", "Gene Westerbuhr")</f>
        <v>Gene Westerbuhr</v>
      </c>
      <c r="E11124" t="s">
        <v>3803</v>
      </c>
      <c r="F11124" t="s">
        <v>10113</v>
      </c>
      <c r="G11124">
        <v>89</v>
      </c>
      <c r="H11124">
        <v>96.75</v>
      </c>
      <c r="I11124">
        <v>96.74</v>
      </c>
      <c r="J11124">
        <v>0.01</v>
      </c>
    </row>
    <row r="11125" spans="1:10" x14ac:dyDescent="0.3">
      <c r="A11125" t="str">
        <f>HYPERLINK("https://us2.cloudbeds.com/connect/10074733072513#/reservations/31733259919495?display=MXJFBAGBC&amp;reservation_id=31733259919495", "MXJFBAGBC")</f>
        <v>MXJFBAGBC</v>
      </c>
      <c r="B11125" t="s">
        <v>10</v>
      </c>
      <c r="C11125" t="s">
        <v>121</v>
      </c>
      <c r="D11125" t="str">
        <f>HYPERLINK("https://us2.cloudbeds.com/connect/10074733072513#/reservations/31733259919495?display=Janice%20Schuman&amp;reservation_id=31733259919495&amp;guest_id=31733259919490", "Janice Schuman")</f>
        <v>Janice Schuman</v>
      </c>
      <c r="E11125" t="s">
        <v>10240</v>
      </c>
      <c r="F11125" t="s">
        <v>10113</v>
      </c>
      <c r="G11125">
        <v>238</v>
      </c>
      <c r="H11125">
        <v>258.72000000000003</v>
      </c>
      <c r="I11125">
        <v>258.70999999999998</v>
      </c>
      <c r="J11125">
        <v>0.01</v>
      </c>
    </row>
    <row r="11126" spans="1:10" x14ac:dyDescent="0.3">
      <c r="A11126" t="str">
        <f>HYPERLINK("https://us2.cloudbeds.com/connect/10074733072513#/reservations/31733309382869?display=MXJGK0T8G&amp;reservation_id=31733309382869", "MXJGK0T8G")</f>
        <v>MXJGK0T8G</v>
      </c>
      <c r="B11126" t="s">
        <v>10</v>
      </c>
      <c r="C11126" t="s">
        <v>42</v>
      </c>
      <c r="D11126" t="str">
        <f>HYPERLINK("https://us2.cloudbeds.com/connect/10074733072513#/reservations/31733309382869?display=James%20Birr&amp;reservation_id=31733309382869&amp;guest_id=31731611607195", "James Birr")</f>
        <v>James Birr</v>
      </c>
      <c r="E11126" t="s">
        <v>10231</v>
      </c>
      <c r="F11126" t="s">
        <v>10113</v>
      </c>
      <c r="G11126">
        <v>109</v>
      </c>
      <c r="H11126">
        <v>118.49</v>
      </c>
      <c r="I11126">
        <v>118.48</v>
      </c>
      <c r="J11126">
        <v>0.01</v>
      </c>
    </row>
    <row r="11127" spans="1:10" x14ac:dyDescent="0.3">
      <c r="A11127" t="str">
        <f>HYPERLINK("https://us2.cloudbeds.com/connect/10074733072513#/reservations/31730706464989?display=MXHG35SC3&amp;reservation_id=31730706464989", "MXHG35SC3")</f>
        <v>MXHG35SC3</v>
      </c>
      <c r="B11127" t="s">
        <v>10</v>
      </c>
      <c r="C11127" t="s">
        <v>11</v>
      </c>
      <c r="D11127" t="str">
        <f>HYPERLINK("https://us2.cloudbeds.com/connect/10074733072513#/reservations/31730706464989?display=Carlton%20Roth&amp;reservation_id=31730706464989&amp;guest_id=31730706464973", "Carlton Roth")</f>
        <v>Carlton Roth</v>
      </c>
      <c r="E11127" t="s">
        <v>10241</v>
      </c>
      <c r="F11127" t="s">
        <v>10242</v>
      </c>
      <c r="G11127">
        <v>298</v>
      </c>
      <c r="H11127">
        <v>323.94</v>
      </c>
      <c r="I11127">
        <v>323.93</v>
      </c>
      <c r="J11127">
        <v>0.01</v>
      </c>
    </row>
    <row r="11128" spans="1:10" x14ac:dyDescent="0.3">
      <c r="A11128" t="str">
        <f>HYPERLINK("https://us2.cloudbeds.com/connect/10074733072513#/reservations/31726032040094?display=MXDSYJ35S&amp;reservation_id=31726032040094", "MXDSYJ35S")</f>
        <v>MXDSYJ35S</v>
      </c>
      <c r="B11128" t="s">
        <v>10</v>
      </c>
      <c r="C11128" t="s">
        <v>20</v>
      </c>
      <c r="D11128" t="str">
        <f>HYPERLINK("https://us2.cloudbeds.com/connect/10074733072513#/reservations/31726032040094?display=Dawn%20Moen&amp;reservation_id=31726032040094&amp;guest_id=31726032035998", "Dawn Moen")</f>
        <v>Dawn Moen</v>
      </c>
      <c r="E11128" t="s">
        <v>10243</v>
      </c>
      <c r="F11128" t="s">
        <v>9794</v>
      </c>
      <c r="G11128">
        <v>258</v>
      </c>
      <c r="H11128">
        <v>280.45999999999998</v>
      </c>
      <c r="I11128">
        <v>280.45</v>
      </c>
      <c r="J11128">
        <v>0.01</v>
      </c>
    </row>
    <row r="11129" spans="1:10" x14ac:dyDescent="0.3">
      <c r="A11129" t="str">
        <f>HYPERLINK("https://us2.cloudbeds.com/connect/10074733072513#/reservations/31728465445087?display=MXFZRG5S3&amp;reservation_id=31728465445087", "MXFZRG5S3")</f>
        <v>MXFZRG5S3</v>
      </c>
      <c r="B11129" t="s">
        <v>10</v>
      </c>
      <c r="C11129" t="s">
        <v>42</v>
      </c>
      <c r="D11129" t="str">
        <f>HYPERLINK("https://us2.cloudbeds.com/connect/10074733072513#/reservations/31728465445087?display=Luis%20Porras&amp;reservation_id=31728465445087&amp;guest_id=31728465445082", "Luis Porras")</f>
        <v>Luis Porras</v>
      </c>
      <c r="E11129" t="s">
        <v>10244</v>
      </c>
      <c r="F11129" t="s">
        <v>10245</v>
      </c>
      <c r="G11129">
        <v>129</v>
      </c>
      <c r="H11129">
        <v>140.22999999999999</v>
      </c>
      <c r="I11129">
        <v>140.22</v>
      </c>
      <c r="J11129">
        <v>0.01</v>
      </c>
    </row>
    <row r="11130" spans="1:10" x14ac:dyDescent="0.3">
      <c r="A11130" t="str">
        <f>HYPERLINK("https://us2.cloudbeds.com/connect/10074733072513#/reservations/31728413257981?display=MXFNGFWQY&amp;reservation_id=31728413257981", "MXFNGFWQY")</f>
        <v>MXFNGFWQY</v>
      </c>
      <c r="B11130" t="s">
        <v>10</v>
      </c>
      <c r="C11130" t="s">
        <v>42</v>
      </c>
      <c r="D11130" t="str">
        <f>HYPERLINK("https://us2.cloudbeds.com/connect/10074733072513#/reservations/31728413257981?display=Robert%20Kroll&amp;reservation_id=31728413257981&amp;guest_id=31728395735195", "Robert Kroll")</f>
        <v>Robert Kroll</v>
      </c>
      <c r="E11130" t="s">
        <v>10246</v>
      </c>
      <c r="F11130" t="s">
        <v>10245</v>
      </c>
      <c r="G11130">
        <v>129</v>
      </c>
      <c r="H11130">
        <v>140.22999999999999</v>
      </c>
      <c r="I11130">
        <v>140.22</v>
      </c>
      <c r="J11130">
        <v>0.01</v>
      </c>
    </row>
    <row r="11131" spans="1:10" x14ac:dyDescent="0.3">
      <c r="A11131" t="str">
        <f>HYPERLINK("https://us2.cloudbeds.com/connect/10074733072513#/reservations/31729787084947?display=MXGPJUZTR&amp;reservation_id=31729787084947", "MXGPJUZTR")</f>
        <v>MXGPJUZTR</v>
      </c>
      <c r="B11131" t="s">
        <v>10</v>
      </c>
      <c r="C11131" t="s">
        <v>42</v>
      </c>
      <c r="D11131" t="str">
        <f>HYPERLINK("https://us2.cloudbeds.com/connect/10074733072513#/reservations/31729787084947?display=Mrs%20&amp;Mrs%20Simms%20.&amp;reservation_id=31729787084947&amp;guest_id=31729787084936", "Mrs &amp;Mrs Simms .")</f>
        <v>Mrs &amp;Mrs Simms .</v>
      </c>
      <c r="E11131" t="s">
        <v>10247</v>
      </c>
      <c r="F11131" t="s">
        <v>9445</v>
      </c>
      <c r="G11131">
        <v>89</v>
      </c>
      <c r="H11131">
        <v>96.75</v>
      </c>
      <c r="I11131">
        <v>96.74</v>
      </c>
      <c r="J11131">
        <v>0.01</v>
      </c>
    </row>
    <row r="11132" spans="1:10" x14ac:dyDescent="0.3">
      <c r="A11132" t="str">
        <f>HYPERLINK("https://us2.cloudbeds.com/connect/10074733072513#/reservations/31726868922554?display=MXEH18J9D&amp;reservation_id=31726868922554", "MXEH18J9D")</f>
        <v>MXEH18J9D</v>
      </c>
      <c r="B11132" t="s">
        <v>10</v>
      </c>
      <c r="C11132" t="s">
        <v>42</v>
      </c>
      <c r="D11132" t="str">
        <f>HYPERLINK("https://us2.cloudbeds.com/connect/10074733072513#/reservations/31726868922554?display=Gretchen%20Cleveland&amp;reservation_id=31726868922554&amp;guest_id=31726868922552", "Gretchen Cleveland")</f>
        <v>Gretchen Cleveland</v>
      </c>
      <c r="E11132" t="s">
        <v>10248</v>
      </c>
      <c r="F11132" t="s">
        <v>7649</v>
      </c>
      <c r="G11132">
        <v>149</v>
      </c>
      <c r="H11132">
        <v>161.97</v>
      </c>
      <c r="I11132">
        <v>161.96</v>
      </c>
      <c r="J11132">
        <v>0.01</v>
      </c>
    </row>
    <row r="11133" spans="1:10" x14ac:dyDescent="0.3">
      <c r="A11133" t="str">
        <f>HYPERLINK("https://us2.cloudbeds.com/connect/10074733072513#/reservations/31712829223047?display=MX3Y9K87P&amp;reservation_id=31712829223047", "MX3Y9K87P")</f>
        <v>MX3Y9K87P</v>
      </c>
      <c r="B11133" t="s">
        <v>10</v>
      </c>
      <c r="C11133" t="s">
        <v>42</v>
      </c>
      <c r="D11133" t="str">
        <f>HYPERLINK("https://us2.cloudbeds.com/connect/10074733072513#/reservations/31712829223047?display=Lane%20Swanson%20Mr.%20&amp;%20Mrs.%20Swanson&amp;reservation_id=31712829223047&amp;guest_id=31712818811059", "Lane Swanson Mr. &amp; Mrs. Swanson")</f>
        <v>Lane Swanson Mr. &amp; Mrs. Swanson</v>
      </c>
      <c r="E11133" t="s">
        <v>10249</v>
      </c>
      <c r="F11133" t="s">
        <v>10250</v>
      </c>
      <c r="G11133">
        <v>139</v>
      </c>
      <c r="H11133">
        <v>151.1</v>
      </c>
      <c r="I11133">
        <v>151.09</v>
      </c>
      <c r="J11133">
        <v>0.01</v>
      </c>
    </row>
    <row r="11134" spans="1:10" x14ac:dyDescent="0.3">
      <c r="A11134" t="str">
        <f>HYPERLINK("https://us2.cloudbeds.com/connect/10074733072513#/reservations/31730813173985?display=MXHXR56E1&amp;reservation_id=31730813173985", "MXHXR56E1")</f>
        <v>MXHXR56E1</v>
      </c>
      <c r="B11134" t="s">
        <v>10</v>
      </c>
      <c r="C11134" t="s">
        <v>42</v>
      </c>
      <c r="D11134" t="str">
        <f>HYPERLINK("https://us2.cloudbeds.com/connect/10074733072513#/reservations/31730813173985?display=Clay%20Huston&amp;reservation_id=31730813173985&amp;guest_id=31730813173979", "Clay Huston")</f>
        <v>Clay Huston</v>
      </c>
      <c r="E11134" t="s">
        <v>10251</v>
      </c>
      <c r="F11134" t="s">
        <v>8511</v>
      </c>
      <c r="G11134">
        <v>103.5</v>
      </c>
      <c r="H11134">
        <v>112.51</v>
      </c>
      <c r="I11134">
        <v>112.5</v>
      </c>
      <c r="J11134">
        <v>0.01</v>
      </c>
    </row>
    <row r="11135" spans="1:10" x14ac:dyDescent="0.3">
      <c r="A11135" t="str">
        <f>HYPERLINK("https://us2.cloudbeds.com/connect/10074733072513#/reservations/31727375372514?display=MXETWA9UT&amp;reservation_id=31727375372514", "MXETWA9UT")</f>
        <v>MXETWA9UT</v>
      </c>
      <c r="B11135" t="s">
        <v>10</v>
      </c>
      <c r="C11135" t="s">
        <v>23</v>
      </c>
      <c r="D11135" t="str">
        <f>HYPERLINK("https://us2.cloudbeds.com/connect/10074733072513#/reservations/31727375372514?display=David%20Baker&amp;reservation_id=31727375372514&amp;guest_id=31727366619276", "David Baker")</f>
        <v>David Baker</v>
      </c>
      <c r="E11135" t="s">
        <v>10252</v>
      </c>
      <c r="F11135" t="s">
        <v>10245</v>
      </c>
      <c r="G11135">
        <v>129</v>
      </c>
      <c r="H11135">
        <v>140.22999999999999</v>
      </c>
      <c r="I11135">
        <v>140.22</v>
      </c>
      <c r="J11135">
        <v>0.01</v>
      </c>
    </row>
    <row r="11136" spans="1:10" x14ac:dyDescent="0.3">
      <c r="A11136" t="str">
        <f>HYPERLINK("https://us2.cloudbeds.com/connect/10074733072513#/reservations/31726793846933?display=MXEF3VGAJ&amp;reservation_id=31726793846933", "MXEF3VGAJ")</f>
        <v>MXEF3VGAJ</v>
      </c>
      <c r="B11136" t="s">
        <v>10</v>
      </c>
      <c r="C11136" t="s">
        <v>23</v>
      </c>
      <c r="D11136" t="str">
        <f>HYPERLINK("https://us2.cloudbeds.com/connect/10074733072513#/reservations/31726793846933?display=Jennifer%20Smith&amp;reservation_id=31726793846933&amp;guest_id=31726793842837", "Jennifer Smith")</f>
        <v>Jennifer Smith</v>
      </c>
      <c r="E11136" t="s">
        <v>10253</v>
      </c>
      <c r="F11136" t="s">
        <v>8801</v>
      </c>
      <c r="G11136">
        <v>159</v>
      </c>
      <c r="H11136">
        <v>172.84</v>
      </c>
      <c r="I11136">
        <v>172.83</v>
      </c>
      <c r="J11136">
        <v>0.01</v>
      </c>
    </row>
    <row r="11137" spans="1:10" x14ac:dyDescent="0.3">
      <c r="A11137" t="str">
        <f>HYPERLINK("https://us2.cloudbeds.com/connect/10074733072513#/reservations/31726345949429?display=MXE3M92RV&amp;reservation_id=31726345949429", "MXE3M92RV")</f>
        <v>MXE3M92RV</v>
      </c>
      <c r="B11137" t="s">
        <v>10</v>
      </c>
      <c r="C11137" t="s">
        <v>17</v>
      </c>
      <c r="D11137" t="str">
        <f>HYPERLINK("https://us2.cloudbeds.com/connect/10074733072513#/reservations/31726345949429?display=Janet%20Peterson&amp;reservation_id=31726345949429&amp;guest_id=31726345949424", "Janet Peterson")</f>
        <v>Janet Peterson</v>
      </c>
      <c r="E11137" t="s">
        <v>10254</v>
      </c>
      <c r="F11137" t="s">
        <v>9445</v>
      </c>
      <c r="G11137">
        <v>318</v>
      </c>
      <c r="H11137">
        <v>345.68</v>
      </c>
      <c r="I11137">
        <v>345.67</v>
      </c>
      <c r="J11137">
        <v>0.01</v>
      </c>
    </row>
    <row r="11138" spans="1:10" x14ac:dyDescent="0.3">
      <c r="A11138" t="str">
        <f>HYPERLINK("https://us2.cloudbeds.com/connect/10074733072513#/reservations/31724140806385?display=MXCDARZ3F&amp;reservation_id=31724140806385", "MXCDARZ3F")</f>
        <v>MXCDARZ3F</v>
      </c>
      <c r="B11138" t="s">
        <v>10</v>
      </c>
      <c r="C11138" t="s">
        <v>23</v>
      </c>
      <c r="D11138" t="str">
        <f>HYPERLINK("https://us2.cloudbeds.com/connect/10074733072513#/reservations/31724140806385?display=James%20Shirley&amp;reservation_id=31724140806385&amp;guest_id=31724140806383", "James Shirley")</f>
        <v>James Shirley</v>
      </c>
      <c r="E11138" t="s">
        <v>10255</v>
      </c>
      <c r="F11138" t="s">
        <v>9713</v>
      </c>
      <c r="G11138">
        <v>322.2</v>
      </c>
      <c r="H11138">
        <v>350.24</v>
      </c>
      <c r="I11138">
        <v>350.23</v>
      </c>
      <c r="J11138">
        <v>0.01</v>
      </c>
    </row>
    <row r="11139" spans="1:10" x14ac:dyDescent="0.3">
      <c r="A11139" t="str">
        <f>HYPERLINK("https://us2.cloudbeds.com/connect/10074733072513#/reservations/31730833486032?display=MXHJB9DEK&amp;reservation_id=31730833486032", "MXHJB9DEK")</f>
        <v>MXHJB9DEK</v>
      </c>
      <c r="B11139" t="s">
        <v>10</v>
      </c>
      <c r="C11139" t="s">
        <v>20</v>
      </c>
      <c r="D11139" t="str">
        <f>HYPERLINK("https://us2.cloudbeds.com/connect/10074733072513#/reservations/31730833486032?display=Judy%20Toennies&amp;reservation_id=31730833486032&amp;guest_id=31730833486027", "Judy Toennies")</f>
        <v>Judy Toennies</v>
      </c>
      <c r="E11139" t="s">
        <v>10256</v>
      </c>
      <c r="F11139" t="s">
        <v>8511</v>
      </c>
      <c r="G11139">
        <v>103.5</v>
      </c>
      <c r="H11139">
        <v>112.51</v>
      </c>
      <c r="I11139">
        <v>112.5</v>
      </c>
      <c r="J11139">
        <v>0.01</v>
      </c>
    </row>
    <row r="11140" spans="1:10" x14ac:dyDescent="0.3">
      <c r="A11140" t="str">
        <f>HYPERLINK("https://us2.cloudbeds.com/connect/10074733072513#/reservations/31730409345160?display=MXH8GY21U&amp;reservation_id=31730409345160", "MXH8GY21U")</f>
        <v>MXH8GY21U</v>
      </c>
      <c r="B11140" t="s">
        <v>10</v>
      </c>
      <c r="C11140" t="s">
        <v>42</v>
      </c>
      <c r="D11140" t="str">
        <f>HYPERLINK("https://us2.cloudbeds.com/connect/10074733072513#/reservations/31730409345160?display=Mark%20Godar&amp;reservation_id=31730409345160&amp;guest_id=31730409341105", "Mark Godar")</f>
        <v>Mark Godar</v>
      </c>
      <c r="E11140" t="s">
        <v>10257</v>
      </c>
      <c r="F11140" t="s">
        <v>10258</v>
      </c>
      <c r="G11140">
        <v>129</v>
      </c>
      <c r="H11140">
        <v>140.22999999999999</v>
      </c>
      <c r="I11140">
        <v>140.22</v>
      </c>
      <c r="J11140">
        <v>0.01</v>
      </c>
    </row>
    <row r="11141" spans="1:10" x14ac:dyDescent="0.3">
      <c r="A11141" t="str">
        <f>HYPERLINK("https://us2.cloudbeds.com/connect/10074733072513#/reservations/31726787670267?display=MXEEVZKET&amp;reservation_id=31726787670267", "MXEEVZKET")</f>
        <v>MXEEVZKET</v>
      </c>
      <c r="B11141" t="s">
        <v>10</v>
      </c>
      <c r="C11141" t="s">
        <v>11</v>
      </c>
      <c r="D11141" t="str">
        <f>HYPERLINK("https://us2.cloudbeds.com/connect/10074733072513#/reservations/31726787670267?display=Susan%20Davis&amp;reservation_id=31726787670267&amp;guest_id=31726787670208", "Susan Davis")</f>
        <v>Susan Davis</v>
      </c>
      <c r="E11141" t="s">
        <v>10260</v>
      </c>
      <c r="F11141" t="s">
        <v>8801</v>
      </c>
      <c r="G11141">
        <v>130.38</v>
      </c>
      <c r="H11141">
        <v>141.72999999999999</v>
      </c>
      <c r="I11141">
        <v>141.72</v>
      </c>
      <c r="J11141">
        <v>0.01</v>
      </c>
    </row>
    <row r="11142" spans="1:10" x14ac:dyDescent="0.3">
      <c r="A11142" t="str">
        <f>HYPERLINK("https://us2.cloudbeds.com/connect/10074733072513#/reservations/31730499264660?display=MXHAQF6P8&amp;reservation_id=31730499264660", "MXHAQF6P8")</f>
        <v>MXHAQF6P8</v>
      </c>
      <c r="B11142" t="s">
        <v>10</v>
      </c>
      <c r="C11142" t="s">
        <v>42</v>
      </c>
      <c r="D11142" t="str">
        <f>HYPERLINK("https://us2.cloudbeds.com/connect/10074733072513#/reservations/31730499264660?display=Hannah%20Rehmeier&amp;reservation_id=31730499264660&amp;guest_id=31730453139593", "Hannah Rehmeier")</f>
        <v>Hannah Rehmeier</v>
      </c>
      <c r="E11142" t="s">
        <v>10261</v>
      </c>
      <c r="F11142" t="s">
        <v>9561</v>
      </c>
      <c r="G11142">
        <v>658</v>
      </c>
      <c r="H11142">
        <v>715.26</v>
      </c>
      <c r="I11142">
        <v>715.25</v>
      </c>
      <c r="J11142">
        <v>0.01</v>
      </c>
    </row>
    <row r="11143" spans="1:10" x14ac:dyDescent="0.3">
      <c r="A11143" t="str">
        <f>HYPERLINK("https://us2.cloudbeds.com/connect/10074733072513#/reservations/31727161499881?display=MXEZGVWB0&amp;reservation_id=31727161499881", "MXEZGVWB0")</f>
        <v>MXEZGVWB0</v>
      </c>
      <c r="B11143" t="s">
        <v>10</v>
      </c>
      <c r="C11143" t="s">
        <v>42</v>
      </c>
      <c r="D11143" t="str">
        <f>HYPERLINK("https://us2.cloudbeds.com/connect/10074733072513#/reservations/31727161499881?display=Dan%20Mcmanigal&amp;reservation_id=31727161499881&amp;guest_id=31727161499865", "Dan Mcmanigal")</f>
        <v>Dan Mcmanigal</v>
      </c>
      <c r="E11143" t="s">
        <v>10262</v>
      </c>
      <c r="F11143" t="s">
        <v>10026</v>
      </c>
      <c r="G11143">
        <v>139</v>
      </c>
      <c r="H11143">
        <v>151.1</v>
      </c>
      <c r="I11143">
        <v>151.09</v>
      </c>
      <c r="J11143">
        <v>0.01</v>
      </c>
    </row>
    <row r="11144" spans="1:10" x14ac:dyDescent="0.3">
      <c r="A11144" t="str">
        <f>HYPERLINK("https://us2.cloudbeds.com/connect/10074733072513#/reservations/31727854809272?display=MXF97JB2G&amp;reservation_id=31727854809272", "MXF97JB2G")</f>
        <v>MXF97JB2G</v>
      </c>
      <c r="B11144" t="s">
        <v>10</v>
      </c>
      <c r="C11144" t="s">
        <v>42</v>
      </c>
      <c r="D11144" t="str">
        <f>HYPERLINK("https://us2.cloudbeds.com/connect/10074733072513#/reservations/31727854809272?display=Gene%20Westerbuhr&amp;reservation_id=31727854809272&amp;guest_id=20922712387838", "Gene Westerbuhr")</f>
        <v>Gene Westerbuhr</v>
      </c>
      <c r="E11144" t="s">
        <v>3803</v>
      </c>
      <c r="F11144" t="s">
        <v>8511</v>
      </c>
      <c r="G11144">
        <v>89</v>
      </c>
      <c r="H11144">
        <v>96.75</v>
      </c>
      <c r="I11144">
        <v>96.74</v>
      </c>
      <c r="J11144">
        <v>0.01</v>
      </c>
    </row>
    <row r="11145" spans="1:10" x14ac:dyDescent="0.3">
      <c r="A11145" t="str">
        <f>HYPERLINK("https://us2.cloudbeds.com/connect/10074733072513#/reservations/31733815832731?display=MXJTX2JR0&amp;reservation_id=31733815832731", "MXJTX2JR0")</f>
        <v>MXJTX2JR0</v>
      </c>
      <c r="B11145" t="s">
        <v>10</v>
      </c>
      <c r="C11145" t="s">
        <v>121</v>
      </c>
      <c r="D11145" t="str">
        <f>HYPERLINK("https://us2.cloudbeds.com/connect/10074733072513#/reservations/31733815832731?display=Jordan%20Fitch&amp;reservation_id=31733815832731&amp;guest_id=31726732419256", "Jordan Fitch")</f>
        <v>Jordan Fitch</v>
      </c>
      <c r="E11145" t="s">
        <v>7464</v>
      </c>
      <c r="F11145" t="s">
        <v>8511</v>
      </c>
      <c r="G11145">
        <v>103.5</v>
      </c>
      <c r="H11145">
        <v>112.51</v>
      </c>
      <c r="I11145">
        <v>112.5</v>
      </c>
      <c r="J11145">
        <v>0.01</v>
      </c>
    </row>
    <row r="11146" spans="1:10" x14ac:dyDescent="0.3">
      <c r="A11146" t="str">
        <f>HYPERLINK("https://us2.cloudbeds.com/connect/10074733072513#/reservations/31730824573114?display=MXHJ3PCV6&amp;reservation_id=31730824573114", "MXHJ3PCV6")</f>
        <v>MXHJ3PCV6</v>
      </c>
      <c r="B11146" t="s">
        <v>10</v>
      </c>
      <c r="C11146" t="s">
        <v>23</v>
      </c>
      <c r="D11146" t="str">
        <f>HYPERLINK("https://us2.cloudbeds.com/connect/10074733072513#/reservations/31730824573114?display=Tammy%20Moothedan&amp;reservation_id=31730824573114&amp;guest_id=31730824573111", "Tammy Moothedan")</f>
        <v>Tammy Moothedan</v>
      </c>
      <c r="E11146" t="s">
        <v>10263</v>
      </c>
      <c r="F11146" t="s">
        <v>8511</v>
      </c>
      <c r="G11146">
        <v>103.5</v>
      </c>
      <c r="H11146">
        <v>112.51</v>
      </c>
      <c r="I11146">
        <v>112.5</v>
      </c>
      <c r="J11146">
        <v>0.01</v>
      </c>
    </row>
    <row r="11147" spans="1:10" x14ac:dyDescent="0.3">
      <c r="A11147" t="str">
        <f>HYPERLINK("https://us2.cloudbeds.com/connect/10074733072513#/reservations/31730526097625?display=MXHBG2SPD&amp;reservation_id=31730526097625", "MXHBG2SPD")</f>
        <v>MXHBG2SPD</v>
      </c>
      <c r="B11147" t="s">
        <v>10</v>
      </c>
      <c r="C11147" t="s">
        <v>42</v>
      </c>
      <c r="D11147" t="str">
        <f>HYPERLINK("https://us2.cloudbeds.com/connect/10074733072513#/reservations/31730526097625?display=Melissa%20Tuttle&amp;reservation_id=31730526097625&amp;guest_id=31730526097620", "Melissa Tuttle")</f>
        <v>Melissa Tuttle</v>
      </c>
      <c r="E11147" t="s">
        <v>10266</v>
      </c>
      <c r="F11147" t="s">
        <v>9561</v>
      </c>
      <c r="G11147">
        <v>219</v>
      </c>
      <c r="H11147">
        <v>238.06</v>
      </c>
      <c r="I11147">
        <v>238.05</v>
      </c>
      <c r="J11147">
        <v>0.01</v>
      </c>
    </row>
    <row r="11148" spans="1:10" x14ac:dyDescent="0.3">
      <c r="A11148" t="str">
        <f>HYPERLINK("https://us2.cloudbeds.com/connect/10074733072513#/reservations/31730766659759?display=MXHHKUSY1&amp;reservation_id=31730766659759", "MXHHKUSY1")</f>
        <v>MXHHKUSY1</v>
      </c>
      <c r="B11148" t="s">
        <v>10</v>
      </c>
      <c r="C11148" t="s">
        <v>42</v>
      </c>
      <c r="D11148" t="str">
        <f>HYPERLINK("https://us2.cloudbeds.com/connect/10074733072513#/reservations/31730766659759?display=Gavin%20Polson&amp;reservation_id=31730766659759&amp;guest_id=31691109183700", "Gavin Polson")</f>
        <v>Gavin Polson</v>
      </c>
      <c r="E11148" t="s">
        <v>7699</v>
      </c>
      <c r="F11148" t="s">
        <v>10175</v>
      </c>
      <c r="G11148">
        <v>129</v>
      </c>
      <c r="H11148">
        <v>140.22999999999999</v>
      </c>
      <c r="I11148">
        <v>140.22</v>
      </c>
      <c r="J11148">
        <v>0.01</v>
      </c>
    </row>
    <row r="11149" spans="1:10" x14ac:dyDescent="0.3">
      <c r="A11149" t="str">
        <f>HYPERLINK("https://us2.cloudbeds.com/connect/10074733072513#/reservations/31730793906326?display=MXHXAU1EJ&amp;reservation_id=31730793906326", "MXHXAU1EJ")</f>
        <v>MXHXAU1EJ</v>
      </c>
      <c r="B11149" t="s">
        <v>10</v>
      </c>
      <c r="C11149" t="s">
        <v>42</v>
      </c>
      <c r="D11149" t="str">
        <f>HYPERLINK("https://us2.cloudbeds.com/connect/10074733072513#/reservations/31730793906326?display=Justin%20Maggert&amp;reservation_id=31730793906326&amp;guest_id=31725134692496", "Justin Maggert")</f>
        <v>Justin Maggert</v>
      </c>
      <c r="E11149" t="s">
        <v>10267</v>
      </c>
      <c r="F11149" t="s">
        <v>10175</v>
      </c>
      <c r="G11149">
        <v>129</v>
      </c>
      <c r="H11149">
        <v>140.22999999999999</v>
      </c>
      <c r="I11149">
        <v>140.22</v>
      </c>
      <c r="J11149">
        <v>0.01</v>
      </c>
    </row>
    <row r="11150" spans="1:10" x14ac:dyDescent="0.3">
      <c r="A11150" t="str">
        <f>HYPERLINK("https://us2.cloudbeds.com/connect/10074733072513#/reservations/31727865196759?display=MXF9GBCKR&amp;reservation_id=31727865196759", "MXF9GBCKR")</f>
        <v>MXF9GBCKR</v>
      </c>
      <c r="B11150" t="s">
        <v>10</v>
      </c>
      <c r="C11150" t="s">
        <v>42</v>
      </c>
      <c r="D11150" t="str">
        <f>HYPERLINK("https://us2.cloudbeds.com/connect/10074733072513#/reservations/31727865196759?display=Alex%20Lopez&amp;reservation_id=31727865196759&amp;guest_id=31723078144201", "Alex Lopez")</f>
        <v>Alex Lopez</v>
      </c>
      <c r="E11150" t="s">
        <v>10268</v>
      </c>
      <c r="F11150" t="s">
        <v>10175</v>
      </c>
      <c r="G11150">
        <v>169</v>
      </c>
      <c r="H11150">
        <v>183.71</v>
      </c>
      <c r="I11150">
        <v>183.7</v>
      </c>
      <c r="J11150">
        <v>0.01</v>
      </c>
    </row>
    <row r="11151" spans="1:10" x14ac:dyDescent="0.3">
      <c r="A11151" t="str">
        <f>HYPERLINK("https://us2.cloudbeds.com/connect/10074733072513#/reservations/31728490926233?display=MXFPFW7H1&amp;reservation_id=31728490926233", "MXFPFW7H1")</f>
        <v>MXFPFW7H1</v>
      </c>
      <c r="B11151" t="s">
        <v>10</v>
      </c>
      <c r="C11151" t="s">
        <v>42</v>
      </c>
      <c r="D11151" t="str">
        <f>HYPERLINK("https://us2.cloudbeds.com/connect/10074733072513#/reservations/31728490926233?display=Brandon%20Swick&amp;reservation_id=31728490926233&amp;guest_id=31728490922147", "Brandon Swick")</f>
        <v>Brandon Swick</v>
      </c>
      <c r="E11151" t="s">
        <v>10269</v>
      </c>
      <c r="F11151" t="s">
        <v>8443</v>
      </c>
      <c r="G11151">
        <v>109</v>
      </c>
      <c r="H11151">
        <v>118.49</v>
      </c>
      <c r="I11151">
        <v>118.48</v>
      </c>
      <c r="J11151">
        <v>0.01</v>
      </c>
    </row>
    <row r="11152" spans="1:10" x14ac:dyDescent="0.3">
      <c r="A11152" t="str">
        <f>HYPERLINK("https://us2.cloudbeds.com/connect/10074733072513#/reservations/31726142316765?display=MXDVFXJJZ&amp;reservation_id=31726142316765", "MXDVFXJJZ")</f>
        <v>MXDVFXJJZ</v>
      </c>
      <c r="B11152" t="s">
        <v>10</v>
      </c>
      <c r="C11152" t="s">
        <v>23</v>
      </c>
      <c r="D11152" t="str">
        <f>HYPERLINK("https://us2.cloudbeds.com/connect/10074733072513#/reservations/31726142316765?display=Linda%20Gibson&amp;reservation_id=31726142316765&amp;guest_id=31726142312685", "Linda Gibson")</f>
        <v>Linda Gibson</v>
      </c>
      <c r="E11152" t="s">
        <v>10270</v>
      </c>
      <c r="F11152" t="s">
        <v>10146</v>
      </c>
      <c r="G11152">
        <v>258</v>
      </c>
      <c r="H11152">
        <v>280.45999999999998</v>
      </c>
      <c r="I11152">
        <v>280.45</v>
      </c>
      <c r="J11152">
        <v>0.01</v>
      </c>
    </row>
    <row r="11153" spans="1:10" x14ac:dyDescent="0.3">
      <c r="A11153" t="str">
        <f>HYPERLINK("https://us2.cloudbeds.com/connect/10074733072513#/reservations/31728529256665?display=MXFQF9RB9&amp;reservation_id=31728529256665", "MXFQF9RB9")</f>
        <v>MXFQF9RB9</v>
      </c>
      <c r="B11153" t="s">
        <v>10</v>
      </c>
      <c r="C11153" t="s">
        <v>20</v>
      </c>
      <c r="D11153" t="str">
        <f>HYPERLINK("https://us2.cloudbeds.com/connect/10074733072513#/reservations/31728529256665?display=Billie%20Ronshaugen&amp;reservation_id=31728529256665&amp;guest_id=31728529256660", "Billie Ronshaugen")</f>
        <v>Billie Ronshaugen</v>
      </c>
      <c r="E11153" t="s">
        <v>10271</v>
      </c>
      <c r="F11153" t="s">
        <v>7649</v>
      </c>
      <c r="G11153">
        <v>179</v>
      </c>
      <c r="H11153">
        <v>194.58</v>
      </c>
      <c r="I11153">
        <v>194.57</v>
      </c>
      <c r="J11153">
        <v>0.01</v>
      </c>
    </row>
    <row r="11154" spans="1:10" x14ac:dyDescent="0.3">
      <c r="A11154" t="str">
        <f>HYPERLINK("https://us2.cloudbeds.com/connect/10074733072513#/reservations/31723977052336?display=MXC94P12H&amp;reservation_id=31723977052336", "MXC94P12H")</f>
        <v>MXC94P12H</v>
      </c>
      <c r="B11154" t="s">
        <v>10</v>
      </c>
      <c r="C11154" t="s">
        <v>42</v>
      </c>
      <c r="D11154" t="str">
        <f>HYPERLINK("https://us2.cloudbeds.com/connect/10074733072513#/reservations/31723977052336?display=Lexy%20Timm&amp;reservation_id=31723977052336&amp;guest_id=31723967803617", "Lexy Timm")</f>
        <v>Lexy Timm</v>
      </c>
      <c r="E11154" t="s">
        <v>10272</v>
      </c>
      <c r="F11154" t="s">
        <v>9463</v>
      </c>
      <c r="G11154">
        <v>236.7</v>
      </c>
      <c r="H11154">
        <v>257.3</v>
      </c>
      <c r="I11154">
        <v>257.29000000000002</v>
      </c>
      <c r="J11154">
        <v>0.01</v>
      </c>
    </row>
    <row r="11155" spans="1:10" x14ac:dyDescent="0.3">
      <c r="A11155" t="str">
        <f>HYPERLINK("https://us2.cloudbeds.com/connect/10074733072513#/reservations/31729191944346?display=MXGAD32W5&amp;reservation_id=31729191944346", "MXGAD32W5")</f>
        <v>MXGAD32W5</v>
      </c>
      <c r="B11155" t="s">
        <v>10</v>
      </c>
      <c r="C11155" t="s">
        <v>42</v>
      </c>
      <c r="D11155" t="str">
        <f>HYPERLINK("https://us2.cloudbeds.com/connect/10074733072513#/reservations/31729191944346?display=Matthew%20Watson&amp;reservation_id=31729191944346&amp;guest_id=31729191944342", "Matthew Watson")</f>
        <v>Matthew Watson</v>
      </c>
      <c r="E11155" t="s">
        <v>10273</v>
      </c>
      <c r="F11155" t="s">
        <v>9096</v>
      </c>
      <c r="G11155">
        <v>824</v>
      </c>
      <c r="H11155">
        <v>895.7</v>
      </c>
      <c r="I11155">
        <v>895.69</v>
      </c>
      <c r="J11155">
        <v>0.01</v>
      </c>
    </row>
    <row r="11156" spans="1:10" x14ac:dyDescent="0.3">
      <c r="A11156" t="str">
        <f>HYPERLINK("https://us2.cloudbeds.com/connect/10074733072513#/reservations/31725707120862?display=MXDKBJZDH&amp;reservation_id=31725707120862", "MXDKBJZDH")</f>
        <v>MXDKBJZDH</v>
      </c>
      <c r="B11156" t="s">
        <v>10</v>
      </c>
      <c r="C11156" t="s">
        <v>42</v>
      </c>
      <c r="D11156" t="str">
        <f>HYPERLINK("https://us2.cloudbeds.com/connect/10074733072513#/reservations/31725707120862?display=Mary%20Wickersham%20Private%20Do%20Not%20Share&amp;reservation_id=31725707120862&amp;guest_id=31725707120857", "Mary Wickersham Private Do Not Share")</f>
        <v>Mary Wickersham Private Do Not Share</v>
      </c>
      <c r="E11156" t="s">
        <v>10274</v>
      </c>
      <c r="F11156" t="s">
        <v>9951</v>
      </c>
      <c r="G11156">
        <v>189</v>
      </c>
      <c r="H11156">
        <v>205.45</v>
      </c>
      <c r="I11156">
        <v>205.44</v>
      </c>
      <c r="J11156">
        <v>0.01</v>
      </c>
    </row>
    <row r="11157" spans="1:10" x14ac:dyDescent="0.3">
      <c r="A11157" t="str">
        <f>HYPERLINK("https://us2.cloudbeds.com/connect/10074733072513#/reservations/31725699547272?display=MXDK56WPQ&amp;reservation_id=31725699547272", "MXDK56WPQ")</f>
        <v>MXDK56WPQ</v>
      </c>
      <c r="B11157" t="s">
        <v>10</v>
      </c>
      <c r="C11157" t="s">
        <v>20</v>
      </c>
      <c r="D11157" t="str">
        <f>HYPERLINK("https://us2.cloudbeds.com/connect/10074733072513#/reservations/31725699547272?display=Medicine%20Flower%20Blue%20Star&amp;reservation_id=31725699547272&amp;guest_id=31725699547267", "Medicine Flower Blue Star")</f>
        <v>Medicine Flower Blue Star</v>
      </c>
      <c r="E11157" t="s">
        <v>10275</v>
      </c>
      <c r="F11157" t="s">
        <v>9951</v>
      </c>
      <c r="G11157">
        <v>189</v>
      </c>
      <c r="H11157">
        <v>205.45</v>
      </c>
      <c r="I11157">
        <v>205.44</v>
      </c>
      <c r="J11157">
        <v>0.01</v>
      </c>
    </row>
    <row r="11158" spans="1:10" x14ac:dyDescent="0.3">
      <c r="A11158" t="str">
        <f>HYPERLINK("https://us2.cloudbeds.com/connect/10074733072513#/reservations/31725758046376?display=MXDYYHQVU&amp;reservation_id=31725758046376", "MXDYYHQVU")</f>
        <v>MXDYYHQVU</v>
      </c>
      <c r="B11158" t="s">
        <v>10</v>
      </c>
      <c r="C11158" t="s">
        <v>42</v>
      </c>
      <c r="D11158" t="str">
        <f>HYPERLINK("https://us2.cloudbeds.com/connect/10074733072513#/reservations/31725758046376?display=Dawn%20Imrie&amp;reservation_id=31725758046376&amp;guest_id=31710832046283", "Dawn Imrie")</f>
        <v>Dawn Imrie</v>
      </c>
      <c r="E11158" t="s">
        <v>9464</v>
      </c>
      <c r="F11158" t="s">
        <v>9951</v>
      </c>
      <c r="G11158">
        <v>189</v>
      </c>
      <c r="H11158">
        <v>205.45</v>
      </c>
      <c r="I11158">
        <v>205.44</v>
      </c>
      <c r="J11158">
        <v>0.01</v>
      </c>
    </row>
    <row r="11159" spans="1:10" x14ac:dyDescent="0.3">
      <c r="A11159" t="str">
        <f>HYPERLINK("https://us2.cloudbeds.com/connect/10074733072513#/reservations/31729514541277?display=MXGXY3R7Z&amp;reservation_id=31729514541277", "MXGXY3R7Z")</f>
        <v>MXGXY3R7Z</v>
      </c>
      <c r="B11159" t="s">
        <v>10</v>
      </c>
      <c r="C11159" t="s">
        <v>42</v>
      </c>
      <c r="D11159" t="str">
        <f>HYPERLINK("https://us2.cloudbeds.com/connect/10074733072513#/reservations/31729514541277?display=Jennifer%20Gause&amp;reservation_id=31729514541277&amp;guest_id=31729505984643", "Jennifer Gause")</f>
        <v>Jennifer Gause</v>
      </c>
      <c r="E11159" t="s">
        <v>10277</v>
      </c>
      <c r="F11159" t="s">
        <v>8835</v>
      </c>
      <c r="G11159">
        <v>278</v>
      </c>
      <c r="H11159">
        <v>302.2</v>
      </c>
      <c r="I11159">
        <v>302.19</v>
      </c>
      <c r="J11159">
        <v>0.01</v>
      </c>
    </row>
    <row r="11160" spans="1:10" x14ac:dyDescent="0.3">
      <c r="A11160" t="str">
        <f>HYPERLINK("https://us2.cloudbeds.com/connect/10074733072513#/reservations/31725733658840?display=MXDY0W6HM&amp;reservation_id=31725733658840", "MXDY0W6HM")</f>
        <v>MXDY0W6HM</v>
      </c>
      <c r="B11160" t="s">
        <v>10</v>
      </c>
      <c r="C11160" t="s">
        <v>23</v>
      </c>
      <c r="D11160" t="str">
        <f>HYPERLINK("https://us2.cloudbeds.com/connect/10074733072513#/reservations/31725733658840?display=Debra%20Winters-Falatko&amp;reservation_id=31725733658840&amp;guest_id=31725724811403", "Debra Winters-Falatko")</f>
        <v>Debra Winters-Falatko</v>
      </c>
      <c r="E11160" t="s">
        <v>10278</v>
      </c>
      <c r="F11160" t="s">
        <v>9951</v>
      </c>
      <c r="G11160">
        <v>189</v>
      </c>
      <c r="H11160">
        <v>205.45</v>
      </c>
      <c r="I11160">
        <v>205.44</v>
      </c>
      <c r="J11160">
        <v>0.01</v>
      </c>
    </row>
    <row r="11161" spans="1:10" x14ac:dyDescent="0.3">
      <c r="A11161" t="str">
        <f>HYPERLINK("https://us2.cloudbeds.com/connect/10074733072513#/reservations/31733808271559?display=MXJTBN6JJ&amp;reservation_id=31733808271559", "MXJTBN6JJ")</f>
        <v>MXJTBN6JJ</v>
      </c>
      <c r="B11161" t="s">
        <v>10</v>
      </c>
      <c r="C11161" t="s">
        <v>42</v>
      </c>
      <c r="D11161" t="str">
        <f>HYPERLINK("https://us2.cloudbeds.com/connect/10074733072513#/reservations/31733808271559?display=Matthew%20.&amp;reservation_id=31733808271559&amp;guest_id=31733808271554", "Matthew .")</f>
        <v>Matthew .</v>
      </c>
      <c r="E11161" t="s">
        <v>10279</v>
      </c>
      <c r="F11161" t="s">
        <v>10175</v>
      </c>
      <c r="G11161">
        <v>139</v>
      </c>
      <c r="H11161">
        <v>151.1</v>
      </c>
      <c r="I11161">
        <v>151.09</v>
      </c>
      <c r="J11161">
        <v>0.01</v>
      </c>
    </row>
    <row r="11162" spans="1:10" x14ac:dyDescent="0.3">
      <c r="A11162" t="str">
        <f>HYPERLINK("https://us2.cloudbeds.com/connect/10074733072513#/reservations/31725688172760?display=MXDJSKFSK&amp;reservation_id=31725688172760", "MXDJSKFSK")</f>
        <v>MXDJSKFSK</v>
      </c>
      <c r="B11162" t="s">
        <v>10</v>
      </c>
      <c r="C11162" t="s">
        <v>121</v>
      </c>
      <c r="D11162" t="str">
        <f>HYPERLINK("https://us2.cloudbeds.com/connect/10074733072513#/reservations/31725688172760?display=Gracien%20James&amp;reservation_id=31725688172760&amp;guest_id=31725688172756", "Gracien James")</f>
        <v>Gracien James</v>
      </c>
      <c r="E11162" t="s">
        <v>10281</v>
      </c>
      <c r="F11162" t="s">
        <v>9951</v>
      </c>
      <c r="G11162">
        <v>189</v>
      </c>
      <c r="H11162">
        <v>205.45</v>
      </c>
      <c r="I11162">
        <v>205.44</v>
      </c>
      <c r="J11162">
        <v>0.01</v>
      </c>
    </row>
    <row r="11163" spans="1:10" x14ac:dyDescent="0.3">
      <c r="A11163" t="str">
        <f>HYPERLINK("https://us2.cloudbeds.com/connect/10074733072513#/reservations/31727574151374?display=MXF21UKAN&amp;reservation_id=31727574151374", "MXF21UKAN")</f>
        <v>MXF21UKAN</v>
      </c>
      <c r="B11163" t="s">
        <v>10</v>
      </c>
      <c r="C11163" t="s">
        <v>121</v>
      </c>
      <c r="D11163" t="str">
        <f>HYPERLINK("https://us2.cloudbeds.com/connect/10074733072513#/reservations/31727574151374?display=Lonnie%20Hail&amp;reservation_id=31727574151374&amp;guest_id=31727574147326", "Lonnie Hail")</f>
        <v>Lonnie Hail</v>
      </c>
      <c r="E11163" t="s">
        <v>10282</v>
      </c>
      <c r="F11163" t="s">
        <v>9951</v>
      </c>
      <c r="G11163">
        <v>189</v>
      </c>
      <c r="H11163">
        <v>205.45</v>
      </c>
      <c r="I11163">
        <v>205.44</v>
      </c>
      <c r="J11163">
        <v>0.01</v>
      </c>
    </row>
    <row r="11164" spans="1:10" x14ac:dyDescent="0.3">
      <c r="A11164" t="str">
        <f>HYPERLINK("https://us2.cloudbeds.com/connect/10074733072513#/reservations/31725678264515?display=MXDJK8PCP&amp;reservation_id=31725678264515", "MXDJK8PCP")</f>
        <v>MXDJK8PCP</v>
      </c>
      <c r="B11164" t="s">
        <v>10</v>
      </c>
      <c r="C11164" t="s">
        <v>20</v>
      </c>
      <c r="D11164" t="str">
        <f>HYPERLINK("https://us2.cloudbeds.com/connect/10074733072513#/reservations/31725678264515?display=Tracy%20Downs&amp;reservation_id=31725678264515&amp;guest_id=31725678264513", "Tracy Downs")</f>
        <v>Tracy Downs</v>
      </c>
      <c r="E11164" t="s">
        <v>10283</v>
      </c>
      <c r="F11164" t="s">
        <v>9951</v>
      </c>
      <c r="G11164">
        <v>189</v>
      </c>
      <c r="H11164">
        <v>205.45</v>
      </c>
      <c r="I11164">
        <v>205.44</v>
      </c>
      <c r="J11164">
        <v>0.01</v>
      </c>
    </row>
    <row r="11165" spans="1:10" x14ac:dyDescent="0.3">
      <c r="A11165" t="str">
        <f>HYPERLINK("https://us2.cloudbeds.com/connect/10074733072513#/reservations/31727583244451?display=MXF29JY8G&amp;reservation_id=31727583244451", "MXF29JY8G")</f>
        <v>MXF29JY8G</v>
      </c>
      <c r="B11165" t="s">
        <v>10</v>
      </c>
      <c r="C11165" t="s">
        <v>121</v>
      </c>
      <c r="D11165" t="str">
        <f>HYPERLINK("https://us2.cloudbeds.com/connect/10074733072513#/reservations/31727583244451?display=Lisa%20Miller&amp;reservation_id=31727583244451&amp;guest_id=31727583240356", "Lisa Miller")</f>
        <v>Lisa Miller</v>
      </c>
      <c r="E11165" t="s">
        <v>10284</v>
      </c>
      <c r="F11165" t="s">
        <v>9951</v>
      </c>
      <c r="G11165">
        <v>189</v>
      </c>
      <c r="H11165">
        <v>205.45</v>
      </c>
      <c r="I11165">
        <v>205.44</v>
      </c>
      <c r="J11165">
        <v>0.01</v>
      </c>
    </row>
    <row r="11166" spans="1:10" x14ac:dyDescent="0.3">
      <c r="A11166" t="str">
        <f>HYPERLINK("https://us2.cloudbeds.com/connect/10074733072513#/reservations/31727612846332?display=MXF31XBT6&amp;reservation_id=31727612846332", "MXF31XBT6")</f>
        <v>MXF31XBT6</v>
      </c>
      <c r="B11166" t="s">
        <v>10</v>
      </c>
      <c r="C11166" t="s">
        <v>121</v>
      </c>
      <c r="D11166" t="str">
        <f>HYPERLINK("https://us2.cloudbeds.com/connect/10074733072513#/reservations/31727612846332?display=Gary%20Bartleson&amp;reservation_id=31727612846332&amp;guest_id=31727604367522", "Gary Bartleson")</f>
        <v>Gary Bartleson</v>
      </c>
      <c r="E11166" t="s">
        <v>10285</v>
      </c>
      <c r="F11166" t="s">
        <v>9951</v>
      </c>
      <c r="G11166">
        <v>189</v>
      </c>
      <c r="H11166">
        <v>205.45</v>
      </c>
      <c r="I11166">
        <v>205.44</v>
      </c>
      <c r="J11166">
        <v>0.01</v>
      </c>
    </row>
    <row r="11167" spans="1:10" x14ac:dyDescent="0.3">
      <c r="A11167" t="str">
        <f>HYPERLINK("https://us2.cloudbeds.com/connect/10074733072513#/reservations/31727604363432?display=MXF2RDA8K&amp;reservation_id=31727604363432", "MXF2RDA8K")</f>
        <v>MXF2RDA8K</v>
      </c>
      <c r="B11167" t="s">
        <v>10</v>
      </c>
      <c r="C11167" t="s">
        <v>121</v>
      </c>
      <c r="D11167" t="str">
        <f>HYPERLINK("https://us2.cloudbeds.com/connect/10074733072513#/reservations/31727604363432?display=Cory%20Andserson&amp;reservation_id=31727604363432&amp;guest_id=31727595720911", "Cory Andserson")</f>
        <v>Cory Andserson</v>
      </c>
      <c r="E11167" t="s">
        <v>10286</v>
      </c>
      <c r="F11167" t="s">
        <v>9951</v>
      </c>
      <c r="G11167">
        <v>189</v>
      </c>
      <c r="H11167">
        <v>205.45</v>
      </c>
      <c r="I11167">
        <v>205.44</v>
      </c>
      <c r="J11167">
        <v>0.01</v>
      </c>
    </row>
    <row r="11168" spans="1:10" x14ac:dyDescent="0.3">
      <c r="A11168" t="str">
        <f>HYPERLINK("https://us2.cloudbeds.com/connect/10074733072513#/reservations/31726785806483?display=MXEEU5ZWJ&amp;reservation_id=31726785806483", "MXEEU5ZWJ")</f>
        <v>MXEEU5ZWJ</v>
      </c>
      <c r="B11168" t="s">
        <v>10</v>
      </c>
      <c r="C11168" t="s">
        <v>42</v>
      </c>
      <c r="D11168" t="str">
        <f>HYPERLINK("https://us2.cloudbeds.com/connect/10074733072513#/reservations/31726785806483?display=Becky%20Roth&amp;reservation_id=31726785806483&amp;guest_id=31726785802389", "Becky Roth")</f>
        <v>Becky Roth</v>
      </c>
      <c r="E11168" t="s">
        <v>10287</v>
      </c>
      <c r="F11168" t="s">
        <v>10288</v>
      </c>
      <c r="G11168">
        <v>318</v>
      </c>
      <c r="H11168">
        <v>345.68</v>
      </c>
      <c r="I11168">
        <v>345.67</v>
      </c>
      <c r="J11168">
        <v>0.01</v>
      </c>
    </row>
    <row r="11169" spans="1:10" x14ac:dyDescent="0.3">
      <c r="A11169" t="str">
        <f>HYPERLINK("https://us2.cloudbeds.com/connect/10074733072513#/reservations/31731042455775?display=MXHZMG9S2&amp;reservation_id=31731042455775", "MXHZMG9S2")</f>
        <v>MXHZMG9S2</v>
      </c>
      <c r="B11169" t="s">
        <v>10</v>
      </c>
      <c r="C11169" t="s">
        <v>42</v>
      </c>
      <c r="D11169" t="str">
        <f>HYPERLINK("https://us2.cloudbeds.com/connect/10074733072513#/reservations/31731042455775?display=Steve%20Gaskill&amp;reservation_id=31731042455775&amp;guest_id=31702248054986", "Steve Gaskill")</f>
        <v>Steve Gaskill</v>
      </c>
      <c r="E11169" t="s">
        <v>10289</v>
      </c>
      <c r="F11169" t="s">
        <v>9045</v>
      </c>
      <c r="G11169">
        <v>129</v>
      </c>
      <c r="H11169">
        <v>140.22999999999999</v>
      </c>
      <c r="I11169">
        <v>140.22</v>
      </c>
      <c r="J11169">
        <v>0.01</v>
      </c>
    </row>
    <row r="11170" spans="1:10" x14ac:dyDescent="0.3">
      <c r="A11170" t="str">
        <f>HYPERLINK("https://us2.cloudbeds.com/connect/10074733072513#/reservations/31730956452025?display=MXHMFW3SR&amp;reservation_id=31730956452025", "MXHMFW3SR")</f>
        <v>MXHMFW3SR</v>
      </c>
      <c r="B11170" t="s">
        <v>10</v>
      </c>
      <c r="C11170" t="s">
        <v>42</v>
      </c>
      <c r="D11170" t="str">
        <f>HYPERLINK("https://us2.cloudbeds.com/connect/10074733072513#/reservations/31730956452025?display=Cobren%20Bird&amp;reservation_id=31730956452025&amp;guest_id=31681772536058", "Cobren Bird")</f>
        <v>Cobren Bird</v>
      </c>
      <c r="E11170" t="s">
        <v>7109</v>
      </c>
      <c r="F11170" t="s">
        <v>9045</v>
      </c>
      <c r="G11170">
        <v>73</v>
      </c>
      <c r="H11170">
        <v>79.36</v>
      </c>
      <c r="I11170">
        <v>79.349999999999994</v>
      </c>
      <c r="J11170">
        <v>0.01</v>
      </c>
    </row>
    <row r="11171" spans="1:10" x14ac:dyDescent="0.3">
      <c r="A11171" t="str">
        <f>HYPERLINK("https://us2.cloudbeds.com/connect/10074733072513#/reservations/31730752102561?display=MXHH8YQ4R&amp;reservation_id=31730752102561", "MXHH8YQ4R")</f>
        <v>MXHH8YQ4R</v>
      </c>
      <c r="B11171" t="s">
        <v>10</v>
      </c>
      <c r="C11171" t="s">
        <v>20</v>
      </c>
      <c r="D11171" t="str">
        <f>HYPERLINK("https://us2.cloudbeds.com/connect/10074733072513#/reservations/31730752102561?display=Cristian%20Ulises%20Gonzalez%20Gallardo&amp;reservation_id=31730752102561&amp;guest_id=31730752102556", "Cristian Ulises Gonzalez Gallardo")</f>
        <v>Cristian Ulises Gonzalez Gallardo</v>
      </c>
      <c r="E11171" t="s">
        <v>10290</v>
      </c>
      <c r="F11171" t="s">
        <v>9045</v>
      </c>
      <c r="G11171">
        <v>129</v>
      </c>
      <c r="H11171">
        <v>140.22999999999999</v>
      </c>
      <c r="I11171">
        <v>140.22</v>
      </c>
      <c r="J11171">
        <v>0.01</v>
      </c>
    </row>
    <row r="11172" spans="1:10" x14ac:dyDescent="0.3">
      <c r="A11172" t="str">
        <f>HYPERLINK("https://us2.cloudbeds.com/connect/10074733072513#/reservations/31730699124879?display=MXHFTWK4H&amp;reservation_id=31730699124879", "MXHFTWK4H")</f>
        <v>MXHFTWK4H</v>
      </c>
      <c r="B11172" t="s">
        <v>10</v>
      </c>
      <c r="C11172" t="s">
        <v>42</v>
      </c>
      <c r="D11172" t="str">
        <f>HYPERLINK("https://us2.cloudbeds.com/connect/10074733072513#/reservations/31730699124879?display=Brian%20Cruz&amp;reservation_id=31730699124879&amp;guest_id=31730699124868", "Brian Cruz")</f>
        <v>Brian Cruz</v>
      </c>
      <c r="E11172" t="s">
        <v>10291</v>
      </c>
      <c r="F11172" t="s">
        <v>8918</v>
      </c>
      <c r="G11172">
        <v>249</v>
      </c>
      <c r="H11172">
        <v>270.67</v>
      </c>
      <c r="I11172">
        <v>270.66000000000003</v>
      </c>
      <c r="J11172">
        <v>0.01</v>
      </c>
    </row>
    <row r="11173" spans="1:10" x14ac:dyDescent="0.3">
      <c r="A11173" t="str">
        <f>HYPERLINK("https://us2.cloudbeds.com/connect/10074733072513#/reservations/31726258909331?display=MXE1ET277&amp;reservation_id=31726258909331", "MXE1ET277")</f>
        <v>MXE1ET277</v>
      </c>
      <c r="B11173" t="s">
        <v>10</v>
      </c>
      <c r="C11173" t="s">
        <v>42</v>
      </c>
      <c r="D11173" t="str">
        <f>HYPERLINK("https://us2.cloudbeds.com/connect/10074733072513#/reservations/31726258909331?display=Bruce%20Thomas&amp;reservation_id=31726258909331&amp;guest_id=31726258905235", "Bruce Thomas")</f>
        <v>Bruce Thomas</v>
      </c>
      <c r="E11173" t="s">
        <v>10292</v>
      </c>
      <c r="F11173" t="s">
        <v>8801</v>
      </c>
      <c r="G11173">
        <v>467</v>
      </c>
      <c r="H11173">
        <v>507.64</v>
      </c>
      <c r="I11173">
        <v>507.63</v>
      </c>
      <c r="J11173">
        <v>0.01</v>
      </c>
    </row>
    <row r="11174" spans="1:10" x14ac:dyDescent="0.3">
      <c r="A11174" t="str">
        <f>HYPERLINK("https://us2.cloudbeds.com/connect/10074733072513#/reservations/31726858821849?display=MXEGPZH2E&amp;reservation_id=31726858821849", "MXEGPZH2E")</f>
        <v>MXEGPZH2E</v>
      </c>
      <c r="B11174" t="s">
        <v>10</v>
      </c>
      <c r="C11174" t="s">
        <v>42</v>
      </c>
      <c r="D11174" t="str">
        <f>HYPERLINK("https://us2.cloudbeds.com/connect/10074733072513#/reservations/31726858821849?display=Rochelle%20Dejong&amp;reservation_id=31726858821849&amp;guest_id=31726858817757", "Rochelle Dejong")</f>
        <v>Rochelle Dejong</v>
      </c>
      <c r="E11174" t="s">
        <v>10293</v>
      </c>
      <c r="F11174" t="s">
        <v>7649</v>
      </c>
      <c r="G11174">
        <v>298</v>
      </c>
      <c r="H11174">
        <v>323.94</v>
      </c>
      <c r="I11174">
        <v>323.93</v>
      </c>
      <c r="J11174">
        <v>0.01</v>
      </c>
    </row>
    <row r="11175" spans="1:10" x14ac:dyDescent="0.3">
      <c r="A11175" t="str">
        <f>HYPERLINK("https://us2.cloudbeds.com/connect/10074733072513#/reservations/31730252701914?display=MXH4GX7MT&amp;reservation_id=31730252701914", "MXH4GX7MT")</f>
        <v>MXH4GX7MT</v>
      </c>
      <c r="B11175" t="s">
        <v>10</v>
      </c>
      <c r="C11175" t="s">
        <v>121</v>
      </c>
      <c r="D11175" t="str">
        <f>HYPERLINK("https://us2.cloudbeds.com/connect/10074733072513#/reservations/31730252701914?display=Kenny%20Wilburn&amp;reservation_id=31730252701914&amp;guest_id=31730252701911", "Kenny Wilburn")</f>
        <v>Kenny Wilburn</v>
      </c>
      <c r="E11175" t="s">
        <v>10294</v>
      </c>
      <c r="F11175" t="s">
        <v>8716</v>
      </c>
      <c r="G11175">
        <v>129</v>
      </c>
      <c r="H11175">
        <v>140.22999999999999</v>
      </c>
      <c r="I11175">
        <v>140.22</v>
      </c>
      <c r="J11175">
        <v>0.01</v>
      </c>
    </row>
    <row r="11176" spans="1:10" x14ac:dyDescent="0.3">
      <c r="A11176" t="str">
        <f>HYPERLINK("https://us2.cloudbeds.com/connect/10074733072513#/reservations/31725595984062?display=MXDHGT6DN&amp;reservation_id=31725595984062", "MXDHGT6DN")</f>
        <v>MXDHGT6DN</v>
      </c>
      <c r="B11176" t="s">
        <v>10</v>
      </c>
      <c r="C11176" t="s">
        <v>17</v>
      </c>
      <c r="D11176" t="str">
        <f>HYPERLINK("https://us2.cloudbeds.com/connect/10074733072513#/reservations/31725595984062?display=Ian%20Spaude&amp;reservation_id=31725595984062&amp;guest_id=31725582758113", "Ian Spaude")</f>
        <v>Ian Spaude</v>
      </c>
      <c r="E11176" t="s">
        <v>10295</v>
      </c>
      <c r="F11176" t="s">
        <v>9717</v>
      </c>
      <c r="G11176">
        <v>179</v>
      </c>
      <c r="H11176">
        <v>194.58</v>
      </c>
      <c r="I11176">
        <v>194.57</v>
      </c>
      <c r="J11176">
        <v>0.01</v>
      </c>
    </row>
    <row r="11177" spans="1:10" x14ac:dyDescent="0.3">
      <c r="A11177" t="str">
        <f>HYPERLINK("https://us2.cloudbeds.com/connect/10074733072513#/reservations/31730946166949?display=MXHM79UBS&amp;reservation_id=31730946166949", "MXHM79UBS")</f>
        <v>MXHM79UBS</v>
      </c>
      <c r="B11177" t="s">
        <v>10</v>
      </c>
      <c r="C11177" t="s">
        <v>42</v>
      </c>
      <c r="D11177" t="str">
        <f>HYPERLINK("https://us2.cloudbeds.com/connect/10074733072513#/reservations/31730946166949?display=Alexander%20Ruble&amp;reservation_id=31730946166949&amp;guest_id=31695499837616", "Alexander Ruble")</f>
        <v>Alexander Ruble</v>
      </c>
      <c r="E11177" t="s">
        <v>8015</v>
      </c>
      <c r="F11177" t="s">
        <v>10245</v>
      </c>
      <c r="G11177">
        <v>119</v>
      </c>
      <c r="H11177">
        <v>129.36000000000001</v>
      </c>
      <c r="I11177">
        <v>129.35</v>
      </c>
      <c r="J11177">
        <v>0.01</v>
      </c>
    </row>
    <row r="11178" spans="1:10" x14ac:dyDescent="0.3">
      <c r="A11178" t="str">
        <f>HYPERLINK("https://us2.cloudbeds.com/connect/10074733072513#/reservations/31729214591120?display=MXGAW68U1&amp;reservation_id=31729214591120", "MXGAW68U1")</f>
        <v>MXGAW68U1</v>
      </c>
      <c r="B11178" t="s">
        <v>10</v>
      </c>
      <c r="C11178" t="s">
        <v>42</v>
      </c>
      <c r="D11178" t="str">
        <f>HYPERLINK("https://us2.cloudbeds.com/connect/10074733072513#/reservations/31729214591120?display=Allison%20Hendrickson&amp;reservation_id=31729214591120&amp;guest_id=31729214587021", "Allison Hendrickson")</f>
        <v>Allison Hendrickson</v>
      </c>
      <c r="E11178" t="s">
        <v>9952</v>
      </c>
      <c r="F11178" t="s">
        <v>9096</v>
      </c>
      <c r="G11178">
        <v>358</v>
      </c>
      <c r="H11178">
        <v>389.16</v>
      </c>
      <c r="I11178">
        <v>389.15</v>
      </c>
      <c r="J11178">
        <v>0.01</v>
      </c>
    </row>
    <row r="11179" spans="1:10" x14ac:dyDescent="0.3">
      <c r="A11179" t="str">
        <f>HYPERLINK("https://us2.cloudbeds.com/connect/10074733072513#/reservations/31726732419258?display=MXEDX55TT&amp;reservation_id=31726732419258", "MXEDX55TT")</f>
        <v>MXEDX55TT</v>
      </c>
      <c r="B11179" t="s">
        <v>10</v>
      </c>
      <c r="C11179" t="s">
        <v>42</v>
      </c>
      <c r="D11179" t="str">
        <f>HYPERLINK("https://us2.cloudbeds.com/connect/10074733072513#/reservations/31726732419258?display=Carrie%20Firle&amp;reservation_id=31726732419258&amp;guest_id=31726732419253", "Carrie Firle")</f>
        <v>Carrie Firle</v>
      </c>
      <c r="E11179" t="s">
        <v>10300</v>
      </c>
      <c r="F11179" t="s">
        <v>9740</v>
      </c>
      <c r="G11179">
        <v>139</v>
      </c>
      <c r="H11179">
        <v>151.1</v>
      </c>
      <c r="I11179">
        <v>151.09</v>
      </c>
      <c r="J11179">
        <v>0.01</v>
      </c>
    </row>
    <row r="11180" spans="1:10" x14ac:dyDescent="0.3">
      <c r="A11180" t="str">
        <f>HYPERLINK("https://us2.cloudbeds.com/connect/10074733072513#/reservations/31730535751916?display=MXHBZ7H1M&amp;reservation_id=31730535751916", "MXHBZ7H1M")</f>
        <v>MXHBZ7H1M</v>
      </c>
      <c r="B11180" t="s">
        <v>10</v>
      </c>
      <c r="C11180" t="s">
        <v>42</v>
      </c>
      <c r="D11180" t="str">
        <f>HYPERLINK("https://us2.cloudbeds.com/connect/10074733072513#/reservations/31730535751916?display=Sharon%20Petersma&amp;reservation_id=31730535751916&amp;guest_id=31683689177328", "Sharon Petersma")</f>
        <v>Sharon Petersma</v>
      </c>
      <c r="E11180" t="s">
        <v>3847</v>
      </c>
      <c r="F11180" t="s">
        <v>9561</v>
      </c>
      <c r="G11180">
        <v>209</v>
      </c>
      <c r="H11180">
        <v>227.19</v>
      </c>
      <c r="I11180">
        <v>227.18</v>
      </c>
      <c r="J11180">
        <v>0.01</v>
      </c>
    </row>
    <row r="11181" spans="1:10" x14ac:dyDescent="0.3">
      <c r="A11181" t="str">
        <f>HYPERLINK("https://us2.cloudbeds.com/connect/10074733072513#/reservations/31728462794948?display=MXFZP8E9S&amp;reservation_id=31728462794948", "MXFZP8E9S")</f>
        <v>MXFZP8E9S</v>
      </c>
      <c r="B11181" t="s">
        <v>10</v>
      </c>
      <c r="C11181" t="s">
        <v>42</v>
      </c>
      <c r="D11181" t="str">
        <f>HYPERLINK("https://us2.cloudbeds.com/connect/10074733072513#/reservations/31728462794948?display=Anthony%20Schwed&amp;reservation_id=31728462794948&amp;guest_id=31728452006046", "Anthony Schwed")</f>
        <v>Anthony Schwed</v>
      </c>
      <c r="E11181" t="s">
        <v>10301</v>
      </c>
      <c r="F11181" t="s">
        <v>10245</v>
      </c>
      <c r="G11181">
        <v>73</v>
      </c>
      <c r="H11181">
        <v>79.36</v>
      </c>
      <c r="I11181">
        <v>79.349999999999994</v>
      </c>
      <c r="J11181">
        <v>0.01</v>
      </c>
    </row>
    <row r="11182" spans="1:10" x14ac:dyDescent="0.3">
      <c r="A11182" t="str">
        <f>HYPERLINK("https://us2.cloudbeds.com/connect/10074733072513#/reservations/31728372613278?display=MXFMF6WRW&amp;reservation_id=31728372613278", "MXFMF6WRW")</f>
        <v>MXFMF6WRW</v>
      </c>
      <c r="B11182" t="s">
        <v>10</v>
      </c>
      <c r="C11182" t="s">
        <v>121</v>
      </c>
      <c r="D11182" t="str">
        <f>HYPERLINK("https://us2.cloudbeds.com/connect/10074733072513#/reservations/31728372613278?display=Judson%20Maggert&amp;reservation_id=31728372613278&amp;guest_id=31728372609172", "Judson Maggert")</f>
        <v>Judson Maggert</v>
      </c>
      <c r="E11182" t="s">
        <v>10302</v>
      </c>
      <c r="F11182" t="s">
        <v>10245</v>
      </c>
      <c r="G11182">
        <v>129</v>
      </c>
      <c r="H11182">
        <v>140.22999999999999</v>
      </c>
      <c r="I11182">
        <v>140.22</v>
      </c>
      <c r="J11182">
        <v>0.01</v>
      </c>
    </row>
    <row r="11183" spans="1:10" x14ac:dyDescent="0.3">
      <c r="A11183" t="str">
        <f>HYPERLINK("https://us2.cloudbeds.com/connect/10074733072513#/reservations/31728910303456?display=MXG36K0XZ&amp;reservation_id=31728910303456", "MXG36K0XZ")</f>
        <v>MXG36K0XZ</v>
      </c>
      <c r="B11183" t="s">
        <v>10</v>
      </c>
      <c r="C11183" t="s">
        <v>23</v>
      </c>
      <c r="D11183" t="str">
        <f>HYPERLINK("https://us2.cloudbeds.com/connect/10074733072513#/reservations/31728910303456?display=Joseph%20Casey&amp;reservation_id=31728910303456&amp;guest_id=31728910303451", "Joseph Casey")</f>
        <v>Joseph Casey</v>
      </c>
      <c r="E11183" t="s">
        <v>10303</v>
      </c>
      <c r="F11183" t="s">
        <v>10214</v>
      </c>
      <c r="G11183">
        <v>252</v>
      </c>
      <c r="H11183">
        <v>273.93</v>
      </c>
      <c r="I11183">
        <v>273.92</v>
      </c>
      <c r="J11183">
        <v>0.01</v>
      </c>
    </row>
    <row r="11184" spans="1:10" x14ac:dyDescent="0.3">
      <c r="A11184" t="str">
        <f>HYPERLINK("https://us2.cloudbeds.com/connect/10074733072513#/reservations/31733201117414?display=MXJDRZ7V4&amp;reservation_id=31733201117414", "MXJDRZ7V4")</f>
        <v>MXJDRZ7V4</v>
      </c>
      <c r="B11184" t="s">
        <v>10</v>
      </c>
      <c r="C11184" t="s">
        <v>42</v>
      </c>
      <c r="D11184" t="str">
        <f>HYPERLINK("https://us2.cloudbeds.com/connect/10074733072513#/reservations/31733201117414?display=Nick%20Sherman&amp;reservation_id=31733201117414&amp;guest_id=31723967779048", "Nick Sherman")</f>
        <v>Nick Sherman</v>
      </c>
      <c r="E11184" t="s">
        <v>9425</v>
      </c>
      <c r="F11184" t="s">
        <v>9983</v>
      </c>
      <c r="G11184">
        <v>336</v>
      </c>
      <c r="H11184">
        <v>365.24</v>
      </c>
      <c r="I11184">
        <v>365.23</v>
      </c>
      <c r="J11184">
        <v>0.01</v>
      </c>
    </row>
    <row r="11185" spans="1:10" x14ac:dyDescent="0.3">
      <c r="A11185" t="str">
        <f>HYPERLINK("https://us2.cloudbeds.com/connect/10074733072513#/reservations/31729648595147?display=MXGM252C7&amp;reservation_id=31729648595147", "MXGM252C7")</f>
        <v>MXGM252C7</v>
      </c>
      <c r="B11185" t="s">
        <v>10</v>
      </c>
      <c r="C11185" t="s">
        <v>23</v>
      </c>
      <c r="D11185" t="str">
        <f>HYPERLINK("https://us2.cloudbeds.com/connect/10074733072513#/reservations/31729648595147?display=Janeth%20Josefina%20Colina%20Rivero&amp;reservation_id=31729648595147&amp;guest_id=31729648595142", "Janeth Josefina Colina Rivero")</f>
        <v>Janeth Josefina Colina Rivero</v>
      </c>
      <c r="E11185" t="s">
        <v>10304</v>
      </c>
      <c r="F11185" t="s">
        <v>10305</v>
      </c>
      <c r="G11185">
        <v>119</v>
      </c>
      <c r="H11185">
        <v>129.36000000000001</v>
      </c>
      <c r="I11185">
        <v>129.35</v>
      </c>
      <c r="J11185">
        <v>0.01</v>
      </c>
    </row>
    <row r="11186" spans="1:10" x14ac:dyDescent="0.3">
      <c r="A11186" t="str">
        <f>HYPERLINK("https://us2.cloudbeds.com/connect/10074733072513#/reservations/31727344783498?display=MXET6H3S0&amp;reservation_id=31727344783498", "MXET6H3S0")</f>
        <v>MXET6H3S0</v>
      </c>
      <c r="B11186" t="s">
        <v>10</v>
      </c>
      <c r="C11186" t="s">
        <v>42</v>
      </c>
      <c r="D11186" t="str">
        <f>HYPERLINK("https://us2.cloudbeds.com/connect/10074733072513#/reservations/31727344783498?display=Deloris%20Bergland&amp;reservation_id=31727344783498&amp;guest_id=31727344779447", "Deloris Bergland")</f>
        <v>Deloris Bergland</v>
      </c>
      <c r="E11186" t="s">
        <v>10306</v>
      </c>
      <c r="F11186" t="s">
        <v>9794</v>
      </c>
      <c r="G11186">
        <v>129</v>
      </c>
      <c r="H11186">
        <v>140.22999999999999</v>
      </c>
      <c r="I11186">
        <v>140.22</v>
      </c>
      <c r="J11186">
        <v>0.01</v>
      </c>
    </row>
    <row r="11187" spans="1:10" x14ac:dyDescent="0.3">
      <c r="A11187" t="str">
        <f>HYPERLINK("https://us2.cloudbeds.com/connect/10074733072513#/reservations/31730438578330?display=MXH989H3X&amp;reservation_id=31730438578330", "MXH989H3X")</f>
        <v>MXH989H3X</v>
      </c>
      <c r="B11187" t="s">
        <v>10</v>
      </c>
      <c r="C11187" t="s">
        <v>42</v>
      </c>
      <c r="D11187" t="str">
        <f>HYPERLINK("https://us2.cloudbeds.com/connect/10074733072513#/reservations/31730438578330?display=Jean%20Oelke&amp;reservation_id=31730438578330&amp;guest_id=31730432299257", "Jean Oelke")</f>
        <v>Jean Oelke</v>
      </c>
      <c r="E11187" t="s">
        <v>10307</v>
      </c>
      <c r="F11187" t="s">
        <v>9096</v>
      </c>
      <c r="G11187">
        <v>179</v>
      </c>
      <c r="H11187">
        <v>194.58</v>
      </c>
      <c r="I11187">
        <v>194.57</v>
      </c>
      <c r="J11187">
        <v>0.01</v>
      </c>
    </row>
    <row r="11188" spans="1:10" x14ac:dyDescent="0.3">
      <c r="A11188" t="str">
        <f>HYPERLINK("https://us2.cloudbeds.com/connect/10074733072513#/reservations/31726811484298?display=MXEFXR986&amp;reservation_id=31726811484298", "MXEFXR986")</f>
        <v>MXEFXR986</v>
      </c>
      <c r="B11188" t="s">
        <v>10</v>
      </c>
      <c r="C11188" t="s">
        <v>14</v>
      </c>
      <c r="D11188" t="str">
        <f>HYPERLINK("https://us2.cloudbeds.com/connect/10074733072513#/reservations/31726811484298?display=Shannon%20Avilla&amp;reservation_id=31726811484298&amp;guest_id=31726811484295", "Shannon Avilla")</f>
        <v>Shannon Avilla</v>
      </c>
      <c r="E11188" t="s">
        <v>10308</v>
      </c>
      <c r="F11188" t="s">
        <v>8801</v>
      </c>
      <c r="G11188">
        <v>159</v>
      </c>
      <c r="H11188">
        <v>172.84</v>
      </c>
      <c r="I11188">
        <v>172.83</v>
      </c>
      <c r="J11188">
        <v>0.01</v>
      </c>
    </row>
    <row r="11189" spans="1:10" x14ac:dyDescent="0.3">
      <c r="A11189" t="str">
        <f>HYPERLINK("https://us2.cloudbeds.com/connect/10074733072513#/reservations/31723978621141?display=MXC962MM3&amp;reservation_id=31723978621141", "MXC962MM3")</f>
        <v>MXC962MM3</v>
      </c>
      <c r="B11189" t="s">
        <v>10</v>
      </c>
      <c r="C11189" t="s">
        <v>42</v>
      </c>
      <c r="D11189" t="str">
        <f>HYPERLINK("https://us2.cloudbeds.com/connect/10074733072513#/reservations/31723978621141?display=Nathan%20Beyer%20Precision%20Pumping&amp;reservation_id=31723978621141&amp;guest_id=31723978621136", "Nathan Beyer Precision Pumping")</f>
        <v>Nathan Beyer Precision Pumping</v>
      </c>
      <c r="E11189" t="s">
        <v>10309</v>
      </c>
      <c r="F11189" t="s">
        <v>9561</v>
      </c>
      <c r="G11189">
        <v>467</v>
      </c>
      <c r="H11189">
        <v>507.64</v>
      </c>
      <c r="I11189">
        <v>507.63</v>
      </c>
      <c r="J11189">
        <v>0.01</v>
      </c>
    </row>
    <row r="11190" spans="1:10" x14ac:dyDescent="0.3">
      <c r="A11190" t="str">
        <f>HYPERLINK("https://us2.cloudbeds.com/connect/10074733072513#/reservations/31724019585236?display=MXCA7KXUA&amp;reservation_id=31724019585236", "MXCA7KXUA")</f>
        <v>MXCA7KXUA</v>
      </c>
      <c r="B11190" t="s">
        <v>10</v>
      </c>
      <c r="C11190" t="s">
        <v>42</v>
      </c>
      <c r="D11190" t="str">
        <f>HYPERLINK("https://us2.cloudbeds.com/connect/10074733072513#/reservations/31724019585236?display=Pam%20Stransky&amp;reservation_id=31724019585236&amp;guest_id=31724019585232", "Pam Stransky")</f>
        <v>Pam Stransky</v>
      </c>
      <c r="E11190" t="s">
        <v>10310</v>
      </c>
      <c r="F11190" t="s">
        <v>9561</v>
      </c>
      <c r="G11190">
        <v>219</v>
      </c>
      <c r="H11190">
        <v>238.06</v>
      </c>
      <c r="I11190">
        <v>238.05</v>
      </c>
      <c r="J11190">
        <v>0.01</v>
      </c>
    </row>
    <row r="11191" spans="1:10" x14ac:dyDescent="0.3">
      <c r="A11191" t="str">
        <f>HYPERLINK("https://us2.cloudbeds.com/connect/10074733072513#/reservations/31727454306450?display=MXEVWSZTB&amp;reservation_id=31727454306450", "MXEVWSZTB")</f>
        <v>MXEVWSZTB</v>
      </c>
      <c r="B11191" t="s">
        <v>10</v>
      </c>
      <c r="C11191" t="s">
        <v>42</v>
      </c>
      <c r="D11191" t="str">
        <f>HYPERLINK("https://us2.cloudbeds.com/connect/10074733072513#/reservations/31727454306450?display=Karla%20Borge&amp;reservation_id=31727454306450&amp;guest_id=31727454302356", "Karla Borge")</f>
        <v>Karla Borge</v>
      </c>
      <c r="E11191" t="s">
        <v>10311</v>
      </c>
      <c r="F11191" t="s">
        <v>9445</v>
      </c>
      <c r="G11191">
        <v>318</v>
      </c>
      <c r="H11191">
        <v>345.68</v>
      </c>
      <c r="I11191">
        <v>345.67</v>
      </c>
      <c r="J11191">
        <v>0.01</v>
      </c>
    </row>
    <row r="11192" spans="1:10" x14ac:dyDescent="0.3">
      <c r="A11192" t="str">
        <f>HYPERLINK("https://us2.cloudbeds.com/connect/10074733072513#/reservations/31726408511718?display=MXE590W4T&amp;reservation_id=31726408511718", "MXE590W4T")</f>
        <v>MXE590W4T</v>
      </c>
      <c r="B11192" t="s">
        <v>10</v>
      </c>
      <c r="C11192" t="s">
        <v>23</v>
      </c>
      <c r="D11192" t="str">
        <f>HYPERLINK("https://us2.cloudbeds.com/connect/10074733072513#/reservations/31726408511718?display=Linda%20Frey&amp;reservation_id=31726408511718&amp;guest_id=31726408511714", "Linda Frey")</f>
        <v>Linda Frey</v>
      </c>
      <c r="E11192" t="s">
        <v>6900</v>
      </c>
      <c r="F11192" t="s">
        <v>10312</v>
      </c>
      <c r="G11192">
        <v>159</v>
      </c>
      <c r="H11192">
        <v>172.84</v>
      </c>
      <c r="I11192">
        <v>172.83</v>
      </c>
      <c r="J11192">
        <v>0.01</v>
      </c>
    </row>
    <row r="11193" spans="1:10" x14ac:dyDescent="0.3">
      <c r="A11193" t="str">
        <f>HYPERLINK("https://us2.cloudbeds.com/connect/10074733072513#/reservations/31725661098184?display=MXDJ5Q2WU&amp;reservation_id=31725661098184", "MXDJ5Q2WU")</f>
        <v>MXDJ5Q2WU</v>
      </c>
      <c r="B11193" t="s">
        <v>10</v>
      </c>
      <c r="C11193" t="s">
        <v>42</v>
      </c>
      <c r="D11193" t="str">
        <f>HYPERLINK("https://us2.cloudbeds.com/connect/10074733072513#/reservations/31725661098184?display=Michael%20Bohlman&amp;reservation_id=31725661098184&amp;guest_id=31725652873400", "Michael Bohlman")</f>
        <v>Michael Bohlman</v>
      </c>
      <c r="E11193" t="s">
        <v>10313</v>
      </c>
      <c r="F11193" t="s">
        <v>9463</v>
      </c>
      <c r="G11193">
        <v>438</v>
      </c>
      <c r="H11193">
        <v>476.12</v>
      </c>
      <c r="I11193">
        <v>476.11</v>
      </c>
      <c r="J11193">
        <v>0.01</v>
      </c>
    </row>
    <row r="11194" spans="1:10" x14ac:dyDescent="0.3">
      <c r="A11194" t="str">
        <f>HYPERLINK("https://us2.cloudbeds.com/connect/10074733072513#/reservations/31726340243602?display=MXE3HFAB3&amp;reservation_id=31726340243602", "MXE3HFAB3")</f>
        <v>MXE3HFAB3</v>
      </c>
      <c r="B11194" t="s">
        <v>10</v>
      </c>
      <c r="C11194" t="s">
        <v>23</v>
      </c>
      <c r="D11194" t="str">
        <f>HYPERLINK("https://us2.cloudbeds.com/connect/10074733072513#/reservations/31726340243602?display=Jason%20Eral&amp;reservation_id=31726340243602&amp;guest_id=31726340243600", "Jason Eral")</f>
        <v>Jason Eral</v>
      </c>
      <c r="E11194" t="s">
        <v>10314</v>
      </c>
      <c r="F11194" t="s">
        <v>8835</v>
      </c>
      <c r="G11194">
        <v>378</v>
      </c>
      <c r="H11194">
        <v>410.9</v>
      </c>
      <c r="I11194">
        <v>410.89</v>
      </c>
      <c r="J11194">
        <v>0.01</v>
      </c>
    </row>
    <row r="11195" spans="1:10" x14ac:dyDescent="0.3">
      <c r="A11195" t="str">
        <f>HYPERLINK("https://us2.cloudbeds.com/connect/10074733072513#/reservations/31726100377742?display=MXDUD6MRM&amp;reservation_id=31726100377742", "MXDUD6MRM")</f>
        <v>MXDUD6MRM</v>
      </c>
      <c r="B11195" t="s">
        <v>10</v>
      </c>
      <c r="C11195" t="s">
        <v>42</v>
      </c>
      <c r="D11195" t="str">
        <f>HYPERLINK("https://us2.cloudbeds.com/connect/10074733072513#/reservations/31726100377742?display=Gene%20Westebuhr&amp;reservation_id=31726100377742&amp;guest_id=31726100377739", "Gene Westebuhr")</f>
        <v>Gene Westebuhr</v>
      </c>
      <c r="E11195" t="s">
        <v>10315</v>
      </c>
      <c r="F11195" t="s">
        <v>9794</v>
      </c>
      <c r="G11195">
        <v>89</v>
      </c>
      <c r="H11195">
        <v>96.75</v>
      </c>
      <c r="I11195">
        <v>96.74</v>
      </c>
      <c r="J11195">
        <v>0.01</v>
      </c>
    </row>
    <row r="11196" spans="1:10" x14ac:dyDescent="0.3">
      <c r="A11196" t="str">
        <f>HYPERLINK("https://us2.cloudbeds.com/connect/10074733072513#/reservations/31727336411376?display=MXESWF4VB&amp;reservation_id=31727336411376", "MXESWF4VB")</f>
        <v>MXESWF4VB</v>
      </c>
      <c r="B11196" t="s">
        <v>10</v>
      </c>
      <c r="C11196" t="s">
        <v>23</v>
      </c>
      <c r="D11196" t="str">
        <f>HYPERLINK("https://us2.cloudbeds.com/connect/10074733072513#/reservations/31727336411376?display=Brian%20Kloss&amp;reservation_id=31727336411376&amp;guest_id=31727336411360", "Brian Kloss")</f>
        <v>Brian Kloss</v>
      </c>
      <c r="E11196" t="s">
        <v>10316</v>
      </c>
      <c r="F11196" t="s">
        <v>9794</v>
      </c>
      <c r="G11196">
        <v>139</v>
      </c>
      <c r="H11196">
        <v>151.1</v>
      </c>
      <c r="I11196">
        <v>151.09</v>
      </c>
      <c r="J11196">
        <v>0.01</v>
      </c>
    </row>
    <row r="11197" spans="1:10" x14ac:dyDescent="0.3">
      <c r="A11197" t="str">
        <f>HYPERLINK("https://us2.cloudbeds.com/connect/10074733072513#/reservations/31728927867087?display=MXG3YDZPW&amp;reservation_id=31728927867087", "MXG3YDZPW")</f>
        <v>MXG3YDZPW</v>
      </c>
      <c r="B11197" t="s">
        <v>10</v>
      </c>
      <c r="C11197" t="s">
        <v>42</v>
      </c>
      <c r="D11197" t="str">
        <f>HYPERLINK("https://us2.cloudbeds.com/connect/10074733072513#/reservations/31728927867087?display=Charlie%20Patterson&amp;reservation_id=31728927867087&amp;guest_id=31728919277757", "Charlie Patterson")</f>
        <v>Charlie Patterson</v>
      </c>
      <c r="E11197" t="s">
        <v>10317</v>
      </c>
      <c r="F11197" t="s">
        <v>10214</v>
      </c>
      <c r="G11197">
        <v>73</v>
      </c>
      <c r="H11197">
        <v>79.36</v>
      </c>
      <c r="I11197">
        <v>79.349999999999994</v>
      </c>
      <c r="J11197">
        <v>0.01</v>
      </c>
    </row>
    <row r="11198" spans="1:10" x14ac:dyDescent="0.3">
      <c r="A11198" t="str">
        <f>HYPERLINK("https://us2.cloudbeds.com/connect/10074733072513#/reservations/31726996312259?display=MXEK9MCTG&amp;reservation_id=31726996312259", "MXEK9MCTG")</f>
        <v>MXEK9MCTG</v>
      </c>
      <c r="B11198" t="s">
        <v>10</v>
      </c>
      <c r="C11198" t="s">
        <v>42</v>
      </c>
      <c r="D11198" t="str">
        <f>HYPERLINK("https://us2.cloudbeds.com/connect/10074733072513#/reservations/31726996312259?display=Chuck%20Yager&amp;reservation_id=31726996312259&amp;guest_id=31726988816600", "Chuck Yager")</f>
        <v>Chuck Yager</v>
      </c>
      <c r="E11198" t="s">
        <v>10318</v>
      </c>
      <c r="F11198" t="s">
        <v>10026</v>
      </c>
      <c r="G11198">
        <v>258</v>
      </c>
      <c r="H11198">
        <v>280.45999999999998</v>
      </c>
      <c r="I11198">
        <v>280.45</v>
      </c>
      <c r="J11198">
        <v>0.01</v>
      </c>
    </row>
    <row r="11199" spans="1:10" x14ac:dyDescent="0.3">
      <c r="A11199" t="str">
        <f>HYPERLINK("https://us2.cloudbeds.com/connect/10074733072513#/reservations/31726961348743?display=MXEJD6FR0&amp;reservation_id=31726961348743", "MXEJD6FR0")</f>
        <v>MXEJD6FR0</v>
      </c>
      <c r="B11199" t="s">
        <v>10</v>
      </c>
      <c r="C11199" t="s">
        <v>42</v>
      </c>
      <c r="D11199" t="str">
        <f>HYPERLINK("https://us2.cloudbeds.com/connect/10074733072513#/reservations/31726961348743?display=Tom%20Classen&amp;reservation_id=31726961348743&amp;guest_id=31726961348738", "Tom Classen")</f>
        <v>Tom Classen</v>
      </c>
      <c r="E11199" t="s">
        <v>10320</v>
      </c>
      <c r="F11199" t="s">
        <v>10026</v>
      </c>
      <c r="G11199">
        <v>278</v>
      </c>
      <c r="H11199">
        <v>302.2</v>
      </c>
      <c r="I11199">
        <v>302.19</v>
      </c>
      <c r="J11199">
        <v>0.01</v>
      </c>
    </row>
    <row r="11200" spans="1:10" x14ac:dyDescent="0.3">
      <c r="A11200" t="str">
        <f>HYPERLINK("https://us2.cloudbeds.com/connect/10074733072513#/reservations/31726007570580?display=MXDS0V6FE&amp;reservation_id=31726007570580", "MXDS0V6FE")</f>
        <v>MXDS0V6FE</v>
      </c>
      <c r="B11200" t="s">
        <v>10</v>
      </c>
      <c r="C11200" t="s">
        <v>42</v>
      </c>
      <c r="D11200" t="str">
        <f>HYPERLINK("https://us2.cloudbeds.com/connect/10074733072513#/reservations/31726007570580?display=Adam%20Hull&amp;reservation_id=31726007570580&amp;guest_id=31688951021811", "Adam Hull")</f>
        <v>Adam Hull</v>
      </c>
      <c r="E11200" t="s">
        <v>6474</v>
      </c>
      <c r="F11200" t="s">
        <v>10214</v>
      </c>
      <c r="G11200">
        <v>129</v>
      </c>
      <c r="H11200">
        <v>140.22999999999999</v>
      </c>
      <c r="I11200">
        <v>140.22</v>
      </c>
      <c r="J11200">
        <v>0.01</v>
      </c>
    </row>
    <row r="11201" spans="1:10" x14ac:dyDescent="0.3">
      <c r="A11201" t="str">
        <f>HYPERLINK("https://us2.cloudbeds.com/connect/10074733072513#/reservations/31725381136583?display=MXDC0NZY1&amp;reservation_id=31725381136583", "MXDC0NZY1")</f>
        <v>MXDC0NZY1</v>
      </c>
      <c r="B11201" t="s">
        <v>10</v>
      </c>
      <c r="C11201" t="s">
        <v>11</v>
      </c>
      <c r="D11201" t="str">
        <f>HYPERLINK("https://us2.cloudbeds.com/connect/10074733072513#/reservations/31725381136583?display=George%20Cunnington&amp;reservation_id=31725381136583&amp;guest_id=31725381136578", "George Cunnington")</f>
        <v>George Cunnington</v>
      </c>
      <c r="E11201" t="s">
        <v>10321</v>
      </c>
      <c r="F11201" t="s">
        <v>10322</v>
      </c>
      <c r="G11201">
        <v>393.3</v>
      </c>
      <c r="H11201">
        <v>427.53</v>
      </c>
      <c r="I11201">
        <v>427.52</v>
      </c>
      <c r="J11201">
        <v>0.01</v>
      </c>
    </row>
    <row r="11202" spans="1:10" x14ac:dyDescent="0.3">
      <c r="A11202" t="str">
        <f>HYPERLINK("https://us2.cloudbeds.com/connect/10074733072513#/reservations/31726064488619?display=MXDTFV0QG&amp;reservation_id=31726064488619", "MXDTFV0QG")</f>
        <v>MXDTFV0QG</v>
      </c>
      <c r="B11202" t="s">
        <v>10</v>
      </c>
      <c r="C11202" t="s">
        <v>121</v>
      </c>
      <c r="D11202" t="str">
        <f>HYPERLINK("https://us2.cloudbeds.com/connect/10074733072513#/reservations/31726064488619?display=Carson%20Green&amp;reservation_id=31726064488619&amp;guest_id=31726053458131", "Carson Green")</f>
        <v>Carson Green</v>
      </c>
      <c r="E11202" t="s">
        <v>10323</v>
      </c>
      <c r="F11202" t="s">
        <v>9794</v>
      </c>
      <c r="G11202">
        <v>129</v>
      </c>
      <c r="H11202">
        <v>140.22999999999999</v>
      </c>
      <c r="I11202">
        <v>140.22</v>
      </c>
      <c r="J11202">
        <v>0.01</v>
      </c>
    </row>
    <row r="11203" spans="1:10" x14ac:dyDescent="0.3">
      <c r="A11203" t="str">
        <f>HYPERLINK("https://us2.cloudbeds.com/connect/10074733072513#/reservations/31733143130366?display=MXJCBRYVS&amp;reservation_id=31733143130366", "MXJCBRYVS")</f>
        <v>MXJCBRYVS</v>
      </c>
      <c r="B11203" t="s">
        <v>10</v>
      </c>
      <c r="C11203" t="s">
        <v>42</v>
      </c>
      <c r="D11203" t="str">
        <f>HYPERLINK("https://us2.cloudbeds.com/connect/10074733072513#/reservations/31733143130366?display=Kelly%20Rogers&amp;reservation_id=31733143130366&amp;guest_id=31733143130312", "Kelly Rogers")</f>
        <v>Kelly Rogers</v>
      </c>
      <c r="E11203" t="s">
        <v>10324</v>
      </c>
      <c r="F11203" t="s">
        <v>9744</v>
      </c>
      <c r="G11203">
        <v>252</v>
      </c>
      <c r="H11203">
        <v>273.93</v>
      </c>
      <c r="I11203">
        <v>273.92</v>
      </c>
      <c r="J11203">
        <v>0.01</v>
      </c>
    </row>
    <row r="11204" spans="1:10" x14ac:dyDescent="0.3">
      <c r="A11204" t="str">
        <f>HYPERLINK("https://us2.cloudbeds.com/connect/10074733072513#/reservations/31728975995019?display=MXG4SWWD5&amp;reservation_id=31728975995019", "MXG4SWWD5")</f>
        <v>MXG4SWWD5</v>
      </c>
      <c r="B11204" t="s">
        <v>10</v>
      </c>
      <c r="C11204" t="s">
        <v>42</v>
      </c>
      <c r="D11204" t="str">
        <f>HYPERLINK("https://us2.cloudbeds.com/connect/10074733072513#/reservations/31728975995019?display=Mike%20Cain&amp;reservation_id=31728975995019&amp;guest_id=31728971751645", "Mike Cain")</f>
        <v>Mike Cain</v>
      </c>
      <c r="E11204" t="s">
        <v>10325</v>
      </c>
      <c r="F11204" t="s">
        <v>10214</v>
      </c>
      <c r="G11204">
        <v>73</v>
      </c>
      <c r="H11204">
        <v>79.36</v>
      </c>
      <c r="I11204">
        <v>79.349999999999994</v>
      </c>
      <c r="J11204">
        <v>0.01</v>
      </c>
    </row>
    <row r="11205" spans="1:10" x14ac:dyDescent="0.3">
      <c r="A11205" t="str">
        <f>HYPERLINK("https://us2.cloudbeds.com/connect/10074733072513#/reservations/31725578031242?display=MXDH1ZKQS&amp;reservation_id=31725578031242", "MXDH1ZKQS")</f>
        <v>MXDH1ZKQS</v>
      </c>
      <c r="B11205" t="s">
        <v>10</v>
      </c>
      <c r="C11205" t="s">
        <v>42</v>
      </c>
      <c r="D11205" t="str">
        <f>HYPERLINK("https://us2.cloudbeds.com/connect/10074733072513#/reservations/31725578031242?display=Laurie%20Sundall&amp;reservation_id=31725578031242&amp;guest_id=31725578027151", "Laurie Sundall")</f>
        <v>Laurie Sundall</v>
      </c>
      <c r="E11205" t="s">
        <v>10326</v>
      </c>
      <c r="F11205" t="s">
        <v>10026</v>
      </c>
      <c r="G11205">
        <v>278</v>
      </c>
      <c r="H11205">
        <v>302.2</v>
      </c>
      <c r="I11205">
        <v>302.19</v>
      </c>
      <c r="J11205">
        <v>0.01</v>
      </c>
    </row>
    <row r="11206" spans="1:10" x14ac:dyDescent="0.3">
      <c r="A11206" t="str">
        <f>HYPERLINK("https://us2.cloudbeds.com/connect/10074733072513#/reservations/31724070678736?display=MXCBHNAZ6&amp;reservation_id=31724070678736", "MXCBHNAZ6")</f>
        <v>MXCBHNAZ6</v>
      </c>
      <c r="B11206" t="s">
        <v>10</v>
      </c>
      <c r="C11206" t="s">
        <v>121</v>
      </c>
      <c r="D11206" t="str">
        <f>HYPERLINK("https://us2.cloudbeds.com/connect/10074733072513#/reservations/31724070678736?display=Brandy%20Beringer&amp;reservation_id=31724070678736&amp;guest_id=31724059640042", "Brandy Beringer")</f>
        <v>Brandy Beringer</v>
      </c>
      <c r="E11206" t="s">
        <v>10327</v>
      </c>
      <c r="F11206" t="s">
        <v>10214</v>
      </c>
      <c r="G11206">
        <v>129</v>
      </c>
      <c r="H11206">
        <v>140.22999999999999</v>
      </c>
      <c r="I11206">
        <v>140.22</v>
      </c>
      <c r="J11206">
        <v>0.01</v>
      </c>
    </row>
    <row r="11207" spans="1:10" x14ac:dyDescent="0.3">
      <c r="A11207" t="str">
        <f>HYPERLINK("https://us2.cloudbeds.com/connect/10074733072513#/reservations/31730245288140?display=MXH4A9UR2&amp;reservation_id=31730245288140", "MXH4A9UR2")</f>
        <v>MXH4A9UR2</v>
      </c>
      <c r="B11207" t="s">
        <v>10</v>
      </c>
      <c r="C11207" t="s">
        <v>17</v>
      </c>
      <c r="D11207" t="str">
        <f>HYPERLINK("https://us2.cloudbeds.com/connect/10074733072513#/reservations/31730245288140?display=Melanie%20Argo&amp;reservation_id=31730245288140&amp;guest_id=31730245284060", "Melanie Argo")</f>
        <v>Melanie Argo</v>
      </c>
      <c r="E11207" t="s">
        <v>10328</v>
      </c>
      <c r="F11207" t="s">
        <v>10299</v>
      </c>
      <c r="G11207">
        <v>149</v>
      </c>
      <c r="H11207">
        <v>161.97</v>
      </c>
      <c r="I11207">
        <v>161.96</v>
      </c>
      <c r="J11207">
        <v>0.01</v>
      </c>
    </row>
    <row r="11208" spans="1:10" x14ac:dyDescent="0.3">
      <c r="A11208" t="str">
        <f>HYPERLINK("https://us2.cloudbeds.com/connect/10074733072513#/reservations/31710938271998?display=MX25W3ZNS&amp;reservation_id=31710938271998", "MX25W3ZNS")</f>
        <v>MX25W3ZNS</v>
      </c>
      <c r="B11208" t="s">
        <v>10</v>
      </c>
      <c r="C11208" t="s">
        <v>42</v>
      </c>
      <c r="D11208" t="str">
        <f>HYPERLINK("https://us2.cloudbeds.com/connect/10074733072513#/reservations/31710938271998?display=Mr%20&amp;%20Mrs%20Hahn%20.&amp;reservation_id=31710938271998&amp;guest_id=31710923718818", "Mr &amp; Mrs Hahn .")</f>
        <v>Mr &amp; Mrs Hahn .</v>
      </c>
      <c r="E11208" t="s">
        <v>10329</v>
      </c>
      <c r="F11208" t="s">
        <v>10330</v>
      </c>
      <c r="G11208">
        <v>378</v>
      </c>
      <c r="H11208">
        <v>410.9</v>
      </c>
      <c r="I11208">
        <v>410.89</v>
      </c>
      <c r="J11208">
        <v>0.01</v>
      </c>
    </row>
    <row r="11209" spans="1:10" x14ac:dyDescent="0.3">
      <c r="A11209" t="str">
        <f>HYPERLINK("https://us2.cloudbeds.com/connect/10074733072513#/reservations/31726370222233?display=MXE49ZGUF&amp;reservation_id=31726370222233", "MXE49ZGUF")</f>
        <v>MXE49ZGUF</v>
      </c>
      <c r="B11209" t="s">
        <v>10</v>
      </c>
      <c r="C11209" t="s">
        <v>20</v>
      </c>
      <c r="D11209" t="str">
        <f>HYPERLINK("https://us2.cloudbeds.com/connect/10074733072513#/reservations/31726370222233?display=Kevin%20Mowery&amp;reservation_id=31726370222233&amp;guest_id=31726370222228", "Kevin Mowery")</f>
        <v>Kevin Mowery</v>
      </c>
      <c r="E11209" t="s">
        <v>10332</v>
      </c>
      <c r="F11209" t="s">
        <v>9445</v>
      </c>
      <c r="G11209">
        <v>318</v>
      </c>
      <c r="H11209">
        <v>345.68</v>
      </c>
      <c r="I11209">
        <v>345.67</v>
      </c>
      <c r="J11209">
        <v>0.01</v>
      </c>
    </row>
    <row r="11210" spans="1:10" x14ac:dyDescent="0.3">
      <c r="A11210" t="str">
        <f>HYPERLINK("https://us2.cloudbeds.com/connect/10074733072513#/reservations/31726019424427?display=MXDSAV1HU&amp;reservation_id=31726019424427", "MXDSAV1HU")</f>
        <v>MXDSAV1HU</v>
      </c>
      <c r="B11210" t="s">
        <v>10</v>
      </c>
      <c r="C11210" t="s">
        <v>23</v>
      </c>
      <c r="D11210" t="str">
        <f>HYPERLINK("https://us2.cloudbeds.com/connect/10074733072513#/reservations/31726019424427?display=Dorothy%20M%20Cubrich&amp;reservation_id=31726019424427&amp;guest_id=31726007574682", "Dorothy M Cubrich")</f>
        <v>Dorothy M Cubrich</v>
      </c>
      <c r="E11210" t="s">
        <v>10333</v>
      </c>
      <c r="F11210" t="s">
        <v>10214</v>
      </c>
      <c r="G11210">
        <v>159</v>
      </c>
      <c r="H11210">
        <v>172.84</v>
      </c>
      <c r="I11210">
        <v>172.83</v>
      </c>
      <c r="J11210">
        <v>0.01</v>
      </c>
    </row>
    <row r="11211" spans="1:10" x14ac:dyDescent="0.3">
      <c r="A11211" t="str">
        <f>HYPERLINK("https://us2.cloudbeds.com/connect/10074733072513#/reservations/31729948483789?display=MXGTZ0U6R&amp;reservation_id=31729948483789", "MXGTZ0U6R")</f>
        <v>MXGTZ0U6R</v>
      </c>
      <c r="B11211" t="s">
        <v>10</v>
      </c>
      <c r="C11211" t="s">
        <v>42</v>
      </c>
      <c r="D11211" t="str">
        <f>HYPERLINK("https://us2.cloudbeds.com/connect/10074733072513#/reservations/31729948483789?display=Mary%20Johnson&amp;reservation_id=31729948483789&amp;guest_id=31729948483784", "Mary Johnson")</f>
        <v>Mary Johnson</v>
      </c>
      <c r="E11211" t="s">
        <v>10334</v>
      </c>
      <c r="F11211" t="s">
        <v>8918</v>
      </c>
      <c r="G11211">
        <v>209</v>
      </c>
      <c r="H11211">
        <v>227.19</v>
      </c>
      <c r="I11211">
        <v>227.18</v>
      </c>
      <c r="J11211">
        <v>0.01</v>
      </c>
    </row>
    <row r="11212" spans="1:10" x14ac:dyDescent="0.3">
      <c r="A11212" t="str">
        <f>HYPERLINK("https://us2.cloudbeds.com/connect/10074733072513#/reservations/31733203263724?display=MXJDTHVRR&amp;reservation_id=31733203263724", "MXJDTHVRR")</f>
        <v>MXJDTHVRR</v>
      </c>
      <c r="B11212" t="s">
        <v>10</v>
      </c>
      <c r="C11212" t="s">
        <v>11</v>
      </c>
      <c r="D11212" t="str">
        <f>HYPERLINK("https://us2.cloudbeds.com/connect/10074733072513#/reservations/31733203263724?display=Sarah%20Giorgi&amp;reservation_id=31733203263724&amp;guest_id=31733203263718", "Sarah Giorgi")</f>
        <v>Sarah Giorgi</v>
      </c>
      <c r="E11212" t="s">
        <v>10338</v>
      </c>
      <c r="F11212" t="s">
        <v>10299</v>
      </c>
      <c r="G11212">
        <v>102.58</v>
      </c>
      <c r="H11212">
        <v>111.51</v>
      </c>
      <c r="I11212">
        <v>111.5</v>
      </c>
      <c r="J11212">
        <v>0.01</v>
      </c>
    </row>
    <row r="11213" spans="1:10" x14ac:dyDescent="0.3">
      <c r="A11213" t="str">
        <f>HYPERLINK("https://us2.cloudbeds.com/connect/10074733072513#/reservations/31730184704167?display=MXH2P7353&amp;reservation_id=31730184704167", "MXH2P7353")</f>
        <v>MXH2P7353</v>
      </c>
      <c r="B11213" t="s">
        <v>10</v>
      </c>
      <c r="C11213" t="s">
        <v>20</v>
      </c>
      <c r="D11213" t="str">
        <f>HYPERLINK("https://us2.cloudbeds.com/connect/10074733072513#/reservations/31730184704167?display=Larry%20Grunke&amp;reservation_id=31730184704167&amp;guest_id=31730184704150", "Larry Grunke")</f>
        <v>Larry Grunke</v>
      </c>
      <c r="E11213" t="s">
        <v>10339</v>
      </c>
      <c r="F11213" t="s">
        <v>10299</v>
      </c>
      <c r="G11213">
        <v>119</v>
      </c>
      <c r="H11213">
        <v>129.36000000000001</v>
      </c>
      <c r="I11213">
        <v>129.35</v>
      </c>
      <c r="J11213">
        <v>0.01</v>
      </c>
    </row>
    <row r="11214" spans="1:10" x14ac:dyDescent="0.3">
      <c r="A11214" t="str">
        <f>HYPERLINK("https://us2.cloudbeds.com/connect/10074733072513#/reservations/31727424028852?display=MXEV7B7PC&amp;reservation_id=31727424028852", "MXEV7B7PC")</f>
        <v>MXEV7B7PC</v>
      </c>
      <c r="B11214" t="s">
        <v>10</v>
      </c>
      <c r="C11214" t="s">
        <v>23</v>
      </c>
      <c r="D11214" t="str">
        <f>HYPERLINK("https://us2.cloudbeds.com/connect/10074733072513#/reservations/31727424028852?display=Scott%20Carroll&amp;reservation_id=31727424028852&amp;guest_id=31727424028847", "Scott Carroll")</f>
        <v>Scott Carroll</v>
      </c>
      <c r="E11214" t="s">
        <v>10340</v>
      </c>
      <c r="F11214" t="s">
        <v>10305</v>
      </c>
      <c r="G11214">
        <v>119</v>
      </c>
      <c r="H11214">
        <v>129.36000000000001</v>
      </c>
      <c r="I11214">
        <v>129.35</v>
      </c>
      <c r="J11214">
        <v>0.01</v>
      </c>
    </row>
    <row r="11215" spans="1:10" x14ac:dyDescent="0.3">
      <c r="A11215" t="str">
        <f>HYPERLINK("https://us2.cloudbeds.com/connect/10074733072513#/reservations/31725697360039?display=MXDK3C49W&amp;reservation_id=31725697360039", "MXDK3C49W")</f>
        <v>MXDK3C49W</v>
      </c>
      <c r="B11215" t="s">
        <v>10</v>
      </c>
      <c r="C11215" t="s">
        <v>42</v>
      </c>
      <c r="D11215" t="str">
        <f>HYPERLINK("https://us2.cloudbeds.com/connect/10074733072513#/reservations/31725697360039?display=Jeremy%20Higgins&amp;reservation_id=31725697360039&amp;guest_id=31724766662876", "Jeremy Higgins")</f>
        <v>Jeremy Higgins</v>
      </c>
      <c r="E11215" t="s">
        <v>10341</v>
      </c>
      <c r="F11215" t="s">
        <v>10342</v>
      </c>
      <c r="G11215">
        <v>179</v>
      </c>
      <c r="H11215">
        <v>194.58</v>
      </c>
      <c r="I11215">
        <v>194.57</v>
      </c>
      <c r="J11215">
        <v>0.01</v>
      </c>
    </row>
    <row r="11216" spans="1:10" x14ac:dyDescent="0.3">
      <c r="A11216" t="str">
        <f>HYPERLINK("https://us2.cloudbeds.com/connect/10074733072513#/reservations/31730255888568?display=MXH4J7TU5&amp;reservation_id=31730255888568", "MXH4J7TU5")</f>
        <v>MXH4J7TU5</v>
      </c>
      <c r="B11216" t="s">
        <v>10</v>
      </c>
      <c r="C11216" t="s">
        <v>11</v>
      </c>
      <c r="D11216" t="str">
        <f>HYPERLINK("https://us2.cloudbeds.com/connect/10074733072513#/reservations/31730255888568?display=Kimberley%20Brown&amp;reservation_id=31730255888568&amp;guest_id=31730255888563", "Kimberley Brown")</f>
        <v>Kimberley Brown</v>
      </c>
      <c r="E11216" t="s">
        <v>10343</v>
      </c>
      <c r="F11216" t="s">
        <v>10299</v>
      </c>
      <c r="G11216">
        <v>87.82</v>
      </c>
      <c r="H11216">
        <v>95.47</v>
      </c>
      <c r="I11216">
        <v>95.46</v>
      </c>
      <c r="J11216">
        <v>0.01</v>
      </c>
    </row>
    <row r="11217" spans="1:10" x14ac:dyDescent="0.3">
      <c r="A11217" t="str">
        <f>HYPERLINK("https://us2.cloudbeds.com/connect/10074733072513#/reservations/31724766662879?display=MXCTAJ3KP&amp;reservation_id=31724766662879", "MXCTAJ3KP")</f>
        <v>MXCTAJ3KP</v>
      </c>
      <c r="B11217" t="s">
        <v>10</v>
      </c>
      <c r="C11217" t="s">
        <v>42</v>
      </c>
      <c r="D11217" t="str">
        <f>HYPERLINK("https://us2.cloudbeds.com/connect/10074733072513#/reservations/31724766662879?display=Jeremy%20Higgins&amp;reservation_id=31724766662879&amp;guest_id=31724766662876", "Jeremy Higgins")</f>
        <v>Jeremy Higgins</v>
      </c>
      <c r="E11217" t="s">
        <v>10341</v>
      </c>
      <c r="F11217" t="s">
        <v>9463</v>
      </c>
      <c r="G11217">
        <v>209</v>
      </c>
      <c r="H11217">
        <v>227.19</v>
      </c>
      <c r="I11217">
        <v>227.18</v>
      </c>
      <c r="J11217">
        <v>0.01</v>
      </c>
    </row>
    <row r="11218" spans="1:10" x14ac:dyDescent="0.3">
      <c r="A11218" t="str">
        <f>HYPERLINK("https://us2.cloudbeds.com/connect/10074733072513#/reservations/31724751061120?display=MXCSG477H&amp;reservation_id=31724751061120", "MXCSG477H")</f>
        <v>MXCSG477H</v>
      </c>
      <c r="B11218" t="s">
        <v>10</v>
      </c>
      <c r="C11218" t="s">
        <v>42</v>
      </c>
      <c r="D11218" t="str">
        <f>HYPERLINK("https://us2.cloudbeds.com/connect/10074733072513#/reservations/31724751061120?display=Zach%20Herman&amp;reservation_id=31724751061120&amp;guest_id=31724734107874", "Zach Herman")</f>
        <v>Zach Herman</v>
      </c>
      <c r="E11218" t="s">
        <v>10344</v>
      </c>
      <c r="F11218" t="s">
        <v>9463</v>
      </c>
      <c r="G11218">
        <v>236.7</v>
      </c>
      <c r="H11218">
        <v>257.3</v>
      </c>
      <c r="I11218">
        <v>257.29000000000002</v>
      </c>
      <c r="J11218">
        <v>0.01</v>
      </c>
    </row>
    <row r="11219" spans="1:10" x14ac:dyDescent="0.3">
      <c r="A11219" t="str">
        <f>HYPERLINK("https://us2.cloudbeds.com/connect/10074733072513#/reservations/31729305723088?display=MXGDA14WR&amp;reservation_id=31729305723088", "MXGDA14WR")</f>
        <v>MXGDA14WR</v>
      </c>
      <c r="B11219" t="s">
        <v>10</v>
      </c>
      <c r="C11219" t="s">
        <v>11</v>
      </c>
      <c r="D11219" t="str">
        <f>HYPERLINK("https://us2.cloudbeds.com/connect/10074733072513#/reservations/31729305723088?display=Nick%20Cantrell&amp;reservation_id=31729305723088&amp;guest_id=31729288188097", "Nick Cantrell")</f>
        <v>Nick Cantrell</v>
      </c>
      <c r="E11219" t="s">
        <v>10345</v>
      </c>
      <c r="F11219" t="s">
        <v>9627</v>
      </c>
      <c r="G11219">
        <v>87.82</v>
      </c>
      <c r="H11219">
        <v>95.47</v>
      </c>
      <c r="I11219">
        <v>95.46</v>
      </c>
      <c r="J11219">
        <v>0.01</v>
      </c>
    </row>
    <row r="11220" spans="1:10" x14ac:dyDescent="0.3">
      <c r="A11220" t="str">
        <f>HYPERLINK("https://us2.cloudbeds.com/connect/10074733072513#/reservations/31729123098764?display=MXG8Y1BTD&amp;reservation_id=31729123098764", "MXG8Y1BTD")</f>
        <v>MXG8Y1BTD</v>
      </c>
      <c r="B11220" t="s">
        <v>10</v>
      </c>
      <c r="C11220" t="s">
        <v>42</v>
      </c>
      <c r="D11220" t="str">
        <f>HYPERLINK("https://us2.cloudbeds.com/connect/10074733072513#/reservations/31729123098764?display=Tim%20Arens&amp;reservation_id=31729123098764&amp;guest_id=31712093528300", "Tim Arens")</f>
        <v>Tim Arens</v>
      </c>
      <c r="E11220" t="s">
        <v>9473</v>
      </c>
      <c r="F11220" t="s">
        <v>10202</v>
      </c>
      <c r="G11220">
        <v>89</v>
      </c>
      <c r="H11220">
        <v>96.75</v>
      </c>
      <c r="I11220">
        <v>96.74</v>
      </c>
      <c r="J11220">
        <v>0.01</v>
      </c>
    </row>
    <row r="11221" spans="1:10" x14ac:dyDescent="0.3">
      <c r="A11221" t="str">
        <f>HYPERLINK("https://us2.cloudbeds.com/connect/10074733072513#/reservations/31729214587041?display=MXGAW655E&amp;reservation_id=31729214587041", "MXGAW655E")</f>
        <v>MXGAW655E</v>
      </c>
      <c r="B11221" t="s">
        <v>10</v>
      </c>
      <c r="C11221" t="s">
        <v>23</v>
      </c>
      <c r="D11221" t="str">
        <f>HYPERLINK("https://us2.cloudbeds.com/connect/10074733072513#/reservations/31729214587041?display=Andrew%20Webster&amp;reservation_id=31729214587041&amp;guest_id=31729214587039", "Andrew Webster")</f>
        <v>Andrew Webster</v>
      </c>
      <c r="E11221" t="s">
        <v>10349</v>
      </c>
      <c r="F11221" t="s">
        <v>9627</v>
      </c>
      <c r="G11221">
        <v>149</v>
      </c>
      <c r="H11221">
        <v>161.97</v>
      </c>
      <c r="I11221">
        <v>161.96</v>
      </c>
      <c r="J11221">
        <v>0.01</v>
      </c>
    </row>
    <row r="11222" spans="1:10" x14ac:dyDescent="0.3">
      <c r="A11222" t="str">
        <f>HYPERLINK("https://us2.cloudbeds.com/connect/10074733072513#/reservations/31729203671239?display=MXGAMWDFX&amp;reservation_id=31729203671239", "MXGAMWDFX")</f>
        <v>MXGAMWDFX</v>
      </c>
      <c r="B11222" t="s">
        <v>10</v>
      </c>
      <c r="C11222" t="s">
        <v>14</v>
      </c>
      <c r="D11222" t="str">
        <f>HYPERLINK("https://us2.cloudbeds.com/connect/10074733072513#/reservations/31729203671239?display=Dominick%20Snells&amp;reservation_id=31729203671239&amp;guest_id=31729203671235", "Dominick Snells")</f>
        <v>Dominick Snells</v>
      </c>
      <c r="E11222" t="s">
        <v>10350</v>
      </c>
      <c r="F11222" t="s">
        <v>9627</v>
      </c>
      <c r="G11222">
        <v>102.58</v>
      </c>
      <c r="H11222">
        <v>111.51</v>
      </c>
      <c r="I11222">
        <v>111.5</v>
      </c>
      <c r="J11222">
        <v>0.01</v>
      </c>
    </row>
    <row r="11223" spans="1:10" x14ac:dyDescent="0.3">
      <c r="A11223" t="str">
        <f>HYPERLINK("https://us2.cloudbeds.com/connect/10074733072513#/reservations/31727649251555?display=MXF3W8CRP&amp;reservation_id=31727649251555", "MXF3W8CRP")</f>
        <v>MXF3W8CRP</v>
      </c>
      <c r="B11223" t="s">
        <v>10</v>
      </c>
      <c r="C11223" t="s">
        <v>42</v>
      </c>
      <c r="D11223" t="str">
        <f>HYPERLINK("https://us2.cloudbeds.com/connect/10074733072513#/reservations/31727649251555?display=Arlen%20Mcdaniel&amp;reservation_id=31727649251555&amp;guest_id=31727639122119", "Arlen Mcdaniel")</f>
        <v>Arlen Mcdaniel</v>
      </c>
      <c r="E11223" t="s">
        <v>10352</v>
      </c>
      <c r="F11223" t="s">
        <v>9627</v>
      </c>
      <c r="G11223">
        <v>119</v>
      </c>
      <c r="H11223">
        <v>129.36000000000001</v>
      </c>
      <c r="I11223">
        <v>129.35</v>
      </c>
      <c r="J11223">
        <v>0.01</v>
      </c>
    </row>
    <row r="11224" spans="1:10" x14ac:dyDescent="0.3">
      <c r="A11224" t="str">
        <f>HYPERLINK("https://us2.cloudbeds.com/connect/10074733072513#/reservations/31727669186711?display=MXF4G23PD&amp;reservation_id=31727669186711", "MXF4G23PD")</f>
        <v>MXF4G23PD</v>
      </c>
      <c r="B11224" t="s">
        <v>10</v>
      </c>
      <c r="C11224" t="s">
        <v>11</v>
      </c>
      <c r="D11224" t="str">
        <f>HYPERLINK("https://us2.cloudbeds.com/connect/10074733072513#/reservations/31727669186711?display=Kevin%20Schonewill&amp;reservation_id=31727669186711&amp;guest_id=31727669186706", "Kevin Schonewill")</f>
        <v>Kevin Schonewill</v>
      </c>
      <c r="E11224" t="s">
        <v>10353</v>
      </c>
      <c r="F11224" t="s">
        <v>9627</v>
      </c>
      <c r="G11224">
        <v>87.82</v>
      </c>
      <c r="H11224">
        <v>95.47</v>
      </c>
      <c r="I11224">
        <v>95.46</v>
      </c>
      <c r="J11224">
        <v>0.01</v>
      </c>
    </row>
    <row r="11225" spans="1:10" x14ac:dyDescent="0.3">
      <c r="A11225" t="str">
        <f>HYPERLINK("https://us2.cloudbeds.com/connect/10074733072513#/reservations/31727698354400?display=MXF57YZMP&amp;reservation_id=31727698354400", "MXF57YZMP")</f>
        <v>MXF57YZMP</v>
      </c>
      <c r="B11225" t="s">
        <v>10</v>
      </c>
      <c r="C11225" t="s">
        <v>14</v>
      </c>
      <c r="D11225" t="str">
        <f>HYPERLINK("https://us2.cloudbeds.com/connect/10074733072513#/reservations/31727698354400?display=Tom%20Schumacher&amp;reservation_id=31727698354400&amp;guest_id=31727698350306", "Tom Schumacher")</f>
        <v>Tom Schumacher</v>
      </c>
      <c r="E11225" t="s">
        <v>10355</v>
      </c>
      <c r="F11225" t="s">
        <v>10299</v>
      </c>
      <c r="G11225">
        <v>87.82</v>
      </c>
      <c r="H11225">
        <v>95.47</v>
      </c>
      <c r="I11225">
        <v>95.46</v>
      </c>
      <c r="J11225">
        <v>0.01</v>
      </c>
    </row>
    <row r="11226" spans="1:10" x14ac:dyDescent="0.3">
      <c r="A11226" t="str">
        <f>HYPERLINK("https://us2.cloudbeds.com/connect/10074733072513#/reservations/31730628669614?display=MXHE3J2UG&amp;reservation_id=31730628669614", "MXHE3J2UG")</f>
        <v>MXHE3J2UG</v>
      </c>
      <c r="B11226" t="s">
        <v>10</v>
      </c>
      <c r="C11226" t="s">
        <v>42</v>
      </c>
      <c r="D11226" t="str">
        <f>HYPERLINK("https://us2.cloudbeds.com/connect/10074733072513#/reservations/31730628669614?display=Nick%20Sherman&amp;reservation_id=31730628669614&amp;guest_id=31723967779048", "Nick Sherman")</f>
        <v>Nick Sherman</v>
      </c>
      <c r="E11226" t="s">
        <v>9425</v>
      </c>
      <c r="F11226" t="s">
        <v>10242</v>
      </c>
      <c r="G11226">
        <v>336</v>
      </c>
      <c r="H11226">
        <v>365.24</v>
      </c>
      <c r="I11226">
        <v>365.23</v>
      </c>
      <c r="J11226">
        <v>0.01</v>
      </c>
    </row>
    <row r="11227" spans="1:10" x14ac:dyDescent="0.3">
      <c r="A11227" t="str">
        <f>HYPERLINK("https://us2.cloudbeds.com/connect/10074733072513#/reservations/31725929906384?display=MXDQ1F2FV&amp;reservation_id=31725929906384", "MXDQ1F2FV")</f>
        <v>MXDQ1F2FV</v>
      </c>
      <c r="B11227" t="s">
        <v>10</v>
      </c>
      <c r="C11227" t="s">
        <v>23</v>
      </c>
      <c r="D11227" t="str">
        <f>HYPERLINK("https://us2.cloudbeds.com/connect/10074733072513#/reservations/31725929906384?display=Taylor%20Ruen&amp;reservation_id=31725929906384&amp;guest_id=31725929902330", "Taylor Ruen")</f>
        <v>Taylor Ruen</v>
      </c>
      <c r="E11227" t="s">
        <v>10356</v>
      </c>
      <c r="F11227" t="s">
        <v>8835</v>
      </c>
      <c r="G11227">
        <v>179</v>
      </c>
      <c r="H11227">
        <v>194.58</v>
      </c>
      <c r="I11227">
        <v>194.57</v>
      </c>
      <c r="J11227">
        <v>0.01</v>
      </c>
    </row>
    <row r="11228" spans="1:10" x14ac:dyDescent="0.3">
      <c r="A11228" t="str">
        <f>HYPERLINK("https://us2.cloudbeds.com/connect/10074733072513#/reservations/31725929902288?display=MXDQ1EVNR&amp;reservation_id=31725929902288", "MXDQ1EVNR")</f>
        <v>MXDQ1EVNR</v>
      </c>
      <c r="B11228" t="s">
        <v>10</v>
      </c>
      <c r="C11228" t="s">
        <v>17</v>
      </c>
      <c r="D11228" t="str">
        <f>HYPERLINK("https://us2.cloudbeds.com/connect/10074733072513#/reservations/31725929902288?display=Erick%20Dabbs&amp;reservation_id=31725929902288&amp;guest_id=31694796468396", "Erick Dabbs")</f>
        <v>Erick Dabbs</v>
      </c>
      <c r="E11228" t="s">
        <v>8256</v>
      </c>
      <c r="F11228" t="s">
        <v>9744</v>
      </c>
      <c r="G11228">
        <v>358</v>
      </c>
      <c r="H11228">
        <v>389.16</v>
      </c>
      <c r="I11228">
        <v>389.15</v>
      </c>
      <c r="J11228">
        <v>0.01</v>
      </c>
    </row>
    <row r="11229" spans="1:10" x14ac:dyDescent="0.3">
      <c r="A11229" t="str">
        <f>HYPERLINK("https://us2.cloudbeds.com/connect/10074733072513#/reservations/31724123521248?display=MXCCT8ZKE&amp;reservation_id=31724123521248", "MXCCT8ZKE")</f>
        <v>MXCCT8ZKE</v>
      </c>
      <c r="B11229" t="s">
        <v>10</v>
      </c>
      <c r="C11229" t="s">
        <v>42</v>
      </c>
      <c r="D11229" t="str">
        <f>HYPERLINK("https://us2.cloudbeds.com/connect/10074733072513#/reservations/31724123521248?display=Drew%20Kouris&amp;reservation_id=31724123521248&amp;guest_id=31724123521246", "Drew Kouris")</f>
        <v>Drew Kouris</v>
      </c>
      <c r="E11229" t="s">
        <v>10357</v>
      </c>
      <c r="F11229" t="s">
        <v>9713</v>
      </c>
      <c r="G11229">
        <v>322.2</v>
      </c>
      <c r="H11229">
        <v>350.24</v>
      </c>
      <c r="I11229">
        <v>350.23</v>
      </c>
      <c r="J11229">
        <v>0.01</v>
      </c>
    </row>
    <row r="11230" spans="1:10" x14ac:dyDescent="0.3">
      <c r="A11230" t="str">
        <f>HYPERLINK("https://us2.cloudbeds.com/connect/10074733072513#/reservations/31728281993352?display=MXFK4QBVK&amp;reservation_id=31728281993352", "MXFK4QBVK")</f>
        <v>MXFK4QBVK</v>
      </c>
      <c r="B11230" t="s">
        <v>10</v>
      </c>
      <c r="C11230" t="s">
        <v>42</v>
      </c>
      <c r="D11230" t="str">
        <f>HYPERLINK("https://us2.cloudbeds.com/connect/10074733072513#/reservations/31728281993352?display=Dan%20Perseke&amp;reservation_id=31728281993352&amp;guest_id=31715433828535", "Dan Perseke")</f>
        <v>Dan Perseke</v>
      </c>
      <c r="E11230" t="s">
        <v>10360</v>
      </c>
      <c r="F11230" t="s">
        <v>9744</v>
      </c>
      <c r="G11230">
        <v>252</v>
      </c>
      <c r="H11230">
        <v>273.93</v>
      </c>
      <c r="I11230">
        <v>273.92</v>
      </c>
      <c r="J11230">
        <v>0.01</v>
      </c>
    </row>
    <row r="11231" spans="1:10" x14ac:dyDescent="0.3">
      <c r="A11231" t="str">
        <f>HYPERLINK("https://us2.cloudbeds.com/connect/10074733072513#/reservations/31722329096343?display=MXB0157H5&amp;reservation_id=31722329096343", "MXB0157H5")</f>
        <v>MXB0157H5</v>
      </c>
      <c r="B11231" t="s">
        <v>10</v>
      </c>
      <c r="C11231" t="s">
        <v>42</v>
      </c>
      <c r="D11231" t="str">
        <f>HYPERLINK("https://us2.cloudbeds.com/connect/10074733072513#/reservations/31722329096343?display=Karen%20Cleveland&amp;reservation_id=31722329096343&amp;guest_id=31722329096322", "Karen Cleveland")</f>
        <v>Karen Cleveland</v>
      </c>
      <c r="E11231" t="s">
        <v>10362</v>
      </c>
      <c r="F11231" t="s">
        <v>7649</v>
      </c>
      <c r="G11231">
        <v>149</v>
      </c>
      <c r="H11231">
        <v>161.97</v>
      </c>
      <c r="I11231">
        <v>161.96</v>
      </c>
      <c r="J11231">
        <v>0.01</v>
      </c>
    </row>
    <row r="11232" spans="1:10" x14ac:dyDescent="0.3">
      <c r="A11232" t="str">
        <f>HYPERLINK("https://us2.cloudbeds.com/connect/10074733072513#/reservations/31722316734621?display=MXAWNZ82H&amp;reservation_id=31722316734621", "MXAWNZ82H")</f>
        <v>MXAWNZ82H</v>
      </c>
      <c r="B11232" t="s">
        <v>10</v>
      </c>
      <c r="C11232" t="s">
        <v>42</v>
      </c>
      <c r="D11232" t="str">
        <f>HYPERLINK("https://us2.cloudbeds.com/connect/10074733072513#/reservations/31722316734621?display=John%20Severson&amp;reservation_id=31722316734621&amp;guest_id=31722316734616", "John Severson")</f>
        <v>John Severson</v>
      </c>
      <c r="E11232" t="s">
        <v>10363</v>
      </c>
      <c r="F11232" t="s">
        <v>7649</v>
      </c>
      <c r="G11232">
        <v>149</v>
      </c>
      <c r="H11232">
        <v>161.97</v>
      </c>
      <c r="I11232">
        <v>161.96</v>
      </c>
      <c r="J11232">
        <v>0.01</v>
      </c>
    </row>
    <row r="11233" spans="1:10" x14ac:dyDescent="0.3">
      <c r="A11233" t="str">
        <f>HYPERLINK("https://us2.cloudbeds.com/connect/10074733072513#/reservations/31729336266914?display=MXGE2Q2JA&amp;reservation_id=31729336266914", "MXGE2Q2JA")</f>
        <v>MXGE2Q2JA</v>
      </c>
      <c r="B11233" t="s">
        <v>10</v>
      </c>
      <c r="C11233" t="s">
        <v>23</v>
      </c>
      <c r="D11233" t="str">
        <f>HYPERLINK("https://us2.cloudbeds.com/connect/10074733072513#/reservations/31729336266914?display=Erik%20Olson&amp;reservation_id=31729336266914&amp;guest_id=31729319366794", "Erik Olson")</f>
        <v>Erik Olson</v>
      </c>
      <c r="E11233" t="s">
        <v>10364</v>
      </c>
      <c r="F11233" t="s">
        <v>10305</v>
      </c>
      <c r="G11233">
        <v>149</v>
      </c>
      <c r="H11233">
        <v>161.97</v>
      </c>
      <c r="I11233">
        <v>161.96</v>
      </c>
      <c r="J11233">
        <v>0.01</v>
      </c>
    </row>
    <row r="11234" spans="1:10" x14ac:dyDescent="0.3">
      <c r="A11234" t="str">
        <f>HYPERLINK("https://us2.cloudbeds.com/connect/10074733072513#/reservations/31729803624648?display=MXGQ0SWST&amp;reservation_id=31729803624648", "MXGQ0SWST")</f>
        <v>MXGQ0SWST</v>
      </c>
      <c r="B11234" t="s">
        <v>10</v>
      </c>
      <c r="C11234" t="s">
        <v>11</v>
      </c>
      <c r="D11234" t="str">
        <f>HYPERLINK("https://us2.cloudbeds.com/connect/10074733072513#/reservations/31729803624648?display=Holly%20Crosby&amp;reservation_id=31729803624648&amp;guest_id=31729798467804", "Holly Crosby")</f>
        <v>Holly Crosby</v>
      </c>
      <c r="E11234" t="s">
        <v>10365</v>
      </c>
      <c r="F11234" t="s">
        <v>9445</v>
      </c>
      <c r="G11234">
        <v>159</v>
      </c>
      <c r="H11234">
        <v>172.84</v>
      </c>
      <c r="I11234">
        <v>172.83</v>
      </c>
      <c r="J11234">
        <v>0.01</v>
      </c>
    </row>
    <row r="11235" spans="1:10" x14ac:dyDescent="0.3">
      <c r="A11235" t="str">
        <f>HYPERLINK("https://us2.cloudbeds.com/connect/10074733072513#/reservations/31724168659076?display=MXCE1APGD&amp;reservation_id=31724168659076", "MXCE1APGD")</f>
        <v>MXCE1APGD</v>
      </c>
      <c r="B11235" t="s">
        <v>10</v>
      </c>
      <c r="C11235" t="s">
        <v>42</v>
      </c>
      <c r="D11235" t="str">
        <f>HYPERLINK("https://us2.cloudbeds.com/connect/10074733072513#/reservations/31724168659076?display=Jenifer%20Mees&amp;reservation_id=31724168659076&amp;guest_id=31716523278534", "Jenifer Mees")</f>
        <v>Jenifer Mees</v>
      </c>
      <c r="E11235" t="s">
        <v>10367</v>
      </c>
      <c r="F11235" t="s">
        <v>9713</v>
      </c>
      <c r="G11235">
        <v>338</v>
      </c>
      <c r="H11235">
        <v>367.42</v>
      </c>
      <c r="I11235">
        <v>367.41</v>
      </c>
      <c r="J11235">
        <v>0.01</v>
      </c>
    </row>
    <row r="11236" spans="1:10" x14ac:dyDescent="0.3">
      <c r="A11236" t="str">
        <f>HYPERLINK("https://us2.cloudbeds.com/connect/10074733072513#/reservations/31730478555335?display=MXHA8WUUV&amp;reservation_id=31730478555335", "MXHA8WUUV")</f>
        <v>MXHA8WUUV</v>
      </c>
      <c r="B11236" t="s">
        <v>10</v>
      </c>
      <c r="C11236" t="s">
        <v>20</v>
      </c>
      <c r="D11236" t="str">
        <f>HYPERLINK("https://us2.cloudbeds.com/connect/10074733072513#/reservations/31730478555335?display=Chuck%20Busse&amp;reservation_id=31730478555335&amp;guest_id=31730462044399", "Chuck Busse")</f>
        <v>Chuck Busse</v>
      </c>
      <c r="E11236" t="s">
        <v>10368</v>
      </c>
      <c r="F11236" t="s">
        <v>10258</v>
      </c>
      <c r="G11236">
        <v>238</v>
      </c>
      <c r="H11236">
        <v>258.72000000000003</v>
      </c>
      <c r="I11236">
        <v>258.70999999999998</v>
      </c>
      <c r="J11236">
        <v>0.01</v>
      </c>
    </row>
    <row r="11237" spans="1:10" x14ac:dyDescent="0.3">
      <c r="A11237" t="str">
        <f>HYPERLINK("https://us2.cloudbeds.com/connect/10074733072513#/reservations/31729555378390?display=MXGJMX5T0&amp;reservation_id=31729555378390", "MXGJMX5T0")</f>
        <v>MXGJMX5T0</v>
      </c>
      <c r="B11237" t="s">
        <v>10</v>
      </c>
      <c r="C11237" t="s">
        <v>42</v>
      </c>
      <c r="D11237" t="str">
        <f>HYPERLINK("https://us2.cloudbeds.com/connect/10074733072513#/reservations/31729555378390?display=Brooke%20Skoblund&amp;reservation_id=31729555378390&amp;guest_id=31729555378378", "Brooke Skoblund")</f>
        <v>Brooke Skoblund</v>
      </c>
      <c r="E11237" t="s">
        <v>10369</v>
      </c>
      <c r="F11237" t="s">
        <v>10305</v>
      </c>
      <c r="G11237">
        <v>189</v>
      </c>
      <c r="H11237">
        <v>205.45</v>
      </c>
      <c r="I11237">
        <v>205.44</v>
      </c>
      <c r="J11237">
        <v>0.01</v>
      </c>
    </row>
    <row r="11238" spans="1:10" x14ac:dyDescent="0.3">
      <c r="A11238" t="str">
        <f>HYPERLINK("https://us2.cloudbeds.com/connect/10074733072513#/reservations/31733219016899?display=MXJE9RAXZ&amp;reservation_id=31733219016899", "MXJE9RAXZ")</f>
        <v>MXJE9RAXZ</v>
      </c>
      <c r="B11238" t="s">
        <v>10</v>
      </c>
      <c r="C11238" t="s">
        <v>42</v>
      </c>
      <c r="D11238" t="str">
        <f>HYPERLINK("https://us2.cloudbeds.com/connect/10074733072513#/reservations/31733219016899?display=Renette%20Kroupa&amp;reservation_id=31733219016899&amp;guest_id=31733219012816", "Renette Kroupa")</f>
        <v>Renette Kroupa</v>
      </c>
      <c r="E11238" t="s">
        <v>10371</v>
      </c>
      <c r="F11238" t="s">
        <v>9983</v>
      </c>
      <c r="G11238">
        <v>282</v>
      </c>
      <c r="H11238">
        <v>306.54000000000002</v>
      </c>
      <c r="I11238">
        <v>306.52999999999997</v>
      </c>
      <c r="J11238">
        <v>0.01</v>
      </c>
    </row>
    <row r="11239" spans="1:10" x14ac:dyDescent="0.3">
      <c r="A11239" t="str">
        <f>HYPERLINK("https://us2.cloudbeds.com/connect/10074733072513#/reservations/31727443640543?display=MXEVNSVM1&amp;reservation_id=31727443640543", "MXEVNSVM1")</f>
        <v>MXEVNSVM1</v>
      </c>
      <c r="B11239" t="s">
        <v>10</v>
      </c>
      <c r="C11239" t="s">
        <v>23</v>
      </c>
      <c r="D11239" t="str">
        <f>HYPERLINK("https://us2.cloudbeds.com/connect/10074733072513#/reservations/31727443640543?display=Teresa%20Ann%20Shepherd&amp;reservation_id=31727443640543&amp;guest_id=31727443640540", "Teresa Ann Shepherd")</f>
        <v>Teresa Ann Shepherd</v>
      </c>
      <c r="E11239" t="s">
        <v>10372</v>
      </c>
      <c r="F11239" t="s">
        <v>10305</v>
      </c>
      <c r="G11239">
        <v>159</v>
      </c>
      <c r="H11239">
        <v>172.84</v>
      </c>
      <c r="I11239">
        <v>172.83</v>
      </c>
      <c r="J11239">
        <v>0.01</v>
      </c>
    </row>
    <row r="11240" spans="1:10" x14ac:dyDescent="0.3">
      <c r="A11240" t="str">
        <f>HYPERLINK("https://us2.cloudbeds.com/connect/10074733072513#/reservations/31728173195490?display=MXFHC1TZN&amp;reservation_id=31728173195490", "MXFHC1TZN")</f>
        <v>MXFHC1TZN</v>
      </c>
      <c r="B11240" t="s">
        <v>10</v>
      </c>
      <c r="C11240" t="s">
        <v>14</v>
      </c>
      <c r="D11240" t="str">
        <f>HYPERLINK("https://us2.cloudbeds.com/connect/10074733072513#/reservations/31728173195490?display=Sharon%20Drummond&amp;reservation_id=31728173195490&amp;guest_id=31728173195484", "Sharon Drummond")</f>
        <v>Sharon Drummond</v>
      </c>
      <c r="E11240" t="s">
        <v>10373</v>
      </c>
      <c r="F11240" t="s">
        <v>9581</v>
      </c>
      <c r="G11240">
        <v>102.58</v>
      </c>
      <c r="H11240">
        <v>111.51</v>
      </c>
      <c r="I11240">
        <v>111.5</v>
      </c>
      <c r="J11240">
        <v>0.01</v>
      </c>
    </row>
    <row r="11241" spans="1:10" x14ac:dyDescent="0.3">
      <c r="A11241" t="str">
        <f>HYPERLINK("https://us2.cloudbeds.com/connect/10074733072513#/reservations/31729305727195?display=MXGDA18P9&amp;reservation_id=31729305727195", "MXGDA18P9")</f>
        <v>MXGDA18P9</v>
      </c>
      <c r="B11241" t="s">
        <v>10</v>
      </c>
      <c r="C11241" t="s">
        <v>17</v>
      </c>
      <c r="D11241" t="str">
        <f>HYPERLINK("https://us2.cloudbeds.com/connect/10074733072513#/reservations/31729305727195?display=Craig%20Froehling&amp;reservation_id=31729305727195&amp;guest_id=31729305727191", "Craig Froehling")</f>
        <v>Craig Froehling</v>
      </c>
      <c r="E11241" t="s">
        <v>10374</v>
      </c>
      <c r="F11241" t="s">
        <v>10305</v>
      </c>
      <c r="G11241">
        <v>189</v>
      </c>
      <c r="H11241">
        <v>205.45</v>
      </c>
      <c r="I11241">
        <v>205.44</v>
      </c>
      <c r="J11241">
        <v>0.01</v>
      </c>
    </row>
    <row r="11242" spans="1:10" x14ac:dyDescent="0.3">
      <c r="A11242" t="str">
        <f>HYPERLINK("https://us2.cloudbeds.com/connect/10074733072513#/reservations/31733203427478?display=MXJDTMH72&amp;reservation_id=31733203427478", "MXJDTMH72")</f>
        <v>MXJDTMH72</v>
      </c>
      <c r="B11242" t="s">
        <v>10</v>
      </c>
      <c r="C11242" t="s">
        <v>121</v>
      </c>
      <c r="D11242" t="str">
        <f>HYPERLINK("https://us2.cloudbeds.com/connect/10074733072513#/reservations/31733203427478?display=Skylar%20Walker&amp;reservation_id=31733203427478&amp;guest_id=31733203427474", "Skylar Walker")</f>
        <v>Skylar Walker</v>
      </c>
      <c r="E11242" t="s">
        <v>10377</v>
      </c>
      <c r="F11242" t="s">
        <v>9744</v>
      </c>
      <c r="G11242">
        <v>143</v>
      </c>
      <c r="H11242">
        <v>155.44999999999999</v>
      </c>
      <c r="I11242">
        <v>155.44</v>
      </c>
      <c r="J11242">
        <v>0.01</v>
      </c>
    </row>
    <row r="11243" spans="1:10" x14ac:dyDescent="0.3">
      <c r="A11243" t="str">
        <f>HYPERLINK("https://us2.cloudbeds.com/connect/10074733072513#/reservations/31729270542469?display=MXGCDC6XF&amp;reservation_id=31729270542469", "MXGCDC6XF")</f>
        <v>MXGCDC6XF</v>
      </c>
      <c r="B11243" t="s">
        <v>10</v>
      </c>
      <c r="C11243" t="s">
        <v>23</v>
      </c>
      <c r="D11243" t="str">
        <f>HYPERLINK("https://us2.cloudbeds.com/connect/10074733072513#/reservations/31729270542469?display=Rodrigo%20Palacios&amp;reservation_id=31729270542469&amp;guest_id=31729270542464", "Rodrigo Palacios")</f>
        <v>Rodrigo Palacios</v>
      </c>
      <c r="E11243" t="s">
        <v>10380</v>
      </c>
      <c r="F11243" t="s">
        <v>9744</v>
      </c>
      <c r="G11243">
        <v>159</v>
      </c>
      <c r="H11243">
        <v>172.84</v>
      </c>
      <c r="I11243">
        <v>172.83</v>
      </c>
      <c r="J11243">
        <v>0.01</v>
      </c>
    </row>
    <row r="11244" spans="1:10" x14ac:dyDescent="0.3">
      <c r="A11244" t="str">
        <f>HYPERLINK("https://us2.cloudbeds.com/connect/10074733072513#/reservations/31733188636889?display=MXJDH6VDD&amp;reservation_id=31733188636889", "MXJDH6VDD")</f>
        <v>MXJDH6VDD</v>
      </c>
      <c r="B11244" t="s">
        <v>10</v>
      </c>
      <c r="C11244" t="s">
        <v>11</v>
      </c>
      <c r="D11244" t="str">
        <f>HYPERLINK("https://us2.cloudbeds.com/connect/10074733072513#/reservations/31733188636889?display=Donald%20Bare&amp;reservation_id=31733188636889&amp;guest_id=31733181968626", "Donald Bare")</f>
        <v>Donald Bare</v>
      </c>
      <c r="E11244" t="s">
        <v>10381</v>
      </c>
      <c r="F11244" t="s">
        <v>9744</v>
      </c>
      <c r="G11244">
        <v>97.74</v>
      </c>
      <c r="H11244">
        <v>106.25</v>
      </c>
      <c r="I11244">
        <v>106.24</v>
      </c>
      <c r="J11244">
        <v>0.01</v>
      </c>
    </row>
    <row r="11245" spans="1:10" x14ac:dyDescent="0.3">
      <c r="A11245" t="str">
        <f>HYPERLINK("https://us2.cloudbeds.com/connect/10074733072513#/reservations/31729152753825?display=MXG9D1XBK&amp;reservation_id=31729152753825", "MXG9D1XBK")</f>
        <v>MXG9D1XBK</v>
      </c>
      <c r="B11245" t="s">
        <v>10</v>
      </c>
      <c r="C11245" t="s">
        <v>14</v>
      </c>
      <c r="D11245" t="str">
        <f>HYPERLINK("https://us2.cloudbeds.com/connect/10074733072513#/reservations/31729152753825?display=Greg%20Parsons&amp;reservation_id=31729152753825&amp;guest_id=31729152749731", "Greg Parsons")</f>
        <v>Greg Parsons</v>
      </c>
      <c r="E11245" t="s">
        <v>10382</v>
      </c>
      <c r="F11245" t="s">
        <v>10383</v>
      </c>
      <c r="G11245">
        <v>87.82</v>
      </c>
      <c r="H11245">
        <v>95.47</v>
      </c>
      <c r="I11245">
        <v>95.46</v>
      </c>
      <c r="J11245">
        <v>0.01</v>
      </c>
    </row>
    <row r="11246" spans="1:10" x14ac:dyDescent="0.3">
      <c r="A11246" t="str">
        <f>HYPERLINK("https://us2.cloudbeds.com/connect/10074733072513#/reservations/31733188640984?display=MXJDH725G&amp;reservation_id=31733188640984", "MXJDH725G")</f>
        <v>MXJDH725G</v>
      </c>
      <c r="B11246" t="s">
        <v>10</v>
      </c>
      <c r="C11246" t="s">
        <v>121</v>
      </c>
      <c r="D11246" t="str">
        <f>HYPERLINK("https://us2.cloudbeds.com/connect/10074733072513#/reservations/31733188640984?display=Caleb%20Smith&amp;reservation_id=31733188640984&amp;guest_id=31733188640980", "Caleb Smith")</f>
        <v>Caleb Smith</v>
      </c>
      <c r="E11246" t="s">
        <v>10007</v>
      </c>
      <c r="F11246" t="s">
        <v>9744</v>
      </c>
      <c r="G11246">
        <v>149</v>
      </c>
      <c r="H11246">
        <v>161.97</v>
      </c>
      <c r="I11246">
        <v>161.96</v>
      </c>
      <c r="J11246">
        <v>0.01</v>
      </c>
    </row>
    <row r="11247" spans="1:10" x14ac:dyDescent="0.3">
      <c r="A11247" t="str">
        <f>HYPERLINK("https://us2.cloudbeds.com/connect/10074733072513#/reservations/31733172433049?display=MXJD3X1RV&amp;reservation_id=31733172433049", "MXJD3X1RV")</f>
        <v>MXJD3X1RV</v>
      </c>
      <c r="B11247" t="s">
        <v>10</v>
      </c>
      <c r="C11247" t="s">
        <v>17</v>
      </c>
      <c r="D11247" t="str">
        <f>HYPERLINK("https://us2.cloudbeds.com/connect/10074733072513#/reservations/31733172433049?display=Miguel%20Guzman&amp;reservation_id=31733172433049&amp;guest_id=31733166252286", "Miguel Guzman")</f>
        <v>Miguel Guzman</v>
      </c>
      <c r="E11247" t="s">
        <v>10384</v>
      </c>
      <c r="F11247" t="s">
        <v>9983</v>
      </c>
      <c r="G11247">
        <v>378</v>
      </c>
      <c r="H11247">
        <v>410.9</v>
      </c>
      <c r="I11247">
        <v>410.89</v>
      </c>
      <c r="J11247">
        <v>0.01</v>
      </c>
    </row>
    <row r="11248" spans="1:10" x14ac:dyDescent="0.3">
      <c r="A11248" t="str">
        <f>HYPERLINK("https://us2.cloudbeds.com/connect/10074733072513#/reservations/31733219012818?display=MXJE9R6R3&amp;reservation_id=31733219012818", "MXJE9R6R3")</f>
        <v>MXJE9R6R3</v>
      </c>
      <c r="B11248" t="s">
        <v>10</v>
      </c>
      <c r="C11248" t="s">
        <v>121</v>
      </c>
      <c r="D11248" t="str">
        <f>HYPERLINK("https://us2.cloudbeds.com/connect/10074733072513#/reservations/31733219012818?display=Jeffery%20Mulhair&amp;reservation_id=31733219012818&amp;guest_id=31733219012813", "Jeffery Mulhair")</f>
        <v>Jeffery Mulhair</v>
      </c>
      <c r="E11248" t="s">
        <v>10385</v>
      </c>
      <c r="F11248" t="s">
        <v>9744</v>
      </c>
      <c r="G11248">
        <v>149</v>
      </c>
      <c r="H11248">
        <v>161.97</v>
      </c>
      <c r="I11248">
        <v>161.96</v>
      </c>
      <c r="J11248">
        <v>0.01</v>
      </c>
    </row>
    <row r="11249" spans="1:10" x14ac:dyDescent="0.3">
      <c r="A11249" t="str">
        <f>HYPERLINK("https://us2.cloudbeds.com/connect/10074733072513#/reservations/31731406299280?display=MXX0W9PZR&amp;reservation_id=31731406299280", "MXX0W9PZR")</f>
        <v>MXX0W9PZR</v>
      </c>
      <c r="B11249" t="s">
        <v>10</v>
      </c>
      <c r="C11249" t="s">
        <v>11</v>
      </c>
      <c r="D11249" t="str">
        <f>HYPERLINK("https://us2.cloudbeds.com/connect/10074733072513#/reservations/31731406299280?display=Wanda%20Olson&amp;reservation_id=31731406299280&amp;guest_id=31731406299264", "Wanda Olson")</f>
        <v>Wanda Olson</v>
      </c>
      <c r="E11249" t="s">
        <v>10386</v>
      </c>
      <c r="F11249" t="s">
        <v>10387</v>
      </c>
      <c r="G11249">
        <v>238</v>
      </c>
      <c r="H11249">
        <v>258.72000000000003</v>
      </c>
      <c r="I11249">
        <v>258.70999999999998</v>
      </c>
      <c r="J11249">
        <v>0.01</v>
      </c>
    </row>
    <row r="11250" spans="1:10" x14ac:dyDescent="0.3">
      <c r="A11250" t="str">
        <f>HYPERLINK("https://us2.cloudbeds.com/connect/10074733072513#/reservations/31732387721345?display=MXXQ1S9PD&amp;reservation_id=31732387721345", "MXXQ1S9PD")</f>
        <v>MXXQ1S9PD</v>
      </c>
      <c r="B11250" t="s">
        <v>10</v>
      </c>
      <c r="C11250" t="s">
        <v>17</v>
      </c>
      <c r="D11250" t="str">
        <f>HYPERLINK("https://us2.cloudbeds.com/connect/10074733072513#/reservations/31732387721345?display=Russell%20Chenoweth&amp;reservation_id=31732387721345&amp;guest_id=31732378636515", "Russell Chenoweth")</f>
        <v>Russell Chenoweth</v>
      </c>
      <c r="E11250" t="s">
        <v>10388</v>
      </c>
      <c r="F11250" t="s">
        <v>10383</v>
      </c>
      <c r="G11250">
        <v>119</v>
      </c>
      <c r="H11250">
        <v>129.36000000000001</v>
      </c>
      <c r="I11250">
        <v>129.35</v>
      </c>
      <c r="J11250">
        <v>0.01</v>
      </c>
    </row>
    <row r="11251" spans="1:10" x14ac:dyDescent="0.3">
      <c r="A11251" t="str">
        <f>HYPERLINK("https://us2.cloudbeds.com/connect/10074733072513#/reservations/31728234565836?display=MXFXUQKH4&amp;reservation_id=31728234565836", "MXFXUQKH4")</f>
        <v>MXFXUQKH4</v>
      </c>
      <c r="B11251" t="s">
        <v>10</v>
      </c>
      <c r="C11251" t="s">
        <v>121</v>
      </c>
      <c r="D11251" t="str">
        <f>HYPERLINK("https://us2.cloudbeds.com/connect/10074733072513#/reservations/31728234565836?display=Robert%20Lammers&amp;reservation_id=31728234565836&amp;guest_id=31725447405798", "Robert Lammers")</f>
        <v>Robert Lammers</v>
      </c>
      <c r="E11251" t="s">
        <v>9944</v>
      </c>
      <c r="F11251" t="s">
        <v>9744</v>
      </c>
      <c r="G11251">
        <v>149</v>
      </c>
      <c r="H11251">
        <v>161.97</v>
      </c>
      <c r="I11251">
        <v>161.96</v>
      </c>
      <c r="J11251">
        <v>0.01</v>
      </c>
    </row>
    <row r="11252" spans="1:10" x14ac:dyDescent="0.3">
      <c r="A11252" t="str">
        <f>HYPERLINK("https://us2.cloudbeds.com/connect/10074733072513#/reservations/31727452524719?display=MXEVVC5PG&amp;reservation_id=31727452524719", "MXEVVC5PG")</f>
        <v>MXEVVC5PG</v>
      </c>
      <c r="B11252" t="s">
        <v>10</v>
      </c>
      <c r="C11252" t="s">
        <v>23</v>
      </c>
      <c r="D11252" t="str">
        <f>HYPERLINK("https://us2.cloudbeds.com/connect/10074733072513#/reservations/31727452524719?display=Destany%20Bahn&amp;reservation_id=31727452524719&amp;guest_id=31727443640541", "Destany Bahn")</f>
        <v>Destany Bahn</v>
      </c>
      <c r="E11252" t="s">
        <v>10389</v>
      </c>
      <c r="F11252" t="s">
        <v>9445</v>
      </c>
      <c r="G11252">
        <v>378</v>
      </c>
      <c r="H11252">
        <v>410.9</v>
      </c>
      <c r="I11252">
        <v>410.89</v>
      </c>
      <c r="J11252">
        <v>0.01</v>
      </c>
    </row>
    <row r="11253" spans="1:10" x14ac:dyDescent="0.3">
      <c r="A11253" t="str">
        <f>HYPERLINK("https://us2.cloudbeds.com/connect/10074733072513#/reservations/31728215298186?display=MXFXEXFHW&amp;reservation_id=31728215298186", "MXFXEXFHW")</f>
        <v>MXFXEXFHW</v>
      </c>
      <c r="B11253" t="s">
        <v>10</v>
      </c>
      <c r="C11253" t="s">
        <v>20</v>
      </c>
      <c r="D11253" t="str">
        <f>HYPERLINK("https://us2.cloudbeds.com/connect/10074733072513#/reservations/31728215298186?display=Marilyn%20Patzig&amp;reservation_id=31728215298186&amp;guest_id=31728215298180", "Marilyn Patzig")</f>
        <v>Marilyn Patzig</v>
      </c>
      <c r="E11253" t="s">
        <v>10390</v>
      </c>
      <c r="F11253" t="s">
        <v>10391</v>
      </c>
      <c r="G11253">
        <v>119</v>
      </c>
      <c r="H11253">
        <v>129.36000000000001</v>
      </c>
      <c r="I11253">
        <v>129.35</v>
      </c>
      <c r="J11253">
        <v>0.01</v>
      </c>
    </row>
    <row r="11254" spans="1:10" x14ac:dyDescent="0.3">
      <c r="A11254" t="str">
        <f>HYPERLINK("https://us2.cloudbeds.com/connect/10074733072513#/reservations/31728217485532?display=MXFXGDB46&amp;reservation_id=31728217485532", "MXFXGDB46")</f>
        <v>MXFXGDB46</v>
      </c>
      <c r="B11254" t="s">
        <v>10</v>
      </c>
      <c r="C11254" t="s">
        <v>23</v>
      </c>
      <c r="D11254" t="str">
        <f>HYPERLINK("https://us2.cloudbeds.com/connect/10074733072513#/reservations/31728217485532?display=Guiles%20Dawson&amp;reservation_id=31728217485532&amp;guest_id=31728217481446", "Guiles Dawson")</f>
        <v>Guiles Dawson</v>
      </c>
      <c r="E11254" t="s">
        <v>10392</v>
      </c>
      <c r="F11254" t="s">
        <v>9744</v>
      </c>
      <c r="G11254">
        <v>149</v>
      </c>
      <c r="H11254">
        <v>161.97</v>
      </c>
      <c r="I11254">
        <v>161.96</v>
      </c>
      <c r="J11254">
        <v>0.01</v>
      </c>
    </row>
    <row r="11255" spans="1:10" x14ac:dyDescent="0.3">
      <c r="A11255" t="str">
        <f>HYPERLINK("https://us2.cloudbeds.com/connect/10074733072513#/reservations/31729874346215?display=MXGRRGUKM&amp;reservation_id=31729874346215", "MXGRRGUKM")</f>
        <v>MXGRRGUKM</v>
      </c>
      <c r="B11255" t="s">
        <v>10</v>
      </c>
      <c r="C11255" t="s">
        <v>14</v>
      </c>
      <c r="D11255" t="str">
        <f>HYPERLINK("https://us2.cloudbeds.com/connect/10074733072513#/reservations/31729874346215?display=Jennifer%20Rinto&amp;reservation_id=31729874346215&amp;guest_id=31729860800655", "Jennifer Rinto")</f>
        <v>Jennifer Rinto</v>
      </c>
      <c r="E11255" t="s">
        <v>10393</v>
      </c>
      <c r="F11255" t="s">
        <v>10127</v>
      </c>
      <c r="G11255">
        <v>159</v>
      </c>
      <c r="H11255">
        <v>172.84</v>
      </c>
      <c r="I11255">
        <v>172.83</v>
      </c>
      <c r="J11255">
        <v>0.01</v>
      </c>
    </row>
    <row r="11256" spans="1:10" x14ac:dyDescent="0.3">
      <c r="A11256" t="str">
        <f>HYPERLINK("https://us2.cloudbeds.com/connect/10074733072513#/reservations/31729860796565?display=MXGRG2TB7&amp;reservation_id=31729860796565", "MXGRG2TB7")</f>
        <v>MXGRG2TB7</v>
      </c>
      <c r="B11256" t="s">
        <v>10</v>
      </c>
      <c r="C11256" t="s">
        <v>42</v>
      </c>
      <c r="D11256" t="str">
        <f>HYPERLINK("https://us2.cloudbeds.com/connect/10074733072513#/reservations/31729860796565?display=Chad%20Vandyke&amp;reservation_id=31729860796565&amp;guest_id=31729860796562", "Chad Vandyke")</f>
        <v>Chad Vandyke</v>
      </c>
      <c r="E11256" t="s">
        <v>10394</v>
      </c>
      <c r="F11256" t="s">
        <v>10127</v>
      </c>
      <c r="G11256">
        <v>159</v>
      </c>
      <c r="H11256">
        <v>172.84</v>
      </c>
      <c r="I11256">
        <v>172.83</v>
      </c>
      <c r="J11256">
        <v>0.01</v>
      </c>
    </row>
    <row r="11257" spans="1:10" x14ac:dyDescent="0.3">
      <c r="A11257" t="str">
        <f>HYPERLINK("https://us2.cloudbeds.com/connect/10074733072513#/reservations/31725862666438?display=MXDZAP0QR&amp;reservation_id=31725862666438", "MXDZAP0QR")</f>
        <v>MXDZAP0QR</v>
      </c>
      <c r="B11257" t="s">
        <v>10</v>
      </c>
      <c r="C11257" t="s">
        <v>23</v>
      </c>
      <c r="D11257" t="str">
        <f>HYPERLINK("https://us2.cloudbeds.com/connect/10074733072513#/reservations/31725862666438?display=Tim%20Madsen&amp;reservation_id=31725862666438&amp;guest_id=31725862666433", "Tim Madsen")</f>
        <v>Tim Madsen</v>
      </c>
      <c r="E11257" t="s">
        <v>10398</v>
      </c>
      <c r="F11257" t="s">
        <v>9983</v>
      </c>
      <c r="G11257">
        <v>149</v>
      </c>
      <c r="H11257">
        <v>161.97</v>
      </c>
      <c r="I11257">
        <v>161.96</v>
      </c>
      <c r="J11257">
        <v>0.01</v>
      </c>
    </row>
    <row r="11258" spans="1:10" x14ac:dyDescent="0.3">
      <c r="A11258" t="str">
        <f>HYPERLINK("https://us2.cloudbeds.com/connect/10074733072513#/reservations/31725348229333?display=MXDB5W1PY&amp;reservation_id=31725348229333", "MXDB5W1PY")</f>
        <v>MXDB5W1PY</v>
      </c>
      <c r="B11258" t="s">
        <v>10</v>
      </c>
      <c r="C11258" t="s">
        <v>23</v>
      </c>
      <c r="D11258" t="str">
        <f>HYPERLINK("https://us2.cloudbeds.com/connect/10074733072513#/reservations/31725348229333?display=Chancey%20Odell&amp;reservation_id=31725348229333&amp;guest_id=31725348229317", "Chancey Odell")</f>
        <v>Chancey Odell</v>
      </c>
      <c r="E11258" t="s">
        <v>10400</v>
      </c>
      <c r="F11258" t="s">
        <v>10127</v>
      </c>
      <c r="G11258">
        <v>159</v>
      </c>
      <c r="H11258">
        <v>172.84</v>
      </c>
      <c r="I11258">
        <v>172.83</v>
      </c>
      <c r="J11258">
        <v>0.01</v>
      </c>
    </row>
    <row r="11259" spans="1:10" x14ac:dyDescent="0.3">
      <c r="A11259" t="str">
        <f>HYPERLINK("https://us2.cloudbeds.com/connect/10074733072513#/reservations/31726463967434?display=MXE6MQ3M4&amp;reservation_id=31726463967434", "MXE6MQ3M4")</f>
        <v>MXE6MQ3M4</v>
      </c>
      <c r="B11259" t="s">
        <v>10</v>
      </c>
      <c r="C11259" t="s">
        <v>20</v>
      </c>
      <c r="D11259" t="str">
        <f>HYPERLINK("https://us2.cloudbeds.com/connect/10074733072513#/reservations/31726463967434?display=Holly%20Rodahl&amp;reservation_id=31726463967434&amp;guest_id=31726463967429", "Holly Rodahl")</f>
        <v>Holly Rodahl</v>
      </c>
      <c r="E11259" t="s">
        <v>10401</v>
      </c>
      <c r="F11259" t="s">
        <v>10402</v>
      </c>
      <c r="G11259">
        <v>129</v>
      </c>
      <c r="H11259">
        <v>140.22999999999999</v>
      </c>
      <c r="I11259">
        <v>140.22</v>
      </c>
      <c r="J11259">
        <v>0.01</v>
      </c>
    </row>
    <row r="11260" spans="1:10" x14ac:dyDescent="0.3">
      <c r="A11260" t="str">
        <f>HYPERLINK("https://us2.cloudbeds.com/connect/10074733072513#/reservations/31712756355215?display=MX3JE5JKM&amp;reservation_id=31712756355215", "MX3JE5JKM")</f>
        <v>MX3JE5JKM</v>
      </c>
      <c r="B11260" t="s">
        <v>10</v>
      </c>
      <c r="C11260" t="s">
        <v>42</v>
      </c>
      <c r="D11260" t="str">
        <f>HYPERLINK("https://us2.cloudbeds.com/connect/10074733072513#/reservations/31712756355215?display=Mike%20Berg&amp;reservation_id=31712756355215&amp;guest_id=31712756355213", "Mike Berg")</f>
        <v>Mike Berg</v>
      </c>
      <c r="E11260" t="s">
        <v>10403</v>
      </c>
      <c r="F11260" t="s">
        <v>8603</v>
      </c>
      <c r="G11260">
        <v>298</v>
      </c>
      <c r="H11260">
        <v>323.94</v>
      </c>
      <c r="I11260">
        <v>323.93</v>
      </c>
      <c r="J11260">
        <v>0.01</v>
      </c>
    </row>
    <row r="11261" spans="1:10" x14ac:dyDescent="0.3">
      <c r="A11261" t="str">
        <f>HYPERLINK("https://us2.cloudbeds.com/connect/10074733072513#/reservations/31727420760197?display=MXEV4J987&amp;reservation_id=31727420760197", "MXEV4J987")</f>
        <v>MXEV4J987</v>
      </c>
      <c r="B11261" t="s">
        <v>10</v>
      </c>
      <c r="C11261" t="s">
        <v>14</v>
      </c>
      <c r="D11261" t="str">
        <f>HYPERLINK("https://us2.cloudbeds.com/connect/10074733072513#/reservations/31727420760197?display=Nicole%20Kenyon&amp;reservation_id=31727420760197&amp;guest_id=31727420760195", "Nicole Kenyon")</f>
        <v>Nicole Kenyon</v>
      </c>
      <c r="E11261" t="s">
        <v>10404</v>
      </c>
      <c r="F11261" t="s">
        <v>9713</v>
      </c>
      <c r="G11261">
        <v>130.38</v>
      </c>
      <c r="H11261">
        <v>141.72999999999999</v>
      </c>
      <c r="I11261">
        <v>141.72</v>
      </c>
      <c r="J11261">
        <v>0.01</v>
      </c>
    </row>
    <row r="11262" spans="1:10" x14ac:dyDescent="0.3">
      <c r="A11262" t="str">
        <f>HYPERLINK("https://us2.cloudbeds.com/connect/10074733072513#/reservations/31729288184007?display=MXGCS83AH&amp;reservation_id=31729288184007", "MXGCS83AH")</f>
        <v>MXGCS83AH</v>
      </c>
      <c r="B11262" t="s">
        <v>10</v>
      </c>
      <c r="C11262" t="s">
        <v>42</v>
      </c>
      <c r="D11262" t="str">
        <f>HYPERLINK("https://us2.cloudbeds.com/connect/10074733072513#/reservations/31729288184007?display=Terry%20Todd&amp;reservation_id=31729288184007&amp;guest_id=30654003495081", "Terry Todd")</f>
        <v>Terry Todd</v>
      </c>
      <c r="E11262" t="s">
        <v>10405</v>
      </c>
      <c r="F11262" t="s">
        <v>9744</v>
      </c>
      <c r="G11262">
        <v>149</v>
      </c>
      <c r="H11262">
        <v>161.97</v>
      </c>
      <c r="I11262">
        <v>161.96</v>
      </c>
      <c r="J11262">
        <v>0.01</v>
      </c>
    </row>
    <row r="11263" spans="1:10" x14ac:dyDescent="0.3">
      <c r="A11263" t="str">
        <f>HYPERLINK("https://us2.cloudbeds.com/connect/10074733072513#/reservations/31727181537495?display=MXEP0SXBE&amp;reservation_id=31727181537495", "MXEP0SXBE")</f>
        <v>MXEP0SXBE</v>
      </c>
      <c r="B11263" t="s">
        <v>10</v>
      </c>
      <c r="C11263" t="s">
        <v>11</v>
      </c>
      <c r="D11263" t="str">
        <f>HYPERLINK("https://us2.cloudbeds.com/connect/10074733072513#/reservations/31727181537495?display=Steven%20Spaeth&amp;reservation_id=31727181537495&amp;guest_id=31727174947003", "Steven Spaeth")</f>
        <v>Steven Spaeth</v>
      </c>
      <c r="E11263" t="s">
        <v>10406</v>
      </c>
      <c r="F11263" t="s">
        <v>9713</v>
      </c>
      <c r="G11263">
        <v>393.3</v>
      </c>
      <c r="H11263">
        <v>427.53</v>
      </c>
      <c r="I11263">
        <v>427.52</v>
      </c>
      <c r="J11263">
        <v>0.01</v>
      </c>
    </row>
    <row r="11264" spans="1:10" x14ac:dyDescent="0.3">
      <c r="A11264" t="str">
        <f>HYPERLINK("https://us2.cloudbeds.com/connect/10074733072513#/reservations/31729288188102?display=MXGCS872K&amp;reservation_id=31729288188102", "MXGCS872K")</f>
        <v>MXGCS872K</v>
      </c>
      <c r="B11264" t="s">
        <v>10</v>
      </c>
      <c r="C11264" t="s">
        <v>121</v>
      </c>
      <c r="D11264" t="str">
        <f>HYPERLINK("https://us2.cloudbeds.com/connect/10074733072513#/reservations/31729288188102?display=Carly%20Espanto&amp;reservation_id=31729288188102&amp;guest_id=31729288188100", "Carly Espanto")</f>
        <v>Carly Espanto</v>
      </c>
      <c r="E11264" t="s">
        <v>10408</v>
      </c>
      <c r="F11264" t="s">
        <v>9744</v>
      </c>
      <c r="G11264">
        <v>149</v>
      </c>
      <c r="H11264">
        <v>161.97</v>
      </c>
      <c r="I11264">
        <v>161.96</v>
      </c>
      <c r="J11264">
        <v>0.01</v>
      </c>
    </row>
    <row r="11265" spans="1:10" x14ac:dyDescent="0.3">
      <c r="A11265" t="str">
        <f>HYPERLINK("https://us2.cloudbeds.com/connect/10074733072513#/reservations/31727181541603?display=MXEP0SM3U&amp;reservation_id=31727181541603", "MXEP0SM3U")</f>
        <v>MXEP0SM3U</v>
      </c>
      <c r="B11265" t="s">
        <v>10</v>
      </c>
      <c r="C11265" t="s">
        <v>20</v>
      </c>
      <c r="D11265" t="str">
        <f>HYPERLINK("https://us2.cloudbeds.com/connect/10074733072513#/reservations/31727181541603?display=Jessica%20Somers&amp;reservation_id=31727181541603&amp;guest_id=31727181541600", "Jessica Somers")</f>
        <v>Jessica Somers</v>
      </c>
      <c r="E11265" t="s">
        <v>10409</v>
      </c>
      <c r="F11265" t="s">
        <v>9713</v>
      </c>
      <c r="G11265">
        <v>501.3</v>
      </c>
      <c r="H11265">
        <v>544.91999999999996</v>
      </c>
      <c r="I11265">
        <v>544.91</v>
      </c>
      <c r="J11265">
        <v>0.01</v>
      </c>
    </row>
    <row r="11266" spans="1:10" x14ac:dyDescent="0.3">
      <c r="A11266" t="str">
        <f>HYPERLINK("https://us2.cloudbeds.com/connect/10074733072513#/reservations/31725913477343?display=MXDPKJU47&amp;reservation_id=31725913477343", "MXDPKJU47")</f>
        <v>MXDPKJU47</v>
      </c>
      <c r="B11266" t="s">
        <v>10</v>
      </c>
      <c r="C11266" t="s">
        <v>42</v>
      </c>
      <c r="D11266" t="str">
        <f>HYPERLINK("https://us2.cloudbeds.com/connect/10074733072513#/reservations/31725913477343?display=Mahmet%20Kahramen&amp;reservation_id=31725913477343&amp;guest_id=31725913473252", "Mahmet Kahramen")</f>
        <v>Mahmet Kahramen</v>
      </c>
      <c r="E11266" t="s">
        <v>10410</v>
      </c>
      <c r="F11266" t="s">
        <v>9983</v>
      </c>
      <c r="G11266">
        <v>73</v>
      </c>
      <c r="H11266">
        <v>79.36</v>
      </c>
      <c r="I11266">
        <v>79.349999999999994</v>
      </c>
      <c r="J11266">
        <v>0.01</v>
      </c>
    </row>
    <row r="11267" spans="1:10" x14ac:dyDescent="0.3">
      <c r="A11267" t="str">
        <f>HYPERLINK("https://us2.cloudbeds.com/connect/10074733072513#/reservations/31727908556953?display=MXFAJTV53&amp;reservation_id=31727908556953", "MXFAJTV53")</f>
        <v>MXFAJTV53</v>
      </c>
      <c r="B11267" t="s">
        <v>10</v>
      </c>
      <c r="C11267" t="s">
        <v>42</v>
      </c>
      <c r="D11267" t="str">
        <f>HYPERLINK("https://us2.cloudbeds.com/connect/10074733072513#/reservations/31727908556953?display=Alexia%20Werdel&amp;reservation_id=31727908556953&amp;guest_id=30647101440150", "Alexia Werdel")</f>
        <v>Alexia Werdel</v>
      </c>
      <c r="E11267" t="s">
        <v>2543</v>
      </c>
      <c r="F11267" t="s">
        <v>10411</v>
      </c>
      <c r="G11267">
        <v>190</v>
      </c>
      <c r="H11267">
        <v>206.54</v>
      </c>
      <c r="I11267">
        <v>206.53</v>
      </c>
      <c r="J11267">
        <v>0.01</v>
      </c>
    </row>
    <row r="11268" spans="1:10" x14ac:dyDescent="0.3">
      <c r="A11268" t="str">
        <f>HYPERLINK("https://us2.cloudbeds.com/connect/10074733072513#/reservations/31728291696874?display=MXFKCWCEN&amp;reservation_id=31728291696874", "MXFKCWCEN")</f>
        <v>MXFKCWCEN</v>
      </c>
      <c r="B11268" t="s">
        <v>10</v>
      </c>
      <c r="C11268" t="s">
        <v>23</v>
      </c>
      <c r="D11268" t="str">
        <f>HYPERLINK("https://us2.cloudbeds.com/connect/10074733072513#/reservations/31728291696874?display=Nicole%20Hansen&amp;reservation_id=31728291696874&amp;guest_id=31728291696854", "Nicole Hansen")</f>
        <v>Nicole Hansen</v>
      </c>
      <c r="E11268" t="s">
        <v>10048</v>
      </c>
      <c r="F11268" t="s">
        <v>10202</v>
      </c>
      <c r="G11268">
        <v>119</v>
      </c>
      <c r="H11268">
        <v>129.36000000000001</v>
      </c>
      <c r="I11268">
        <v>129.35</v>
      </c>
      <c r="J11268">
        <v>0.01</v>
      </c>
    </row>
    <row r="11269" spans="1:10" x14ac:dyDescent="0.3">
      <c r="A11269" t="str">
        <f>HYPERLINK("https://us2.cloudbeds.com/connect/10074733072513#/reservations/31729610870980?display=MXGY3BB8Y&amp;reservation_id=31729610870980", "MXGY3BB8Y")</f>
        <v>MXGY3BB8Y</v>
      </c>
      <c r="B11269" t="s">
        <v>10</v>
      </c>
      <c r="C11269" t="s">
        <v>23</v>
      </c>
      <c r="D11269" t="str">
        <f>HYPERLINK("https://us2.cloudbeds.com/connect/10074733072513#/reservations/31729610870980?display=Travis%20Tague&amp;reservation_id=31729610870980&amp;guest_id=31729605804253", "Travis Tague")</f>
        <v>Travis Tague</v>
      </c>
      <c r="E11269" t="s">
        <v>10412</v>
      </c>
      <c r="F11269" t="s">
        <v>9983</v>
      </c>
      <c r="G11269">
        <v>149</v>
      </c>
      <c r="H11269">
        <v>161.97</v>
      </c>
      <c r="I11269">
        <v>161.96</v>
      </c>
      <c r="J11269">
        <v>0.01</v>
      </c>
    </row>
    <row r="11270" spans="1:10" x14ac:dyDescent="0.3">
      <c r="A11270" t="str">
        <f>HYPERLINK("https://us2.cloudbeds.com/connect/10074733072513#/reservations/31729595056276?display=MXGKN0916&amp;reservation_id=31729595056276", "MXGKN0916")</f>
        <v>MXGKN0916</v>
      </c>
      <c r="B11270" t="s">
        <v>10</v>
      </c>
      <c r="C11270" t="s">
        <v>121</v>
      </c>
      <c r="D11270" t="str">
        <f>HYPERLINK("https://us2.cloudbeds.com/connect/10074733072513#/reservations/31729595056276?display=David%20Parker&amp;reservation_id=31729595056276&amp;guest_id=31729595056271", "David Parker")</f>
        <v>David Parker</v>
      </c>
      <c r="E11270" t="s">
        <v>10416</v>
      </c>
      <c r="F11270" t="s">
        <v>9983</v>
      </c>
      <c r="G11270">
        <v>149</v>
      </c>
      <c r="H11270">
        <v>161.97</v>
      </c>
      <c r="I11270">
        <v>161.96</v>
      </c>
      <c r="J11270">
        <v>0.01</v>
      </c>
    </row>
    <row r="11271" spans="1:10" x14ac:dyDescent="0.3">
      <c r="A11271" t="str">
        <f>HYPERLINK("https://us2.cloudbeds.com/connect/10074733072513#/reservations/31726608961745?display=MXEAD1Q44&amp;reservation_id=31726608961745", "MXEAD1Q44")</f>
        <v>MXEAD1Q44</v>
      </c>
      <c r="B11271" t="s">
        <v>10</v>
      </c>
      <c r="C11271" t="s">
        <v>23</v>
      </c>
      <c r="D11271" t="str">
        <f>HYPERLINK("https://us2.cloudbeds.com/connect/10074733072513#/reservations/31726608961745?display=Heather%20Stein&amp;reservation_id=31726608961745&amp;guest_id=31726608961734", "Heather Stein")</f>
        <v>Heather Stein</v>
      </c>
      <c r="E11271" t="s">
        <v>10417</v>
      </c>
      <c r="F11271" t="s">
        <v>9096</v>
      </c>
      <c r="G11271">
        <v>179</v>
      </c>
      <c r="H11271">
        <v>194.58</v>
      </c>
      <c r="I11271">
        <v>194.57</v>
      </c>
      <c r="J11271">
        <v>0.01</v>
      </c>
    </row>
    <row r="11272" spans="1:10" x14ac:dyDescent="0.3">
      <c r="A11272" t="str">
        <f>HYPERLINK("https://us2.cloudbeds.com/connect/10074733072513#/reservations/31729115295929?display=MXG8EF7ZS&amp;reservation_id=31729115295929", "MXG8EF7ZS")</f>
        <v>MXG8EF7ZS</v>
      </c>
      <c r="B11272" t="s">
        <v>10</v>
      </c>
      <c r="C11272" t="s">
        <v>23</v>
      </c>
      <c r="D11272" t="str">
        <f>HYPERLINK("https://us2.cloudbeds.com/connect/10074733072513#/reservations/31729115295929?display=Nathen%20Colletta&amp;reservation_id=31729115295929&amp;guest_id=31729115295924", "Nathen Colletta")</f>
        <v>Nathen Colletta</v>
      </c>
      <c r="E11272" t="s">
        <v>10418</v>
      </c>
      <c r="F11272" t="s">
        <v>9096</v>
      </c>
      <c r="G11272">
        <v>378</v>
      </c>
      <c r="H11272">
        <v>410.9</v>
      </c>
      <c r="I11272">
        <v>410.89</v>
      </c>
      <c r="J11272">
        <v>0.01</v>
      </c>
    </row>
    <row r="11273" spans="1:10" x14ac:dyDescent="0.3">
      <c r="A11273" t="str">
        <f>HYPERLINK("https://us2.cloudbeds.com/connect/10074733072513#/reservations/31728610496647?display=MXFSHQESU&amp;reservation_id=31728610496647", "MXFSHQESU")</f>
        <v>MXFSHQESU</v>
      </c>
      <c r="B11273" t="s">
        <v>10</v>
      </c>
      <c r="C11273" t="s">
        <v>42</v>
      </c>
      <c r="D11273" t="str">
        <f>HYPERLINK("https://us2.cloudbeds.com/connect/10074733072513#/reservations/31728610496647?display=Ronja%20And%20William%20Butler&amp;reservation_id=31728610496647&amp;guest_id=31728610496645", "Ronja And William Butler")</f>
        <v>Ronja And William Butler</v>
      </c>
      <c r="E11273" t="s">
        <v>10419</v>
      </c>
      <c r="F11273" t="s">
        <v>10387</v>
      </c>
      <c r="G11273">
        <v>119</v>
      </c>
      <c r="H11273">
        <v>129.36000000000001</v>
      </c>
      <c r="I11273">
        <v>129.35</v>
      </c>
      <c r="J11273">
        <v>0.01</v>
      </c>
    </row>
    <row r="11274" spans="1:10" x14ac:dyDescent="0.3">
      <c r="A11274" t="str">
        <f>HYPERLINK("https://us2.cloudbeds.com/connect/10074733072513#/reservations/31722210885873?display=MXAU0FRVN&amp;reservation_id=31722210885873", "MXAU0FRVN")</f>
        <v>MXAU0FRVN</v>
      </c>
      <c r="B11274" t="s">
        <v>10</v>
      </c>
      <c r="C11274" t="s">
        <v>42</v>
      </c>
      <c r="D11274" t="str">
        <f>HYPERLINK("https://us2.cloudbeds.com/connect/10074733072513#/reservations/31722210885873?display=Cassie%20Yager&amp;reservation_id=31722210885873&amp;guest_id=31722199621847", "Cassie Yager")</f>
        <v>Cassie Yager</v>
      </c>
      <c r="E11274" t="s">
        <v>10420</v>
      </c>
      <c r="F11274" t="s">
        <v>10421</v>
      </c>
      <c r="G11274">
        <v>119</v>
      </c>
      <c r="H11274">
        <v>129.36000000000001</v>
      </c>
      <c r="I11274">
        <v>129.35</v>
      </c>
      <c r="J11274">
        <v>0.01</v>
      </c>
    </row>
    <row r="11275" spans="1:10" x14ac:dyDescent="0.3">
      <c r="A11275" t="str">
        <f>HYPERLINK("https://us2.cloudbeds.com/connect/10074733072513#/reservations/31724298633367?display=MXCHBUGF9&amp;reservation_id=31724298633367", "MXCHBUGF9")</f>
        <v>MXCHBUGF9</v>
      </c>
      <c r="B11275" t="s">
        <v>10</v>
      </c>
      <c r="C11275" t="s">
        <v>42</v>
      </c>
      <c r="D11275" t="str">
        <f>HYPERLINK("https://us2.cloudbeds.com/connect/10074733072513#/reservations/31724298633367?display=Cassie%20Yager&amp;reservation_id=31724298633367&amp;guest_id=31722199621847", "Cassie Yager")</f>
        <v>Cassie Yager</v>
      </c>
      <c r="E11275" t="s">
        <v>10420</v>
      </c>
      <c r="F11275" t="s">
        <v>10423</v>
      </c>
      <c r="G11275">
        <v>129</v>
      </c>
      <c r="H11275">
        <v>140.22999999999999</v>
      </c>
      <c r="I11275">
        <v>140.22</v>
      </c>
      <c r="J11275">
        <v>0.01</v>
      </c>
    </row>
    <row r="11276" spans="1:10" x14ac:dyDescent="0.3">
      <c r="A11276" t="str">
        <f>HYPERLINK("https://us2.cloudbeds.com/connect/10074733072513#/reservations/31727140950176?display=MXENWY52M&amp;reservation_id=31727140950176", "MXENWY52M")</f>
        <v>MXENWY52M</v>
      </c>
      <c r="B11276" t="s">
        <v>10</v>
      </c>
      <c r="C11276" t="s">
        <v>42</v>
      </c>
      <c r="D11276" t="str">
        <f>HYPERLINK("https://us2.cloudbeds.com/connect/10074733072513#/reservations/31727140950176?display=Vicki%20Krappel&amp;reservation_id=31727140950176&amp;guest_id=31727128051843", "Vicki Krappel")</f>
        <v>Vicki Krappel</v>
      </c>
      <c r="E11276" t="s">
        <v>10425</v>
      </c>
      <c r="F11276" t="s">
        <v>9713</v>
      </c>
      <c r="G11276">
        <v>129</v>
      </c>
      <c r="H11276">
        <v>140.22999999999999</v>
      </c>
      <c r="I11276">
        <v>140.22</v>
      </c>
      <c r="J11276">
        <v>0.01</v>
      </c>
    </row>
    <row r="11277" spans="1:10" x14ac:dyDescent="0.3">
      <c r="A11277" t="str">
        <f>HYPERLINK("https://us2.cloudbeds.com/connect/10074733072513#/reservations/31725389177042?display=MXDC7GFWA&amp;reservation_id=31725389177042", "MXDC7GFWA")</f>
        <v>MXDC7GFWA</v>
      </c>
      <c r="B11277" t="s">
        <v>10</v>
      </c>
      <c r="C11277" t="s">
        <v>121</v>
      </c>
      <c r="D11277" t="str">
        <f>HYPERLINK("https://us2.cloudbeds.com/connect/10074733072513#/reservations/31725389177042?display=Andrea%20Engler&amp;reservation_id=31725389177042&amp;guest_id=31725389172945", "Andrea Engler")</f>
        <v>Andrea Engler</v>
      </c>
      <c r="E11277" t="s">
        <v>10427</v>
      </c>
      <c r="F11277" t="s">
        <v>10127</v>
      </c>
      <c r="G11277">
        <v>179</v>
      </c>
      <c r="H11277">
        <v>194.58</v>
      </c>
      <c r="I11277">
        <v>194.57</v>
      </c>
      <c r="J11277">
        <v>0.01</v>
      </c>
    </row>
    <row r="11278" spans="1:10" x14ac:dyDescent="0.3">
      <c r="A11278" t="str">
        <f>HYPERLINK("https://us2.cloudbeds.com/connect/10074733072513#/reservations/31726559477939?display=MXE94ARES&amp;reservation_id=31726559477939", "MXE94ARES")</f>
        <v>MXE94ARES</v>
      </c>
      <c r="B11278" t="s">
        <v>10</v>
      </c>
      <c r="C11278" t="s">
        <v>20</v>
      </c>
      <c r="D11278" t="str">
        <f>HYPERLINK("https://us2.cloudbeds.com/connect/10074733072513#/reservations/31726559477939?display=Billy%20Winson&amp;reservation_id=31726559477939&amp;guest_id=31726549029073", "Billy Winson")</f>
        <v>Billy Winson</v>
      </c>
      <c r="E11278" t="s">
        <v>10428</v>
      </c>
      <c r="F11278" t="s">
        <v>9096</v>
      </c>
      <c r="G11278">
        <v>209</v>
      </c>
      <c r="H11278">
        <v>227.19</v>
      </c>
      <c r="I11278">
        <v>227.18</v>
      </c>
      <c r="J11278">
        <v>0.01</v>
      </c>
    </row>
    <row r="11279" spans="1:10" x14ac:dyDescent="0.3">
      <c r="A11279" t="str">
        <f>HYPERLINK("https://us2.cloudbeds.com/connect/10074733072513#/reservations/31730401460459?display=MXH89WYZJ&amp;reservation_id=31730401460459", "MXH89WYZJ")</f>
        <v>MXH89WYZJ</v>
      </c>
      <c r="B11279" t="s">
        <v>10</v>
      </c>
      <c r="C11279" t="s">
        <v>42</v>
      </c>
      <c r="D11279" t="str">
        <f>HYPERLINK("https://us2.cloudbeds.com/connect/10074733072513#/reservations/31730401460459?display=Karen%20Gonsor&amp;reservation_id=31730401460459&amp;guest_id=31730401460439", "Karen Gonsor")</f>
        <v>Karen Gonsor</v>
      </c>
      <c r="E11279" t="s">
        <v>10429</v>
      </c>
      <c r="F11279" t="s">
        <v>10258</v>
      </c>
      <c r="G11279">
        <v>238</v>
      </c>
      <c r="H11279">
        <v>258.72000000000003</v>
      </c>
      <c r="I11279">
        <v>258.70999999999998</v>
      </c>
      <c r="J11279">
        <v>0.01</v>
      </c>
    </row>
    <row r="11280" spans="1:10" x14ac:dyDescent="0.3">
      <c r="A11280" t="str">
        <f>HYPERLINK("https://us2.cloudbeds.com/connect/10074733072513#/reservations/31727205228775?display=MXEPKRQE0&amp;reservation_id=31727205228775", "MXEPKRQE0")</f>
        <v>MXEPKRQE0</v>
      </c>
      <c r="B11280" t="s">
        <v>10</v>
      </c>
      <c r="C11280" t="s">
        <v>42</v>
      </c>
      <c r="D11280" t="str">
        <f>HYPERLINK("https://us2.cloudbeds.com/connect/10074733072513#/reservations/31727205228775?display=Cathy%20Cox&amp;reservation_id=31727205228775&amp;guest_id=31727205228754", "Cathy Cox")</f>
        <v>Cathy Cox</v>
      </c>
      <c r="E11280" t="s">
        <v>10430</v>
      </c>
      <c r="F11280" t="s">
        <v>9713</v>
      </c>
      <c r="G11280">
        <v>527</v>
      </c>
      <c r="H11280">
        <v>572.86</v>
      </c>
      <c r="I11280">
        <v>572.85</v>
      </c>
      <c r="J11280">
        <v>0.01</v>
      </c>
    </row>
    <row r="11281" spans="1:10" x14ac:dyDescent="0.3">
      <c r="A11281" t="str">
        <f>HYPERLINK("https://us2.cloudbeds.com/connect/10074733072513#/reservations/31723211903144?display=MXBMJXKZD&amp;reservation_id=31723211903144", "MXBMJXKZD")</f>
        <v>MXBMJXKZD</v>
      </c>
      <c r="B11281" t="s">
        <v>10</v>
      </c>
      <c r="C11281" t="s">
        <v>20</v>
      </c>
      <c r="D11281" t="str">
        <f>HYPERLINK("https://us2.cloudbeds.com/connect/10074733072513#/reservations/31723211903144?display=Yang%20Qishi&amp;reservation_id=31723211903144&amp;guest_id=31723211903141", "Yang Qishi")</f>
        <v>Yang Qishi</v>
      </c>
      <c r="E11281" t="s">
        <v>10431</v>
      </c>
      <c r="F11281" t="s">
        <v>10432</v>
      </c>
      <c r="G11281">
        <v>119</v>
      </c>
      <c r="H11281">
        <v>129.36000000000001</v>
      </c>
      <c r="I11281">
        <v>129.35</v>
      </c>
      <c r="J11281">
        <v>0.01</v>
      </c>
    </row>
    <row r="11282" spans="1:10" x14ac:dyDescent="0.3">
      <c r="A11282" t="str">
        <f>HYPERLINK("https://us2.cloudbeds.com/connect/10074733072513#/reservations/31727153709252?display=MXEZAD6DB&amp;reservation_id=31727153709252", "MXEZAD6DB")</f>
        <v>MXEZAD6DB</v>
      </c>
      <c r="B11282" t="s">
        <v>10</v>
      </c>
      <c r="C11282" t="s">
        <v>42</v>
      </c>
      <c r="D11282" t="str">
        <f>HYPERLINK("https://us2.cloudbeds.com/connect/10074733072513#/reservations/31727153709252?display=Vicki%20Krapfl&amp;reservation_id=31727153709252&amp;guest_id=31727140954269", "Vicki Krapfl")</f>
        <v>Vicki Krapfl</v>
      </c>
      <c r="E11282" t="s">
        <v>10433</v>
      </c>
      <c r="F11282" t="s">
        <v>9713</v>
      </c>
      <c r="G11282">
        <v>258</v>
      </c>
      <c r="H11282">
        <v>280.45999999999998</v>
      </c>
      <c r="I11282">
        <v>280.45</v>
      </c>
      <c r="J11282">
        <v>0.01</v>
      </c>
    </row>
    <row r="11283" spans="1:10" x14ac:dyDescent="0.3">
      <c r="A11283" t="str">
        <f>HYPERLINK("https://us2.cloudbeds.com/connect/10074733072513#/reservations/31728129720540?display=MXFG8D4RW&amp;reservation_id=31728129720540", "MXFG8D4RW")</f>
        <v>MXFG8D4RW</v>
      </c>
      <c r="B11283" t="s">
        <v>10</v>
      </c>
      <c r="C11283" t="s">
        <v>42</v>
      </c>
      <c r="D11283" t="str">
        <f>HYPERLINK("https://us2.cloudbeds.com/connect/10074733072513#/reservations/31728129720540?display=Blesson%20Glaywea&amp;reservation_id=31728129720540&amp;guest_id=31728129716446", "Blesson Glaywea")</f>
        <v>Blesson Glaywea</v>
      </c>
      <c r="E11283" t="s">
        <v>10434</v>
      </c>
      <c r="F11283" t="s">
        <v>9581</v>
      </c>
      <c r="G11283">
        <v>298</v>
      </c>
      <c r="H11283">
        <v>323.94</v>
      </c>
      <c r="I11283">
        <v>323.93</v>
      </c>
      <c r="J11283">
        <v>0.01</v>
      </c>
    </row>
    <row r="11284" spans="1:10" x14ac:dyDescent="0.3">
      <c r="A11284" t="str">
        <f>HYPERLINK("https://us2.cloudbeds.com/connect/10074733072513#/reservations/31725571403974?display=MXDGT575X&amp;reservation_id=31725571403974", "MXDGT575X")</f>
        <v>MXDGT575X</v>
      </c>
      <c r="B11284" t="s">
        <v>10</v>
      </c>
      <c r="C11284" t="s">
        <v>42</v>
      </c>
      <c r="D11284" t="str">
        <f>HYPERLINK("https://us2.cloudbeds.com/connect/10074733072513#/reservations/31725571403974?display=Isak%20Fila&amp;reservation_id=31725571403974&amp;guest_id=31725571399882", "Isak Fila")</f>
        <v>Isak Fila</v>
      </c>
      <c r="E11284" t="s">
        <v>10435</v>
      </c>
      <c r="F11284" t="s">
        <v>10415</v>
      </c>
      <c r="G11284">
        <v>278</v>
      </c>
      <c r="H11284">
        <v>302.2</v>
      </c>
      <c r="I11284">
        <v>302.19</v>
      </c>
      <c r="J11284">
        <v>0.01</v>
      </c>
    </row>
    <row r="11285" spans="1:10" x14ac:dyDescent="0.3">
      <c r="A11285" t="str">
        <f>HYPERLINK("https://us2.cloudbeds.com/connect/10074733072513#/reservations/31730640421077?display=MXHEDG2WE&amp;reservation_id=31730640421077", "MXHEDG2WE")</f>
        <v>MXHEDG2WE</v>
      </c>
      <c r="B11285" t="s">
        <v>10</v>
      </c>
      <c r="C11285" t="s">
        <v>42</v>
      </c>
      <c r="D11285" t="str">
        <f>HYPERLINK("https://us2.cloudbeds.com/connect/10074733072513#/reservations/31730640421077?display=Ashley%20Mccormick&amp;reservation_id=31730640421077&amp;guest_id=31730640421075", "Ashley Mccormick")</f>
        <v>Ashley Mccormick</v>
      </c>
      <c r="E11285" t="s">
        <v>10436</v>
      </c>
      <c r="F11285" t="s">
        <v>10242</v>
      </c>
      <c r="G11285">
        <v>428.4</v>
      </c>
      <c r="H11285">
        <v>465.68</v>
      </c>
      <c r="I11285">
        <v>465.67</v>
      </c>
      <c r="J11285">
        <v>0.01</v>
      </c>
    </row>
    <row r="11286" spans="1:10" x14ac:dyDescent="0.3">
      <c r="A11286" t="str">
        <f>HYPERLINK("https://us2.cloudbeds.com/connect/10074733072513#/reservations/31728150769882?display=MXFGQ4STR&amp;reservation_id=31728150769882", "MXFGQ4STR")</f>
        <v>MXFGQ4STR</v>
      </c>
      <c r="B11286" t="s">
        <v>10</v>
      </c>
      <c r="C11286" t="s">
        <v>11</v>
      </c>
      <c r="D11286" t="str">
        <f>HYPERLINK("https://us2.cloudbeds.com/connect/10074733072513#/reservations/31728150769882?display=Candra%20Mahrt&amp;reservation_id=31728150769882&amp;guest_id=31728150765791", "Candra Mahrt")</f>
        <v>Candra Mahrt</v>
      </c>
      <c r="E11286" t="s">
        <v>10437</v>
      </c>
      <c r="F11286" t="s">
        <v>10438</v>
      </c>
      <c r="G11286">
        <v>87.82</v>
      </c>
      <c r="H11286">
        <v>95.47</v>
      </c>
      <c r="I11286">
        <v>95.46</v>
      </c>
      <c r="J11286">
        <v>0.01</v>
      </c>
    </row>
    <row r="11287" spans="1:10" x14ac:dyDescent="0.3">
      <c r="A11287" t="str">
        <f>HYPERLINK("https://us2.cloudbeds.com/connect/10074733072513#/reservations/31724097970307?display=MXCC7NZSG&amp;reservation_id=31724097970307", "MXCC7NZSG")</f>
        <v>MXCC7NZSG</v>
      </c>
      <c r="B11287" t="s">
        <v>10</v>
      </c>
      <c r="C11287" t="s">
        <v>23</v>
      </c>
      <c r="D11287" t="str">
        <f>HYPERLINK("https://us2.cloudbeds.com/connect/10074733072513#/reservations/31724097970307?display=Dalton%20Webster&amp;reservation_id=31724097970307&amp;guest_id=31724086046956", "Dalton Webster")</f>
        <v>Dalton Webster</v>
      </c>
      <c r="E11287" t="s">
        <v>10439</v>
      </c>
      <c r="F11287" t="s">
        <v>9581</v>
      </c>
      <c r="G11287">
        <v>129</v>
      </c>
      <c r="H11287">
        <v>140.22999999999999</v>
      </c>
      <c r="I11287">
        <v>140.22</v>
      </c>
      <c r="J11287">
        <v>0.01</v>
      </c>
    </row>
    <row r="11288" spans="1:10" x14ac:dyDescent="0.3">
      <c r="A11288" t="str">
        <f>HYPERLINK("https://us2.cloudbeds.com/connect/10074733072513#/reservations/31726405427338?display=MXE56E4RR&amp;reservation_id=31726405427338", "MXE56E4RR")</f>
        <v>MXE56E4RR</v>
      </c>
      <c r="B11288" t="s">
        <v>10</v>
      </c>
      <c r="C11288" t="s">
        <v>42</v>
      </c>
      <c r="D11288" t="str">
        <f>HYPERLINK("https://us2.cloudbeds.com/connect/10074733072513#/reservations/31726405427338?display=Hayden%20Herzog&amp;reservation_id=31726405427338&amp;guest_id=31726395277551", "Hayden Herzog")</f>
        <v>Hayden Herzog</v>
      </c>
      <c r="E11288" t="s">
        <v>10440</v>
      </c>
      <c r="F11288" t="s">
        <v>8801</v>
      </c>
      <c r="G11288">
        <v>199</v>
      </c>
      <c r="H11288">
        <v>216.32</v>
      </c>
      <c r="I11288">
        <v>216.31</v>
      </c>
      <c r="J11288">
        <v>0.01</v>
      </c>
    </row>
    <row r="11289" spans="1:10" x14ac:dyDescent="0.3">
      <c r="A11289" t="str">
        <f>HYPERLINK("https://us2.cloudbeds.com/connect/10074733072513#/reservations/31727352000735?display=MXETCJV85&amp;reservation_id=31727352000735", "MXETCJV85")</f>
        <v>MXETCJV85</v>
      </c>
      <c r="B11289" t="s">
        <v>10</v>
      </c>
      <c r="C11289" t="s">
        <v>14</v>
      </c>
      <c r="D11289" t="str">
        <f>HYPERLINK("https://us2.cloudbeds.com/connect/10074733072513#/reservations/31727352000735?display=Krissy%20Hansen&amp;reservation_id=31727352000735&amp;guest_id=31727344783496", "Krissy Hansen")</f>
        <v>Krissy Hansen</v>
      </c>
      <c r="E11289" t="s">
        <v>10441</v>
      </c>
      <c r="F11289" t="s">
        <v>10146</v>
      </c>
      <c r="G11289">
        <v>87.82</v>
      </c>
      <c r="H11289">
        <v>95.47</v>
      </c>
      <c r="I11289">
        <v>95.46</v>
      </c>
      <c r="J11289">
        <v>0.01</v>
      </c>
    </row>
    <row r="11290" spans="1:10" x14ac:dyDescent="0.3">
      <c r="A11290" t="str">
        <f>HYPERLINK("https://us2.cloudbeds.com/connect/10074733072513#/reservations/31729053819086?display=MXG6SKX67&amp;reservation_id=31729053819086", "MXG6SKX67")</f>
        <v>MXG6SKX67</v>
      </c>
      <c r="B11290" t="s">
        <v>10</v>
      </c>
      <c r="C11290" t="s">
        <v>17</v>
      </c>
      <c r="D11290" t="str">
        <f>HYPERLINK("https://us2.cloudbeds.com/connect/10074733072513#/reservations/31729053819086?display=Christopher%20Carlson&amp;reservation_id=31729053819086&amp;guest_id=31726613639385", "Christopher Carlson")</f>
        <v>Christopher Carlson</v>
      </c>
      <c r="E11290" t="s">
        <v>10442</v>
      </c>
      <c r="F11290" t="s">
        <v>10383</v>
      </c>
      <c r="G11290">
        <v>321.3</v>
      </c>
      <c r="H11290">
        <v>349.26</v>
      </c>
      <c r="I11290">
        <v>349.25</v>
      </c>
      <c r="J11290">
        <v>0.01</v>
      </c>
    </row>
    <row r="11291" spans="1:10" x14ac:dyDescent="0.3">
      <c r="A11291" t="str">
        <f>HYPERLINK("https://us2.cloudbeds.com/connect/10074733072513#/reservations/31726542319746?display=MXE8MSCHK&amp;reservation_id=31726542319746", "MXE8MSCHK")</f>
        <v>MXE8MSCHK</v>
      </c>
      <c r="B11291" t="s">
        <v>10</v>
      </c>
      <c r="C11291" t="s">
        <v>42</v>
      </c>
      <c r="D11291" t="str">
        <f>HYPERLINK("https://us2.cloudbeds.com/connect/10074733072513#/reservations/31726542319746?display=Kevin%20Phan&amp;reservation_id=31726542319746&amp;guest_id=31726525006055", "Kevin Phan")</f>
        <v>Kevin Phan</v>
      </c>
      <c r="E11291" t="s">
        <v>10443</v>
      </c>
      <c r="F11291" t="s">
        <v>9581</v>
      </c>
      <c r="G11291">
        <v>129</v>
      </c>
      <c r="H11291">
        <v>140.22999999999999</v>
      </c>
      <c r="I11291">
        <v>140.22</v>
      </c>
      <c r="J11291">
        <v>0.01</v>
      </c>
    </row>
    <row r="11292" spans="1:10" x14ac:dyDescent="0.3">
      <c r="A11292" t="str">
        <f>HYPERLINK("https://us2.cloudbeds.com/connect/10074733072513#/reservations/31729190224033?display=MXGABY78F&amp;reservation_id=31729190224033", "MXGABY78F")</f>
        <v>MXGABY78F</v>
      </c>
      <c r="B11292" t="s">
        <v>10</v>
      </c>
      <c r="C11292" t="s">
        <v>42</v>
      </c>
      <c r="D11292" t="str">
        <f>HYPERLINK("https://us2.cloudbeds.com/connect/10074733072513#/reservations/31729190224033?display=Jerold%20Anderson&amp;reservation_id=31729190224033&amp;guest_id=31715389100287", "Jerold Anderson")</f>
        <v>Jerold Anderson</v>
      </c>
      <c r="E11292" t="s">
        <v>10444</v>
      </c>
      <c r="F11292" t="s">
        <v>10202</v>
      </c>
      <c r="G11292">
        <v>89</v>
      </c>
      <c r="H11292">
        <v>96.75</v>
      </c>
      <c r="I11292">
        <v>96.74</v>
      </c>
      <c r="J11292">
        <v>0.01</v>
      </c>
    </row>
    <row r="11293" spans="1:10" x14ac:dyDescent="0.3">
      <c r="A11293" t="str">
        <f>HYPERLINK("https://us2.cloudbeds.com/connect/10074733072513#/reservations/31725389172947?display=MXDC7GC77&amp;reservation_id=31725389172947", "MXDC7GC77")</f>
        <v>MXDC7GC77</v>
      </c>
      <c r="B11293" t="s">
        <v>10</v>
      </c>
      <c r="C11293" t="s">
        <v>23</v>
      </c>
      <c r="D11293" t="str">
        <f>HYPERLINK("https://us2.cloudbeds.com/connect/10074733072513#/reservations/31725389172947?display=Brian%20Herbst&amp;reservation_id=31725389172947&amp;guest_id=31687524618395", "Brian Herbst")</f>
        <v>Brian Herbst</v>
      </c>
      <c r="E11293" t="s">
        <v>4333</v>
      </c>
      <c r="F11293" t="s">
        <v>9259</v>
      </c>
      <c r="G11293">
        <v>258</v>
      </c>
      <c r="H11293">
        <v>280.45999999999998</v>
      </c>
      <c r="I11293">
        <v>280.45</v>
      </c>
      <c r="J11293">
        <v>0.01</v>
      </c>
    </row>
    <row r="11294" spans="1:10" x14ac:dyDescent="0.3">
      <c r="A11294" t="str">
        <f>HYPERLINK("https://us2.cloudbeds.com/connect/10074733072513#/reservations/31728868036781?display=MXG23VT6D&amp;reservation_id=31728868036781", "MXG23VT6D")</f>
        <v>MXG23VT6D</v>
      </c>
      <c r="B11294" t="s">
        <v>10</v>
      </c>
      <c r="C11294" t="s">
        <v>42</v>
      </c>
      <c r="D11294" t="str">
        <f>HYPERLINK("https://us2.cloudbeds.com/connect/10074733072513#/reservations/31728868036781?display=Andrew%20Pierce&amp;reservation_id=31728868036781&amp;guest_id=31688520413432", "Andrew Pierce")</f>
        <v>Andrew Pierce</v>
      </c>
      <c r="E11294" t="s">
        <v>7935</v>
      </c>
      <c r="F11294" t="s">
        <v>9930</v>
      </c>
      <c r="G11294">
        <v>420</v>
      </c>
      <c r="H11294">
        <v>456.55</v>
      </c>
      <c r="I11294">
        <v>456.54</v>
      </c>
      <c r="J11294">
        <v>0.01</v>
      </c>
    </row>
    <row r="11295" spans="1:10" x14ac:dyDescent="0.3">
      <c r="A11295" t="str">
        <f>HYPERLINK("https://us2.cloudbeds.com/connect/10074733072513#/reservations/31729335849180?display=MXGE2EEWN&amp;reservation_id=31729335849180", "MXGE2EEWN")</f>
        <v>MXGE2EEWN</v>
      </c>
      <c r="B11295" t="s">
        <v>10</v>
      </c>
      <c r="C11295" t="s">
        <v>42</v>
      </c>
      <c r="D11295" t="str">
        <f>HYPERLINK("https://us2.cloudbeds.com/connect/10074733072513#/reservations/31729335849180?display=Nick%20Sherman&amp;reservation_id=31729335849180&amp;guest_id=31687784452323", "Nick Sherman")</f>
        <v>Nick Sherman</v>
      </c>
      <c r="E11295" t="s">
        <v>9753</v>
      </c>
      <c r="F11295" t="s">
        <v>10445</v>
      </c>
      <c r="G11295">
        <v>336</v>
      </c>
      <c r="H11295">
        <v>365.24</v>
      </c>
      <c r="I11295">
        <v>365.23</v>
      </c>
      <c r="J11295">
        <v>0.01</v>
      </c>
    </row>
    <row r="11296" spans="1:10" x14ac:dyDescent="0.3">
      <c r="A11296" t="str">
        <f>HYPERLINK("https://us2.cloudbeds.com/connect/10074733072513#/reservations/31723223863550?display=MXBMTYEYV&amp;reservation_id=31723223863550", "MXBMTYEYV")</f>
        <v>MXBMTYEYV</v>
      </c>
      <c r="B11296" t="s">
        <v>10</v>
      </c>
      <c r="C11296" t="s">
        <v>14</v>
      </c>
      <c r="D11296" t="str">
        <f>HYPERLINK("https://us2.cloudbeds.com/connect/10074733072513#/reservations/31723223863550?display=Casey%20Cooper&amp;reservation_id=31723223863550&amp;guest_id=31723223863547", "Casey Cooper")</f>
        <v>Casey Cooper</v>
      </c>
      <c r="E11296" t="s">
        <v>10446</v>
      </c>
      <c r="F11296" t="s">
        <v>10432</v>
      </c>
      <c r="G11296">
        <v>87.82</v>
      </c>
      <c r="H11296">
        <v>95.47</v>
      </c>
      <c r="I11296">
        <v>95.46</v>
      </c>
      <c r="J11296">
        <v>0.01</v>
      </c>
    </row>
    <row r="11297" spans="1:10" x14ac:dyDescent="0.3">
      <c r="A11297" t="str">
        <f>HYPERLINK("https://us2.cloudbeds.com/connect/10074733072513#/reservations/31729166655710?display=MXG9ZPD2S&amp;reservation_id=31729166655710", "MXG9ZPD2S")</f>
        <v>MXG9ZPD2S</v>
      </c>
      <c r="B11297" t="s">
        <v>10</v>
      </c>
      <c r="C11297" t="s">
        <v>42</v>
      </c>
      <c r="D11297" t="str">
        <f>HYPERLINK("https://us2.cloudbeds.com/connect/10074733072513#/reservations/31729166655710?display=Kale%20Byron&amp;reservation_id=31729166655710&amp;guest_id=31729166651618", "Kale Byron")</f>
        <v>Kale Byron</v>
      </c>
      <c r="E11297" t="s">
        <v>10447</v>
      </c>
      <c r="F11297" t="s">
        <v>10202</v>
      </c>
      <c r="G11297">
        <v>238</v>
      </c>
      <c r="H11297">
        <v>258.72000000000003</v>
      </c>
      <c r="I11297">
        <v>258.70999999999998</v>
      </c>
      <c r="J11297">
        <v>0.01</v>
      </c>
    </row>
    <row r="11298" spans="1:10" x14ac:dyDescent="0.3">
      <c r="A11298" t="str">
        <f>HYPERLINK("https://us2.cloudbeds.com/connect/10074733072513#/reservations/31714444279938?display=MX4TXFJDN&amp;reservation_id=31714444279938", "MX4TXFJDN")</f>
        <v>MX4TXFJDN</v>
      </c>
      <c r="B11298" t="s">
        <v>10</v>
      </c>
      <c r="C11298" t="s">
        <v>17</v>
      </c>
      <c r="D11298" t="str">
        <f>HYPERLINK("https://us2.cloudbeds.com/connect/10074733072513#/reservations/31714444279938?display=Lisa%20Edelman&amp;reservation_id=31714444279938&amp;guest_id=31714444275847", "Lisa Edelman")</f>
        <v>Lisa Edelman</v>
      </c>
      <c r="E11298" t="s">
        <v>10448</v>
      </c>
      <c r="F11298" t="s">
        <v>10449</v>
      </c>
      <c r="G11298">
        <v>438</v>
      </c>
      <c r="H11298">
        <v>476.12</v>
      </c>
      <c r="I11298">
        <v>476.11</v>
      </c>
      <c r="J11298">
        <v>0.01</v>
      </c>
    </row>
    <row r="11299" spans="1:10" x14ac:dyDescent="0.3">
      <c r="A11299" t="str">
        <f>HYPERLINK("https://us2.cloudbeds.com/connect/10074733072513#/reservations/31723267748035?display=MXBZ0YJKR&amp;reservation_id=31723267748035", "MXBZ0YJKR")</f>
        <v>MXBZ0YJKR</v>
      </c>
      <c r="B11299" t="s">
        <v>10</v>
      </c>
      <c r="C11299" t="s">
        <v>11</v>
      </c>
      <c r="D11299" t="str">
        <f>HYPERLINK("https://us2.cloudbeds.com/connect/10074733072513#/reservations/31723267748035?display=Kenneth%20Hildebrand&amp;reservation_id=31723267748035&amp;guest_id=31723259027677", "Kenneth Hildebrand")</f>
        <v>Kenneth Hildebrand</v>
      </c>
      <c r="E11299" t="s">
        <v>10451</v>
      </c>
      <c r="F11299" t="s">
        <v>10432</v>
      </c>
      <c r="G11299">
        <v>87.82</v>
      </c>
      <c r="H11299">
        <v>95.47</v>
      </c>
      <c r="I11299">
        <v>95.46</v>
      </c>
      <c r="J11299">
        <v>0.01</v>
      </c>
    </row>
    <row r="11300" spans="1:10" x14ac:dyDescent="0.3">
      <c r="A11300" t="str">
        <f>HYPERLINK("https://us2.cloudbeds.com/connect/10074733072513#/reservations/31726549024983?display=MXE8SGVPK&amp;reservation_id=31726549024983", "MXE8SGVPK")</f>
        <v>MXE8SGVPK</v>
      </c>
      <c r="B11300" t="s">
        <v>10</v>
      </c>
      <c r="C11300" t="s">
        <v>121</v>
      </c>
      <c r="D11300" t="str">
        <f>HYPERLINK("https://us2.cloudbeds.com/connect/10074733072513#/reservations/31726549024983?display=Eric%20Engstrom&amp;reservation_id=31726549024983&amp;guest_id=31726542319804", "Eric Engstrom")</f>
        <v>Eric Engstrom</v>
      </c>
      <c r="E11300" t="s">
        <v>10452</v>
      </c>
      <c r="F11300" t="s">
        <v>9581</v>
      </c>
      <c r="G11300">
        <v>139</v>
      </c>
      <c r="H11300">
        <v>151.1</v>
      </c>
      <c r="I11300">
        <v>151.09</v>
      </c>
      <c r="J11300">
        <v>0.01</v>
      </c>
    </row>
    <row r="11301" spans="1:10" x14ac:dyDescent="0.3">
      <c r="A11301" t="str">
        <f>HYPERLINK("https://us2.cloudbeds.com/connect/10074733072513#/reservations/31723194990829?display=MXBM5A0K0&amp;reservation_id=31723194990829", "MXBM5A0K0")</f>
        <v>MXBM5A0K0</v>
      </c>
      <c r="B11301" t="s">
        <v>10</v>
      </c>
      <c r="C11301" t="s">
        <v>42</v>
      </c>
      <c r="D11301" t="str">
        <f>HYPERLINK("https://us2.cloudbeds.com/connect/10074733072513#/reservations/31723194990829?display=Ryan%20Audiss&amp;reservation_id=31723194990829&amp;guest_id=31723182067860", "Ryan Audiss")</f>
        <v>Ryan Audiss</v>
      </c>
      <c r="E11301" t="s">
        <v>10453</v>
      </c>
      <c r="F11301" t="s">
        <v>10432</v>
      </c>
      <c r="G11301">
        <v>119</v>
      </c>
      <c r="H11301">
        <v>129.36000000000001</v>
      </c>
      <c r="I11301">
        <v>129.35</v>
      </c>
      <c r="J11301">
        <v>0.01</v>
      </c>
    </row>
    <row r="11302" spans="1:10" x14ac:dyDescent="0.3">
      <c r="A11302" t="str">
        <f>HYPERLINK("https://us2.cloudbeds.com/connect/10074733072513#/reservations/31723267752131?display=MXBZ0YNCV&amp;reservation_id=31723267752131", "MXBZ0YNCV")</f>
        <v>MXBZ0YNCV</v>
      </c>
      <c r="B11302" t="s">
        <v>10</v>
      </c>
      <c r="C11302" t="s">
        <v>121</v>
      </c>
      <c r="D11302" t="str">
        <f>HYPERLINK("https://us2.cloudbeds.com/connect/10074733072513#/reservations/31723267752131?display=Austin%20Briggs&amp;reservation_id=31723267752131&amp;guest_id=31723267752128", "Austin Briggs")</f>
        <v>Austin Briggs</v>
      </c>
      <c r="E11302" t="s">
        <v>10454</v>
      </c>
      <c r="F11302" t="s">
        <v>10432</v>
      </c>
      <c r="G11302">
        <v>149</v>
      </c>
      <c r="H11302">
        <v>161.97</v>
      </c>
      <c r="I11302">
        <v>161.96</v>
      </c>
      <c r="J11302">
        <v>0.01</v>
      </c>
    </row>
    <row r="11303" spans="1:10" x14ac:dyDescent="0.3">
      <c r="A11303" t="str">
        <f>HYPERLINK("https://us2.cloudbeds.com/connect/10074733072513#/reservations/31723175723203?display=MXBYM1SYX&amp;reservation_id=31723175723203", "MXBYM1SYX")</f>
        <v>MXBYM1SYX</v>
      </c>
      <c r="B11303" t="s">
        <v>10</v>
      </c>
      <c r="C11303" t="s">
        <v>11</v>
      </c>
      <c r="D11303" t="str">
        <f>HYPERLINK("https://us2.cloudbeds.com/connect/10074733072513#/reservations/31723175723203?display=Chris%20Sanders&amp;reservation_id=31723175723203&amp;guest_id=31723160502505", "Chris Sanders")</f>
        <v>Chris Sanders</v>
      </c>
      <c r="E11303" t="s">
        <v>10455</v>
      </c>
      <c r="F11303" t="s">
        <v>10202</v>
      </c>
      <c r="G11303">
        <v>87.82</v>
      </c>
      <c r="H11303">
        <v>95.47</v>
      </c>
      <c r="I11303">
        <v>95.46</v>
      </c>
      <c r="J11303">
        <v>0.01</v>
      </c>
    </row>
    <row r="11304" spans="1:10" x14ac:dyDescent="0.3">
      <c r="A11304" t="str">
        <f>HYPERLINK("https://us2.cloudbeds.com/connect/10074733072513#/reservations/31724055044324?display=MXCB4H924&amp;reservation_id=31724055044324", "MXCB4H924")</f>
        <v>MXCB4H924</v>
      </c>
      <c r="B11304" t="s">
        <v>10</v>
      </c>
      <c r="C11304" t="s">
        <v>121</v>
      </c>
      <c r="D11304" t="str">
        <f>HYPERLINK("https://us2.cloudbeds.com/connect/10074733072513#/reservations/31724055044324?display=Luke%20Gallow&amp;reservation_id=31724055044324&amp;guest_id=31724055044307", "Luke Gallow")</f>
        <v>Luke Gallow</v>
      </c>
      <c r="E11304" t="s">
        <v>10457</v>
      </c>
      <c r="F11304" t="s">
        <v>10202</v>
      </c>
      <c r="G11304">
        <v>119</v>
      </c>
      <c r="H11304">
        <v>129.36000000000001</v>
      </c>
      <c r="I11304">
        <v>129.35</v>
      </c>
      <c r="J11304">
        <v>0.01</v>
      </c>
    </row>
    <row r="11305" spans="1:10" x14ac:dyDescent="0.3">
      <c r="A11305" t="str">
        <f>HYPERLINK("https://us2.cloudbeds.com/connect/10074733072513#/reservations/31729098379405?display=MXG806GZU&amp;reservation_id=31729098379405", "MXG806GZU")</f>
        <v>MXG806GZU</v>
      </c>
      <c r="B11305" t="s">
        <v>10</v>
      </c>
      <c r="C11305" t="s">
        <v>42</v>
      </c>
      <c r="D11305" t="str">
        <f>HYPERLINK("https://us2.cloudbeds.com/connect/10074733072513#/reservations/31729098379405?display=Marilee%20Rounds&amp;reservation_id=31729098379405&amp;guest_id=31729098379400", "Marilee Rounds")</f>
        <v>Marilee Rounds</v>
      </c>
      <c r="E11305" t="s">
        <v>10458</v>
      </c>
      <c r="F11305" t="s">
        <v>10383</v>
      </c>
      <c r="G11305">
        <v>258</v>
      </c>
      <c r="H11305">
        <v>280.45999999999998</v>
      </c>
      <c r="I11305">
        <v>280.45</v>
      </c>
      <c r="J11305">
        <v>0.01</v>
      </c>
    </row>
    <row r="11306" spans="1:10" x14ac:dyDescent="0.3">
      <c r="A11306" t="str">
        <f>HYPERLINK("https://us2.cloudbeds.com/connect/10074733072513#/reservations/31724044701835?display=MXCASQFRC&amp;reservation_id=31724044701835", "MXCASQFRC")</f>
        <v>MXCASQFRC</v>
      </c>
      <c r="B11306" t="s">
        <v>10</v>
      </c>
      <c r="C11306" t="s">
        <v>121</v>
      </c>
      <c r="D11306" t="str">
        <f>HYPERLINK("https://us2.cloudbeds.com/connect/10074733072513#/reservations/31724044701835?display=Judson%20Maggert&amp;reservation_id=31724044701835&amp;guest_id=31723678376133", "Judson Maggert")</f>
        <v>Judson Maggert</v>
      </c>
      <c r="E11306" t="s">
        <v>10302</v>
      </c>
      <c r="F11306" t="s">
        <v>10432</v>
      </c>
      <c r="G11306">
        <v>159</v>
      </c>
      <c r="H11306">
        <v>172.84</v>
      </c>
      <c r="I11306">
        <v>172.83</v>
      </c>
      <c r="J11306">
        <v>0.01</v>
      </c>
    </row>
    <row r="11307" spans="1:10" x14ac:dyDescent="0.3">
      <c r="A11307" t="str">
        <f>HYPERLINK("https://us2.cloudbeds.com/connect/10074733072513#/reservations/31728356905190?display=MXFM1VTHA&amp;reservation_id=31728356905190", "MXFM1VTHA")</f>
        <v>MXFM1VTHA</v>
      </c>
      <c r="B11307" t="s">
        <v>10</v>
      </c>
      <c r="C11307" t="s">
        <v>20</v>
      </c>
      <c r="D11307" t="str">
        <f>HYPERLINK("https://us2.cloudbeds.com/connect/10074733072513#/reservations/31728356905190?display=Mackenzie%20Bruning&amp;reservation_id=31728356905190&amp;guest_id=31728347803852", "Mackenzie Bruning")</f>
        <v>Mackenzie Bruning</v>
      </c>
      <c r="E11307" t="s">
        <v>10460</v>
      </c>
      <c r="F11307" t="s">
        <v>10202</v>
      </c>
      <c r="G11307">
        <v>119</v>
      </c>
      <c r="H11307">
        <v>129.36000000000001</v>
      </c>
      <c r="I11307">
        <v>129.35</v>
      </c>
      <c r="J11307">
        <v>0.01</v>
      </c>
    </row>
    <row r="11308" spans="1:10" x14ac:dyDescent="0.3">
      <c r="A11308" t="str">
        <f>HYPERLINK("https://us2.cloudbeds.com/connect/10074733072513#/reservations/31728370524366?display=MXFMDESYK&amp;reservation_id=31728370524366", "MXFMDESYK")</f>
        <v>MXFMDESYK</v>
      </c>
      <c r="B11308" t="s">
        <v>10</v>
      </c>
      <c r="C11308" t="s">
        <v>23</v>
      </c>
      <c r="D11308" t="str">
        <f>HYPERLINK("https://us2.cloudbeds.com/connect/10074733072513#/reservations/31728370524366?display=Ryan%20Johnson&amp;reservation_id=31728370524366&amp;guest_id=31689624715474", "Ryan Johnson")</f>
        <v>Ryan Johnson</v>
      </c>
      <c r="E11308" t="s">
        <v>7374</v>
      </c>
      <c r="F11308" t="s">
        <v>10202</v>
      </c>
      <c r="G11308">
        <v>129</v>
      </c>
      <c r="H11308">
        <v>140.22999999999999</v>
      </c>
      <c r="I11308">
        <v>140.22</v>
      </c>
      <c r="J11308">
        <v>0.01</v>
      </c>
    </row>
    <row r="11309" spans="1:10" x14ac:dyDescent="0.3">
      <c r="A11309" t="str">
        <f>HYPERLINK("https://us2.cloudbeds.com/connect/10074733072513#/reservations/31724868067501?display=MXCVU2RR3&amp;reservation_id=31724868067501", "MXCVU2RR3")</f>
        <v>MXCVU2RR3</v>
      </c>
      <c r="B11309" t="s">
        <v>10</v>
      </c>
      <c r="C11309" t="s">
        <v>17</v>
      </c>
      <c r="D11309" t="str">
        <f>HYPERLINK("https://us2.cloudbeds.com/connect/10074733072513#/reservations/31724868067501?display=Kevin%20Spaulding&amp;reservation_id=31724868067501&amp;guest_id=31724868067498", "Kevin Spaulding")</f>
        <v>Kevin Spaulding</v>
      </c>
      <c r="E11309" t="s">
        <v>10462</v>
      </c>
      <c r="F11309" t="s">
        <v>10415</v>
      </c>
      <c r="G11309">
        <v>467</v>
      </c>
      <c r="H11309">
        <v>507.64</v>
      </c>
      <c r="I11309">
        <v>507.63</v>
      </c>
      <c r="J11309">
        <v>0.01</v>
      </c>
    </row>
    <row r="11310" spans="1:10" x14ac:dyDescent="0.3">
      <c r="A11310" t="str">
        <f>HYPERLINK("https://us2.cloudbeds.com/connect/10074733072513#/reservations/31729450336470?display=MXGGWW7YH&amp;reservation_id=31729450336470", "MXGGWW7YH")</f>
        <v>MXGGWW7YH</v>
      </c>
      <c r="B11310" t="s">
        <v>10</v>
      </c>
      <c r="C11310" t="s">
        <v>14</v>
      </c>
      <c r="D11310" t="str">
        <f>HYPERLINK("https://us2.cloudbeds.com/connect/10074733072513#/reservations/31729450336470?display=Vince%20Lopez&amp;reservation_id=31729450336470&amp;guest_id=31729438462141", "Vince Lopez")</f>
        <v>Vince Lopez</v>
      </c>
      <c r="E11310" t="s">
        <v>10463</v>
      </c>
      <c r="F11310" t="s">
        <v>10383</v>
      </c>
      <c r="G11310">
        <v>102.58</v>
      </c>
      <c r="H11310">
        <v>111.51</v>
      </c>
      <c r="I11310">
        <v>111.5</v>
      </c>
      <c r="J11310">
        <v>0.01</v>
      </c>
    </row>
    <row r="11311" spans="1:10" x14ac:dyDescent="0.3">
      <c r="A11311" t="str">
        <f>HYPERLINK("https://us2.cloudbeds.com/connect/10074733072513#/reservations/31729470992582?display=MXGHHD0KA&amp;reservation_id=31729470992582", "MXGHHD0KA")</f>
        <v>MXGHHD0KA</v>
      </c>
      <c r="B11311" t="s">
        <v>10</v>
      </c>
      <c r="C11311" t="s">
        <v>42</v>
      </c>
      <c r="D11311" t="str">
        <f>HYPERLINK("https://us2.cloudbeds.com/connect/10074733072513#/reservations/31729470992582?display=Jeff%20Schleeter&amp;reservation_id=31729470992582&amp;guest_id=31729470992577", "Jeff Schleeter")</f>
        <v>Jeff Schleeter</v>
      </c>
      <c r="E11311" t="s">
        <v>9387</v>
      </c>
      <c r="F11311" t="s">
        <v>10383</v>
      </c>
      <c r="G11311">
        <v>89</v>
      </c>
      <c r="H11311">
        <v>96.75</v>
      </c>
      <c r="I11311">
        <v>96.74</v>
      </c>
      <c r="J11311">
        <v>0.01</v>
      </c>
    </row>
    <row r="11312" spans="1:10" x14ac:dyDescent="0.3">
      <c r="A11312" t="str">
        <f>HYPERLINK("https://us2.cloudbeds.com/connect/10074733072513#/reservations/31725601517726?display=MXDHYX5RG&amp;reservation_id=31725601517726", "MXDHYX5RG")</f>
        <v>MXDHYX5RG</v>
      </c>
      <c r="B11312" t="s">
        <v>10</v>
      </c>
      <c r="C11312" t="s">
        <v>11</v>
      </c>
      <c r="D11312" t="str">
        <f>HYPERLINK("https://us2.cloudbeds.com/connect/10074733072513#/reservations/31725601517726?display=Mark%20Vangelder&amp;reservation_id=31725601517726&amp;guest_id=31725601517724", "Mark Vangelder")</f>
        <v>Mark Vangelder</v>
      </c>
      <c r="E11312" t="s">
        <v>10464</v>
      </c>
      <c r="F11312" t="s">
        <v>10415</v>
      </c>
      <c r="G11312">
        <v>87.82</v>
      </c>
      <c r="H11312">
        <v>95.47</v>
      </c>
      <c r="I11312">
        <v>95.46</v>
      </c>
      <c r="J11312">
        <v>0.01</v>
      </c>
    </row>
    <row r="11313" spans="1:10" x14ac:dyDescent="0.3">
      <c r="A11313" t="str">
        <f>HYPERLINK("https://us2.cloudbeds.com/connect/10074733072513#/reservations/31728319504562?display=MXFY3E5GV&amp;reservation_id=31728319504562", "MXFY3E5GV")</f>
        <v>MXFY3E5GV</v>
      </c>
      <c r="B11313" t="s">
        <v>10</v>
      </c>
      <c r="C11313" t="s">
        <v>121</v>
      </c>
      <c r="D11313" t="str">
        <f>HYPERLINK("https://us2.cloudbeds.com/connect/10074733072513#/reservations/31728319504562?display=Vitalii%20Kharuk&amp;reservation_id=31728319504562&amp;guest_id=31728319504551", "Vitalii Kharuk")</f>
        <v>Vitalii Kharuk</v>
      </c>
      <c r="E11313" t="s">
        <v>10465</v>
      </c>
      <c r="F11313" t="s">
        <v>10202</v>
      </c>
      <c r="G11313">
        <v>119</v>
      </c>
      <c r="H11313">
        <v>129.36000000000001</v>
      </c>
      <c r="I11313">
        <v>129.35</v>
      </c>
      <c r="J11313">
        <v>0.01</v>
      </c>
    </row>
    <row r="11314" spans="1:10" x14ac:dyDescent="0.3">
      <c r="A11314" t="str">
        <f>HYPERLINK("https://us2.cloudbeds.com/connect/10074733072513#/reservations/31728334516448?display=MXFYG2THJ&amp;reservation_id=31728334516448", "MXFYG2THJ")</f>
        <v>MXFYG2THJ</v>
      </c>
      <c r="B11314" t="s">
        <v>10</v>
      </c>
      <c r="C11314" t="s">
        <v>121</v>
      </c>
      <c r="D11314" t="str">
        <f>HYPERLINK("https://us2.cloudbeds.com/connect/10074733072513#/reservations/31728334516448?display=Benjamin%20Kolbe&amp;reservation_id=31728334516448&amp;guest_id=31728334512354", "Benjamin Kolbe")</f>
        <v>Benjamin Kolbe</v>
      </c>
      <c r="E11314" t="s">
        <v>10466</v>
      </c>
      <c r="F11314" t="s">
        <v>10202</v>
      </c>
      <c r="G11314">
        <v>119</v>
      </c>
      <c r="H11314">
        <v>129.36000000000001</v>
      </c>
      <c r="I11314">
        <v>129.35</v>
      </c>
      <c r="J11314">
        <v>0.01</v>
      </c>
    </row>
    <row r="11315" spans="1:10" x14ac:dyDescent="0.3">
      <c r="A11315" t="str">
        <f>HYPERLINK("https://us2.cloudbeds.com/connect/10074733072513#/reservations/31729480401039?display=MXGHPAR52&amp;reservation_id=31729480401039", "MXGHPAR52")</f>
        <v>MXGHPAR52</v>
      </c>
      <c r="B11315" t="s">
        <v>10</v>
      </c>
      <c r="C11315" t="s">
        <v>121</v>
      </c>
      <c r="D11315" t="str">
        <f>HYPERLINK("https://us2.cloudbeds.com/connect/10074733072513#/reservations/31729480401039?display=Allen%20Cihak&amp;reservation_id=31729480401039&amp;guest_id=31719163981975", "Allen Cihak")</f>
        <v>Allen Cihak</v>
      </c>
      <c r="E11315" t="s">
        <v>10467</v>
      </c>
      <c r="F11315" t="s">
        <v>10383</v>
      </c>
      <c r="G11315">
        <v>129</v>
      </c>
      <c r="H11315">
        <v>140.22999999999999</v>
      </c>
      <c r="I11315">
        <v>140.22</v>
      </c>
      <c r="J11315">
        <v>0.01</v>
      </c>
    </row>
    <row r="11316" spans="1:10" x14ac:dyDescent="0.3">
      <c r="A11316" t="str">
        <f>HYPERLINK("https://us2.cloudbeds.com/connect/10074733072513#/reservations/31729490891002?display=MXGX15NQZ&amp;reservation_id=31729490891002", "MXGX15NQZ")</f>
        <v>MXGX15NQZ</v>
      </c>
      <c r="B11316" t="s">
        <v>10</v>
      </c>
      <c r="C11316" t="s">
        <v>42</v>
      </c>
      <c r="D11316" t="str">
        <f>HYPERLINK("https://us2.cloudbeds.com/connect/10074733072513#/reservations/31729490891002?display=George%20Kaufenberg&amp;reservation_id=31729490891002&amp;guest_id=31729490890998", "George Kaufenberg")</f>
        <v>George Kaufenberg</v>
      </c>
      <c r="E11316" t="s">
        <v>10468</v>
      </c>
      <c r="F11316" t="s">
        <v>10383</v>
      </c>
      <c r="G11316">
        <v>149</v>
      </c>
      <c r="H11316">
        <v>161.97</v>
      </c>
      <c r="I11316">
        <v>161.96</v>
      </c>
      <c r="J11316">
        <v>0.01</v>
      </c>
    </row>
    <row r="11317" spans="1:10" x14ac:dyDescent="0.3">
      <c r="A11317" t="str">
        <f>HYPERLINK("https://us2.cloudbeds.com/connect/10074733072513#/reservations/31729111605473?display=MXG8BBHTS&amp;reservation_id=31729111605473", "MXG8BBHTS")</f>
        <v>MXG8BBHTS</v>
      </c>
      <c r="B11317" t="s">
        <v>10</v>
      </c>
      <c r="C11317" t="s">
        <v>121</v>
      </c>
      <c r="D11317" t="str">
        <f>HYPERLINK("https://us2.cloudbeds.com/connect/10074733072513#/reservations/31729111605473?display=Peter%20Steiner&amp;reservation_id=31729111605473&amp;guest_id=31726090305719", "Peter Steiner")</f>
        <v>Peter Steiner</v>
      </c>
      <c r="E11317" t="s">
        <v>10469</v>
      </c>
      <c r="F11317" t="s">
        <v>10202</v>
      </c>
      <c r="G11317">
        <v>119</v>
      </c>
      <c r="H11317">
        <v>129.36000000000001</v>
      </c>
      <c r="I11317">
        <v>129.35</v>
      </c>
      <c r="J11317">
        <v>0.01</v>
      </c>
    </row>
    <row r="11318" spans="1:10" x14ac:dyDescent="0.3">
      <c r="A11318" t="str">
        <f>HYPERLINK("https://us2.cloudbeds.com/connect/10074733072513#/reservations/31724583481557?display=MXCZY3R1K&amp;reservation_id=31724583481557", "MXCZY3R1K")</f>
        <v>MXCZY3R1K</v>
      </c>
      <c r="B11318" t="s">
        <v>10</v>
      </c>
      <c r="C11318" t="s">
        <v>11</v>
      </c>
      <c r="D11318" t="str">
        <f>HYPERLINK("https://us2.cloudbeds.com/connect/10074733072513#/reservations/31724583481557?display=Mark%20Vangelder&amp;reservation_id=31724583481557&amp;guest_id=31724583481540", "Mark Vangelder")</f>
        <v>Mark Vangelder</v>
      </c>
      <c r="E11318" t="s">
        <v>10470</v>
      </c>
      <c r="F11318" t="s">
        <v>10258</v>
      </c>
      <c r="G11318">
        <v>87.82</v>
      </c>
      <c r="H11318">
        <v>95.47</v>
      </c>
      <c r="I11318">
        <v>95.46</v>
      </c>
      <c r="J11318">
        <v>0.01</v>
      </c>
    </row>
    <row r="11319" spans="1:10" x14ac:dyDescent="0.3">
      <c r="A11319" t="str">
        <f>HYPERLINK("https://us2.cloudbeds.com/connect/10074733072513#/reservations/31723182063769?display=MXBYRDA0U&amp;reservation_id=31723182063769", "MXBYRDA0U")</f>
        <v>MXBYRDA0U</v>
      </c>
      <c r="B11319" t="s">
        <v>10</v>
      </c>
      <c r="C11319" t="s">
        <v>14</v>
      </c>
      <c r="D11319" t="str">
        <f>HYPERLINK("https://us2.cloudbeds.com/connect/10074733072513#/reservations/31723182063769?display=Merrill%20Condon&amp;reservation_id=31723182063769&amp;guest_id=31723182063753", "Merrill Condon")</f>
        <v>Merrill Condon</v>
      </c>
      <c r="E11319" t="s">
        <v>10471</v>
      </c>
      <c r="F11319" t="s">
        <v>10202</v>
      </c>
      <c r="G11319">
        <v>87.82</v>
      </c>
      <c r="H11319">
        <v>95.47</v>
      </c>
      <c r="I11319">
        <v>95.46</v>
      </c>
      <c r="J11319">
        <v>0.01</v>
      </c>
    </row>
    <row r="11320" spans="1:10" x14ac:dyDescent="0.3">
      <c r="A11320" t="str">
        <f>HYPERLINK("https://us2.cloudbeds.com/connect/10074733072513#/reservations/31732388499682?display=MXXQ2GVGC&amp;reservation_id=31732388499682", "MXXQ2GVGC")</f>
        <v>MXXQ2GVGC</v>
      </c>
      <c r="B11320" t="s">
        <v>10</v>
      </c>
      <c r="C11320" t="s">
        <v>42</v>
      </c>
      <c r="D11320" t="str">
        <f>HYPERLINK("https://us2.cloudbeds.com/connect/10074733072513#/reservations/31732388499682?display=James%20Edward%20Torborg&amp;reservation_id=31732388499682&amp;guest_id=31676351418594", "James Edward Torborg")</f>
        <v>James Edward Torborg</v>
      </c>
      <c r="E11320" t="s">
        <v>7337</v>
      </c>
      <c r="F11320" t="s">
        <v>10383</v>
      </c>
      <c r="G11320">
        <v>99</v>
      </c>
      <c r="H11320">
        <v>107.62</v>
      </c>
      <c r="I11320">
        <v>107.61</v>
      </c>
      <c r="J11320">
        <v>0.01</v>
      </c>
    </row>
    <row r="11321" spans="1:10" x14ac:dyDescent="0.3">
      <c r="A11321" t="str">
        <f>HYPERLINK("https://us2.cloudbeds.com/connect/10074733072513#/reservations/31726256828598?display=MXE1D45HN&amp;reservation_id=31726256828598", "MXE1D45HN")</f>
        <v>MXE1D45HN</v>
      </c>
      <c r="B11321" t="s">
        <v>10</v>
      </c>
      <c r="C11321" t="s">
        <v>42</v>
      </c>
      <c r="D11321" t="str">
        <f>HYPERLINK("https://us2.cloudbeds.com/connect/10074733072513#/reservations/31726256828598?display=Leslee%20Mcgee&amp;reservation_id=31726256828598&amp;guest_id=31726246121695", "Leslee Mcgee")</f>
        <v>Leslee Mcgee</v>
      </c>
      <c r="E11321" t="s">
        <v>10472</v>
      </c>
      <c r="F11321" t="s">
        <v>8801</v>
      </c>
      <c r="G11321">
        <v>318</v>
      </c>
      <c r="H11321">
        <v>345.68</v>
      </c>
      <c r="I11321">
        <v>345.67</v>
      </c>
      <c r="J11321">
        <v>0.01</v>
      </c>
    </row>
    <row r="11322" spans="1:10" x14ac:dyDescent="0.3">
      <c r="A11322" t="str">
        <f>HYPERLINK("https://us2.cloudbeds.com/connect/10074733072513#/reservations/31732325171353?display=MXXZF3ZP3&amp;reservation_id=31732325171353", "MXXZF3ZP3")</f>
        <v>MXXZF3ZP3</v>
      </c>
      <c r="B11322" t="s">
        <v>10</v>
      </c>
      <c r="C11322" t="s">
        <v>42</v>
      </c>
      <c r="D11322" t="str">
        <f>HYPERLINK("https://us2.cloudbeds.com/connect/10074733072513#/reservations/31732325171353?display=Paul%20Hilina&amp;reservation_id=31732325171353&amp;guest_id=31732325167257", "Paul Hilina")</f>
        <v>Paul Hilina</v>
      </c>
      <c r="E11322" t="s">
        <v>10473</v>
      </c>
      <c r="F11322" t="s">
        <v>10242</v>
      </c>
      <c r="G11322">
        <v>129</v>
      </c>
      <c r="H11322">
        <v>140.22999999999999</v>
      </c>
      <c r="I11322">
        <v>140.22</v>
      </c>
      <c r="J11322">
        <v>0.01</v>
      </c>
    </row>
    <row r="11323" spans="1:10" x14ac:dyDescent="0.3">
      <c r="A11323" t="str">
        <f>HYPERLINK("https://us2.cloudbeds.com/connect/10074733072513#/reservations/31729845559533?display=MXGR37TXW&amp;reservation_id=31729845559533", "MXGR37TXW")</f>
        <v>MXGR37TXW</v>
      </c>
      <c r="B11323" t="s">
        <v>10</v>
      </c>
      <c r="C11323" t="s">
        <v>23</v>
      </c>
      <c r="D11323" t="str">
        <f>HYPERLINK("https://us2.cloudbeds.com/connect/10074733072513#/reservations/31729845559533?display=Vicki%20Anderson&amp;reservation_id=31729845559533&amp;guest_id=31729830514832", "Vicki Anderson")</f>
        <v>Vicki Anderson</v>
      </c>
      <c r="E11323" t="s">
        <v>10474</v>
      </c>
      <c r="F11323" t="s">
        <v>9930</v>
      </c>
      <c r="G11323">
        <v>179</v>
      </c>
      <c r="H11323">
        <v>194.58</v>
      </c>
      <c r="I11323">
        <v>194.57</v>
      </c>
      <c r="J11323">
        <v>0.01</v>
      </c>
    </row>
    <row r="11324" spans="1:10" x14ac:dyDescent="0.3">
      <c r="A11324" t="str">
        <f>HYPERLINK("https://us2.cloudbeds.com/connect/10074733072513#/reservations/31725895630986?display=MXDP5XA9H&amp;reservation_id=31725895630986", "MXDP5XA9H")</f>
        <v>MXDP5XA9H</v>
      </c>
      <c r="B11324" t="s">
        <v>10</v>
      </c>
      <c r="C11324" t="s">
        <v>17</v>
      </c>
      <c r="D11324" t="str">
        <f>HYPERLINK("https://us2.cloudbeds.com/connect/10074733072513#/reservations/31725895630986?display=Lauren%20Armijo&amp;reservation_id=31725895630986&amp;guest_id=31725895630982", "Lauren Armijo")</f>
        <v>Lauren Armijo</v>
      </c>
      <c r="E11324" t="s">
        <v>10475</v>
      </c>
      <c r="F11324" t="s">
        <v>10476</v>
      </c>
      <c r="G11324">
        <v>258</v>
      </c>
      <c r="H11324">
        <v>280.45999999999998</v>
      </c>
      <c r="I11324">
        <v>280.45</v>
      </c>
      <c r="J11324">
        <v>0.01</v>
      </c>
    </row>
    <row r="11325" spans="1:10" x14ac:dyDescent="0.3">
      <c r="A11325" t="str">
        <f>HYPERLINK("https://us2.cloudbeds.com/connect/10074733072513#/reservations/31725895626886?display=MXDP5X6H9&amp;reservation_id=31725895626886", "MXDP5X6H9")</f>
        <v>MXDP5X6H9</v>
      </c>
      <c r="B11325" t="s">
        <v>10</v>
      </c>
      <c r="C11325" t="s">
        <v>17</v>
      </c>
      <c r="D11325" t="str">
        <f>HYPERLINK("https://us2.cloudbeds.com/connect/10074733072513#/reservations/31725895626886?display=Ekko%20Depriest&amp;reservation_id=31725895626886&amp;guest_id=31725882650769", "Ekko Depriest")</f>
        <v>Ekko Depriest</v>
      </c>
      <c r="E11325" t="s">
        <v>10477</v>
      </c>
      <c r="F11325" t="s">
        <v>10476</v>
      </c>
      <c r="G11325">
        <v>258</v>
      </c>
      <c r="H11325">
        <v>280.45999999999998</v>
      </c>
      <c r="I11325">
        <v>280.45</v>
      </c>
      <c r="J11325">
        <v>0.01</v>
      </c>
    </row>
    <row r="11326" spans="1:10" x14ac:dyDescent="0.3">
      <c r="A11326" t="str">
        <f>HYPERLINK("https://us2.cloudbeds.com/connect/10074733072513#/reservations/31725873610995?display=MXDZJWXU2&amp;reservation_id=31725873610995", "MXDZJWXU2")</f>
        <v>MXDZJWXU2</v>
      </c>
      <c r="B11326" t="s">
        <v>10</v>
      </c>
      <c r="C11326" t="s">
        <v>17</v>
      </c>
      <c r="D11326" t="str">
        <f>HYPERLINK("https://us2.cloudbeds.com/connect/10074733072513#/reservations/31725873610995?display=Kristen%20Anderson&amp;reservation_id=31725873610995&amp;guest_id=31725873610993", "Kristen Anderson")</f>
        <v>Kristen Anderson</v>
      </c>
      <c r="E11326" t="s">
        <v>10478</v>
      </c>
      <c r="F11326" t="s">
        <v>10476</v>
      </c>
      <c r="G11326">
        <v>278</v>
      </c>
      <c r="H11326">
        <v>302.2</v>
      </c>
      <c r="I11326">
        <v>302.19</v>
      </c>
      <c r="J11326">
        <v>0.01</v>
      </c>
    </row>
    <row r="11327" spans="1:10" x14ac:dyDescent="0.3">
      <c r="A11327" t="str">
        <f>HYPERLINK("https://us2.cloudbeds.com/connect/10074733072513#/reservations/31725852418210?display=MXDZ23S4F&amp;reservation_id=31725852418210", "MXDZ23S4F")</f>
        <v>MXDZ23S4F</v>
      </c>
      <c r="B11327" t="s">
        <v>10</v>
      </c>
      <c r="C11327" t="s">
        <v>17</v>
      </c>
      <c r="D11327" t="str">
        <f>HYPERLINK("https://us2.cloudbeds.com/connect/10074733072513#/reservations/31725852418210?display=Nereyda%20Gonzalez&amp;reservation_id=31725852418210&amp;guest_id=31725852418205", "Nereyda Gonzalez")</f>
        <v>Nereyda Gonzalez</v>
      </c>
      <c r="E11327" t="s">
        <v>10479</v>
      </c>
      <c r="F11327" t="s">
        <v>10476</v>
      </c>
      <c r="G11327">
        <v>278</v>
      </c>
      <c r="H11327">
        <v>302.2</v>
      </c>
      <c r="I11327">
        <v>302.19</v>
      </c>
      <c r="J11327">
        <v>0.01</v>
      </c>
    </row>
    <row r="11328" spans="1:10" x14ac:dyDescent="0.3">
      <c r="A11328" t="str">
        <f>HYPERLINK("https://us2.cloudbeds.com/connect/10074733072513#/reservations/31724779483356?display=MXCTYCSB2&amp;reservation_id=31724779483356", "MXCTYCSB2")</f>
        <v>MXCTYCSB2</v>
      </c>
      <c r="B11328" t="s">
        <v>10</v>
      </c>
      <c r="C11328" t="s">
        <v>17</v>
      </c>
      <c r="D11328" t="str">
        <f>HYPERLINK("https://us2.cloudbeds.com/connect/10074733072513#/reservations/31724779483356?display=Jennifer%20Martin&amp;reservation_id=31724779483356&amp;guest_id=31724772245672", "Jennifer Martin")</f>
        <v>Jennifer Martin</v>
      </c>
      <c r="E11328" t="s">
        <v>10480</v>
      </c>
      <c r="F11328" t="s">
        <v>10476</v>
      </c>
      <c r="G11328">
        <v>278</v>
      </c>
      <c r="H11328">
        <v>302.2</v>
      </c>
      <c r="I11328">
        <v>302.19</v>
      </c>
      <c r="J11328">
        <v>0.01</v>
      </c>
    </row>
    <row r="11329" spans="1:10" x14ac:dyDescent="0.3">
      <c r="A11329" t="str">
        <f>HYPERLINK("https://us2.cloudbeds.com/connect/10074733072513#/reservations/31729547948274?display=MXGJG9DWW&amp;reservation_id=31729547948274", "MXGJG9DWW")</f>
        <v>MXGJG9DWW</v>
      </c>
      <c r="B11329" t="s">
        <v>10</v>
      </c>
      <c r="C11329" t="s">
        <v>42</v>
      </c>
      <c r="D11329" t="str">
        <f>HYPERLINK("https://us2.cloudbeds.com/connect/10074733072513#/reservations/31729547948274?display=Judson%20Maggert&amp;reservation_id=31729547948274&amp;guest_id=31723678376133", "Judson Maggert")</f>
        <v>Judson Maggert</v>
      </c>
      <c r="E11329" t="s">
        <v>10302</v>
      </c>
      <c r="F11329" t="s">
        <v>10383</v>
      </c>
      <c r="G11329">
        <v>169</v>
      </c>
      <c r="H11329">
        <v>183.71</v>
      </c>
      <c r="I11329">
        <v>183.7</v>
      </c>
      <c r="J11329">
        <v>0.01</v>
      </c>
    </row>
    <row r="11330" spans="1:10" x14ac:dyDescent="0.3">
      <c r="A11330" t="str">
        <f>HYPERLINK("https://us2.cloudbeds.com/connect/10074733072513#/reservations/31729543487650?display=MXGJCH9UX&amp;reservation_id=31729543487650", "MXGJCH9UX")</f>
        <v>MXGJCH9UX</v>
      </c>
      <c r="B11330" t="s">
        <v>10</v>
      </c>
      <c r="C11330" t="s">
        <v>42</v>
      </c>
      <c r="D11330" t="str">
        <f>HYPERLINK("https://us2.cloudbeds.com/connect/10074733072513#/reservations/31729543487650?display=Kiehler%20Curry&amp;reservation_id=31729543487650&amp;guest_id=31729532424402", "Kiehler Curry")</f>
        <v>Kiehler Curry</v>
      </c>
      <c r="E11330" t="s">
        <v>10482</v>
      </c>
      <c r="F11330" t="s">
        <v>10383</v>
      </c>
      <c r="G11330">
        <v>169</v>
      </c>
      <c r="H11330">
        <v>183.71</v>
      </c>
      <c r="I11330">
        <v>183.7</v>
      </c>
      <c r="J11330">
        <v>0.01</v>
      </c>
    </row>
    <row r="11331" spans="1:10" x14ac:dyDescent="0.3">
      <c r="A11331" t="str">
        <f>HYPERLINK("https://us2.cloudbeds.com/connect/10074733072513#/reservations/31726546960518?display=MXE8QPH11&amp;reservation_id=31726546960518", "MXE8QPH11")</f>
        <v>MXE8QPH11</v>
      </c>
      <c r="B11331" t="s">
        <v>10</v>
      </c>
      <c r="C11331" t="s">
        <v>23</v>
      </c>
      <c r="D11331" t="str">
        <f>HYPERLINK("https://us2.cloudbeds.com/connect/10074733072513#/reservations/31726546960518?display=Cody%20Johnson&amp;reservation_id=31726546960518&amp;guest_id=31726537625846", "Cody Johnson")</f>
        <v>Cody Johnson</v>
      </c>
      <c r="E11331" t="s">
        <v>10483</v>
      </c>
      <c r="F11331" t="s">
        <v>9621</v>
      </c>
      <c r="G11331">
        <v>278</v>
      </c>
      <c r="H11331">
        <v>302.2</v>
      </c>
      <c r="I11331">
        <v>302.19</v>
      </c>
      <c r="J11331">
        <v>0.01</v>
      </c>
    </row>
    <row r="11332" spans="1:10" x14ac:dyDescent="0.3">
      <c r="A11332" t="str">
        <f>HYPERLINK("https://us2.cloudbeds.com/connect/10074733072513#/reservations/31729076097223?display=MXG7EDFK9&amp;reservation_id=31729076097223", "MXG7EDFK9")</f>
        <v>MXG7EDFK9</v>
      </c>
      <c r="B11332" t="s">
        <v>10</v>
      </c>
      <c r="C11332" t="s">
        <v>23</v>
      </c>
      <c r="D11332" t="str">
        <f>HYPERLINK("https://us2.cloudbeds.com/connect/10074733072513#/reservations/31729076097223?display=Quinn%20Beecham&amp;reservation_id=31729076097223&amp;guest_id=31729065779372", "Quinn Beecham")</f>
        <v>Quinn Beecham</v>
      </c>
      <c r="E11332" t="s">
        <v>10484</v>
      </c>
      <c r="F11332" t="s">
        <v>10383</v>
      </c>
      <c r="G11332">
        <v>169</v>
      </c>
      <c r="H11332">
        <v>183.71</v>
      </c>
      <c r="I11332">
        <v>183.7</v>
      </c>
      <c r="J11332">
        <v>0.01</v>
      </c>
    </row>
    <row r="11333" spans="1:10" x14ac:dyDescent="0.3">
      <c r="A11333" t="str">
        <f>HYPERLINK("https://us2.cloudbeds.com/connect/10074733072513#/reservations/31732366684304?display=MXXPH3U0A&amp;reservation_id=31732366684304", "MXXPH3U0A")</f>
        <v>MXXPH3U0A</v>
      </c>
      <c r="B11333" t="s">
        <v>10</v>
      </c>
      <c r="C11333" t="s">
        <v>42</v>
      </c>
      <c r="D11333" t="str">
        <f>HYPERLINK("https://us2.cloudbeds.com/connect/10074733072513#/reservations/31732366684304?display=Ryan%20Kalina&amp;reservation_id=31732366684304&amp;guest_id=31723496874202", "Ryan Kalina")</f>
        <v>Ryan Kalina</v>
      </c>
      <c r="E11333" t="s">
        <v>10485</v>
      </c>
      <c r="F11333" t="s">
        <v>10242</v>
      </c>
      <c r="G11333">
        <v>129</v>
      </c>
      <c r="H11333">
        <v>140.22999999999999</v>
      </c>
      <c r="I11333">
        <v>140.22</v>
      </c>
      <c r="J11333">
        <v>0.01</v>
      </c>
    </row>
    <row r="11334" spans="1:10" x14ac:dyDescent="0.3">
      <c r="A11334" t="str">
        <f>HYPERLINK("https://us2.cloudbeds.com/connect/10074733072513#/reservations/31731386073297?display=MXX0F7VP8&amp;reservation_id=31731386073297", "MXX0F7VP8")</f>
        <v>MXX0F7VP8</v>
      </c>
      <c r="B11334" t="s">
        <v>10</v>
      </c>
      <c r="C11334" t="s">
        <v>17</v>
      </c>
      <c r="D11334" t="str">
        <f>HYPERLINK("https://us2.cloudbeds.com/connect/10074733072513#/reservations/31731386073297?display=Luke%20Olson&amp;reservation_id=31731386073297&amp;guest_id=31731386069242", "Luke Olson")</f>
        <v>Luke Olson</v>
      </c>
      <c r="E11334" t="s">
        <v>10076</v>
      </c>
      <c r="F11334" t="s">
        <v>10387</v>
      </c>
      <c r="G11334">
        <v>321.3</v>
      </c>
      <c r="H11334">
        <v>349.26</v>
      </c>
      <c r="I11334">
        <v>349.25</v>
      </c>
      <c r="J11334">
        <v>0.01</v>
      </c>
    </row>
    <row r="11335" spans="1:10" x14ac:dyDescent="0.3">
      <c r="A11335" t="str">
        <f>HYPERLINK("https://us2.cloudbeds.com/connect/10074733072513#/reservations/31731379806373?display=MXX09VJ0F&amp;reservation_id=31731379806373", "MXX09VJ0F")</f>
        <v>MXX09VJ0F</v>
      </c>
      <c r="B11335" t="s">
        <v>10</v>
      </c>
      <c r="C11335" t="s">
        <v>17</v>
      </c>
      <c r="D11335" t="str">
        <f>HYPERLINK("https://us2.cloudbeds.com/connect/10074733072513#/reservations/31731379806373?display=Tyler%20Reimann,%20Tyler&amp;reservation_id=31731379806373&amp;guest_id=31725106815169", "Tyler Reimann, Tyler")</f>
        <v>Tyler Reimann, Tyler</v>
      </c>
      <c r="E11335" t="s">
        <v>10076</v>
      </c>
      <c r="F11335" t="s">
        <v>10387</v>
      </c>
      <c r="G11335">
        <v>321.3</v>
      </c>
      <c r="H11335">
        <v>349.26</v>
      </c>
      <c r="I11335">
        <v>349.25</v>
      </c>
      <c r="J11335">
        <v>0.01</v>
      </c>
    </row>
    <row r="11336" spans="1:10" x14ac:dyDescent="0.3">
      <c r="A11336" t="str">
        <f>HYPERLINK("https://us2.cloudbeds.com/connect/10074733072513#/reservations/31731357532336?display=MXHWZ5PBY&amp;reservation_id=31731357532336", "MXHWZ5PBY")</f>
        <v>MXHWZ5PBY</v>
      </c>
      <c r="B11336" t="s">
        <v>10</v>
      </c>
      <c r="C11336" t="s">
        <v>17</v>
      </c>
      <c r="D11336" t="str">
        <f>HYPERLINK("https://us2.cloudbeds.com/connect/10074733072513#/reservations/31731357532336?display=Steve%20Veith&amp;reservation_id=31731357532336&amp;guest_id=31731357532331", "Steve Veith")</f>
        <v>Steve Veith</v>
      </c>
      <c r="E11336" t="s">
        <v>10076</v>
      </c>
      <c r="F11336" t="s">
        <v>10387</v>
      </c>
      <c r="G11336">
        <v>321.3</v>
      </c>
      <c r="H11336">
        <v>349.26</v>
      </c>
      <c r="I11336">
        <v>349.25</v>
      </c>
      <c r="J11336">
        <v>0.01</v>
      </c>
    </row>
    <row r="11337" spans="1:10" x14ac:dyDescent="0.3">
      <c r="A11337" t="str">
        <f>HYPERLINK("https://us2.cloudbeds.com/connect/10074733072513#/reservations/31729328017582?display=MXGDSRHEX&amp;reservation_id=31729328017582", "MXGDSRHEX")</f>
        <v>MXGDSRHEX</v>
      </c>
      <c r="B11337" t="s">
        <v>10</v>
      </c>
      <c r="C11337" t="s">
        <v>42</v>
      </c>
      <c r="D11337" t="str">
        <f>HYPERLINK("https://us2.cloudbeds.com/connect/10074733072513#/reservations/31729328017582?display=Brian%20Hatlestad&amp;reservation_id=31729328017582&amp;guest_id=31723233857745", "Brian Hatlestad")</f>
        <v>Brian Hatlestad</v>
      </c>
      <c r="E11337" t="s">
        <v>10486</v>
      </c>
      <c r="F11337" t="s">
        <v>10445</v>
      </c>
      <c r="G11337">
        <v>535.5</v>
      </c>
      <c r="H11337">
        <v>582.1</v>
      </c>
      <c r="I11337">
        <v>582.09</v>
      </c>
      <c r="J11337">
        <v>0.01</v>
      </c>
    </row>
    <row r="11338" spans="1:10" x14ac:dyDescent="0.3">
      <c r="A11338" t="str">
        <f>HYPERLINK("https://us2.cloudbeds.com/connect/10074733072513#/reservations/31725914816731?display=MXDPYZ61Z&amp;reservation_id=31725914816731", "MXDPYZ61Z")</f>
        <v>MXDPYZ61Z</v>
      </c>
      <c r="B11338" t="s">
        <v>10</v>
      </c>
      <c r="C11338" t="s">
        <v>17</v>
      </c>
      <c r="D11338" t="str">
        <f>HYPERLINK("https://us2.cloudbeds.com/connect/10074733072513#/reservations/31725914816731?display=Kim%20Romeril&amp;reservation_id=31725914816731&amp;guest_id=31725908320473", "Kim Romeril")</f>
        <v>Kim Romeril</v>
      </c>
      <c r="E11338" t="s">
        <v>10487</v>
      </c>
      <c r="F11338" t="s">
        <v>10476</v>
      </c>
      <c r="G11338">
        <v>258</v>
      </c>
      <c r="H11338">
        <v>280.45999999999998</v>
      </c>
      <c r="I11338">
        <v>280.45</v>
      </c>
      <c r="J11338">
        <v>0.01</v>
      </c>
    </row>
    <row r="11339" spans="1:10" x14ac:dyDescent="0.3">
      <c r="A11339" t="str">
        <f>HYPERLINK("https://us2.cloudbeds.com/connect/10074733072513#/reservations/31725932785837?display=MXDQ3T6K2&amp;reservation_id=31725932785837", "MXDQ3T6K2")</f>
        <v>MXDQ3T6K2</v>
      </c>
      <c r="B11339" t="s">
        <v>10</v>
      </c>
      <c r="C11339" t="s">
        <v>17</v>
      </c>
      <c r="D11339" t="str">
        <f>HYPERLINK("https://us2.cloudbeds.com/connect/10074733072513#/reservations/31725932785837?display=Jenni%20Hockman&amp;reservation_id=31725932785837&amp;guest_id=31725914820830", "Jenni Hockman")</f>
        <v>Jenni Hockman</v>
      </c>
      <c r="E11339" t="s">
        <v>10488</v>
      </c>
      <c r="F11339" t="s">
        <v>10476</v>
      </c>
      <c r="G11339">
        <v>258</v>
      </c>
      <c r="H11339">
        <v>280.45999999999998</v>
      </c>
      <c r="I11339">
        <v>280.45</v>
      </c>
      <c r="J11339">
        <v>0.01</v>
      </c>
    </row>
    <row r="11340" spans="1:10" x14ac:dyDescent="0.3">
      <c r="A11340" t="str">
        <f>HYPERLINK("https://us2.cloudbeds.com/connect/10074733072513#/reservations/31725934653669?display=MXDQ5F5Q2&amp;reservation_id=31725934653669", "MXDQ5F5Q2")</f>
        <v>MXDQ5F5Q2</v>
      </c>
      <c r="B11340" t="s">
        <v>10</v>
      </c>
      <c r="C11340" t="s">
        <v>17</v>
      </c>
      <c r="D11340" t="str">
        <f>HYPERLINK("https://us2.cloudbeds.com/connect/10074733072513#/reservations/31725934653669?display=Melissa%20Cassidy&amp;reservation_id=31725934653669&amp;guest_id=31725934653665", "Melissa Cassidy")</f>
        <v>Melissa Cassidy</v>
      </c>
      <c r="E11340" t="s">
        <v>10489</v>
      </c>
      <c r="F11340" t="s">
        <v>10476</v>
      </c>
      <c r="G11340">
        <v>258</v>
      </c>
      <c r="H11340">
        <v>280.45999999999998</v>
      </c>
      <c r="I11340">
        <v>280.45</v>
      </c>
      <c r="J11340">
        <v>0.01</v>
      </c>
    </row>
    <row r="11341" spans="1:10" x14ac:dyDescent="0.3">
      <c r="A11341" t="str">
        <f>HYPERLINK("https://us2.cloudbeds.com/connect/10074733072513#/reservations/31724420284629?display=MXCKFGKK5&amp;reservation_id=31724420284629", "MXCKFGKK5")</f>
        <v>MXCKFGKK5</v>
      </c>
      <c r="B11341" t="s">
        <v>10</v>
      </c>
      <c r="C11341" t="s">
        <v>17</v>
      </c>
      <c r="D11341" t="str">
        <f>HYPERLINK("https://us2.cloudbeds.com/connect/10074733072513#/reservations/31724420284629?display=Pam%20Montgomery&amp;reservation_id=31724420284629&amp;guest_id=31724420284624", "Pam Montgomery")</f>
        <v>Pam Montgomery</v>
      </c>
      <c r="E11341" t="s">
        <v>10490</v>
      </c>
      <c r="F11341" t="s">
        <v>10476</v>
      </c>
      <c r="G11341">
        <v>338</v>
      </c>
      <c r="H11341">
        <v>367.42</v>
      </c>
      <c r="I11341">
        <v>367.41</v>
      </c>
      <c r="J11341">
        <v>0.01</v>
      </c>
    </row>
    <row r="11342" spans="1:10" x14ac:dyDescent="0.3">
      <c r="A11342" t="str">
        <f>HYPERLINK("https://us2.cloudbeds.com/connect/10074733072513#/reservations/31724428574895?display=MXCKMGABB&amp;reservation_id=31724428574895", "MXCKMGABB")</f>
        <v>MXCKMGABB</v>
      </c>
      <c r="B11342" t="s">
        <v>10</v>
      </c>
      <c r="C11342" t="s">
        <v>17</v>
      </c>
      <c r="D11342" t="str">
        <f>HYPERLINK("https://us2.cloudbeds.com/connect/10074733072513#/reservations/31724428574895?display=Andrew%20Holmes&amp;reservation_id=31724428574895&amp;guest_id=31724428574893", "Andrew Holmes")</f>
        <v>Andrew Holmes</v>
      </c>
      <c r="E11342" t="s">
        <v>10491</v>
      </c>
      <c r="F11342" t="s">
        <v>10476</v>
      </c>
      <c r="G11342">
        <v>278</v>
      </c>
      <c r="H11342">
        <v>302.2</v>
      </c>
      <c r="I11342">
        <v>302.19</v>
      </c>
      <c r="J11342">
        <v>0.01</v>
      </c>
    </row>
    <row r="11343" spans="1:10" x14ac:dyDescent="0.3">
      <c r="A11343" t="str">
        <f>HYPERLINK("https://us2.cloudbeds.com/connect/10074733072513#/reservations/31725948166285?display=MXDQGS629&amp;reservation_id=31725948166285", "MXDQGS629")</f>
        <v>MXDQGS629</v>
      </c>
      <c r="B11343" t="s">
        <v>10</v>
      </c>
      <c r="C11343" t="s">
        <v>17</v>
      </c>
      <c r="D11343" t="str">
        <f>HYPERLINK("https://us2.cloudbeds.com/connect/10074733072513#/reservations/31725948166285?display=Tiffany%20Grant&amp;reservation_id=31725948166285&amp;guest_id=31725948166281", "Tiffany Grant")</f>
        <v>Tiffany Grant</v>
      </c>
      <c r="E11343" t="s">
        <v>10492</v>
      </c>
      <c r="F11343" t="s">
        <v>10476</v>
      </c>
      <c r="G11343">
        <v>258</v>
      </c>
      <c r="H11343">
        <v>280.45999999999998</v>
      </c>
      <c r="I11343">
        <v>280.45</v>
      </c>
      <c r="J11343">
        <v>0.01</v>
      </c>
    </row>
    <row r="11344" spans="1:10" x14ac:dyDescent="0.3">
      <c r="A11344" t="str">
        <f>HYPERLINK("https://us2.cloudbeds.com/connect/10074733072513#/reservations/31724449468567?display=MXCY73NET&amp;reservation_id=31724449468567", "MXCY73NET")</f>
        <v>MXCY73NET</v>
      </c>
      <c r="B11344" t="s">
        <v>10</v>
      </c>
      <c r="C11344" t="s">
        <v>17</v>
      </c>
      <c r="D11344" t="str">
        <f>HYPERLINK("https://us2.cloudbeds.com/connect/10074733072513#/reservations/31724449468567?display=Erin%20Carr&amp;reservation_id=31724449468567&amp;guest_id=31724439142603", "Erin Carr")</f>
        <v>Erin Carr</v>
      </c>
      <c r="E11344" t="s">
        <v>10493</v>
      </c>
      <c r="F11344" t="s">
        <v>10476</v>
      </c>
      <c r="G11344">
        <v>258</v>
      </c>
      <c r="H11344">
        <v>280.45999999999998</v>
      </c>
      <c r="I11344">
        <v>280.45</v>
      </c>
      <c r="J11344">
        <v>0.01</v>
      </c>
    </row>
    <row r="11345" spans="1:10" x14ac:dyDescent="0.3">
      <c r="A11345" t="str">
        <f>HYPERLINK("https://us2.cloudbeds.com/connect/10074733072513#/reservations/31724450992265?display=MXCY8D3KX&amp;reservation_id=31724450992265", "MXCY8D3KX")</f>
        <v>MXCY8D3KX</v>
      </c>
      <c r="B11345" t="s">
        <v>10</v>
      </c>
      <c r="C11345" t="s">
        <v>17</v>
      </c>
      <c r="D11345" t="str">
        <f>HYPERLINK("https://us2.cloudbeds.com/connect/10074733072513#/reservations/31724450992265?display=Dave%20Mattoon&amp;reservation_id=31724450992265&amp;guest_id=31724450992262", "Dave Mattoon")</f>
        <v>Dave Mattoon</v>
      </c>
      <c r="E11345" t="s">
        <v>10494</v>
      </c>
      <c r="F11345" t="s">
        <v>10476</v>
      </c>
      <c r="G11345">
        <v>278</v>
      </c>
      <c r="H11345">
        <v>302.2</v>
      </c>
      <c r="I11345">
        <v>302.19</v>
      </c>
      <c r="J11345">
        <v>0.01</v>
      </c>
    </row>
    <row r="11346" spans="1:10" x14ac:dyDescent="0.3">
      <c r="A11346" t="str">
        <f>HYPERLINK("https://us2.cloudbeds.com/connect/10074733072513#/reservations/31724460675292?display=MXCYGXX9Y&amp;reservation_id=31724460675292", "MXCYGXX9Y")</f>
        <v>MXCYGXX9Y</v>
      </c>
      <c r="B11346" t="s">
        <v>10</v>
      </c>
      <c r="C11346" t="s">
        <v>17</v>
      </c>
      <c r="D11346" t="str">
        <f>HYPERLINK("https://us2.cloudbeds.com/connect/10074733072513#/reservations/31724460675292?display=Gerardo%20Zavala&amp;reservation_id=31724460675292&amp;guest_id=31724460671200", "Gerardo Zavala")</f>
        <v>Gerardo Zavala</v>
      </c>
      <c r="E11346" t="s">
        <v>10495</v>
      </c>
      <c r="F11346" t="s">
        <v>10476</v>
      </c>
      <c r="G11346">
        <v>298</v>
      </c>
      <c r="H11346">
        <v>323.94</v>
      </c>
      <c r="I11346">
        <v>323.93</v>
      </c>
      <c r="J11346">
        <v>0.01</v>
      </c>
    </row>
    <row r="11347" spans="1:10" x14ac:dyDescent="0.3">
      <c r="A11347" t="str">
        <f>HYPERLINK("https://us2.cloudbeds.com/connect/10074733072513#/reservations/31724478136472?display=MXCYV9EEA&amp;reservation_id=31724478136472", "MXCYV9EEA")</f>
        <v>MXCYV9EEA</v>
      </c>
      <c r="B11347" t="s">
        <v>10</v>
      </c>
      <c r="C11347" t="s">
        <v>17</v>
      </c>
      <c r="D11347" t="str">
        <f>HYPERLINK("https://us2.cloudbeds.com/connect/10074733072513#/reservations/31724478136472?display=Frank%20Urquiza&amp;reservation_id=31724478136472&amp;guest_id=31724471439611", "Frank Urquiza")</f>
        <v>Frank Urquiza</v>
      </c>
      <c r="E11347" t="s">
        <v>10496</v>
      </c>
      <c r="F11347" t="s">
        <v>10476</v>
      </c>
      <c r="G11347">
        <v>258</v>
      </c>
      <c r="H11347">
        <v>280.45999999999998</v>
      </c>
      <c r="I11347">
        <v>280.45</v>
      </c>
      <c r="J11347">
        <v>0.01</v>
      </c>
    </row>
    <row r="11348" spans="1:10" x14ac:dyDescent="0.3">
      <c r="A11348" t="str">
        <f>HYPERLINK("https://us2.cloudbeds.com/connect/10074733072513#/reservations/31730222780643?display=MXH3ZAKPN&amp;reservation_id=31730222780643", "MXH3ZAKPN")</f>
        <v>MXH3ZAKPN</v>
      </c>
      <c r="B11348" t="s">
        <v>10</v>
      </c>
      <c r="C11348" t="s">
        <v>121</v>
      </c>
      <c r="D11348" t="str">
        <f>HYPERLINK("https://us2.cloudbeds.com/connect/10074733072513#/reservations/31730222780643?display=Adam%20Lambert&amp;reservation_id=31730222780643&amp;guest_id=31729814081691", "Adam Lambert")</f>
        <v>Adam Lambert</v>
      </c>
      <c r="E11348" t="s">
        <v>10497</v>
      </c>
      <c r="F11348" t="s">
        <v>9930</v>
      </c>
      <c r="G11348">
        <v>209</v>
      </c>
      <c r="H11348">
        <v>227.19</v>
      </c>
      <c r="I11348">
        <v>227.18</v>
      </c>
      <c r="J11348">
        <v>0.01</v>
      </c>
    </row>
    <row r="11349" spans="1:10" x14ac:dyDescent="0.3">
      <c r="A11349" t="str">
        <f>HYPERLINK("https://us2.cloudbeds.com/connect/10074733072513#/reservations/31730249175231?display=MXH4DJ37N&amp;reservation_id=31730249175231", "MXH4DJ37N")</f>
        <v>MXH4DJ37N</v>
      </c>
      <c r="B11349" t="s">
        <v>10</v>
      </c>
      <c r="C11349" t="s">
        <v>121</v>
      </c>
      <c r="D11349" t="str">
        <f>HYPERLINK("https://us2.cloudbeds.com/connect/10074733072513#/reservations/31730249175231?display=Antre%20Stone&amp;reservation_id=31730249175231&amp;guest_id=31730237292765", "Antre Stone")</f>
        <v>Antre Stone</v>
      </c>
      <c r="E11349" t="s">
        <v>10498</v>
      </c>
      <c r="F11349" t="s">
        <v>10242</v>
      </c>
      <c r="G11349">
        <v>129</v>
      </c>
      <c r="H11349">
        <v>140.22999999999999</v>
      </c>
      <c r="I11349">
        <v>140.22</v>
      </c>
      <c r="J11349">
        <v>0.01</v>
      </c>
    </row>
    <row r="11350" spans="1:10" x14ac:dyDescent="0.3">
      <c r="A11350" t="str">
        <f>HYPERLINK("https://us2.cloudbeds.com/connect/10074733072513#/reservations/31725965406417?display=MXDQVCU7H&amp;reservation_id=31725965406417", "MXDQVCU7H")</f>
        <v>MXDQVCU7H</v>
      </c>
      <c r="B11350" t="s">
        <v>10</v>
      </c>
      <c r="C11350" t="s">
        <v>17</v>
      </c>
      <c r="D11350" t="str">
        <f>HYPERLINK("https://us2.cloudbeds.com/connect/10074733072513#/reservations/31725965406417?display=Misty%20Todd&amp;reservation_id=31725965406417&amp;guest_id=31725965406413", "Misty Todd")</f>
        <v>Misty Todd</v>
      </c>
      <c r="E11350" t="s">
        <v>10499</v>
      </c>
      <c r="F11350" t="s">
        <v>10476</v>
      </c>
      <c r="G11350">
        <v>258</v>
      </c>
      <c r="H11350">
        <v>280.45999999999998</v>
      </c>
      <c r="I11350">
        <v>280.45</v>
      </c>
      <c r="J11350">
        <v>0.01</v>
      </c>
    </row>
    <row r="11351" spans="1:10" x14ac:dyDescent="0.3">
      <c r="A11351" t="str">
        <f>HYPERLINK("https://us2.cloudbeds.com/connect/10074733072513#/reservations/31726273212644?display=MXE1QV2XV&amp;reservation_id=31726273212644", "MXE1QV2XV")</f>
        <v>MXE1QV2XV</v>
      </c>
      <c r="B11351" t="s">
        <v>10</v>
      </c>
      <c r="C11351" t="s">
        <v>42</v>
      </c>
      <c r="D11351" t="str">
        <f>HYPERLINK("https://us2.cloudbeds.com/connect/10074733072513#/reservations/31726273212644?display=Wayne%20Abels&amp;reservation_id=31726273212644&amp;guest_id=31726273212642", "Wayne Abels")</f>
        <v>Wayne Abels</v>
      </c>
      <c r="E11351" t="s">
        <v>9461</v>
      </c>
      <c r="F11351" t="s">
        <v>9445</v>
      </c>
      <c r="G11351">
        <v>199</v>
      </c>
      <c r="H11351">
        <v>216.32</v>
      </c>
      <c r="I11351">
        <v>216.31</v>
      </c>
      <c r="J11351">
        <v>0.01</v>
      </c>
    </row>
    <row r="11352" spans="1:10" x14ac:dyDescent="0.3">
      <c r="A11352" t="str">
        <f>HYPERLINK("https://us2.cloudbeds.com/connect/10074733072513#/reservations/31725978841260?display=MXDR9NP2W&amp;reservation_id=31725978841260", "MXDR9NP2W")</f>
        <v>MXDR9NP2W</v>
      </c>
      <c r="B11352" t="s">
        <v>10</v>
      </c>
      <c r="C11352" t="s">
        <v>17</v>
      </c>
      <c r="D11352" t="str">
        <f>HYPERLINK("https://us2.cloudbeds.com/connect/10074733072513#/reservations/31725978841260?display=Felice%20Hill&amp;reservation_id=31725978841260&amp;guest_id=31725978841247", "Felice Hill")</f>
        <v>Felice Hill</v>
      </c>
      <c r="E11352" t="s">
        <v>10500</v>
      </c>
      <c r="F11352" t="s">
        <v>10476</v>
      </c>
      <c r="G11352">
        <v>258</v>
      </c>
      <c r="H11352">
        <v>280.45999999999998</v>
      </c>
      <c r="I11352">
        <v>280.45</v>
      </c>
      <c r="J11352">
        <v>0.01</v>
      </c>
    </row>
    <row r="11353" spans="1:10" x14ac:dyDescent="0.3">
      <c r="A11353" t="str">
        <f>HYPERLINK("https://us2.cloudbeds.com/connect/10074733072513#/reservations/31726370611359?display=MXE4A2B85&amp;reservation_id=31726370611359", "MXE4A2B85")</f>
        <v>MXE4A2B85</v>
      </c>
      <c r="B11353" t="s">
        <v>10</v>
      </c>
      <c r="C11353" t="s">
        <v>23</v>
      </c>
      <c r="D11353" t="str">
        <f>HYPERLINK("https://us2.cloudbeds.com/connect/10074733072513#/reservations/31726370611359?display=Sara%20Gayley&amp;reservation_id=31726370611359&amp;guest_id=31726370611341", "Sara Gayley")</f>
        <v>Sara Gayley</v>
      </c>
      <c r="E11353" t="s">
        <v>10502</v>
      </c>
      <c r="F11353" t="s">
        <v>8835</v>
      </c>
      <c r="G11353">
        <v>338</v>
      </c>
      <c r="H11353">
        <v>367.42</v>
      </c>
      <c r="I11353">
        <v>367.41</v>
      </c>
      <c r="J11353">
        <v>0.01</v>
      </c>
    </row>
    <row r="11354" spans="1:10" x14ac:dyDescent="0.3">
      <c r="A11354" t="str">
        <f>HYPERLINK("https://us2.cloudbeds.com/connect/10074733072513#/reservations/31729830510740?display=MXGQNX4YV&amp;reservation_id=31729830510740", "MXGQNX4YV")</f>
        <v>MXGQNX4YV</v>
      </c>
      <c r="B11354" t="s">
        <v>10</v>
      </c>
      <c r="C11354" t="s">
        <v>23</v>
      </c>
      <c r="D11354" t="str">
        <f>HYPERLINK("https://us2.cloudbeds.com/connect/10074733072513#/reservations/31729830510740?display=Melissa%20Hansen&amp;reservation_id=31729830510740&amp;guest_id=31729830510737", "Melissa Hansen")</f>
        <v>Melissa Hansen</v>
      </c>
      <c r="E11354" t="s">
        <v>10503</v>
      </c>
      <c r="F11354" t="s">
        <v>9445</v>
      </c>
      <c r="G11354">
        <v>219</v>
      </c>
      <c r="H11354">
        <v>238.06</v>
      </c>
      <c r="I11354">
        <v>238.05</v>
      </c>
      <c r="J11354">
        <v>0.01</v>
      </c>
    </row>
    <row r="11355" spans="1:10" x14ac:dyDescent="0.3">
      <c r="A11355" t="str">
        <f>HYPERLINK("https://us2.cloudbeds.com/connect/10074733072513#/reservations/31729826377911?display=MXGQK24JN&amp;reservation_id=31729826377911", "MXGQK24JN")</f>
        <v>MXGQK24JN</v>
      </c>
      <c r="B11355" t="s">
        <v>10</v>
      </c>
      <c r="C11355" t="s">
        <v>42</v>
      </c>
      <c r="D11355" t="str">
        <f>HYPERLINK("https://us2.cloudbeds.com/connect/10074733072513#/reservations/31729826377911?display=Adam%20Lambert&amp;reservation_id=31729826377911&amp;guest_id=31729814081691", "Adam Lambert")</f>
        <v>Adam Lambert</v>
      </c>
      <c r="E11355" t="s">
        <v>10497</v>
      </c>
      <c r="F11355" t="s">
        <v>9445</v>
      </c>
      <c r="G11355">
        <v>219</v>
      </c>
      <c r="H11355">
        <v>238.06</v>
      </c>
      <c r="I11355">
        <v>238.05</v>
      </c>
      <c r="J11355">
        <v>0.01</v>
      </c>
    </row>
    <row r="11356" spans="1:10" x14ac:dyDescent="0.3">
      <c r="A11356" t="str">
        <f>HYPERLINK("https://us2.cloudbeds.com/connect/10074733072513#/reservations/31726335570064?display=MXE3DH8ZZ&amp;reservation_id=31726335570064", "MXE3DH8ZZ")</f>
        <v>MXE3DH8ZZ</v>
      </c>
      <c r="B11356" t="s">
        <v>10</v>
      </c>
      <c r="C11356" t="s">
        <v>121</v>
      </c>
      <c r="D11356" t="str">
        <f>HYPERLINK("https://us2.cloudbeds.com/connect/10074733072513#/reservations/31726335570064?display=Merrill%20Condon&amp;reservation_id=31726335570064&amp;guest_id=31726335565983", "Merrill Condon")</f>
        <v>Merrill Condon</v>
      </c>
      <c r="E11356" t="s">
        <v>10504</v>
      </c>
      <c r="F11356" t="s">
        <v>9445</v>
      </c>
      <c r="G11356">
        <v>219</v>
      </c>
      <c r="H11356">
        <v>238.06</v>
      </c>
      <c r="I11356">
        <v>238.05</v>
      </c>
      <c r="J11356">
        <v>0.01</v>
      </c>
    </row>
    <row r="11357" spans="1:10" x14ac:dyDescent="0.3">
      <c r="A11357" t="str">
        <f>HYPERLINK("https://us2.cloudbeds.com/connect/10074733072513#/reservations/31726325059781?display=MXE34YQEA&amp;reservation_id=31726325059781", "MXE34YQEA")</f>
        <v>MXE34YQEA</v>
      </c>
      <c r="B11357" t="s">
        <v>10</v>
      </c>
      <c r="C11357" t="s">
        <v>20</v>
      </c>
      <c r="D11357" t="str">
        <f>HYPERLINK("https://us2.cloudbeds.com/connect/10074733072513#/reservations/31726325059781?display=Tiffaney%20Stoyanov&amp;reservation_id=31726325059781&amp;guest_id=31726325055690", "Tiffaney Stoyanov")</f>
        <v>Tiffaney Stoyanov</v>
      </c>
      <c r="E11357" t="s">
        <v>10505</v>
      </c>
      <c r="F11357" t="s">
        <v>9445</v>
      </c>
      <c r="G11357">
        <v>219</v>
      </c>
      <c r="H11357">
        <v>238.06</v>
      </c>
      <c r="I11357">
        <v>238.05</v>
      </c>
      <c r="J11357">
        <v>0.01</v>
      </c>
    </row>
    <row r="11358" spans="1:10" x14ac:dyDescent="0.3">
      <c r="A11358" t="str">
        <f>HYPERLINK("https://us2.cloudbeds.com/connect/10074733072513#/reservations/31725652762765?display=MXDXVP4QF&amp;reservation_id=31725652762765", "MXDXVP4QF")</f>
        <v>MXDXVP4QF</v>
      </c>
      <c r="B11358" t="s">
        <v>10</v>
      </c>
      <c r="C11358" t="s">
        <v>23</v>
      </c>
      <c r="D11358" t="str">
        <f>HYPERLINK("https://us2.cloudbeds.com/connect/10074733072513#/reservations/31725652762765?display=Jeffrey%20Schmidt&amp;reservation_id=31725652762765&amp;guest_id=31725652762753", "Jeffrey Schmidt")</f>
        <v>Jeffrey Schmidt</v>
      </c>
      <c r="E11358" t="s">
        <v>10507</v>
      </c>
      <c r="F11358" t="s">
        <v>9713</v>
      </c>
      <c r="G11358">
        <v>179</v>
      </c>
      <c r="H11358">
        <v>194.58</v>
      </c>
      <c r="I11358">
        <v>194.57</v>
      </c>
      <c r="J11358">
        <v>0.01</v>
      </c>
    </row>
    <row r="11359" spans="1:10" x14ac:dyDescent="0.3">
      <c r="A11359" t="str">
        <f>HYPERLINK("https://us2.cloudbeds.com/connect/10074733072513#/reservations/31727408546044?display=MXEUR9DAC&amp;reservation_id=31727408546044", "MXEUR9DAC")</f>
        <v>MXEUR9DAC</v>
      </c>
      <c r="B11359" t="s">
        <v>10</v>
      </c>
      <c r="C11359" t="s">
        <v>11</v>
      </c>
      <c r="D11359" t="str">
        <f>HYPERLINK("https://us2.cloudbeds.com/connect/10074733072513#/reservations/31727408546044?display=Karen%20Baker&amp;reservation_id=31727408546044&amp;guest_id=31727399649440", "Karen Baker")</f>
        <v>Karen Baker</v>
      </c>
      <c r="E11359" t="s">
        <v>10509</v>
      </c>
      <c r="F11359" t="s">
        <v>10510</v>
      </c>
      <c r="G11359">
        <v>87.82</v>
      </c>
      <c r="H11359">
        <v>95.47</v>
      </c>
      <c r="I11359">
        <v>95.46</v>
      </c>
      <c r="J11359">
        <v>0.01</v>
      </c>
    </row>
    <row r="11360" spans="1:10" x14ac:dyDescent="0.3">
      <c r="A11360" t="str">
        <f>HYPERLINK("https://us2.cloudbeds.com/connect/10074733072513#/reservations/31730419638495?display=MXH8PAG55&amp;reservation_id=31730419638495", "MXH8PAG55")</f>
        <v>MXH8PAG55</v>
      </c>
      <c r="B11360" t="s">
        <v>10</v>
      </c>
      <c r="C11360" t="s">
        <v>42</v>
      </c>
      <c r="D11360" t="str">
        <f>HYPERLINK("https://us2.cloudbeds.com/connect/10074733072513#/reservations/31730419638495?display=Nick%20Sherman&amp;reservation_id=31730419638495&amp;guest_id=31687784452323", "Nick Sherman")</f>
        <v>Nick Sherman</v>
      </c>
      <c r="E11360" t="s">
        <v>9753</v>
      </c>
      <c r="F11360" t="s">
        <v>10258</v>
      </c>
      <c r="G11360">
        <v>336</v>
      </c>
      <c r="H11360">
        <v>365.24</v>
      </c>
      <c r="I11360">
        <v>365.23</v>
      </c>
      <c r="J11360">
        <v>0.01</v>
      </c>
    </row>
    <row r="11361" spans="1:10" x14ac:dyDescent="0.3">
      <c r="A11361" t="str">
        <f>HYPERLINK("https://us2.cloudbeds.com/connect/10074733072513#/reservations/31724282204396?display=MXCGV2B5M&amp;reservation_id=31724282204396", "MXCGV2B5M")</f>
        <v>MXCGV2B5M</v>
      </c>
      <c r="B11361" t="s">
        <v>10</v>
      </c>
      <c r="C11361" t="s">
        <v>42</v>
      </c>
      <c r="D11361" t="str">
        <f>HYPERLINK("https://us2.cloudbeds.com/connect/10074733072513#/reservations/31724282204396?display=Vicki%20Yager&amp;reservation_id=31724282204396&amp;guest_id=31724282204393", "Vicki Yager")</f>
        <v>Vicki Yager</v>
      </c>
      <c r="E11361" t="s">
        <v>10511</v>
      </c>
      <c r="F11361" t="s">
        <v>10423</v>
      </c>
      <c r="G11361">
        <v>129</v>
      </c>
      <c r="H11361">
        <v>140.22999999999999</v>
      </c>
      <c r="I11361">
        <v>140.22</v>
      </c>
      <c r="J11361">
        <v>0.01</v>
      </c>
    </row>
    <row r="11362" spans="1:10" x14ac:dyDescent="0.3">
      <c r="A11362" t="str">
        <f>HYPERLINK("https://us2.cloudbeds.com/connect/10074733072513#/reservations/31727684276353?display=MXF4SQ069&amp;reservation_id=31727684276353", "MXF4SQ069")</f>
        <v>MXF4SQ069</v>
      </c>
      <c r="B11362" t="s">
        <v>10</v>
      </c>
      <c r="C11362" t="s">
        <v>14</v>
      </c>
      <c r="D11362" t="str">
        <f>HYPERLINK("https://us2.cloudbeds.com/connect/10074733072513#/reservations/31727684276353?display=Marianne%20Townley&amp;reservation_id=31727684276353&amp;guest_id=31727675285735", "Marianne Townley")</f>
        <v>Marianne Townley</v>
      </c>
      <c r="E11362" t="s">
        <v>10512</v>
      </c>
      <c r="F11362" t="s">
        <v>10510</v>
      </c>
      <c r="G11362">
        <v>105.78</v>
      </c>
      <c r="H11362">
        <v>114.99</v>
      </c>
      <c r="I11362">
        <v>114.98</v>
      </c>
      <c r="J11362">
        <v>0.01</v>
      </c>
    </row>
    <row r="11363" spans="1:10" x14ac:dyDescent="0.3">
      <c r="A11363" t="str">
        <f>HYPERLINK("https://us2.cloudbeds.com/connect/10074733072513#/reservations/31711438909587?display=MX2XP8Z0T&amp;reservation_id=31711438909587", "MX2XP8Z0T")</f>
        <v>MX2XP8Z0T</v>
      </c>
      <c r="B11363" t="s">
        <v>10</v>
      </c>
      <c r="C11363" t="s">
        <v>42</v>
      </c>
      <c r="D11363" t="str">
        <f>HYPERLINK("https://us2.cloudbeds.com/connect/10074733072513#/reservations/31711438909587?display=Jessica%20Nelson&amp;reservation_id=31711438909587&amp;guest_id=31711438909585", "Jessica Nelson")</f>
        <v>Jessica Nelson</v>
      </c>
      <c r="E11363" t="s">
        <v>10513</v>
      </c>
      <c r="F11363" t="s">
        <v>8603</v>
      </c>
      <c r="G11363">
        <v>298</v>
      </c>
      <c r="H11363">
        <v>323.94</v>
      </c>
      <c r="I11363">
        <v>323.93</v>
      </c>
      <c r="J11363">
        <v>0.01</v>
      </c>
    </row>
    <row r="11364" spans="1:10" x14ac:dyDescent="0.3">
      <c r="A11364" t="str">
        <f>HYPERLINK("https://us2.cloudbeds.com/connect/10074733072513#/reservations/31726454530266?display=MXE6ERGPB&amp;reservation_id=31726454530266", "MXE6ERGPB")</f>
        <v>MXE6ERGPB</v>
      </c>
      <c r="B11364" t="s">
        <v>10</v>
      </c>
      <c r="C11364" t="s">
        <v>17</v>
      </c>
      <c r="D11364" t="str">
        <f>HYPERLINK("https://us2.cloudbeds.com/connect/10074733072513#/reservations/31726454530266?display=Terry%20Griggs&amp;reservation_id=31726454530266&amp;guest_id=31726454530250", "Terry Griggs")</f>
        <v>Terry Griggs</v>
      </c>
      <c r="E11364" t="s">
        <v>10514</v>
      </c>
      <c r="F11364" t="s">
        <v>10312</v>
      </c>
      <c r="G11364">
        <v>139</v>
      </c>
      <c r="H11364">
        <v>151.1</v>
      </c>
      <c r="I11364">
        <v>151.09</v>
      </c>
      <c r="J11364">
        <v>0.01</v>
      </c>
    </row>
    <row r="11365" spans="1:10" x14ac:dyDescent="0.3">
      <c r="A11365" t="str">
        <f>HYPERLINK("https://us2.cloudbeds.com/connect/10074733072513#/reservations/31731466658009?display=MXX2H6BJ7&amp;reservation_id=31731466658009", "MXX2H6BJ7")</f>
        <v>MXX2H6BJ7</v>
      </c>
      <c r="B11365" t="s">
        <v>10</v>
      </c>
      <c r="C11365" t="s">
        <v>14</v>
      </c>
      <c r="D11365" t="str">
        <f>HYPERLINK("https://us2.cloudbeds.com/connect/10074733072513#/reservations/31731466658009?display=William%20Mische&amp;reservation_id=31731466658009&amp;guest_id=31731466657992", "William Mische")</f>
        <v>William Mische</v>
      </c>
      <c r="E11365" t="s">
        <v>10515</v>
      </c>
      <c r="F11365" t="s">
        <v>10387</v>
      </c>
      <c r="G11365">
        <v>105.78</v>
      </c>
      <c r="H11365">
        <v>114.99</v>
      </c>
      <c r="I11365">
        <v>114.98</v>
      </c>
      <c r="J11365">
        <v>0.01</v>
      </c>
    </row>
    <row r="11366" spans="1:10" x14ac:dyDescent="0.3">
      <c r="A11366" t="str">
        <f>HYPERLINK("https://us2.cloudbeds.com/connect/10074733072513#/reservations/31728756187333?display=MXFW8YD1Q&amp;reservation_id=31728756187333", "MXFW8YD1Q")</f>
        <v>MXFW8YD1Q</v>
      </c>
      <c r="B11366" t="s">
        <v>10</v>
      </c>
      <c r="C11366" t="s">
        <v>121</v>
      </c>
      <c r="D11366" t="str">
        <f>HYPERLINK("https://us2.cloudbeds.com/connect/10074733072513#/reservations/31728756187333?display=Daniel%20Harmon&amp;reservation_id=31728756187333&amp;guest_id=31728756183256", "Daniel Harmon")</f>
        <v>Daniel Harmon</v>
      </c>
      <c r="E11366" t="s">
        <v>10516</v>
      </c>
      <c r="F11366" t="s">
        <v>9056</v>
      </c>
      <c r="G11366">
        <v>119</v>
      </c>
      <c r="H11366">
        <v>129.36000000000001</v>
      </c>
      <c r="I11366">
        <v>129.35</v>
      </c>
      <c r="J11366">
        <v>0.01</v>
      </c>
    </row>
    <row r="11367" spans="1:10" x14ac:dyDescent="0.3">
      <c r="A11367" t="str">
        <f>HYPERLINK("https://us2.cloudbeds.com/connect/10074733072513#/reservations/31729286889634?display=MXGCR52Z3&amp;reservation_id=31729286889634", "MXGCR52Z3")</f>
        <v>MXGCR52Z3</v>
      </c>
      <c r="B11367" t="s">
        <v>10</v>
      </c>
      <c r="C11367" t="s">
        <v>42</v>
      </c>
      <c r="D11367" t="str">
        <f>HYPERLINK("https://us2.cloudbeds.com/connect/10074733072513#/reservations/31729286889634?display=Marilee%20Rounds&amp;reservation_id=31729286889634&amp;guest_id=31729286885536", "Marilee Rounds")</f>
        <v>Marilee Rounds</v>
      </c>
      <c r="E11367" t="s">
        <v>10458</v>
      </c>
      <c r="F11367" t="s">
        <v>10445</v>
      </c>
      <c r="G11367">
        <v>536</v>
      </c>
      <c r="H11367">
        <v>582.64</v>
      </c>
      <c r="I11367">
        <v>582.63</v>
      </c>
      <c r="J11367">
        <v>0.01</v>
      </c>
    </row>
    <row r="11368" spans="1:10" x14ac:dyDescent="0.3">
      <c r="A11368" t="str">
        <f>HYPERLINK("https://us2.cloudbeds.com/connect/10074733072513#/reservations/31725582758115?display=MXDH5Z5CE&amp;reservation_id=31725582758115", "MXDH5Z5CE")</f>
        <v>MXDH5Z5CE</v>
      </c>
      <c r="B11368" t="s">
        <v>10</v>
      </c>
      <c r="C11368" t="s">
        <v>11</v>
      </c>
      <c r="D11368" t="str">
        <f>HYPERLINK("https://us2.cloudbeds.com/connect/10074733072513#/reservations/31725582758115?display=Odelia%20Paleafei&amp;reservation_id=31725582758115&amp;guest_id=31725582754020", "Odelia Paleafei")</f>
        <v>Odelia Paleafei</v>
      </c>
      <c r="E11368" t="s">
        <v>10517</v>
      </c>
      <c r="F11368" t="s">
        <v>10415</v>
      </c>
      <c r="G11368">
        <v>205.16</v>
      </c>
      <c r="H11368">
        <v>223.02</v>
      </c>
      <c r="I11368">
        <v>223.01</v>
      </c>
      <c r="J11368">
        <v>0.01</v>
      </c>
    </row>
    <row r="11369" spans="1:10" x14ac:dyDescent="0.3">
      <c r="A11369" t="str">
        <f>HYPERLINK("https://us2.cloudbeds.com/connect/10074733072513#/reservations/31731340775575?display=MXHWA1G20&amp;reservation_id=31731340775575", "MXHWA1G20")</f>
        <v>MXHWA1G20</v>
      </c>
      <c r="B11369" t="s">
        <v>10</v>
      </c>
      <c r="C11369" t="s">
        <v>42</v>
      </c>
      <c r="D11369" t="str">
        <f>HYPERLINK("https://us2.cloudbeds.com/connect/10074733072513#/reservations/31731340775575?display=Mark%20Frederickson&amp;reservation_id=31731340775575&amp;guest_id=31731340775562", "Mark Frederickson")</f>
        <v>Mark Frederickson</v>
      </c>
      <c r="E11369" t="s">
        <v>10518</v>
      </c>
      <c r="F11369" t="s">
        <v>8544</v>
      </c>
      <c r="G11369">
        <v>159</v>
      </c>
      <c r="H11369">
        <v>172.84</v>
      </c>
      <c r="I11369">
        <v>172.83</v>
      </c>
      <c r="J11369">
        <v>0.01</v>
      </c>
    </row>
    <row r="11370" spans="1:10" x14ac:dyDescent="0.3">
      <c r="A11370" t="str">
        <f>HYPERLINK("https://us2.cloudbeds.com/connect/10074733072513#/reservations/31726123561154?display=MXDUWZQXA&amp;reservation_id=31726123561154", "MXDUWZQXA")</f>
        <v>MXDUWZQXA</v>
      </c>
      <c r="B11370" t="s">
        <v>10</v>
      </c>
      <c r="C11370" t="s">
        <v>11</v>
      </c>
      <c r="D11370" t="str">
        <f>HYPERLINK("https://us2.cloudbeds.com/connect/10074733072513#/reservations/31726123561154?display=John%20Carnival&amp;reservation_id=31726123561154&amp;guest_id=31726111949027", "John Carnival")</f>
        <v>John Carnival</v>
      </c>
      <c r="E11370" t="s">
        <v>10519</v>
      </c>
      <c r="F11370" t="s">
        <v>10146</v>
      </c>
      <c r="G11370">
        <v>87.82</v>
      </c>
      <c r="H11370">
        <v>95.47</v>
      </c>
      <c r="I11370">
        <v>95.46</v>
      </c>
      <c r="J11370">
        <v>0.01</v>
      </c>
    </row>
    <row r="11371" spans="1:10" x14ac:dyDescent="0.3">
      <c r="A11371" t="str">
        <f>HYPERLINK("https://us2.cloudbeds.com/connect/10074733072513#/reservations/31726632095904?display=MXEAWXHK8&amp;reservation_id=31726632095904", "MXEAWXHK8")</f>
        <v>MXEAWXHK8</v>
      </c>
      <c r="B11371" t="s">
        <v>10</v>
      </c>
      <c r="C11371" t="s">
        <v>23</v>
      </c>
      <c r="D11371" t="str">
        <f>HYPERLINK("https://us2.cloudbeds.com/connect/10074733072513#/reservations/31726632095904?display=Robert%20Rabenberg&amp;reservation_id=31726632095904&amp;guest_id=31726632095899", "Robert Rabenberg")</f>
        <v>Robert Rabenberg</v>
      </c>
      <c r="E11371" t="s">
        <v>10520</v>
      </c>
      <c r="F11371" t="s">
        <v>9740</v>
      </c>
      <c r="G11371">
        <v>189</v>
      </c>
      <c r="H11371">
        <v>205.45</v>
      </c>
      <c r="I11371">
        <v>205.44</v>
      </c>
      <c r="J11371">
        <v>0.01</v>
      </c>
    </row>
    <row r="11372" spans="1:10" x14ac:dyDescent="0.3">
      <c r="A11372" t="str">
        <f>HYPERLINK("https://us2.cloudbeds.com/connect/10074733072513#/reservations/31726167031964?display=MXDW3DEYX&amp;reservation_id=31726167031964", "MXDW3DEYX")</f>
        <v>MXDW3DEYX</v>
      </c>
      <c r="B11372" t="s">
        <v>10</v>
      </c>
      <c r="C11372" t="s">
        <v>11</v>
      </c>
      <c r="D11372" t="str">
        <f>HYPERLINK("https://us2.cloudbeds.com/connect/10074733072513#/reservations/31726167031964?display=Emily%20Simmons&amp;reservation_id=31726167031964&amp;guest_id=31726154772687", "Emily Simmons")</f>
        <v>Emily Simmons</v>
      </c>
      <c r="E11372" t="s">
        <v>10522</v>
      </c>
      <c r="F11372" t="s">
        <v>10146</v>
      </c>
      <c r="G11372">
        <v>87.82</v>
      </c>
      <c r="H11372">
        <v>95.47</v>
      </c>
      <c r="I11372">
        <v>95.46</v>
      </c>
      <c r="J11372">
        <v>0.01</v>
      </c>
    </row>
    <row r="11373" spans="1:10" x14ac:dyDescent="0.3">
      <c r="A11373" t="str">
        <f>HYPERLINK("https://us2.cloudbeds.com/connect/10074733072513#/reservations/31729353490656?display=MXGEHABMT&amp;reservation_id=31729353490656", "MXGEHABMT")</f>
        <v>MXGEHABMT</v>
      </c>
      <c r="B11373" t="s">
        <v>10</v>
      </c>
      <c r="C11373" t="s">
        <v>42</v>
      </c>
      <c r="D11373" t="str">
        <f>HYPERLINK("https://us2.cloudbeds.com/connect/10074733072513#/reservations/31729353490656?display=Andrew%20Aflague&amp;reservation_id=31729353490656&amp;guest_id=31729353490651", "Andrew Aflague")</f>
        <v>Andrew Aflague</v>
      </c>
      <c r="E11373" t="s">
        <v>10324</v>
      </c>
      <c r="F11373" t="s">
        <v>10445</v>
      </c>
      <c r="G11373">
        <v>252</v>
      </c>
      <c r="H11373">
        <v>273.93</v>
      </c>
      <c r="I11373">
        <v>273.92</v>
      </c>
      <c r="J11373">
        <v>0.01</v>
      </c>
    </row>
    <row r="11374" spans="1:10" x14ac:dyDescent="0.3">
      <c r="A11374" t="str">
        <f>HYPERLINK("https://us2.cloudbeds.com/connect/10074733072513#/reservations/31729018290378?display=MXG5VYU3N&amp;reservation_id=31729018290378", "MXG5VYU3N")</f>
        <v>MXG5VYU3N</v>
      </c>
      <c r="B11374" t="s">
        <v>10</v>
      </c>
      <c r="C11374" t="s">
        <v>14</v>
      </c>
      <c r="D11374" t="str">
        <f>HYPERLINK("https://us2.cloudbeds.com/connect/10074733072513#/reservations/31729018290378?display=Zachary%20Antonovich&amp;reservation_id=31729018290378&amp;guest_id=31729018290376", "Zachary Antonovich")</f>
        <v>Zachary Antonovich</v>
      </c>
      <c r="E11374" t="s">
        <v>10523</v>
      </c>
      <c r="F11374" t="s">
        <v>10146</v>
      </c>
      <c r="G11374">
        <v>87.82</v>
      </c>
      <c r="H11374">
        <v>95.47</v>
      </c>
      <c r="I11374">
        <v>95.46</v>
      </c>
      <c r="J11374">
        <v>0.01</v>
      </c>
    </row>
    <row r="11375" spans="1:10" x14ac:dyDescent="0.3">
      <c r="A11375" t="str">
        <f>HYPERLINK("https://us2.cloudbeds.com/connect/10074733072513#/reservations/31727703531652?display=MXF5C0QR6&amp;reservation_id=31727703531652", "MXF5C0QR6")</f>
        <v>MXF5C0QR6</v>
      </c>
      <c r="B11375" t="s">
        <v>10</v>
      </c>
      <c r="C11375" t="s">
        <v>42</v>
      </c>
      <c r="D11375" t="str">
        <f>HYPERLINK("https://us2.cloudbeds.com/connect/10074733072513#/reservations/31727703531652?display=Adam%20Hall&amp;reservation_id=31727703531652&amp;guest_id=31696003088517", "Adam Hall")</f>
        <v>Adam Hall</v>
      </c>
      <c r="E11375" t="s">
        <v>9114</v>
      </c>
      <c r="F11375" t="s">
        <v>10510</v>
      </c>
      <c r="G11375">
        <v>73</v>
      </c>
      <c r="H11375">
        <v>79.36</v>
      </c>
      <c r="I11375">
        <v>79.349999999999994</v>
      </c>
      <c r="J11375">
        <v>0.01</v>
      </c>
    </row>
    <row r="11376" spans="1:10" x14ac:dyDescent="0.3">
      <c r="A11376" t="str">
        <f>HYPERLINK("https://us2.cloudbeds.com/connect/10074733072513#/reservations/31727506260130?display=MXF0AMEJ9&amp;reservation_id=31727506260130", "MXF0AMEJ9")</f>
        <v>MXF0AMEJ9</v>
      </c>
      <c r="B11376" t="s">
        <v>10</v>
      </c>
      <c r="C11376" t="s">
        <v>23</v>
      </c>
      <c r="D11376" t="str">
        <f>HYPERLINK("https://us2.cloudbeds.com/connect/10074733072513#/reservations/31727506260130?display=Charles%20Ross&amp;reservation_id=31727506260130&amp;guest_id=31727506260115", "Charles Ross")</f>
        <v>Charles Ross</v>
      </c>
      <c r="E11376" t="s">
        <v>10524</v>
      </c>
      <c r="F11376" t="s">
        <v>10336</v>
      </c>
      <c r="G11376">
        <v>159</v>
      </c>
      <c r="H11376">
        <v>172.84</v>
      </c>
      <c r="I11376">
        <v>172.83</v>
      </c>
      <c r="J11376">
        <v>0.01</v>
      </c>
    </row>
    <row r="11377" spans="1:10" x14ac:dyDescent="0.3">
      <c r="A11377" t="str">
        <f>HYPERLINK("https://us2.cloudbeds.com/connect/10074733072513#/reservations/31727362539701?display=MXETYG6TP&amp;reservation_id=31727362539701", "MXETYG6TP")</f>
        <v>MXETYG6TP</v>
      </c>
      <c r="B11377" t="s">
        <v>10</v>
      </c>
      <c r="C11377" t="s">
        <v>14</v>
      </c>
      <c r="D11377" t="str">
        <f>HYPERLINK("https://us2.cloudbeds.com/connect/10074733072513#/reservations/31727362539701?display=Melissa%20Carlson&amp;reservation_id=31727362539701&amp;guest_id=31727352004828", "Melissa Carlson")</f>
        <v>Melissa Carlson</v>
      </c>
      <c r="E11377" t="s">
        <v>10525</v>
      </c>
      <c r="F11377" t="s">
        <v>10146</v>
      </c>
      <c r="G11377">
        <v>87.82</v>
      </c>
      <c r="H11377">
        <v>95.47</v>
      </c>
      <c r="I11377">
        <v>95.46</v>
      </c>
      <c r="J11377">
        <v>0.01</v>
      </c>
    </row>
    <row r="11378" spans="1:10" x14ac:dyDescent="0.3">
      <c r="A11378" t="str">
        <f>HYPERLINK("https://us2.cloudbeds.com/connect/10074733072513#/reservations/31726171054215?display=MXDW6QC5W&amp;reservation_id=31726171054215", "MXDW6QC5W")</f>
        <v>MXDW6QC5W</v>
      </c>
      <c r="B11378" t="s">
        <v>10</v>
      </c>
      <c r="C11378" t="s">
        <v>121</v>
      </c>
      <c r="D11378" t="str">
        <f>HYPERLINK("https://us2.cloudbeds.com/connect/10074733072513#/reservations/31726171054215?display=David%20O'Hara&amp;reservation_id=31726171054215&amp;guest_id=31726171054210", "David O'Hara")</f>
        <v>David O'Hara</v>
      </c>
      <c r="E11378" t="s">
        <v>10529</v>
      </c>
      <c r="F11378" t="s">
        <v>10146</v>
      </c>
      <c r="G11378">
        <v>119</v>
      </c>
      <c r="H11378">
        <v>129.36000000000001</v>
      </c>
      <c r="I11378">
        <v>129.35</v>
      </c>
      <c r="J11378">
        <v>0.01</v>
      </c>
    </row>
    <row r="11379" spans="1:10" x14ac:dyDescent="0.3">
      <c r="A11379" t="str">
        <f>HYPERLINK("https://us2.cloudbeds.com/connect/10074733072513#/reservations/31724123517153?display=MXCCT8KSB&amp;reservation_id=31724123517153", "MXCCT8KSB")</f>
        <v>MXCCT8KSB</v>
      </c>
      <c r="B11379" t="s">
        <v>10</v>
      </c>
      <c r="C11379" t="s">
        <v>23</v>
      </c>
      <c r="D11379" t="str">
        <f>HYPERLINK("https://us2.cloudbeds.com/connect/10074733072513#/reservations/31724123517153?display=Briand%20Davis&amp;reservation_id=31724123517153&amp;guest_id=31724123517125", "Briand Davis")</f>
        <v>Briand Davis</v>
      </c>
      <c r="E11379" t="s">
        <v>10530</v>
      </c>
      <c r="F11379" t="s">
        <v>9713</v>
      </c>
      <c r="G11379">
        <v>159</v>
      </c>
      <c r="H11379">
        <v>172.84</v>
      </c>
      <c r="I11379">
        <v>172.83</v>
      </c>
      <c r="J11379">
        <v>0.01</v>
      </c>
    </row>
    <row r="11380" spans="1:10" x14ac:dyDescent="0.3">
      <c r="A11380" t="str">
        <f>HYPERLINK("https://us2.cloudbeds.com/connect/10074733072513#/reservations/31731398254838?display=MXX0PGUZS&amp;reservation_id=31731398254838", "MXX0PGUZS")</f>
        <v>MXX0PGUZS</v>
      </c>
      <c r="B11380" t="s">
        <v>10</v>
      </c>
      <c r="C11380" t="s">
        <v>17</v>
      </c>
      <c r="D11380" t="str">
        <f>HYPERLINK("https://us2.cloudbeds.com/connect/10074733072513#/reservations/31731398254838?display=Michael%20Beckers&amp;reservation_id=31731398254838&amp;guest_id=31731398254818", "Michael Beckers")</f>
        <v>Michael Beckers</v>
      </c>
      <c r="E11380" t="s">
        <v>10531</v>
      </c>
      <c r="F11380" t="s">
        <v>10445</v>
      </c>
      <c r="G11380">
        <v>149</v>
      </c>
      <c r="H11380">
        <v>161.97</v>
      </c>
      <c r="I11380">
        <v>161.96</v>
      </c>
      <c r="J11380">
        <v>0.01</v>
      </c>
    </row>
    <row r="11381" spans="1:10" x14ac:dyDescent="0.3">
      <c r="A11381" t="str">
        <f>HYPERLINK("https://us2.cloudbeds.com/connect/10074733072513#/reservations/31727399645348?display=MXEUJPZ1A&amp;reservation_id=31727399645348", "MXEUJPZ1A")</f>
        <v>MXEUJPZ1A</v>
      </c>
      <c r="B11381" t="s">
        <v>10</v>
      </c>
      <c r="C11381" t="s">
        <v>121</v>
      </c>
      <c r="D11381" t="str">
        <f>HYPERLINK("https://us2.cloudbeds.com/connect/10074733072513#/reservations/31727399645348?display=Lucas%20Wosje&amp;reservation_id=31727399645348&amp;guest_id=31687794884827", "Lucas Wosje")</f>
        <v>Lucas Wosje</v>
      </c>
      <c r="E11381" t="s">
        <v>7900</v>
      </c>
      <c r="F11381" t="s">
        <v>10146</v>
      </c>
      <c r="G11381">
        <v>119</v>
      </c>
      <c r="H11381">
        <v>129.36000000000001</v>
      </c>
      <c r="I11381">
        <v>129.35</v>
      </c>
      <c r="J11381">
        <v>0.01</v>
      </c>
    </row>
    <row r="11382" spans="1:10" x14ac:dyDescent="0.3">
      <c r="A11382" t="str">
        <f>HYPERLINK("https://us2.cloudbeds.com/connect/10074733072513#/reservations/31727675285737?display=MXF4Y6RBC&amp;reservation_id=31727675285737", "MXF4Y6RBC")</f>
        <v>MXF4Y6RBC</v>
      </c>
      <c r="B11382" t="s">
        <v>10</v>
      </c>
      <c r="C11382" t="s">
        <v>17</v>
      </c>
      <c r="D11382" t="str">
        <f>HYPERLINK("https://us2.cloudbeds.com/connect/10074733072513#/reservations/31727675285737?display=Charlie%20Dotzler&amp;reservation_id=31727675285737&amp;guest_id=31727675285718", "Charlie Dotzler")</f>
        <v>Charlie Dotzler</v>
      </c>
      <c r="E11382" t="s">
        <v>10533</v>
      </c>
      <c r="F11382" t="s">
        <v>10534</v>
      </c>
      <c r="G11382">
        <v>119</v>
      </c>
      <c r="H11382">
        <v>129.36000000000001</v>
      </c>
      <c r="I11382">
        <v>129.35</v>
      </c>
      <c r="J11382">
        <v>0.01</v>
      </c>
    </row>
    <row r="11383" spans="1:10" x14ac:dyDescent="0.3">
      <c r="A11383" t="str">
        <f>HYPERLINK("https://us2.cloudbeds.com/connect/10074733072513#/reservations/31728541479087?display=MXFQPJUSN&amp;reservation_id=31728541479087", "MXFQPJUSN")</f>
        <v>MXFQPJUSN</v>
      </c>
      <c r="B11383" t="s">
        <v>10</v>
      </c>
      <c r="C11383" t="s">
        <v>42</v>
      </c>
      <c r="D11383" t="str">
        <f>HYPERLINK("https://us2.cloudbeds.com/connect/10074733072513#/reservations/31728541479087?display=Jammie%20Koepp&amp;reservation_id=31728541479087&amp;guest_id=31728529260756", "Jammie Koepp")</f>
        <v>Jammie Koepp</v>
      </c>
      <c r="E11383" t="s">
        <v>10536</v>
      </c>
      <c r="F11383" t="s">
        <v>7649</v>
      </c>
      <c r="G11383">
        <v>149</v>
      </c>
      <c r="H11383">
        <v>161.97</v>
      </c>
      <c r="I11383">
        <v>161.96</v>
      </c>
      <c r="J11383">
        <v>0.01</v>
      </c>
    </row>
    <row r="11384" spans="1:10" x14ac:dyDescent="0.3">
      <c r="A11384" t="str">
        <f>HYPERLINK("https://us2.cloudbeds.com/connect/10074733072513#/reservations/31727367008388?display=MXETP8XCH&amp;reservation_id=31727367008388", "MXETP8XCH")</f>
        <v>MXETP8XCH</v>
      </c>
      <c r="B11384" t="s">
        <v>10</v>
      </c>
      <c r="C11384" t="s">
        <v>23</v>
      </c>
      <c r="D11384" t="str">
        <f>HYPERLINK("https://us2.cloudbeds.com/connect/10074733072513#/reservations/31727367008388?display=Trevin%20Waddell&amp;reservation_id=31727367008388&amp;guest_id=31727360000235", "Trevin Waddell")</f>
        <v>Trevin Waddell</v>
      </c>
      <c r="E11384" t="s">
        <v>10537</v>
      </c>
      <c r="F11384" t="s">
        <v>9632</v>
      </c>
      <c r="G11384">
        <v>119</v>
      </c>
      <c r="H11384">
        <v>129.36000000000001</v>
      </c>
      <c r="I11384">
        <v>129.35</v>
      </c>
      <c r="J11384">
        <v>0.01</v>
      </c>
    </row>
    <row r="11385" spans="1:10" x14ac:dyDescent="0.3">
      <c r="A11385" t="str">
        <f>HYPERLINK("https://us2.cloudbeds.com/connect/10074733072513#/reservations/31728610492554?display=MXFSHQB3T&amp;reservation_id=31728610492554", "MXFSHQB3T")</f>
        <v>MXFSHQB3T</v>
      </c>
      <c r="B11385" t="s">
        <v>10</v>
      </c>
      <c r="C11385" t="s">
        <v>121</v>
      </c>
      <c r="D11385" t="str">
        <f>HYPERLINK("https://us2.cloudbeds.com/connect/10074733072513#/reservations/31728610492554?display=Lauren%20Bing&amp;reservation_id=31728610492554&amp;guest_id=31728610492550", "Lauren Bing")</f>
        <v>Lauren Bing</v>
      </c>
      <c r="E11385" t="s">
        <v>10538</v>
      </c>
      <c r="F11385" t="s">
        <v>10387</v>
      </c>
      <c r="G11385">
        <v>119</v>
      </c>
      <c r="H11385">
        <v>129.36000000000001</v>
      </c>
      <c r="I11385">
        <v>129.35</v>
      </c>
      <c r="J11385">
        <v>0.01</v>
      </c>
    </row>
    <row r="11386" spans="1:10" x14ac:dyDescent="0.3">
      <c r="A11386" t="str">
        <f>HYPERLINK("https://us2.cloudbeds.com/connect/10074733072513#/reservations/31727720976567?display=MXF5QZ80W&amp;reservation_id=31727720976567", "MXF5QZ80W")</f>
        <v>MXF5QZ80W</v>
      </c>
      <c r="B11386" t="s">
        <v>10</v>
      </c>
      <c r="C11386" t="s">
        <v>42</v>
      </c>
      <c r="D11386" t="str">
        <f>HYPERLINK("https://us2.cloudbeds.com/connect/10074733072513#/reservations/31727720976567?display=Ashkyn%20Obryan&amp;reservation_id=31727720976567&amp;guest_id=31727720976563", "Ashkyn Obryan")</f>
        <v>Ashkyn Obryan</v>
      </c>
      <c r="E11386" t="s">
        <v>10539</v>
      </c>
      <c r="F11386" t="s">
        <v>8801</v>
      </c>
      <c r="G11386">
        <v>209</v>
      </c>
      <c r="H11386">
        <v>227.19</v>
      </c>
      <c r="I11386">
        <v>227.18</v>
      </c>
      <c r="J11386">
        <v>0.01</v>
      </c>
    </row>
    <row r="11387" spans="1:10" x14ac:dyDescent="0.3">
      <c r="A11387" t="str">
        <f>HYPERLINK("https://us2.cloudbeds.com/connect/10074733072513#/reservations/31721920610510?display=MXAMJNGZJ&amp;reservation_id=31721920610510", "MXAMJNGZJ")</f>
        <v>MXAMJNGZJ</v>
      </c>
      <c r="B11387" t="s">
        <v>10</v>
      </c>
      <c r="C11387" t="s">
        <v>20</v>
      </c>
      <c r="D11387" t="str">
        <f>HYPERLINK("https://us2.cloudbeds.com/connect/10074733072513#/reservations/31721920610510?display=Lenny%20Koepke&amp;reservation_id=31721920610510&amp;guest_id=31721920606461", "Lenny Koepke")</f>
        <v>Lenny Koepke</v>
      </c>
      <c r="E11387" t="s">
        <v>10540</v>
      </c>
      <c r="F11387" t="s">
        <v>10288</v>
      </c>
      <c r="G11387">
        <v>318</v>
      </c>
      <c r="H11387">
        <v>345.68</v>
      </c>
      <c r="I11387">
        <v>345.67</v>
      </c>
      <c r="J11387">
        <v>0.01</v>
      </c>
    </row>
    <row r="11388" spans="1:10" x14ac:dyDescent="0.3">
      <c r="A11388" t="str">
        <f>HYPERLINK("https://us2.cloudbeds.com/connect/10074733072513#/reservations/31713728716933?display=MX4B92WP9&amp;reservation_id=31713728716933", "MX4B92WP9")</f>
        <v>MX4B92WP9</v>
      </c>
      <c r="B11388" t="s">
        <v>10</v>
      </c>
      <c r="C11388" t="s">
        <v>23</v>
      </c>
      <c r="D11388" t="str">
        <f>HYPERLINK("https://us2.cloudbeds.com/connect/10074733072513#/reservations/31713728716933?display=Erica%20Venhuizen&amp;reservation_id=31713728716933&amp;guest_id=31713728716928", "Erica Venhuizen")</f>
        <v>Erica Venhuizen</v>
      </c>
      <c r="E11388" t="s">
        <v>10542</v>
      </c>
      <c r="F11388" t="s">
        <v>10543</v>
      </c>
      <c r="G11388">
        <v>119</v>
      </c>
      <c r="H11388">
        <v>129.36000000000001</v>
      </c>
      <c r="I11388">
        <v>129.35</v>
      </c>
      <c r="J11388">
        <v>0.01</v>
      </c>
    </row>
    <row r="11389" spans="1:10" x14ac:dyDescent="0.3">
      <c r="A11389" t="str">
        <f>HYPERLINK("https://us2.cloudbeds.com/connect/10074733072513#/reservations/31728941031658?display=MXG3WH2FC&amp;reservation_id=31728941031658", "MXG3WH2FC")</f>
        <v>MXG3WH2FC</v>
      </c>
      <c r="B11389" t="s">
        <v>10</v>
      </c>
      <c r="C11389" t="s">
        <v>20</v>
      </c>
      <c r="D11389" t="str">
        <f>HYPERLINK("https://us2.cloudbeds.com/connect/10074733072513#/reservations/31728941031658?display=Patricia%20Ashwill&amp;reservation_id=31728941031658&amp;guest_id=31728941031655", "Patricia Ashwill")</f>
        <v>Patricia Ashwill</v>
      </c>
      <c r="E11389" t="s">
        <v>10545</v>
      </c>
      <c r="F11389" t="s">
        <v>10387</v>
      </c>
      <c r="G11389">
        <v>119</v>
      </c>
      <c r="H11389">
        <v>129.36000000000001</v>
      </c>
      <c r="I11389">
        <v>129.35</v>
      </c>
      <c r="J11389">
        <v>0.01</v>
      </c>
    </row>
    <row r="11390" spans="1:10" x14ac:dyDescent="0.3">
      <c r="A11390" t="str">
        <f>HYPERLINK("https://us2.cloudbeds.com/connect/10074733072513#/reservations/31728954175743?display=MXG4AJRAW&amp;reservation_id=31728954175743", "MXG4AJRAW")</f>
        <v>MXG4AJRAW</v>
      </c>
      <c r="B11390" t="s">
        <v>10</v>
      </c>
      <c r="C11390" t="s">
        <v>14</v>
      </c>
      <c r="D11390" t="str">
        <f>HYPERLINK("https://us2.cloudbeds.com/connect/10074733072513#/reservations/31728954175743?display=Donnie%20Shannon&amp;reservation_id=31728954175743&amp;guest_id=31728954175740", "Donnie Shannon")</f>
        <v>Donnie Shannon</v>
      </c>
      <c r="E11390" t="s">
        <v>10546</v>
      </c>
      <c r="F11390" t="s">
        <v>10387</v>
      </c>
      <c r="G11390">
        <v>87.82</v>
      </c>
      <c r="H11390">
        <v>95.47</v>
      </c>
      <c r="I11390">
        <v>95.46</v>
      </c>
      <c r="J11390">
        <v>0.01</v>
      </c>
    </row>
    <row r="11391" spans="1:10" x14ac:dyDescent="0.3">
      <c r="A11391" t="str">
        <f>HYPERLINK("https://us2.cloudbeds.com/connect/10074733072513#/reservations/31729310564525?display=MXGDE3SP1&amp;reservation_id=31729310564525", "MXGDE3SP1")</f>
        <v>MXGDE3SP1</v>
      </c>
      <c r="B11391" t="s">
        <v>10</v>
      </c>
      <c r="C11391" t="s">
        <v>42</v>
      </c>
      <c r="D11391" t="str">
        <f>HYPERLINK("https://us2.cloudbeds.com/connect/10074733072513#/reservations/31729310564525?display=Skyler%20Roberts&amp;reservation_id=31729310564525&amp;guest_id=31729310564503", "Skyler Roberts")</f>
        <v>Skyler Roberts</v>
      </c>
      <c r="E11391" t="s">
        <v>10547</v>
      </c>
      <c r="F11391" t="s">
        <v>10445</v>
      </c>
      <c r="G11391">
        <v>129</v>
      </c>
      <c r="H11391">
        <v>140.22999999999999</v>
      </c>
      <c r="I11391">
        <v>140.22</v>
      </c>
      <c r="J11391">
        <v>0.01</v>
      </c>
    </row>
    <row r="11392" spans="1:10" x14ac:dyDescent="0.3">
      <c r="A11392" t="str">
        <f>HYPERLINK("https://us2.cloudbeds.com/connect/10074733072513#/reservations/31729409704132?display=MXGFVNJ1X&amp;reservation_id=31729409704132", "MXGFVNJ1X")</f>
        <v>MXGFVNJ1X</v>
      </c>
      <c r="B11392" t="s">
        <v>10</v>
      </c>
      <c r="C11392" t="s">
        <v>42</v>
      </c>
      <c r="D11392" t="str">
        <f>HYPERLINK("https://us2.cloudbeds.com/connect/10074733072513#/reservations/31729409704132?display=Rnc%20Construction&amp;reservation_id=31729409704132&amp;guest_id=31729397903529", "Rnc Construction")</f>
        <v>Rnc Construction</v>
      </c>
      <c r="E11392" t="s">
        <v>10548</v>
      </c>
      <c r="F11392" t="s">
        <v>10445</v>
      </c>
      <c r="G11392">
        <v>258</v>
      </c>
      <c r="H11392">
        <v>280.45999999999998</v>
      </c>
      <c r="I11392">
        <v>280.45</v>
      </c>
      <c r="J11392">
        <v>0.01</v>
      </c>
    </row>
    <row r="11393" spans="1:10" x14ac:dyDescent="0.3">
      <c r="A11393" t="str">
        <f>HYPERLINK("https://us2.cloudbeds.com/connect/10074733072513#/reservations/31728973455573?display=MXG4QSAG8&amp;reservation_id=31728973455573", "MXG4QSAG8")</f>
        <v>MXG4QSAG8</v>
      </c>
      <c r="B11393" t="s">
        <v>10</v>
      </c>
      <c r="C11393" t="s">
        <v>14</v>
      </c>
      <c r="D11393" t="str">
        <f>HYPERLINK("https://us2.cloudbeds.com/connect/10074733072513#/reservations/31728973455573?display=Josh%20Kleitsch&amp;reservation_id=31728973455573&amp;guest_id=31728964472982", "Josh Kleitsch")</f>
        <v>Josh Kleitsch</v>
      </c>
      <c r="E11393" t="s">
        <v>10550</v>
      </c>
      <c r="F11393" t="s">
        <v>10387</v>
      </c>
      <c r="G11393">
        <v>87.82</v>
      </c>
      <c r="H11393">
        <v>95.47</v>
      </c>
      <c r="I11393">
        <v>95.46</v>
      </c>
      <c r="J11393">
        <v>0.01</v>
      </c>
    </row>
    <row r="11394" spans="1:10" x14ac:dyDescent="0.3">
      <c r="A11394" t="str">
        <f>HYPERLINK("https://us2.cloudbeds.com/connect/10074733072513#/reservations/31724639010975?display=MXCQ1V088&amp;reservation_id=31724639010975", "MXCQ1V088")</f>
        <v>MXCQ1V088</v>
      </c>
      <c r="B11394" t="s">
        <v>10</v>
      </c>
      <c r="C11394" t="s">
        <v>42</v>
      </c>
      <c r="D11394" t="str">
        <f>HYPERLINK("https://us2.cloudbeds.com/connect/10074733072513#/reservations/31724639010975?display=John%20&amp;%20Marcia%20Thurston&amp;reservation_id=31724639010975&amp;guest_id=31724639006889", "John &amp; Marcia Thurston")</f>
        <v>John &amp; Marcia Thurston</v>
      </c>
      <c r="E11394" t="s">
        <v>10551</v>
      </c>
      <c r="F11394" t="s">
        <v>10552</v>
      </c>
      <c r="G11394">
        <v>238</v>
      </c>
      <c r="H11394">
        <v>258.72000000000003</v>
      </c>
      <c r="I11394">
        <v>258.70999999999998</v>
      </c>
      <c r="J11394">
        <v>0.01</v>
      </c>
    </row>
    <row r="11395" spans="1:10" x14ac:dyDescent="0.3">
      <c r="A11395" t="str">
        <f>HYPERLINK("https://us2.cloudbeds.com/connect/10074733072513#/reservations/31728595452103?display=MXFS53QSY&amp;reservation_id=31728595452103", "MXFS53QSY")</f>
        <v>MXFS53QSY</v>
      </c>
      <c r="B11395" t="s">
        <v>10</v>
      </c>
      <c r="C11395" t="s">
        <v>121</v>
      </c>
      <c r="D11395" t="str">
        <f>HYPERLINK("https://us2.cloudbeds.com/connect/10074733072513#/reservations/31728595452103?display=Kevin%20Manley&amp;reservation_id=31728595452103&amp;guest_id=31728586014967", "Kevin Manley")</f>
        <v>Kevin Manley</v>
      </c>
      <c r="E11395" t="s">
        <v>10553</v>
      </c>
      <c r="F11395" t="s">
        <v>10387</v>
      </c>
      <c r="G11395">
        <v>119</v>
      </c>
      <c r="H11395">
        <v>129.36000000000001</v>
      </c>
      <c r="I11395">
        <v>129.35</v>
      </c>
      <c r="J11395">
        <v>0.01</v>
      </c>
    </row>
    <row r="11396" spans="1:10" x14ac:dyDescent="0.3">
      <c r="A11396" t="str">
        <f>HYPERLINK("https://us2.cloudbeds.com/connect/10074733072513#/reservations/31727979208908?display=MXFCDFUWE&amp;reservation_id=31727979208908", "MXFCDFUWE")</f>
        <v>MXFCDFUWE</v>
      </c>
      <c r="B11396" t="s">
        <v>10</v>
      </c>
      <c r="C11396" t="s">
        <v>42</v>
      </c>
      <c r="D11396" t="str">
        <f>HYPERLINK("https://us2.cloudbeds.com/connect/10074733072513#/reservations/31727979208908?display=Jeff%20Herbster&amp;reservation_id=31727979208908&amp;guest_id=31727979208898", "Jeff Herbster")</f>
        <v>Jeff Herbster</v>
      </c>
      <c r="E11396" t="s">
        <v>10554</v>
      </c>
      <c r="F11396" t="s">
        <v>10555</v>
      </c>
      <c r="G11396">
        <v>278</v>
      </c>
      <c r="H11396">
        <v>302.2</v>
      </c>
      <c r="I11396">
        <v>302.19</v>
      </c>
      <c r="J11396">
        <v>0.01</v>
      </c>
    </row>
    <row r="11397" spans="1:10" x14ac:dyDescent="0.3">
      <c r="A11397" t="str">
        <f>HYPERLINK("https://us2.cloudbeds.com/connect/10074733072513#/reservations/31731357536415?display=MXHWZ5T38&amp;reservation_id=31731357536415", "MXHWZ5T38")</f>
        <v>MXHWZ5T38</v>
      </c>
      <c r="B11397" t="s">
        <v>10</v>
      </c>
      <c r="C11397" t="s">
        <v>42</v>
      </c>
      <c r="D11397" t="str">
        <f>HYPERLINK("https://us2.cloudbeds.com/connect/10074733072513#/reservations/31731357536415?display=Dave%20Wiese&amp;reservation_id=31731357536415&amp;guest_id=31731357532334", "Dave Wiese")</f>
        <v>Dave Wiese</v>
      </c>
      <c r="E11397" t="s">
        <v>10556</v>
      </c>
      <c r="F11397" t="s">
        <v>8544</v>
      </c>
      <c r="G11397">
        <v>159</v>
      </c>
      <c r="H11397">
        <v>172.84</v>
      </c>
      <c r="I11397">
        <v>172.83</v>
      </c>
      <c r="J11397">
        <v>0.01</v>
      </c>
    </row>
    <row r="11398" spans="1:10" x14ac:dyDescent="0.3">
      <c r="A11398" t="str">
        <f>HYPERLINK("https://us2.cloudbeds.com/connect/10074733072513#/reservations/31727806681223?display=MXF8003BP&amp;reservation_id=31727806681223", "MXF8003BP")</f>
        <v>MXF8003BP</v>
      </c>
      <c r="B11398" t="s">
        <v>10</v>
      </c>
      <c r="C11398" t="s">
        <v>42</v>
      </c>
      <c r="D11398" t="str">
        <f>HYPERLINK("https://us2.cloudbeds.com/connect/10074733072513#/reservations/31727806681223?display=Cory%20Glick&amp;reservation_id=31727806681223&amp;guest_id=31676961386701", "Cory Glick")</f>
        <v>Cory Glick</v>
      </c>
      <c r="E11398" t="s">
        <v>2769</v>
      </c>
      <c r="F11398" t="s">
        <v>8544</v>
      </c>
      <c r="G11398">
        <v>89</v>
      </c>
      <c r="H11398">
        <v>96.75</v>
      </c>
      <c r="I11398">
        <v>96.74</v>
      </c>
      <c r="J11398">
        <v>0.01</v>
      </c>
    </row>
    <row r="11399" spans="1:10" x14ac:dyDescent="0.3">
      <c r="A11399" t="str">
        <f>HYPERLINK("https://us2.cloudbeds.com/connect/10074733072513#/reservations/31727348125844?display=MXET9B417&amp;reservation_id=31727348125844", "MXET9B417")</f>
        <v>MXET9B417</v>
      </c>
      <c r="B11399" t="s">
        <v>10</v>
      </c>
      <c r="C11399" t="s">
        <v>17</v>
      </c>
      <c r="D11399" t="str">
        <f>HYPERLINK("https://us2.cloudbeds.com/connect/10074733072513#/reservations/31727348125844?display=Jamie%20Frankenstein&amp;reservation_id=31727348125844&amp;guest_id=31727348121749", "Jamie Frankenstein")</f>
        <v>Jamie Frankenstein</v>
      </c>
      <c r="E11399" t="s">
        <v>10560</v>
      </c>
      <c r="F11399" t="s">
        <v>9632</v>
      </c>
      <c r="G11399">
        <v>119</v>
      </c>
      <c r="H11399">
        <v>129.36000000000001</v>
      </c>
      <c r="I11399">
        <v>129.35</v>
      </c>
      <c r="J11399">
        <v>0.01</v>
      </c>
    </row>
    <row r="11400" spans="1:10" x14ac:dyDescent="0.3">
      <c r="A11400" t="str">
        <f>HYPERLINK("https://us2.cloudbeds.com/connect/10074733072513#/reservations/31726325055692?display=MXE34YMMD&amp;reservation_id=31726325055692", "MXE34YMMD")</f>
        <v>MXE34YMMD</v>
      </c>
      <c r="B11400" t="s">
        <v>10</v>
      </c>
      <c r="C11400" t="s">
        <v>42</v>
      </c>
      <c r="D11400" t="str">
        <f>HYPERLINK("https://us2.cloudbeds.com/connect/10074733072513#/reservations/31726325055692?display=Sonya%20Deboer&amp;reservation_id=31726325055692&amp;guest_id=31726325055687", "Sonya Deboer")</f>
        <v>Sonya Deboer</v>
      </c>
      <c r="E11400" t="s">
        <v>10562</v>
      </c>
      <c r="F11400" t="s">
        <v>10423</v>
      </c>
      <c r="G11400">
        <v>179</v>
      </c>
      <c r="H11400">
        <v>194.58</v>
      </c>
      <c r="I11400">
        <v>194.57</v>
      </c>
      <c r="J11400">
        <v>0.01</v>
      </c>
    </row>
    <row r="11401" spans="1:10" x14ac:dyDescent="0.3">
      <c r="A11401" t="str">
        <f>HYPERLINK("https://us2.cloudbeds.com/connect/10074733072513#/reservations/31731486646471?display=MXX311XF6&amp;reservation_id=31731486646471", "MXX311XF6")</f>
        <v>MXX311XF6</v>
      </c>
      <c r="B11401" t="s">
        <v>10</v>
      </c>
      <c r="C11401" t="s">
        <v>121</v>
      </c>
      <c r="D11401" t="str">
        <f>HYPERLINK("https://us2.cloudbeds.com/connect/10074733072513#/reservations/31731486646471?display=Darren%20Newborg&amp;reservation_id=31731486646471&amp;guest_id=31731477905581", "Darren Newborg")</f>
        <v>Darren Newborg</v>
      </c>
      <c r="E11401" t="s">
        <v>10563</v>
      </c>
      <c r="F11401" t="s">
        <v>10445</v>
      </c>
      <c r="G11401">
        <v>149</v>
      </c>
      <c r="H11401">
        <v>161.97</v>
      </c>
      <c r="I11401">
        <v>161.96</v>
      </c>
      <c r="J11401">
        <v>0.01</v>
      </c>
    </row>
    <row r="11402" spans="1:10" x14ac:dyDescent="0.3">
      <c r="A11402" t="str">
        <f>HYPERLINK("https://us2.cloudbeds.com/connect/10074733072513#/reservations/31727787962515?display=MXF7H77F6&amp;reservation_id=31727787962515", "MXF7H77F6")</f>
        <v>MXF7H77F6</v>
      </c>
      <c r="B11402" t="s">
        <v>10</v>
      </c>
      <c r="C11402" t="s">
        <v>17</v>
      </c>
      <c r="D11402" t="str">
        <f>HYPERLINK("https://us2.cloudbeds.com/connect/10074733072513#/reservations/31727787962515?display=Jay%20Kloos&amp;reservation_id=31727787962515&amp;guest_id=31727787962512", "Jay Kloos")</f>
        <v>Jay Kloos</v>
      </c>
      <c r="E11402" t="s">
        <v>10564</v>
      </c>
      <c r="F11402" t="s">
        <v>8544</v>
      </c>
      <c r="G11402">
        <v>179</v>
      </c>
      <c r="H11402">
        <v>194.58</v>
      </c>
      <c r="I11402">
        <v>194.57</v>
      </c>
      <c r="J11402">
        <v>0.01</v>
      </c>
    </row>
    <row r="11403" spans="1:10" x14ac:dyDescent="0.3">
      <c r="A11403" t="str">
        <f>HYPERLINK("https://us2.cloudbeds.com/connect/10074733072513#/reservations/31727552762010?display=MXF1GTE15&amp;reservation_id=31727552762010", "MXF1GTE15")</f>
        <v>MXF1GTE15</v>
      </c>
      <c r="B11403" t="s">
        <v>10</v>
      </c>
      <c r="C11403" t="s">
        <v>23</v>
      </c>
      <c r="D11403" t="str">
        <f>HYPERLINK("https://us2.cloudbeds.com/connect/10074733072513#/reservations/31727552762010?display=Holly%20Wasion&amp;reservation_id=31727552762010&amp;guest_id=31727552762005", "Holly Wasion")</f>
        <v>Holly Wasion</v>
      </c>
      <c r="E11403" t="s">
        <v>10565</v>
      </c>
      <c r="F11403" t="s">
        <v>9740</v>
      </c>
      <c r="G11403">
        <v>318</v>
      </c>
      <c r="H11403">
        <v>345.68</v>
      </c>
      <c r="I11403">
        <v>345.67</v>
      </c>
      <c r="J11403">
        <v>0.01</v>
      </c>
    </row>
    <row r="11404" spans="1:10" x14ac:dyDescent="0.3">
      <c r="A11404" t="str">
        <f>HYPERLINK("https://us2.cloudbeds.com/connect/10074733072513#/reservations/31726218051827?display=MXE0DE4S1&amp;reservation_id=31726218051827", "MXE0DE4S1")</f>
        <v>MXE0DE4S1</v>
      </c>
      <c r="B11404" t="s">
        <v>10</v>
      </c>
      <c r="C11404" t="s">
        <v>42</v>
      </c>
      <c r="D11404" t="str">
        <f>HYPERLINK("https://us2.cloudbeds.com/connect/10074733072513#/reservations/31726218051827?display=Jamie%20Thoele&amp;reservation_id=31726218051827&amp;guest_id=31726203457699", "Jamie Thoele")</f>
        <v>Jamie Thoele</v>
      </c>
      <c r="E11404" t="s">
        <v>10566</v>
      </c>
      <c r="F11404" t="s">
        <v>8801</v>
      </c>
      <c r="G11404">
        <v>179</v>
      </c>
      <c r="H11404">
        <v>194.58</v>
      </c>
      <c r="I11404">
        <v>194.57</v>
      </c>
      <c r="J11404">
        <v>0.01</v>
      </c>
    </row>
    <row r="11405" spans="1:10" x14ac:dyDescent="0.3">
      <c r="A11405" t="str">
        <f>HYPERLINK("https://us2.cloudbeds.com/connect/10074733072513#/reservations/31728574697637?display=MXFRKK9JE&amp;reservation_id=31728574697637", "MXFRKK9JE")</f>
        <v>MXFRKK9JE</v>
      </c>
      <c r="B11405" t="s">
        <v>10</v>
      </c>
      <c r="C11405" t="s">
        <v>42</v>
      </c>
      <c r="D11405" t="str">
        <f>HYPERLINK("https://us2.cloudbeds.com/connect/10074733072513#/reservations/31728574697637?display=Dianne%20Clark&amp;reservation_id=31728574697637&amp;guest_id=31728574697632", "Dianne Clark")</f>
        <v>Dianne Clark</v>
      </c>
      <c r="E11405" t="s">
        <v>10567</v>
      </c>
      <c r="F11405" t="s">
        <v>8801</v>
      </c>
      <c r="G11405">
        <v>169</v>
      </c>
      <c r="H11405">
        <v>183.71</v>
      </c>
      <c r="I11405">
        <v>183.7</v>
      </c>
      <c r="J11405">
        <v>0.01</v>
      </c>
    </row>
    <row r="11406" spans="1:10" x14ac:dyDescent="0.3">
      <c r="A11406" t="str">
        <f>HYPERLINK("https://us2.cloudbeds.com/connect/10074733072513#/reservations/31728508113027?display=MXFPUFFMW&amp;reservation_id=31728508113027", "MXFPUFFMW")</f>
        <v>MXFPUFFMW</v>
      </c>
      <c r="B11406" t="s">
        <v>10</v>
      </c>
      <c r="C11406" t="s">
        <v>20</v>
      </c>
      <c r="D11406" t="str">
        <f>HYPERLINK("https://us2.cloudbeds.com/connect/10074733072513#/reservations/31728508113027?display=Steve%20Barclay&amp;reservation_id=31728508113027&amp;guest_id=31728508108980", "Steve Barclay")</f>
        <v>Steve Barclay</v>
      </c>
      <c r="E11406" t="s">
        <v>10568</v>
      </c>
      <c r="F11406" t="s">
        <v>9621</v>
      </c>
      <c r="G11406">
        <v>298</v>
      </c>
      <c r="H11406">
        <v>323.94</v>
      </c>
      <c r="I11406">
        <v>323.93</v>
      </c>
      <c r="J11406">
        <v>0.01</v>
      </c>
    </row>
    <row r="11407" spans="1:10" x14ac:dyDescent="0.3">
      <c r="A11407" t="str">
        <f>HYPERLINK("https://us2.cloudbeds.com/connect/10074733072513#/reservations/31717092384913?display=MX6V7E0E0&amp;reservation_id=31717092384913", "MX6V7E0E0")</f>
        <v>MX6V7E0E0</v>
      </c>
      <c r="B11407" t="s">
        <v>10</v>
      </c>
      <c r="C11407" t="s">
        <v>42</v>
      </c>
      <c r="D11407" t="str">
        <f>HYPERLINK("https://us2.cloudbeds.com/connect/10074733072513#/reservations/31717092384913?display=Rachel%20Hansen&amp;reservation_id=31717092384913&amp;guest_id=31717084893395", "Rachel Hansen")</f>
        <v>Rachel Hansen</v>
      </c>
      <c r="E11407" t="s">
        <v>10570</v>
      </c>
      <c r="F11407" t="s">
        <v>10250</v>
      </c>
      <c r="G11407">
        <v>179</v>
      </c>
      <c r="H11407">
        <v>194.58</v>
      </c>
      <c r="I11407">
        <v>194.57</v>
      </c>
      <c r="J11407">
        <v>0.01</v>
      </c>
    </row>
    <row r="11408" spans="1:10" x14ac:dyDescent="0.3">
      <c r="A11408" t="str">
        <f>HYPERLINK("https://us2.cloudbeds.com/connect/10074733072513#/reservations/31728519995614?display=MXFQ7G45C&amp;reservation_id=31728519995614", "MXFQ7G45C")</f>
        <v>MXFQ7G45C</v>
      </c>
      <c r="B11408" t="s">
        <v>10</v>
      </c>
      <c r="C11408" t="s">
        <v>11</v>
      </c>
      <c r="D11408" t="str">
        <f>HYPERLINK("https://us2.cloudbeds.com/connect/10074733072513#/reservations/31728519995614?display=Susan%20Tilton&amp;reservation_id=31728519995614&amp;guest_id=31728519995603", "Susan Tilton")</f>
        <v>Susan Tilton</v>
      </c>
      <c r="E11408" t="s">
        <v>10571</v>
      </c>
      <c r="F11408" t="s">
        <v>9621</v>
      </c>
      <c r="G11408">
        <v>87.82</v>
      </c>
      <c r="H11408">
        <v>95.47</v>
      </c>
      <c r="I11408">
        <v>95.46</v>
      </c>
      <c r="J11408">
        <v>0.01</v>
      </c>
    </row>
    <row r="11409" spans="1:10" x14ac:dyDescent="0.3">
      <c r="A11409" t="str">
        <f>HYPERLINK("https://us2.cloudbeds.com/connect/10074733072513#/reservations/31724602880138?display=MXCP4FK8D&amp;reservation_id=31724602880138", "MXCP4FK8D")</f>
        <v>MXCP4FK8D</v>
      </c>
      <c r="B11409" t="s">
        <v>10</v>
      </c>
      <c r="C11409" t="s">
        <v>14</v>
      </c>
      <c r="D11409" t="str">
        <f>HYPERLINK("https://us2.cloudbeds.com/connect/10074733072513#/reservations/31724602880138?display=Robin%20Norton&amp;reservation_id=31724602880138&amp;guest_id=31724596007084", "Robin Norton")</f>
        <v>Robin Norton</v>
      </c>
      <c r="E11409" t="s">
        <v>10572</v>
      </c>
      <c r="F11409" t="s">
        <v>10258</v>
      </c>
      <c r="G11409">
        <v>87.82</v>
      </c>
      <c r="H11409">
        <v>95.47</v>
      </c>
      <c r="I11409">
        <v>95.46</v>
      </c>
      <c r="J11409">
        <v>0.01</v>
      </c>
    </row>
    <row r="11410" spans="1:10" x14ac:dyDescent="0.3">
      <c r="A11410" t="str">
        <f>HYPERLINK("https://us2.cloudbeds.com/connect/10074733072513#/reservations/31728542290050?display=MXFQQ9GXB&amp;reservation_id=31728542290050", "MXFQQ9GXB")</f>
        <v>MXFQQ9GXB</v>
      </c>
      <c r="B11410" t="s">
        <v>10</v>
      </c>
      <c r="C11410" t="s">
        <v>121</v>
      </c>
      <c r="D11410" t="str">
        <f>HYPERLINK("https://us2.cloudbeds.com/connect/10074733072513#/reservations/31728542290050?display=Christopher%20Scheid&amp;reservation_id=31728542290050&amp;guest_id=31728531484853", "Christopher Scheid")</f>
        <v>Christopher Scheid</v>
      </c>
      <c r="E11410" t="s">
        <v>10573</v>
      </c>
      <c r="F11410" t="s">
        <v>9621</v>
      </c>
      <c r="G11410">
        <v>119</v>
      </c>
      <c r="H11410">
        <v>129.36000000000001</v>
      </c>
      <c r="I11410">
        <v>129.35</v>
      </c>
      <c r="J11410">
        <v>0.01</v>
      </c>
    </row>
    <row r="11411" spans="1:10" x14ac:dyDescent="0.3">
      <c r="A11411" t="str">
        <f>HYPERLINK("https://us2.cloudbeds.com/connect/10074733072513#/reservations/31712977101055?display=MX3P2A5NX&amp;reservation_id=31712977101055", "MX3P2A5NX")</f>
        <v>MX3P2A5NX</v>
      </c>
      <c r="B11411" t="s">
        <v>10</v>
      </c>
      <c r="C11411" t="s">
        <v>42</v>
      </c>
      <c r="D11411" t="str">
        <f>HYPERLINK("https://us2.cloudbeds.com/connect/10074733072513#/reservations/31712977101055?display=Dick%20Behl&amp;reservation_id=31712977101055&amp;guest_id=31712977101035", "Dick Behl")</f>
        <v>Dick Behl</v>
      </c>
      <c r="E11411" t="s">
        <v>10574</v>
      </c>
      <c r="F11411" t="s">
        <v>10449</v>
      </c>
      <c r="G11411">
        <v>169</v>
      </c>
      <c r="H11411">
        <v>183.71</v>
      </c>
      <c r="I11411">
        <v>183.7</v>
      </c>
      <c r="J11411">
        <v>0.01</v>
      </c>
    </row>
    <row r="11412" spans="1:10" x14ac:dyDescent="0.3">
      <c r="A11412" t="str">
        <f>HYPERLINK("https://us2.cloudbeds.com/connect/10074733072513#/reservations/31729037078716?display=MXG6EGNV9&amp;reservation_id=31729037078716", "MXG6EGNV9")</f>
        <v>MXG6EGNV9</v>
      </c>
      <c r="B11412" t="s">
        <v>10</v>
      </c>
      <c r="C11412" t="s">
        <v>42</v>
      </c>
      <c r="D11412" t="str">
        <f>HYPERLINK("https://us2.cloudbeds.com/connect/10074733072513#/reservations/31729037078716?display=Brian%20Hatlestad&amp;reservation_id=31729037078716&amp;guest_id=31729037078714", "Brian Hatlestad")</f>
        <v>Brian Hatlestad</v>
      </c>
      <c r="E11412" t="s">
        <v>10575</v>
      </c>
      <c r="F11412" t="s">
        <v>10534</v>
      </c>
      <c r="G11412">
        <v>321.3</v>
      </c>
      <c r="H11412">
        <v>349.26</v>
      </c>
      <c r="I11412">
        <v>349.25</v>
      </c>
      <c r="J11412">
        <v>0.01</v>
      </c>
    </row>
    <row r="11413" spans="1:10" x14ac:dyDescent="0.3">
      <c r="A11413" t="str">
        <f>HYPERLINK("https://us2.cloudbeds.com/connect/10074733072513#/reservations/31727375528157?display=MXETWEKSB&amp;reservation_id=31727375528157", "MXETWEKSB")</f>
        <v>MXETWEKSB</v>
      </c>
      <c r="B11413" t="s">
        <v>10</v>
      </c>
      <c r="C11413" t="s">
        <v>42</v>
      </c>
      <c r="D11413" t="str">
        <f>HYPERLINK("https://us2.cloudbeds.com/connect/10074733072513#/reservations/31727375528157?display=Linda%20Shoemaker&amp;reservation_id=31727375528157&amp;guest_id=31727375528134", "Linda Shoemaker")</f>
        <v>Linda Shoemaker</v>
      </c>
      <c r="E11413" t="s">
        <v>10576</v>
      </c>
      <c r="F11413" t="s">
        <v>9632</v>
      </c>
      <c r="G11413">
        <v>238</v>
      </c>
      <c r="H11413">
        <v>258.72000000000003</v>
      </c>
      <c r="I11413">
        <v>258.70999999999998</v>
      </c>
      <c r="J11413">
        <v>0.01</v>
      </c>
    </row>
    <row r="11414" spans="1:10" x14ac:dyDescent="0.3">
      <c r="A11414" t="str">
        <f>HYPERLINK("https://us2.cloudbeds.com/connect/10074733072513#/reservations/31727030497420?display=MXEY5GY7F&amp;reservation_id=31727030497420", "MXEY5GY7F")</f>
        <v>MXEY5GY7F</v>
      </c>
      <c r="B11414" t="s">
        <v>10</v>
      </c>
      <c r="C11414" t="s">
        <v>121</v>
      </c>
      <c r="D11414" t="str">
        <f>HYPERLINK("https://us2.cloudbeds.com/connect/10074733072513#/reservations/31727030497420?display=Jordan%20Lentz&amp;reservation_id=31727030497420&amp;guest_id=31727030493338", "Jordan Lentz")</f>
        <v>Jordan Lentz</v>
      </c>
      <c r="E11414" t="s">
        <v>10577</v>
      </c>
      <c r="F11414" t="s">
        <v>9632</v>
      </c>
      <c r="G11414">
        <v>119</v>
      </c>
      <c r="H11414">
        <v>129.36000000000001</v>
      </c>
      <c r="I11414">
        <v>129.35</v>
      </c>
      <c r="J11414">
        <v>0.01</v>
      </c>
    </row>
    <row r="11415" spans="1:10" x14ac:dyDescent="0.3">
      <c r="A11415" t="str">
        <f>HYPERLINK("https://us2.cloudbeds.com/connect/10074733072513#/reservations/31730622288055?display=MXHDV6GTU&amp;reservation_id=31730622288055", "MXHDV6GTU")</f>
        <v>MXHDV6GTU</v>
      </c>
      <c r="B11415" t="s">
        <v>10</v>
      </c>
      <c r="C11415" t="s">
        <v>17</v>
      </c>
      <c r="D11415" t="str">
        <f>HYPERLINK("https://us2.cloudbeds.com/connect/10074733072513#/reservations/31730622288055?display=Jennifer%20Richter&amp;reservation_id=31730622288055&amp;guest_id=31726905766092", "Jennifer Richter")</f>
        <v>Jennifer Richter</v>
      </c>
      <c r="E11415" t="s">
        <v>10578</v>
      </c>
      <c r="F11415" t="s">
        <v>10258</v>
      </c>
      <c r="G11415">
        <v>129</v>
      </c>
      <c r="H11415">
        <v>140.22999999999999</v>
      </c>
      <c r="I11415">
        <v>140.22</v>
      </c>
      <c r="J11415">
        <v>0.01</v>
      </c>
    </row>
    <row r="11416" spans="1:10" x14ac:dyDescent="0.3">
      <c r="A11416" t="str">
        <f>HYPERLINK("https://us2.cloudbeds.com/connect/10074733072513#/reservations/31726256554182?display=MXE1CTHX2&amp;reservation_id=31726256554182", "MXE1CTHX2")</f>
        <v>MXE1CTHX2</v>
      </c>
      <c r="B11416" t="s">
        <v>10</v>
      </c>
      <c r="C11416" t="s">
        <v>42</v>
      </c>
      <c r="D11416" t="str">
        <f>HYPERLINK("https://us2.cloudbeds.com/connect/10074733072513#/reservations/31726256554182?display=Matt%20Yager&amp;reservation_id=31726256554182&amp;guest_id=31726256554180", "Matt Yager")</f>
        <v>Matt Yager</v>
      </c>
      <c r="E11416" t="s">
        <v>10579</v>
      </c>
      <c r="F11416" t="s">
        <v>10423</v>
      </c>
      <c r="G11416">
        <v>119</v>
      </c>
      <c r="H11416">
        <v>129.36000000000001</v>
      </c>
      <c r="I11416">
        <v>129.35</v>
      </c>
      <c r="J11416">
        <v>0.01</v>
      </c>
    </row>
    <row r="11417" spans="1:10" x14ac:dyDescent="0.3">
      <c r="A11417" t="str">
        <f>HYPERLINK("https://us2.cloudbeds.com/connect/10074733072513#/reservations/31721030447299?display=MX9WS3DAR&amp;reservation_id=31721030447299", "MX9WS3DAR")</f>
        <v>MX9WS3DAR</v>
      </c>
      <c r="B11417" t="s">
        <v>10</v>
      </c>
      <c r="C11417" t="s">
        <v>20</v>
      </c>
      <c r="D11417" t="str">
        <f>HYPERLINK("https://us2.cloudbeds.com/connect/10074733072513#/reservations/31721030447299?display=Char%20Morrison&amp;reservation_id=31721030447299&amp;guest_id=31721030447297", "Char Morrison")</f>
        <v>Char Morrison</v>
      </c>
      <c r="E11417" t="s">
        <v>10580</v>
      </c>
      <c r="F11417" t="s">
        <v>9740</v>
      </c>
      <c r="G11417">
        <v>318</v>
      </c>
      <c r="H11417">
        <v>345.68</v>
      </c>
      <c r="I11417">
        <v>345.67</v>
      </c>
      <c r="J11417">
        <v>0.01</v>
      </c>
    </row>
    <row r="11418" spans="1:10" x14ac:dyDescent="0.3">
      <c r="A11418" t="str">
        <f>HYPERLINK("https://us2.cloudbeds.com/connect/10074733072513#/reservations/31721030451402?display=MX9WS3H35&amp;reservation_id=31721030451402", "MX9WS3H35")</f>
        <v>MX9WS3H35</v>
      </c>
      <c r="B11418" t="s">
        <v>10</v>
      </c>
      <c r="C11418" t="s">
        <v>42</v>
      </c>
      <c r="D11418" t="str">
        <f>HYPERLINK("https://us2.cloudbeds.com/connect/10074733072513#/reservations/31721030451402?display=Max%20Peterson&amp;reservation_id=31721030451402&amp;guest_id=31721030451399", "Max Peterson")</f>
        <v>Max Peterson</v>
      </c>
      <c r="E11418" t="s">
        <v>10581</v>
      </c>
      <c r="F11418" t="s">
        <v>9740</v>
      </c>
      <c r="G11418">
        <v>278</v>
      </c>
      <c r="H11418">
        <v>302.2</v>
      </c>
      <c r="I11418">
        <v>302.19</v>
      </c>
      <c r="J11418">
        <v>0.01</v>
      </c>
    </row>
    <row r="11419" spans="1:10" x14ac:dyDescent="0.3">
      <c r="A11419" t="str">
        <f>HYPERLINK("https://us2.cloudbeds.com/connect/10074733072513#/reservations/31727074693367?display=MXEM9PF6J&amp;reservation_id=31727074693367", "MXEM9PF6J")</f>
        <v>MXEM9PF6J</v>
      </c>
      <c r="B11419" t="s">
        <v>10</v>
      </c>
      <c r="C11419" t="s">
        <v>121</v>
      </c>
      <c r="D11419" t="str">
        <f>HYPERLINK("https://us2.cloudbeds.com/connect/10074733072513#/reservations/31727074693367?display=Mary%20Chewakin&amp;reservation_id=31727074693367&amp;guest_id=31727074693364", "Mary Chewakin")</f>
        <v>Mary Chewakin</v>
      </c>
      <c r="E11419" t="s">
        <v>10582</v>
      </c>
      <c r="F11419" t="s">
        <v>9632</v>
      </c>
      <c r="G11419">
        <v>119</v>
      </c>
      <c r="H11419">
        <v>129.36000000000001</v>
      </c>
      <c r="I11419">
        <v>129.35</v>
      </c>
      <c r="J11419">
        <v>0.01</v>
      </c>
    </row>
    <row r="11420" spans="1:10" x14ac:dyDescent="0.3">
      <c r="A11420" t="str">
        <f>HYPERLINK("https://us2.cloudbeds.com/connect/10074733072513#/reservations/31728542294155?display=MXFQQ9KAZ&amp;reservation_id=31728542294155", "MXFQQ9KAZ")</f>
        <v>MXFQQ9KAZ</v>
      </c>
      <c r="B11420" t="s">
        <v>10</v>
      </c>
      <c r="C11420" t="s">
        <v>121</v>
      </c>
      <c r="D11420" t="str">
        <f>HYPERLINK("https://us2.cloudbeds.com/connect/10074733072513#/reservations/31728542294155?display=Siobhan%20Shellenshier&amp;reservation_id=31728542294155&amp;guest_id=31728542294152", "Siobhan Shellenshier")</f>
        <v>Siobhan Shellenshier</v>
      </c>
      <c r="E11420" t="s">
        <v>10585</v>
      </c>
      <c r="F11420" t="s">
        <v>9621</v>
      </c>
      <c r="G11420">
        <v>119</v>
      </c>
      <c r="H11420">
        <v>129.36000000000001</v>
      </c>
      <c r="I11420">
        <v>129.35</v>
      </c>
      <c r="J11420">
        <v>0.01</v>
      </c>
    </row>
    <row r="11421" spans="1:10" x14ac:dyDescent="0.3">
      <c r="A11421" t="str">
        <f>HYPERLINK("https://us2.cloudbeds.com/connect/10074733072513#/reservations/31728553005279?display=MXFR2AM28&amp;reservation_id=31728553005279", "MXFR2AM28")</f>
        <v>MXFR2AM28</v>
      </c>
      <c r="B11421" t="s">
        <v>10</v>
      </c>
      <c r="C11421" t="s">
        <v>121</v>
      </c>
      <c r="D11421" t="str">
        <f>HYPERLINK("https://us2.cloudbeds.com/connect/10074733072513#/reservations/31728553005279?display=Donna%20Smith&amp;reservation_id=31728553005279&amp;guest_id=31728553005276", "Donna Smith")</f>
        <v>Donna Smith</v>
      </c>
      <c r="E11421" t="s">
        <v>10586</v>
      </c>
      <c r="F11421" t="s">
        <v>9621</v>
      </c>
      <c r="G11421">
        <v>119</v>
      </c>
      <c r="H11421">
        <v>129.36000000000001</v>
      </c>
      <c r="I11421">
        <v>129.35</v>
      </c>
      <c r="J11421">
        <v>0.01</v>
      </c>
    </row>
    <row r="11422" spans="1:10" x14ac:dyDescent="0.3">
      <c r="A11422" t="str">
        <f>HYPERLINK("https://us2.cloudbeds.com/connect/10074733072513#/reservations/31727021203704?display=MXEKUM11N&amp;reservation_id=31727021203704", "MXEKUM11N")</f>
        <v>MXEKUM11N</v>
      </c>
      <c r="B11422" t="s">
        <v>10</v>
      </c>
      <c r="C11422" t="s">
        <v>121</v>
      </c>
      <c r="D11422" t="str">
        <f>HYPERLINK("https://us2.cloudbeds.com/connect/10074733072513#/reservations/31727021203704?display=Gary%20Ollinger&amp;reservation_id=31727021203704&amp;guest_id=31727021203649", "Gary Ollinger")</f>
        <v>Gary Ollinger</v>
      </c>
      <c r="E11422" t="s">
        <v>10587</v>
      </c>
      <c r="F11422" t="s">
        <v>9632</v>
      </c>
      <c r="G11422">
        <v>119</v>
      </c>
      <c r="H11422">
        <v>129.36000000000001</v>
      </c>
      <c r="I11422">
        <v>129.35</v>
      </c>
      <c r="J11422">
        <v>0.01</v>
      </c>
    </row>
    <row r="11423" spans="1:10" x14ac:dyDescent="0.3">
      <c r="A11423" t="str">
        <f>HYPERLINK("https://us2.cloudbeds.com/connect/10074733072513#/reservations/31725676896409?display=MXDJJ3N30&amp;reservation_id=31725676896409", "MXDJJ3N30")</f>
        <v>MXDJJ3N30</v>
      </c>
      <c r="B11423" t="s">
        <v>10</v>
      </c>
      <c r="C11423" t="s">
        <v>20</v>
      </c>
      <c r="D11423" t="str">
        <f>HYPERLINK("https://us2.cloudbeds.com/connect/10074733072513#/reservations/31725676896409?display=Teresa%20Charlson&amp;reservation_id=31725676896409&amp;guest_id=31725676896405", "Teresa Charlson")</f>
        <v>Teresa Charlson</v>
      </c>
      <c r="E11423" t="s">
        <v>10588</v>
      </c>
      <c r="F11423" t="s">
        <v>9713</v>
      </c>
      <c r="G11423">
        <v>219</v>
      </c>
      <c r="H11423">
        <v>238.06</v>
      </c>
      <c r="I11423">
        <v>238.05</v>
      </c>
      <c r="J11423">
        <v>0.01</v>
      </c>
    </row>
    <row r="11424" spans="1:10" x14ac:dyDescent="0.3">
      <c r="A11424" t="str">
        <f>HYPERLINK("https://us2.cloudbeds.com/connect/10074733072513#/reservations/31725562900722?display=MXDGYWJS8&amp;reservation_id=31725562900722", "MXDGYWJS8")</f>
        <v>MXDGYWJS8</v>
      </c>
      <c r="B11424" t="s">
        <v>10</v>
      </c>
      <c r="C11424" t="s">
        <v>23</v>
      </c>
      <c r="D11424" t="str">
        <f>HYPERLINK("https://us2.cloudbeds.com/connect/10074733072513#/reservations/31725562900722?display=Tara%20Corwin&amp;reservation_id=31725562900722&amp;guest_id=31725562900703", "Tara Corwin")</f>
        <v>Tara Corwin</v>
      </c>
      <c r="E11424" t="s">
        <v>10589</v>
      </c>
      <c r="F11424" t="s">
        <v>9717</v>
      </c>
      <c r="G11424">
        <v>189</v>
      </c>
      <c r="H11424">
        <v>205.45</v>
      </c>
      <c r="I11424">
        <v>205.44</v>
      </c>
      <c r="J11424">
        <v>0.01</v>
      </c>
    </row>
    <row r="11425" spans="1:10" x14ac:dyDescent="0.3">
      <c r="A11425" t="str">
        <f>HYPERLINK("https://us2.cloudbeds.com/connect/10074733072513#/reservations/31727179194577?display=MXEZVTBTU&amp;reservation_id=31727179194577", "MXEZVTBTU")</f>
        <v>MXEZVTBTU</v>
      </c>
      <c r="B11425" t="s">
        <v>10</v>
      </c>
      <c r="C11425" t="s">
        <v>42</v>
      </c>
      <c r="D11425" t="str">
        <f>HYPERLINK("https://us2.cloudbeds.com/connect/10074733072513#/reservations/31727179194577?display=Nick%20Sherman&amp;reservation_id=31727179194577&amp;guest_id=31723967779048", "Nick Sherman")</f>
        <v>Nick Sherman</v>
      </c>
      <c r="E11425" t="s">
        <v>9425</v>
      </c>
      <c r="F11425" t="s">
        <v>10438</v>
      </c>
      <c r="G11425">
        <v>336</v>
      </c>
      <c r="H11425">
        <v>365.24</v>
      </c>
      <c r="I11425">
        <v>365.23</v>
      </c>
      <c r="J11425">
        <v>0.01</v>
      </c>
    </row>
    <row r="11426" spans="1:10" x14ac:dyDescent="0.3">
      <c r="A11426" t="str">
        <f>HYPERLINK("https://us2.cloudbeds.com/connect/10074733072513#/reservations/31725176447105?display=MXD6Q3VMJ&amp;reservation_id=31725176447105", "MXD6Q3VMJ")</f>
        <v>MXD6Q3VMJ</v>
      </c>
      <c r="B11426" t="s">
        <v>10</v>
      </c>
      <c r="C11426" t="s">
        <v>11</v>
      </c>
      <c r="D11426" t="str">
        <f>HYPERLINK("https://us2.cloudbeds.com/connect/10074733072513#/reservations/31725176447105?display=Joseph%20Tralongo&amp;reservation_id=31725176447105&amp;guest_id=31725161009379", "Joseph Tralongo")</f>
        <v>Joseph Tralongo</v>
      </c>
      <c r="E11426" t="s">
        <v>10590</v>
      </c>
      <c r="F11426" t="s">
        <v>10552</v>
      </c>
      <c r="G11426">
        <v>87.82</v>
      </c>
      <c r="H11426">
        <v>95.47</v>
      </c>
      <c r="I11426">
        <v>95.46</v>
      </c>
      <c r="J11426">
        <v>0.01</v>
      </c>
    </row>
    <row r="11427" spans="1:10" x14ac:dyDescent="0.3">
      <c r="A11427" t="str">
        <f>HYPERLINK("https://us2.cloudbeds.com/connect/10074733072513#/reservations/31727564701941?display=MXF1QVM58&amp;reservation_id=31727564701941", "MXF1QVM58")</f>
        <v>MXF1QVM58</v>
      </c>
      <c r="B11427" t="s">
        <v>10</v>
      </c>
      <c r="C11427" t="s">
        <v>17</v>
      </c>
      <c r="D11427" t="str">
        <f>HYPERLINK("https://us2.cloudbeds.com/connect/10074733072513#/reservations/31727564701941?display=Emily%20Moser&amp;reservation_id=31727564701941&amp;guest_id=31727552762008", "Emily Moser")</f>
        <v>Emily Moser</v>
      </c>
      <c r="E11427" t="s">
        <v>10591</v>
      </c>
      <c r="F11427" t="s">
        <v>10312</v>
      </c>
      <c r="G11427">
        <v>278</v>
      </c>
      <c r="H11427">
        <v>302.2</v>
      </c>
      <c r="I11427">
        <v>302.19</v>
      </c>
      <c r="J11427">
        <v>0.01</v>
      </c>
    </row>
    <row r="11428" spans="1:10" x14ac:dyDescent="0.3">
      <c r="A11428" t="str">
        <f>HYPERLINK("https://us2.cloudbeds.com/connect/10074733072513#/reservations/31726905766097?display=MXEHWAQZD&amp;reservation_id=31726905766097", "MXEHWAQZD")</f>
        <v>MXEHWAQZD</v>
      </c>
      <c r="B11428" t="s">
        <v>10</v>
      </c>
      <c r="C11428" t="s">
        <v>17</v>
      </c>
      <c r="D11428" t="str">
        <f>HYPERLINK("https://us2.cloudbeds.com/connect/10074733072513#/reservations/31726905766097?display=Jennifer%20Richter&amp;reservation_id=31726905766097&amp;guest_id=31726905766092", "Jennifer Richter")</f>
        <v>Jennifer Richter</v>
      </c>
      <c r="E11428" t="s">
        <v>10578</v>
      </c>
      <c r="F11428" t="s">
        <v>9632</v>
      </c>
      <c r="G11428">
        <v>119</v>
      </c>
      <c r="H11428">
        <v>129.36000000000001</v>
      </c>
      <c r="I11428">
        <v>129.35</v>
      </c>
      <c r="J11428">
        <v>0.01</v>
      </c>
    </row>
    <row r="11429" spans="1:10" x14ac:dyDescent="0.3">
      <c r="A11429" t="str">
        <f>HYPERLINK("https://us2.cloudbeds.com/connect/10074733072513#/reservations/31729124876436?display=MXG8MHR98&amp;reservation_id=31729124876436", "MXG8MHR98")</f>
        <v>MXG8MHR98</v>
      </c>
      <c r="B11429" t="s">
        <v>10</v>
      </c>
      <c r="C11429" t="s">
        <v>42</v>
      </c>
      <c r="D11429" t="str">
        <f>HYPERLINK("https://us2.cloudbeds.com/connect/10074733072513#/reservations/31729124876436?display=Sharon%20Petersma&amp;reservation_id=31729124876436&amp;guest_id=31729124876431", "Sharon Petersma")</f>
        <v>Sharon Petersma</v>
      </c>
      <c r="E11429" t="s">
        <v>3847</v>
      </c>
      <c r="F11429" t="s">
        <v>7649</v>
      </c>
      <c r="G11429">
        <v>298</v>
      </c>
      <c r="H11429">
        <v>323.94</v>
      </c>
      <c r="I11429">
        <v>323.93</v>
      </c>
      <c r="J11429">
        <v>0.01</v>
      </c>
    </row>
    <row r="11430" spans="1:10" x14ac:dyDescent="0.3">
      <c r="A11430" t="str">
        <f>HYPERLINK("https://us2.cloudbeds.com/connect/10074733072513#/reservations/31726709145803?display=MXECVHXGM&amp;reservation_id=31726709145803", "MXECVHXGM")</f>
        <v>MXECVHXGM</v>
      </c>
      <c r="B11430" t="s">
        <v>10</v>
      </c>
      <c r="C11430" t="s">
        <v>42</v>
      </c>
      <c r="D11430" t="str">
        <f>HYPERLINK("https://us2.cloudbeds.com/connect/10074733072513#/reservations/31726709145803?display=Lucas%20Zebroski&amp;reservation_id=31726709145803&amp;guest_id=31726709145798", "Lucas Zebroski")</f>
        <v>Lucas Zebroski</v>
      </c>
      <c r="E11430" t="s">
        <v>10594</v>
      </c>
      <c r="F11430" t="s">
        <v>10584</v>
      </c>
      <c r="G11430">
        <v>258</v>
      </c>
      <c r="H11430">
        <v>280.45999999999998</v>
      </c>
      <c r="I11430">
        <v>280.45</v>
      </c>
      <c r="J11430">
        <v>0.01</v>
      </c>
    </row>
    <row r="11431" spans="1:10" x14ac:dyDescent="0.3">
      <c r="A11431" t="str">
        <f>HYPERLINK("https://us2.cloudbeds.com/connect/10074733072513#/reservations/31727916282055?display=MXFAQDTU3&amp;reservation_id=31727916282055", "MXFAQDTU3")</f>
        <v>MXFAQDTU3</v>
      </c>
      <c r="B11431" t="s">
        <v>10</v>
      </c>
      <c r="C11431" t="s">
        <v>11</v>
      </c>
      <c r="D11431" t="str">
        <f>HYPERLINK("https://us2.cloudbeds.com/connect/10074733072513#/reservations/31727916282055?display=John%20Cook&amp;reservation_id=31727916282055&amp;guest_id=31727907500213", "John Cook")</f>
        <v>John Cook</v>
      </c>
      <c r="E11431" t="s">
        <v>10595</v>
      </c>
      <c r="F11431" t="s">
        <v>9657</v>
      </c>
      <c r="G11431">
        <v>105.78</v>
      </c>
      <c r="H11431">
        <v>114.99</v>
      </c>
      <c r="I11431">
        <v>114.98</v>
      </c>
      <c r="J11431">
        <v>0.01</v>
      </c>
    </row>
    <row r="11432" spans="1:10" x14ac:dyDescent="0.3">
      <c r="A11432" t="str">
        <f>HYPERLINK("https://us2.cloudbeds.com/connect/10074733072513#/reservations/31723769270493?display=MXC3RX6G2&amp;reservation_id=31723769270493", "MXC3RX6G2")</f>
        <v>MXC3RX6G2</v>
      </c>
      <c r="B11432" t="s">
        <v>10</v>
      </c>
      <c r="C11432" t="s">
        <v>23</v>
      </c>
      <c r="D11432" t="str">
        <f>HYPERLINK("https://us2.cloudbeds.com/connect/10074733072513#/reservations/31723769270493?display=Gretchen%20Gilmore&amp;reservation_id=31723769270493&amp;guest_id=31723769270491", "Gretchen Gilmore")</f>
        <v>Gretchen Gilmore</v>
      </c>
      <c r="E11432" t="s">
        <v>10596</v>
      </c>
      <c r="F11432" t="s">
        <v>10336</v>
      </c>
      <c r="G11432">
        <v>169</v>
      </c>
      <c r="H11432">
        <v>183.71</v>
      </c>
      <c r="I11432">
        <v>183.7</v>
      </c>
      <c r="J11432">
        <v>0.01</v>
      </c>
    </row>
    <row r="11433" spans="1:10" x14ac:dyDescent="0.3">
      <c r="A11433" t="str">
        <f>HYPERLINK("https://us2.cloudbeds.com/connect/10074733072513#/reservations/31725571399884?display=MXDGT53DK&amp;reservation_id=31725571399884", "MXDGT53DK")</f>
        <v>MXDGT53DK</v>
      </c>
      <c r="B11433" t="s">
        <v>10</v>
      </c>
      <c r="C11433" t="s">
        <v>23</v>
      </c>
      <c r="D11433" t="str">
        <f>HYPERLINK("https://us2.cloudbeds.com/connect/10074733072513#/reservations/31725571399884?display=Sara%20Vang&amp;reservation_id=31725571399884&amp;guest_id=31725571399881", "Sara Vang")</f>
        <v>Sara Vang</v>
      </c>
      <c r="E11433" t="s">
        <v>10597</v>
      </c>
      <c r="F11433" t="s">
        <v>9717</v>
      </c>
      <c r="G11433">
        <v>179</v>
      </c>
      <c r="H11433">
        <v>194.58</v>
      </c>
      <c r="I11433">
        <v>194.57</v>
      </c>
      <c r="J11433">
        <v>0.01</v>
      </c>
    </row>
    <row r="11434" spans="1:10" x14ac:dyDescent="0.3">
      <c r="A11434" t="str">
        <f>HYPERLINK("https://us2.cloudbeds.com/connect/10074733072513#/reservations/31721775534281?display=MXAXTCX27&amp;reservation_id=31721775534281", "MXAXTCX27")</f>
        <v>MXAXTCX27</v>
      </c>
      <c r="B11434" t="s">
        <v>10</v>
      </c>
      <c r="C11434" t="s">
        <v>23</v>
      </c>
      <c r="D11434" t="str">
        <f>HYPERLINK("https://us2.cloudbeds.com/connect/10074733072513#/reservations/31721775534281?display=Greg%20Vester&amp;reservation_id=31721775534281&amp;guest_id=31721775530187", "Greg Vester")</f>
        <v>Greg Vester</v>
      </c>
      <c r="E11434" t="s">
        <v>10598</v>
      </c>
      <c r="F11434" t="s">
        <v>10599</v>
      </c>
      <c r="G11434">
        <v>119</v>
      </c>
      <c r="H11434">
        <v>129.36000000000001</v>
      </c>
      <c r="I11434">
        <v>129.35</v>
      </c>
      <c r="J11434">
        <v>0.01</v>
      </c>
    </row>
    <row r="11435" spans="1:10" x14ac:dyDescent="0.3">
      <c r="A11435" t="str">
        <f>HYPERLINK("https://us2.cloudbeds.com/connect/10074733072513#/reservations/31726454702257?display=MXE6EW9N5&amp;reservation_id=31726454702257", "MXE6EW9N5")</f>
        <v>MXE6EW9N5</v>
      </c>
      <c r="B11435" t="s">
        <v>10</v>
      </c>
      <c r="C11435" t="s">
        <v>42</v>
      </c>
      <c r="D11435" t="str">
        <f>HYPERLINK("https://us2.cloudbeds.com/connect/10074733072513#/reservations/31726454702257?display=Jonathan%20Jundt&amp;reservation_id=31726454702257&amp;guest_id=31726454702253", "Jonathan Jundt")</f>
        <v>Jonathan Jundt</v>
      </c>
      <c r="E11435" t="s">
        <v>10600</v>
      </c>
      <c r="F11435" t="s">
        <v>10402</v>
      </c>
      <c r="G11435">
        <v>149</v>
      </c>
      <c r="H11435">
        <v>161.97</v>
      </c>
      <c r="I11435">
        <v>161.96</v>
      </c>
      <c r="J11435">
        <v>0.01</v>
      </c>
    </row>
    <row r="11436" spans="1:10" x14ac:dyDescent="0.3">
      <c r="A11436" t="str">
        <f>HYPERLINK("https://us2.cloudbeds.com/connect/10074733072513#/reservations/31728939937950?display=MXG3VJY4N&amp;reservation_id=31728939937950", "MXG3VJY4N")</f>
        <v>MXG3VJY4N</v>
      </c>
      <c r="B11436" t="s">
        <v>10</v>
      </c>
      <c r="C11436" t="s">
        <v>42</v>
      </c>
      <c r="D11436" t="str">
        <f>HYPERLINK("https://us2.cloudbeds.com/connect/10074733072513#/reservations/31728939937950?display=Timothy%20Obanion&amp;reservation_id=31728939937950&amp;guest_id=31728939937926", "Timothy Obanion")</f>
        <v>Timothy Obanion</v>
      </c>
      <c r="E11436" t="s">
        <v>10601</v>
      </c>
      <c r="F11436" t="s">
        <v>10534</v>
      </c>
      <c r="G11436">
        <v>119</v>
      </c>
      <c r="H11436">
        <v>129.36000000000001</v>
      </c>
      <c r="I11436">
        <v>129.35</v>
      </c>
      <c r="J11436">
        <v>0.01</v>
      </c>
    </row>
    <row r="11437" spans="1:10" x14ac:dyDescent="0.3">
      <c r="A11437" t="str">
        <f>HYPERLINK("https://us2.cloudbeds.com/connect/10074733072513#/reservations/31727118926062?display=MXENE29U9&amp;reservation_id=31727118926062", "MXENE29U9")</f>
        <v>MXENE29U9</v>
      </c>
      <c r="B11437" t="s">
        <v>10</v>
      </c>
      <c r="C11437" t="s">
        <v>14</v>
      </c>
      <c r="D11437" t="str">
        <f>HYPERLINK("https://us2.cloudbeds.com/connect/10074733072513#/reservations/31727118926062?display=Wayne%20Anderson&amp;reservation_id=31727118926062&amp;guest_id=31727118926049", "Wayne Anderson")</f>
        <v>Wayne Anderson</v>
      </c>
      <c r="E11437" t="s">
        <v>10602</v>
      </c>
      <c r="F11437" t="s">
        <v>9632</v>
      </c>
      <c r="G11437">
        <v>87.82</v>
      </c>
      <c r="H11437">
        <v>95.47</v>
      </c>
      <c r="I11437">
        <v>95.46</v>
      </c>
      <c r="J11437">
        <v>0.01</v>
      </c>
    </row>
    <row r="11438" spans="1:10" x14ac:dyDescent="0.3">
      <c r="A11438" t="str">
        <f>HYPERLINK("https://us2.cloudbeds.com/connect/10074733072513#/reservations/31713862897862?display=MX4EN7PJ1&amp;reservation_id=31713862897862", "MX4EN7PJ1")</f>
        <v>MX4EN7PJ1</v>
      </c>
      <c r="B11438" t="s">
        <v>10</v>
      </c>
      <c r="C11438" t="s">
        <v>42</v>
      </c>
      <c r="D11438" t="str">
        <f>HYPERLINK("https://us2.cloudbeds.com/connect/10074733072513#/reservations/31713862897862?display=Rhonda%20Kacy&amp;reservation_id=31713862897862&amp;guest_id=31713862897858", "Rhonda Kacy")</f>
        <v>Rhonda Kacy</v>
      </c>
      <c r="E11438" t="s">
        <v>10603</v>
      </c>
      <c r="F11438" t="s">
        <v>10250</v>
      </c>
      <c r="G11438">
        <v>159</v>
      </c>
      <c r="H11438">
        <v>172.84</v>
      </c>
      <c r="I11438">
        <v>172.83</v>
      </c>
      <c r="J11438">
        <v>0.01</v>
      </c>
    </row>
    <row r="11439" spans="1:10" x14ac:dyDescent="0.3">
      <c r="A11439" t="str">
        <f>HYPERLINK("https://us2.cloudbeds.com/connect/10074733072513#/reservations/31727455957220?display=MXEW18MZM&amp;reservation_id=31727455957220", "MXEW18MZM")</f>
        <v>MXEW18MZM</v>
      </c>
      <c r="B11439" t="s">
        <v>10</v>
      </c>
      <c r="C11439" t="s">
        <v>42</v>
      </c>
      <c r="D11439" t="str">
        <f>HYPERLINK("https://us2.cloudbeds.com/connect/10074733072513#/reservations/31727455957220?display=Sean%20Hofstadter&amp;reservation_id=31727455957220&amp;guest_id=31727455957216", "Sean Hofstadter")</f>
        <v>Sean Hofstadter</v>
      </c>
      <c r="E11439" t="s">
        <v>10604</v>
      </c>
      <c r="F11439" t="s">
        <v>9713</v>
      </c>
      <c r="G11439">
        <v>179</v>
      </c>
      <c r="H11439">
        <v>194.58</v>
      </c>
      <c r="I11439">
        <v>194.57</v>
      </c>
      <c r="J11439">
        <v>0.01</v>
      </c>
    </row>
    <row r="11440" spans="1:10" x14ac:dyDescent="0.3">
      <c r="A11440" t="str">
        <f>HYPERLINK("https://us2.cloudbeds.com/connect/10074733072513#/reservations/31724660785370?display=MXCQK9U3D&amp;reservation_id=31724660785370", "MXCQK9U3D")</f>
        <v>MXCQK9U3D</v>
      </c>
      <c r="B11440" t="s">
        <v>10</v>
      </c>
      <c r="C11440" t="s">
        <v>23</v>
      </c>
      <c r="D11440" t="str">
        <f>HYPERLINK("https://us2.cloudbeds.com/connect/10074733072513#/reservations/31724660785370?display=Brandon%20Hanson&amp;reservation_id=31724660785370&amp;guest_id=31724649844936", "Brandon Hanson")</f>
        <v>Brandon Hanson</v>
      </c>
      <c r="E11440" t="s">
        <v>10605</v>
      </c>
      <c r="F11440" t="s">
        <v>10552</v>
      </c>
      <c r="G11440">
        <v>119</v>
      </c>
      <c r="H11440">
        <v>129.36000000000001</v>
      </c>
      <c r="I11440">
        <v>129.35</v>
      </c>
      <c r="J11440">
        <v>0.01</v>
      </c>
    </row>
    <row r="11441" spans="1:10" x14ac:dyDescent="0.3">
      <c r="A11441" t="str">
        <f>HYPERLINK("https://us2.cloudbeds.com/connect/10074733072513#/reservations/31727641600132?display=MXF3PQFZF&amp;reservation_id=31727641600132", "MXF3PQFZF")</f>
        <v>MXF3PQFZF</v>
      </c>
      <c r="B11441" t="s">
        <v>10</v>
      </c>
      <c r="C11441" t="s">
        <v>11</v>
      </c>
      <c r="D11441" t="str">
        <f>HYPERLINK("https://us2.cloudbeds.com/connect/10074733072513#/reservations/31727641600132?display=Peter%20Schwabe&amp;reservation_id=31727641600132&amp;guest_id=31727635341475", "Peter Schwabe")</f>
        <v>Peter Schwabe</v>
      </c>
      <c r="E11441" t="s">
        <v>10606</v>
      </c>
      <c r="F11441" t="s">
        <v>10552</v>
      </c>
      <c r="G11441">
        <v>87.82</v>
      </c>
      <c r="H11441">
        <v>95.47</v>
      </c>
      <c r="I11441">
        <v>95.46</v>
      </c>
      <c r="J11441">
        <v>0.01</v>
      </c>
    </row>
    <row r="11442" spans="1:10" x14ac:dyDescent="0.3">
      <c r="A11442" t="str">
        <f>HYPERLINK("https://us2.cloudbeds.com/connect/10074733072513#/reservations/31727652532383?display=MXF420MHQ&amp;reservation_id=31727652532383", "MXF420MHQ")</f>
        <v>MXF420MHQ</v>
      </c>
      <c r="B11442" t="s">
        <v>10</v>
      </c>
      <c r="C11442" t="s">
        <v>42</v>
      </c>
      <c r="D11442" t="str">
        <f>HYPERLINK("https://us2.cloudbeds.com/connect/10074733072513#/reservations/31727652532383?display=John%20Klien&amp;reservation_id=31727652532383&amp;guest_id=31727652532378", "John Klien")</f>
        <v>John Klien</v>
      </c>
      <c r="E11442" t="s">
        <v>10607</v>
      </c>
      <c r="F11442" t="s">
        <v>10552</v>
      </c>
      <c r="G11442">
        <v>119</v>
      </c>
      <c r="H11442">
        <v>129.36000000000001</v>
      </c>
      <c r="I11442">
        <v>129.35</v>
      </c>
      <c r="J11442">
        <v>0.01</v>
      </c>
    </row>
    <row r="11443" spans="1:10" x14ac:dyDescent="0.3">
      <c r="A11443" t="str">
        <f>HYPERLINK("https://us2.cloudbeds.com/connect/10074733072513#/reservations/31728971747570?display=MXG4PDQ2J&amp;reservation_id=31728971747570", "MXG4PDQ2J")</f>
        <v>MXG4PDQ2J</v>
      </c>
      <c r="B11443" t="s">
        <v>10</v>
      </c>
      <c r="C11443" t="s">
        <v>121</v>
      </c>
      <c r="D11443" t="str">
        <f>HYPERLINK("https://us2.cloudbeds.com/connect/10074733072513#/reservations/31728971747570?display=Molly%20Sybesma&amp;reservation_id=31728971747570&amp;guest_id=31728960266392", "Molly Sybesma")</f>
        <v>Molly Sybesma</v>
      </c>
      <c r="E11443" t="s">
        <v>8775</v>
      </c>
      <c r="F11443" t="s">
        <v>10534</v>
      </c>
      <c r="G11443">
        <v>119</v>
      </c>
      <c r="H11443">
        <v>129.36000000000001</v>
      </c>
      <c r="I11443">
        <v>129.35</v>
      </c>
      <c r="J11443">
        <v>0.01</v>
      </c>
    </row>
    <row r="11444" spans="1:10" x14ac:dyDescent="0.3">
      <c r="A11444" t="str">
        <f>HYPERLINK("https://us2.cloudbeds.com/connect/10074733072513#/reservations/31726885884066?display=MXEHFXXJK&amp;reservation_id=31726885884066", "MXEHFXXJK")</f>
        <v>MXEHFXXJK</v>
      </c>
      <c r="B11444" t="s">
        <v>10</v>
      </c>
      <c r="C11444" t="s">
        <v>121</v>
      </c>
      <c r="D11444" t="str">
        <f>HYPERLINK("https://us2.cloudbeds.com/connect/10074733072513#/reservations/31726885884066?display=Ricky%20Fleming&amp;reservation_id=31726885884066&amp;guest_id=31726875734215", "Ricky Fleming")</f>
        <v>Ricky Fleming</v>
      </c>
      <c r="E11444" t="s">
        <v>10610</v>
      </c>
      <c r="F11444" t="s">
        <v>10534</v>
      </c>
      <c r="G11444">
        <v>119</v>
      </c>
      <c r="H11444">
        <v>129.36000000000001</v>
      </c>
      <c r="I11444">
        <v>129.35</v>
      </c>
      <c r="J11444">
        <v>0.01</v>
      </c>
    </row>
    <row r="11445" spans="1:10" x14ac:dyDescent="0.3">
      <c r="A11445" t="str">
        <f>HYPERLINK("https://us2.cloudbeds.com/connect/10074733072513#/reservations/31725086146705?display=MXD4FW76R&amp;reservation_id=31725086146705", "MXD4FW76R")</f>
        <v>MXD4FW76R</v>
      </c>
      <c r="B11445" t="s">
        <v>10</v>
      </c>
      <c r="C11445" t="s">
        <v>23</v>
      </c>
      <c r="D11445" t="str">
        <f>HYPERLINK("https://us2.cloudbeds.com/connect/10074733072513#/reservations/31725086146705?display=Travis%20Taylor&amp;reservation_id=31725086146705&amp;guest_id=31725086142614", "Travis Taylor")</f>
        <v>Travis Taylor</v>
      </c>
      <c r="E11445" t="s">
        <v>10611</v>
      </c>
      <c r="F11445" t="s">
        <v>10552</v>
      </c>
      <c r="G11445">
        <v>119</v>
      </c>
      <c r="H11445">
        <v>129.36000000000001</v>
      </c>
      <c r="I11445">
        <v>129.35</v>
      </c>
      <c r="J11445">
        <v>0.01</v>
      </c>
    </row>
    <row r="11446" spans="1:10" x14ac:dyDescent="0.3">
      <c r="A11446" t="str">
        <f>HYPERLINK("https://us2.cloudbeds.com/connect/10074733072513#/reservations/31727652528288?display=MXF420XPN&amp;reservation_id=31727652528288", "MXF420XPN")</f>
        <v>MXF420XPN</v>
      </c>
      <c r="B11446" t="s">
        <v>10</v>
      </c>
      <c r="C11446" t="s">
        <v>121</v>
      </c>
      <c r="D11446" t="str">
        <f>HYPERLINK("https://us2.cloudbeds.com/connect/10074733072513#/reservations/31727652528288?display=Timothy%20O%20Bannion&amp;reservation_id=31727652528288&amp;guest_id=31727641600191", "Timothy O Bannion")</f>
        <v>Timothy O Bannion</v>
      </c>
      <c r="E11446" t="s">
        <v>10613</v>
      </c>
      <c r="F11446" t="s">
        <v>10552</v>
      </c>
      <c r="G11446">
        <v>119</v>
      </c>
      <c r="H11446">
        <v>129.36000000000001</v>
      </c>
      <c r="I11446">
        <v>129.35</v>
      </c>
      <c r="J11446">
        <v>0.01</v>
      </c>
    </row>
    <row r="11447" spans="1:10" x14ac:dyDescent="0.3">
      <c r="A11447" t="str">
        <f>HYPERLINK("https://us2.cloudbeds.com/connect/10074733072513#/reservations/31722576556271?display=MXB6BR5ES&amp;reservation_id=31722576556271", "MXB6BR5ES")</f>
        <v>MXB6BR5ES</v>
      </c>
      <c r="B11447" t="s">
        <v>10</v>
      </c>
      <c r="C11447" t="s">
        <v>42</v>
      </c>
      <c r="D11447" t="str">
        <f>HYPERLINK("https://us2.cloudbeds.com/connect/10074733072513#/reservations/31722576556271?display=Susan%20Roberts&amp;reservation_id=31722576556271&amp;guest_id=31722576556268", "Susan Roberts")</f>
        <v>Susan Roberts</v>
      </c>
      <c r="E11447" t="s">
        <v>10614</v>
      </c>
      <c r="F11447" t="s">
        <v>10615</v>
      </c>
      <c r="G11447">
        <v>159</v>
      </c>
      <c r="H11447">
        <v>172.84</v>
      </c>
      <c r="I11447">
        <v>172.83</v>
      </c>
      <c r="J11447">
        <v>0.01</v>
      </c>
    </row>
    <row r="11448" spans="1:10" x14ac:dyDescent="0.3">
      <c r="A11448" t="str">
        <f>HYPERLINK("https://us2.cloudbeds.com/connect/10074733072513#/reservations/31727712174297?display=MXF5JAA4H&amp;reservation_id=31727712174297", "MXF5JAA4H")</f>
        <v>MXF5JAA4H</v>
      </c>
      <c r="B11448" t="s">
        <v>10</v>
      </c>
      <c r="C11448" t="s">
        <v>121</v>
      </c>
      <c r="D11448" t="str">
        <f>HYPERLINK("https://us2.cloudbeds.com/connect/10074733072513#/reservations/31727712174297?display=Lucas%20Wosje&amp;reservation_id=31727712174297&amp;guest_id=31687794884827", "Lucas Wosje")</f>
        <v>Lucas Wosje</v>
      </c>
      <c r="E11448" t="s">
        <v>7900</v>
      </c>
      <c r="F11448" t="s">
        <v>10534</v>
      </c>
      <c r="G11448">
        <v>119</v>
      </c>
      <c r="H11448">
        <v>129.36000000000001</v>
      </c>
      <c r="I11448">
        <v>129.35</v>
      </c>
      <c r="J11448">
        <v>0.01</v>
      </c>
    </row>
    <row r="11449" spans="1:10" x14ac:dyDescent="0.3">
      <c r="A11449" t="str">
        <f>HYPERLINK("https://us2.cloudbeds.com/connect/10074733072513#/reservations/31727689580691?display=MXF508K0Q&amp;reservation_id=31727689580691", "MXF508K0Q")</f>
        <v>MXF508K0Q</v>
      </c>
      <c r="B11449" t="s">
        <v>10</v>
      </c>
      <c r="C11449" t="s">
        <v>121</v>
      </c>
      <c r="D11449" t="str">
        <f>HYPERLINK("https://us2.cloudbeds.com/connect/10074733072513#/reservations/31727689580691?display=Donavan%20Kautzman&amp;reservation_id=31727689580691&amp;guest_id=31727689576597", "Donavan Kautzman")</f>
        <v>Donavan Kautzman</v>
      </c>
      <c r="E11449" t="s">
        <v>10618</v>
      </c>
      <c r="F11449" t="s">
        <v>10534</v>
      </c>
      <c r="G11449">
        <v>119</v>
      </c>
      <c r="H11449">
        <v>129.36000000000001</v>
      </c>
      <c r="I11449">
        <v>129.35</v>
      </c>
      <c r="J11449">
        <v>0.01</v>
      </c>
    </row>
    <row r="11450" spans="1:10" x14ac:dyDescent="0.3">
      <c r="A11450" t="str">
        <f>HYPERLINK("https://us2.cloudbeds.com/connect/10074733072513#/reservations/31730653528304?display=MXHEZHR04&amp;reservation_id=31730653528304", "MXHEZHR04")</f>
        <v>MXHEZHR04</v>
      </c>
      <c r="B11450" t="s">
        <v>10</v>
      </c>
      <c r="C11450" t="s">
        <v>23</v>
      </c>
      <c r="D11450" t="str">
        <f>HYPERLINK("https://us2.cloudbeds.com/connect/10074733072513#/reservations/31730653528304?display=John%20Snyder&amp;reservation_id=31730653528304&amp;guest_id=31730641076383", "John Snyder")</f>
        <v>John Snyder</v>
      </c>
      <c r="E11450" t="s">
        <v>10619</v>
      </c>
      <c r="F11450" t="s">
        <v>10258</v>
      </c>
      <c r="G11450">
        <v>129</v>
      </c>
      <c r="H11450">
        <v>140.22999999999999</v>
      </c>
      <c r="I11450">
        <v>140.22</v>
      </c>
      <c r="J11450">
        <v>0.01</v>
      </c>
    </row>
    <row r="11451" spans="1:10" x14ac:dyDescent="0.3">
      <c r="A11451" t="str">
        <f>HYPERLINK("https://us2.cloudbeds.com/connect/10074733072513#/reservations/31728624763033?display=MXFSTREAY&amp;reservation_id=31728624763033", "MXFSTREAY")</f>
        <v>MXFSTREAY</v>
      </c>
      <c r="B11451" t="s">
        <v>10</v>
      </c>
      <c r="C11451" t="s">
        <v>23</v>
      </c>
      <c r="D11451" t="str">
        <f>HYPERLINK("https://us2.cloudbeds.com/connect/10074733072513#/reservations/31728624763033?display=James%20White&amp;reservation_id=31728624763033&amp;guest_id=31728614232254", "James White")</f>
        <v>James White</v>
      </c>
      <c r="E11451" t="s">
        <v>10620</v>
      </c>
      <c r="F11451" t="s">
        <v>10501</v>
      </c>
      <c r="G11451">
        <v>298</v>
      </c>
      <c r="H11451">
        <v>323.94</v>
      </c>
      <c r="I11451">
        <v>323.93</v>
      </c>
      <c r="J11451">
        <v>0.01</v>
      </c>
    </row>
    <row r="11452" spans="1:10" x14ac:dyDescent="0.3">
      <c r="A11452" t="str">
        <f>HYPERLINK("https://us2.cloudbeds.com/connect/10074733072513#/reservations/31727627849908?display=MXF3E6S90&amp;reservation_id=31727627849908", "MXF3E6S90")</f>
        <v>MXF3E6S90</v>
      </c>
      <c r="B11452" t="s">
        <v>10</v>
      </c>
      <c r="C11452" t="s">
        <v>14</v>
      </c>
      <c r="D11452" t="str">
        <f>HYPERLINK("https://us2.cloudbeds.com/connect/10074733072513#/reservations/31727627849908?display=Tanya%20Kaarup&amp;reservation_id=31727627849908&amp;guest_id=31727627849903", "Tanya Kaarup")</f>
        <v>Tanya Kaarup</v>
      </c>
      <c r="E11452" t="s">
        <v>10621</v>
      </c>
      <c r="F11452" t="s">
        <v>10312</v>
      </c>
      <c r="G11452">
        <v>102.58</v>
      </c>
      <c r="H11452">
        <v>111.51</v>
      </c>
      <c r="I11452">
        <v>111.5</v>
      </c>
      <c r="J11452">
        <v>0.01</v>
      </c>
    </row>
    <row r="11453" spans="1:10" x14ac:dyDescent="0.3">
      <c r="A11453" t="str">
        <f>HYPERLINK("https://us2.cloudbeds.com/connect/10074733072513#/reservations/31727473758379?display=MXEWG912Z&amp;reservation_id=31727473758379", "MXEWG912Z")</f>
        <v>MXEWG912Z</v>
      </c>
      <c r="B11453" t="s">
        <v>10</v>
      </c>
      <c r="C11453" t="s">
        <v>42</v>
      </c>
      <c r="D11453" t="str">
        <f>HYPERLINK("https://us2.cloudbeds.com/connect/10074733072513#/reservations/31727473758379?display=Gary%20Hillman&amp;reservation_id=31727473758379&amp;guest_id=31721610072277", "Gary Hillman")</f>
        <v>Gary Hillman</v>
      </c>
      <c r="E11453" t="s">
        <v>10622</v>
      </c>
      <c r="F11453" t="s">
        <v>9713</v>
      </c>
      <c r="G11453">
        <v>199</v>
      </c>
      <c r="H11453">
        <v>216.32</v>
      </c>
      <c r="I11453">
        <v>216.31</v>
      </c>
      <c r="J11453">
        <v>0.01</v>
      </c>
    </row>
    <row r="11454" spans="1:10" x14ac:dyDescent="0.3">
      <c r="A11454" t="str">
        <f>HYPERLINK("https://us2.cloudbeds.com/connect/10074733072513#/reservations/31727624704129?display=MXF3BXAJC&amp;reservation_id=31727624704129", "MXF3BXAJC")</f>
        <v>MXF3BXAJC</v>
      </c>
      <c r="B11454" t="s">
        <v>10</v>
      </c>
      <c r="C11454" t="s">
        <v>14</v>
      </c>
      <c r="D11454" t="str">
        <f>HYPERLINK("https://us2.cloudbeds.com/connect/10074733072513#/reservations/31727624704129?display=Tanya%20Kaarup&amp;reservation_id=31727624704129&amp;guest_id=31727603925155", "Tanya Kaarup")</f>
        <v>Tanya Kaarup</v>
      </c>
      <c r="E11454" t="s">
        <v>10623</v>
      </c>
      <c r="F11454" t="s">
        <v>10312</v>
      </c>
      <c r="G11454">
        <v>102.58</v>
      </c>
      <c r="H11454">
        <v>111.51</v>
      </c>
      <c r="I11454">
        <v>111.5</v>
      </c>
      <c r="J11454">
        <v>0.01</v>
      </c>
    </row>
    <row r="11455" spans="1:10" x14ac:dyDescent="0.3">
      <c r="A11455" t="str">
        <f>HYPERLINK("https://us2.cloudbeds.com/connect/10074733072513#/reservations/31730641072292?display=MXHEE16W7&amp;reservation_id=31730641072292", "MXHEE16W7")</f>
        <v>MXHEE16W7</v>
      </c>
      <c r="B11455" t="s">
        <v>10</v>
      </c>
      <c r="C11455" t="s">
        <v>42</v>
      </c>
      <c r="D11455" t="str">
        <f>HYPERLINK("https://us2.cloudbeds.com/connect/10074733072513#/reservations/31730641072292?display=Michael%20Riley&amp;reservation_id=31730641072292&amp;guest_id=30683492307113", "Michael Riley")</f>
        <v>Michael Riley</v>
      </c>
      <c r="E11455" t="s">
        <v>4193</v>
      </c>
      <c r="F11455" t="s">
        <v>10258</v>
      </c>
      <c r="G11455">
        <v>129</v>
      </c>
      <c r="H11455">
        <v>140.22999999999999</v>
      </c>
      <c r="I11455">
        <v>140.22</v>
      </c>
      <c r="J11455">
        <v>0.01</v>
      </c>
    </row>
    <row r="11456" spans="1:10" x14ac:dyDescent="0.3">
      <c r="A11456" t="str">
        <f>HYPERLINK("https://us2.cloudbeds.com/connect/10074733072513#/reservations/31728487239819?display=MXFPCSYCH&amp;reservation_id=31728487239819", "MXFPCSYCH")</f>
        <v>MXFPCSYCH</v>
      </c>
      <c r="B11456" t="s">
        <v>10</v>
      </c>
      <c r="C11456" t="s">
        <v>11</v>
      </c>
      <c r="D11456" t="str">
        <f>HYPERLINK("https://us2.cloudbeds.com/connect/10074733072513#/reservations/31728487239819?display=Jordan%20Hinrichs&amp;reservation_id=31728487239819&amp;guest_id=31728487239816", "Jordan Hinrichs")</f>
        <v>Jordan Hinrichs</v>
      </c>
      <c r="E11456" t="s">
        <v>10624</v>
      </c>
      <c r="F11456" t="s">
        <v>10322</v>
      </c>
      <c r="G11456">
        <v>97.74</v>
      </c>
      <c r="H11456">
        <v>106.25</v>
      </c>
      <c r="I11456">
        <v>106.24</v>
      </c>
      <c r="J11456">
        <v>0.01</v>
      </c>
    </row>
    <row r="11457" spans="1:10" x14ac:dyDescent="0.3">
      <c r="A11457" t="str">
        <f>HYPERLINK("https://us2.cloudbeds.com/connect/10074733072513#/reservations/31726722334916?display=MXED9YXNP&amp;reservation_id=31726722334916", "MXED9YXNP")</f>
        <v>MXED9YXNP</v>
      </c>
      <c r="B11457" t="s">
        <v>10</v>
      </c>
      <c r="C11457" t="s">
        <v>20</v>
      </c>
      <c r="D11457" t="str">
        <f>HYPERLINK("https://us2.cloudbeds.com/connect/10074733072513#/reservations/31726722334916?display=Paul%20Beck&amp;reservation_id=31726722334916&amp;guest_id=31726722330830", "Paul Beck")</f>
        <v>Paul Beck</v>
      </c>
      <c r="E11457" t="s">
        <v>10626</v>
      </c>
      <c r="F11457" t="s">
        <v>9740</v>
      </c>
      <c r="G11457">
        <v>179</v>
      </c>
      <c r="H11457">
        <v>194.58</v>
      </c>
      <c r="I11457">
        <v>194.57</v>
      </c>
      <c r="J11457">
        <v>0.01</v>
      </c>
    </row>
    <row r="11458" spans="1:10" x14ac:dyDescent="0.3">
      <c r="A11458" t="str">
        <f>HYPERLINK("https://us2.cloudbeds.com/connect/10074733072513#/reservations/31730570989710?display=MXHCKV1WK&amp;reservation_id=31730570989710", "MXHCKV1WK")</f>
        <v>MXHCKV1WK</v>
      </c>
      <c r="B11458" t="s">
        <v>10</v>
      </c>
      <c r="C11458" t="s">
        <v>121</v>
      </c>
      <c r="D11458" t="str">
        <f>HYPERLINK("https://us2.cloudbeds.com/connect/10074733072513#/reservations/31730570989710?display=Igor%20Marchuk&amp;reservation_id=31730570989710&amp;guest_id=31730570989707", "Igor Marchuk")</f>
        <v>Igor Marchuk</v>
      </c>
      <c r="E11458" t="s">
        <v>10627</v>
      </c>
      <c r="F11458" t="s">
        <v>10336</v>
      </c>
      <c r="G11458">
        <v>159</v>
      </c>
      <c r="H11458">
        <v>172.84</v>
      </c>
      <c r="I11458">
        <v>172.83</v>
      </c>
      <c r="J11458">
        <v>0.01</v>
      </c>
    </row>
    <row r="11459" spans="1:10" x14ac:dyDescent="0.3">
      <c r="A11459" t="str">
        <f>HYPERLINK("https://us2.cloudbeds.com/connect/10074733072513#/reservations/31726646272171?display=MXEBBH0A3&amp;reservation_id=31726646272171", "MXEBBH0A3")</f>
        <v>MXEBBH0A3</v>
      </c>
      <c r="B11459" t="s">
        <v>10</v>
      </c>
      <c r="C11459" t="s">
        <v>42</v>
      </c>
      <c r="D11459" t="str">
        <f>HYPERLINK("https://us2.cloudbeds.com/connect/10074733072513#/reservations/31726646272171?display=New%20Age%20Cryo%20.&amp;reservation_id=31726646272171&amp;guest_id=31726646272166", "New Age Cryo .")</f>
        <v>New Age Cryo .</v>
      </c>
      <c r="E11459" t="s">
        <v>10628</v>
      </c>
      <c r="F11459" t="s">
        <v>10584</v>
      </c>
      <c r="G11459">
        <v>252</v>
      </c>
      <c r="H11459">
        <v>273.93</v>
      </c>
      <c r="I11459">
        <v>273.92</v>
      </c>
      <c r="J11459">
        <v>0.01</v>
      </c>
    </row>
    <row r="11460" spans="1:10" x14ac:dyDescent="0.3">
      <c r="A11460" t="str">
        <f>HYPERLINK("https://us2.cloudbeds.com/connect/10074733072513#/reservations/31726707998932?display=MXECUXYC0&amp;reservation_id=31726707998932", "MXECUXYC0")</f>
        <v>MXECUXYC0</v>
      </c>
      <c r="B11460" t="s">
        <v>10</v>
      </c>
      <c r="C11460" t="s">
        <v>42</v>
      </c>
      <c r="D11460" t="str">
        <f>HYPERLINK("https://us2.cloudbeds.com/connect/10074733072513#/reservations/31726707998932?display=Julie%20Lowy&amp;reservation_id=31726707998932&amp;guest_id=31726694391999", "Julie Lowy")</f>
        <v>Julie Lowy</v>
      </c>
      <c r="E11460" t="s">
        <v>10629</v>
      </c>
      <c r="F11460" t="s">
        <v>9717</v>
      </c>
      <c r="G11460">
        <v>179</v>
      </c>
      <c r="H11460">
        <v>194.58</v>
      </c>
      <c r="I11460">
        <v>194.57</v>
      </c>
      <c r="J11460">
        <v>0.01</v>
      </c>
    </row>
    <row r="11461" spans="1:10" x14ac:dyDescent="0.3">
      <c r="A11461" t="str">
        <f>HYPERLINK("https://us2.cloudbeds.com/connect/10074733072513#/reservations/31723494940870?display=MXBTR7XR6&amp;reservation_id=31723494940870", "MXBTR7XR6")</f>
        <v>MXBTR7XR6</v>
      </c>
      <c r="B11461" t="s">
        <v>10</v>
      </c>
      <c r="C11461" t="s">
        <v>42</v>
      </c>
      <c r="D11461" t="str">
        <f>HYPERLINK("https://us2.cloudbeds.com/connect/10074733072513#/reservations/31723494940870?display=Stacey%20Tschetter&amp;reservation_id=31723494940870&amp;guest_id=31691233456324", "Stacey Tschetter")</f>
        <v>Stacey Tschetter</v>
      </c>
      <c r="E11461" t="s">
        <v>7632</v>
      </c>
      <c r="F11461" t="s">
        <v>10630</v>
      </c>
      <c r="G11461">
        <v>313.2</v>
      </c>
      <c r="H11461">
        <v>340.46</v>
      </c>
      <c r="I11461">
        <v>340.45</v>
      </c>
      <c r="J11461">
        <v>0.01</v>
      </c>
    </row>
    <row r="11462" spans="1:10" x14ac:dyDescent="0.3">
      <c r="A11462" t="str">
        <f>HYPERLINK("https://us2.cloudbeds.com/connect/10074733072513#/reservations/31727639122121?display=MXF3NNH87&amp;reservation_id=31727639122121", "MXF3NNH87")</f>
        <v>MXF3NNH87</v>
      </c>
      <c r="B11462" t="s">
        <v>10</v>
      </c>
      <c r="C11462" t="s">
        <v>11</v>
      </c>
      <c r="D11462" t="str">
        <f>HYPERLINK("https://us2.cloudbeds.com/connect/10074733072513#/reservations/31727639122121?display=Terysha%20Collins&amp;reservation_id=31727639122121&amp;guest_id=31727639118027", "Terysha Collins")</f>
        <v>Terysha Collins</v>
      </c>
      <c r="E11462" t="s">
        <v>10632</v>
      </c>
      <c r="F11462" t="s">
        <v>10312</v>
      </c>
      <c r="G11462">
        <v>110.86</v>
      </c>
      <c r="H11462">
        <v>120.51</v>
      </c>
      <c r="I11462">
        <v>120.5</v>
      </c>
      <c r="J11462">
        <v>0.01</v>
      </c>
    </row>
    <row r="11463" spans="1:10" x14ac:dyDescent="0.3">
      <c r="A11463" t="str">
        <f>HYPERLINK("https://us2.cloudbeds.com/connect/10074733072513#/reservations/31730363879574?display=MXH7B9U6T&amp;reservation_id=31730363879574", "MXH7B9U6T")</f>
        <v>MXH7B9U6T</v>
      </c>
      <c r="B11463" t="s">
        <v>10</v>
      </c>
      <c r="C11463" t="s">
        <v>121</v>
      </c>
      <c r="D11463" t="str">
        <f>HYPERLINK("https://us2.cloudbeds.com/connect/10074733072513#/reservations/31730363879574?display=John%20Viall&amp;reservation_id=31730363879574&amp;guest_id=31730347085956", "John Viall")</f>
        <v>John Viall</v>
      </c>
      <c r="E11463" t="s">
        <v>10633</v>
      </c>
      <c r="F11463" t="s">
        <v>10258</v>
      </c>
      <c r="G11463">
        <v>129</v>
      </c>
      <c r="H11463">
        <v>140.22999999999999</v>
      </c>
      <c r="I11463">
        <v>140.22</v>
      </c>
      <c r="J11463">
        <v>0.01</v>
      </c>
    </row>
    <row r="11464" spans="1:10" x14ac:dyDescent="0.3">
      <c r="A11464" t="str">
        <f>HYPERLINK("https://us2.cloudbeds.com/connect/10074733072513#/reservations/31727593492678?display=MXF2X7QUR&amp;reservation_id=31727593492678", "MXF2X7QUR")</f>
        <v>MXF2X7QUR</v>
      </c>
      <c r="B11464" t="s">
        <v>10</v>
      </c>
      <c r="C11464" t="s">
        <v>11</v>
      </c>
      <c r="D11464" t="str">
        <f>HYPERLINK("https://us2.cloudbeds.com/connect/10074733072513#/reservations/31727593492678?display=Ben%20Larson&amp;reservation_id=31727593492678&amp;guest_id=31727593488632", "Ben Larson")</f>
        <v>Ben Larson</v>
      </c>
      <c r="E11464" t="s">
        <v>10634</v>
      </c>
      <c r="F11464" t="s">
        <v>10312</v>
      </c>
      <c r="G11464">
        <v>205.16</v>
      </c>
      <c r="H11464">
        <v>223.02</v>
      </c>
      <c r="I11464">
        <v>223.01</v>
      </c>
      <c r="J11464">
        <v>0.01</v>
      </c>
    </row>
    <row r="11465" spans="1:10" x14ac:dyDescent="0.3">
      <c r="A11465" t="str">
        <f>HYPERLINK("https://us2.cloudbeds.com/connect/10074733072513#/reservations/31728452006048?display=MXFZG574G&amp;reservation_id=31728452006048", "MXFZG574G")</f>
        <v>MXFZG574G</v>
      </c>
      <c r="B11465" t="s">
        <v>10</v>
      </c>
      <c r="C11465" t="s">
        <v>42</v>
      </c>
      <c r="D11465" t="str">
        <f>HYPERLINK("https://us2.cloudbeds.com/connect/10074733072513#/reservations/31728452006048?display=Ron%20Moreno&amp;reservation_id=31728452006048&amp;guest_id=31728452006043", "Ron Moreno")</f>
        <v>Ron Moreno</v>
      </c>
      <c r="E11465" t="s">
        <v>10636</v>
      </c>
      <c r="F11465" t="s">
        <v>10322</v>
      </c>
      <c r="G11465">
        <v>428.4</v>
      </c>
      <c r="H11465">
        <v>465.68</v>
      </c>
      <c r="I11465">
        <v>465.67</v>
      </c>
      <c r="J11465">
        <v>0.01</v>
      </c>
    </row>
    <row r="11466" spans="1:10" x14ac:dyDescent="0.3">
      <c r="A11466" t="str">
        <f>HYPERLINK("https://us2.cloudbeds.com/connect/10074733072513#/reservations/31728136171680?display=MXFGDRYP2&amp;reservation_id=31728136171680", "MXFGDRYP2")</f>
        <v>MXFGDRYP2</v>
      </c>
      <c r="B11466" t="s">
        <v>10</v>
      </c>
      <c r="C11466" t="s">
        <v>42</v>
      </c>
      <c r="D11466" t="str">
        <f>HYPERLINK("https://us2.cloudbeds.com/connect/10074733072513#/reservations/31728136171680?display=Shawn%20Schroeder&amp;reservation_id=31728136171680&amp;guest_id=31728115720335", "Shawn Schroeder")</f>
        <v>Shawn Schroeder</v>
      </c>
      <c r="E11466" t="s">
        <v>10637</v>
      </c>
      <c r="F11466" t="s">
        <v>10438</v>
      </c>
      <c r="G11466">
        <v>238</v>
      </c>
      <c r="H11466">
        <v>258.72000000000003</v>
      </c>
      <c r="I11466">
        <v>258.70999999999998</v>
      </c>
      <c r="J11466">
        <v>0.01</v>
      </c>
    </row>
    <row r="11467" spans="1:10" x14ac:dyDescent="0.3">
      <c r="A11467" t="str">
        <f>HYPERLINK("https://us2.cloudbeds.com/connect/10074733072513#/reservations/31724536152266?display=MXCNE6QQM&amp;reservation_id=31724536152266", "MXCNE6QQM")</f>
        <v>MXCNE6QQM</v>
      </c>
      <c r="B11467" t="s">
        <v>10</v>
      </c>
      <c r="C11467" t="s">
        <v>17</v>
      </c>
      <c r="D11467" t="str">
        <f>HYPERLINK("https://us2.cloudbeds.com/connect/10074733072513#/reservations/31724536152266?display=Don%20Willis&amp;reservation_id=31724536152266&amp;guest_id=31724527886567", "Don Willis")</f>
        <v>Don Willis</v>
      </c>
      <c r="E11467" t="s">
        <v>10638</v>
      </c>
      <c r="F11467" t="s">
        <v>10639</v>
      </c>
      <c r="G11467">
        <v>238</v>
      </c>
      <c r="H11467">
        <v>258.72000000000003</v>
      </c>
      <c r="I11467">
        <v>258.70999999999998</v>
      </c>
      <c r="J11467">
        <v>0.01</v>
      </c>
    </row>
    <row r="11468" spans="1:10" x14ac:dyDescent="0.3">
      <c r="A11468" t="str">
        <f>HYPERLINK("https://us2.cloudbeds.com/connect/10074733072513#/reservations/31727930495116?display=MXFB5DDCU&amp;reservation_id=31727930495116", "MXFB5DDCU")</f>
        <v>MXFB5DDCU</v>
      </c>
      <c r="B11468" t="s">
        <v>10</v>
      </c>
      <c r="C11468" t="s">
        <v>11</v>
      </c>
      <c r="D11468" t="str">
        <f>HYPERLINK("https://us2.cloudbeds.com/connect/10074733072513#/reservations/31727930495116?display=Odelia%20Paleafei&amp;reservation_id=31727930495116&amp;guest_id=31727926735073", "Odelia Paleafei")</f>
        <v>Odelia Paleafei</v>
      </c>
      <c r="E11468" t="s">
        <v>10640</v>
      </c>
      <c r="F11468" t="s">
        <v>9657</v>
      </c>
      <c r="G11468">
        <v>87.82</v>
      </c>
      <c r="H11468">
        <v>95.47</v>
      </c>
      <c r="I11468">
        <v>95.46</v>
      </c>
      <c r="J11468">
        <v>0.01</v>
      </c>
    </row>
    <row r="11469" spans="1:10" x14ac:dyDescent="0.3">
      <c r="A11469" t="str">
        <f>HYPERLINK("https://us2.cloudbeds.com/connect/10074733072513#/reservations/31714311172231?display=MX4Q57M3R&amp;reservation_id=31714311172231", "MX4Q57M3R")</f>
        <v>MX4Q57M3R</v>
      </c>
      <c r="B11469" t="s">
        <v>10</v>
      </c>
      <c r="C11469" t="s">
        <v>42</v>
      </c>
      <c r="D11469" t="str">
        <f>HYPERLINK("https://us2.cloudbeds.com/connect/10074733072513#/reservations/31714311172231?display=Aaron%20Sattler&amp;reservation_id=31714311172231&amp;guest_id=31714304188662", "Aaron Sattler")</f>
        <v>Aaron Sattler</v>
      </c>
      <c r="E11469" t="s">
        <v>10641</v>
      </c>
      <c r="F11469" t="s">
        <v>10250</v>
      </c>
      <c r="G11469">
        <v>159</v>
      </c>
      <c r="H11469">
        <v>172.84</v>
      </c>
      <c r="I11469">
        <v>172.83</v>
      </c>
      <c r="J11469">
        <v>0.01</v>
      </c>
    </row>
    <row r="11470" spans="1:10" x14ac:dyDescent="0.3">
      <c r="A11470" t="str">
        <f>HYPERLINK("https://us2.cloudbeds.com/connect/10074733072513#/reservations/31724857880790?display=MXCVYGCKT&amp;reservation_id=31724857880790", "MXCVYGCKT")</f>
        <v>MXCVYGCKT</v>
      </c>
      <c r="B11470" t="s">
        <v>10</v>
      </c>
      <c r="C11470" t="s">
        <v>121</v>
      </c>
      <c r="D11470" t="str">
        <f>HYPERLINK("https://us2.cloudbeds.com/connect/10074733072513#/reservations/31724857880790?display=David%20Jenesse&amp;reservation_id=31724857880790&amp;guest_id=31724857880773", "David Jenesse")</f>
        <v>David Jenesse</v>
      </c>
      <c r="E11470" t="s">
        <v>10642</v>
      </c>
      <c r="F11470" t="s">
        <v>10415</v>
      </c>
      <c r="G11470">
        <v>129</v>
      </c>
      <c r="H11470">
        <v>140.22999999999999</v>
      </c>
      <c r="I11470">
        <v>140.22</v>
      </c>
      <c r="J11470">
        <v>0.01</v>
      </c>
    </row>
    <row r="11471" spans="1:10" x14ac:dyDescent="0.3">
      <c r="A11471" t="str">
        <f>HYPERLINK("https://us2.cloudbeds.com/connect/10074733072513#/reservations/31717116276864?display=MX6VXVJA8&amp;reservation_id=31717116276864", "MX6VXVJA8")</f>
        <v>MX6VXVJA8</v>
      </c>
      <c r="B11471" t="s">
        <v>10</v>
      </c>
      <c r="C11471" t="s">
        <v>42</v>
      </c>
      <c r="D11471" t="str">
        <f>HYPERLINK("https://us2.cloudbeds.com/connect/10074733072513#/reservations/31717116276864?display=Jesse%20Munsterman&amp;reservation_id=31717116276864&amp;guest_id=31717106061535", "Jesse Munsterman")</f>
        <v>Jesse Munsterman</v>
      </c>
      <c r="E11471" t="s">
        <v>10643</v>
      </c>
      <c r="F11471" t="s">
        <v>10250</v>
      </c>
      <c r="G11471">
        <v>338</v>
      </c>
      <c r="H11471">
        <v>367.42</v>
      </c>
      <c r="I11471">
        <v>367.41</v>
      </c>
      <c r="J11471">
        <v>0.01</v>
      </c>
    </row>
    <row r="11472" spans="1:10" x14ac:dyDescent="0.3">
      <c r="A11472" t="str">
        <f>HYPERLINK("https://us2.cloudbeds.com/connect/10074733072513#/reservations/31717117907142?display=MX6VSV6QS&amp;reservation_id=31717117907142", "MX6VSV6QS")</f>
        <v>MX6VSV6QS</v>
      </c>
      <c r="B11472" t="s">
        <v>10</v>
      </c>
      <c r="C11472" t="s">
        <v>42</v>
      </c>
      <c r="D11472" t="str">
        <f>HYPERLINK("https://us2.cloudbeds.com/connect/10074733072513#/reservations/31717117907142?display=Patty%20Weingartz&amp;reservation_id=31717117907142&amp;guest_id=31717117903062", "Patty Weingartz")</f>
        <v>Patty Weingartz</v>
      </c>
      <c r="E11472" t="s">
        <v>10644</v>
      </c>
      <c r="F11472" t="s">
        <v>10250</v>
      </c>
      <c r="G11472">
        <v>318</v>
      </c>
      <c r="H11472">
        <v>345.68</v>
      </c>
      <c r="I11472">
        <v>345.67</v>
      </c>
      <c r="J11472">
        <v>0.01</v>
      </c>
    </row>
    <row r="11473" spans="1:10" x14ac:dyDescent="0.3">
      <c r="A11473" t="str">
        <f>HYPERLINK("https://us2.cloudbeds.com/connect/10074733072513#/reservations/31717127794851?display=MX6W49BED&amp;reservation_id=31717127794851", "MX6W49BED")</f>
        <v>MX6W49BED</v>
      </c>
      <c r="B11473" t="s">
        <v>10</v>
      </c>
      <c r="C11473" t="s">
        <v>42</v>
      </c>
      <c r="D11473" t="str">
        <f>HYPERLINK("https://us2.cloudbeds.com/connect/10074733072513#/reservations/31717127794851?display=Patrick%20Ebke&amp;reservation_id=31717127794851&amp;guest_id=31717127790767", "Patrick Ebke")</f>
        <v>Patrick Ebke</v>
      </c>
      <c r="E11473" t="s">
        <v>10645</v>
      </c>
      <c r="F11473" t="s">
        <v>10250</v>
      </c>
      <c r="G11473">
        <v>318</v>
      </c>
      <c r="H11473">
        <v>345.68</v>
      </c>
      <c r="I11473">
        <v>345.67</v>
      </c>
      <c r="J11473">
        <v>0.01</v>
      </c>
    </row>
    <row r="11474" spans="1:10" x14ac:dyDescent="0.3">
      <c r="A11474" t="str">
        <f>HYPERLINK("https://us2.cloudbeds.com/connect/10074733072513#/reservations/31723655245954?display=MXC0UD9P0&amp;reservation_id=31723655245954", "MXC0UD9P0")</f>
        <v>MXC0UD9P0</v>
      </c>
      <c r="B11474" t="s">
        <v>10</v>
      </c>
      <c r="C11474" t="s">
        <v>14</v>
      </c>
      <c r="D11474" t="str">
        <f>HYPERLINK("https://us2.cloudbeds.com/connect/10074733072513#/reservations/31723655245954?display=Pamela%20Anderson&amp;reservation_id=31723655245954&amp;guest_id=31723655241917", "Pamela Anderson")</f>
        <v>Pamela Anderson</v>
      </c>
      <c r="E11474" t="s">
        <v>10647</v>
      </c>
      <c r="F11474" t="s">
        <v>10584</v>
      </c>
      <c r="G11474">
        <v>87.82</v>
      </c>
      <c r="H11474">
        <v>95.47</v>
      </c>
      <c r="I11474">
        <v>95.46</v>
      </c>
      <c r="J11474">
        <v>0.01</v>
      </c>
    </row>
    <row r="11475" spans="1:10" x14ac:dyDescent="0.3">
      <c r="A11475" t="str">
        <f>HYPERLINK("https://us2.cloudbeds.com/connect/10074733072513#/reservations/31721065336987?display=MXA0ZH8K3&amp;reservation_id=31721065336987", "MXA0ZH8K3")</f>
        <v>MXA0ZH8K3</v>
      </c>
      <c r="B11475" t="s">
        <v>10</v>
      </c>
      <c r="C11475" t="s">
        <v>42</v>
      </c>
      <c r="D11475" t="str">
        <f>HYPERLINK("https://us2.cloudbeds.com/connect/10074733072513#/reservations/31721065336987?display=Joe%20Burst&amp;reservation_id=31721065336987&amp;guest_id=31721065332906", "Joe Burst")</f>
        <v>Joe Burst</v>
      </c>
      <c r="E11475" t="s">
        <v>10649</v>
      </c>
      <c r="F11475" t="s">
        <v>9740</v>
      </c>
      <c r="G11475">
        <v>159</v>
      </c>
      <c r="H11475">
        <v>172.84</v>
      </c>
      <c r="I11475">
        <v>172.83</v>
      </c>
      <c r="J11475">
        <v>0.01</v>
      </c>
    </row>
    <row r="11476" spans="1:10" x14ac:dyDescent="0.3">
      <c r="A11476" t="str">
        <f>HYPERLINK("https://us2.cloudbeds.com/connect/10074733072513#/reservations/31727898538200?display=MXFABF56H&amp;reservation_id=31727898538200", "MXFABF56H")</f>
        <v>MXFABF56H</v>
      </c>
      <c r="B11476" t="s">
        <v>10</v>
      </c>
      <c r="C11476" t="s">
        <v>121</v>
      </c>
      <c r="D11476" t="str">
        <f>HYPERLINK("https://us2.cloudbeds.com/connect/10074733072513#/reservations/31727898538200?display=Allen%20Colte&amp;reservation_id=31727898538200&amp;guest_id=31727898534140", "Allen Colte")</f>
        <v>Allen Colte</v>
      </c>
      <c r="E11476" t="s">
        <v>10650</v>
      </c>
      <c r="F11476" t="s">
        <v>9657</v>
      </c>
      <c r="G11476">
        <v>318</v>
      </c>
      <c r="H11476">
        <v>345.68</v>
      </c>
      <c r="I11476">
        <v>345.67</v>
      </c>
      <c r="J11476">
        <v>0.01</v>
      </c>
    </row>
    <row r="11477" spans="1:10" x14ac:dyDescent="0.3">
      <c r="A11477" t="str">
        <f>HYPERLINK("https://us2.cloudbeds.com/connect/10074733072513#/reservations/31726613635289?display=MXEAGWRNM&amp;reservation_id=31726613635289", "MXEAGWRNM")</f>
        <v>MXEAGWRNM</v>
      </c>
      <c r="B11477" t="s">
        <v>10</v>
      </c>
      <c r="C11477" t="s">
        <v>23</v>
      </c>
      <c r="D11477" t="str">
        <f>HYPERLINK("https://us2.cloudbeds.com/connect/10074733072513#/reservations/31726613635289?display=Heath%20Harvey&amp;reservation_id=31726613635289&amp;guest_id=31726613635286", "Heath Harvey")</f>
        <v>Heath Harvey</v>
      </c>
      <c r="E11477" t="s">
        <v>10651</v>
      </c>
      <c r="F11477" t="s">
        <v>10584</v>
      </c>
      <c r="G11477">
        <v>218</v>
      </c>
      <c r="H11477">
        <v>236.98</v>
      </c>
      <c r="I11477">
        <v>236.97</v>
      </c>
      <c r="J11477">
        <v>0.01</v>
      </c>
    </row>
    <row r="11478" spans="1:10" x14ac:dyDescent="0.3">
      <c r="A11478" t="str">
        <f>HYPERLINK("https://us2.cloudbeds.com/connect/10074733072513#/reservations/31717170872546?display=MX707K1X4&amp;reservation_id=31717170872546", "MX707K1X4")</f>
        <v>MX707K1X4</v>
      </c>
      <c r="B11478" t="s">
        <v>10</v>
      </c>
      <c r="C11478" t="s">
        <v>42</v>
      </c>
      <c r="D11478" t="str">
        <f>HYPERLINK("https://us2.cloudbeds.com/connect/10074733072513#/reservations/31717170872546?display=Jayme%20Schoevers&amp;reservation_id=31717170872546&amp;guest_id=31717170868455", "Jayme Schoevers")</f>
        <v>Jayme Schoevers</v>
      </c>
      <c r="E11478" t="s">
        <v>10652</v>
      </c>
      <c r="F11478" t="s">
        <v>10250</v>
      </c>
      <c r="G11478">
        <v>318</v>
      </c>
      <c r="H11478">
        <v>345.68</v>
      </c>
      <c r="I11478">
        <v>345.67</v>
      </c>
      <c r="J11478">
        <v>0.01</v>
      </c>
    </row>
    <row r="11479" spans="1:10" x14ac:dyDescent="0.3">
      <c r="A11479" t="str">
        <f>HYPERLINK("https://us2.cloudbeds.com/connect/10074733072513#/reservations/31727948603524?display=MXFBKM9SX&amp;reservation_id=31727948603524", "MXFBKM9SX")</f>
        <v>MXFBKM9SX</v>
      </c>
      <c r="B11479" t="s">
        <v>10</v>
      </c>
      <c r="C11479" t="s">
        <v>11</v>
      </c>
      <c r="D11479" t="str">
        <f>HYPERLINK("https://us2.cloudbeds.com/connect/10074733072513#/reservations/31727948603524?display=Phil%20Weston&amp;reservation_id=31727948603524&amp;guest_id=31727944007907", "Phil Weston")</f>
        <v>Phil Weston</v>
      </c>
      <c r="E11479" t="s">
        <v>10653</v>
      </c>
      <c r="F11479" t="s">
        <v>9657</v>
      </c>
      <c r="G11479">
        <v>97.74</v>
      </c>
      <c r="H11479">
        <v>106.25</v>
      </c>
      <c r="I11479">
        <v>106.24</v>
      </c>
      <c r="J11479">
        <v>0.01</v>
      </c>
    </row>
    <row r="11480" spans="1:10" x14ac:dyDescent="0.3">
      <c r="A11480" t="str">
        <f>HYPERLINK("https://us2.cloudbeds.com/connect/10074733072513#/reservations/31717158125707?display=MX6WTSBF9&amp;reservation_id=31717158125707", "MX6WTSBF9")</f>
        <v>MX6WTSBF9</v>
      </c>
      <c r="B11480" t="s">
        <v>10</v>
      </c>
      <c r="C11480" t="s">
        <v>42</v>
      </c>
      <c r="D11480" t="str">
        <f>HYPERLINK("https://us2.cloudbeds.com/connect/10074733072513#/reservations/31717158125707?display=Annie%20Cuddie&amp;reservation_id=31717158125707&amp;guest_id=31717158125703", "Annie Cuddie")</f>
        <v>Annie Cuddie</v>
      </c>
      <c r="E11480" t="s">
        <v>10654</v>
      </c>
      <c r="F11480" t="s">
        <v>10250</v>
      </c>
      <c r="G11480">
        <v>318</v>
      </c>
      <c r="H11480">
        <v>345.68</v>
      </c>
      <c r="I11480">
        <v>345.67</v>
      </c>
      <c r="J11480">
        <v>0.01</v>
      </c>
    </row>
    <row r="11481" spans="1:10" x14ac:dyDescent="0.3">
      <c r="A11481" t="str">
        <f>HYPERLINK("https://us2.cloudbeds.com/connect/10074733072513#/reservations/31727540822262?display=MXF16R62K&amp;reservation_id=31727540822262", "MXF16R62K")</f>
        <v>MXF16R62K</v>
      </c>
      <c r="B11481" t="s">
        <v>10</v>
      </c>
      <c r="C11481" t="s">
        <v>17</v>
      </c>
      <c r="D11481" t="str">
        <f>HYPERLINK("https://us2.cloudbeds.com/connect/10074733072513#/reservations/31727540822262?display=Joshua%20Frost&amp;reservation_id=31727540822262&amp;guest_id=31727540822260", "Joshua Frost")</f>
        <v>Joshua Frost</v>
      </c>
      <c r="E11481" t="s">
        <v>10655</v>
      </c>
      <c r="F11481" t="s">
        <v>9740</v>
      </c>
      <c r="G11481">
        <v>398</v>
      </c>
      <c r="H11481">
        <v>432.64</v>
      </c>
      <c r="I11481">
        <v>432.63</v>
      </c>
      <c r="J11481">
        <v>0.01</v>
      </c>
    </row>
    <row r="11482" spans="1:10" x14ac:dyDescent="0.3">
      <c r="A11482" t="str">
        <f>HYPERLINK("https://us2.cloudbeds.com/connect/10074733072513#/reservations/31724849209537?display=MXCVE631Y&amp;reservation_id=31724849209537", "MXCVE631Y")</f>
        <v>MXCVE631Y</v>
      </c>
      <c r="B11482" t="s">
        <v>10</v>
      </c>
      <c r="C11482" t="s">
        <v>42</v>
      </c>
      <c r="D11482" t="str">
        <f>HYPERLINK("https://us2.cloudbeds.com/connect/10074733072513#/reservations/31724849209537?display=Cadan%20Koerlin&amp;reservation_id=31724849209537&amp;guest_id=31724849205486", "Cadan Koerlin")</f>
        <v>Cadan Koerlin</v>
      </c>
      <c r="E11482" t="s">
        <v>10656</v>
      </c>
      <c r="F11482" t="s">
        <v>9657</v>
      </c>
      <c r="G11482">
        <v>179</v>
      </c>
      <c r="H11482">
        <v>194.58</v>
      </c>
      <c r="I11482">
        <v>194.57</v>
      </c>
      <c r="J11482">
        <v>0.01</v>
      </c>
    </row>
    <row r="11483" spans="1:10" x14ac:dyDescent="0.3">
      <c r="A11483" t="str">
        <f>HYPERLINK("https://us2.cloudbeds.com/connect/10074733072513#/reservations/31724839813357?display=MXCV68KPU&amp;reservation_id=31724839813357", "MXCV68KPU")</f>
        <v>MXCV68KPU</v>
      </c>
      <c r="B11483" t="s">
        <v>10</v>
      </c>
      <c r="C11483" t="s">
        <v>42</v>
      </c>
      <c r="D11483" t="str">
        <f>HYPERLINK("https://us2.cloudbeds.com/connect/10074733072513#/reservations/31724839813357?display=Deann%20Motter&amp;reservation_id=31724839813357&amp;guest_id=31716898230465", "Deann Motter")</f>
        <v>Deann Motter</v>
      </c>
      <c r="E11483" t="s">
        <v>10227</v>
      </c>
      <c r="F11483" t="s">
        <v>9657</v>
      </c>
      <c r="G11483">
        <v>73</v>
      </c>
      <c r="H11483">
        <v>79.36</v>
      </c>
      <c r="I11483">
        <v>79.349999999999994</v>
      </c>
      <c r="J11483">
        <v>0.01</v>
      </c>
    </row>
    <row r="11484" spans="1:10" x14ac:dyDescent="0.3">
      <c r="A11484" t="str">
        <f>HYPERLINK("https://us2.cloudbeds.com/connect/10074733072513#/reservations/31728038858961?display=MXFDUPQ1Q&amp;reservation_id=31728038858961", "MXFDUPQ1Q")</f>
        <v>MXFDUPQ1Q</v>
      </c>
      <c r="B11484" t="s">
        <v>10</v>
      </c>
      <c r="C11484" t="s">
        <v>42</v>
      </c>
      <c r="D11484" t="str">
        <f>HYPERLINK("https://us2.cloudbeds.com/connect/10074733072513#/reservations/31728038858961?display=Nick%20Sherman&amp;reservation_id=31728038858961&amp;guest_id=31723967779048", "Nick Sherman")</f>
        <v>Nick Sherman</v>
      </c>
      <c r="E11484" t="s">
        <v>9425</v>
      </c>
      <c r="F11484" t="s">
        <v>10593</v>
      </c>
      <c r="G11484">
        <v>336</v>
      </c>
      <c r="H11484">
        <v>365.24</v>
      </c>
      <c r="I11484">
        <v>365.23</v>
      </c>
      <c r="J11484">
        <v>0.01</v>
      </c>
    </row>
    <row r="11485" spans="1:10" x14ac:dyDescent="0.3">
      <c r="A11485" t="str">
        <f>HYPERLINK("https://us2.cloudbeds.com/connect/10074733072513#/reservations/31726687654076?display=MXECDDH77&amp;reservation_id=31726687654076", "MXECDDH77")</f>
        <v>MXECDDH77</v>
      </c>
      <c r="B11485" t="s">
        <v>10</v>
      </c>
      <c r="C11485" t="s">
        <v>42</v>
      </c>
      <c r="D11485" t="str">
        <f>HYPERLINK("https://us2.cloudbeds.com/connect/10074733072513#/reservations/31726687654076?display=Mark%20Wendhausen&amp;reservation_id=31726687654076&amp;guest_id=31726675988705", "Mark Wendhausen")</f>
        <v>Mark Wendhausen</v>
      </c>
      <c r="E11485" t="s">
        <v>10657</v>
      </c>
      <c r="F11485" t="s">
        <v>10584</v>
      </c>
      <c r="G11485">
        <v>218</v>
      </c>
      <c r="H11485">
        <v>236.98</v>
      </c>
      <c r="I11485">
        <v>236.97</v>
      </c>
      <c r="J11485">
        <v>0.01</v>
      </c>
    </row>
    <row r="11486" spans="1:10" x14ac:dyDescent="0.3">
      <c r="A11486" t="str">
        <f>HYPERLINK("https://us2.cloudbeds.com/connect/10074733072513#/reservations/31726840283350?display=MXEGA3YYZ&amp;reservation_id=31726840283350", "MXEGA3YYZ")</f>
        <v>MXEGA3YYZ</v>
      </c>
      <c r="B11486" t="s">
        <v>10</v>
      </c>
      <c r="C11486" t="s">
        <v>42</v>
      </c>
      <c r="D11486" t="str">
        <f>HYPERLINK("https://us2.cloudbeds.com/connect/10074733072513#/reservations/31726840283350?display=Irene%20Nelson&amp;reservation_id=31726840283350&amp;guest_id=31726840279265", "Irene Nelson")</f>
        <v>Irene Nelson</v>
      </c>
      <c r="E11486" t="s">
        <v>10658</v>
      </c>
      <c r="F11486" t="s">
        <v>10288</v>
      </c>
      <c r="G11486">
        <v>298</v>
      </c>
      <c r="H11486">
        <v>323.94</v>
      </c>
      <c r="I11486">
        <v>323.93</v>
      </c>
      <c r="J11486">
        <v>0.01</v>
      </c>
    </row>
    <row r="11487" spans="1:10" x14ac:dyDescent="0.3">
      <c r="A11487" t="str">
        <f>HYPERLINK("https://us2.cloudbeds.com/connect/10074733072513#/reservations/31728674787484?display=MXFU60EF3&amp;reservation_id=31728674787484", "MXFU60EF3")</f>
        <v>MXFU60EF3</v>
      </c>
      <c r="B11487" t="s">
        <v>10</v>
      </c>
      <c r="C11487" t="s">
        <v>17</v>
      </c>
      <c r="D11487" t="str">
        <f>HYPERLINK("https://us2.cloudbeds.com/connect/10074733072513#/reservations/31728674787484?display=Joshua%20Hanson&amp;reservation_id=31728674787484&amp;guest_id=31728674787482", "Joshua Hanson")</f>
        <v>Joshua Hanson</v>
      </c>
      <c r="E11487" t="s">
        <v>10659</v>
      </c>
      <c r="F11487" t="s">
        <v>10501</v>
      </c>
      <c r="G11487">
        <v>159</v>
      </c>
      <c r="H11487">
        <v>172.84</v>
      </c>
      <c r="I11487">
        <v>172.83</v>
      </c>
      <c r="J11487">
        <v>0.01</v>
      </c>
    </row>
    <row r="11488" spans="1:10" x14ac:dyDescent="0.3">
      <c r="A11488" t="str">
        <f>HYPERLINK("https://us2.cloudbeds.com/connect/10074733072513#/reservations/31726743142604?display=MXEDR6XSP&amp;reservation_id=31726743142604", "MXEDR6XSP")</f>
        <v>MXEDR6XSP</v>
      </c>
      <c r="B11488" t="s">
        <v>10</v>
      </c>
      <c r="C11488" t="s">
        <v>42</v>
      </c>
      <c r="D11488" t="str">
        <f>HYPERLINK("https://us2.cloudbeds.com/connect/10074733072513#/reservations/31726743142604?display=Rodney%20Stoeser&amp;reservation_id=31726743142604&amp;guest_id=30671525732577", "Rodney Stoeser")</f>
        <v>Rodney Stoeser</v>
      </c>
      <c r="E11488" t="s">
        <v>10660</v>
      </c>
      <c r="F11488" t="s">
        <v>9740</v>
      </c>
      <c r="G11488">
        <v>318</v>
      </c>
      <c r="H11488">
        <v>345.68</v>
      </c>
      <c r="I11488">
        <v>345.67</v>
      </c>
      <c r="J11488">
        <v>0.01</v>
      </c>
    </row>
    <row r="11489" spans="1:10" x14ac:dyDescent="0.3">
      <c r="A11489" t="str">
        <f>HYPERLINK("https://us2.cloudbeds.com/connect/10074733072513#/reservations/31729104736472?display=MXG85XD9A&amp;reservation_id=31729104736472", "MXG85XD9A")</f>
        <v>MXG85XD9A</v>
      </c>
      <c r="B11489" t="s">
        <v>10</v>
      </c>
      <c r="C11489" t="s">
        <v>23</v>
      </c>
      <c r="D11489" t="str">
        <f>HYPERLINK("https://us2.cloudbeds.com/connect/10074733072513#/reservations/31729104736472?display=Dennis%20Tribbie&amp;reservation_id=31729104736472&amp;guest_id=31729092161671", "Dennis Tribbie")</f>
        <v>Dennis Tribbie</v>
      </c>
      <c r="E11489" t="s">
        <v>8951</v>
      </c>
      <c r="F11489" t="s">
        <v>10584</v>
      </c>
      <c r="G11489">
        <v>149</v>
      </c>
      <c r="H11489">
        <v>161.97</v>
      </c>
      <c r="I11489">
        <v>161.96</v>
      </c>
      <c r="J11489">
        <v>0.01</v>
      </c>
    </row>
    <row r="11490" spans="1:10" x14ac:dyDescent="0.3">
      <c r="A11490" t="str">
        <f>HYPERLINK("https://us2.cloudbeds.com/connect/10074733072513#/reservations/31721056964741?display=MXA0HF9JY&amp;reservation_id=31721056964741", "MXA0HF9JY")</f>
        <v>MXA0HF9JY</v>
      </c>
      <c r="B11490" t="s">
        <v>10</v>
      </c>
      <c r="C11490" t="s">
        <v>42</v>
      </c>
      <c r="D11490" t="str">
        <f>HYPERLINK("https://us2.cloudbeds.com/connect/10074733072513#/reservations/31721056964741?display=Jeremy%20Gossen&amp;reservation_id=31721056964741&amp;guest_id=31721056960662", "Jeremy Gossen")</f>
        <v>Jeremy Gossen</v>
      </c>
      <c r="E11490" t="s">
        <v>10649</v>
      </c>
      <c r="F11490" t="s">
        <v>9740</v>
      </c>
      <c r="G11490">
        <v>159</v>
      </c>
      <c r="H11490">
        <v>172.84</v>
      </c>
      <c r="I11490">
        <v>172.83</v>
      </c>
      <c r="J11490">
        <v>0.01</v>
      </c>
    </row>
    <row r="11491" spans="1:10" x14ac:dyDescent="0.3">
      <c r="A11491" t="str">
        <f>HYPERLINK("https://us2.cloudbeds.com/connect/10074733072513#/reservations/31712829227157?display=MX3Y9KC0B&amp;reservation_id=31712829227157", "MX3Y9KC0B")</f>
        <v>MX3Y9KC0B</v>
      </c>
      <c r="B11491" t="s">
        <v>10</v>
      </c>
      <c r="C11491" t="s">
        <v>42</v>
      </c>
      <c r="D11491" t="str">
        <f>HYPERLINK("https://us2.cloudbeds.com/connect/10074733072513#/reservations/31712829227157?display=Karrie%20Alberts&amp;reservation_id=31712829227157&amp;guest_id=31712829227153", "Karrie Alberts")</f>
        <v>Karrie Alberts</v>
      </c>
      <c r="E11491" t="s">
        <v>10661</v>
      </c>
      <c r="F11491" t="s">
        <v>10250</v>
      </c>
      <c r="G11491">
        <v>159</v>
      </c>
      <c r="H11491">
        <v>172.84</v>
      </c>
      <c r="I11491">
        <v>172.83</v>
      </c>
      <c r="J11491">
        <v>0.01</v>
      </c>
    </row>
    <row r="11492" spans="1:10" x14ac:dyDescent="0.3">
      <c r="A11492" t="str">
        <f>HYPERLINK("https://us2.cloudbeds.com/connect/10074733072513#/reservations/31714200883415?display=MX4NB7NQG&amp;reservation_id=31714200883415", "MX4NB7NQG")</f>
        <v>MX4NB7NQG</v>
      </c>
      <c r="B11492" t="s">
        <v>10</v>
      </c>
      <c r="C11492" t="s">
        <v>42</v>
      </c>
      <c r="D11492" t="str">
        <f>HYPERLINK("https://us2.cloudbeds.com/connect/10074733072513#/reservations/31714200883415?display=Amanda%20Kline&amp;reservation_id=31714200883415&amp;guest_id=31714200883413", "Amanda Kline")</f>
        <v>Amanda Kline</v>
      </c>
      <c r="E11492" t="s">
        <v>10662</v>
      </c>
      <c r="F11492" t="s">
        <v>10250</v>
      </c>
      <c r="G11492">
        <v>318</v>
      </c>
      <c r="H11492">
        <v>345.68</v>
      </c>
      <c r="I11492">
        <v>345.67</v>
      </c>
      <c r="J11492">
        <v>0.01</v>
      </c>
    </row>
    <row r="11493" spans="1:10" x14ac:dyDescent="0.3">
      <c r="A11493" t="str">
        <f>HYPERLINK("https://us2.cloudbeds.com/connect/10074733072513#/reservations/31726675984610?display=MXEC3XQF1&amp;reservation_id=31726675984610", "MXEC3XQF1")</f>
        <v>MXEC3XQF1</v>
      </c>
      <c r="B11493" t="s">
        <v>10</v>
      </c>
      <c r="C11493" t="s">
        <v>42</v>
      </c>
      <c r="D11493" t="str">
        <f>HYPERLINK("https://us2.cloudbeds.com/connect/10074733072513#/reservations/31726675984610?display=Jacob%20Allee&amp;reservation_id=31726675984610&amp;guest_id=31726675984605", "Jacob Allee")</f>
        <v>Jacob Allee</v>
      </c>
      <c r="E11493" t="s">
        <v>10663</v>
      </c>
      <c r="F11493" t="s">
        <v>10584</v>
      </c>
      <c r="G11493">
        <v>218</v>
      </c>
      <c r="H11493">
        <v>236.98</v>
      </c>
      <c r="I11493">
        <v>236.97</v>
      </c>
      <c r="J11493">
        <v>0.01</v>
      </c>
    </row>
    <row r="11494" spans="1:10" x14ac:dyDescent="0.3">
      <c r="A11494" t="str">
        <f>HYPERLINK("https://us2.cloudbeds.com/connect/10074733072513#/reservations/31725699547324?display=MXDK56WRC&amp;reservation_id=31725699547324", "MXDK56WRC")</f>
        <v>MXDK56WRC</v>
      </c>
      <c r="B11494" t="s">
        <v>10</v>
      </c>
      <c r="C11494" t="s">
        <v>23</v>
      </c>
      <c r="D11494" t="str">
        <f>HYPERLINK("https://us2.cloudbeds.com/connect/10074733072513#/reservations/31725699547324?display=Klint%20Kinney&amp;reservation_id=31725699547324&amp;guest_id=31725699547270", "Klint Kinney")</f>
        <v>Klint Kinney</v>
      </c>
      <c r="E11494" t="s">
        <v>10664</v>
      </c>
      <c r="F11494" t="s">
        <v>10665</v>
      </c>
      <c r="G11494">
        <v>129</v>
      </c>
      <c r="H11494">
        <v>140.22999999999999</v>
      </c>
      <c r="I11494">
        <v>140.22</v>
      </c>
      <c r="J11494">
        <v>0.01</v>
      </c>
    </row>
    <row r="11495" spans="1:10" x14ac:dyDescent="0.3">
      <c r="A11495" t="str">
        <f>HYPERLINK("https://us2.cloudbeds.com/connect/10074733072513#/reservations/31724849205444?display=MXCVE5W9K&amp;reservation_id=31724849205444", "MXCVE5W9K")</f>
        <v>MXCVE5W9K</v>
      </c>
      <c r="B11495" t="s">
        <v>10</v>
      </c>
      <c r="C11495" t="s">
        <v>42</v>
      </c>
      <c r="D11495" t="str">
        <f>HYPERLINK("https://us2.cloudbeds.com/connect/10074733072513#/reservations/31724849205444?display=Katie%20Gilmore&amp;reservation_id=31724849205444&amp;guest_id=31724839813355", "Katie Gilmore")</f>
        <v>Katie Gilmore</v>
      </c>
      <c r="E11495" t="s">
        <v>10666</v>
      </c>
      <c r="F11495" t="s">
        <v>9467</v>
      </c>
      <c r="G11495">
        <v>149</v>
      </c>
      <c r="H11495">
        <v>161.97</v>
      </c>
      <c r="I11495">
        <v>161.96</v>
      </c>
      <c r="J11495">
        <v>0.01</v>
      </c>
    </row>
    <row r="11496" spans="1:10" x14ac:dyDescent="0.3">
      <c r="A11496" t="str">
        <f>HYPERLINK("https://us2.cloudbeds.com/connect/10074733072513#/reservations/31727832793251?display=MXF8M0NBB&amp;reservation_id=31727832793251", "MXF8M0NBB")</f>
        <v>MXF8M0NBB</v>
      </c>
      <c r="B11496" t="s">
        <v>10</v>
      </c>
      <c r="C11496" t="s">
        <v>42</v>
      </c>
      <c r="D11496" t="str">
        <f>HYPERLINK("https://us2.cloudbeds.com/connect/10074733072513#/reservations/31727832793251?display=Lathan%20Davis&amp;reservation_id=31727832793251&amp;guest_id=31722217627783", "Lathan Davis")</f>
        <v>Lathan Davis</v>
      </c>
      <c r="E11496" t="s">
        <v>2791</v>
      </c>
      <c r="F11496" t="s">
        <v>10411</v>
      </c>
      <c r="G11496">
        <v>420</v>
      </c>
      <c r="H11496">
        <v>456.55</v>
      </c>
      <c r="I11496">
        <v>456.54</v>
      </c>
      <c r="J11496">
        <v>0.01</v>
      </c>
    </row>
    <row r="11497" spans="1:10" x14ac:dyDescent="0.3">
      <c r="A11497" t="str">
        <f>HYPERLINK("https://us2.cloudbeds.com/connect/10074733072513#/reservations/31726694396033?display=MXECJ345V&amp;reservation_id=31726694396033", "MXECJ345V")</f>
        <v>MXECJ345V</v>
      </c>
      <c r="B11497" t="s">
        <v>10</v>
      </c>
      <c r="C11497" t="s">
        <v>23</v>
      </c>
      <c r="D11497" t="str">
        <f>HYPERLINK("https://us2.cloudbeds.com/connect/10074733072513#/reservations/31726694396033?display=David%20Dean&amp;reservation_id=31726694396033&amp;guest_id=31726694391996", "David Dean")</f>
        <v>David Dean</v>
      </c>
      <c r="E11497" t="s">
        <v>10668</v>
      </c>
      <c r="F11497" t="s">
        <v>9740</v>
      </c>
      <c r="G11497">
        <v>338</v>
      </c>
      <c r="H11497">
        <v>367.42</v>
      </c>
      <c r="I11497">
        <v>367.41</v>
      </c>
      <c r="J11497">
        <v>0.01</v>
      </c>
    </row>
    <row r="11498" spans="1:10" x14ac:dyDescent="0.3">
      <c r="A11498" t="str">
        <f>HYPERLINK("https://us2.cloudbeds.com/connect/10074733072513#/reservations/31712850497672?display=MX3YRX85D&amp;reservation_id=31712850497672", "MX3YRX85D")</f>
        <v>MX3YRX85D</v>
      </c>
      <c r="B11498" t="s">
        <v>10</v>
      </c>
      <c r="C11498" t="s">
        <v>42</v>
      </c>
      <c r="D11498" t="str">
        <f>HYPERLINK("https://us2.cloudbeds.com/connect/10074733072513#/reservations/31712850497672?display=Sue%20Munserman&amp;reservation_id=31712850497672&amp;guest_id=31712839758060", "Sue Munserman")</f>
        <v>Sue Munserman</v>
      </c>
      <c r="E11498" t="s">
        <v>10669</v>
      </c>
      <c r="F11498" t="s">
        <v>10250</v>
      </c>
      <c r="G11498">
        <v>159</v>
      </c>
      <c r="H11498">
        <v>172.84</v>
      </c>
      <c r="I11498">
        <v>172.83</v>
      </c>
      <c r="J11498">
        <v>0.01</v>
      </c>
    </row>
    <row r="11499" spans="1:10" x14ac:dyDescent="0.3">
      <c r="A11499" t="str">
        <f>HYPERLINK("https://us2.cloudbeds.com/connect/10074733072513#/reservations/31722217631876?display=MXAU65XY1&amp;reservation_id=31722217631876", "MXAU65XY1")</f>
        <v>MXAU65XY1</v>
      </c>
      <c r="B11499" t="s">
        <v>10</v>
      </c>
      <c r="C11499" t="s">
        <v>42</v>
      </c>
      <c r="D11499" t="str">
        <f>HYPERLINK("https://us2.cloudbeds.com/connect/10074733072513#/reservations/31722217631876?display=Lathan%20Davis&amp;reservation_id=31722217631876&amp;guest_id=31722217627783", "Lathan Davis")</f>
        <v>Lathan Davis</v>
      </c>
      <c r="E11499" t="s">
        <v>2791</v>
      </c>
      <c r="F11499" t="s">
        <v>10421</v>
      </c>
      <c r="G11499">
        <v>420</v>
      </c>
      <c r="H11499">
        <v>456.55</v>
      </c>
      <c r="I11499">
        <v>456.54</v>
      </c>
      <c r="J11499">
        <v>0.01</v>
      </c>
    </row>
    <row r="11500" spans="1:10" x14ac:dyDescent="0.3">
      <c r="A11500" t="str">
        <f>HYPERLINK("https://us2.cloudbeds.com/connect/10074733072513#/reservations/31727953514718?display=MXFBZQVMK&amp;reservation_id=31727953514718", "MXFBZQVMK")</f>
        <v>MXFBZQVMK</v>
      </c>
      <c r="B11500" t="s">
        <v>10</v>
      </c>
      <c r="C11500" t="s">
        <v>11</v>
      </c>
      <c r="D11500" t="str">
        <f>HYPERLINK("https://us2.cloudbeds.com/connect/10074733072513#/reservations/31727953514718?display=Jamie%20Degroote&amp;reservation_id=31727953514718&amp;guest_id=31727953514712", "Jamie Degroote")</f>
        <v>Jamie Degroote</v>
      </c>
      <c r="E11500" t="s">
        <v>10671</v>
      </c>
      <c r="F11500" t="s">
        <v>10593</v>
      </c>
      <c r="G11500">
        <v>87.82</v>
      </c>
      <c r="H11500">
        <v>95.47</v>
      </c>
      <c r="I11500">
        <v>95.46</v>
      </c>
      <c r="J11500">
        <v>0.01</v>
      </c>
    </row>
    <row r="11501" spans="1:10" x14ac:dyDescent="0.3">
      <c r="A11501" t="str">
        <f>HYPERLINK("https://us2.cloudbeds.com/connect/10074733072513#/reservations/31712797339837?display=MX3KFZ1NU&amp;reservation_id=31712797339837", "MX3KFZ1NU")</f>
        <v>MX3KFZ1NU</v>
      </c>
      <c r="B11501" t="s">
        <v>10</v>
      </c>
      <c r="C11501" t="s">
        <v>42</v>
      </c>
      <c r="D11501" t="str">
        <f>HYPERLINK("https://us2.cloudbeds.com/connect/10074733072513#/reservations/31712797339837?display=Katy%20Haltvick&amp;reservation_id=31712797339837&amp;guest_id=31712797339777", "Katy Haltvick")</f>
        <v>Katy Haltvick</v>
      </c>
      <c r="E11501" t="s">
        <v>10672</v>
      </c>
      <c r="F11501" t="s">
        <v>10250</v>
      </c>
      <c r="G11501">
        <v>318</v>
      </c>
      <c r="H11501">
        <v>345.68</v>
      </c>
      <c r="I11501">
        <v>345.67</v>
      </c>
      <c r="J11501">
        <v>0.01</v>
      </c>
    </row>
    <row r="11502" spans="1:10" x14ac:dyDescent="0.3">
      <c r="A11502" t="str">
        <f>HYPERLINK("https://us2.cloudbeds.com/connect/10074733072513#/reservations/31728022286484?display=MXFDGQKWH&amp;reservation_id=31728022286484", "MXFDGQKWH")</f>
        <v>MXFDGQKWH</v>
      </c>
      <c r="B11502" t="s">
        <v>10</v>
      </c>
      <c r="C11502" t="s">
        <v>42</v>
      </c>
      <c r="D11502" t="str">
        <f>HYPERLINK("https://us2.cloudbeds.com/connect/10074733072513#/reservations/31728022286484?display=Lathan%20Davis&amp;reservation_id=31728022286484&amp;guest_id=31722217627783", "Lathan Davis")</f>
        <v>Lathan Davis</v>
      </c>
      <c r="E11502" t="s">
        <v>2791</v>
      </c>
      <c r="F11502" t="s">
        <v>10593</v>
      </c>
      <c r="G11502">
        <v>420</v>
      </c>
      <c r="H11502">
        <v>456.55</v>
      </c>
      <c r="I11502">
        <v>456.54</v>
      </c>
      <c r="J11502">
        <v>0.01</v>
      </c>
    </row>
    <row r="11503" spans="1:10" x14ac:dyDescent="0.3">
      <c r="A11503" t="str">
        <f>HYPERLINK("https://us2.cloudbeds.com/connect/10074733072513#/reservations/31723695984884?display=MXC1VZU81&amp;reservation_id=31723695984884", "MXC1VZU81")</f>
        <v>MXC1VZU81</v>
      </c>
      <c r="B11503" t="s">
        <v>10</v>
      </c>
      <c r="C11503" t="s">
        <v>11</v>
      </c>
      <c r="D11503" t="str">
        <f>HYPERLINK("https://us2.cloudbeds.com/connect/10074733072513#/reservations/31723695984884?display=Andrew%20Engen&amp;reservation_id=31723695984884&amp;guest_id=31723695984875", "Andrew Engen")</f>
        <v>Andrew Engen</v>
      </c>
      <c r="E11503" t="s">
        <v>10673</v>
      </c>
      <c r="F11503" t="s">
        <v>10584</v>
      </c>
      <c r="G11503">
        <v>97.74</v>
      </c>
      <c r="H11503">
        <v>106.25</v>
      </c>
      <c r="I11503">
        <v>106.24</v>
      </c>
      <c r="J11503">
        <v>0.01</v>
      </c>
    </row>
    <row r="11504" spans="1:10" x14ac:dyDescent="0.3">
      <c r="A11504" t="str">
        <f>HYPERLINK("https://us2.cloudbeds.com/connect/10074733072513#/reservations/31723686183072?display=MXC1NG5GE&amp;reservation_id=31723686183072", "MXC1NG5GE")</f>
        <v>MXC1NG5GE</v>
      </c>
      <c r="B11504" t="s">
        <v>10</v>
      </c>
      <c r="C11504" t="s">
        <v>11</v>
      </c>
      <c r="D11504" t="str">
        <f>HYPERLINK("https://us2.cloudbeds.com/connect/10074733072513#/reservations/31723686183072?display=Andrew%20Engen&amp;reservation_id=31723686183072&amp;guest_id=31723686183068", "Andrew Engen")</f>
        <v>Andrew Engen</v>
      </c>
      <c r="E11504" t="s">
        <v>10674</v>
      </c>
      <c r="F11504" t="s">
        <v>10584</v>
      </c>
      <c r="G11504">
        <v>97.74</v>
      </c>
      <c r="H11504">
        <v>106.25</v>
      </c>
      <c r="I11504">
        <v>106.24</v>
      </c>
      <c r="J11504">
        <v>0.01</v>
      </c>
    </row>
    <row r="11505" spans="1:10" x14ac:dyDescent="0.3">
      <c r="A11505" t="str">
        <f>HYPERLINK("https://us2.cloudbeds.com/connect/10074733072513#/reservations/31728941035740?display=MXG3WH672&amp;reservation_id=31728941035740", "MXG3WH672")</f>
        <v>MXG3WH672</v>
      </c>
      <c r="B11505" t="s">
        <v>10</v>
      </c>
      <c r="C11505" t="s">
        <v>42</v>
      </c>
      <c r="D11505" t="str">
        <f>HYPERLINK("https://us2.cloudbeds.com/connect/10074733072513#/reservations/31728941035740?display=Joshua%20Pape&amp;reservation_id=31728941035740&amp;guest_id=31694866784446", "Joshua Pape")</f>
        <v>Joshua Pape</v>
      </c>
      <c r="E11505" t="s">
        <v>8334</v>
      </c>
      <c r="F11505" t="s">
        <v>10391</v>
      </c>
      <c r="G11505">
        <v>89</v>
      </c>
      <c r="H11505">
        <v>96.75</v>
      </c>
      <c r="I11505">
        <v>96.74</v>
      </c>
      <c r="J11505">
        <v>0.01</v>
      </c>
    </row>
    <row r="11506" spans="1:10" x14ac:dyDescent="0.3">
      <c r="A11506" t="str">
        <f>HYPERLINK("https://us2.cloudbeds.com/connect/10074733072513#/reservations/31724740145359?display=MXCSY779X&amp;reservation_id=31724740145359", "MXCSY779X")</f>
        <v>MXCSY779X</v>
      </c>
      <c r="B11506" t="s">
        <v>10</v>
      </c>
      <c r="C11506" t="s">
        <v>14</v>
      </c>
      <c r="D11506" t="str">
        <f>HYPERLINK("https://us2.cloudbeds.com/connect/10074733072513#/reservations/31724740145359?display=Brian%20Thurman&amp;reservation_id=31724740145359&amp;guest_id=31724740145354", "Brian Thurman")</f>
        <v>Brian Thurman</v>
      </c>
      <c r="E11506" t="s">
        <v>10677</v>
      </c>
      <c r="F11506" t="s">
        <v>10678</v>
      </c>
      <c r="G11506">
        <v>329.88</v>
      </c>
      <c r="H11506">
        <v>358.59</v>
      </c>
      <c r="I11506">
        <v>358.58</v>
      </c>
      <c r="J11506">
        <v>0.01</v>
      </c>
    </row>
    <row r="11507" spans="1:10" x14ac:dyDescent="0.3">
      <c r="A11507" t="str">
        <f>HYPERLINK("https://us2.cloudbeds.com/connect/10074733072513#/reservations/31729772028152?display=MXGP77PYA&amp;reservation_id=31729772028152", "MXGP77PYA")</f>
        <v>MXGP77PYA</v>
      </c>
      <c r="B11507" t="s">
        <v>10</v>
      </c>
      <c r="C11507" t="s">
        <v>17</v>
      </c>
      <c r="D11507" t="str">
        <f>HYPERLINK("https://us2.cloudbeds.com/connect/10074733072513#/reservations/31729772028152?display=Taylor%20Tuscherer&amp;reservation_id=31729772028152&amp;guest_id=31729772028150", "Taylor Tuscherer")</f>
        <v>Taylor Tuscherer</v>
      </c>
      <c r="E11507" t="s">
        <v>10681</v>
      </c>
      <c r="F11507" t="s">
        <v>10438</v>
      </c>
      <c r="G11507">
        <v>278</v>
      </c>
      <c r="H11507">
        <v>302.2</v>
      </c>
      <c r="I11507">
        <v>302.19</v>
      </c>
      <c r="J11507">
        <v>0.01</v>
      </c>
    </row>
    <row r="11508" spans="1:10" x14ac:dyDescent="0.3">
      <c r="A11508" t="str">
        <f>HYPERLINK("https://us2.cloudbeds.com/connect/10074733072513#/reservations/31724478140573?display=MXCYV9X6J&amp;reservation_id=31724478140573", "MXCYV9X6J")</f>
        <v>MXCYV9X6J</v>
      </c>
      <c r="B11508" t="s">
        <v>10</v>
      </c>
      <c r="C11508" t="s">
        <v>17</v>
      </c>
      <c r="D11508" t="str">
        <f>HYPERLINK("https://us2.cloudbeds.com/connect/10074733072513#/reservations/31724478140573?display=Ben%20Markley&amp;reservation_id=31724478140573&amp;guest_id=31724478140571", "Ben Markley")</f>
        <v>Ben Markley</v>
      </c>
      <c r="E11508" t="s">
        <v>10682</v>
      </c>
      <c r="F11508" t="s">
        <v>10476</v>
      </c>
      <c r="G11508">
        <v>338</v>
      </c>
      <c r="H11508">
        <v>367.42</v>
      </c>
      <c r="I11508">
        <v>367.41</v>
      </c>
      <c r="J11508">
        <v>0.01</v>
      </c>
    </row>
    <row r="11509" spans="1:10" x14ac:dyDescent="0.3">
      <c r="A11509" t="str">
        <f>HYPERLINK("https://us2.cloudbeds.com/connect/10074733072513#/reservations/31721045840035?display=MXA082Z2C&amp;reservation_id=31721045840035", "MXA082Z2C")</f>
        <v>MXA082Z2C</v>
      </c>
      <c r="B11509" t="s">
        <v>10</v>
      </c>
      <c r="C11509" t="s">
        <v>42</v>
      </c>
      <c r="D11509" t="str">
        <f>HYPERLINK("https://us2.cloudbeds.com/connect/10074733072513#/reservations/31721045840035?display=Derris%20Buus&amp;reservation_id=31721045840035&amp;guest_id=31721045840030", "Derris Buus")</f>
        <v>Derris Buus</v>
      </c>
      <c r="E11509" t="s">
        <v>10683</v>
      </c>
      <c r="F11509" t="s">
        <v>9740</v>
      </c>
      <c r="G11509">
        <v>238</v>
      </c>
      <c r="H11509">
        <v>258.72000000000003</v>
      </c>
      <c r="I11509">
        <v>258.70999999999998</v>
      </c>
      <c r="J11509">
        <v>0.01</v>
      </c>
    </row>
    <row r="11510" spans="1:10" x14ac:dyDescent="0.3">
      <c r="A11510" t="str">
        <f>HYPERLINK("https://us2.cloudbeds.com/connect/10074733072513#/reservations/31727106629765?display=MXEN3N4X7&amp;reservation_id=31727106629765", "MXEN3N4X7")</f>
        <v>MXEN3N4X7</v>
      </c>
      <c r="B11510" t="s">
        <v>10</v>
      </c>
      <c r="C11510" t="s">
        <v>42</v>
      </c>
      <c r="D11510" t="str">
        <f>HYPERLINK("https://us2.cloudbeds.com/connect/10074733072513#/reservations/31727106629765?display=Trent%20Herman&amp;reservation_id=31727106629765&amp;guest_id=31725797032099", "Trent Herman")</f>
        <v>Trent Herman</v>
      </c>
      <c r="E11510" t="s">
        <v>6636</v>
      </c>
      <c r="F11510" t="s">
        <v>10438</v>
      </c>
      <c r="G11510">
        <v>89</v>
      </c>
      <c r="H11510">
        <v>96.75</v>
      </c>
      <c r="I11510">
        <v>96.74</v>
      </c>
      <c r="J11510">
        <v>0.01</v>
      </c>
    </row>
    <row r="11511" spans="1:10" x14ac:dyDescent="0.3">
      <c r="A11511" t="str">
        <f>HYPERLINK("https://us2.cloudbeds.com/connect/10074733072513#/reservations/31728186011898?display=MXFHMSHNM&amp;reservation_id=31728186011898", "MXFHMSHNM")</f>
        <v>MXFHMSHNM</v>
      </c>
      <c r="B11511" t="s">
        <v>10</v>
      </c>
      <c r="C11511" t="s">
        <v>121</v>
      </c>
      <c r="D11511" t="str">
        <f>HYPERLINK("https://us2.cloudbeds.com/connect/10074733072513#/reservations/31728186011898?display=Rick%20Dvorak&amp;reservation_id=31728186011898&amp;guest_id=31728186011844", "Rick Dvorak")</f>
        <v>Rick Dvorak</v>
      </c>
      <c r="E11511" t="s">
        <v>10687</v>
      </c>
      <c r="F11511" t="s">
        <v>10438</v>
      </c>
      <c r="G11511">
        <v>129</v>
      </c>
      <c r="H11511">
        <v>140.22999999999999</v>
      </c>
      <c r="I11511">
        <v>140.22</v>
      </c>
      <c r="J11511">
        <v>0.01</v>
      </c>
    </row>
    <row r="11512" spans="1:10" x14ac:dyDescent="0.3">
      <c r="A11512" t="str">
        <f>HYPERLINK("https://us2.cloudbeds.com/connect/10074733072513#/reservations/31717092389008?display=MX6V7E463&amp;reservation_id=31717092389008", "MX6V7E463")</f>
        <v>MX6V7E463</v>
      </c>
      <c r="B11512" t="s">
        <v>10</v>
      </c>
      <c r="C11512" t="s">
        <v>42</v>
      </c>
      <c r="D11512" t="str">
        <f>HYPERLINK("https://us2.cloudbeds.com/connect/10074733072513#/reservations/31717092389008?display=Chelsey%20Hansen&amp;reservation_id=31717092389008&amp;guest_id=31717092389003", "Chelsey Hansen")</f>
        <v>Chelsey Hansen</v>
      </c>
      <c r="E11512" t="s">
        <v>10688</v>
      </c>
      <c r="F11512" t="s">
        <v>10250</v>
      </c>
      <c r="G11512">
        <v>159</v>
      </c>
      <c r="H11512">
        <v>172.84</v>
      </c>
      <c r="I11512">
        <v>172.83</v>
      </c>
      <c r="J11512">
        <v>0.01</v>
      </c>
    </row>
    <row r="11513" spans="1:10" x14ac:dyDescent="0.3">
      <c r="A11513" t="str">
        <f>HYPERLINK("https://us2.cloudbeds.com/connect/10074733072513#/reservations/31724496130269?display=MXCMDF4YT&amp;reservation_id=31724496130269", "MXCMDF4YT")</f>
        <v>MXCMDF4YT</v>
      </c>
      <c r="B11513" t="s">
        <v>10</v>
      </c>
      <c r="C11513" t="s">
        <v>17</v>
      </c>
      <c r="D11513" t="str">
        <f>HYPERLINK("https://us2.cloudbeds.com/connect/10074733072513#/reservations/31724496130269?display=Alex%20Ballard&amp;reservation_id=31724496130269&amp;guest_id=31724496130253", "Alex Ballard")</f>
        <v>Alex Ballard</v>
      </c>
      <c r="E11513" t="s">
        <v>10689</v>
      </c>
      <c r="F11513" t="s">
        <v>10476</v>
      </c>
      <c r="G11513">
        <v>258</v>
      </c>
      <c r="H11513">
        <v>280.45999999999998</v>
      </c>
      <c r="I11513">
        <v>280.45</v>
      </c>
      <c r="J11513">
        <v>0.01</v>
      </c>
    </row>
    <row r="11514" spans="1:10" x14ac:dyDescent="0.3">
      <c r="A11514" t="str">
        <f>HYPERLINK("https://us2.cloudbeds.com/connect/10074733072513#/reservations/31726670942444?display=MXEBWAGC4&amp;reservation_id=31726670942444", "MXEBWAGC4")</f>
        <v>MXEBWAGC4</v>
      </c>
      <c r="B11514" t="s">
        <v>10</v>
      </c>
      <c r="C11514" t="s">
        <v>11</v>
      </c>
      <c r="D11514" t="str">
        <f>HYPERLINK("https://us2.cloudbeds.com/connect/10074733072513#/reservations/31726670942444?display=Stanley%20Storkamp&amp;reservation_id=31726670942444&amp;guest_id=31726654685332", "Stanley Storkamp")</f>
        <v>Stanley Storkamp</v>
      </c>
      <c r="E11514" t="s">
        <v>10690</v>
      </c>
      <c r="F11514" t="s">
        <v>9740</v>
      </c>
      <c r="G11514">
        <v>130.38</v>
      </c>
      <c r="H11514">
        <v>141.72999999999999</v>
      </c>
      <c r="I11514">
        <v>141.72</v>
      </c>
      <c r="J11514">
        <v>0.01</v>
      </c>
    </row>
    <row r="11515" spans="1:10" x14ac:dyDescent="0.3">
      <c r="A11515" t="str">
        <f>HYPERLINK("https://us2.cloudbeds.com/connect/10074733072513#/reservations/31726472421577?display=MXE6TUBT9&amp;reservation_id=31726472421577", "MXE6TUBT9")</f>
        <v>MXE6TUBT9</v>
      </c>
      <c r="B11515" t="s">
        <v>10</v>
      </c>
      <c r="C11515" t="s">
        <v>42</v>
      </c>
      <c r="D11515" t="str">
        <f>HYPERLINK("https://us2.cloudbeds.com/connect/10074733072513#/reservations/31726472421577?display=Tom%20Bussard&amp;reservation_id=31726472421577&amp;guest_id=31680992350401", "Tom Bussard")</f>
        <v>Tom Bussard</v>
      </c>
      <c r="E11515" t="s">
        <v>5384</v>
      </c>
      <c r="F11515" t="s">
        <v>10312</v>
      </c>
      <c r="G11515">
        <v>139</v>
      </c>
      <c r="H11515">
        <v>151.1</v>
      </c>
      <c r="I11515">
        <v>151.09</v>
      </c>
      <c r="J11515">
        <v>0.01</v>
      </c>
    </row>
    <row r="11516" spans="1:10" x14ac:dyDescent="0.3">
      <c r="A11516" t="str">
        <f>HYPERLINK("https://us2.cloudbeds.com/connect/10074733072513#/reservations/31712806559996?display=MX3KNGKBM&amp;reservation_id=31712806559996", "MX3KNGKBM")</f>
        <v>MX3KNGKBM</v>
      </c>
      <c r="B11516" t="s">
        <v>10</v>
      </c>
      <c r="C11516" t="s">
        <v>42</v>
      </c>
      <c r="D11516" t="str">
        <f>HYPERLINK("https://us2.cloudbeds.com/connect/10074733072513#/reservations/31712806559996?display=Robert%20Strom&amp;reservation_id=31712806559996&amp;guest_id=31712806559982", "Robert Strom")</f>
        <v>Robert Strom</v>
      </c>
      <c r="E11516" t="s">
        <v>10691</v>
      </c>
      <c r="F11516" t="s">
        <v>10250</v>
      </c>
      <c r="G11516">
        <v>318</v>
      </c>
      <c r="H11516">
        <v>345.68</v>
      </c>
      <c r="I11516">
        <v>345.67</v>
      </c>
      <c r="J11516">
        <v>0.01</v>
      </c>
    </row>
    <row r="11517" spans="1:10" x14ac:dyDescent="0.3">
      <c r="A11517" t="str">
        <f>HYPERLINK("https://us2.cloudbeds.com/connect/10074733072513#/reservations/31729716543656?display=MXGNQERMV&amp;reservation_id=31729716543656", "MXGNQERMV")</f>
        <v>MXGNQERMV</v>
      </c>
      <c r="B11517" t="s">
        <v>10</v>
      </c>
      <c r="C11517" t="s">
        <v>42</v>
      </c>
      <c r="D11517" t="str">
        <f>HYPERLINK("https://us2.cloudbeds.com/connect/10074733072513#/reservations/31729716543656?display=Cobren%20Bird&amp;reservation_id=31729716543656&amp;guest_id=31681772536058", "Cobren Bird")</f>
        <v>Cobren Bird</v>
      </c>
      <c r="E11517" t="s">
        <v>7109</v>
      </c>
      <c r="F11517" t="s">
        <v>10438</v>
      </c>
      <c r="G11517">
        <v>73</v>
      </c>
      <c r="H11517">
        <v>79.36</v>
      </c>
      <c r="I11517">
        <v>79.349999999999994</v>
      </c>
      <c r="J11517">
        <v>0.01</v>
      </c>
    </row>
    <row r="11518" spans="1:10" x14ac:dyDescent="0.3">
      <c r="A11518" t="str">
        <f>HYPERLINK("https://us2.cloudbeds.com/connect/10074733072513#/reservations/31729732604097?display=MXGZ6WZXW&amp;reservation_id=31729732604097", "MXGZ6WZXW")</f>
        <v>MXGZ6WZXW</v>
      </c>
      <c r="B11518" t="s">
        <v>10</v>
      </c>
      <c r="C11518" t="s">
        <v>42</v>
      </c>
      <c r="D11518" t="str">
        <f>HYPERLINK("https://us2.cloudbeds.com/connect/10074733072513#/reservations/31729732604097?display=Wayne%20Semerad&amp;reservation_id=31729732604097&amp;guest_id=31729732600063", "Wayne Semerad")</f>
        <v>Wayne Semerad</v>
      </c>
      <c r="E11518" t="s">
        <v>9439</v>
      </c>
      <c r="F11518" t="s">
        <v>10438</v>
      </c>
      <c r="G11518">
        <v>89</v>
      </c>
      <c r="H11518">
        <v>96.75</v>
      </c>
      <c r="I11518">
        <v>96.74</v>
      </c>
      <c r="J11518">
        <v>0.01</v>
      </c>
    </row>
    <row r="11519" spans="1:10" x14ac:dyDescent="0.3">
      <c r="A11519" t="str">
        <f>HYPERLINK("https://us2.cloudbeds.com/connect/10074733072513#/reservations/31727149482239?display=MXEZ6RXS1&amp;reservation_id=31727149482239", "MXEZ6RXS1")</f>
        <v>MXEZ6RXS1</v>
      </c>
      <c r="B11519" t="s">
        <v>10</v>
      </c>
      <c r="C11519" t="s">
        <v>23</v>
      </c>
      <c r="D11519" t="str">
        <f>HYPERLINK("https://us2.cloudbeds.com/connect/10074733072513#/reservations/31727149482239?display=Zane%20Kohlman&amp;reservation_id=31727149482239&amp;guest_id=31727140864162", "Zane Kohlman")</f>
        <v>Zane Kohlman</v>
      </c>
      <c r="E11519" t="s">
        <v>10692</v>
      </c>
      <c r="F11519" t="s">
        <v>10438</v>
      </c>
      <c r="G11519">
        <v>129</v>
      </c>
      <c r="H11519">
        <v>140.22999999999999</v>
      </c>
      <c r="I11519">
        <v>140.22</v>
      </c>
      <c r="J11519">
        <v>0.01</v>
      </c>
    </row>
    <row r="11520" spans="1:10" x14ac:dyDescent="0.3">
      <c r="A11520" t="str">
        <f>HYPERLINK("https://us2.cloudbeds.com/connect/10074733072513#/reservations/31729758765206?display=MXGZT1NKS&amp;reservation_id=31729758765206", "MXGZT1NKS")</f>
        <v>MXGZT1NKS</v>
      </c>
      <c r="B11520" t="s">
        <v>10</v>
      </c>
      <c r="C11520" t="s">
        <v>23</v>
      </c>
      <c r="D11520" t="str">
        <f>HYPERLINK("https://us2.cloudbeds.com/connect/10074733072513#/reservations/31729758765206?display=Michelle%20Manemann&amp;reservation_id=31729758765206&amp;guest_id=31729743700119", "Michelle Manemann")</f>
        <v>Michelle Manemann</v>
      </c>
      <c r="E11520" t="s">
        <v>10693</v>
      </c>
      <c r="F11520" t="s">
        <v>10438</v>
      </c>
      <c r="G11520">
        <v>258</v>
      </c>
      <c r="H11520">
        <v>280.45999999999998</v>
      </c>
      <c r="I11520">
        <v>280.45</v>
      </c>
      <c r="J11520">
        <v>0.01</v>
      </c>
    </row>
    <row r="11521" spans="1:10" x14ac:dyDescent="0.3">
      <c r="A11521" t="str">
        <f>HYPERLINK("https://us2.cloudbeds.com/connect/10074733072513#/reservations/31727991095462?display=MXFCNGN31&amp;reservation_id=31727991095462", "MXFCNGN31")</f>
        <v>MXFCNGN31</v>
      </c>
      <c r="B11521" t="s">
        <v>10</v>
      </c>
      <c r="C11521" t="s">
        <v>42</v>
      </c>
      <c r="D11521" t="str">
        <f>HYPERLINK("https://us2.cloudbeds.com/connect/10074733072513#/reservations/31727991095462?display=Audrey%20Ewalt&amp;reservation_id=31727991095462&amp;guest_id=31727979208906", "Audrey Ewalt")</f>
        <v>Audrey Ewalt</v>
      </c>
      <c r="E11521" t="s">
        <v>9843</v>
      </c>
      <c r="F11521" t="s">
        <v>10593</v>
      </c>
      <c r="G11521">
        <v>238</v>
      </c>
      <c r="H11521">
        <v>258.72000000000003</v>
      </c>
      <c r="I11521">
        <v>258.70999999999998</v>
      </c>
      <c r="J11521">
        <v>0.01</v>
      </c>
    </row>
    <row r="11522" spans="1:10" x14ac:dyDescent="0.3">
      <c r="A11522" t="str">
        <f>HYPERLINK("https://us2.cloudbeds.com/connect/10074733072513#/reservations/31727140860070?display=MXENWXYB6&amp;reservation_id=31727140860070", "MXENWXYB6")</f>
        <v>MXENWXYB6</v>
      </c>
      <c r="B11522" t="s">
        <v>10</v>
      </c>
      <c r="C11522" t="s">
        <v>23</v>
      </c>
      <c r="D11522" t="str">
        <f>HYPERLINK("https://us2.cloudbeds.com/connect/10074733072513#/reservations/31727140860070?display=Emily%20Paul&amp;reservation_id=31727140860070&amp;guest_id=31727132119245", "Emily Paul")</f>
        <v>Emily Paul</v>
      </c>
      <c r="E11522" t="s">
        <v>10696</v>
      </c>
      <c r="F11522" t="s">
        <v>10438</v>
      </c>
      <c r="G11522">
        <v>139</v>
      </c>
      <c r="H11522">
        <v>151.1</v>
      </c>
      <c r="I11522">
        <v>151.09</v>
      </c>
      <c r="J11522">
        <v>0.01</v>
      </c>
    </row>
    <row r="11523" spans="1:10" x14ac:dyDescent="0.3">
      <c r="A11523" t="str">
        <f>HYPERLINK("https://us2.cloudbeds.com/connect/10074733072513#/reservations/31726429851791?display=MXE5R0Q5P&amp;reservation_id=31726429851791", "MXE5R0Q5P")</f>
        <v>MXE5R0Q5P</v>
      </c>
      <c r="B11523" t="s">
        <v>10</v>
      </c>
      <c r="C11523" t="s">
        <v>42</v>
      </c>
      <c r="D11523" t="str">
        <f>HYPERLINK("https://us2.cloudbeds.com/connect/10074733072513#/reservations/31726429851791?display=Cory%20Glick&amp;reservation_id=31726429851791&amp;guest_id=31676961386701", "Cory Glick")</f>
        <v>Cory Glick</v>
      </c>
      <c r="E11523" t="s">
        <v>2769</v>
      </c>
      <c r="F11523" t="s">
        <v>10312</v>
      </c>
      <c r="G11523">
        <v>89</v>
      </c>
      <c r="H11523">
        <v>96.75</v>
      </c>
      <c r="I11523">
        <v>96.74</v>
      </c>
      <c r="J11523">
        <v>0.01</v>
      </c>
    </row>
    <row r="11524" spans="1:10" x14ac:dyDescent="0.3">
      <c r="A11524" t="str">
        <f>HYPERLINK("https://us2.cloudbeds.com/connect/10074733072513#/reservations/31727108198545?display=MXEN50Q40&amp;reservation_id=31727108198545", "MXEN50Q40")</f>
        <v>MXEN50Q40</v>
      </c>
      <c r="B11524" t="s">
        <v>10</v>
      </c>
      <c r="C11524" t="s">
        <v>23</v>
      </c>
      <c r="D11524" t="str">
        <f>HYPERLINK("https://us2.cloudbeds.com/connect/10074733072513#/reservations/31727108198545?display=Ariana%20Meza&amp;reservation_id=31727108198545&amp;guest_id=31727108194454", "Ariana Meza")</f>
        <v>Ariana Meza</v>
      </c>
      <c r="E11524" t="s">
        <v>10697</v>
      </c>
      <c r="F11524" t="s">
        <v>10026</v>
      </c>
      <c r="G11524">
        <v>219</v>
      </c>
      <c r="H11524">
        <v>238.06</v>
      </c>
      <c r="I11524">
        <v>238.05</v>
      </c>
      <c r="J11524">
        <v>0.01</v>
      </c>
    </row>
    <row r="11525" spans="1:10" x14ac:dyDescent="0.3">
      <c r="A11525" t="str">
        <f>HYPERLINK("https://us2.cloudbeds.com/connect/10074733072513#/reservations/31727552757905?display=MXF1GTA8P&amp;reservation_id=31727552757905", "MXF1GTA8P")</f>
        <v>MXF1GTA8P</v>
      </c>
      <c r="B11525" t="s">
        <v>10</v>
      </c>
      <c r="C11525" t="s">
        <v>121</v>
      </c>
      <c r="D11525" t="str">
        <f>HYPERLINK("https://us2.cloudbeds.com/connect/10074733072513#/reservations/31727552757905?display=Todd%20Wilson&amp;reservation_id=31727552757905&amp;guest_id=31727540822250", "Todd Wilson")</f>
        <v>Todd Wilson</v>
      </c>
      <c r="E11525" t="s">
        <v>8602</v>
      </c>
      <c r="F11525" t="s">
        <v>10312</v>
      </c>
      <c r="G11525">
        <v>318</v>
      </c>
      <c r="H11525">
        <v>345.68</v>
      </c>
      <c r="I11525">
        <v>345.67</v>
      </c>
      <c r="J11525">
        <v>0.01</v>
      </c>
    </row>
    <row r="11526" spans="1:10" x14ac:dyDescent="0.3">
      <c r="A11526" t="str">
        <f>HYPERLINK("https://us2.cloudbeds.com/connect/10074733072513#/reservations/31725797036186?display=MXDMYDP9A&amp;reservation_id=31725797036186", "MXDMYDP9A")</f>
        <v>MXDMYDP9A</v>
      </c>
      <c r="B11526" t="s">
        <v>10</v>
      </c>
      <c r="C11526" t="s">
        <v>42</v>
      </c>
      <c r="D11526" t="str">
        <f>HYPERLINK("https://us2.cloudbeds.com/connect/10074733072513#/reservations/31725797036186?display=Trent%20Herman&amp;reservation_id=31725797036186&amp;guest_id=31725797032099", "Trent Herman")</f>
        <v>Trent Herman</v>
      </c>
      <c r="E11526" t="s">
        <v>6636</v>
      </c>
      <c r="F11526" t="s">
        <v>10599</v>
      </c>
      <c r="G11526">
        <v>178</v>
      </c>
      <c r="H11526">
        <v>193.5</v>
      </c>
      <c r="I11526">
        <v>193.49</v>
      </c>
      <c r="J11526">
        <v>0.01</v>
      </c>
    </row>
    <row r="11527" spans="1:10" x14ac:dyDescent="0.3">
      <c r="A11527" t="str">
        <f>HYPERLINK("https://us2.cloudbeds.com/connect/10074733072513#/reservations/31727568711888?display=MXF1UB8CQ&amp;reservation_id=31727568711888", "MXF1UB8CQ")</f>
        <v>MXF1UB8CQ</v>
      </c>
      <c r="B11527" t="s">
        <v>10</v>
      </c>
      <c r="C11527" t="s">
        <v>42</v>
      </c>
      <c r="D11527" t="str">
        <f>HYPERLINK("https://us2.cloudbeds.com/connect/10074733072513#/reservations/31727568711888?display=Steven%20Rounds&amp;reservation_id=31727568711888&amp;guest_id=31727568707796", "Steven Rounds")</f>
        <v>Steven Rounds</v>
      </c>
      <c r="E11527" t="s">
        <v>10698</v>
      </c>
      <c r="F11527" t="s">
        <v>10312</v>
      </c>
      <c r="G11527">
        <v>159</v>
      </c>
      <c r="H11527">
        <v>172.84</v>
      </c>
      <c r="I11527">
        <v>172.83</v>
      </c>
      <c r="J11527">
        <v>0.01</v>
      </c>
    </row>
    <row r="11528" spans="1:10" x14ac:dyDescent="0.3">
      <c r="A11528" t="str">
        <f>HYPERLINK("https://us2.cloudbeds.com/connect/10074733072513#/reservations/31725815636116?display=MXDN43B3X&amp;reservation_id=31725815636116", "MXDN43B3X")</f>
        <v>MXDN43B3X</v>
      </c>
      <c r="B11528" t="s">
        <v>10</v>
      </c>
      <c r="C11528" t="s">
        <v>42</v>
      </c>
      <c r="D11528" t="str">
        <f>HYPERLINK("https://us2.cloudbeds.com/connect/10074733072513#/reservations/31725815636116?display=Trent%20Herman&amp;reservation_id=31725815636116&amp;guest_id=31680179962105", "Trent Herman")</f>
        <v>Trent Herman</v>
      </c>
      <c r="E11528" t="s">
        <v>6636</v>
      </c>
      <c r="F11528" t="s">
        <v>10599</v>
      </c>
      <c r="G11528">
        <v>89</v>
      </c>
      <c r="H11528">
        <v>96.75</v>
      </c>
      <c r="I11528">
        <v>96.74</v>
      </c>
      <c r="J11528">
        <v>0.01</v>
      </c>
    </row>
    <row r="11529" spans="1:10" x14ac:dyDescent="0.3">
      <c r="A11529" t="str">
        <f>HYPERLINK("https://us2.cloudbeds.com/connect/10074733072513#/reservations/31726677725379?display=MXEC517VK&amp;reservation_id=31726677725379", "MXEC517VK")</f>
        <v>MXEC517VK</v>
      </c>
      <c r="B11529" t="s">
        <v>10</v>
      </c>
      <c r="C11529" t="s">
        <v>20</v>
      </c>
      <c r="D11529" t="str">
        <f>HYPERLINK("https://us2.cloudbeds.com/connect/10074733072513#/reservations/31726677725379?display=Cory%20Hein&amp;reservation_id=31726677725379&amp;guest_id=31726677721286", "Cory Hein")</f>
        <v>Cory Hein</v>
      </c>
      <c r="E11529" t="s">
        <v>10699</v>
      </c>
      <c r="F11529" t="s">
        <v>9740</v>
      </c>
      <c r="G11529">
        <v>169</v>
      </c>
      <c r="H11529">
        <v>183.71</v>
      </c>
      <c r="I11529">
        <v>183.7</v>
      </c>
      <c r="J11529">
        <v>0.01</v>
      </c>
    </row>
    <row r="11530" spans="1:10" x14ac:dyDescent="0.3">
      <c r="A11530" t="str">
        <f>HYPERLINK("https://us2.cloudbeds.com/connect/10074733072513#/reservations/31727476850895?display=MXEWXT2SB&amp;reservation_id=31727476850895", "MXEWXT2SB")</f>
        <v>MXEWXT2SB</v>
      </c>
      <c r="B11530" t="s">
        <v>10</v>
      </c>
      <c r="C11530" t="s">
        <v>11</v>
      </c>
      <c r="D11530" t="str">
        <f>HYPERLINK("https://us2.cloudbeds.com/connect/10074733072513#/reservations/31727476850895?display=Matthew%20Holbrook&amp;reservation_id=31727476850895&amp;guest_id=31727476850890", "Matthew Holbrook")</f>
        <v>Matthew Holbrook</v>
      </c>
      <c r="E11530" t="s">
        <v>10700</v>
      </c>
      <c r="F11530" t="s">
        <v>10402</v>
      </c>
      <c r="G11530">
        <v>87.82</v>
      </c>
      <c r="H11530">
        <v>95.47</v>
      </c>
      <c r="I11530">
        <v>95.46</v>
      </c>
      <c r="J11530">
        <v>0.01</v>
      </c>
    </row>
    <row r="11531" spans="1:10" x14ac:dyDescent="0.3">
      <c r="A11531" t="str">
        <f>HYPERLINK("https://us2.cloudbeds.com/connect/10074733072513#/reservations/31724740141264?display=MXCSY73HF&amp;reservation_id=31724740141264", "MXCSY73HF")</f>
        <v>MXCSY73HF</v>
      </c>
      <c r="B11531" t="s">
        <v>10</v>
      </c>
      <c r="C11531" t="s">
        <v>42</v>
      </c>
      <c r="D11531" t="str">
        <f>HYPERLINK("https://us2.cloudbeds.com/connect/10074733072513#/reservations/31724740141264?display=Nanci%20Wells&amp;reservation_id=31724740141264&amp;guest_id=31686997176526", "Nanci Wells")</f>
        <v>Nanci Wells</v>
      </c>
      <c r="E11531" t="s">
        <v>7923</v>
      </c>
      <c r="F11531" t="s">
        <v>9740</v>
      </c>
      <c r="G11531">
        <v>159</v>
      </c>
      <c r="H11531">
        <v>172.84</v>
      </c>
      <c r="I11531">
        <v>172.83</v>
      </c>
      <c r="J11531">
        <v>0.01</v>
      </c>
    </row>
    <row r="11532" spans="1:10" x14ac:dyDescent="0.3">
      <c r="A11532" t="str">
        <f>HYPERLINK("https://us2.cloudbeds.com/connect/10074733072513#/reservations/31716570067107?display=MX6HSWZZN&amp;reservation_id=31716570067107", "MX6HSWZZN")</f>
        <v>MX6HSWZZN</v>
      </c>
      <c r="B11532" t="s">
        <v>10</v>
      </c>
      <c r="C11532" t="s">
        <v>20</v>
      </c>
      <c r="D11532" t="str">
        <f>HYPERLINK("https://us2.cloudbeds.com/connect/10074733072513#/reservations/31716570067107?display=John%20Schlichtemeier&amp;reservation_id=31716570067107&amp;guest_id=31716561481929", "John Schlichtemeier")</f>
        <v>John Schlichtemeier</v>
      </c>
      <c r="E11532" t="s">
        <v>10702</v>
      </c>
      <c r="F11532" t="s">
        <v>9259</v>
      </c>
      <c r="G11532">
        <v>278</v>
      </c>
      <c r="H11532">
        <v>302.2</v>
      </c>
      <c r="I11532">
        <v>302.19</v>
      </c>
      <c r="J11532">
        <v>0.01</v>
      </c>
    </row>
    <row r="11533" spans="1:10" x14ac:dyDescent="0.3">
      <c r="A11533" t="str">
        <f>HYPERLINK("https://us2.cloudbeds.com/connect/10074733072513#/reservations/31725230112897?display=MXD85C9XN&amp;reservation_id=31725230112897", "MXD85C9XN")</f>
        <v>MXD85C9XN</v>
      </c>
      <c r="B11533" t="s">
        <v>10</v>
      </c>
      <c r="C11533" t="s">
        <v>23</v>
      </c>
      <c r="D11533" t="str">
        <f>HYPERLINK("https://us2.cloudbeds.com/connect/10074733072513#/reservations/31725230112897?display=Karen%20Christians&amp;reservation_id=31725230112897&amp;guest_id=31725230108816", "Karen Christians")</f>
        <v>Karen Christians</v>
      </c>
      <c r="E11533" t="s">
        <v>10704</v>
      </c>
      <c r="F11533" t="s">
        <v>10665</v>
      </c>
      <c r="G11533">
        <v>119</v>
      </c>
      <c r="H11533">
        <v>129.36000000000001</v>
      </c>
      <c r="I11533">
        <v>129.35</v>
      </c>
      <c r="J11533">
        <v>0.01</v>
      </c>
    </row>
    <row r="11534" spans="1:10" x14ac:dyDescent="0.3">
      <c r="A11534" t="str">
        <f>HYPERLINK("https://us2.cloudbeds.com/connect/10074733072513#/reservations/31726485143705?display=MXE77YC9A&amp;reservation_id=31726485143705", "MXE77YC9A")</f>
        <v>MXE77YC9A</v>
      </c>
      <c r="B11534" t="s">
        <v>10</v>
      </c>
      <c r="C11534" t="s">
        <v>42</v>
      </c>
      <c r="D11534" t="str">
        <f>HYPERLINK("https://us2.cloudbeds.com/connect/10074733072513#/reservations/31726485143705?display=Donald%20White&amp;reservation_id=31726485143705&amp;guest_id=31726485143694", "Donald White")</f>
        <v>Donald White</v>
      </c>
      <c r="E11534" t="s">
        <v>10705</v>
      </c>
      <c r="F11534" t="s">
        <v>10402</v>
      </c>
      <c r="G11534">
        <v>119</v>
      </c>
      <c r="H11534">
        <v>129.36000000000001</v>
      </c>
      <c r="I11534">
        <v>129.35</v>
      </c>
      <c r="J11534">
        <v>0.01</v>
      </c>
    </row>
    <row r="11535" spans="1:10" x14ac:dyDescent="0.3">
      <c r="A11535" t="str">
        <f>HYPERLINK("https://us2.cloudbeds.com/connect/10074733072513#/reservations/31726354780368?display=MXE3TNR25&amp;reservation_id=31726354780368", "MXE3TNR25")</f>
        <v>MXE3TNR25</v>
      </c>
      <c r="B11535" t="s">
        <v>10</v>
      </c>
      <c r="C11535" t="s">
        <v>42</v>
      </c>
      <c r="D11535" t="str">
        <f>HYPERLINK("https://us2.cloudbeds.com/connect/10074733072513#/reservations/31726354780368?display=Branpton%20Elmpark%20Northern%20Lights&amp;reservation_id=31726354780368&amp;guest_id=31726354776272", "Branpton Elmpark Northern Lights")</f>
        <v>Branpton Elmpark Northern Lights</v>
      </c>
      <c r="E11535" t="s">
        <v>10706</v>
      </c>
      <c r="F11535" t="s">
        <v>10707</v>
      </c>
      <c r="G11535">
        <v>336</v>
      </c>
      <c r="H11535">
        <v>365.24</v>
      </c>
      <c r="I11535">
        <v>365.23</v>
      </c>
      <c r="J11535">
        <v>0.01</v>
      </c>
    </row>
    <row r="11536" spans="1:10" x14ac:dyDescent="0.3">
      <c r="A11536" t="str">
        <f>HYPERLINK("https://us2.cloudbeds.com/connect/10074733072513#/reservations/31724717797515?display=MXCS2CBS5&amp;reservation_id=31724717797515", "MXCS2CBS5")</f>
        <v>MXCS2CBS5</v>
      </c>
      <c r="B11536" t="s">
        <v>10</v>
      </c>
      <c r="C11536" t="s">
        <v>121</v>
      </c>
      <c r="D11536" t="str">
        <f>HYPERLINK("https://us2.cloudbeds.com/connect/10074733072513#/reservations/31724717797515?display=Lisa%20Kounkel&amp;reservation_id=31724717797515&amp;guest_id=31724717793458", "Lisa Kounkel")</f>
        <v>Lisa Kounkel</v>
      </c>
      <c r="E11536" t="s">
        <v>10708</v>
      </c>
      <c r="F11536" t="s">
        <v>9740</v>
      </c>
      <c r="G11536">
        <v>159</v>
      </c>
      <c r="H11536">
        <v>172.84</v>
      </c>
      <c r="I11536">
        <v>172.83</v>
      </c>
      <c r="J11536">
        <v>0.01</v>
      </c>
    </row>
    <row r="11537" spans="1:10" x14ac:dyDescent="0.3">
      <c r="A11537" t="str">
        <f>HYPERLINK("https://us2.cloudbeds.com/connect/10074733072513#/reservations/31725905883275?display=MXDPE6JMV&amp;reservation_id=31725905883275", "MXDPE6JMV")</f>
        <v>MXDPE6JMV</v>
      </c>
      <c r="B11537" t="s">
        <v>10</v>
      </c>
      <c r="C11537" t="s">
        <v>23</v>
      </c>
      <c r="D11537" t="str">
        <f>HYPERLINK("https://us2.cloudbeds.com/connect/10074733072513#/reservations/31725905883275?display=David%20Baker&amp;reservation_id=31725905883275&amp;guest_id=31725899124962", "David Baker")</f>
        <v>David Baker</v>
      </c>
      <c r="E11537" t="s">
        <v>10709</v>
      </c>
      <c r="F11537" t="s">
        <v>8835</v>
      </c>
      <c r="G11537">
        <v>378</v>
      </c>
      <c r="H11537">
        <v>410.9</v>
      </c>
      <c r="I11537">
        <v>410.89</v>
      </c>
      <c r="J11537">
        <v>0.01</v>
      </c>
    </row>
    <row r="11538" spans="1:10" x14ac:dyDescent="0.3">
      <c r="A11538" t="str">
        <f>HYPERLINK("https://us2.cloudbeds.com/connect/10074733072513#/reservations/31718050992310?display=MX7MNZMB0&amp;reservation_id=31718050992310", "MX7MNZMB0")</f>
        <v>MX7MNZMB0</v>
      </c>
      <c r="B11538" t="s">
        <v>10</v>
      </c>
      <c r="C11538" t="s">
        <v>23</v>
      </c>
      <c r="D11538" t="str">
        <f>HYPERLINK("https://us2.cloudbeds.com/connect/10074733072513#/reservations/31718050992310?display=Casey%20Adolphsen&amp;reservation_id=31718050992310&amp;guest_id=31718050992308", "Casey Adolphsen")</f>
        <v>Casey Adolphsen</v>
      </c>
      <c r="E11538" t="s">
        <v>10710</v>
      </c>
      <c r="F11538" t="s">
        <v>9467</v>
      </c>
      <c r="G11538">
        <v>149</v>
      </c>
      <c r="H11538">
        <v>161.97</v>
      </c>
      <c r="I11538">
        <v>161.96</v>
      </c>
      <c r="J11538">
        <v>0.01</v>
      </c>
    </row>
    <row r="11539" spans="1:10" x14ac:dyDescent="0.3">
      <c r="A11539" t="str">
        <f>HYPERLINK("https://us2.cloudbeds.com/connect/10074733072513#/reservations/31724797649122?display=MXCU3NBFR&amp;reservation_id=31724797649122", "MXCU3NBFR")</f>
        <v>MXCU3NBFR</v>
      </c>
      <c r="B11539" t="s">
        <v>10</v>
      </c>
      <c r="C11539" t="s">
        <v>121</v>
      </c>
      <c r="D11539" t="str">
        <f>HYPERLINK("https://us2.cloudbeds.com/connect/10074733072513#/reservations/31724797649122?display=Ian%20Eidsvold&amp;reservation_id=31724797649122&amp;guest_id=31724797649120", "Ian Eidsvold")</f>
        <v>Ian Eidsvold</v>
      </c>
      <c r="E11539" t="s">
        <v>10711</v>
      </c>
      <c r="F11539" t="s">
        <v>10402</v>
      </c>
      <c r="G11539">
        <v>119</v>
      </c>
      <c r="H11539">
        <v>129.36000000000001</v>
      </c>
      <c r="I11539">
        <v>129.35</v>
      </c>
      <c r="J11539">
        <v>0.01</v>
      </c>
    </row>
    <row r="11540" spans="1:10" x14ac:dyDescent="0.3">
      <c r="A11540" t="str">
        <f>HYPERLINK("https://us2.cloudbeds.com/connect/10074733072513#/reservations/31727865192653?display=MXF9GB8SD&amp;reservation_id=31727865192653", "MXF9GB8SD")</f>
        <v>MXF9GB8SD</v>
      </c>
      <c r="B11540" t="s">
        <v>10</v>
      </c>
      <c r="C11540" t="s">
        <v>42</v>
      </c>
      <c r="D11540" t="str">
        <f>HYPERLINK("https://us2.cloudbeds.com/connect/10074733072513#/reservations/31727865192653?display=Nick%20Sherman&amp;reservation_id=31727865192653&amp;guest_id=31723967779048", "Nick Sherman")</f>
        <v>Nick Sherman</v>
      </c>
      <c r="E11540" t="s">
        <v>9425</v>
      </c>
      <c r="F11540" t="s">
        <v>10411</v>
      </c>
      <c r="G11540">
        <v>336</v>
      </c>
      <c r="H11540">
        <v>365.24</v>
      </c>
      <c r="I11540">
        <v>365.23</v>
      </c>
      <c r="J11540">
        <v>0.01</v>
      </c>
    </row>
    <row r="11541" spans="1:10" x14ac:dyDescent="0.3">
      <c r="A11541" t="str">
        <f>HYPERLINK("https://us2.cloudbeds.com/connect/10074733072513#/reservations/31727726514419?display=MXF5VDB9M&amp;reservation_id=31727726514419", "MXF5VDB9M")</f>
        <v>MXF5VDB9M</v>
      </c>
      <c r="B11541" t="s">
        <v>10</v>
      </c>
      <c r="C11541" t="s">
        <v>42</v>
      </c>
      <c r="D11541" t="str">
        <f>HYPERLINK("https://us2.cloudbeds.com/connect/10074733072513#/reservations/31727726514419?display=Daniel%20Walvatne&amp;reservation_id=31727726514419&amp;guest_id=31727726514414", "Daniel Walvatne")</f>
        <v>Daniel Walvatne</v>
      </c>
      <c r="E11541" t="s">
        <v>10713</v>
      </c>
      <c r="F11541" t="s">
        <v>10501</v>
      </c>
      <c r="G11541">
        <v>642.6</v>
      </c>
      <c r="H11541">
        <v>698.52</v>
      </c>
      <c r="I11541">
        <v>698.51</v>
      </c>
      <c r="J11541">
        <v>0.01</v>
      </c>
    </row>
    <row r="11542" spans="1:10" x14ac:dyDescent="0.3">
      <c r="A11542" t="str">
        <f>HYPERLINK("https://us2.cloudbeds.com/connect/10074733072513#/reservations/31728487235722?display=MXFPCSHKC&amp;reservation_id=31728487235722", "MXFPCSHKC")</f>
        <v>MXFPCSHKC</v>
      </c>
      <c r="B11542" t="s">
        <v>10</v>
      </c>
      <c r="C11542" t="s">
        <v>42</v>
      </c>
      <c r="D11542" t="str">
        <f>HYPERLINK("https://us2.cloudbeds.com/connect/10074733072513#/reservations/31728487235722?display=Construction%20Prunty&amp;reservation_id=31728487235722&amp;guest_id=31728478335154", "Construction Prunty")</f>
        <v>Construction Prunty</v>
      </c>
      <c r="E11542" t="s">
        <v>10714</v>
      </c>
      <c r="F11542" t="s">
        <v>10322</v>
      </c>
      <c r="G11542">
        <v>119</v>
      </c>
      <c r="H11542">
        <v>129.36000000000001</v>
      </c>
      <c r="I11542">
        <v>129.35</v>
      </c>
      <c r="J11542">
        <v>0.01</v>
      </c>
    </row>
    <row r="11543" spans="1:10" x14ac:dyDescent="0.3">
      <c r="A11543" t="str">
        <f>HYPERLINK("https://us2.cloudbeds.com/connect/10074733072513#/reservations/31726323986601?display=MXE33ZUVN&amp;reservation_id=31726323986601", "MXE33ZUVN")</f>
        <v>MXE33ZUVN</v>
      </c>
      <c r="B11543" t="s">
        <v>10</v>
      </c>
      <c r="C11543" t="s">
        <v>23</v>
      </c>
      <c r="D11543" t="str">
        <f>HYPERLINK("https://us2.cloudbeds.com/connect/10074733072513#/reservations/31726323986601?display=Lennie%20Kohlman&amp;reservation_id=31726323986601&amp;guest_id=31726323986596", "Lennie Kohlman")</f>
        <v>Lennie Kohlman</v>
      </c>
      <c r="E11543" t="s">
        <v>10715</v>
      </c>
      <c r="F11543" t="s">
        <v>10707</v>
      </c>
      <c r="G11543">
        <v>149</v>
      </c>
      <c r="H11543">
        <v>161.97</v>
      </c>
      <c r="I11543">
        <v>161.96</v>
      </c>
      <c r="J11543">
        <v>0.01</v>
      </c>
    </row>
    <row r="11544" spans="1:10" x14ac:dyDescent="0.3">
      <c r="A11544" t="str">
        <f>HYPERLINK("https://us2.cloudbeds.com/connect/10074733072513#/reservations/31728508108934?display=MXFPUFBUV&amp;reservation_id=31728508108934", "MXFPUFBUV")</f>
        <v>MXFPUFBUV</v>
      </c>
      <c r="B11544" t="s">
        <v>10</v>
      </c>
      <c r="C11544" t="s">
        <v>42</v>
      </c>
      <c r="D11544" t="str">
        <f>HYPERLINK("https://us2.cloudbeds.com/connect/10074733072513#/reservations/31728508108934?display=Dillon%20Dawson&amp;reservation_id=31728508108934&amp;guest_id=31728500310224", "Dillon Dawson")</f>
        <v>Dillon Dawson</v>
      </c>
      <c r="E11544" t="s">
        <v>10716</v>
      </c>
      <c r="F11544" t="s">
        <v>10322</v>
      </c>
      <c r="G11544">
        <v>73</v>
      </c>
      <c r="H11544">
        <v>79.36</v>
      </c>
      <c r="I11544">
        <v>79.349999999999994</v>
      </c>
      <c r="J11544">
        <v>0.01</v>
      </c>
    </row>
    <row r="11545" spans="1:10" x14ac:dyDescent="0.3">
      <c r="A11545" t="str">
        <f>HYPERLINK("https://us2.cloudbeds.com/connect/10074733072513#/reservations/31728519991518?display=MXFQ7G0D8&amp;reservation_id=31728519991518", "MXFQ7G0D8")</f>
        <v>MXFQ7G0D8</v>
      </c>
      <c r="B11545" t="s">
        <v>10</v>
      </c>
      <c r="C11545" t="s">
        <v>42</v>
      </c>
      <c r="D11545" t="str">
        <f>HYPERLINK("https://us2.cloudbeds.com/connect/10074733072513#/reservations/31728519991518?display=Rex%20Hoover&amp;reservation_id=31728519991518&amp;guest_id=31728508113025", "Rex Hoover")</f>
        <v>Rex Hoover</v>
      </c>
      <c r="E11545" t="s">
        <v>10717</v>
      </c>
      <c r="F11545" t="s">
        <v>10322</v>
      </c>
      <c r="G11545">
        <v>119</v>
      </c>
      <c r="H11545">
        <v>129.36000000000001</v>
      </c>
      <c r="I11545">
        <v>129.35</v>
      </c>
      <c r="J11545">
        <v>0.01</v>
      </c>
    </row>
    <row r="11546" spans="1:10" x14ac:dyDescent="0.3">
      <c r="A11546" t="str">
        <f>HYPERLINK("https://us2.cloudbeds.com/connect/10074733072513#/reservations/31726875734217?display=MXEH7048E&amp;reservation_id=31726875734217", "MXEH7048E")</f>
        <v>MXEH7048E</v>
      </c>
      <c r="B11546" t="s">
        <v>10</v>
      </c>
      <c r="C11546" t="s">
        <v>42</v>
      </c>
      <c r="D11546" t="str">
        <f>HYPERLINK("https://us2.cloudbeds.com/connect/10074733072513#/reservations/31726875734217?display=Joan%20Hamman&amp;reservation_id=31726875734217&amp;guest_id=31726875730123", "Joan Hamman")</f>
        <v>Joan Hamman</v>
      </c>
      <c r="E11546" t="s">
        <v>10718</v>
      </c>
      <c r="F11546" t="s">
        <v>10288</v>
      </c>
      <c r="G11546">
        <v>169</v>
      </c>
      <c r="H11546">
        <v>183.71</v>
      </c>
      <c r="I11546">
        <v>183.7</v>
      </c>
      <c r="J11546">
        <v>0.01</v>
      </c>
    </row>
    <row r="11547" spans="1:10" x14ac:dyDescent="0.3">
      <c r="A11547" t="str">
        <f>HYPERLINK("https://us2.cloudbeds.com/connect/10074733072513#/reservations/31728440209611?display=MXFZ66VPN&amp;reservation_id=31728440209611", "MXFZ66VPN")</f>
        <v>MXFZ66VPN</v>
      </c>
      <c r="B11547" t="s">
        <v>10</v>
      </c>
      <c r="C11547" t="s">
        <v>23</v>
      </c>
      <c r="D11547" t="str">
        <f>HYPERLINK("https://us2.cloudbeds.com/connect/10074733072513#/reservations/31728440209611?display=Matthew%20Henkelman&amp;reservation_id=31728440209611&amp;guest_id=31728440209606", "Matthew Henkelman")</f>
        <v>Matthew Henkelman</v>
      </c>
      <c r="E11547" t="s">
        <v>10719</v>
      </c>
      <c r="F11547" t="s">
        <v>10322</v>
      </c>
      <c r="G11547">
        <v>119</v>
      </c>
      <c r="H11547">
        <v>129.36000000000001</v>
      </c>
      <c r="I11547">
        <v>129.35</v>
      </c>
      <c r="J11547">
        <v>0.01</v>
      </c>
    </row>
    <row r="11548" spans="1:10" x14ac:dyDescent="0.3">
      <c r="A11548" t="str">
        <f>HYPERLINK("https://us2.cloudbeds.com/connect/10074733072513#/reservations/31728112201881?display=MXFFQKYUH&amp;reservation_id=31728112201881", "MXFFQKYUH")</f>
        <v>MXFFQKYUH</v>
      </c>
      <c r="B11548" t="s">
        <v>10</v>
      </c>
      <c r="C11548" t="s">
        <v>42</v>
      </c>
      <c r="D11548" t="str">
        <f>HYPERLINK("https://us2.cloudbeds.com/connect/10074733072513#/reservations/31728112201881?display=Daniel%20Walvaten&amp;reservation_id=31728112201881&amp;guest_id=31728094228681", "Daniel Walvaten")</f>
        <v>Daniel Walvaten</v>
      </c>
      <c r="E11548" t="s">
        <v>10720</v>
      </c>
      <c r="F11548" t="s">
        <v>10593</v>
      </c>
      <c r="G11548">
        <v>428.4</v>
      </c>
      <c r="H11548">
        <v>465.68</v>
      </c>
      <c r="I11548">
        <v>465.67</v>
      </c>
      <c r="J11548">
        <v>0.01</v>
      </c>
    </row>
    <row r="11549" spans="1:10" x14ac:dyDescent="0.3">
      <c r="A11549" t="str">
        <f>HYPERLINK("https://us2.cloudbeds.com/connect/10074733072513#/reservations/31726382432444?display=MXE4K197S&amp;reservation_id=31726382432444", "MXE4K197S")</f>
        <v>MXE4K197S</v>
      </c>
      <c r="B11549" t="s">
        <v>10</v>
      </c>
      <c r="C11549" t="s">
        <v>42</v>
      </c>
      <c r="D11549" t="str">
        <f>HYPERLINK("https://us2.cloudbeds.com/connect/10074733072513#/reservations/31726382432444?display=Tim%20Erens&amp;reservation_id=31726382432444&amp;guest_id=31726370611357", "Tim Erens")</f>
        <v>Tim Erens</v>
      </c>
      <c r="E11549" t="s">
        <v>10721</v>
      </c>
      <c r="F11549" t="s">
        <v>10707</v>
      </c>
      <c r="G11549">
        <v>89</v>
      </c>
      <c r="H11549">
        <v>96.75</v>
      </c>
      <c r="I11549">
        <v>96.74</v>
      </c>
      <c r="J11549">
        <v>0.01</v>
      </c>
    </row>
    <row r="11550" spans="1:10" x14ac:dyDescent="0.3">
      <c r="A11550" t="str">
        <f>HYPERLINK("https://us2.cloudbeds.com/connect/10074733072513#/reservations/31727506264224?display=MXF0AMXBB&amp;reservation_id=31727506264224", "MXF0AMXBB")</f>
        <v>MXF0AMXBB</v>
      </c>
      <c r="B11550" t="s">
        <v>10</v>
      </c>
      <c r="C11550" t="s">
        <v>121</v>
      </c>
      <c r="D11550" t="str">
        <f>HYPERLINK("https://us2.cloudbeds.com/connect/10074733072513#/reservations/31727506264224?display=Jerry%20Mccarty&amp;reservation_id=31727506264224&amp;guest_id=31727506260128", "Jerry Mccarty")</f>
        <v>Jerry Mccarty</v>
      </c>
      <c r="E11550" t="s">
        <v>10722</v>
      </c>
      <c r="F11550" t="s">
        <v>10402</v>
      </c>
      <c r="G11550">
        <v>73</v>
      </c>
      <c r="H11550">
        <v>79.36</v>
      </c>
      <c r="I11550">
        <v>79.349999999999994</v>
      </c>
      <c r="J11550">
        <v>0.01</v>
      </c>
    </row>
    <row r="11551" spans="1:10" x14ac:dyDescent="0.3">
      <c r="A11551" t="str">
        <f>HYPERLINK("https://us2.cloudbeds.com/connect/10074733072513#/reservations/31725791051980?display=MXDMGC84Z&amp;reservation_id=31725791051980", "MXDMGC84Z")</f>
        <v>MXDMGC84Z</v>
      </c>
      <c r="B11551" t="s">
        <v>10</v>
      </c>
      <c r="C11551" t="s">
        <v>14</v>
      </c>
      <c r="D11551" t="str">
        <f>HYPERLINK("https://us2.cloudbeds.com/connect/10074733072513#/reservations/31725791051980?display=Alec%20Horan&amp;reservation_id=31725791051980&amp;guest_id=31725791047874", "Alec Horan")</f>
        <v>Alec Horan</v>
      </c>
      <c r="E11551" t="s">
        <v>10723</v>
      </c>
      <c r="F11551" t="s">
        <v>10599</v>
      </c>
      <c r="G11551">
        <v>87.82</v>
      </c>
      <c r="H11551">
        <v>95.47</v>
      </c>
      <c r="I11551">
        <v>95.46</v>
      </c>
      <c r="J11551">
        <v>0.01</v>
      </c>
    </row>
    <row r="11552" spans="1:10" x14ac:dyDescent="0.3">
      <c r="A11552" t="str">
        <f>HYPERLINK("https://us2.cloudbeds.com/connect/10074733072513#/reservations/31727497187465?display=MXF030WD1&amp;reservation_id=31727497187465", "MXF030WD1")</f>
        <v>MXF030WD1</v>
      </c>
      <c r="B11552" t="s">
        <v>10</v>
      </c>
      <c r="C11552" t="s">
        <v>121</v>
      </c>
      <c r="D11552" t="str">
        <f>HYPERLINK("https://us2.cloudbeds.com/connect/10074733072513#/reservations/31727497187465?display=John%20Moreau&amp;reservation_id=31727497187465&amp;guest_id=31727497187461", "John Moreau")</f>
        <v>John Moreau</v>
      </c>
      <c r="E11552" t="s">
        <v>10724</v>
      </c>
      <c r="F11552" t="s">
        <v>10402</v>
      </c>
      <c r="G11552">
        <v>119</v>
      </c>
      <c r="H11552">
        <v>129.36000000000001</v>
      </c>
      <c r="I11552">
        <v>129.35</v>
      </c>
      <c r="J11552">
        <v>0.01</v>
      </c>
    </row>
    <row r="11553" spans="1:10" x14ac:dyDescent="0.3">
      <c r="A11553" t="str">
        <f>HYPERLINK("https://us2.cloudbeds.com/connect/10074733072513#/reservations/31719572852929?display=MX8SK0MRF&amp;reservation_id=31719572852929", "MX8SK0MRF")</f>
        <v>MX8SK0MRF</v>
      </c>
      <c r="B11553" t="s">
        <v>10</v>
      </c>
      <c r="C11553" t="s">
        <v>42</v>
      </c>
      <c r="D11553" t="str">
        <f>HYPERLINK("https://us2.cloudbeds.com/connect/10074733072513#/reservations/31719572852929?display=Kellee%20Jensen&amp;reservation_id=31719572852929&amp;guest_id=31719564357840", "Kellee Jensen")</f>
        <v>Kellee Jensen</v>
      </c>
      <c r="E11553" t="s">
        <v>10725</v>
      </c>
      <c r="F11553" t="s">
        <v>9926</v>
      </c>
      <c r="G11553">
        <v>139</v>
      </c>
      <c r="H11553">
        <v>151.1</v>
      </c>
      <c r="I11553">
        <v>151.09</v>
      </c>
      <c r="J11553">
        <v>0.01</v>
      </c>
    </row>
    <row r="11554" spans="1:10" x14ac:dyDescent="0.3">
      <c r="A11554" t="str">
        <f>HYPERLINK("https://us2.cloudbeds.com/connect/10074733072513#/reservations/31724857876696?display=MXCVYG8SR&amp;reservation_id=31724857876696", "MXCVYG8SR")</f>
        <v>MXCVYG8SR</v>
      </c>
      <c r="B11554" t="s">
        <v>10</v>
      </c>
      <c r="C11554" t="s">
        <v>42</v>
      </c>
      <c r="D11554" t="str">
        <f>HYPERLINK("https://us2.cloudbeds.com/connect/10074733072513#/reservations/31724857876696?display=Denise%20Merrigan&amp;reservation_id=31724857876696&amp;guest_id=31724849205503", "Denise Merrigan")</f>
        <v>Denise Merrigan</v>
      </c>
      <c r="E11554" t="s">
        <v>10726</v>
      </c>
      <c r="F11554" t="s">
        <v>9467</v>
      </c>
      <c r="G11554">
        <v>149</v>
      </c>
      <c r="H11554">
        <v>161.97</v>
      </c>
      <c r="I11554">
        <v>161.96</v>
      </c>
      <c r="J11554">
        <v>0.01</v>
      </c>
    </row>
    <row r="11555" spans="1:10" x14ac:dyDescent="0.3">
      <c r="A11555" t="str">
        <f>HYPERLINK("https://us2.cloudbeds.com/connect/10074733072513#/reservations/31726424461444?display=MXE5MFQBU&amp;reservation_id=31726424461444", "MXE5MFQBU")</f>
        <v>MXE5MFQBU</v>
      </c>
      <c r="B11555" t="s">
        <v>10</v>
      </c>
      <c r="C11555" t="s">
        <v>121</v>
      </c>
      <c r="D11555" t="str">
        <f>HYPERLINK("https://us2.cloudbeds.com/connect/10074733072513#/reservations/31726424461444?display=Dallas%20Ness&amp;reservation_id=31726424461444&amp;guest_id=31726412775651", "Dallas Ness")</f>
        <v>Dallas Ness</v>
      </c>
      <c r="E11555" t="s">
        <v>10727</v>
      </c>
      <c r="F11555" t="s">
        <v>10322</v>
      </c>
      <c r="G11555">
        <v>119</v>
      </c>
      <c r="H11555">
        <v>129.36000000000001</v>
      </c>
      <c r="I11555">
        <v>129.35</v>
      </c>
      <c r="J11555">
        <v>0.01</v>
      </c>
    </row>
    <row r="11556" spans="1:10" x14ac:dyDescent="0.3">
      <c r="A11556" t="str">
        <f>HYPERLINK("https://us2.cloudbeds.com/connect/10074733072513#/reservations/31726517821645?display=MXE826MXU&amp;reservation_id=31726517821645", "MXE826MXU")</f>
        <v>MXE826MXU</v>
      </c>
      <c r="B11556" t="s">
        <v>10</v>
      </c>
      <c r="C11556" t="s">
        <v>42</v>
      </c>
      <c r="D11556" t="str">
        <f>HYPERLINK("https://us2.cloudbeds.com/connect/10074733072513#/reservations/31726517821645?display=Travis%20Roth&amp;reservation_id=31726517821645&amp;guest_id=31726517821640", "Travis Roth")</f>
        <v>Travis Roth</v>
      </c>
      <c r="E11556" t="s">
        <v>10728</v>
      </c>
      <c r="F11556" t="s">
        <v>10288</v>
      </c>
      <c r="G11556">
        <v>149</v>
      </c>
      <c r="H11556">
        <v>161.97</v>
      </c>
      <c r="I11556">
        <v>161.96</v>
      </c>
      <c r="J11556">
        <v>0.01</v>
      </c>
    </row>
    <row r="11557" spans="1:10" x14ac:dyDescent="0.3">
      <c r="A11557" t="str">
        <f>HYPERLINK("https://us2.cloudbeds.com/connect/10074733072513#/reservations/31725344366720?display=MXDAQ56XD&amp;reservation_id=31725344366720", "MXDAQ56XD")</f>
        <v>MXDAQ56XD</v>
      </c>
      <c r="B11557" t="s">
        <v>10</v>
      </c>
      <c r="C11557" t="s">
        <v>42</v>
      </c>
      <c r="D11557" t="str">
        <f>HYPERLINK("https://us2.cloudbeds.com/connect/10074733072513#/reservations/31725344366720?display=Curt%20Ahlemeier&amp;reservation_id=31725344366720&amp;guest_id=31725333033183", "Curt Ahlemeier")</f>
        <v>Curt Ahlemeier</v>
      </c>
      <c r="E11557" t="s">
        <v>10729</v>
      </c>
      <c r="F11557" t="s">
        <v>10707</v>
      </c>
      <c r="G11557">
        <v>149</v>
      </c>
      <c r="H11557">
        <v>161.97</v>
      </c>
      <c r="I11557">
        <v>161.96</v>
      </c>
      <c r="J11557">
        <v>0.01</v>
      </c>
    </row>
    <row r="11558" spans="1:10" x14ac:dyDescent="0.3">
      <c r="A11558" t="str">
        <f>HYPERLINK("https://us2.cloudbeds.com/connect/10074733072513#/reservations/31725963665661?display=MXDQTUFZB&amp;reservation_id=31725963665661", "MXDQTUFZB")</f>
        <v>MXDQTUFZB</v>
      </c>
      <c r="B11558" t="s">
        <v>10</v>
      </c>
      <c r="C11558" t="s">
        <v>11</v>
      </c>
      <c r="D11558" t="str">
        <f>HYPERLINK("https://us2.cloudbeds.com/connect/10074733072513#/reservations/31725963665661?display=Kerri%20Vande%20Lune&amp;reservation_id=31725963665661&amp;guest_id=31725963665600", "Kerri Vande Lune")</f>
        <v>Kerri Vande Lune</v>
      </c>
      <c r="E11558" t="s">
        <v>10730</v>
      </c>
      <c r="F11558" t="s">
        <v>8835</v>
      </c>
      <c r="G11558">
        <v>322.2</v>
      </c>
      <c r="H11558">
        <v>350.24</v>
      </c>
      <c r="I11558">
        <v>350.23</v>
      </c>
      <c r="J11558">
        <v>0.01</v>
      </c>
    </row>
    <row r="11559" spans="1:10" x14ac:dyDescent="0.3">
      <c r="A11559" t="str">
        <f>HYPERLINK("https://us2.cloudbeds.com/connect/10074733072513#/reservations/31725303869598?display=MXDA1XMD8&amp;reservation_id=31725303869598", "MXDA1XMD8")</f>
        <v>MXDA1XMD8</v>
      </c>
      <c r="B11559" t="s">
        <v>10</v>
      </c>
      <c r="C11559" t="s">
        <v>121</v>
      </c>
      <c r="D11559" t="str">
        <f>HYPERLINK("https://us2.cloudbeds.com/connect/10074733072513#/reservations/31725303869598?display=Steven%20Brown&amp;reservation_id=31725303869598&amp;guest_id=30686928097523", "Steven Brown")</f>
        <v>Steven Brown</v>
      </c>
      <c r="E11559" t="s">
        <v>8535</v>
      </c>
      <c r="F11559" t="s">
        <v>10707</v>
      </c>
      <c r="G11559">
        <v>119</v>
      </c>
      <c r="H11559">
        <v>129.36000000000001</v>
      </c>
      <c r="I11559">
        <v>129.35</v>
      </c>
      <c r="J11559">
        <v>0.01</v>
      </c>
    </row>
    <row r="11560" spans="1:10" x14ac:dyDescent="0.3">
      <c r="A11560" t="str">
        <f>HYPERLINK("https://us2.cloudbeds.com/connect/10074733072513#/reservations/31727996575941?display=MXFCS46M5&amp;reservation_id=31727996575941", "MXFCS46M5")</f>
        <v>MXFCS46M5</v>
      </c>
      <c r="B11560" t="s">
        <v>10</v>
      </c>
      <c r="C11560" t="s">
        <v>14</v>
      </c>
      <c r="D11560" t="str">
        <f>HYPERLINK("https://us2.cloudbeds.com/connect/10074733072513#/reservations/31727996575941?display=Scott%20C%20Crossfield&amp;reservation_id=31727996575941&amp;guest_id=31727996575937", "Scott C Crossfield")</f>
        <v>Scott C Crossfield</v>
      </c>
      <c r="E11560" t="s">
        <v>10731</v>
      </c>
      <c r="F11560" t="s">
        <v>10555</v>
      </c>
      <c r="G11560">
        <v>428.4</v>
      </c>
      <c r="H11560">
        <v>465.68</v>
      </c>
      <c r="I11560">
        <v>465.67</v>
      </c>
      <c r="J11560">
        <v>0.01</v>
      </c>
    </row>
    <row r="11561" spans="1:10" x14ac:dyDescent="0.3">
      <c r="A11561" t="str">
        <f>HYPERLINK("https://us2.cloudbeds.com/connect/10074733072513#/reservations/31725343617198?display=MXDB22NXW&amp;reservation_id=31725343617198", "MXDB22NXW")</f>
        <v>MXDB22NXW</v>
      </c>
      <c r="B11561" t="s">
        <v>10</v>
      </c>
      <c r="C11561" t="s">
        <v>42</v>
      </c>
      <c r="D11561" t="str">
        <f>HYPERLINK("https://us2.cloudbeds.com/connect/10074733072513#/reservations/31725343617198?display=Traffic%20Solutions%20Alex%20Torres%20.&amp;reservation_id=31725343617198&amp;guest_id=31725313814667", "Traffic Solutions Alex Torres .")</f>
        <v>Traffic Solutions Alex Torres .</v>
      </c>
      <c r="E11561" t="s">
        <v>10732</v>
      </c>
      <c r="F11561" t="s">
        <v>10707</v>
      </c>
      <c r="G11561">
        <v>119</v>
      </c>
      <c r="H11561">
        <v>129.36000000000001</v>
      </c>
      <c r="I11561">
        <v>129.35</v>
      </c>
      <c r="J11561">
        <v>0.01</v>
      </c>
    </row>
    <row r="11562" spans="1:10" x14ac:dyDescent="0.3">
      <c r="A11562" t="str">
        <f>HYPERLINK("https://us2.cloudbeds.com/connect/10074733072513#/reservations/31725260947626?display=MXD8VCA9E&amp;reservation_id=31725260947626", "MXD8VCA9E")</f>
        <v>MXD8VCA9E</v>
      </c>
      <c r="B11562" t="s">
        <v>10</v>
      </c>
      <c r="C11562" t="s">
        <v>14</v>
      </c>
      <c r="D11562" t="str">
        <f>HYPERLINK("https://us2.cloudbeds.com/connect/10074733072513#/reservations/31725260947626?display=Vince%20Lopez&amp;reservation_id=31725260947626&amp;guest_id=31725260947621", "Vince Lopez")</f>
        <v>Vince Lopez</v>
      </c>
      <c r="E11562" t="s">
        <v>10734</v>
      </c>
      <c r="F11562" t="s">
        <v>10599</v>
      </c>
      <c r="G11562">
        <v>87.82</v>
      </c>
      <c r="H11562">
        <v>95.47</v>
      </c>
      <c r="I11562">
        <v>95.46</v>
      </c>
      <c r="J11562">
        <v>0.01</v>
      </c>
    </row>
    <row r="11563" spans="1:10" x14ac:dyDescent="0.3">
      <c r="A11563" t="str">
        <f>HYPERLINK("https://us2.cloudbeds.com/connect/10074733072513#/reservations/31725324509393?display=MXDAXW0CJ&amp;reservation_id=31725324509393", "MXDAXW0CJ")</f>
        <v>MXDAXW0CJ</v>
      </c>
      <c r="B11563" t="s">
        <v>10</v>
      </c>
      <c r="C11563" t="s">
        <v>121</v>
      </c>
      <c r="D11563" t="str">
        <f>HYPERLINK("https://us2.cloudbeds.com/connect/10074733072513#/reservations/31725324509393?display=Benajamin%20Ipsen&amp;reservation_id=31725324509393&amp;guest_id=31725324509389", "Benajamin Ipsen")</f>
        <v>Benajamin Ipsen</v>
      </c>
      <c r="E11563" t="s">
        <v>10735</v>
      </c>
      <c r="F11563" t="s">
        <v>10707</v>
      </c>
      <c r="G11563">
        <v>119</v>
      </c>
      <c r="H11563">
        <v>129.36000000000001</v>
      </c>
      <c r="I11563">
        <v>129.35</v>
      </c>
      <c r="J11563">
        <v>0.01</v>
      </c>
    </row>
    <row r="11564" spans="1:10" x14ac:dyDescent="0.3">
      <c r="A11564" t="str">
        <f>HYPERLINK("https://us2.cloudbeds.com/connect/10074733072513#/reservations/31725363724432?display=MXDBJ17H3&amp;reservation_id=31725363724432", "MXDBJ17H3")</f>
        <v>MXDBJ17H3</v>
      </c>
      <c r="B11564" t="s">
        <v>10</v>
      </c>
      <c r="C11564" t="s">
        <v>11</v>
      </c>
      <c r="D11564" t="str">
        <f>HYPERLINK("https://us2.cloudbeds.com/connect/10074733072513#/reservations/31725363724432?display=Chad%20Lindgren&amp;reservation_id=31725363724432&amp;guest_id=31725363724422", "Chad Lindgren")</f>
        <v>Chad Lindgren</v>
      </c>
      <c r="E11564" t="s">
        <v>10736</v>
      </c>
      <c r="F11564" t="s">
        <v>10707</v>
      </c>
      <c r="G11564">
        <v>87.82</v>
      </c>
      <c r="H11564">
        <v>95.47</v>
      </c>
      <c r="I11564">
        <v>95.46</v>
      </c>
      <c r="J11564">
        <v>0.01</v>
      </c>
    </row>
    <row r="11565" spans="1:10" x14ac:dyDescent="0.3">
      <c r="A11565" t="str">
        <f>HYPERLINK("https://us2.cloudbeds.com/connect/10074733072513#/reservations/31726386954387?display=MXE4NS3KE&amp;reservation_id=31726386954387", "MXE4NS3KE")</f>
        <v>MXE4NS3KE</v>
      </c>
      <c r="B11565" t="s">
        <v>10</v>
      </c>
      <c r="C11565" t="s">
        <v>11</v>
      </c>
      <c r="D11565" t="str">
        <f>HYPERLINK("https://us2.cloudbeds.com/connect/10074733072513#/reservations/31726386954387?display=Jacque%20Johll&amp;reservation_id=31726386954387&amp;guest_id=31726386950291", "Jacque Johll")</f>
        <v>Jacque Johll</v>
      </c>
      <c r="E11565" t="s">
        <v>10737</v>
      </c>
      <c r="F11565" t="s">
        <v>10707</v>
      </c>
      <c r="G11565">
        <v>87.82</v>
      </c>
      <c r="H11565">
        <v>95.47</v>
      </c>
      <c r="I11565">
        <v>95.46</v>
      </c>
      <c r="J11565">
        <v>0.01</v>
      </c>
    </row>
    <row r="11566" spans="1:10" x14ac:dyDescent="0.3">
      <c r="A11566" t="str">
        <f>HYPERLINK("https://us2.cloudbeds.com/connect/10074733072513#/reservations/31726315049166?display=MXE2T77VB&amp;reservation_id=31726315049166", "MXE2T77VB")</f>
        <v>MXE2T77VB</v>
      </c>
      <c r="B11566" t="s">
        <v>10</v>
      </c>
      <c r="C11566" t="s">
        <v>42</v>
      </c>
      <c r="D11566" t="str">
        <f>HYPERLINK("https://us2.cloudbeds.com/connect/10074733072513#/reservations/31726315049166?display=Gary%20Swane&amp;reservation_id=31726315049166&amp;guest_id=31726315045070", "Gary Swane")</f>
        <v>Gary Swane</v>
      </c>
      <c r="E11566" t="s">
        <v>10738</v>
      </c>
      <c r="F11566" t="s">
        <v>10543</v>
      </c>
      <c r="G11566">
        <v>107.5</v>
      </c>
      <c r="H11566">
        <v>116.86</v>
      </c>
      <c r="I11566">
        <v>116.85</v>
      </c>
      <c r="J11566">
        <v>0.01</v>
      </c>
    </row>
    <row r="11567" spans="1:10" x14ac:dyDescent="0.3">
      <c r="A11567" t="str">
        <f>HYPERLINK("https://us2.cloudbeds.com/connect/10074733072513#/reservations/31725348225239?display=MXDB5VV0J&amp;reservation_id=31725348225239", "MXDB5VV0J")</f>
        <v>MXDB5VV0J</v>
      </c>
      <c r="B11567" t="s">
        <v>10</v>
      </c>
      <c r="C11567" t="s">
        <v>121</v>
      </c>
      <c r="D11567" t="str">
        <f>HYPERLINK("https://us2.cloudbeds.com/connect/10074733072513#/reservations/31725348225239?display=Lucas%20Wosje&amp;reservation_id=31725348225239&amp;guest_id=31687794884827", "Lucas Wosje")</f>
        <v>Lucas Wosje</v>
      </c>
      <c r="E11567" t="s">
        <v>7900</v>
      </c>
      <c r="F11567" t="s">
        <v>10707</v>
      </c>
      <c r="G11567">
        <v>119</v>
      </c>
      <c r="H11567">
        <v>129.36000000000001</v>
      </c>
      <c r="I11567">
        <v>129.35</v>
      </c>
      <c r="J11567">
        <v>0.01</v>
      </c>
    </row>
    <row r="11568" spans="1:10" x14ac:dyDescent="0.3">
      <c r="A11568" t="str">
        <f>HYPERLINK("https://us2.cloudbeds.com/connect/10074733072513#/reservations/31725376848098?display=MXDBU3DKV&amp;reservation_id=31725376848098", "MXDBU3DKV")</f>
        <v>MXDBU3DKV</v>
      </c>
      <c r="B11568" t="s">
        <v>10</v>
      </c>
      <c r="C11568" t="s">
        <v>121</v>
      </c>
      <c r="D11568" t="str">
        <f>HYPERLINK("https://us2.cloudbeds.com/connect/10074733072513#/reservations/31725376848098?display=Elijah%20Fjerstad&amp;reservation_id=31725376848098&amp;guest_id=31725363728523", "Elijah Fjerstad")</f>
        <v>Elijah Fjerstad</v>
      </c>
      <c r="E11568" t="s">
        <v>10739</v>
      </c>
      <c r="F11568" t="s">
        <v>10707</v>
      </c>
      <c r="G11568">
        <v>119</v>
      </c>
      <c r="H11568">
        <v>129.36000000000001</v>
      </c>
      <c r="I11568">
        <v>129.35</v>
      </c>
      <c r="J11568">
        <v>0.01</v>
      </c>
    </row>
    <row r="11569" spans="1:10" x14ac:dyDescent="0.3">
      <c r="A11569" t="str">
        <f>HYPERLINK("https://us2.cloudbeds.com/connect/10074733072513#/reservations/31713751027918?display=MX4BRTRBZ&amp;reservation_id=31713751027918", "MX4BRTRBZ")</f>
        <v>MX4BRTRBZ</v>
      </c>
      <c r="B11569" t="s">
        <v>10</v>
      </c>
      <c r="C11569" t="s">
        <v>23</v>
      </c>
      <c r="D11569" t="str">
        <f>HYPERLINK("https://us2.cloudbeds.com/connect/10074733072513#/reservations/31713751027918?display=Karl%20Rahnefeld&amp;reservation_id=31713751027918&amp;guest_id=31713751027913", "Karl Rahnefeld")</f>
        <v>Karl Rahnefeld</v>
      </c>
      <c r="E11569" t="s">
        <v>10741</v>
      </c>
      <c r="F11569" t="s">
        <v>10543</v>
      </c>
      <c r="G11569">
        <v>129</v>
      </c>
      <c r="H11569">
        <v>140.22999999999999</v>
      </c>
      <c r="I11569">
        <v>140.22</v>
      </c>
      <c r="J11569">
        <v>0.01</v>
      </c>
    </row>
    <row r="11570" spans="1:10" x14ac:dyDescent="0.3">
      <c r="A11570" t="str">
        <f>HYPERLINK("https://us2.cloudbeds.com/connect/10074733072513#/reservations/31721785315486?display=MXAJ4KNTB&amp;reservation_id=31721785315486", "MXAJ4KNTB")</f>
        <v>MXAJ4KNTB</v>
      </c>
      <c r="B11570" t="s">
        <v>10</v>
      </c>
      <c r="C11570" t="s">
        <v>23</v>
      </c>
      <c r="D11570" t="str">
        <f>HYPERLINK("https://us2.cloudbeds.com/connect/10074733072513#/reservations/31721785315486?display=Ryan%20Johnson&amp;reservation_id=31721785315486&amp;guest_id=31689624715474", "Ryan Johnson")</f>
        <v>Ryan Johnson</v>
      </c>
      <c r="E11570" t="s">
        <v>7374</v>
      </c>
      <c r="F11570" t="s">
        <v>10599</v>
      </c>
      <c r="G11570">
        <v>129</v>
      </c>
      <c r="H11570">
        <v>140.22999999999999</v>
      </c>
      <c r="I11570">
        <v>140.22</v>
      </c>
      <c r="J11570">
        <v>0.01</v>
      </c>
    </row>
    <row r="11571" spans="1:10" x14ac:dyDescent="0.3">
      <c r="A11571" t="str">
        <f>HYPERLINK("https://us2.cloudbeds.com/connect/10074733072513#/reservations/31725823987943?display=MXDNB4ZC7&amp;reservation_id=31725823987943", "MXDNB4ZC7")</f>
        <v>MXDNB4ZC7</v>
      </c>
      <c r="B11571" t="s">
        <v>10</v>
      </c>
      <c r="C11571" t="s">
        <v>14</v>
      </c>
      <c r="D11571" t="str">
        <f>HYPERLINK("https://us2.cloudbeds.com/connect/10074733072513#/reservations/31725823987943?display=Christopher%20Lau&amp;reservation_id=31725823987943&amp;guest_id=31725815640208", "Christopher Lau")</f>
        <v>Christopher Lau</v>
      </c>
      <c r="E11571" t="s">
        <v>10742</v>
      </c>
      <c r="F11571" t="s">
        <v>10599</v>
      </c>
      <c r="G11571">
        <v>87.82</v>
      </c>
      <c r="H11571">
        <v>95.47</v>
      </c>
      <c r="I11571">
        <v>95.46</v>
      </c>
      <c r="J11571">
        <v>0.01</v>
      </c>
    </row>
    <row r="11572" spans="1:10" x14ac:dyDescent="0.3">
      <c r="A11572" t="str">
        <f>HYPERLINK("https://us2.cloudbeds.com/connect/10074733072513#/reservations/31717073539210?display=MX6UZHJU3&amp;reservation_id=31717073539210", "MX6UZHJU3")</f>
        <v>MX6UZHJU3</v>
      </c>
      <c r="B11572" t="s">
        <v>10</v>
      </c>
      <c r="C11572" t="s">
        <v>42</v>
      </c>
      <c r="D11572" t="str">
        <f>HYPERLINK("https://us2.cloudbeds.com/connect/10074733072513#/reservations/31717073539210?display=Derringer%20Huff&amp;reservation_id=31717073539210&amp;guest_id=31717073535116", "Derringer Huff")</f>
        <v>Derringer Huff</v>
      </c>
      <c r="E11572" t="s">
        <v>10743</v>
      </c>
      <c r="F11572" t="s">
        <v>10250</v>
      </c>
      <c r="G11572">
        <v>358</v>
      </c>
      <c r="H11572">
        <v>389.16</v>
      </c>
      <c r="I11572">
        <v>389.15</v>
      </c>
      <c r="J11572">
        <v>0.01</v>
      </c>
    </row>
    <row r="11573" spans="1:10" x14ac:dyDescent="0.3">
      <c r="A11573" t="str">
        <f>HYPERLINK("https://us2.cloudbeds.com/connect/10074733072513#/reservations/31721769197812?display=MXAXZ17F0&amp;reservation_id=31721769197812", "MXAXZ17F0")</f>
        <v>MXAXZ17F0</v>
      </c>
      <c r="B11573" t="s">
        <v>10</v>
      </c>
      <c r="C11573" t="s">
        <v>42</v>
      </c>
      <c r="D11573" t="str">
        <f>HYPERLINK("https://us2.cloudbeds.com/connect/10074733072513#/reservations/31721769197812?display=Chad%20Holland&amp;reservation_id=31721769197812&amp;guest_id=31721758085271", "Chad Holland")</f>
        <v>Chad Holland</v>
      </c>
      <c r="E11573" t="s">
        <v>10744</v>
      </c>
      <c r="F11573" t="s">
        <v>10599</v>
      </c>
      <c r="G11573">
        <v>119</v>
      </c>
      <c r="H11573">
        <v>129.36000000000001</v>
      </c>
      <c r="I11573">
        <v>129.35</v>
      </c>
      <c r="J11573">
        <v>0.01</v>
      </c>
    </row>
    <row r="11574" spans="1:10" x14ac:dyDescent="0.3">
      <c r="A11574" t="str">
        <f>HYPERLINK("https://us2.cloudbeds.com/connect/10074733072513#/reservations/31725473607923?display=MXDECMTKS&amp;reservation_id=31725473607923", "MXDECMTKS")</f>
        <v>MXDECMTKS</v>
      </c>
      <c r="B11574" t="s">
        <v>10</v>
      </c>
      <c r="C11574" t="s">
        <v>42</v>
      </c>
      <c r="D11574" t="str">
        <f>HYPERLINK("https://us2.cloudbeds.com/connect/10074733072513#/reservations/31725473607923?display=Nathan%20Baron&amp;reservation_id=31725473607923&amp;guest_id=31725458051233", "Nathan Baron")</f>
        <v>Nathan Baron</v>
      </c>
      <c r="E11574" t="s">
        <v>10745</v>
      </c>
      <c r="F11574" t="s">
        <v>10288</v>
      </c>
      <c r="G11574">
        <v>189</v>
      </c>
      <c r="H11574">
        <v>205.45</v>
      </c>
      <c r="I11574">
        <v>205.44</v>
      </c>
      <c r="J11574">
        <v>0.01</v>
      </c>
    </row>
    <row r="11575" spans="1:10" x14ac:dyDescent="0.3">
      <c r="A11575" t="str">
        <f>HYPERLINK("https://us2.cloudbeds.com/connect/10074733072513#/reservations/31721758081179?display=MXAXEYTBB&amp;reservation_id=31721758081179", "MXAXEYTBB")</f>
        <v>MXAXEYTBB</v>
      </c>
      <c r="B11575" t="s">
        <v>10</v>
      </c>
      <c r="C11575" t="s">
        <v>11</v>
      </c>
      <c r="D11575" t="str">
        <f>HYPERLINK("https://us2.cloudbeds.com/connect/10074733072513#/reservations/31721758081179?display=Aaron%20Searcy&amp;reservation_id=31721758081179&amp;guest_id=31721758081160", "Aaron Searcy")</f>
        <v>Aaron Searcy</v>
      </c>
      <c r="E11575" t="s">
        <v>10746</v>
      </c>
      <c r="F11575" t="s">
        <v>10599</v>
      </c>
      <c r="G11575">
        <v>87.82</v>
      </c>
      <c r="H11575">
        <v>95.47</v>
      </c>
      <c r="I11575">
        <v>95.46</v>
      </c>
      <c r="J11575">
        <v>0.01</v>
      </c>
    </row>
    <row r="11576" spans="1:10" x14ac:dyDescent="0.3">
      <c r="A11576" t="str">
        <f>HYPERLINK("https://us2.cloudbeds.com/connect/10074733072513#/reservations/31726785802391?display=MXEEU5Y7J&amp;reservation_id=31726785802391", "MXEEU5Y7J")</f>
        <v>MXEEU5Y7J</v>
      </c>
      <c r="B11576" t="s">
        <v>10</v>
      </c>
      <c r="C11576" t="s">
        <v>23</v>
      </c>
      <c r="D11576" t="str">
        <f>HYPERLINK("https://us2.cloudbeds.com/connect/10074733072513#/reservations/31726785802391?display=Melissa%20Strand&amp;reservation_id=31726785802391&amp;guest_id=31726779478268", "Melissa Strand")</f>
        <v>Melissa Strand</v>
      </c>
      <c r="E11576" t="s">
        <v>10747</v>
      </c>
      <c r="F11576" t="s">
        <v>10593</v>
      </c>
      <c r="G11576">
        <v>119</v>
      </c>
      <c r="H11576">
        <v>129.36000000000001</v>
      </c>
      <c r="I11576">
        <v>129.35</v>
      </c>
      <c r="J11576">
        <v>0.01</v>
      </c>
    </row>
    <row r="11577" spans="1:10" x14ac:dyDescent="0.3">
      <c r="A11577" t="str">
        <f>HYPERLINK("https://us2.cloudbeds.com/connect/10074733072513#/reservations/31725774930061?display=MXDM2PKQZ&amp;reservation_id=31725774930061", "MXDM2PKQZ")</f>
        <v>MXDM2PKQZ</v>
      </c>
      <c r="B11577" t="s">
        <v>10</v>
      </c>
      <c r="C11577" t="s">
        <v>14</v>
      </c>
      <c r="D11577" t="str">
        <f>HYPERLINK("https://us2.cloudbeds.com/connect/10074733072513#/reservations/31725774930061?display=Jeremy%20Robinson&amp;reservation_id=31725774930061&amp;guest_id=31725766226172", "Jeremy Robinson")</f>
        <v>Jeremy Robinson</v>
      </c>
      <c r="E11577" t="s">
        <v>10748</v>
      </c>
      <c r="F11577" t="s">
        <v>10599</v>
      </c>
      <c r="G11577">
        <v>87.82</v>
      </c>
      <c r="H11577">
        <v>95.47</v>
      </c>
      <c r="I11577">
        <v>95.46</v>
      </c>
      <c r="J11577">
        <v>0.01</v>
      </c>
    </row>
    <row r="11578" spans="1:10" x14ac:dyDescent="0.3">
      <c r="A11578" t="str">
        <f>HYPERLINK("https://us2.cloudbeds.com/connect/10074733072513#/reservations/31721712144595?display=MXAH8UKWY&amp;reservation_id=31721712144595", "MXAH8UKWY")</f>
        <v>MXAH8UKWY</v>
      </c>
      <c r="B11578" t="s">
        <v>10</v>
      </c>
      <c r="C11578" t="s">
        <v>42</v>
      </c>
      <c r="D11578" t="str">
        <f>HYPERLINK("https://us2.cloudbeds.com/connect/10074733072513#/reservations/31721712144595?display=Cobren%20Bird&amp;reservation_id=31721712144595&amp;guest_id=31721712144591", "Cobren Bird")</f>
        <v>Cobren Bird</v>
      </c>
      <c r="E11578" t="s">
        <v>7109</v>
      </c>
      <c r="F11578" t="s">
        <v>10593</v>
      </c>
      <c r="G11578">
        <v>73</v>
      </c>
      <c r="H11578">
        <v>79.36</v>
      </c>
      <c r="I11578">
        <v>79.349999999999994</v>
      </c>
      <c r="J11578">
        <v>0.01</v>
      </c>
    </row>
    <row r="11579" spans="1:10" x14ac:dyDescent="0.3">
      <c r="A11579" t="str">
        <f>HYPERLINK("https://us2.cloudbeds.com/connect/10074733072513#/reservations/31726708003039?display=MXECUXP4F&amp;reservation_id=31726708003039", "MXECUXP4F")</f>
        <v>MXECUXP4F</v>
      </c>
      <c r="B11579" t="s">
        <v>10</v>
      </c>
      <c r="C11579" t="s">
        <v>14</v>
      </c>
      <c r="D11579" t="str">
        <f>HYPERLINK("https://us2.cloudbeds.com/connect/10074733072513#/reservations/31726708003039?display=Margaret%20Bradshaw&amp;reservation_id=31726708003039&amp;guest_id=31726708003036", "Margaret Bradshaw")</f>
        <v>Margaret Bradshaw</v>
      </c>
      <c r="E11579" t="s">
        <v>10751</v>
      </c>
      <c r="F11579" t="s">
        <v>10593</v>
      </c>
      <c r="G11579">
        <v>87.82</v>
      </c>
      <c r="H11579">
        <v>95.47</v>
      </c>
      <c r="I11579">
        <v>95.46</v>
      </c>
      <c r="J11579">
        <v>0.01</v>
      </c>
    </row>
    <row r="11580" spans="1:10" x14ac:dyDescent="0.3">
      <c r="A11580" t="str">
        <f>HYPERLINK("https://us2.cloudbeds.com/connect/10074733072513#/reservations/31726996312310?display=MXEK9MCV1&amp;reservation_id=31726996312310", "MXEK9MCV1")</f>
        <v>MXEK9MCV1</v>
      </c>
      <c r="B11580" t="s">
        <v>10</v>
      </c>
      <c r="C11580" t="s">
        <v>23</v>
      </c>
      <c r="D11580" t="str">
        <f>HYPERLINK("https://us2.cloudbeds.com/connect/10074733072513#/reservations/31726996312310?display=Wes%20Gall&amp;reservation_id=31726996312310&amp;guest_id=31726996312257", "Wes Gall")</f>
        <v>Wes Gall</v>
      </c>
      <c r="E11580" t="s">
        <v>10752</v>
      </c>
      <c r="F11580" t="s">
        <v>10555</v>
      </c>
      <c r="G11580">
        <v>119</v>
      </c>
      <c r="H11580">
        <v>129.36000000000001</v>
      </c>
      <c r="I11580">
        <v>129.35</v>
      </c>
      <c r="J11580">
        <v>0.01</v>
      </c>
    </row>
    <row r="11581" spans="1:10" x14ac:dyDescent="0.3">
      <c r="A11581" t="str">
        <f>HYPERLINK("https://us2.cloudbeds.com/connect/10074733072513#/reservations/31725313818766?display=MXDA9VHF6&amp;reservation_id=31725313818766", "MXDA9VHF6")</f>
        <v>MXDA9VHF6</v>
      </c>
      <c r="B11581" t="s">
        <v>10</v>
      </c>
      <c r="C11581" t="s">
        <v>20</v>
      </c>
      <c r="D11581" t="str">
        <f>HYPERLINK("https://us2.cloudbeds.com/connect/10074733072513#/reservations/31725313818766?display=Brandi%20Dearing&amp;reservation_id=31725313818766&amp;guest_id=31725313818764", "Brandi Dearing")</f>
        <v>Brandi Dearing</v>
      </c>
      <c r="E11581" t="s">
        <v>10753</v>
      </c>
      <c r="F11581" t="s">
        <v>10599</v>
      </c>
      <c r="G11581">
        <v>139</v>
      </c>
      <c r="H11581">
        <v>151.1</v>
      </c>
      <c r="I11581">
        <v>151.09</v>
      </c>
      <c r="J11581">
        <v>0.01</v>
      </c>
    </row>
    <row r="11582" spans="1:10" x14ac:dyDescent="0.3">
      <c r="A11582" t="str">
        <f>HYPERLINK("https://us2.cloudbeds.com/connect/10074733072513#/reservations/31713675628759?display=MX49UAZ9Z&amp;reservation_id=31713675628759", "MX49UAZ9Z")</f>
        <v>MX49UAZ9Z</v>
      </c>
      <c r="B11582" t="s">
        <v>10</v>
      </c>
      <c r="C11582" t="s">
        <v>42</v>
      </c>
      <c r="D11582" t="str">
        <f>HYPERLINK("https://us2.cloudbeds.com/connect/10074733072513#/reservations/31713675628759?display=Jeremiah%20Manns&amp;reservation_id=31713675628759&amp;guest_id=31713664278712", "Jeremiah Manns")</f>
        <v>Jeremiah Manns</v>
      </c>
      <c r="E11582" t="s">
        <v>10754</v>
      </c>
      <c r="F11582" t="s">
        <v>10639</v>
      </c>
      <c r="G11582">
        <v>238</v>
      </c>
      <c r="H11582">
        <v>258.72000000000003</v>
      </c>
      <c r="I11582">
        <v>258.70999999999998</v>
      </c>
      <c r="J11582">
        <v>0.01</v>
      </c>
    </row>
    <row r="11583" spans="1:10" x14ac:dyDescent="0.3">
      <c r="A11583" t="str">
        <f>HYPERLINK("https://us2.cloudbeds.com/connect/10074733072513#/reservations/31726340239507?display=MXE3HF6J0&amp;reservation_id=31726340239507", "MXE3HF6J0")</f>
        <v>MXE3HF6J0</v>
      </c>
      <c r="B11583" t="s">
        <v>10</v>
      </c>
      <c r="C11583" t="s">
        <v>11</v>
      </c>
      <c r="D11583" t="str">
        <f>HYPERLINK("https://us2.cloudbeds.com/connect/10074733072513#/reservations/31726340239507?display=Melissa%20Heath&amp;reservation_id=31726340239507&amp;guest_id=31726332776700", "Melissa Heath")</f>
        <v>Melissa Heath</v>
      </c>
      <c r="E11583" t="s">
        <v>10755</v>
      </c>
      <c r="F11583" t="s">
        <v>8835</v>
      </c>
      <c r="G11583">
        <v>209</v>
      </c>
      <c r="H11583">
        <v>227.19</v>
      </c>
      <c r="I11583">
        <v>227.18</v>
      </c>
      <c r="J11583">
        <v>0.01</v>
      </c>
    </row>
    <row r="11584" spans="1:10" x14ac:dyDescent="0.3">
      <c r="A11584" t="str">
        <f>HYPERLINK("https://us2.cloudbeds.com/connect/10074733072513#/reservations/31727940153498?display=MXFBDX5E5&amp;reservation_id=31727940153498", "MXFBDX5E5")</f>
        <v>MXFBDX5E5</v>
      </c>
      <c r="B11584" t="s">
        <v>10</v>
      </c>
      <c r="C11584" t="s">
        <v>42</v>
      </c>
      <c r="D11584" t="str">
        <f>HYPERLINK("https://us2.cloudbeds.com/connect/10074733072513#/reservations/31727940153498?display=Sandra%20Brozik&amp;reservation_id=31727940153498&amp;guest_id=31727923486928", "Sandra Brozik")</f>
        <v>Sandra Brozik</v>
      </c>
      <c r="E11584" t="s">
        <v>10756</v>
      </c>
      <c r="F11584" t="s">
        <v>10411</v>
      </c>
      <c r="G11584">
        <v>238</v>
      </c>
      <c r="H11584">
        <v>258.72000000000003</v>
      </c>
      <c r="I11584">
        <v>258.70999999999998</v>
      </c>
      <c r="J11584">
        <v>0.01</v>
      </c>
    </row>
    <row r="11585" spans="1:10" x14ac:dyDescent="0.3">
      <c r="A11585" t="str">
        <f>HYPERLINK("https://us2.cloudbeds.com/connect/10074733072513#/reservations/31726528053410?display=MXE8ARD4D&amp;reservation_id=31726528053410", "MXE8ARD4D")</f>
        <v>MXE8ARD4D</v>
      </c>
      <c r="B11585" t="s">
        <v>10</v>
      </c>
      <c r="C11585" t="s">
        <v>42</v>
      </c>
      <c r="D11585" t="str">
        <f>HYPERLINK("https://us2.cloudbeds.com/connect/10074733072513#/reservations/31726528053410?display=Jennifer%20Mees&amp;reservation_id=31726528053410&amp;guest_id=31726528053407", "Jennifer Mees")</f>
        <v>Jennifer Mees</v>
      </c>
      <c r="E11585" t="s">
        <v>10757</v>
      </c>
      <c r="F11585" t="s">
        <v>10288</v>
      </c>
      <c r="G11585">
        <v>109</v>
      </c>
      <c r="H11585">
        <v>118.49</v>
      </c>
      <c r="I11585">
        <v>118.48</v>
      </c>
      <c r="J11585">
        <v>0.01</v>
      </c>
    </row>
    <row r="11586" spans="1:10" x14ac:dyDescent="0.3">
      <c r="A11586" t="str">
        <f>HYPERLINK("https://us2.cloudbeds.com/connect/10074733072513#/reservations/31726356893840?display=MXE3VGKQM&amp;reservation_id=31726356893840", "MXE3VGKQM")</f>
        <v>MXE3VGKQM</v>
      </c>
      <c r="B11586" t="s">
        <v>10</v>
      </c>
      <c r="C11586" t="s">
        <v>42</v>
      </c>
      <c r="D11586" t="str">
        <f>HYPERLINK("https://us2.cloudbeds.com/connect/10074733072513#/reservations/31726356893840?display=Brandon%20Anderson&amp;reservation_id=31726356893840&amp;guest_id=31726345949427", "Brandon Anderson")</f>
        <v>Brandon Anderson</v>
      </c>
      <c r="E11586" t="s">
        <v>10758</v>
      </c>
      <c r="F11586" t="s">
        <v>10423</v>
      </c>
      <c r="G11586">
        <v>129</v>
      </c>
      <c r="H11586">
        <v>140.22999999999999</v>
      </c>
      <c r="I11586">
        <v>140.22</v>
      </c>
      <c r="J11586">
        <v>0.01</v>
      </c>
    </row>
    <row r="11587" spans="1:10" x14ac:dyDescent="0.3">
      <c r="A11587" t="str">
        <f>HYPERLINK("https://us2.cloudbeds.com/connect/10074733072513#/reservations/31724387131646?display=MXCJKX33A&amp;reservation_id=31724387131646", "MXCJKX33A")</f>
        <v>MXCJKX33A</v>
      </c>
      <c r="B11587" t="s">
        <v>10</v>
      </c>
      <c r="C11587" t="s">
        <v>17</v>
      </c>
      <c r="D11587" t="str">
        <f>HYPERLINK("https://us2.cloudbeds.com/connect/10074733072513#/reservations/31724387131646?display=Stephanie%20Krueger&amp;reservation_id=31724387131646&amp;guest_id=31724387131597", "Stephanie Krueger")</f>
        <v>Stephanie Krueger</v>
      </c>
      <c r="E11587" t="s">
        <v>10759</v>
      </c>
      <c r="F11587" t="s">
        <v>9675</v>
      </c>
      <c r="G11587">
        <v>736</v>
      </c>
      <c r="H11587">
        <v>800.04</v>
      </c>
      <c r="I11587">
        <v>800.03</v>
      </c>
      <c r="J11587">
        <v>0.01</v>
      </c>
    </row>
    <row r="11588" spans="1:10" x14ac:dyDescent="0.3">
      <c r="A11588" t="str">
        <f>HYPERLINK("https://us2.cloudbeds.com/connect/10074733072513#/reservations/31714342518983?display=MX4QVYV0D&amp;reservation_id=31714342518983", "MX4QVYV0D")</f>
        <v>MX4QVYV0D</v>
      </c>
      <c r="B11588" t="s">
        <v>10</v>
      </c>
      <c r="C11588" t="s">
        <v>42</v>
      </c>
      <c r="D11588" t="str">
        <f>HYPERLINK("https://us2.cloudbeds.com/connect/10074733072513#/reservations/31714342518983?display=Samantha%20Kirby&amp;reservation_id=31714342518983&amp;guest_id=31714342518978", "Samantha Kirby")</f>
        <v>Samantha Kirby</v>
      </c>
      <c r="E11588" t="s">
        <v>10761</v>
      </c>
      <c r="F11588" t="s">
        <v>10750</v>
      </c>
      <c r="G11588">
        <v>169</v>
      </c>
      <c r="H11588">
        <v>183.71</v>
      </c>
      <c r="I11588">
        <v>183.7</v>
      </c>
      <c r="J11588">
        <v>0.01</v>
      </c>
    </row>
    <row r="11589" spans="1:10" x14ac:dyDescent="0.3">
      <c r="A11589" t="str">
        <f>HYPERLINK("https://us2.cloudbeds.com/connect/10074733072513#/reservations/31724700127448?display=MXCRKFYTJ&amp;reservation_id=31724700127448", "MXCRKFYTJ")</f>
        <v>MXCRKFYTJ</v>
      </c>
      <c r="B11589" t="s">
        <v>10</v>
      </c>
      <c r="C11589" t="s">
        <v>42</v>
      </c>
      <c r="D11589" t="str">
        <f>HYPERLINK("https://us2.cloudbeds.com/connect/10074733072513#/reservations/31724700127448?display=Mitzi%20Conn&amp;reservation_id=31724700127448&amp;guest_id=31724700127446", "Mitzi Conn")</f>
        <v>Mitzi Conn</v>
      </c>
      <c r="E11589" t="s">
        <v>10762</v>
      </c>
      <c r="F11589" t="s">
        <v>9467</v>
      </c>
      <c r="G11589">
        <v>149</v>
      </c>
      <c r="H11589">
        <v>161.97</v>
      </c>
      <c r="I11589">
        <v>161.96</v>
      </c>
      <c r="J11589">
        <v>0.01</v>
      </c>
    </row>
    <row r="11590" spans="1:10" x14ac:dyDescent="0.3">
      <c r="A11590" t="str">
        <f>HYPERLINK("https://us2.cloudbeds.com/connect/10074733072513#/reservations/31726323990684?display=MXE33P1NE&amp;reservation_id=31726323990684", "MXE33P1NE")</f>
        <v>MXE33P1NE</v>
      </c>
      <c r="B11590" t="s">
        <v>10</v>
      </c>
      <c r="C11590" t="s">
        <v>11</v>
      </c>
      <c r="D11590" t="str">
        <f>HYPERLINK("https://us2.cloudbeds.com/connect/10074733072513#/reservations/31726323990684?display=Matthew%20Holbrook&amp;reservation_id=31726323990684&amp;guest_id=31726323986599", "Matthew Holbrook")</f>
        <v>Matthew Holbrook</v>
      </c>
      <c r="E11590" t="s">
        <v>10763</v>
      </c>
      <c r="F11590" t="s">
        <v>10543</v>
      </c>
      <c r="G11590">
        <v>87.82</v>
      </c>
      <c r="H11590">
        <v>95.47</v>
      </c>
      <c r="I11590">
        <v>95.46</v>
      </c>
      <c r="J11590">
        <v>0.01</v>
      </c>
    </row>
    <row r="11591" spans="1:10" x14ac:dyDescent="0.3">
      <c r="A11591" t="str">
        <f>HYPERLINK("https://us2.cloudbeds.com/connect/10074733072513#/reservations/31722366722202?display=MXB0WT7BN&amp;reservation_id=31722366722202", "MXB0WT7BN")</f>
        <v>MXB0WT7BN</v>
      </c>
      <c r="B11591" t="s">
        <v>10</v>
      </c>
      <c r="C11591" t="s">
        <v>17</v>
      </c>
      <c r="D11591" t="str">
        <f>HYPERLINK("https://us2.cloudbeds.com/connect/10074733072513#/reservations/31722366722202?display=Steven%20Anderson&amp;reservation_id=31722366722202&amp;guest_id=31722366722198", "Steven Anderson")</f>
        <v>Steven Anderson</v>
      </c>
      <c r="E11591" t="s">
        <v>10765</v>
      </c>
      <c r="F11591" t="s">
        <v>7649</v>
      </c>
      <c r="G11591">
        <v>318</v>
      </c>
      <c r="H11591">
        <v>345.68</v>
      </c>
      <c r="I11591">
        <v>345.67</v>
      </c>
      <c r="J11591">
        <v>0.01</v>
      </c>
    </row>
    <row r="11592" spans="1:10" x14ac:dyDescent="0.3">
      <c r="A11592" t="str">
        <f>HYPERLINK("https://us2.cloudbeds.com/connect/10074733072513#/reservations/31713723764954?display=MX4B4U6GA&amp;reservation_id=31713723764954", "MX4B4U6GA")</f>
        <v>MX4B4U6GA</v>
      </c>
      <c r="B11592" t="s">
        <v>10</v>
      </c>
      <c r="C11592" t="s">
        <v>11</v>
      </c>
      <c r="D11592" t="str">
        <f>HYPERLINK("https://us2.cloudbeds.com/connect/10074733072513#/reservations/31713723764954?display=Flora%20Turner&amp;reservation_id=31713723764954&amp;guest_id=31713710297293", "Flora Turner")</f>
        <v>Flora Turner</v>
      </c>
      <c r="E11592" t="s">
        <v>10766</v>
      </c>
      <c r="F11592" t="s">
        <v>10543</v>
      </c>
      <c r="G11592">
        <v>87.82</v>
      </c>
      <c r="H11592">
        <v>95.47</v>
      </c>
      <c r="I11592">
        <v>95.46</v>
      </c>
      <c r="J11592">
        <v>0.01</v>
      </c>
    </row>
    <row r="11593" spans="1:10" x14ac:dyDescent="0.3">
      <c r="A11593" t="str">
        <f>HYPERLINK("https://us2.cloudbeds.com/connect/10074733072513#/reservations/31722732482732?display=MXBABA1K4&amp;reservation_id=31722732482732", "MXBABA1K4")</f>
        <v>MXBABA1K4</v>
      </c>
      <c r="B11593" t="s">
        <v>10</v>
      </c>
      <c r="C11593" t="s">
        <v>23</v>
      </c>
      <c r="D11593" t="str">
        <f>HYPERLINK("https://us2.cloudbeds.com/connect/10074733072513#/reservations/31722732482732?display=Jamison%20Vanderwal&amp;reservation_id=31722732482732&amp;guest_id=31722723270878", "Jamison Vanderwal")</f>
        <v>Jamison Vanderwal</v>
      </c>
      <c r="E11593" t="s">
        <v>10767</v>
      </c>
      <c r="F11593" t="s">
        <v>10768</v>
      </c>
      <c r="G11593">
        <v>159</v>
      </c>
      <c r="H11593">
        <v>172.84</v>
      </c>
      <c r="I11593">
        <v>172.83</v>
      </c>
      <c r="J11593">
        <v>0.01</v>
      </c>
    </row>
    <row r="11594" spans="1:10" x14ac:dyDescent="0.3">
      <c r="A11594" t="str">
        <f>HYPERLINK("https://us2.cloudbeds.com/connect/10074733072513#/reservations/31724725301386?display=MXCS8N5F6&amp;reservation_id=31724725301386", "MXCS8N5F6")</f>
        <v>MXCS8N5F6</v>
      </c>
      <c r="B11594" t="s">
        <v>10</v>
      </c>
      <c r="C11594" t="s">
        <v>20</v>
      </c>
      <c r="D11594" t="str">
        <f>HYPERLINK("https://us2.cloudbeds.com/connect/10074733072513#/reservations/31724725301386?display=Josh%20Howard&amp;reservation_id=31724725301386&amp;guest_id=31724725297334", "Josh Howard")</f>
        <v>Josh Howard</v>
      </c>
      <c r="E11594" t="s">
        <v>10769</v>
      </c>
      <c r="F11594" t="s">
        <v>9467</v>
      </c>
      <c r="G11594">
        <v>159</v>
      </c>
      <c r="H11594">
        <v>172.84</v>
      </c>
      <c r="I11594">
        <v>172.83</v>
      </c>
      <c r="J11594">
        <v>0.01</v>
      </c>
    </row>
    <row r="11595" spans="1:10" x14ac:dyDescent="0.3">
      <c r="A11595" t="str">
        <f>HYPERLINK("https://us2.cloudbeds.com/connect/10074733072513#/reservations/31721167827189?display=MXA3BV6YQ&amp;reservation_id=31721167827189", "MXA3BV6YQ")</f>
        <v>MXA3BV6YQ</v>
      </c>
      <c r="B11595" t="s">
        <v>10</v>
      </c>
      <c r="C11595" t="s">
        <v>23</v>
      </c>
      <c r="D11595" t="str">
        <f>HYPERLINK("https://us2.cloudbeds.com/connect/10074733072513#/reservations/31721167827189?display=John%20Axelson&amp;reservation_id=31721167827189&amp;guest_id=31721167827184", "John Axelson")</f>
        <v>John Axelson</v>
      </c>
      <c r="E11595" t="s">
        <v>10770</v>
      </c>
      <c r="F11595" t="s">
        <v>10639</v>
      </c>
      <c r="G11595">
        <v>119</v>
      </c>
      <c r="H11595">
        <v>129.36000000000001</v>
      </c>
      <c r="I11595">
        <v>129.35</v>
      </c>
      <c r="J11595">
        <v>0.01</v>
      </c>
    </row>
    <row r="11596" spans="1:10" x14ac:dyDescent="0.3">
      <c r="A11596" t="str">
        <f>HYPERLINK("https://us2.cloudbeds.com/connect/10074733072513#/reservations/31723402371287?display=MXBRF5MK9&amp;reservation_id=31723402371287", "MXBRF5MK9")</f>
        <v>MXBRF5MK9</v>
      </c>
      <c r="B11596" t="s">
        <v>10</v>
      </c>
      <c r="C11596" t="s">
        <v>23</v>
      </c>
      <c r="D11596" t="str">
        <f>HYPERLINK("https://us2.cloudbeds.com/connect/10074733072513#/reservations/31723402371287?display=Eric%20Knodel&amp;reservation_id=31723402371287&amp;guest_id=31723402367206", "Eric Knodel")</f>
        <v>Eric Knodel</v>
      </c>
      <c r="E11596" t="s">
        <v>10771</v>
      </c>
      <c r="F11596" t="s">
        <v>7925</v>
      </c>
      <c r="G11596">
        <v>318</v>
      </c>
      <c r="H11596">
        <v>345.68</v>
      </c>
      <c r="I11596">
        <v>345.67</v>
      </c>
      <c r="J11596">
        <v>0.01</v>
      </c>
    </row>
    <row r="11597" spans="1:10" x14ac:dyDescent="0.3">
      <c r="A11597" t="str">
        <f>HYPERLINK("https://us2.cloudbeds.com/connect/10074733072513#/reservations/31713701208289?display=MX4AXTHA0&amp;reservation_id=31713701208289", "MX4AXTHA0")</f>
        <v>MX4AXTHA0</v>
      </c>
      <c r="B11597" t="s">
        <v>10</v>
      </c>
      <c r="C11597" t="s">
        <v>42</v>
      </c>
      <c r="D11597" t="str">
        <f>HYPERLINK("https://us2.cloudbeds.com/connect/10074733072513#/reservations/31713701208289?display=Josh%20West&amp;reservation_id=31713701208289&amp;guest_id=31713701208286", "Josh West")</f>
        <v>Josh West</v>
      </c>
      <c r="E11597" t="s">
        <v>10774</v>
      </c>
      <c r="F11597" t="s">
        <v>10639</v>
      </c>
      <c r="G11597">
        <v>119</v>
      </c>
      <c r="H11597">
        <v>129.36000000000001</v>
      </c>
      <c r="I11597">
        <v>129.35</v>
      </c>
      <c r="J11597">
        <v>0.01</v>
      </c>
    </row>
    <row r="11598" spans="1:10" x14ac:dyDescent="0.3">
      <c r="A11598" t="str">
        <f>HYPERLINK("https://us2.cloudbeds.com/connect/10074733072513#/reservations/31724458983601?display=MXCYF4FS9&amp;reservation_id=31724458983601", "MXCYF4FS9")</f>
        <v>MXCYF4FS9</v>
      </c>
      <c r="B11598" t="s">
        <v>10</v>
      </c>
      <c r="C11598" t="s">
        <v>42</v>
      </c>
      <c r="D11598" t="str">
        <f>HYPERLINK("https://us2.cloudbeds.com/connect/10074733072513#/reservations/31724458983601?display=Shane%20Egge&amp;reservation_id=31724458983601&amp;guest_id=31678314627207", "Shane Egge")</f>
        <v>Shane Egge</v>
      </c>
      <c r="E11598" t="s">
        <v>6362</v>
      </c>
      <c r="F11598" t="s">
        <v>10639</v>
      </c>
      <c r="G11598">
        <v>178</v>
      </c>
      <c r="H11598">
        <v>193.5</v>
      </c>
      <c r="I11598">
        <v>193.49</v>
      </c>
      <c r="J11598">
        <v>0.01</v>
      </c>
    </row>
    <row r="11599" spans="1:10" x14ac:dyDescent="0.3">
      <c r="A11599" t="str">
        <f>HYPERLINK("https://us2.cloudbeds.com/connect/10074733072513#/reservations/31724491718822?display=MXCM9ZCZM&amp;reservation_id=31724491718822", "MXCM9ZCZM")</f>
        <v>MXCM9ZCZM</v>
      </c>
      <c r="B11599" t="s">
        <v>10</v>
      </c>
      <c r="C11599" t="s">
        <v>14</v>
      </c>
      <c r="D11599" t="str">
        <f>HYPERLINK("https://us2.cloudbeds.com/connect/10074733072513#/reservations/31724491718822?display=Robin%20Norton&amp;reservation_id=31724491718822&amp;guest_id=31724480348364", "Robin Norton")</f>
        <v>Robin Norton</v>
      </c>
      <c r="E11599" t="s">
        <v>10775</v>
      </c>
      <c r="F11599" t="s">
        <v>10639</v>
      </c>
      <c r="G11599">
        <v>87.82</v>
      </c>
      <c r="H11599">
        <v>95.47</v>
      </c>
      <c r="I11599">
        <v>95.46</v>
      </c>
      <c r="J11599">
        <v>0.01</v>
      </c>
    </row>
    <row r="11600" spans="1:10" x14ac:dyDescent="0.3">
      <c r="A11600" t="str">
        <f>HYPERLINK("https://us2.cloudbeds.com/connect/10074733072513#/reservations/31727049302210?display=MXEYYBU5J&amp;reservation_id=31727049302210", "MXEYYBU5J")</f>
        <v>MXEYYBU5J</v>
      </c>
      <c r="B11600" t="s">
        <v>10</v>
      </c>
      <c r="C11600" t="s">
        <v>17</v>
      </c>
      <c r="D11600" t="str">
        <f>HYPERLINK("https://us2.cloudbeds.com/connect/10074733072513#/reservations/31727049302210?display=Mike%20Erbes&amp;reservation_id=31727049302210&amp;guest_id=31727033229539", "Mike Erbes")</f>
        <v>Mike Erbes</v>
      </c>
      <c r="E11600" t="s">
        <v>10776</v>
      </c>
      <c r="F11600" t="s">
        <v>10555</v>
      </c>
      <c r="G11600">
        <v>238</v>
      </c>
      <c r="H11600">
        <v>258.72000000000003</v>
      </c>
      <c r="I11600">
        <v>258.70999999999998</v>
      </c>
      <c r="J11600">
        <v>0.01</v>
      </c>
    </row>
    <row r="11601" spans="1:10" x14ac:dyDescent="0.3">
      <c r="A11601" t="str">
        <f>HYPERLINK("https://us2.cloudbeds.com/connect/10074733072513#/reservations/31724043690211?display=MXCARVAT3&amp;reservation_id=31724043690211", "MXCARVAT3")</f>
        <v>MXCARVAT3</v>
      </c>
      <c r="B11601" t="s">
        <v>10</v>
      </c>
      <c r="C11601" t="s">
        <v>42</v>
      </c>
      <c r="D11601" t="str">
        <f>HYPERLINK("https://us2.cloudbeds.com/connect/10074733072513#/reservations/31724043690211?display=Nick%20Monague&amp;reservation_id=31724043690211&amp;guest_id=31724043690195", "Nick Monague")</f>
        <v>Nick Monague</v>
      </c>
      <c r="E11601" t="s">
        <v>10777</v>
      </c>
      <c r="F11601" t="s">
        <v>10778</v>
      </c>
      <c r="G11601">
        <v>428.4</v>
      </c>
      <c r="H11601">
        <v>465.68</v>
      </c>
      <c r="I11601">
        <v>465.67</v>
      </c>
      <c r="J11601">
        <v>0.01</v>
      </c>
    </row>
    <row r="11602" spans="1:10" x14ac:dyDescent="0.3">
      <c r="A11602" t="str">
        <f>HYPERLINK("https://us2.cloudbeds.com/connect/10074733072513#/reservations/31728577552515?display=MXFRN0Z4T&amp;reservation_id=31728577552515", "MXFRN0Z4T")</f>
        <v>MXFRN0Z4T</v>
      </c>
      <c r="B11602" t="s">
        <v>10</v>
      </c>
      <c r="C11602" t="s">
        <v>11</v>
      </c>
      <c r="D11602" t="str">
        <f>HYPERLINK("https://us2.cloudbeds.com/connect/10074733072513#/reservations/31728577552515?display=Scott%20Oberleitner&amp;reservation_id=31728577552515&amp;guest_id=31728577548431", "Scott Oberleitner")</f>
        <v>Scott Oberleitner</v>
      </c>
      <c r="E11602" t="s">
        <v>10779</v>
      </c>
      <c r="F11602" t="s">
        <v>7649</v>
      </c>
      <c r="G11602">
        <v>130.38</v>
      </c>
      <c r="H11602">
        <v>141.72999999999999</v>
      </c>
      <c r="I11602">
        <v>141.72</v>
      </c>
      <c r="J11602">
        <v>0.01</v>
      </c>
    </row>
    <row r="11603" spans="1:10" x14ac:dyDescent="0.3">
      <c r="A11603" t="str">
        <f>HYPERLINK("https://us2.cloudbeds.com/connect/10074733072513#/reservations/31724363485409?display=MXCJ0K3CM&amp;reservation_id=31724363485409", "MXCJ0K3CM")</f>
        <v>MXCJ0K3CM</v>
      </c>
      <c r="B11603" t="s">
        <v>10</v>
      </c>
      <c r="C11603" t="s">
        <v>42</v>
      </c>
      <c r="D11603" t="str">
        <f>HYPERLINK("https://us2.cloudbeds.com/connect/10074733072513#/reservations/31724363485409?display=Nick%20Monague&amp;reservation_id=31724363485409&amp;guest_id=31724363485385", "Nick Monague")</f>
        <v>Nick Monague</v>
      </c>
      <c r="E11603" t="s">
        <v>10777</v>
      </c>
      <c r="F11603" t="s">
        <v>10780</v>
      </c>
      <c r="G11603">
        <v>428.4</v>
      </c>
      <c r="H11603">
        <v>465.68</v>
      </c>
      <c r="I11603">
        <v>465.67</v>
      </c>
      <c r="J11603">
        <v>0.01</v>
      </c>
    </row>
    <row r="11604" spans="1:10" x14ac:dyDescent="0.3">
      <c r="A11604" t="str">
        <f>HYPERLINK("https://us2.cloudbeds.com/connect/10074733072513#/reservations/31721060729076?display=MXA0KY19E&amp;reservation_id=31721060729076", "MXA0KY19E")</f>
        <v>MXA0KY19E</v>
      </c>
      <c r="B11604" t="s">
        <v>10</v>
      </c>
      <c r="C11604" t="s">
        <v>42</v>
      </c>
      <c r="D11604" t="str">
        <f>HYPERLINK("https://us2.cloudbeds.com/connect/10074733072513#/reservations/31721060729076?display=Daniel%20Kahlstorf&amp;reservation_id=31721060729076&amp;guest_id=31675447382154", "Daniel Kahlstorf")</f>
        <v>Daniel Kahlstorf</v>
      </c>
      <c r="E11604" t="s">
        <v>5683</v>
      </c>
      <c r="F11604" t="s">
        <v>10773</v>
      </c>
      <c r="G11604">
        <v>73</v>
      </c>
      <c r="H11604">
        <v>79.36</v>
      </c>
      <c r="I11604">
        <v>79.349999999999994</v>
      </c>
      <c r="J11604">
        <v>0.01</v>
      </c>
    </row>
    <row r="11605" spans="1:10" x14ac:dyDescent="0.3">
      <c r="A11605" t="str">
        <f>HYPERLINK("https://us2.cloudbeds.com/connect/10074733072513#/reservations/31721145508092?display=MXA2Q44KH&amp;reservation_id=31721145508092", "MXA2Q44KH")</f>
        <v>MXA2Q44KH</v>
      </c>
      <c r="B11605" t="s">
        <v>10</v>
      </c>
      <c r="C11605" t="s">
        <v>42</v>
      </c>
      <c r="D11605" t="str">
        <f>HYPERLINK("https://us2.cloudbeds.com/connect/10074733072513#/reservations/31721145508092?display=Donald%20Jones&amp;reservation_id=31721145508092&amp;guest_id=31720772042901", "Donald Jones")</f>
        <v>Donald Jones</v>
      </c>
      <c r="E11605" t="s">
        <v>10782</v>
      </c>
      <c r="F11605" t="s">
        <v>10773</v>
      </c>
      <c r="G11605">
        <v>73</v>
      </c>
      <c r="H11605">
        <v>79.36</v>
      </c>
      <c r="I11605">
        <v>79.349999999999994</v>
      </c>
      <c r="J11605">
        <v>0.01</v>
      </c>
    </row>
    <row r="11606" spans="1:10" x14ac:dyDescent="0.3">
      <c r="A11606" t="str">
        <f>HYPERLINK("https://us2.cloudbeds.com/connect/10074733072513#/reservations/31712860356818?display=MX3M2SJXD&amp;reservation_id=31712860356818", "MX3M2SJXD")</f>
        <v>MX3M2SJXD</v>
      </c>
      <c r="B11606" t="s">
        <v>10</v>
      </c>
      <c r="C11606" t="s">
        <v>42</v>
      </c>
      <c r="D11606" t="str">
        <f>HYPERLINK("https://us2.cloudbeds.com/connect/10074733072513#/reservations/31712860356818?display=Olivia%20Stevens&amp;reservation_id=31712860356818&amp;guest_id=31712850501765", "Olivia Stevens")</f>
        <v>Olivia Stevens</v>
      </c>
      <c r="E11606" t="s">
        <v>10783</v>
      </c>
      <c r="F11606" t="s">
        <v>10250</v>
      </c>
      <c r="G11606">
        <v>169</v>
      </c>
      <c r="H11606">
        <v>183.71</v>
      </c>
      <c r="I11606">
        <v>183.7</v>
      </c>
      <c r="J11606">
        <v>0.01</v>
      </c>
    </row>
    <row r="11607" spans="1:10" x14ac:dyDescent="0.3">
      <c r="A11607" t="str">
        <f>HYPERLINK("https://us2.cloudbeds.com/connect/10074733072513#/reservations/31725292527851?display=MXD9P02XV&amp;reservation_id=31725292527851", "MXD9P02XV")</f>
        <v>MXD9P02XV</v>
      </c>
      <c r="B11607" t="s">
        <v>10</v>
      </c>
      <c r="C11607" t="s">
        <v>42</v>
      </c>
      <c r="D11607" t="str">
        <f>HYPERLINK("https://us2.cloudbeds.com/connect/10074733072513#/reservations/31725292527851?display=Nick%20Monague&amp;reservation_id=31725292527851&amp;guest_id=31725281566867", "Nick Monague")</f>
        <v>Nick Monague</v>
      </c>
      <c r="E11607" t="s">
        <v>10667</v>
      </c>
      <c r="F11607" t="s">
        <v>10665</v>
      </c>
      <c r="G11607">
        <v>428.4</v>
      </c>
      <c r="H11607">
        <v>465.68</v>
      </c>
      <c r="I11607">
        <v>465.67</v>
      </c>
      <c r="J11607">
        <v>0.01</v>
      </c>
    </row>
    <row r="11608" spans="1:10" x14ac:dyDescent="0.3">
      <c r="A11608" t="str">
        <f>HYPERLINK("https://us2.cloudbeds.com/connect/10074733072513#/reservations/31722233393336?display=MXAUJF4W1&amp;reservation_id=31722233393336", "MXAUJF4W1")</f>
        <v>MXAUJF4W1</v>
      </c>
      <c r="B11608" t="s">
        <v>10</v>
      </c>
      <c r="C11608" t="s">
        <v>42</v>
      </c>
      <c r="D11608" t="str">
        <f>HYPERLINK("https://us2.cloudbeds.com/connect/10074733072513#/reservations/31722233393336?display=Nick%20Montague&amp;reservation_id=31722233393336&amp;guest_id=31722233393287", "Nick Montague")</f>
        <v>Nick Montague</v>
      </c>
      <c r="E11608" t="s">
        <v>10667</v>
      </c>
      <c r="F11608" t="s">
        <v>10421</v>
      </c>
      <c r="G11608">
        <v>428.4</v>
      </c>
      <c r="H11608">
        <v>465.68</v>
      </c>
      <c r="I11608">
        <v>465.67</v>
      </c>
      <c r="J11608">
        <v>0.01</v>
      </c>
    </row>
    <row r="11609" spans="1:10" x14ac:dyDescent="0.3">
      <c r="A11609" t="str">
        <f>HYPERLINK("https://us2.cloudbeds.com/connect/10074733072513#/reservations/31724480344273?display=MXCM04SQC&amp;reservation_id=31724480344273", "MXCM04SQC")</f>
        <v>MXCM04SQC</v>
      </c>
      <c r="B11609" t="s">
        <v>10</v>
      </c>
      <c r="C11609" t="s">
        <v>11</v>
      </c>
      <c r="D11609" t="str">
        <f>HYPERLINK("https://us2.cloudbeds.com/connect/10074733072513#/reservations/31724480344273?display=Jerry%20Talsma&amp;reservation_id=31724480344273&amp;guest_id=31724474081442", "Jerry Talsma")</f>
        <v>Jerry Talsma</v>
      </c>
      <c r="E11609" t="s">
        <v>10784</v>
      </c>
      <c r="F11609" t="s">
        <v>10639</v>
      </c>
      <c r="G11609">
        <v>87.82</v>
      </c>
      <c r="H11609">
        <v>95.47</v>
      </c>
      <c r="I11609">
        <v>95.46</v>
      </c>
      <c r="J11609">
        <v>0.01</v>
      </c>
    </row>
    <row r="11610" spans="1:10" x14ac:dyDescent="0.3">
      <c r="A11610" t="str">
        <f>HYPERLINK("https://us2.cloudbeds.com/connect/10074733072513#/reservations/31728061685978?display=MXFEH0WGJ&amp;reservation_id=31728061685978", "MXFEH0WGJ")</f>
        <v>MXFEH0WGJ</v>
      </c>
      <c r="B11610" t="s">
        <v>10</v>
      </c>
      <c r="C11610" t="s">
        <v>42</v>
      </c>
      <c r="D11610" t="str">
        <f>HYPERLINK("https://us2.cloudbeds.com/connect/10074733072513#/reservations/31728061685978?display=Douglas%20Welte&amp;reservation_id=31728061685978&amp;guest_id=30667381088487", "Douglas Welte")</f>
        <v>Douglas Welte</v>
      </c>
      <c r="E11610" t="s">
        <v>2536</v>
      </c>
      <c r="F11610" t="s">
        <v>10555</v>
      </c>
      <c r="G11610">
        <v>73</v>
      </c>
      <c r="H11610">
        <v>79.36</v>
      </c>
      <c r="I11610">
        <v>79.349999999999994</v>
      </c>
      <c r="J11610">
        <v>0.01</v>
      </c>
    </row>
    <row r="11611" spans="1:10" x14ac:dyDescent="0.3">
      <c r="A11611" t="str">
        <f>HYPERLINK("https://us2.cloudbeds.com/connect/10074733072513#/reservations/31722296266900?display=MXAW6FN3X&amp;reservation_id=31722296266900", "MXAW6FN3X")</f>
        <v>MXAW6FN3X</v>
      </c>
      <c r="B11611" t="s">
        <v>10</v>
      </c>
      <c r="C11611" t="s">
        <v>20</v>
      </c>
      <c r="D11611" t="str">
        <f>HYPERLINK("https://us2.cloudbeds.com/connect/10074733072513#/reservations/31722296266900?display=Carey%20Norgaard&amp;reservation_id=31722296266900&amp;guest_id=31722296262816", "Carey Norgaard")</f>
        <v>Carey Norgaard</v>
      </c>
      <c r="E11611" t="s">
        <v>10785</v>
      </c>
      <c r="F11611" t="s">
        <v>7649</v>
      </c>
      <c r="G11611">
        <v>199</v>
      </c>
      <c r="H11611">
        <v>216.32</v>
      </c>
      <c r="I11611">
        <v>216.31</v>
      </c>
      <c r="J11611">
        <v>0.01</v>
      </c>
    </row>
    <row r="11612" spans="1:10" x14ac:dyDescent="0.3">
      <c r="A11612" t="str">
        <f>HYPERLINK("https://us2.cloudbeds.com/connect/10074733072513#/reservations/31721071370377?display=MXA0TK4U3&amp;reservation_id=31721071370377", "MXA0TK4U3")</f>
        <v>MXA0TK4U3</v>
      </c>
      <c r="B11612" t="s">
        <v>10</v>
      </c>
      <c r="C11612" t="s">
        <v>121</v>
      </c>
      <c r="D11612" t="str">
        <f>HYPERLINK("https://us2.cloudbeds.com/connect/10074733072513#/reservations/31721071370377?display=Lucas%20Wosje&amp;reservation_id=31721071370377&amp;guest_id=31687794884827", "Lucas Wosje")</f>
        <v>Lucas Wosje</v>
      </c>
      <c r="E11612" t="s">
        <v>7900</v>
      </c>
      <c r="F11612" t="s">
        <v>10773</v>
      </c>
      <c r="G11612">
        <v>149</v>
      </c>
      <c r="H11612">
        <v>161.97</v>
      </c>
      <c r="I11612">
        <v>161.96</v>
      </c>
      <c r="J11612">
        <v>0.01</v>
      </c>
    </row>
    <row r="11613" spans="1:10" x14ac:dyDescent="0.3">
      <c r="A11613" t="str">
        <f>HYPERLINK("https://us2.cloudbeds.com/connect/10074733072513#/reservations/31728656912639?display=MXFTNV1F4&amp;reservation_id=31728656912639", "MXFTNV1F4")</f>
        <v>MXFTNV1F4</v>
      </c>
      <c r="B11613" t="s">
        <v>10</v>
      </c>
      <c r="C11613" t="s">
        <v>23</v>
      </c>
      <c r="D11613" t="str">
        <f>HYPERLINK("https://us2.cloudbeds.com/connect/10074733072513#/reservations/31728656912639?display=Joe%20Speidel&amp;reservation_id=31728656912639&amp;guest_id=31728656912637", "Joe Speidel")</f>
        <v>Joe Speidel</v>
      </c>
      <c r="E11613" t="s">
        <v>10786</v>
      </c>
      <c r="F11613" t="s">
        <v>10501</v>
      </c>
      <c r="G11613">
        <v>149</v>
      </c>
      <c r="H11613">
        <v>161.97</v>
      </c>
      <c r="I11613">
        <v>161.96</v>
      </c>
      <c r="J11613">
        <v>0.01</v>
      </c>
    </row>
    <row r="11614" spans="1:10" x14ac:dyDescent="0.3">
      <c r="A11614" t="str">
        <f>HYPERLINK("https://us2.cloudbeds.com/connect/10074733072513#/reservations/31719229178082?display=MX8JR7E95&amp;reservation_id=31719229178082", "MX8JR7E95")</f>
        <v>MX8JR7E95</v>
      </c>
      <c r="B11614" t="s">
        <v>10</v>
      </c>
      <c r="C11614" t="s">
        <v>42</v>
      </c>
      <c r="D11614" t="str">
        <f>HYPERLINK("https://us2.cloudbeds.com/connect/10074733072513#/reservations/31719229178082?display=Kathleen%20Lenz&amp;reservation_id=31719229178082&amp;guest_id=31719229173987", "Kathleen Lenz")</f>
        <v>Kathleen Lenz</v>
      </c>
      <c r="E11614" t="s">
        <v>10787</v>
      </c>
      <c r="F11614" t="s">
        <v>10788</v>
      </c>
      <c r="G11614">
        <v>119</v>
      </c>
      <c r="H11614">
        <v>129.36000000000001</v>
      </c>
      <c r="I11614">
        <v>129.35</v>
      </c>
      <c r="J11614">
        <v>0.01</v>
      </c>
    </row>
    <row r="11615" spans="1:10" x14ac:dyDescent="0.3">
      <c r="A11615" t="str">
        <f>HYPERLINK("https://us2.cloudbeds.com/connect/10074733072513#/reservations/31719242731730?display=MX8K5YJ7P&amp;reservation_id=31719242731730", "MX8K5YJ7P")</f>
        <v>MX8K5YJ7P</v>
      </c>
      <c r="B11615" t="s">
        <v>10</v>
      </c>
      <c r="C11615" t="s">
        <v>42</v>
      </c>
      <c r="D11615" t="str">
        <f>HYPERLINK("https://us2.cloudbeds.com/connect/10074733072513#/reservations/31719242731730?display=Bonnie%20Builden&amp;reservation_id=31719242731730&amp;guest_id=31719238484152", "Bonnie Builden")</f>
        <v>Bonnie Builden</v>
      </c>
      <c r="E11615" t="s">
        <v>10787</v>
      </c>
      <c r="F11615" t="s">
        <v>10788</v>
      </c>
      <c r="G11615">
        <v>119</v>
      </c>
      <c r="H11615">
        <v>129.36000000000001</v>
      </c>
      <c r="I11615">
        <v>129.35</v>
      </c>
      <c r="J11615">
        <v>0.01</v>
      </c>
    </row>
    <row r="11616" spans="1:10" x14ac:dyDescent="0.3">
      <c r="A11616" t="str">
        <f>HYPERLINK("https://us2.cloudbeds.com/connect/10074733072513#/reservations/31724377493717?display=MXCJCDTRR&amp;reservation_id=31724377493717", "MXCJCDTRR")</f>
        <v>MXCJCDTRR</v>
      </c>
      <c r="B11616" t="s">
        <v>10</v>
      </c>
      <c r="C11616" t="s">
        <v>11</v>
      </c>
      <c r="D11616" t="str">
        <f>HYPERLINK("https://us2.cloudbeds.com/connect/10074733072513#/reservations/31724377493717?display=Paula%20Weeldreyer&amp;reservation_id=31724377493717&amp;guest_id=31724377489632", "Paula Weeldreyer")</f>
        <v>Paula Weeldreyer</v>
      </c>
      <c r="E11616" t="s">
        <v>10789</v>
      </c>
      <c r="F11616" t="s">
        <v>10790</v>
      </c>
      <c r="G11616">
        <v>119</v>
      </c>
      <c r="H11616">
        <v>129.36000000000001</v>
      </c>
      <c r="I11616">
        <v>129.35</v>
      </c>
      <c r="J11616">
        <v>0.01</v>
      </c>
    </row>
    <row r="11617" spans="1:10" x14ac:dyDescent="0.3">
      <c r="A11617" t="str">
        <f>HYPERLINK("https://us2.cloudbeds.com/connect/10074733072513#/reservations/31727054876835?display=MXEYQ216K&amp;reservation_id=31727054876835", "MXEYQ216K")</f>
        <v>MXEYQ216K</v>
      </c>
      <c r="B11617" t="s">
        <v>10</v>
      </c>
      <c r="C11617" t="s">
        <v>20</v>
      </c>
      <c r="D11617" t="str">
        <f>HYPERLINK("https://us2.cloudbeds.com/connect/10074733072513#/reservations/31727054876835?display=Mark%20Stevens&amp;reservation_id=31727054876835&amp;guest_id=31727054876812", "Mark Stevens")</f>
        <v>Mark Stevens</v>
      </c>
      <c r="E11617" t="s">
        <v>10794</v>
      </c>
      <c r="F11617" t="s">
        <v>10555</v>
      </c>
      <c r="G11617">
        <v>149</v>
      </c>
      <c r="H11617">
        <v>161.97</v>
      </c>
      <c r="I11617">
        <v>161.96</v>
      </c>
      <c r="J11617">
        <v>0.01</v>
      </c>
    </row>
    <row r="11618" spans="1:10" x14ac:dyDescent="0.3">
      <c r="A11618" t="str">
        <f>HYPERLINK("https://us2.cloudbeds.com/connect/10074733072513#/reservations/31724639006891?display=MXCQ1UTGG&amp;reservation_id=31724639006891", "MXCQ1UTGG")</f>
        <v>MXCQ1UTGG</v>
      </c>
      <c r="B11618" t="s">
        <v>10</v>
      </c>
      <c r="C11618" t="s">
        <v>17</v>
      </c>
      <c r="D11618" t="str">
        <f>HYPERLINK("https://us2.cloudbeds.com/connect/10074733072513#/reservations/31724639006891?display=Deanna%20Kildea&amp;reservation_id=31724639006891&amp;guest_id=31724639006886", "Deanna Kildea")</f>
        <v>Deanna Kildea</v>
      </c>
      <c r="E11618" t="s">
        <v>10795</v>
      </c>
      <c r="F11618" t="s">
        <v>10476</v>
      </c>
      <c r="G11618">
        <v>298</v>
      </c>
      <c r="H11618">
        <v>323.94</v>
      </c>
      <c r="I11618">
        <v>323.93</v>
      </c>
      <c r="J11618">
        <v>0.01</v>
      </c>
    </row>
    <row r="11619" spans="1:10" x14ac:dyDescent="0.3">
      <c r="A11619" t="str">
        <f>HYPERLINK("https://us2.cloudbeds.com/connect/10074733072513#/reservations/31726891937937?display=MXEHKM0N8&amp;reservation_id=31726891937937", "MXEHKM0N8")</f>
        <v>MXEHKM0N8</v>
      </c>
      <c r="B11619" t="s">
        <v>10</v>
      </c>
      <c r="C11619" t="s">
        <v>42</v>
      </c>
      <c r="D11619" t="str">
        <f>HYPERLINK("https://us2.cloudbeds.com/connect/10074733072513#/reservations/31726891937937?display=Angie%20Dietrich&amp;reservation_id=31726891937937&amp;guest_id=30660613800105", "Angie Dietrich")</f>
        <v>Angie Dietrich</v>
      </c>
      <c r="E11619" t="s">
        <v>10796</v>
      </c>
      <c r="F11619" t="s">
        <v>7649</v>
      </c>
      <c r="G11619">
        <v>467</v>
      </c>
      <c r="H11619">
        <v>507.64</v>
      </c>
      <c r="I11619">
        <v>507.63</v>
      </c>
      <c r="J11619">
        <v>0.01</v>
      </c>
    </row>
    <row r="11620" spans="1:10" x14ac:dyDescent="0.3">
      <c r="A11620" t="str">
        <f>HYPERLINK("https://us2.cloudbeds.com/connect/10074733072513#/reservations/31726582735013?display=MXE9NUWQM&amp;reservation_id=31726582735013", "MXE9NUWQM")</f>
        <v>MXE9NUWQM</v>
      </c>
      <c r="B11620" t="s">
        <v>10</v>
      </c>
      <c r="C11620" t="s">
        <v>11</v>
      </c>
      <c r="D11620" t="str">
        <f>HYPERLINK("https://us2.cloudbeds.com/connect/10074733072513#/reservations/31726582735013?display=Jonathan%20Nelson&amp;reservation_id=31726582735013&amp;guest_id=31726582735008", "Jonathan Nelson")</f>
        <v>Jonathan Nelson</v>
      </c>
      <c r="E11620" t="s">
        <v>10797</v>
      </c>
      <c r="F11620" t="s">
        <v>10792</v>
      </c>
      <c r="G11620">
        <v>102.58</v>
      </c>
      <c r="H11620">
        <v>111.51</v>
      </c>
      <c r="I11620">
        <v>111.5</v>
      </c>
      <c r="J11620">
        <v>0.01</v>
      </c>
    </row>
    <row r="11621" spans="1:10" x14ac:dyDescent="0.3">
      <c r="A11621" t="str">
        <f>HYPERLINK("https://us2.cloudbeds.com/connect/10074733072513#/reservations/31724649844938?display=MXCQB2FQ5&amp;reservation_id=31724649844938", "MXCQB2FQ5")</f>
        <v>MXCQB2FQ5</v>
      </c>
      <c r="B11621" t="s">
        <v>10</v>
      </c>
      <c r="C11621" t="s">
        <v>17</v>
      </c>
      <c r="D11621" t="str">
        <f>HYPERLINK("https://us2.cloudbeds.com/connect/10074733072513#/reservations/31724649844938?display=Joel%20Sauter&amp;reservation_id=31724649844938&amp;guest_id=31724649844933", "Joel Sauter")</f>
        <v>Joel Sauter</v>
      </c>
      <c r="E11621" t="s">
        <v>10799</v>
      </c>
      <c r="F11621" t="s">
        <v>10476</v>
      </c>
      <c r="G11621">
        <v>298</v>
      </c>
      <c r="H11621">
        <v>323.94</v>
      </c>
      <c r="I11621">
        <v>323.93</v>
      </c>
      <c r="J11621">
        <v>0.01</v>
      </c>
    </row>
    <row r="11622" spans="1:10" x14ac:dyDescent="0.3">
      <c r="A11622" t="str">
        <f>HYPERLINK("https://us2.cloudbeds.com/connect/10074733072513#/reservations/31724628955345?display=MXCPQF6E6&amp;reservation_id=31724628955345", "MXCPQF6E6")</f>
        <v>MXCPQF6E6</v>
      </c>
      <c r="B11622" t="s">
        <v>10</v>
      </c>
      <c r="C11622" t="s">
        <v>17</v>
      </c>
      <c r="D11622" t="str">
        <f>HYPERLINK("https://us2.cloudbeds.com/connect/10074733072513#/reservations/31724628955345?display=Shannon%20Edwards&amp;reservation_id=31724628955345&amp;guest_id=31724628955335", "Shannon Edwards")</f>
        <v>Shannon Edwards</v>
      </c>
      <c r="E11622" t="s">
        <v>10800</v>
      </c>
      <c r="F11622" t="s">
        <v>10476</v>
      </c>
      <c r="G11622">
        <v>298</v>
      </c>
      <c r="H11622">
        <v>323.94</v>
      </c>
      <c r="I11622">
        <v>323.93</v>
      </c>
      <c r="J11622">
        <v>0.01</v>
      </c>
    </row>
    <row r="11623" spans="1:10" x14ac:dyDescent="0.3">
      <c r="A11623" t="str">
        <f>HYPERLINK("https://us2.cloudbeds.com/connect/10074733072513#/reservations/31728586842357?display=MXFRUS7P8&amp;reservation_id=31728586842357", "MXFRUS7P8")</f>
        <v>MXFRUS7P8</v>
      </c>
      <c r="B11623" t="s">
        <v>10</v>
      </c>
      <c r="C11623" t="s">
        <v>42</v>
      </c>
      <c r="D11623" t="str">
        <f>HYPERLINK("https://us2.cloudbeds.com/connect/10074733072513#/reservations/31728586842357?display=Barbara%20Lewis&amp;reservation_id=31728586842357&amp;guest_id=31728586842341", "Barbara Lewis")</f>
        <v>Barbara Lewis</v>
      </c>
      <c r="E11623" t="s">
        <v>10801</v>
      </c>
      <c r="F11623" t="s">
        <v>7649</v>
      </c>
      <c r="G11623">
        <v>179</v>
      </c>
      <c r="H11623">
        <v>194.58</v>
      </c>
      <c r="I11623">
        <v>194.57</v>
      </c>
      <c r="J11623">
        <v>0.01</v>
      </c>
    </row>
    <row r="11624" spans="1:10" x14ac:dyDescent="0.3">
      <c r="A11624" t="str">
        <f>HYPERLINK("https://us2.cloudbeds.com/connect/10074733072513#/reservations/31727816376492?display=MXF885T8P&amp;reservation_id=31727816376492", "MXF885T8P")</f>
        <v>MXF885T8P</v>
      </c>
      <c r="B11624" t="s">
        <v>10</v>
      </c>
      <c r="C11624" t="s">
        <v>20</v>
      </c>
      <c r="D11624" t="str">
        <f>HYPERLINK("https://us2.cloudbeds.com/connect/10074733072513#/reservations/31727816376492?display=Dwight%20Kvigne&amp;reservation_id=31727816376492&amp;guest_id=31727816376477", "Dwight Kvigne")</f>
        <v>Dwight Kvigne</v>
      </c>
      <c r="E11624" t="s">
        <v>10802</v>
      </c>
      <c r="F11624" t="s">
        <v>10411</v>
      </c>
      <c r="G11624">
        <v>149</v>
      </c>
      <c r="H11624">
        <v>161.97</v>
      </c>
      <c r="I11624">
        <v>161.96</v>
      </c>
      <c r="J11624">
        <v>0.01</v>
      </c>
    </row>
    <row r="11625" spans="1:10" x14ac:dyDescent="0.3">
      <c r="A11625" t="str">
        <f>HYPERLINK("https://us2.cloudbeds.com/connect/10074733072513#/reservations/31728656912578?display=MXFTNV1D9&amp;reservation_id=31728656912578", "MXFTNV1D9")</f>
        <v>MXFTNV1D9</v>
      </c>
      <c r="B11625" t="s">
        <v>10</v>
      </c>
      <c r="C11625" t="s">
        <v>23</v>
      </c>
      <c r="D11625" t="str">
        <f>HYPERLINK("https://us2.cloudbeds.com/connect/10074733072513#/reservations/31728656912578?display=Jerry%20Brus&amp;reservation_id=31728656912578&amp;guest_id=31728651608226", "Jerry Brus")</f>
        <v>Jerry Brus</v>
      </c>
      <c r="E11625" t="s">
        <v>10804</v>
      </c>
      <c r="F11625" t="s">
        <v>10501</v>
      </c>
      <c r="G11625">
        <v>179</v>
      </c>
      <c r="H11625">
        <v>194.58</v>
      </c>
      <c r="I11625">
        <v>194.57</v>
      </c>
      <c r="J11625">
        <v>0.01</v>
      </c>
    </row>
    <row r="11626" spans="1:10" x14ac:dyDescent="0.3">
      <c r="A11626" t="str">
        <f>HYPERLINK("https://us2.cloudbeds.com/connect/10074733072513#/reservations/31726968389793?display=MXEJJ4DE5&amp;reservation_id=31726968389793", "MXEJJ4DE5")</f>
        <v>MXEJJ4DE5</v>
      </c>
      <c r="B11626" t="s">
        <v>10</v>
      </c>
      <c r="C11626" t="s">
        <v>17</v>
      </c>
      <c r="D11626" t="str">
        <f>HYPERLINK("https://us2.cloudbeds.com/connect/10074733072513#/reservations/31726968389793?display=Kevin%20Wolf&amp;reservation_id=31726968389793&amp;guest_id=31726961348741", "Kevin Wolf")</f>
        <v>Kevin Wolf</v>
      </c>
      <c r="E11626" t="s">
        <v>10806</v>
      </c>
      <c r="F11626" t="s">
        <v>10780</v>
      </c>
      <c r="G11626">
        <v>496</v>
      </c>
      <c r="H11626">
        <v>539.16</v>
      </c>
      <c r="I11626">
        <v>539.15</v>
      </c>
      <c r="J11626">
        <v>0.01</v>
      </c>
    </row>
    <row r="11627" spans="1:10" x14ac:dyDescent="0.3">
      <c r="A11627" t="str">
        <f>HYPERLINK("https://us2.cloudbeds.com/connect/10074733072513#/reservations/31714352087196?display=MX4R6Z688&amp;reservation_id=31714352087196", "MX4R6Z688")</f>
        <v>MX4R6Z688</v>
      </c>
      <c r="B11627" t="s">
        <v>10</v>
      </c>
      <c r="C11627" t="s">
        <v>42</v>
      </c>
      <c r="D11627" t="str">
        <f>HYPERLINK("https://us2.cloudbeds.com/connect/10074733072513#/reservations/31714352087196?display=Katie%20Kasendorf&amp;reservation_id=31714352087196&amp;guest_id=31714352087191", "Katie Kasendorf")</f>
        <v>Katie Kasendorf</v>
      </c>
      <c r="E11627" t="s">
        <v>10809</v>
      </c>
      <c r="F11627" t="s">
        <v>10750</v>
      </c>
      <c r="G11627">
        <v>159</v>
      </c>
      <c r="H11627">
        <v>172.84</v>
      </c>
      <c r="I11627">
        <v>172.83</v>
      </c>
      <c r="J11627">
        <v>0.01</v>
      </c>
    </row>
    <row r="11628" spans="1:10" x14ac:dyDescent="0.3">
      <c r="A11628" t="str">
        <f>HYPERLINK("https://us2.cloudbeds.com/connect/10074733072513#/reservations/31728614232195?display=MXFSKVD4B&amp;reservation_id=31728614232195", "MXFSKVD4B")</f>
        <v>MXFSKVD4B</v>
      </c>
      <c r="B11628" t="s">
        <v>10</v>
      </c>
      <c r="C11628" t="s">
        <v>42</v>
      </c>
      <c r="D11628" t="str">
        <f>HYPERLINK("https://us2.cloudbeds.com/connect/10074733072513#/reservations/31728614232195?display=Dennis%20Nelson&amp;reservation_id=31728614232195&amp;guest_id=31728601845992", "Dennis Nelson")</f>
        <v>Dennis Nelson</v>
      </c>
      <c r="E11628" t="s">
        <v>10810</v>
      </c>
      <c r="F11628" t="s">
        <v>7649</v>
      </c>
      <c r="G11628">
        <v>179</v>
      </c>
      <c r="H11628">
        <v>194.58</v>
      </c>
      <c r="I11628">
        <v>194.57</v>
      </c>
      <c r="J11628">
        <v>0.01</v>
      </c>
    </row>
    <row r="11629" spans="1:10" x14ac:dyDescent="0.3">
      <c r="A11629" t="str">
        <f>HYPERLINK("https://us2.cloudbeds.com/connect/10074733072513#/reservations/31722394046617?display=MXB1MUXY9&amp;reservation_id=31722394046617", "MXB1MUXY9")</f>
        <v>MXB1MUXY9</v>
      </c>
      <c r="B11629" t="s">
        <v>10</v>
      </c>
      <c r="C11629" t="s">
        <v>23</v>
      </c>
      <c r="D11629" t="str">
        <f>HYPERLINK("https://us2.cloudbeds.com/connect/10074733072513#/reservations/31722394046617?display=Cody%20Wheatley&amp;reservation_id=31722394046617&amp;guest_id=31722385531080", "Cody Wheatley")</f>
        <v>Cody Wheatley</v>
      </c>
      <c r="E11629" t="s">
        <v>6846</v>
      </c>
      <c r="F11629" t="s">
        <v>7649</v>
      </c>
      <c r="G11629">
        <v>209</v>
      </c>
      <c r="H11629">
        <v>227.19</v>
      </c>
      <c r="I11629">
        <v>227.18</v>
      </c>
      <c r="J11629">
        <v>0.01</v>
      </c>
    </row>
    <row r="11630" spans="1:10" x14ac:dyDescent="0.3">
      <c r="A11630" t="str">
        <f>HYPERLINK("https://us2.cloudbeds.com/connect/10074733072513#/reservations/31727238410449?display=MXEQFR499&amp;reservation_id=31727238410449", "MXEQFR499")</f>
        <v>MXEQFR499</v>
      </c>
      <c r="B11630" t="s">
        <v>10</v>
      </c>
      <c r="C11630" t="s">
        <v>42</v>
      </c>
      <c r="D11630" t="str">
        <f>HYPERLINK("https://us2.cloudbeds.com/connect/10074733072513#/reservations/31727238410449?display=Bill%20Samuelson&amp;reservation_id=31727238410449&amp;guest_id=31684738982101", "Bill Samuelson")</f>
        <v>Bill Samuelson</v>
      </c>
      <c r="E11630" t="s">
        <v>8048</v>
      </c>
      <c r="F11630" t="s">
        <v>10813</v>
      </c>
      <c r="G11630">
        <v>252</v>
      </c>
      <c r="H11630">
        <v>273.93</v>
      </c>
      <c r="I11630">
        <v>273.92</v>
      </c>
      <c r="J11630">
        <v>0.01</v>
      </c>
    </row>
    <row r="11631" spans="1:10" x14ac:dyDescent="0.3">
      <c r="A11631" t="str">
        <f>HYPERLINK("https://us2.cloudbeds.com/connect/10074733072513#/reservations/31724339658884?display=MXCXDH33P&amp;reservation_id=31724339658884", "MXCXDH33P")</f>
        <v>MXCXDH33P</v>
      </c>
      <c r="B11631" t="s">
        <v>10</v>
      </c>
      <c r="C11631" t="s">
        <v>23</v>
      </c>
      <c r="D11631" t="str">
        <f>HYPERLINK("https://us2.cloudbeds.com/connect/10074733072513#/reservations/31724339658884?display=Brendyn%20Nordyke&amp;reservation_id=31724339658884&amp;guest_id=31724332568810", "Brendyn Nordyke")</f>
        <v>Brendyn Nordyke</v>
      </c>
      <c r="E11631" t="s">
        <v>10816</v>
      </c>
      <c r="F11631" t="s">
        <v>10790</v>
      </c>
      <c r="G11631">
        <v>119</v>
      </c>
      <c r="H11631">
        <v>129.36000000000001</v>
      </c>
      <c r="I11631">
        <v>129.35</v>
      </c>
      <c r="J11631">
        <v>0.01</v>
      </c>
    </row>
    <row r="11632" spans="1:10" x14ac:dyDescent="0.3">
      <c r="A11632" t="str">
        <f>HYPERLINK("https://us2.cloudbeds.com/connect/10074733072513#/reservations/31719251194035?display=MX8KCQ1V8&amp;reservation_id=31719251194035", "MX8KCQ1V8")</f>
        <v>MX8KCQ1V8</v>
      </c>
      <c r="B11632" t="s">
        <v>10</v>
      </c>
      <c r="C11632" t="s">
        <v>11</v>
      </c>
      <c r="D11632" t="str">
        <f>HYPERLINK("https://us2.cloudbeds.com/connect/10074733072513#/reservations/31719251194035?display=Dashown%20Wilson&amp;reservation_id=31719251194035&amp;guest_id=31719242735820", "Dashown Wilson")</f>
        <v>Dashown Wilson</v>
      </c>
      <c r="E11632" t="s">
        <v>10817</v>
      </c>
      <c r="F11632" t="s">
        <v>10788</v>
      </c>
      <c r="G11632">
        <v>119</v>
      </c>
      <c r="H11632">
        <v>129.36000000000001</v>
      </c>
      <c r="I11632">
        <v>129.35</v>
      </c>
      <c r="J11632">
        <v>0.01</v>
      </c>
    </row>
    <row r="11633" spans="1:10" x14ac:dyDescent="0.3">
      <c r="A11633" t="str">
        <f>HYPERLINK("https://us2.cloudbeds.com/connect/10074733072513#/reservations/31724396531916?display=MXCJSFM3W&amp;reservation_id=31724396531916", "MXCJSFM3W")</f>
        <v>MXCJSFM3W</v>
      </c>
      <c r="B11633" t="s">
        <v>10</v>
      </c>
      <c r="C11633" t="s">
        <v>42</v>
      </c>
      <c r="D11633" t="str">
        <f>HYPERLINK("https://us2.cloudbeds.com/connect/10074733072513#/reservations/31724396531916?display=Pat%20Mcnaughton&amp;reservation_id=31724396531916&amp;guest_id=31724372877533", "Pat Mcnaughton")</f>
        <v>Pat Mcnaughton</v>
      </c>
      <c r="E11633" t="s">
        <v>10818</v>
      </c>
      <c r="F11633" t="s">
        <v>10790</v>
      </c>
      <c r="G11633">
        <v>119</v>
      </c>
      <c r="H11633">
        <v>129.36000000000001</v>
      </c>
      <c r="I11633">
        <v>129.35</v>
      </c>
      <c r="J11633">
        <v>0.01</v>
      </c>
    </row>
    <row r="11634" spans="1:10" x14ac:dyDescent="0.3">
      <c r="A11634" t="str">
        <f>HYPERLINK("https://us2.cloudbeds.com/connect/10074733072513#/reservations/31722345033953?display=MXB0EJNK0&amp;reservation_id=31722345033953", "MXB0EJNK0")</f>
        <v>MXB0EJNK0</v>
      </c>
      <c r="B11634" t="s">
        <v>10</v>
      </c>
      <c r="C11634" t="s">
        <v>121</v>
      </c>
      <c r="D11634" t="str">
        <f>HYPERLINK("https://us2.cloudbeds.com/connect/10074733072513#/reservations/31722345033953?display=Logan%20Cowan&amp;reservation_id=31722345033953&amp;guest_id=31722329100434", "Logan Cowan")</f>
        <v>Logan Cowan</v>
      </c>
      <c r="E11634" t="s">
        <v>10819</v>
      </c>
      <c r="F11634" t="s">
        <v>7649</v>
      </c>
      <c r="G11634">
        <v>189</v>
      </c>
      <c r="H11634">
        <v>205.45</v>
      </c>
      <c r="I11634">
        <v>205.44</v>
      </c>
      <c r="J11634">
        <v>0.01</v>
      </c>
    </row>
    <row r="11635" spans="1:10" x14ac:dyDescent="0.3">
      <c r="A11635" t="str">
        <f>HYPERLINK("https://us2.cloudbeds.com/connect/10074733072513#/reservations/31720524554412?display=MX9JUH67B&amp;reservation_id=31720524554412", "MX9JUH67B")</f>
        <v>MX9JUH67B</v>
      </c>
      <c r="B11635" t="s">
        <v>10</v>
      </c>
      <c r="C11635" t="s">
        <v>42</v>
      </c>
      <c r="D11635" t="str">
        <f>HYPERLINK("https://us2.cloudbeds.com/connect/10074733072513#/reservations/31720524554412?display=Karin%20Walmer&amp;reservation_id=31720524554412&amp;guest_id=31720513806543", "Karin Walmer")</f>
        <v>Karin Walmer</v>
      </c>
      <c r="E11635" t="s">
        <v>10820</v>
      </c>
      <c r="F11635" t="s">
        <v>10821</v>
      </c>
      <c r="G11635">
        <v>298</v>
      </c>
      <c r="H11635">
        <v>323.94</v>
      </c>
      <c r="I11635">
        <v>323.93</v>
      </c>
      <c r="J11635">
        <v>0.01</v>
      </c>
    </row>
    <row r="11636" spans="1:10" x14ac:dyDescent="0.3">
      <c r="A11636" t="str">
        <f>HYPERLINK("https://us2.cloudbeds.com/connect/10074733072513#/reservations/31726304280786?display=MXE2K4JKQ&amp;reservation_id=31726304280786", "MXE2K4JKQ")</f>
        <v>MXE2K4JKQ</v>
      </c>
      <c r="B11636" t="s">
        <v>10</v>
      </c>
      <c r="C11636" t="s">
        <v>42</v>
      </c>
      <c r="D11636" t="str">
        <f>HYPERLINK("https://us2.cloudbeds.com/connect/10074733072513#/reservations/31726304280786?display=Julie%20Docter&amp;reservation_id=31726304280786&amp;guest_id=31726304280781", "Julie Docter")</f>
        <v>Julie Docter</v>
      </c>
      <c r="E11636" t="s">
        <v>10822</v>
      </c>
      <c r="F11636" t="s">
        <v>10423</v>
      </c>
      <c r="G11636">
        <v>278</v>
      </c>
      <c r="H11636">
        <v>302.2</v>
      </c>
      <c r="I11636">
        <v>302.19</v>
      </c>
      <c r="J11636">
        <v>0.01</v>
      </c>
    </row>
    <row r="11637" spans="1:10" x14ac:dyDescent="0.3">
      <c r="A11637" t="str">
        <f>HYPERLINK("https://us2.cloudbeds.com/connect/10074733072513#/reservations/31727301120213?display=MXES2N405&amp;reservation_id=31727301120213", "MXES2N405")</f>
        <v>MXES2N405</v>
      </c>
      <c r="B11637" t="s">
        <v>10</v>
      </c>
      <c r="C11637" t="s">
        <v>11</v>
      </c>
      <c r="D11637" t="str">
        <f>HYPERLINK("https://us2.cloudbeds.com/connect/10074733072513#/reservations/31727301120213?display=Nick%20Marchese&amp;reservation_id=31727301120213&amp;guest_id=31727289110779", "Nick Marchese")</f>
        <v>Nick Marchese</v>
      </c>
      <c r="E11637" t="s">
        <v>10823</v>
      </c>
      <c r="F11637" t="s">
        <v>10815</v>
      </c>
      <c r="G11637">
        <v>87.82</v>
      </c>
      <c r="H11637">
        <v>95.47</v>
      </c>
      <c r="I11637">
        <v>95.46</v>
      </c>
      <c r="J11637">
        <v>0.01</v>
      </c>
    </row>
    <row r="11638" spans="1:10" x14ac:dyDescent="0.3">
      <c r="A11638" t="str">
        <f>HYPERLINK("https://us2.cloudbeds.com/connect/10074733072513#/reservations/31727311745193?display=MXESBYPY8&amp;reservation_id=31727311745193", "MXESBYPY8")</f>
        <v>MXESBYPY8</v>
      </c>
      <c r="B11638" t="s">
        <v>10</v>
      </c>
      <c r="C11638" t="s">
        <v>121</v>
      </c>
      <c r="D11638" t="str">
        <f>HYPERLINK("https://us2.cloudbeds.com/connect/10074733072513#/reservations/31727311745193?display=Hosie%20Ahzed&amp;reservation_id=31727311745193&amp;guest_id=31727301124304", "Hosie Ahzed")</f>
        <v>Hosie Ahzed</v>
      </c>
      <c r="E11638" t="s">
        <v>10824</v>
      </c>
      <c r="F11638" t="s">
        <v>10815</v>
      </c>
      <c r="G11638">
        <v>119</v>
      </c>
      <c r="H11638">
        <v>129.36000000000001</v>
      </c>
      <c r="I11638">
        <v>129.35</v>
      </c>
      <c r="J11638">
        <v>0.01</v>
      </c>
    </row>
    <row r="11639" spans="1:10" x14ac:dyDescent="0.3">
      <c r="A11639" t="str">
        <f>HYPERLINK("https://us2.cloudbeds.com/connect/10074733072513#/reservations/31724265148602?display=MXCGGMZ9E&amp;reservation_id=31724265148602", "MXCGGMZ9E")</f>
        <v>MXCGGMZ9E</v>
      </c>
      <c r="B11639" t="s">
        <v>10</v>
      </c>
      <c r="C11639" t="s">
        <v>42</v>
      </c>
      <c r="D11639" t="str">
        <f>HYPERLINK("https://us2.cloudbeds.com/connect/10074733072513#/reservations/31724265148602?display=Jayme%20Stienblock&amp;reservation_id=31724265148602&amp;guest_id=31724265148600", "Jayme Stienblock")</f>
        <v>Jayme Stienblock</v>
      </c>
      <c r="E11639" t="s">
        <v>10825</v>
      </c>
      <c r="F11639" t="s">
        <v>10423</v>
      </c>
      <c r="G11639">
        <v>89</v>
      </c>
      <c r="H11639">
        <v>96.75</v>
      </c>
      <c r="I11639">
        <v>96.74</v>
      </c>
      <c r="J11639">
        <v>0.01</v>
      </c>
    </row>
    <row r="11640" spans="1:10" x14ac:dyDescent="0.3">
      <c r="A11640" t="str">
        <f>HYPERLINK("https://us2.cloudbeds.com/connect/10074733072513#/reservations/31716751577271?display=MX6MH1HZN&amp;reservation_id=31716751577271", "MX6MH1HZN")</f>
        <v>MX6MH1HZN</v>
      </c>
      <c r="B11640" t="s">
        <v>10</v>
      </c>
      <c r="C11640" t="s">
        <v>42</v>
      </c>
      <c r="D11640" t="str">
        <f>HYPERLINK("https://us2.cloudbeds.com/connect/10074733072513#/reservations/31716751577271?display=Mr%20&amp;%20Mrs%20Diggs%20.&amp;reservation_id=31716751577271&amp;guest_id=31716751577268", "Mr &amp; Mrs Diggs .")</f>
        <v>Mr &amp; Mrs Diggs .</v>
      </c>
      <c r="E11640" t="s">
        <v>10826</v>
      </c>
      <c r="F11640" t="s">
        <v>10827</v>
      </c>
      <c r="G11640">
        <v>159</v>
      </c>
      <c r="H11640">
        <v>172.84</v>
      </c>
      <c r="I11640">
        <v>172.83</v>
      </c>
      <c r="J11640">
        <v>0.01</v>
      </c>
    </row>
    <row r="11641" spans="1:10" x14ac:dyDescent="0.3">
      <c r="A11641" t="str">
        <f>HYPERLINK("https://us2.cloudbeds.com/connect/10074733072513#/reservations/31725297811665?display=MXD9TF3XH&amp;reservation_id=31725297811665", "MXD9TF3XH")</f>
        <v>MXD9TF3XH</v>
      </c>
      <c r="B11641" t="s">
        <v>10</v>
      </c>
      <c r="C11641" t="s">
        <v>42</v>
      </c>
      <c r="D11641" t="str">
        <f>HYPERLINK("https://us2.cloudbeds.com/connect/10074733072513#/reservations/31725297811665?display=Nick%20Sherman&amp;reservation_id=31725297811665&amp;guest_id=31723967779048", "Nick Sherman")</f>
        <v>Nick Sherman</v>
      </c>
      <c r="E11641" t="s">
        <v>9425</v>
      </c>
      <c r="F11641" t="s">
        <v>10665</v>
      </c>
      <c r="G11641">
        <v>336</v>
      </c>
      <c r="H11641">
        <v>365.24</v>
      </c>
      <c r="I11641">
        <v>365.23</v>
      </c>
      <c r="J11641">
        <v>0.01</v>
      </c>
    </row>
    <row r="11642" spans="1:10" x14ac:dyDescent="0.3">
      <c r="A11642" t="str">
        <f>HYPERLINK("https://us2.cloudbeds.com/connect/10074733072513#/reservations/31724513280216?display=MXCMRUC08&amp;reservation_id=31724513280216", "MXCMRUC08")</f>
        <v>MXCMRUC08</v>
      </c>
      <c r="B11642" t="s">
        <v>10</v>
      </c>
      <c r="C11642" t="s">
        <v>42</v>
      </c>
      <c r="D11642" t="str">
        <f>HYPERLINK("https://us2.cloudbeds.com/connect/10074733072513#/reservations/31724513280216?display=Jeremy%20Williamson&amp;reservation_id=31724513280216&amp;guest_id=31724513280211", "Jeremy Williamson")</f>
        <v>Jeremy Williamson</v>
      </c>
      <c r="E11642" t="s">
        <v>10828</v>
      </c>
      <c r="F11642" t="s">
        <v>8429</v>
      </c>
      <c r="G11642">
        <v>178</v>
      </c>
      <c r="H11642">
        <v>193.5</v>
      </c>
      <c r="I11642">
        <v>193.49</v>
      </c>
      <c r="J11642">
        <v>0.01</v>
      </c>
    </row>
    <row r="11643" spans="1:10" x14ac:dyDescent="0.3">
      <c r="A11643" t="str">
        <f>HYPERLINK("https://us2.cloudbeds.com/connect/10074733072513#/reservations/31724507021561?display=MXCMMY6S1&amp;reservation_id=31724507021561", "MXCMMY6S1")</f>
        <v>MXCMMY6S1</v>
      </c>
      <c r="B11643" t="s">
        <v>10</v>
      </c>
      <c r="C11643" t="s">
        <v>17</v>
      </c>
      <c r="D11643" t="str">
        <f>HYPERLINK("https://us2.cloudbeds.com/connect/10074733072513#/reservations/31724507021561?display=Denise%20Sunderland&amp;reservation_id=31724507021561&amp;guest_id=31724507021548", "Denise Sunderland")</f>
        <v>Denise Sunderland</v>
      </c>
      <c r="E11643" t="s">
        <v>10829</v>
      </c>
      <c r="F11643" t="s">
        <v>10476</v>
      </c>
      <c r="G11643">
        <v>258</v>
      </c>
      <c r="H11643">
        <v>280.45999999999998</v>
      </c>
      <c r="I11643">
        <v>280.45</v>
      </c>
      <c r="J11643">
        <v>0.01</v>
      </c>
    </row>
    <row r="11644" spans="1:10" x14ac:dyDescent="0.3">
      <c r="A11644" t="str">
        <f>HYPERLINK("https://us2.cloudbeds.com/connect/10074733072513#/reservations/31726297637020?display=MXE2EHNRX&amp;reservation_id=31726297637020", "MXE2EHNRX")</f>
        <v>MXE2EHNRX</v>
      </c>
      <c r="B11644" t="s">
        <v>10</v>
      </c>
      <c r="C11644" t="s">
        <v>42</v>
      </c>
      <c r="D11644" t="str">
        <f>HYPERLINK("https://us2.cloudbeds.com/connect/10074733072513#/reservations/31726297637020?display=Nick%20Sherman&amp;reservation_id=31726297637020&amp;guest_id=31723967779048", "Nick Sherman")</f>
        <v>Nick Sherman</v>
      </c>
      <c r="E11644" t="s">
        <v>9425</v>
      </c>
      <c r="F11644" t="s">
        <v>10423</v>
      </c>
      <c r="G11644">
        <v>420</v>
      </c>
      <c r="H11644">
        <v>456.55</v>
      </c>
      <c r="I11644">
        <v>456.54</v>
      </c>
      <c r="J11644">
        <v>0.01</v>
      </c>
    </row>
    <row r="11645" spans="1:10" x14ac:dyDescent="0.3">
      <c r="A11645" t="str">
        <f>HYPERLINK("https://us2.cloudbeds.com/connect/10074733072513#/reservations/31724752756880?display=MXCSVS53S&amp;reservation_id=31724752756880", "MXCSVS53S")</f>
        <v>MXCSVS53S</v>
      </c>
      <c r="B11645" t="s">
        <v>10</v>
      </c>
      <c r="C11645" t="s">
        <v>23</v>
      </c>
      <c r="D11645" t="str">
        <f>HYPERLINK("https://us2.cloudbeds.com/connect/10074733072513#/reservations/31724752756880?display=Stephen%20Raymon%20Distasio&amp;reservation_id=31724752756880&amp;guest_id=31724752756875", "Stephen Raymon Distasio")</f>
        <v>Stephen Raymon Distasio</v>
      </c>
      <c r="E11645" t="s">
        <v>10830</v>
      </c>
      <c r="F11645" t="s">
        <v>10678</v>
      </c>
      <c r="G11645">
        <v>437</v>
      </c>
      <c r="H11645">
        <v>475.03</v>
      </c>
      <c r="I11645">
        <v>475.02</v>
      </c>
      <c r="J11645">
        <v>0.01</v>
      </c>
    </row>
    <row r="11646" spans="1:10" x14ac:dyDescent="0.3">
      <c r="A11646" t="str">
        <f>HYPERLINK("https://us2.cloudbeds.com/connect/10074733072513#/reservations/31724590960795?display=MXCZRDV16&amp;reservation_id=31724590960795", "MXCZRDV16")</f>
        <v>MXCZRDV16</v>
      </c>
      <c r="B11646" t="s">
        <v>10</v>
      </c>
      <c r="C11646" t="s">
        <v>23</v>
      </c>
      <c r="D11646" t="str">
        <f>HYPERLINK("https://us2.cloudbeds.com/connect/10074733072513#/reservations/31724590960795?display=Mitchell%20Jorgensen&amp;reservation_id=31724590960795&amp;guest_id=31724590960793", "Mitchell Jorgensen")</f>
        <v>Mitchell Jorgensen</v>
      </c>
      <c r="E11646" t="s">
        <v>10831</v>
      </c>
      <c r="F11646" t="s">
        <v>10815</v>
      </c>
      <c r="G11646">
        <v>119</v>
      </c>
      <c r="H11646">
        <v>129.36000000000001</v>
      </c>
      <c r="I11646">
        <v>129.35</v>
      </c>
      <c r="J11646">
        <v>0.01</v>
      </c>
    </row>
    <row r="11647" spans="1:10" x14ac:dyDescent="0.3">
      <c r="A11647" t="str">
        <f>HYPERLINK("https://us2.cloudbeds.com/connect/10074733072513#/reservations/31729124872324?display=MXG8MHNGY&amp;reservation_id=31729124872324", "MXG8MHNGY")</f>
        <v>MXG8MHNGY</v>
      </c>
      <c r="B11647" t="s">
        <v>10</v>
      </c>
      <c r="C11647" t="s">
        <v>11</v>
      </c>
      <c r="D11647" t="str">
        <f>HYPERLINK("https://us2.cloudbeds.com/connect/10074733072513#/reservations/31729124872324?display=Kristina%20Kollmorgen&amp;reservation_id=31729124872324&amp;guest_id=31729115295927", "Kristina Kollmorgen")</f>
        <v>Kristina Kollmorgen</v>
      </c>
      <c r="E11647" t="s">
        <v>10834</v>
      </c>
      <c r="F11647" t="s">
        <v>10790</v>
      </c>
      <c r="G11647">
        <v>87.82</v>
      </c>
      <c r="H11647">
        <v>95.47</v>
      </c>
      <c r="I11647">
        <v>95.46</v>
      </c>
      <c r="J11647">
        <v>0.01</v>
      </c>
    </row>
    <row r="11648" spans="1:10" x14ac:dyDescent="0.3">
      <c r="A11648" t="str">
        <f>HYPERLINK("https://us2.cloudbeds.com/connect/10074733072513#/reservations/31724717793408?display=MXCRSPYVB&amp;reservation_id=31724717793408", "MXCRSPYVB")</f>
        <v>MXCRSPYVB</v>
      </c>
      <c r="B11648" t="s">
        <v>10</v>
      </c>
      <c r="C11648" t="s">
        <v>23</v>
      </c>
      <c r="D11648" t="str">
        <f>HYPERLINK("https://us2.cloudbeds.com/connect/10074733072513#/reservations/31724717793408?display=Megan%20Ru%20Fernaldhedaria&amp;reservation_id=31724717793408&amp;guest_id=31724709974240", "Megan Ru Fernaldhedaria")</f>
        <v>Megan Ru Fernaldhedaria</v>
      </c>
      <c r="E11648" t="s">
        <v>10836</v>
      </c>
      <c r="F11648" t="s">
        <v>10678</v>
      </c>
      <c r="G11648">
        <v>496</v>
      </c>
      <c r="H11648">
        <v>539.16</v>
      </c>
      <c r="I11648">
        <v>539.15</v>
      </c>
      <c r="J11648">
        <v>0.01</v>
      </c>
    </row>
    <row r="11649" spans="1:10" x14ac:dyDescent="0.3">
      <c r="A11649" t="str">
        <f>HYPERLINK("https://us2.cloudbeds.com/connect/10074733072513#/reservations/31724683403474?display=MXCR6C9NG&amp;reservation_id=31724683403474", "MXCR6C9NG")</f>
        <v>MXCR6C9NG</v>
      </c>
      <c r="B11649" t="s">
        <v>10</v>
      </c>
      <c r="C11649" t="s">
        <v>23</v>
      </c>
      <c r="D11649" t="str">
        <f>HYPERLINK("https://us2.cloudbeds.com/connect/10074733072513#/reservations/31724683403474?display=Teri%20Schaefer&amp;reservation_id=31724683403474&amp;guest_id=31724683399387", "Teri Schaefer")</f>
        <v>Teri Schaefer</v>
      </c>
      <c r="E11649" t="s">
        <v>10837</v>
      </c>
      <c r="F11649" t="s">
        <v>10026</v>
      </c>
      <c r="G11649">
        <v>169</v>
      </c>
      <c r="H11649">
        <v>183.71</v>
      </c>
      <c r="I11649">
        <v>183.7</v>
      </c>
      <c r="J11649">
        <v>0.01</v>
      </c>
    </row>
    <row r="11650" spans="1:10" x14ac:dyDescent="0.3">
      <c r="A11650" t="str">
        <f>HYPERLINK("https://us2.cloudbeds.com/connect/10074733072513#/reservations/31724567675087?display=MXCNWQBX8&amp;reservation_id=31724567675087", "MXCNWQBX8")</f>
        <v>MXCNWQBX8</v>
      </c>
      <c r="B11650" t="s">
        <v>10</v>
      </c>
      <c r="C11650" t="s">
        <v>42</v>
      </c>
      <c r="D11650" t="str">
        <f>HYPERLINK("https://us2.cloudbeds.com/connect/10074733072513#/reservations/31724567675087?display=Payden%20Peterson&amp;reservation_id=31724567675087&amp;guest_id=31724558200966", "Payden Peterson")</f>
        <v>Payden Peterson</v>
      </c>
      <c r="E11650" t="s">
        <v>10838</v>
      </c>
      <c r="F11650" t="s">
        <v>8429</v>
      </c>
      <c r="G11650">
        <v>119</v>
      </c>
      <c r="H11650">
        <v>129.36000000000001</v>
      </c>
      <c r="I11650">
        <v>129.35</v>
      </c>
      <c r="J11650">
        <v>0.01</v>
      </c>
    </row>
    <row r="11651" spans="1:10" x14ac:dyDescent="0.3">
      <c r="A11651" t="str">
        <f>HYPERLINK("https://us2.cloudbeds.com/connect/10074733072513#/reservations/31724322660500?display=MXCHW62V7&amp;reservation_id=31724322660500", "MXCHW62V7")</f>
        <v>MXCHW62V7</v>
      </c>
      <c r="B11651" t="s">
        <v>10</v>
      </c>
      <c r="C11651" t="s">
        <v>121</v>
      </c>
      <c r="D11651" t="str">
        <f>HYPERLINK("https://us2.cloudbeds.com/connect/10074733072513#/reservations/31724322660500?display=Jordan%20Fitch&amp;reservation_id=31724322660500&amp;guest_id=31721915605152", "Jordan Fitch")</f>
        <v>Jordan Fitch</v>
      </c>
      <c r="E11651" t="s">
        <v>9207</v>
      </c>
      <c r="F11651" t="s">
        <v>10815</v>
      </c>
      <c r="G11651">
        <v>119</v>
      </c>
      <c r="H11651">
        <v>129.36000000000001</v>
      </c>
      <c r="I11651">
        <v>129.35</v>
      </c>
      <c r="J11651">
        <v>0.01</v>
      </c>
    </row>
    <row r="11652" spans="1:10" x14ac:dyDescent="0.3">
      <c r="A11652" t="str">
        <f>HYPERLINK("https://us2.cloudbeds.com/connect/10074733072513#/reservations/31719220818055?display=MX8JK5QG0&amp;reservation_id=31719220818055", "MX8JK5QG0")</f>
        <v>MX8JK5QG0</v>
      </c>
      <c r="B11652" t="s">
        <v>10</v>
      </c>
      <c r="C11652" t="s">
        <v>42</v>
      </c>
      <c r="D11652" t="str">
        <f>HYPERLINK("https://us2.cloudbeds.com/connect/10074733072513#/reservations/31719220818055?display=Joseph%20Lemke&amp;reservation_id=31719220818055&amp;guest_id=31719220813962", "Joseph Lemke")</f>
        <v>Joseph Lemke</v>
      </c>
      <c r="E11652" t="s">
        <v>10839</v>
      </c>
      <c r="F11652" t="s">
        <v>10788</v>
      </c>
      <c r="G11652">
        <v>238</v>
      </c>
      <c r="H11652">
        <v>258.72000000000003</v>
      </c>
      <c r="I11652">
        <v>258.70999999999998</v>
      </c>
      <c r="J11652">
        <v>0.01</v>
      </c>
    </row>
    <row r="11653" spans="1:10" x14ac:dyDescent="0.3">
      <c r="A11653" t="str">
        <f>HYPERLINK("https://us2.cloudbeds.com/connect/10074733072513#/reservations/31719256019150?display=MX8KGSANS&amp;reservation_id=31719256019150", "MX8KGSANS")</f>
        <v>MX8KGSANS</v>
      </c>
      <c r="B11653" t="s">
        <v>10</v>
      </c>
      <c r="C11653" t="s">
        <v>14</v>
      </c>
      <c r="D11653" t="str">
        <f>HYPERLINK("https://us2.cloudbeds.com/connect/10074733072513#/reservations/31719256019150?display=Dylan%20Reid&amp;reservation_id=31719256019150&amp;guest_id=31719256019146", "Dylan Reid")</f>
        <v>Dylan Reid</v>
      </c>
      <c r="E11653" t="s">
        <v>10840</v>
      </c>
      <c r="F11653" t="s">
        <v>10788</v>
      </c>
      <c r="G11653">
        <v>87.82</v>
      </c>
      <c r="H11653">
        <v>95.47</v>
      </c>
      <c r="I11653">
        <v>95.46</v>
      </c>
      <c r="J11653">
        <v>0.01</v>
      </c>
    </row>
    <row r="11654" spans="1:10" x14ac:dyDescent="0.3">
      <c r="A11654" t="str">
        <f>HYPERLINK("https://us2.cloudbeds.com/connect/10074733072513#/reservations/31719264571629?display=MX8KZ2A7T&amp;reservation_id=31719264571629", "MX8KZ2A7T")</f>
        <v>MX8KZ2A7T</v>
      </c>
      <c r="B11654" t="s">
        <v>10</v>
      </c>
      <c r="C11654" t="s">
        <v>42</v>
      </c>
      <c r="D11654" t="str">
        <f>HYPERLINK("https://us2.cloudbeds.com/connect/10074733072513#/reservations/31719264571629?display=Trent%20Herman&amp;reservation_id=31719264571629&amp;guest_id=31719264571624", "Trent Herman")</f>
        <v>Trent Herman</v>
      </c>
      <c r="E11654" t="s">
        <v>10841</v>
      </c>
      <c r="F11654" t="s">
        <v>10788</v>
      </c>
      <c r="G11654">
        <v>89</v>
      </c>
      <c r="H11654">
        <v>96.75</v>
      </c>
      <c r="I11654">
        <v>96.74</v>
      </c>
      <c r="J11654">
        <v>0.01</v>
      </c>
    </row>
    <row r="11655" spans="1:10" x14ac:dyDescent="0.3">
      <c r="A11655" t="str">
        <f>HYPERLINK("https://us2.cloudbeds.com/connect/10074733072513#/reservations/31727063728291?display=MXEM0HB8X&amp;reservation_id=31727063728291", "MXEM0HB8X")</f>
        <v>MXEM0HB8X</v>
      </c>
      <c r="B11655" t="s">
        <v>10</v>
      </c>
      <c r="C11655" t="s">
        <v>11</v>
      </c>
      <c r="D11655" t="str">
        <f>HYPERLINK("https://us2.cloudbeds.com/connect/10074733072513#/reservations/31727063728291?display=Heather%20Fitch&amp;reservation_id=31727063728291&amp;guest_id=31727063728286", "Heather Fitch")</f>
        <v>Heather Fitch</v>
      </c>
      <c r="E11655" t="s">
        <v>10842</v>
      </c>
      <c r="F11655" t="s">
        <v>10026</v>
      </c>
      <c r="G11655">
        <v>159</v>
      </c>
      <c r="H11655">
        <v>172.84</v>
      </c>
      <c r="I11655">
        <v>172.83</v>
      </c>
      <c r="J11655">
        <v>0.01</v>
      </c>
    </row>
    <row r="11656" spans="1:10" x14ac:dyDescent="0.3">
      <c r="A11656" t="str">
        <f>HYPERLINK("https://us2.cloudbeds.com/connect/10074733072513#/reservations/31724590956701?display=MXCZRDR94&amp;reservation_id=31724590956701", "MXCZRDR94")</f>
        <v>MXCZRDR94</v>
      </c>
      <c r="B11656" t="s">
        <v>10</v>
      </c>
      <c r="C11656" t="s">
        <v>121</v>
      </c>
      <c r="D11656" t="str">
        <f>HYPERLINK("https://us2.cloudbeds.com/connect/10074733072513#/reservations/31724590956701?display=Moses%20Ikiugu&amp;reservation_id=31724590956701&amp;guest_id=31724590956699", "Moses Ikiugu")</f>
        <v>Moses Ikiugu</v>
      </c>
      <c r="E11656" t="s">
        <v>10843</v>
      </c>
      <c r="F11656" t="s">
        <v>8429</v>
      </c>
      <c r="G11656">
        <v>99</v>
      </c>
      <c r="H11656">
        <v>107.62</v>
      </c>
      <c r="I11656">
        <v>107.61</v>
      </c>
      <c r="J11656">
        <v>0.01</v>
      </c>
    </row>
    <row r="11657" spans="1:10" x14ac:dyDescent="0.3">
      <c r="A11657" t="str">
        <f>HYPERLINK("https://us2.cloudbeds.com/connect/10074733072513#/reservations/31719273197698?display=MX8KVBBAU&amp;reservation_id=31719273197698", "MX8KVBBAU")</f>
        <v>MX8KVBBAU</v>
      </c>
      <c r="B11657" t="s">
        <v>10</v>
      </c>
      <c r="C11657" t="s">
        <v>14</v>
      </c>
      <c r="D11657" t="str">
        <f>HYPERLINK("https://us2.cloudbeds.com/connect/10074733072513#/reservations/31719273197698?display=Melissa%20Carlson&amp;reservation_id=31719273197698&amp;guest_id=31719273193603", "Melissa Carlson")</f>
        <v>Melissa Carlson</v>
      </c>
      <c r="E11657" t="s">
        <v>10846</v>
      </c>
      <c r="F11657" t="s">
        <v>10788</v>
      </c>
      <c r="G11657">
        <v>87.82</v>
      </c>
      <c r="H11657">
        <v>95.47</v>
      </c>
      <c r="I11657">
        <v>95.46</v>
      </c>
      <c r="J11657">
        <v>0.01</v>
      </c>
    </row>
    <row r="11658" spans="1:10" x14ac:dyDescent="0.3">
      <c r="A11658" t="str">
        <f>HYPERLINK("https://us2.cloudbeds.com/connect/10074733072513#/reservations/31725551386768?display=MXDGC96TX&amp;reservation_id=31725551386768", "MXDGC96TX")</f>
        <v>MXDGC96TX</v>
      </c>
      <c r="B11658" t="s">
        <v>10</v>
      </c>
      <c r="C11658" t="s">
        <v>23</v>
      </c>
      <c r="D11658" t="str">
        <f>HYPERLINK("https://us2.cloudbeds.com/connect/10074733072513#/reservations/31725551386768?display=Bill%20Pedersen&amp;reservation_id=31725551386768&amp;guest_id=30681311965342", "Bill Pedersen")</f>
        <v>Bill Pedersen</v>
      </c>
      <c r="E11658" t="s">
        <v>4430</v>
      </c>
      <c r="F11658" t="s">
        <v>10288</v>
      </c>
      <c r="G11658">
        <v>298</v>
      </c>
      <c r="H11658">
        <v>323.94</v>
      </c>
      <c r="I11658">
        <v>323.93</v>
      </c>
      <c r="J11658">
        <v>0.01</v>
      </c>
    </row>
    <row r="11659" spans="1:10" x14ac:dyDescent="0.3">
      <c r="A11659" t="str">
        <f>HYPERLINK("https://us2.cloudbeds.com/connect/10074733072513#/reservations/31726779478270?display=MXEEZRYVX&amp;reservation_id=31726779478270", "MXEEZRYVX")</f>
        <v>MXEEZRYVX</v>
      </c>
      <c r="B11659" t="s">
        <v>10</v>
      </c>
      <c r="C11659" t="s">
        <v>17</v>
      </c>
      <c r="D11659" t="str">
        <f>HYPERLINK("https://us2.cloudbeds.com/connect/10074733072513#/reservations/31726779478270?display=Larry%20Rexroth&amp;reservation_id=31726779478270&amp;guest_id=31726779478208", "Larry Rexroth")</f>
        <v>Larry Rexroth</v>
      </c>
      <c r="E11659" t="s">
        <v>10847</v>
      </c>
      <c r="F11659" t="s">
        <v>10288</v>
      </c>
      <c r="G11659">
        <v>139</v>
      </c>
      <c r="H11659">
        <v>151.1</v>
      </c>
      <c r="I11659">
        <v>151.09</v>
      </c>
      <c r="J11659">
        <v>0.01</v>
      </c>
    </row>
    <row r="11660" spans="1:10" x14ac:dyDescent="0.3">
      <c r="A11660" t="str">
        <f>HYPERLINK("https://us2.cloudbeds.com/connect/10074733072513#/reservations/31724627746954?display=MXCPPEXQ9&amp;reservation_id=31724627746954", "MXCPPEXQ9")</f>
        <v>MXCPPEXQ9</v>
      </c>
      <c r="B11660" t="s">
        <v>10</v>
      </c>
      <c r="C11660" t="s">
        <v>17</v>
      </c>
      <c r="D11660" t="str">
        <f>HYPERLINK("https://us2.cloudbeds.com/connect/10074733072513#/reservations/31724627746954?display=Jessica%20Allen&amp;reservation_id=31724627746954&amp;guest_id=31724627746949", "Jessica Allen")</f>
        <v>Jessica Allen</v>
      </c>
      <c r="E11660" t="s">
        <v>10849</v>
      </c>
      <c r="F11660" t="s">
        <v>10850</v>
      </c>
      <c r="G11660">
        <v>119</v>
      </c>
      <c r="H11660">
        <v>129.36000000000001</v>
      </c>
      <c r="I11660">
        <v>129.35</v>
      </c>
      <c r="J11660">
        <v>0.01</v>
      </c>
    </row>
    <row r="11661" spans="1:10" x14ac:dyDescent="0.3">
      <c r="A11661" t="str">
        <f>HYPERLINK("https://us2.cloudbeds.com/connect/10074733072513#/reservations/31722642219215?display=MXB816B01&amp;reservation_id=31722642219215", "MXB816B01")</f>
        <v>MXB816B01</v>
      </c>
      <c r="B11661" t="s">
        <v>10</v>
      </c>
      <c r="C11661" t="s">
        <v>23</v>
      </c>
      <c r="D11661" t="str">
        <f>HYPERLINK("https://us2.cloudbeds.com/connect/10074733072513#/reservations/31722642219215?display=Cathy%20Wiebers&amp;reservation_id=31722642219215&amp;guest_id=31713664278711", "Cathy Wiebers")</f>
        <v>Cathy Wiebers</v>
      </c>
      <c r="E11661" t="s">
        <v>7824</v>
      </c>
      <c r="F11661" t="s">
        <v>7925</v>
      </c>
      <c r="G11661">
        <v>159</v>
      </c>
      <c r="H11661">
        <v>172.84</v>
      </c>
      <c r="I11661">
        <v>172.83</v>
      </c>
      <c r="J11661">
        <v>0.01</v>
      </c>
    </row>
    <row r="11662" spans="1:10" x14ac:dyDescent="0.3">
      <c r="A11662" t="str">
        <f>HYPERLINK("https://us2.cloudbeds.com/connect/10074733072513#/reservations/31725635801248?display=MXDXHF5G3&amp;reservation_id=31725635801248", "MXDXHF5G3")</f>
        <v>MXDXHF5G3</v>
      </c>
      <c r="B11662" t="s">
        <v>10</v>
      </c>
      <c r="C11662" t="s">
        <v>121</v>
      </c>
      <c r="D11662" t="str">
        <f>HYPERLINK("https://us2.cloudbeds.com/connect/10074733072513#/reservations/31725635801248?display=Della%20Foolish&amp;reservation_id=31725635801248&amp;guest_id=31725635797155", "Della Foolish")</f>
        <v>Della Foolish</v>
      </c>
      <c r="E11662" t="s">
        <v>10851</v>
      </c>
      <c r="F11662" t="s">
        <v>10788</v>
      </c>
      <c r="G11662">
        <v>119</v>
      </c>
      <c r="H11662">
        <v>129.36000000000001</v>
      </c>
      <c r="I11662">
        <v>129.35</v>
      </c>
      <c r="J11662">
        <v>0.01</v>
      </c>
    </row>
    <row r="11663" spans="1:10" x14ac:dyDescent="0.3">
      <c r="A11663" t="str">
        <f>HYPERLINK("https://us2.cloudbeds.com/connect/10074733072513#/reservations/31726029340802?display=MXDSJ9WG4&amp;reservation_id=31726029340802", "MXDSJ9WG4")</f>
        <v>MXDSJ9WG4</v>
      </c>
      <c r="B11663" t="s">
        <v>10</v>
      </c>
      <c r="C11663" t="s">
        <v>23</v>
      </c>
      <c r="D11663" t="str">
        <f>HYPERLINK("https://us2.cloudbeds.com/connect/10074733072513#/reservations/31726029340802?display=Perley%20Clawson&amp;reservation_id=31726029340802&amp;guest_id=31726022402274", "Perley Clawson")</f>
        <v>Perley Clawson</v>
      </c>
      <c r="E11663" t="s">
        <v>10852</v>
      </c>
      <c r="F11663" t="s">
        <v>10421</v>
      </c>
      <c r="G11663">
        <v>119</v>
      </c>
      <c r="H11663">
        <v>129.36000000000001</v>
      </c>
      <c r="I11663">
        <v>129.35</v>
      </c>
      <c r="J11663">
        <v>0.01</v>
      </c>
    </row>
    <row r="11664" spans="1:10" x14ac:dyDescent="0.3">
      <c r="A11664" t="str">
        <f>HYPERLINK("https://us2.cloudbeds.com/connect/10074733072513#/reservations/31722595434630?display=MXB6RZC6U&amp;reservation_id=31722595434630", "MXB6RZC6U")</f>
        <v>MXB6RZC6U</v>
      </c>
      <c r="B11664" t="s">
        <v>10</v>
      </c>
      <c r="C11664" t="s">
        <v>42</v>
      </c>
      <c r="D11664" t="str">
        <f>HYPERLINK("https://us2.cloudbeds.com/connect/10074733072513#/reservations/31722595434630?display=Christina%20Bosse&amp;reservation_id=31722595434630&amp;guest_id=31722586931392", "Christina Bosse")</f>
        <v>Christina Bosse</v>
      </c>
      <c r="E11664" t="s">
        <v>10854</v>
      </c>
      <c r="F11664" t="s">
        <v>10615</v>
      </c>
      <c r="G11664">
        <v>282</v>
      </c>
      <c r="H11664">
        <v>306.54000000000002</v>
      </c>
      <c r="I11664">
        <v>306.52999999999997</v>
      </c>
      <c r="J11664">
        <v>0.01</v>
      </c>
    </row>
    <row r="11665" spans="1:10" x14ac:dyDescent="0.3">
      <c r="A11665" t="str">
        <f>HYPERLINK("https://us2.cloudbeds.com/connect/10074733072513#/reservations/31725997973733?display=MXDRPS4UT&amp;reservation_id=31725997973733", "MXDRPS4UT")</f>
        <v>MXDRPS4UT</v>
      </c>
      <c r="B11665" t="s">
        <v>10</v>
      </c>
      <c r="C11665" t="s">
        <v>121</v>
      </c>
      <c r="D11665" t="str">
        <f>HYPERLINK("https://us2.cloudbeds.com/connect/10074733072513#/reservations/31725997973733?display=Michael%20Riley&amp;reservation_id=31725997973733&amp;guest_id=30683492307113", "Michael Riley")</f>
        <v>Michael Riley</v>
      </c>
      <c r="E11665" t="s">
        <v>4193</v>
      </c>
      <c r="F11665" t="s">
        <v>10421</v>
      </c>
      <c r="G11665">
        <v>119</v>
      </c>
      <c r="H11665">
        <v>129.36000000000001</v>
      </c>
      <c r="I11665">
        <v>129.35</v>
      </c>
      <c r="J11665">
        <v>0.01</v>
      </c>
    </row>
    <row r="11666" spans="1:10" x14ac:dyDescent="0.3">
      <c r="A11666" t="str">
        <f>HYPERLINK("https://us2.cloudbeds.com/connect/10074733072513#/reservations/31725409194121?display=MXDCZCG4E&amp;reservation_id=31725409194121", "MXDCZCG4E")</f>
        <v>MXDCZCG4E</v>
      </c>
      <c r="B11666" t="s">
        <v>10</v>
      </c>
      <c r="C11666" t="s">
        <v>23</v>
      </c>
      <c r="D11666" t="str">
        <f>HYPERLINK("https://us2.cloudbeds.com/connect/10074733072513#/reservations/31725409194121?display=Edna%20Sobania&amp;reservation_id=31725409194121&amp;guest_id=31725409194117", "Edna Sobania")</f>
        <v>Edna Sobania</v>
      </c>
      <c r="E11666" t="s">
        <v>3830</v>
      </c>
      <c r="F11666" t="s">
        <v>9259</v>
      </c>
      <c r="G11666">
        <v>119</v>
      </c>
      <c r="H11666">
        <v>129.36000000000001</v>
      </c>
      <c r="I11666">
        <v>129.35</v>
      </c>
      <c r="J11666">
        <v>0.01</v>
      </c>
    </row>
    <row r="11667" spans="1:10" x14ac:dyDescent="0.3">
      <c r="A11667" t="str">
        <f>HYPERLINK("https://us2.cloudbeds.com/connect/10074733072513#/reservations/31725165654269?display=MXD6H0KTV&amp;reservation_id=31725165654269", "MXD6H0KTV")</f>
        <v>MXD6H0KTV</v>
      </c>
      <c r="B11667" t="s">
        <v>10</v>
      </c>
      <c r="C11667" t="s">
        <v>42</v>
      </c>
      <c r="D11667" t="str">
        <f>HYPERLINK("https://us2.cloudbeds.com/connect/10074733072513#/reservations/31725165654269?display=Brock%20Smith&amp;reservation_id=31725165654269&amp;guest_id=31725157200027", "Brock Smith")</f>
        <v>Brock Smith</v>
      </c>
      <c r="E11667" t="s">
        <v>10855</v>
      </c>
      <c r="F11667" t="s">
        <v>9931</v>
      </c>
      <c r="G11667">
        <v>89</v>
      </c>
      <c r="H11667">
        <v>96.75</v>
      </c>
      <c r="I11667">
        <v>96.74</v>
      </c>
      <c r="J11667">
        <v>0.01</v>
      </c>
    </row>
    <row r="11668" spans="1:10" x14ac:dyDescent="0.3">
      <c r="A11668" t="str">
        <f>HYPERLINK("https://us2.cloudbeds.com/connect/10074733072513#/reservations/31724610281718?display=MXCPANXUN&amp;reservation_id=31724610281718", "MXCPANXUN")</f>
        <v>MXCPANXUN</v>
      </c>
      <c r="B11668" t="s">
        <v>10</v>
      </c>
      <c r="C11668" t="s">
        <v>42</v>
      </c>
      <c r="D11668" t="str">
        <f>HYPERLINK("https://us2.cloudbeds.com/connect/10074733072513#/reservations/31724610281718?display=Kari%20Bartling&amp;reservation_id=31724610281718&amp;guest_id=31686868721794", "Kari Bartling")</f>
        <v>Kari Bartling</v>
      </c>
      <c r="E11668" t="s">
        <v>7585</v>
      </c>
      <c r="F11668" t="s">
        <v>10856</v>
      </c>
      <c r="G11668">
        <v>428.4</v>
      </c>
      <c r="H11668">
        <v>465.68</v>
      </c>
      <c r="I11668">
        <v>465.67</v>
      </c>
      <c r="J11668">
        <v>0.01</v>
      </c>
    </row>
    <row r="11669" spans="1:10" x14ac:dyDescent="0.3">
      <c r="A11669" t="str">
        <f>HYPERLINK("https://us2.cloudbeds.com/connect/10074733072513#/reservations/31724649996542?display=MXCQB6N07&amp;reservation_id=31724649996542", "MXCQB6N07")</f>
        <v>MXCQB6N07</v>
      </c>
      <c r="B11669" t="s">
        <v>10</v>
      </c>
      <c r="C11669" t="s">
        <v>42</v>
      </c>
      <c r="D11669" t="str">
        <f>HYPERLINK("https://us2.cloudbeds.com/connect/10074733072513#/reservations/31724649996542?display=Chad%20Hauck&amp;reservation_id=31724649996542&amp;guest_id=17963360571554", "Chad Hauck")</f>
        <v>Chad Hauck</v>
      </c>
      <c r="E11669" t="s">
        <v>9431</v>
      </c>
      <c r="F11669" t="s">
        <v>10850</v>
      </c>
      <c r="G11669">
        <v>73</v>
      </c>
      <c r="H11669">
        <v>79.36</v>
      </c>
      <c r="I11669">
        <v>79.349999999999994</v>
      </c>
      <c r="J11669">
        <v>0.01</v>
      </c>
    </row>
    <row r="11670" spans="1:10" x14ac:dyDescent="0.3">
      <c r="A11670" t="str">
        <f>HYPERLINK("https://us2.cloudbeds.com/connect/10074733072513#/reservations/31724258492578?display=MXCGB2H7Z&amp;reservation_id=31724258492578", "MXCGB2H7Z")</f>
        <v>MXCGB2H7Z</v>
      </c>
      <c r="B11670" t="s">
        <v>10</v>
      </c>
      <c r="C11670" t="s">
        <v>42</v>
      </c>
      <c r="D11670" t="str">
        <f>HYPERLINK("https://us2.cloudbeds.com/connect/10074733072513#/reservations/31724258492578?display=Jermy%20Phillips&amp;reservation_id=31724258492578&amp;guest_id=31724258492576", "Jermy Phillips")</f>
        <v>Jermy Phillips</v>
      </c>
      <c r="E11670" t="s">
        <v>10857</v>
      </c>
      <c r="F11670" t="s">
        <v>10423</v>
      </c>
      <c r="G11670">
        <v>189</v>
      </c>
      <c r="H11670">
        <v>205.45</v>
      </c>
      <c r="I11670">
        <v>205.44</v>
      </c>
      <c r="J11670">
        <v>0.01</v>
      </c>
    </row>
    <row r="11671" spans="1:10" x14ac:dyDescent="0.3">
      <c r="A11671" t="str">
        <f>HYPERLINK("https://us2.cloudbeds.com/connect/10074733072513#/reservations/31726370218138?display=MXE49ZD5C&amp;reservation_id=31726370218138", "MXE49ZD5C")</f>
        <v>MXE49ZD5C</v>
      </c>
      <c r="B11671" t="s">
        <v>10</v>
      </c>
      <c r="C11671" t="s">
        <v>42</v>
      </c>
      <c r="D11671" t="str">
        <f>HYPERLINK("https://us2.cloudbeds.com/connect/10074733072513#/reservations/31726370218138?display=Greg%20Schaefer&amp;reservation_id=31726370218138&amp;guest_id=31721207238875", "Greg Schaefer")</f>
        <v>Greg Schaefer</v>
      </c>
      <c r="E11671" t="s">
        <v>10097</v>
      </c>
      <c r="F11671" t="s">
        <v>10423</v>
      </c>
      <c r="G11671">
        <v>189</v>
      </c>
      <c r="H11671">
        <v>205.45</v>
      </c>
      <c r="I11671">
        <v>205.44</v>
      </c>
      <c r="J11671">
        <v>0.01</v>
      </c>
    </row>
    <row r="11672" spans="1:10" x14ac:dyDescent="0.3">
      <c r="A11672" t="str">
        <f>HYPERLINK("https://us2.cloudbeds.com/connect/10074733072513#/reservations/31726388109556?display=MXE4ZR8CX&amp;reservation_id=31726388109556", "MXE4ZR8CX")</f>
        <v>MXE4ZR8CX</v>
      </c>
      <c r="B11672" t="s">
        <v>10</v>
      </c>
      <c r="C11672" t="s">
        <v>42</v>
      </c>
      <c r="D11672" t="str">
        <f>HYPERLINK("https://us2.cloudbeds.com/connect/10074733072513#/reservations/31726388109556?display=Samsun%20O'Kane&amp;reservation_id=31726388109556&amp;guest_id=31726370222231", "Samsun O'Kane")</f>
        <v>Samsun O'Kane</v>
      </c>
      <c r="E11672" t="s">
        <v>10858</v>
      </c>
      <c r="F11672" t="s">
        <v>10423</v>
      </c>
      <c r="G11672">
        <v>159</v>
      </c>
      <c r="H11672">
        <v>172.84</v>
      </c>
      <c r="I11672">
        <v>172.83</v>
      </c>
      <c r="J11672">
        <v>0.01</v>
      </c>
    </row>
    <row r="11673" spans="1:10" x14ac:dyDescent="0.3">
      <c r="A11673" t="str">
        <f>HYPERLINK("https://us2.cloudbeds.com/connect/10074733072513#/reservations/31724817498349?display=MXCUKEMGX&amp;reservation_id=31724817498349", "MXCUKEMGX")</f>
        <v>MXCUKEMGX</v>
      </c>
      <c r="B11673" t="s">
        <v>10</v>
      </c>
      <c r="C11673" t="s">
        <v>42</v>
      </c>
      <c r="D11673" t="str">
        <f>HYPERLINK("https://us2.cloudbeds.com/connect/10074733072513#/reservations/31724817498349?display=Amy%20Williams&amp;reservation_id=31724817498349&amp;guest_id=31724817498338", "Amy Williams")</f>
        <v>Amy Williams</v>
      </c>
      <c r="E11673" t="s">
        <v>10859</v>
      </c>
      <c r="F11673" t="s">
        <v>9467</v>
      </c>
      <c r="G11673">
        <v>536</v>
      </c>
      <c r="H11673">
        <v>582.64</v>
      </c>
      <c r="I11673">
        <v>582.63</v>
      </c>
      <c r="J11673">
        <v>0.01</v>
      </c>
    </row>
    <row r="11674" spans="1:10" x14ac:dyDescent="0.3">
      <c r="A11674" t="str">
        <f>HYPERLINK("https://us2.cloudbeds.com/connect/10074733072513#/reservations/31726594547898?display=MXEA0TN8T&amp;reservation_id=31726594547898", "MXEA0TN8T")</f>
        <v>MXEA0TN8T</v>
      </c>
      <c r="B11674" t="s">
        <v>10</v>
      </c>
      <c r="C11674" t="s">
        <v>11</v>
      </c>
      <c r="D11674" t="str">
        <f>HYPERLINK("https://us2.cloudbeds.com/connect/10074733072513#/reservations/31726594547898?display=Jon%20Nelson&amp;reservation_id=31726594547898&amp;guest_id=31726594547882", "Jon Nelson")</f>
        <v>Jon Nelson</v>
      </c>
      <c r="E11674" t="s">
        <v>10860</v>
      </c>
      <c r="F11674" t="s">
        <v>10792</v>
      </c>
      <c r="G11674">
        <v>102.58</v>
      </c>
      <c r="H11674">
        <v>111.51</v>
      </c>
      <c r="I11674">
        <v>111.5</v>
      </c>
      <c r="J11674">
        <v>0.01</v>
      </c>
    </row>
    <row r="11675" spans="1:10" x14ac:dyDescent="0.3">
      <c r="A11675" t="str">
        <f>HYPERLINK("https://us2.cloudbeds.com/connect/10074733072513#/reservations/31713986560140?display=MX4HSGSCQ&amp;reservation_id=31713986560140", "MX4HSGSCQ")</f>
        <v>MX4HSGSCQ</v>
      </c>
      <c r="B11675" t="s">
        <v>10</v>
      </c>
      <c r="C11675" t="s">
        <v>42</v>
      </c>
      <c r="D11675" t="str">
        <f>HYPERLINK("https://us2.cloudbeds.com/connect/10074733072513#/reservations/31713986560140?display=Caden%20Pratt&amp;reservation_id=31713986560140&amp;guest_id=31713981403297", "Caden Pratt")</f>
        <v>Caden Pratt</v>
      </c>
      <c r="E11675" t="s">
        <v>10861</v>
      </c>
      <c r="F11675" t="s">
        <v>10750</v>
      </c>
      <c r="G11675">
        <v>318</v>
      </c>
      <c r="H11675">
        <v>345.68</v>
      </c>
      <c r="I11675">
        <v>345.67</v>
      </c>
      <c r="J11675">
        <v>0.01</v>
      </c>
    </row>
    <row r="11676" spans="1:10" x14ac:dyDescent="0.3">
      <c r="A11676" t="str">
        <f>HYPERLINK("https://us2.cloudbeds.com/connect/10074733072513#/reservations/31725572645044?display=MXDGU6ZQZ&amp;reservation_id=31725572645044", "MXDGU6ZQZ")</f>
        <v>MXDGU6ZQZ</v>
      </c>
      <c r="B11676" t="s">
        <v>10</v>
      </c>
      <c r="C11676" t="s">
        <v>17</v>
      </c>
      <c r="D11676" t="str">
        <f>HYPERLINK("https://us2.cloudbeds.com/connect/10074733072513#/reservations/31725572645044?display=Cecilia%20Nuno%20Lopez&amp;reservation_id=31725572645044&amp;guest_id=31725559611608", "Cecilia Nuno Lopez")</f>
        <v>Cecilia Nuno Lopez</v>
      </c>
      <c r="E11676" t="s">
        <v>10862</v>
      </c>
      <c r="F11676" t="s">
        <v>10026</v>
      </c>
      <c r="G11676">
        <v>189</v>
      </c>
      <c r="H11676">
        <v>205.45</v>
      </c>
      <c r="I11676">
        <v>205.44</v>
      </c>
      <c r="J11676">
        <v>0.01</v>
      </c>
    </row>
    <row r="11677" spans="1:10" x14ac:dyDescent="0.3">
      <c r="A11677" t="str">
        <f>HYPERLINK("https://us2.cloudbeds.com/connect/10074733072513#/reservations/31724293058814?display=MXCH77CGE&amp;reservation_id=31724293058814", "MXCH77CGE")</f>
        <v>MXCH77CGE</v>
      </c>
      <c r="B11677" t="s">
        <v>10</v>
      </c>
      <c r="C11677" t="s">
        <v>121</v>
      </c>
      <c r="D11677" t="str">
        <f>HYPERLINK("https://us2.cloudbeds.com/connect/10074733072513#/reservations/31724293058814?display=Jordan%20Barnes&amp;reservation_id=31724293058814&amp;guest_id=31724293058754", "Jordan Barnes")</f>
        <v>Jordan Barnes</v>
      </c>
      <c r="E11677" t="s">
        <v>10863</v>
      </c>
      <c r="F11677" t="s">
        <v>10423</v>
      </c>
      <c r="G11677">
        <v>159</v>
      </c>
      <c r="H11677">
        <v>172.84</v>
      </c>
      <c r="I11677">
        <v>172.83</v>
      </c>
      <c r="J11677">
        <v>0.01</v>
      </c>
    </row>
    <row r="11678" spans="1:10" x14ac:dyDescent="0.3">
      <c r="A11678" t="str">
        <f>HYPERLINK("https://us2.cloudbeds.com/connect/10074733072513#/reservations/31724623888592?display=MXCPM66P7&amp;reservation_id=31724623888592", "MXCPM66P7")</f>
        <v>MXCPM66P7</v>
      </c>
      <c r="B11678" t="s">
        <v>10</v>
      </c>
      <c r="C11678" t="s">
        <v>23</v>
      </c>
      <c r="D11678" t="str">
        <f>HYPERLINK("https://us2.cloudbeds.com/connect/10074733072513#/reservations/31724623888592?display=Vagen%20Pogosian&amp;reservation_id=31724623888592&amp;guest_id=31724610281716", "Vagen Pogosian")</f>
        <v>Vagen Pogosian</v>
      </c>
      <c r="E11678" t="s">
        <v>10864</v>
      </c>
      <c r="F11678" t="s">
        <v>10850</v>
      </c>
      <c r="G11678">
        <v>358</v>
      </c>
      <c r="H11678">
        <v>389.16</v>
      </c>
      <c r="I11678">
        <v>389.15</v>
      </c>
      <c r="J11678">
        <v>0.01</v>
      </c>
    </row>
    <row r="11679" spans="1:10" x14ac:dyDescent="0.3">
      <c r="A11679" t="str">
        <f>HYPERLINK("https://us2.cloudbeds.com/connect/10074733072513#/reservations/31728162070660?display=MXFH2MB3Y&amp;reservation_id=31728162070660", "MXFH2MB3Y")</f>
        <v>MXFH2MB3Y</v>
      </c>
      <c r="B11679" t="s">
        <v>10</v>
      </c>
      <c r="C11679" t="s">
        <v>42</v>
      </c>
      <c r="D11679" t="str">
        <f>HYPERLINK("https://us2.cloudbeds.com/connect/10074733072513#/reservations/31728162070660?display=Mark%20Steigleder&amp;reservation_id=31728162070660&amp;guest_id=31700861939846", "Mark Steigleder")</f>
        <v>Mark Steigleder</v>
      </c>
      <c r="E11679" t="s">
        <v>8106</v>
      </c>
      <c r="F11679" t="s">
        <v>10850</v>
      </c>
      <c r="G11679">
        <v>89</v>
      </c>
      <c r="H11679">
        <v>96.75</v>
      </c>
      <c r="I11679">
        <v>96.74</v>
      </c>
      <c r="J11679">
        <v>0.01</v>
      </c>
    </row>
    <row r="11680" spans="1:10" x14ac:dyDescent="0.3">
      <c r="A11680" t="str">
        <f>HYPERLINK("https://us2.cloudbeds.com/connect/10074733072513#/reservations/31722659004624?display=MXB8FBDJQ&amp;reservation_id=31722659004624", "MXB8FBDJQ")</f>
        <v>MXB8FBDJQ</v>
      </c>
      <c r="B11680" t="s">
        <v>10</v>
      </c>
      <c r="C11680" t="s">
        <v>20</v>
      </c>
      <c r="D11680" t="str">
        <f>HYPERLINK("https://us2.cloudbeds.com/connect/10074733072513#/reservations/31722659004624?display=Carla%20Mueller&amp;reservation_id=31722659004624&amp;guest_id=31722653712565", "Carla Mueller")</f>
        <v>Carla Mueller</v>
      </c>
      <c r="E11680" t="s">
        <v>10865</v>
      </c>
      <c r="F11680" t="s">
        <v>10342</v>
      </c>
      <c r="G11680">
        <v>298</v>
      </c>
      <c r="H11680">
        <v>323.94</v>
      </c>
      <c r="I11680">
        <v>323.93</v>
      </c>
      <c r="J11680">
        <v>0.01</v>
      </c>
    </row>
    <row r="11681" spans="1:10" x14ac:dyDescent="0.3">
      <c r="A11681" t="str">
        <f>HYPERLINK("https://us2.cloudbeds.com/connect/10074733072513#/reservations/31725604090016?display=MXDHNNZTM&amp;reservation_id=31725604090016", "MXDHNNZTM")</f>
        <v>MXDHNNZTM</v>
      </c>
      <c r="B11681" t="s">
        <v>10</v>
      </c>
      <c r="C11681" t="s">
        <v>20</v>
      </c>
      <c r="D11681" t="str">
        <f>HYPERLINK("https://us2.cloudbeds.com/connect/10074733072513#/reservations/31725604090016?display=Jake%20Januszewski&amp;reservation_id=31725604090016&amp;guest_id=31725604085921", "Jake Januszewski")</f>
        <v>Jake Januszewski</v>
      </c>
      <c r="E11681" t="s">
        <v>10866</v>
      </c>
      <c r="F11681" t="s">
        <v>9463</v>
      </c>
      <c r="G11681">
        <v>249</v>
      </c>
      <c r="H11681">
        <v>270.67</v>
      </c>
      <c r="I11681">
        <v>270.66000000000003</v>
      </c>
      <c r="J11681">
        <v>0.01</v>
      </c>
    </row>
    <row r="11682" spans="1:10" x14ac:dyDescent="0.3">
      <c r="A11682" t="str">
        <f>HYPERLINK("https://us2.cloudbeds.com/connect/10074733072513#/reservations/31725550604542?display=MXDGBKEJK&amp;reservation_id=31725550604542", "MXDGBKEJK")</f>
        <v>MXDGBKEJK</v>
      </c>
      <c r="B11682" t="s">
        <v>10</v>
      </c>
      <c r="C11682" t="s">
        <v>23</v>
      </c>
      <c r="D11682" t="str">
        <f>HYPERLINK("https://us2.cloudbeds.com/connect/10074733072513#/reservations/31725550604542?display=Regan%20Hardy&amp;reservation_id=31725550604542&amp;guest_id=31725550604484", "Regan Hardy")</f>
        <v>Regan Hardy</v>
      </c>
      <c r="E11682" t="s">
        <v>10867</v>
      </c>
      <c r="F11682" t="s">
        <v>10026</v>
      </c>
      <c r="G11682">
        <v>179</v>
      </c>
      <c r="H11682">
        <v>194.58</v>
      </c>
      <c r="I11682">
        <v>194.57</v>
      </c>
      <c r="J11682">
        <v>0.01</v>
      </c>
    </row>
    <row r="11683" spans="1:10" x14ac:dyDescent="0.3">
      <c r="A11683" t="str">
        <f>HYPERLINK("https://us2.cloudbeds.com/connect/10074733072513#/reservations/31728082186418?display=MXFF1AEH1&amp;reservation_id=31728082186418", "MXFF1AEH1")</f>
        <v>MXFF1AEH1</v>
      </c>
      <c r="B11683" t="s">
        <v>10</v>
      </c>
      <c r="C11683" t="s">
        <v>42</v>
      </c>
      <c r="D11683" t="str">
        <f>HYPERLINK("https://us2.cloudbeds.com/connect/10074733072513#/reservations/31728082186418?display=Terry%20Godbey&amp;reservation_id=31728082186418&amp;guest_id=31728082186369", "Terry Godbey")</f>
        <v>Terry Godbey</v>
      </c>
      <c r="E11683" t="s">
        <v>10868</v>
      </c>
      <c r="F11683" t="s">
        <v>10869</v>
      </c>
      <c r="G11683">
        <v>73</v>
      </c>
      <c r="H11683">
        <v>79.36</v>
      </c>
      <c r="I11683">
        <v>79.349999999999994</v>
      </c>
      <c r="J11683">
        <v>0.01</v>
      </c>
    </row>
    <row r="11684" spans="1:10" x14ac:dyDescent="0.3">
      <c r="A11684" t="str">
        <f>HYPERLINK("https://us2.cloudbeds.com/connect/10074733072513#/reservations/31722733875395?display=MXBACFQF1&amp;reservation_id=31722733875395", "MXBACFQF1")</f>
        <v>MXBACFQF1</v>
      </c>
      <c r="B11684" t="s">
        <v>10</v>
      </c>
      <c r="C11684" t="s">
        <v>23</v>
      </c>
      <c r="D11684" t="str">
        <f>HYPERLINK("https://us2.cloudbeds.com/connect/10074733072513#/reservations/31722733875395?display=Lindsey%20Jungers&amp;reservation_id=31722733875395&amp;guest_id=31722733871311", "Lindsey Jungers")</f>
        <v>Lindsey Jungers</v>
      </c>
      <c r="E11684" t="s">
        <v>10870</v>
      </c>
      <c r="F11684" t="s">
        <v>10768</v>
      </c>
      <c r="G11684">
        <v>169</v>
      </c>
      <c r="H11684">
        <v>183.71</v>
      </c>
      <c r="I11684">
        <v>183.7</v>
      </c>
      <c r="J11684">
        <v>0.01</v>
      </c>
    </row>
    <row r="11685" spans="1:10" x14ac:dyDescent="0.3">
      <c r="A11685" t="str">
        <f>HYPERLINK("https://us2.cloudbeds.com/connect/10074733072513#/reservations/31713870782616?display=MX4ETT5UV&amp;reservation_id=31713870782616", "MX4ETT5UV")</f>
        <v>MX4ETT5UV</v>
      </c>
      <c r="B11685" t="s">
        <v>10</v>
      </c>
      <c r="C11685" t="s">
        <v>42</v>
      </c>
      <c r="D11685" t="str">
        <f>HYPERLINK("https://us2.cloudbeds.com/connect/10074733072513#/reservations/31713870782616?display=Connolly%20Turek&amp;reservation_id=31713870782616&amp;guest_id=31713870778522", "Connolly Turek")</f>
        <v>Connolly Turek</v>
      </c>
      <c r="E11685" t="s">
        <v>10871</v>
      </c>
      <c r="F11685" t="s">
        <v>10750</v>
      </c>
      <c r="G11685">
        <v>169</v>
      </c>
      <c r="H11685">
        <v>183.71</v>
      </c>
      <c r="I11685">
        <v>183.7</v>
      </c>
      <c r="J11685">
        <v>0.01</v>
      </c>
    </row>
    <row r="11686" spans="1:10" x14ac:dyDescent="0.3">
      <c r="A11686" t="str">
        <f>HYPERLINK("https://us2.cloudbeds.com/connect/10074733072513#/reservations/31724786057463?display=MXCTQUQ5E&amp;reservation_id=31724786057463", "MXCTQUQ5E")</f>
        <v>MXCTQUQ5E</v>
      </c>
      <c r="B11686" t="s">
        <v>10</v>
      </c>
      <c r="C11686" t="s">
        <v>20</v>
      </c>
      <c r="D11686" t="str">
        <f>HYPERLINK("https://us2.cloudbeds.com/connect/10074733072513#/reservations/31724786057463?display=Gregory%20Larson&amp;reservation_id=31724786057463&amp;guest_id=31724786057461", "Gregory Larson")</f>
        <v>Gregory Larson</v>
      </c>
      <c r="E11686" t="s">
        <v>10866</v>
      </c>
      <c r="F11686" t="s">
        <v>9463</v>
      </c>
      <c r="G11686">
        <v>209</v>
      </c>
      <c r="H11686">
        <v>227.19</v>
      </c>
      <c r="I11686">
        <v>227.18</v>
      </c>
      <c r="J11686">
        <v>0.01</v>
      </c>
    </row>
    <row r="11687" spans="1:10" x14ac:dyDescent="0.3">
      <c r="A11687" t="str">
        <f>HYPERLINK("https://us2.cloudbeds.com/connect/10074733072513#/reservations/31728108753096?display=MXFFNNMWT&amp;reservation_id=31728108753096", "MXFFNNMWT")</f>
        <v>MXFFNNMWT</v>
      </c>
      <c r="B11687" t="s">
        <v>10</v>
      </c>
      <c r="C11687" t="s">
        <v>121</v>
      </c>
      <c r="D11687" t="str">
        <f>HYPERLINK("https://us2.cloudbeds.com/connect/10074733072513#/reservations/31728108753096?display=Jeffery%20Parker&amp;reservation_id=31728108753096&amp;guest_id=31728108753091", "Jeffery Parker")</f>
        <v>Jeffery Parker</v>
      </c>
      <c r="E11687" t="s">
        <v>10872</v>
      </c>
      <c r="F11687" t="s">
        <v>10869</v>
      </c>
      <c r="G11687">
        <v>119</v>
      </c>
      <c r="H11687">
        <v>129.36000000000001</v>
      </c>
      <c r="I11687">
        <v>129.35</v>
      </c>
      <c r="J11687">
        <v>0.01</v>
      </c>
    </row>
    <row r="11688" spans="1:10" x14ac:dyDescent="0.3">
      <c r="A11688" t="str">
        <f>HYPERLINK("https://us2.cloudbeds.com/connect/10074733072513#/reservations/31727307923620?display=MXES8EED0&amp;reservation_id=31727307923620", "MXES8EED0")</f>
        <v>MXES8EED0</v>
      </c>
      <c r="B11688" t="s">
        <v>10</v>
      </c>
      <c r="C11688" t="s">
        <v>23</v>
      </c>
      <c r="D11688" t="str">
        <f>HYPERLINK("https://us2.cloudbeds.com/connect/10074733072513#/reservations/31727307923620?display=Teri%20Todd&amp;reservation_id=31727307923620&amp;guest_id=31684708155593", "Teri Todd")</f>
        <v>Teri Todd</v>
      </c>
      <c r="E11688" t="s">
        <v>10873</v>
      </c>
      <c r="F11688" t="s">
        <v>10874</v>
      </c>
      <c r="G11688">
        <v>119</v>
      </c>
      <c r="H11688">
        <v>129.36000000000001</v>
      </c>
      <c r="I11688">
        <v>129.35</v>
      </c>
      <c r="J11688">
        <v>0.01</v>
      </c>
    </row>
    <row r="11689" spans="1:10" x14ac:dyDescent="0.3">
      <c r="A11689" t="str">
        <f>HYPERLINK("https://us2.cloudbeds.com/connect/10074733072513#/reservations/31728090411212?display=MXFF88A47&amp;reservation_id=31728090411212", "MXFF88A47")</f>
        <v>MXFF88A47</v>
      </c>
      <c r="B11689" t="s">
        <v>10</v>
      </c>
      <c r="C11689" t="s">
        <v>121</v>
      </c>
      <c r="D11689" t="str">
        <f>HYPERLINK("https://us2.cloudbeds.com/connect/10074733072513#/reservations/31728090411212?display=Joesph%20Petrzilka&amp;reservation_id=31728090411212&amp;guest_id=31728090407126", "Joesph Petrzilka")</f>
        <v>Joesph Petrzilka</v>
      </c>
      <c r="E11689" t="s">
        <v>10875</v>
      </c>
      <c r="F11689" t="s">
        <v>10869</v>
      </c>
      <c r="G11689">
        <v>89</v>
      </c>
      <c r="H11689">
        <v>96.75</v>
      </c>
      <c r="I11689">
        <v>96.74</v>
      </c>
      <c r="J11689">
        <v>0.01</v>
      </c>
    </row>
    <row r="11690" spans="1:10" x14ac:dyDescent="0.3">
      <c r="A11690" t="str">
        <f>HYPERLINK("https://us2.cloudbeds.com/connect/10074733072513#/reservations/31725720600730?display=MXDKMVRKC&amp;reservation_id=31725720600730", "MXDKMVRKC")</f>
        <v>MXDKMVRKC</v>
      </c>
      <c r="B11690" t="s">
        <v>10</v>
      </c>
      <c r="C11690" t="s">
        <v>23</v>
      </c>
      <c r="D11690" t="str">
        <f>HYPERLINK("https://us2.cloudbeds.com/connect/10074733072513#/reservations/31725720600730?display=Crista%20Few&amp;reservation_id=31725720600730&amp;guest_id=31687035773137", "Crista Few")</f>
        <v>Crista Few</v>
      </c>
      <c r="E11690" t="s">
        <v>7061</v>
      </c>
      <c r="F11690" t="s">
        <v>10876</v>
      </c>
      <c r="G11690">
        <v>159</v>
      </c>
      <c r="H11690">
        <v>172.84</v>
      </c>
      <c r="I11690">
        <v>172.83</v>
      </c>
      <c r="J11690">
        <v>0.01</v>
      </c>
    </row>
    <row r="11691" spans="1:10" x14ac:dyDescent="0.3">
      <c r="A11691" t="str">
        <f>HYPERLINK("https://us2.cloudbeds.com/connect/10074733072513#/reservations/31728099516658?display=MXFFFUMDR&amp;reservation_id=31728099516658", "MXFFFUMDR")</f>
        <v>MXFFFUMDR</v>
      </c>
      <c r="B11691" t="s">
        <v>10</v>
      </c>
      <c r="C11691" t="s">
        <v>14</v>
      </c>
      <c r="D11691" t="str">
        <f>HYPERLINK("https://us2.cloudbeds.com/connect/10074733072513#/reservations/31728099516658?display=Bartholomew%20Heyn&amp;reservation_id=31728099516658&amp;guest_id=31728099516655", "Bartholomew Heyn")</f>
        <v>Bartholomew Heyn</v>
      </c>
      <c r="E11691" t="s">
        <v>10877</v>
      </c>
      <c r="F11691" t="s">
        <v>10869</v>
      </c>
      <c r="G11691">
        <v>87.82</v>
      </c>
      <c r="H11691">
        <v>95.47</v>
      </c>
      <c r="I11691">
        <v>95.46</v>
      </c>
      <c r="J11691">
        <v>0.01</v>
      </c>
    </row>
    <row r="11692" spans="1:10" x14ac:dyDescent="0.3">
      <c r="A11692" t="str">
        <f>HYPERLINK("https://us2.cloudbeds.com/connect/10074733072513#/reservations/31727317991618?display=MXESGUJXS&amp;reservation_id=31727317991618", "MXESGUJXS")</f>
        <v>MXESGUJXS</v>
      </c>
      <c r="B11692" t="s">
        <v>10</v>
      </c>
      <c r="C11692" t="s">
        <v>23</v>
      </c>
      <c r="D11692" t="str">
        <f>HYPERLINK("https://us2.cloudbeds.com/connect/10074733072513#/reservations/31727317991618?display=Bridgett%20Randall&amp;reservation_id=31727317991618&amp;guest_id=31727307927715", "Bridgett Randall")</f>
        <v>Bridgett Randall</v>
      </c>
      <c r="E11692" t="s">
        <v>10879</v>
      </c>
      <c r="F11692" t="s">
        <v>10874</v>
      </c>
      <c r="G11692">
        <v>129</v>
      </c>
      <c r="H11692">
        <v>140.22999999999999</v>
      </c>
      <c r="I11692">
        <v>140.22</v>
      </c>
      <c r="J11692">
        <v>0.01</v>
      </c>
    </row>
    <row r="11693" spans="1:10" x14ac:dyDescent="0.3">
      <c r="A11693" t="str">
        <f>HYPERLINK("https://us2.cloudbeds.com/connect/10074733072513#/reservations/31714226356406?display=MX4NWNHWA&amp;reservation_id=31714226356406", "MX4NWNHWA")</f>
        <v>MX4NWNHWA</v>
      </c>
      <c r="B11693" t="s">
        <v>10</v>
      </c>
      <c r="C11693" t="s">
        <v>42</v>
      </c>
      <c r="D11693" t="str">
        <f>HYPERLINK("https://us2.cloudbeds.com/connect/10074733072513#/reservations/31714226356406?display=Maddison%20Jaeger&amp;reservation_id=31714226356406&amp;guest_id=31714226356404", "Maddison Jaeger")</f>
        <v>Maddison Jaeger</v>
      </c>
      <c r="E11693" t="s">
        <v>10880</v>
      </c>
      <c r="F11693" t="s">
        <v>10250</v>
      </c>
      <c r="G11693">
        <v>358</v>
      </c>
      <c r="H11693">
        <v>389.16</v>
      </c>
      <c r="I11693">
        <v>389.15</v>
      </c>
      <c r="J11693">
        <v>0.01</v>
      </c>
    </row>
    <row r="11694" spans="1:10" x14ac:dyDescent="0.3">
      <c r="A11694" t="str">
        <f>HYPERLINK("https://us2.cloudbeds.com/connect/10074733072513#/reservations/31725157195933?display=MXD69T8RZ&amp;reservation_id=31725157195933", "MXD69T8RZ")</f>
        <v>MXD69T8RZ</v>
      </c>
      <c r="B11694" t="s">
        <v>10</v>
      </c>
      <c r="C11694" t="s">
        <v>23</v>
      </c>
      <c r="D11694" t="str">
        <f>HYPERLINK("https://us2.cloudbeds.com/connect/10074733072513#/reservations/31725157195933?display=Hailie%20Vlaminck&amp;reservation_id=31725157195933&amp;guest_id=31725149118718", "Hailie Vlaminck")</f>
        <v>Hailie Vlaminck</v>
      </c>
      <c r="E11694" t="s">
        <v>10881</v>
      </c>
      <c r="F11694" t="s">
        <v>9931</v>
      </c>
      <c r="G11694">
        <v>149</v>
      </c>
      <c r="H11694">
        <v>161.97</v>
      </c>
      <c r="I11694">
        <v>161.96</v>
      </c>
      <c r="J11694">
        <v>0.01</v>
      </c>
    </row>
    <row r="11695" spans="1:10" x14ac:dyDescent="0.3">
      <c r="A11695" t="str">
        <f>HYPERLINK("https://us2.cloudbeds.com/connect/10074733072513#/reservations/31721155317957?display=MXA31D3P5&amp;reservation_id=31721155317957", "MXA31D3P5")</f>
        <v>MXA31D3P5</v>
      </c>
      <c r="B11695" t="s">
        <v>10</v>
      </c>
      <c r="C11695" t="s">
        <v>17</v>
      </c>
      <c r="D11695" t="str">
        <f>HYPERLINK("https://us2.cloudbeds.com/connect/10074733072513#/reservations/31721155317957?display=Clayton%20Barg&amp;reservation_id=31721155317957&amp;guest_id=31721155317955", "Clayton Barg")</f>
        <v>Clayton Barg</v>
      </c>
      <c r="E11695" t="s">
        <v>10882</v>
      </c>
      <c r="F11695" t="s">
        <v>9931</v>
      </c>
      <c r="G11695">
        <v>119</v>
      </c>
      <c r="H11695">
        <v>129.36000000000001</v>
      </c>
      <c r="I11695">
        <v>129.35</v>
      </c>
      <c r="J11695">
        <v>0.01</v>
      </c>
    </row>
    <row r="11696" spans="1:10" x14ac:dyDescent="0.3">
      <c r="A11696" t="str">
        <f>HYPERLINK("https://us2.cloudbeds.com/connect/10074733072513#/reservations/31721905029344?display=MXAM6XUW1&amp;reservation_id=31721905029344", "MXAM6XUW1")</f>
        <v>MXAM6XUW1</v>
      </c>
      <c r="B11696" t="s">
        <v>10</v>
      </c>
      <c r="C11696" t="s">
        <v>14</v>
      </c>
      <c r="D11696" t="str">
        <f>HYPERLINK("https://us2.cloudbeds.com/connect/10074733072513#/reservations/31721905029344?display=Christopher%20Ingram&amp;reservation_id=31721905029344&amp;guest_id=31721905029329", "Christopher Ingram")</f>
        <v>Christopher Ingram</v>
      </c>
      <c r="E11696" t="s">
        <v>10883</v>
      </c>
      <c r="F11696" t="s">
        <v>10288</v>
      </c>
      <c r="G11696">
        <v>102.58</v>
      </c>
      <c r="H11696">
        <v>111.51</v>
      </c>
      <c r="I11696">
        <v>111.5</v>
      </c>
      <c r="J11696">
        <v>0.01</v>
      </c>
    </row>
    <row r="11697" spans="1:10" x14ac:dyDescent="0.3">
      <c r="A11697" t="str">
        <f>HYPERLINK("https://us2.cloudbeds.com/connect/10074733072513#/reservations/31725128732819?display=MXD5XT7U4&amp;reservation_id=31725128732819", "MXD5XT7U4")</f>
        <v>MXD5XT7U4</v>
      </c>
      <c r="B11697" t="s">
        <v>10</v>
      </c>
      <c r="C11697" t="s">
        <v>11</v>
      </c>
      <c r="D11697" t="str">
        <f>HYPERLINK("https://us2.cloudbeds.com/connect/10074733072513#/reservations/31725128732819?display=Jake%20Bunkers&amp;reservation_id=31725128732819&amp;guest_id=31725128732816", "Jake Bunkers")</f>
        <v>Jake Bunkers</v>
      </c>
      <c r="E11697" t="s">
        <v>10884</v>
      </c>
      <c r="F11697" t="s">
        <v>9467</v>
      </c>
      <c r="G11697">
        <v>110.86</v>
      </c>
      <c r="H11697">
        <v>120.51</v>
      </c>
      <c r="I11697">
        <v>120.5</v>
      </c>
      <c r="J11697">
        <v>0.01</v>
      </c>
    </row>
    <row r="11698" spans="1:10" x14ac:dyDescent="0.3">
      <c r="A11698" t="str">
        <f>HYPERLINK("https://us2.cloudbeds.com/connect/10074733072513#/reservations/31725027377285?display=MXD2WDSQA&amp;reservation_id=31725027377285", "MXD2WDSQA")</f>
        <v>MXD2WDSQA</v>
      </c>
      <c r="B11698" t="s">
        <v>10</v>
      </c>
      <c r="C11698" t="s">
        <v>42</v>
      </c>
      <c r="D11698" t="str">
        <f>HYPERLINK("https://us2.cloudbeds.com/connect/10074733072513#/reservations/31725027377285?display=Amy%20Weldon&amp;reservation_id=31725027377285&amp;guest_id=31725027377281", "Amy Weldon")</f>
        <v>Amy Weldon</v>
      </c>
      <c r="E11698" t="s">
        <v>10886</v>
      </c>
      <c r="F11698" t="s">
        <v>10874</v>
      </c>
      <c r="G11698">
        <v>119</v>
      </c>
      <c r="H11698">
        <v>129.36000000000001</v>
      </c>
      <c r="I11698">
        <v>129.35</v>
      </c>
      <c r="J11698">
        <v>0.01</v>
      </c>
    </row>
    <row r="11699" spans="1:10" x14ac:dyDescent="0.3">
      <c r="A11699" t="str">
        <f>HYPERLINK("https://us2.cloudbeds.com/connect/10074733072513#/reservations/31725640126680?display=MXDXY3HDQ&amp;reservation_id=31725640126680", "MXDXY3HDQ")</f>
        <v>MXDXY3HDQ</v>
      </c>
      <c r="B11699" t="s">
        <v>10</v>
      </c>
      <c r="C11699" t="s">
        <v>20</v>
      </c>
      <c r="D11699" t="str">
        <f>HYPERLINK("https://us2.cloudbeds.com/connect/10074733072513#/reservations/31725640126680?display=Boi%20Tran&amp;reservation_id=31725640126680&amp;guest_id=31725640122594", "Boi Tran")</f>
        <v>Boi Tran</v>
      </c>
      <c r="E11699" t="s">
        <v>10887</v>
      </c>
      <c r="F11699" t="s">
        <v>9463</v>
      </c>
      <c r="G11699">
        <v>209</v>
      </c>
      <c r="H11699">
        <v>227.19</v>
      </c>
      <c r="I11699">
        <v>227.18</v>
      </c>
      <c r="J11699">
        <v>0.01</v>
      </c>
    </row>
    <row r="11700" spans="1:10" x14ac:dyDescent="0.3">
      <c r="A11700" t="str">
        <f>HYPERLINK("https://us2.cloudbeds.com/connect/10074733072513#/reservations/31713914343612?display=MX4G0KAS5&amp;reservation_id=31713914343612", "MX4G0KAS5")</f>
        <v>MX4G0KAS5</v>
      </c>
      <c r="B11700" t="s">
        <v>10</v>
      </c>
      <c r="C11700" t="s">
        <v>42</v>
      </c>
      <c r="D11700" t="str">
        <f>HYPERLINK("https://us2.cloudbeds.com/connect/10074733072513#/reservations/31713914343612?display=Jacklyn%20Wolfe&amp;reservation_id=31713914343612&amp;guest_id=31713914343599", "Jacklyn Wolfe")</f>
        <v>Jacklyn Wolfe</v>
      </c>
      <c r="E11700" t="s">
        <v>10888</v>
      </c>
      <c r="F11700" t="s">
        <v>10750</v>
      </c>
      <c r="G11700">
        <v>318</v>
      </c>
      <c r="H11700">
        <v>345.68</v>
      </c>
      <c r="I11700">
        <v>345.67</v>
      </c>
      <c r="J11700">
        <v>0.01</v>
      </c>
    </row>
    <row r="11701" spans="1:10" x14ac:dyDescent="0.3">
      <c r="A11701" t="str">
        <f>HYPERLINK("https://us2.cloudbeds.com/connect/10074733072513#/reservations/31717988688078?display=MX7Y46VWW&amp;reservation_id=31717988688078", "MX7Y46VWW")</f>
        <v>MX7Y46VWW</v>
      </c>
      <c r="B11701" t="s">
        <v>10</v>
      </c>
      <c r="C11701" t="s">
        <v>20</v>
      </c>
      <c r="D11701" t="str">
        <f>HYPERLINK("https://us2.cloudbeds.com/connect/10074733072513#/reservations/31717988688078?display=Frederick%20Feuerherm&amp;reservation_id=31717988688078&amp;guest_id=31717988683984", "Frederick Feuerherm")</f>
        <v>Frederick Feuerherm</v>
      </c>
      <c r="E11701" t="s">
        <v>10889</v>
      </c>
      <c r="F11701" t="s">
        <v>9467</v>
      </c>
      <c r="G11701">
        <v>298</v>
      </c>
      <c r="H11701">
        <v>323.94</v>
      </c>
      <c r="I11701">
        <v>323.93</v>
      </c>
      <c r="J11701">
        <v>0.01</v>
      </c>
    </row>
    <row r="11702" spans="1:10" x14ac:dyDescent="0.3">
      <c r="A11702" t="str">
        <f>HYPERLINK("https://us2.cloudbeds.com/connect/10074733072513#/reservations/31718011834502?display=MX7YNZ1ZP&amp;reservation_id=31718011834502", "MX7YNZ1ZP")</f>
        <v>MX7YNZ1ZP</v>
      </c>
      <c r="B11702" t="s">
        <v>10</v>
      </c>
      <c r="C11702" t="s">
        <v>23</v>
      </c>
      <c r="D11702" t="str">
        <f>HYPERLINK("https://us2.cloudbeds.com/connect/10074733072513#/reservations/31718011834502?display=Linda%20Gill&amp;reservation_id=31718011834502&amp;guest_id=31718011834496", "Linda Gill")</f>
        <v>Linda Gill</v>
      </c>
      <c r="E11702" t="s">
        <v>10890</v>
      </c>
      <c r="F11702" t="s">
        <v>9467</v>
      </c>
      <c r="G11702">
        <v>378</v>
      </c>
      <c r="H11702">
        <v>410.9</v>
      </c>
      <c r="I11702">
        <v>410.89</v>
      </c>
      <c r="J11702">
        <v>0.01</v>
      </c>
    </row>
    <row r="11703" spans="1:10" x14ac:dyDescent="0.3">
      <c r="A11703" t="str">
        <f>HYPERLINK("https://us2.cloudbeds.com/connect/10074733072513#/reservations/31725724811405?display=MXDKQH05J&amp;reservation_id=31725724811405", "MXDKQH05J")</f>
        <v>MXDKQH05J</v>
      </c>
      <c r="B11703" t="s">
        <v>10</v>
      </c>
      <c r="C11703" t="s">
        <v>14</v>
      </c>
      <c r="D11703" t="str">
        <f>HYPERLINK("https://us2.cloudbeds.com/connect/10074733072513#/reservations/31725724811405?display=Derrick%20Sletto&amp;reservation_id=31725724811405&amp;guest_id=31725724811402", "Derrick Sletto")</f>
        <v>Derrick Sletto</v>
      </c>
      <c r="E11703" t="s">
        <v>10891</v>
      </c>
      <c r="F11703" t="s">
        <v>10665</v>
      </c>
      <c r="G11703">
        <v>87.82</v>
      </c>
      <c r="H11703">
        <v>95.47</v>
      </c>
      <c r="I11703">
        <v>95.46</v>
      </c>
      <c r="J11703">
        <v>0.01</v>
      </c>
    </row>
    <row r="11704" spans="1:10" x14ac:dyDescent="0.3">
      <c r="A11704" t="str">
        <f>HYPERLINK("https://us2.cloudbeds.com/connect/10074733072513#/reservations/31718026211554?display=MX7M2S3QZ&amp;reservation_id=31718026211554", "MX7M2S3QZ")</f>
        <v>MX7M2S3QZ</v>
      </c>
      <c r="B11704" t="s">
        <v>10</v>
      </c>
      <c r="C11704" t="s">
        <v>23</v>
      </c>
      <c r="D11704" t="str">
        <f>HYPERLINK("https://us2.cloudbeds.com/connect/10074733072513#/reservations/31718026211554?display=Linda%20Gill&amp;reservation_id=31718026211554&amp;guest_id=31718011834496", "Linda Gill")</f>
        <v>Linda Gill</v>
      </c>
      <c r="E11704" t="s">
        <v>10890</v>
      </c>
      <c r="F11704" t="s">
        <v>9467</v>
      </c>
      <c r="G11704">
        <v>159</v>
      </c>
      <c r="H11704">
        <v>172.84</v>
      </c>
      <c r="I11704">
        <v>172.83</v>
      </c>
      <c r="J11704">
        <v>0.01</v>
      </c>
    </row>
    <row r="11705" spans="1:10" x14ac:dyDescent="0.3">
      <c r="A11705" t="str">
        <f>HYPERLINK("https://us2.cloudbeds.com/connect/10074733072513#/reservations/31726796374258?display=MXEF62R36&amp;reservation_id=31726796374258", "MXEF62R36")</f>
        <v>MXEF62R36</v>
      </c>
      <c r="B11705" t="s">
        <v>10</v>
      </c>
      <c r="C11705" t="s">
        <v>42</v>
      </c>
      <c r="D11705" t="str">
        <f>HYPERLINK("https://us2.cloudbeds.com/connect/10074733072513#/reservations/31726796374258?display=Vicki%20Roth&amp;reservation_id=31726796374258&amp;guest_id=31726796374256", "Vicki Roth")</f>
        <v>Vicki Roth</v>
      </c>
      <c r="E11705" t="s">
        <v>10892</v>
      </c>
      <c r="F11705" t="s">
        <v>10288</v>
      </c>
      <c r="G11705">
        <v>139</v>
      </c>
      <c r="H11705">
        <v>151.1</v>
      </c>
      <c r="I11705">
        <v>151.09</v>
      </c>
      <c r="J11705">
        <v>0.01</v>
      </c>
    </row>
    <row r="11706" spans="1:10" x14ac:dyDescent="0.3">
      <c r="A11706" t="str">
        <f>HYPERLINK("https://us2.cloudbeds.com/connect/10074733072513#/reservations/31725050089715?display=MXD3XXT0P&amp;reservation_id=31725050089715", "MXD3XXT0P")</f>
        <v>MXD3XXT0P</v>
      </c>
      <c r="B11706" t="s">
        <v>10</v>
      </c>
      <c r="C11706" t="s">
        <v>121</v>
      </c>
      <c r="D11706" t="str">
        <f>HYPERLINK("https://us2.cloudbeds.com/connect/10074733072513#/reservations/31725050089715?display=Michael%20Saplla&amp;reservation_id=31725050089715&amp;guest_id=31725037691032", "Michael Saplla")</f>
        <v>Michael Saplla</v>
      </c>
      <c r="E11706" t="s">
        <v>10895</v>
      </c>
      <c r="F11706" t="s">
        <v>10874</v>
      </c>
      <c r="G11706">
        <v>119</v>
      </c>
      <c r="H11706">
        <v>129.36000000000001</v>
      </c>
      <c r="I11706">
        <v>129.35</v>
      </c>
      <c r="J11706">
        <v>0.01</v>
      </c>
    </row>
    <row r="11707" spans="1:10" x14ac:dyDescent="0.3">
      <c r="A11707" t="str">
        <f>HYPERLINK("https://us2.cloudbeds.com/connect/10074733072513#/reservations/31726599987407?display=MXEA5G27G&amp;reservation_id=31726599987407", "MXEA5G27G")</f>
        <v>MXEA5G27G</v>
      </c>
      <c r="B11707" t="s">
        <v>10</v>
      </c>
      <c r="C11707" t="s">
        <v>23</v>
      </c>
      <c r="D11707" t="str">
        <f>HYPERLINK("https://us2.cloudbeds.com/connect/10074733072513#/reservations/31726599987407?display=Larry%20Scott&amp;reservation_id=31726599987407&amp;guest_id=31726599987392", "Larry Scott")</f>
        <v>Larry Scott</v>
      </c>
      <c r="E11707" t="s">
        <v>10900</v>
      </c>
      <c r="F11707" t="s">
        <v>10792</v>
      </c>
      <c r="G11707">
        <v>377</v>
      </c>
      <c r="H11707">
        <v>409.81</v>
      </c>
      <c r="I11707">
        <v>409.8</v>
      </c>
      <c r="J11707">
        <v>0.01</v>
      </c>
    </row>
    <row r="11708" spans="1:10" x14ac:dyDescent="0.3">
      <c r="A11708" t="str">
        <f>HYPERLINK("https://us2.cloudbeds.com/connect/10074733072513#/reservations/31722643783902?display=MXB82GSQQ&amp;reservation_id=31722643783902", "MXB82GSQQ")</f>
        <v>MXB82GSQQ</v>
      </c>
      <c r="B11708" t="s">
        <v>10</v>
      </c>
      <c r="C11708" t="s">
        <v>20</v>
      </c>
      <c r="D11708" t="str">
        <f>HYPERLINK("https://us2.cloudbeds.com/connect/10074733072513#/reservations/31722643783902?display=Douglas%20Sipma&amp;reservation_id=31722643783902&amp;guest_id=31722643783886", "Douglas Sipma")</f>
        <v>Douglas Sipma</v>
      </c>
      <c r="E11708" t="s">
        <v>10901</v>
      </c>
      <c r="F11708" t="s">
        <v>10342</v>
      </c>
      <c r="G11708">
        <v>179</v>
      </c>
      <c r="H11708">
        <v>194.58</v>
      </c>
      <c r="I11708">
        <v>194.57</v>
      </c>
      <c r="J11708">
        <v>0.01</v>
      </c>
    </row>
    <row r="11709" spans="1:10" x14ac:dyDescent="0.3">
      <c r="A11709" t="str">
        <f>HYPERLINK("https://us2.cloudbeds.com/connect/10074733072513#/reservations/31722678239477?display=MXB8VXYF4&amp;reservation_id=31722678239477", "MXB8VXYF4")</f>
        <v>MXB8VXYF4</v>
      </c>
      <c r="B11709" t="s">
        <v>10</v>
      </c>
      <c r="C11709" t="s">
        <v>11</v>
      </c>
      <c r="D11709" t="str">
        <f>HYPERLINK("https://us2.cloudbeds.com/connect/10074733072513#/reservations/31722678239477?display=Tamar%20Reed&amp;reservation_id=31722678239477&amp;guest_id=31722678239428", "Tamar Reed")</f>
        <v>Tamar Reed</v>
      </c>
      <c r="E11709" t="s">
        <v>10902</v>
      </c>
      <c r="F11709" t="s">
        <v>10342</v>
      </c>
      <c r="G11709">
        <v>195.48</v>
      </c>
      <c r="H11709">
        <v>212.5</v>
      </c>
      <c r="I11709">
        <v>212.49</v>
      </c>
      <c r="J11709">
        <v>0.01</v>
      </c>
    </row>
    <row r="11710" spans="1:10" x14ac:dyDescent="0.3">
      <c r="A11710" t="str">
        <f>HYPERLINK("https://us2.cloudbeds.com/connect/10074733072513#/reservations/31725274804418?display=MXD9A1TK7&amp;reservation_id=31725274804418", "MXD9A1TK7")</f>
        <v>MXD9A1TK7</v>
      </c>
      <c r="B11710" t="s">
        <v>10</v>
      </c>
      <c r="C11710" t="s">
        <v>42</v>
      </c>
      <c r="D11710" t="str">
        <f>HYPERLINK("https://us2.cloudbeds.com/connect/10074733072513#/reservations/31725274804418?display=Martin%20Isermann&amp;reservation_id=31725274804418&amp;guest_id=31725260947624", "Martin Isermann")</f>
        <v>Martin Isermann</v>
      </c>
      <c r="E11710" t="s">
        <v>10904</v>
      </c>
      <c r="F11710" t="s">
        <v>10665</v>
      </c>
      <c r="G11710">
        <v>73</v>
      </c>
      <c r="H11710">
        <v>79.36</v>
      </c>
      <c r="I11710">
        <v>79.349999999999994</v>
      </c>
      <c r="J11710">
        <v>0.01</v>
      </c>
    </row>
    <row r="11711" spans="1:10" x14ac:dyDescent="0.3">
      <c r="A11711" t="str">
        <f>HYPERLINK("https://us2.cloudbeds.com/connect/10074733072513#/reservations/31724322656408?display=MXCHW5W67&amp;reservation_id=31724322656408", "MXCHW5W67")</f>
        <v>MXCHW5W67</v>
      </c>
      <c r="B11711" t="s">
        <v>10</v>
      </c>
      <c r="C11711" t="s">
        <v>42</v>
      </c>
      <c r="D11711" t="str">
        <f>HYPERLINK("https://us2.cloudbeds.com/connect/10074733072513#/reservations/31724322656408?display=Josh%20Smith&amp;reservation_id=31724322656408&amp;guest_id=31724314566911", "Josh Smith")</f>
        <v>Josh Smith</v>
      </c>
      <c r="E11711" t="s">
        <v>10905</v>
      </c>
      <c r="F11711" t="s">
        <v>10792</v>
      </c>
      <c r="G11711">
        <v>139</v>
      </c>
      <c r="H11711">
        <v>151.1</v>
      </c>
      <c r="I11711">
        <v>151.09</v>
      </c>
      <c r="J11711">
        <v>0.01</v>
      </c>
    </row>
    <row r="11712" spans="1:10" x14ac:dyDescent="0.3">
      <c r="A11712" t="str">
        <f>HYPERLINK("https://us2.cloudbeds.com/connect/10074733072513#/reservations/31726860341395?display=MXEGR0QE9&amp;reservation_id=31726860341395", "MXEGR0QE9")</f>
        <v>MXEGR0QE9</v>
      </c>
      <c r="B11712" t="s">
        <v>10</v>
      </c>
      <c r="C11712" t="s">
        <v>42</v>
      </c>
      <c r="D11712" t="str">
        <f>HYPERLINK("https://us2.cloudbeds.com/connect/10074733072513#/reservations/31726860341395?display=Camden%20Grasmick&amp;reservation_id=31726860341395&amp;guest_id=31726850805947", "Camden Grasmick")</f>
        <v>Camden Grasmick</v>
      </c>
      <c r="E11712" t="s">
        <v>10906</v>
      </c>
      <c r="F11712" t="s">
        <v>10288</v>
      </c>
      <c r="G11712">
        <v>278</v>
      </c>
      <c r="H11712">
        <v>302.2</v>
      </c>
      <c r="I11712">
        <v>302.19</v>
      </c>
      <c r="J11712">
        <v>0.01</v>
      </c>
    </row>
    <row r="11713" spans="1:10" x14ac:dyDescent="0.3">
      <c r="A11713" t="str">
        <f>HYPERLINK("https://us2.cloudbeds.com/connect/10074733072513#/reservations/31725239595177?display=MXD8DC4TH&amp;reservation_id=31725239595177", "MXD8DC4TH")</f>
        <v>MXD8DC4TH</v>
      </c>
      <c r="B11713" t="s">
        <v>10</v>
      </c>
      <c r="C11713" t="s">
        <v>121</v>
      </c>
      <c r="D11713" t="str">
        <f>HYPERLINK("https://us2.cloudbeds.com/connect/10074733072513#/reservations/31725239595177?display=Andrew%20Reid&amp;reservation_id=31725239595177&amp;guest_id=31725239595174", "Andrew Reid")</f>
        <v>Andrew Reid</v>
      </c>
      <c r="E11713" t="s">
        <v>10907</v>
      </c>
      <c r="F11713" t="s">
        <v>10665</v>
      </c>
      <c r="G11713">
        <v>119</v>
      </c>
      <c r="H11713">
        <v>129.36000000000001</v>
      </c>
      <c r="I11713">
        <v>129.35</v>
      </c>
      <c r="J11713">
        <v>0.01</v>
      </c>
    </row>
    <row r="11714" spans="1:10" x14ac:dyDescent="0.3">
      <c r="A11714" t="str">
        <f>HYPERLINK("https://us2.cloudbeds.com/connect/10074733072513#/reservations/31722687803539?display=MXB96KPT6&amp;reservation_id=31722687803539", "MXB96KPT6")</f>
        <v>MXB96KPT6</v>
      </c>
      <c r="B11714" t="s">
        <v>10</v>
      </c>
      <c r="C11714" t="s">
        <v>20</v>
      </c>
      <c r="D11714" t="str">
        <f>HYPERLINK("https://us2.cloudbeds.com/connect/10074733072513#/reservations/31722687803539?display=Nathan%20White&amp;reservation_id=31722687803539&amp;guest_id=31722687799454", "Nathan White")</f>
        <v>Nathan White</v>
      </c>
      <c r="E11714" t="s">
        <v>10908</v>
      </c>
      <c r="F11714" t="s">
        <v>10342</v>
      </c>
      <c r="G11714">
        <v>179</v>
      </c>
      <c r="H11714">
        <v>194.58</v>
      </c>
      <c r="I11714">
        <v>194.57</v>
      </c>
      <c r="J11714">
        <v>0.01</v>
      </c>
    </row>
    <row r="11715" spans="1:10" x14ac:dyDescent="0.3">
      <c r="A11715" t="str">
        <f>HYPERLINK("https://us2.cloudbeds.com/connect/10074733072513#/reservations/31724715180272?display=MXCS05HGP&amp;reservation_id=31724715180272", "MXCS05HGP")</f>
        <v>MXCS05HGP</v>
      </c>
      <c r="B11715" t="s">
        <v>10</v>
      </c>
      <c r="C11715" t="s">
        <v>23</v>
      </c>
      <c r="D11715" t="str">
        <f>HYPERLINK("https://us2.cloudbeds.com/connect/10074733072513#/reservations/31724715180272?display=Kylee%20Ksenych&amp;reservation_id=31724715180272&amp;guest_id=31724715180256", "Kylee Ksenych")</f>
        <v>Kylee Ksenych</v>
      </c>
      <c r="E11715" t="s">
        <v>10909</v>
      </c>
      <c r="F11715" t="s">
        <v>9467</v>
      </c>
      <c r="G11715">
        <v>199</v>
      </c>
      <c r="H11715">
        <v>216.32</v>
      </c>
      <c r="I11715">
        <v>216.31</v>
      </c>
      <c r="J11715">
        <v>0.01</v>
      </c>
    </row>
    <row r="11716" spans="1:10" x14ac:dyDescent="0.3">
      <c r="A11716" t="str">
        <f>HYPERLINK("https://us2.cloudbeds.com/connect/10074733072513#/reservations/31725086593238?display=MXD4GBY84&amp;reservation_id=31725086593238", "MXD4GBY84")</f>
        <v>MXD4GBY84</v>
      </c>
      <c r="B11716" t="s">
        <v>10</v>
      </c>
      <c r="C11716" t="s">
        <v>42</v>
      </c>
      <c r="D11716" t="str">
        <f>HYPERLINK("https://us2.cloudbeds.com/connect/10074733072513#/reservations/31725086593238?display=Steve%20Walling&amp;reservation_id=31725086593238&amp;guest_id=30682045112563", "Steve Walling")</f>
        <v>Steve Walling</v>
      </c>
      <c r="E11716" t="s">
        <v>4038</v>
      </c>
      <c r="F11716" t="s">
        <v>10897</v>
      </c>
      <c r="G11716">
        <v>89</v>
      </c>
      <c r="H11716">
        <v>96.75</v>
      </c>
      <c r="I11716">
        <v>96.74</v>
      </c>
      <c r="J11716">
        <v>0.01</v>
      </c>
    </row>
    <row r="11717" spans="1:10" x14ac:dyDescent="0.3">
      <c r="A11717" t="str">
        <f>HYPERLINK("https://us2.cloudbeds.com/connect/10074733072513#/reservations/31725640122596?display=MXDXY3DM1&amp;reservation_id=31725640122596", "MXDXY3DM1")</f>
        <v>MXDXY3DM1</v>
      </c>
      <c r="B11717" t="s">
        <v>10</v>
      </c>
      <c r="C11717" t="s">
        <v>42</v>
      </c>
      <c r="D11717" t="str">
        <f>HYPERLINK("https://us2.cloudbeds.com/connect/10074733072513#/reservations/31725640122596?display=Michael%20Daniels&amp;reservation_id=31725640122596&amp;guest_id=30671090090186", "Michael Daniels")</f>
        <v>Michael Daniels</v>
      </c>
      <c r="E11717" t="s">
        <v>3262</v>
      </c>
      <c r="F11717" t="s">
        <v>10342</v>
      </c>
      <c r="G11717">
        <v>73</v>
      </c>
      <c r="H11717">
        <v>79.36</v>
      </c>
      <c r="I11717">
        <v>79.349999999999994</v>
      </c>
      <c r="J11717">
        <v>0.01</v>
      </c>
    </row>
    <row r="11718" spans="1:10" x14ac:dyDescent="0.3">
      <c r="A11718" t="str">
        <f>HYPERLINK("https://us2.cloudbeds.com/connect/10074733072513#/reservations/31716561477832?display=MX6HYZZEY&amp;reservation_id=31716561477832", "MX6HYZZEY")</f>
        <v>MX6HYZZEY</v>
      </c>
      <c r="B11718" t="s">
        <v>10</v>
      </c>
      <c r="C11718" t="s">
        <v>23</v>
      </c>
      <c r="D11718" t="str">
        <f>HYPERLINK("https://us2.cloudbeds.com/connect/10074733072513#/reservations/31716561477832?display=Ron%20Jorgensen&amp;reservation_id=31716561477832&amp;guest_id=31716557148379", "Ron Jorgensen")</f>
        <v>Ron Jorgensen</v>
      </c>
      <c r="E11718" t="s">
        <v>10911</v>
      </c>
      <c r="F11718" t="s">
        <v>9259</v>
      </c>
      <c r="G11718">
        <v>238</v>
      </c>
      <c r="H11718">
        <v>258.72000000000003</v>
      </c>
      <c r="I11718">
        <v>258.70999999999998</v>
      </c>
      <c r="J11718">
        <v>0.01</v>
      </c>
    </row>
    <row r="11719" spans="1:10" x14ac:dyDescent="0.3">
      <c r="A11719" t="str">
        <f>HYPERLINK("https://us2.cloudbeds.com/connect/10074733072513#/reservations/31716596588750?display=MX6XXBZSS&amp;reservation_id=31716596588750", "MX6XXBZSS")</f>
        <v>MX6XXBZSS</v>
      </c>
      <c r="B11719" t="s">
        <v>10</v>
      </c>
      <c r="C11719" t="s">
        <v>17</v>
      </c>
      <c r="D11719" t="str">
        <f>HYPERLINK("https://us2.cloudbeds.com/connect/10074733072513#/reservations/31716596588750?display=Doug%20Ehrenberg&amp;reservation_id=31716596588750&amp;guest_id=31716596588745", "Doug Ehrenberg")</f>
        <v>Doug Ehrenberg</v>
      </c>
      <c r="E11719" t="s">
        <v>10912</v>
      </c>
      <c r="F11719" t="s">
        <v>9259</v>
      </c>
      <c r="G11719">
        <v>258</v>
      </c>
      <c r="H11719">
        <v>280.45999999999998</v>
      </c>
      <c r="I11719">
        <v>280.45</v>
      </c>
      <c r="J11719">
        <v>0.01</v>
      </c>
    </row>
    <row r="11720" spans="1:10" x14ac:dyDescent="0.3">
      <c r="A11720" t="str">
        <f>HYPERLINK("https://us2.cloudbeds.com/connect/10074733072513#/reservations/31716584853655?display=MX6X8F6RU&amp;reservation_id=31716584853655", "MX6X8F6RU")</f>
        <v>MX6X8F6RU</v>
      </c>
      <c r="B11720" t="s">
        <v>10</v>
      </c>
      <c r="C11720" t="s">
        <v>17</v>
      </c>
      <c r="D11720" t="str">
        <f>HYPERLINK("https://us2.cloudbeds.com/connect/10074733072513#/reservations/31716584853655?display=Kris%20Gilmore&amp;reservation_id=31716584853655&amp;guest_id=31716584853644", "Kris Gilmore")</f>
        <v>Kris Gilmore</v>
      </c>
      <c r="E11720" t="s">
        <v>10912</v>
      </c>
      <c r="F11720" t="s">
        <v>9259</v>
      </c>
      <c r="G11720">
        <v>258</v>
      </c>
      <c r="H11720">
        <v>280.45999999999998</v>
      </c>
      <c r="I11720">
        <v>280.45</v>
      </c>
      <c r="J11720">
        <v>0.01</v>
      </c>
    </row>
    <row r="11721" spans="1:10" x14ac:dyDescent="0.3">
      <c r="A11721" t="str">
        <f>HYPERLINK("https://us2.cloudbeds.com/connect/10074733072513#/reservations/31724293058756?display=MXCH77CEM&amp;reservation_id=31724293058756", "MXCH77CEM")</f>
        <v>MXCH77CEM</v>
      </c>
      <c r="B11721" t="s">
        <v>10</v>
      </c>
      <c r="C11721" t="s">
        <v>23</v>
      </c>
      <c r="D11721" t="str">
        <f>HYPERLINK("https://us2.cloudbeds.com/connect/10074733072513#/reservations/31724293058756?display=Jonathan%20Kokesch&amp;reservation_id=31724293058756&amp;guest_id=31724282204394", "Jonathan Kokesch")</f>
        <v>Jonathan Kokesch</v>
      </c>
      <c r="E11721" t="s">
        <v>10914</v>
      </c>
      <c r="F11721" t="s">
        <v>10792</v>
      </c>
      <c r="G11721">
        <v>169</v>
      </c>
      <c r="H11721">
        <v>183.71</v>
      </c>
      <c r="I11721">
        <v>183.7</v>
      </c>
      <c r="J11721">
        <v>0.01</v>
      </c>
    </row>
    <row r="11722" spans="1:10" x14ac:dyDescent="0.3">
      <c r="A11722" t="str">
        <f>HYPERLINK("https://us2.cloudbeds.com/connect/10074733072513#/reservations/31723896508545?display=MXC72RPRK&amp;reservation_id=31723896508545", "MXC72RPRK")</f>
        <v>MXC72RPRK</v>
      </c>
      <c r="B11722" t="s">
        <v>10</v>
      </c>
      <c r="C11722" t="s">
        <v>42</v>
      </c>
      <c r="D11722" t="str">
        <f>HYPERLINK("https://us2.cloudbeds.com/connect/10074733072513#/reservations/31723896508545?display=Gaio%20Lakin&amp;reservation_id=31723896508545&amp;guest_id=31723887587553", "Gaio Lakin")</f>
        <v>Gaio Lakin</v>
      </c>
      <c r="E11722" t="s">
        <v>10915</v>
      </c>
      <c r="F11722" t="s">
        <v>9463</v>
      </c>
      <c r="G11722">
        <v>209</v>
      </c>
      <c r="H11722">
        <v>227.19</v>
      </c>
      <c r="I11722">
        <v>227.18</v>
      </c>
      <c r="J11722">
        <v>0.01</v>
      </c>
    </row>
    <row r="11723" spans="1:10" x14ac:dyDescent="0.3">
      <c r="A11723" t="str">
        <f>HYPERLINK("https://us2.cloudbeds.com/connect/10074733072513#/reservations/31725106610316?display=MXD507YD8&amp;reservation_id=31725106610316", "MXD507YD8")</f>
        <v>MXD507YD8</v>
      </c>
      <c r="B11723" t="s">
        <v>10</v>
      </c>
      <c r="C11723" t="s">
        <v>121</v>
      </c>
      <c r="D11723" t="str">
        <f>HYPERLINK("https://us2.cloudbeds.com/connect/10074733072513#/reservations/31725106610316?display=Devin%20Maher&amp;reservation_id=31725106610316&amp;guest_id=31725100708059", "Devin Maher")</f>
        <v>Devin Maher</v>
      </c>
      <c r="E11723" t="s">
        <v>10916</v>
      </c>
      <c r="F11723" t="s">
        <v>10897</v>
      </c>
      <c r="G11723">
        <v>238</v>
      </c>
      <c r="H11723">
        <v>258.72000000000003</v>
      </c>
      <c r="I11723">
        <v>258.70999999999998</v>
      </c>
      <c r="J11723">
        <v>0.01</v>
      </c>
    </row>
    <row r="11724" spans="1:10" x14ac:dyDescent="0.3">
      <c r="A11724" t="str">
        <f>HYPERLINK("https://us2.cloudbeds.com/connect/10074733072513#/reservations/31721142292655?display=MXA2NDYW1&amp;reservation_id=31721142292655", "MXA2NDYW1")</f>
        <v>MXA2NDYW1</v>
      </c>
      <c r="B11724" t="s">
        <v>10</v>
      </c>
      <c r="C11724" t="s">
        <v>11</v>
      </c>
      <c r="D11724" t="str">
        <f>HYPERLINK("https://us2.cloudbeds.com/connect/10074733072513#/reservations/31721142292655?display=Melissa%20Schiele&amp;reservation_id=31721142292655&amp;guest_id=31721142292651", "Melissa Schiele")</f>
        <v>Melissa Schiele</v>
      </c>
      <c r="E11724" t="s">
        <v>10917</v>
      </c>
      <c r="F11724" t="s">
        <v>9931</v>
      </c>
      <c r="G11724">
        <v>87.82</v>
      </c>
      <c r="H11724">
        <v>95.47</v>
      </c>
      <c r="I11724">
        <v>95.46</v>
      </c>
      <c r="J11724">
        <v>0.01</v>
      </c>
    </row>
    <row r="11725" spans="1:10" x14ac:dyDescent="0.3">
      <c r="A11725" t="str">
        <f>HYPERLINK("https://us2.cloudbeds.com/connect/10074733072513#/reservations/31725167759576?display=MXD6XQ754&amp;reservation_id=31725167759576", "MXD6XQ754")</f>
        <v>MXD6XQ754</v>
      </c>
      <c r="B11725" t="s">
        <v>10</v>
      </c>
      <c r="C11725" t="s">
        <v>11</v>
      </c>
      <c r="D11725" t="str">
        <f>HYPERLINK("https://us2.cloudbeds.com/connect/10074733072513#/reservations/31725167759576?display=Kacie%20Crom&amp;reservation_id=31725167759576&amp;guest_id=31725167759571", "Kacie Crom")</f>
        <v>Kacie Crom</v>
      </c>
      <c r="E11725" t="s">
        <v>10919</v>
      </c>
      <c r="F11725" t="s">
        <v>9931</v>
      </c>
      <c r="G11725">
        <v>87.82</v>
      </c>
      <c r="H11725">
        <v>95.47</v>
      </c>
      <c r="I11725">
        <v>95.46</v>
      </c>
      <c r="J11725">
        <v>0.01</v>
      </c>
    </row>
    <row r="11726" spans="1:10" x14ac:dyDescent="0.3">
      <c r="A11726" t="str">
        <f>HYPERLINK("https://us2.cloudbeds.com/connect/10074733072513#/reservations/31724673400960?display=MXCQKA0SR&amp;reservation_id=31724673400960", "MXCQKA0SR")</f>
        <v>MXCQKA0SR</v>
      </c>
      <c r="B11726" t="s">
        <v>10</v>
      </c>
      <c r="C11726" t="s">
        <v>121</v>
      </c>
      <c r="D11726" t="str">
        <f>HYPERLINK("https://us2.cloudbeds.com/connect/10074733072513#/reservations/31724673400960?display=Joseph%20Lemke&amp;reservation_id=31724673400960&amp;guest_id=31719220813962", "Joseph Lemke")</f>
        <v>Joseph Lemke</v>
      </c>
      <c r="E11726" t="s">
        <v>10839</v>
      </c>
      <c r="F11726" t="s">
        <v>10476</v>
      </c>
      <c r="G11726">
        <v>298</v>
      </c>
      <c r="H11726">
        <v>323.94</v>
      </c>
      <c r="I11726">
        <v>323.93</v>
      </c>
      <c r="J11726">
        <v>0.01</v>
      </c>
    </row>
    <row r="11727" spans="1:10" x14ac:dyDescent="0.3">
      <c r="A11727" t="str">
        <f>HYPERLINK("https://us2.cloudbeds.com/connect/10074733072513#/reservations/31725545418938?display=MXDG784Q7&amp;reservation_id=31725545418938", "MXDG784Q7")</f>
        <v>MXDG784Q7</v>
      </c>
      <c r="B11727" t="s">
        <v>10</v>
      </c>
      <c r="C11727" t="s">
        <v>17</v>
      </c>
      <c r="D11727" t="str">
        <f>HYPERLINK("https://us2.cloudbeds.com/connect/10074733072513#/reservations/31725545418938?display=Sydney%20Rexroth&amp;reservation_id=31725545418938&amp;guest_id=31725534683359", "Sydney Rexroth")</f>
        <v>Sydney Rexroth</v>
      </c>
      <c r="E11727" t="s">
        <v>10920</v>
      </c>
      <c r="F11727" t="s">
        <v>10288</v>
      </c>
      <c r="G11727">
        <v>159</v>
      </c>
      <c r="H11727">
        <v>172.84</v>
      </c>
      <c r="I11727">
        <v>172.83</v>
      </c>
      <c r="J11727">
        <v>0.01</v>
      </c>
    </row>
    <row r="11728" spans="1:10" x14ac:dyDescent="0.3">
      <c r="A11728" t="str">
        <f>HYPERLINK("https://us2.cloudbeds.com/connect/10074733072513#/reservations/31721170870437?display=MXA3EGT6E&amp;reservation_id=31721170870437", "MXA3EGT6E")</f>
        <v>MXA3EGT6E</v>
      </c>
      <c r="B11728" t="s">
        <v>10</v>
      </c>
      <c r="C11728" t="s">
        <v>42</v>
      </c>
      <c r="D11728" t="str">
        <f>HYPERLINK("https://us2.cloudbeds.com/connect/10074733072513#/reservations/31721170870437?display=Steven%20Martens&amp;reservation_id=31721170870437&amp;guest_id=31721165140188", "Steven Martens")</f>
        <v>Steven Martens</v>
      </c>
      <c r="E11728" t="s">
        <v>10921</v>
      </c>
      <c r="F11728" t="s">
        <v>9931</v>
      </c>
      <c r="G11728">
        <v>129</v>
      </c>
      <c r="H11728">
        <v>140.22999999999999</v>
      </c>
      <c r="I11728">
        <v>140.22</v>
      </c>
      <c r="J11728">
        <v>0.01</v>
      </c>
    </row>
    <row r="11729" spans="1:10" x14ac:dyDescent="0.3">
      <c r="A11729" t="str">
        <f>HYPERLINK("https://us2.cloudbeds.com/connect/10074733072513#/reservations/31727123005599?display=MXENHGR1K&amp;reservation_id=31727123005599", "MXENHGR1K")</f>
        <v>MXENHGR1K</v>
      </c>
      <c r="B11729" t="s">
        <v>10</v>
      </c>
      <c r="C11729" t="s">
        <v>17</v>
      </c>
      <c r="D11729" t="str">
        <f>HYPERLINK("https://us2.cloudbeds.com/connect/10074733072513#/reservations/31727123005599?display=Wendi%20Gilbert&amp;reservation_id=31727123005599&amp;guest_id=31727123001518", "Wendi Gilbert")</f>
        <v>Wendi Gilbert</v>
      </c>
      <c r="E11729" t="s">
        <v>10922</v>
      </c>
      <c r="F11729" t="s">
        <v>10792</v>
      </c>
      <c r="G11729">
        <v>139</v>
      </c>
      <c r="H11729">
        <v>151.1</v>
      </c>
      <c r="I11729">
        <v>151.09</v>
      </c>
      <c r="J11729">
        <v>0.01</v>
      </c>
    </row>
    <row r="11730" spans="1:10" x14ac:dyDescent="0.3">
      <c r="A11730" t="str">
        <f>HYPERLINK("https://us2.cloudbeds.com/connect/10074733072513#/reservations/31721857278103?display=MXAKWA68Z&amp;reservation_id=31721857278103", "MXAKWA68Z")</f>
        <v>MXAKWA68Z</v>
      </c>
      <c r="B11730" t="s">
        <v>10</v>
      </c>
      <c r="C11730" t="s">
        <v>42</v>
      </c>
      <c r="D11730" t="str">
        <f>HYPERLINK("https://us2.cloudbeds.com/connect/10074733072513#/reservations/31721857278103?display=Colton%20Laubach&amp;reservation_id=31721857278103&amp;guest_id=31721857278098", "Colton Laubach")</f>
        <v>Colton Laubach</v>
      </c>
      <c r="E11730" t="s">
        <v>10923</v>
      </c>
      <c r="F11730" t="s">
        <v>10768</v>
      </c>
      <c r="G11730">
        <v>109</v>
      </c>
      <c r="H11730">
        <v>118.49</v>
      </c>
      <c r="I11730">
        <v>118.48</v>
      </c>
      <c r="J11730">
        <v>0.01</v>
      </c>
    </row>
    <row r="11731" spans="1:10" x14ac:dyDescent="0.3">
      <c r="A11731" t="str">
        <f>HYPERLINK("https://us2.cloudbeds.com/connect/10074733072513#/reservations/31721934352522?display=MXAMV9TM6&amp;reservation_id=31721934352522", "MXAMV9TM6")</f>
        <v>MXAMV9TM6</v>
      </c>
      <c r="B11731" t="s">
        <v>10</v>
      </c>
      <c r="C11731" t="s">
        <v>23</v>
      </c>
      <c r="D11731" t="str">
        <f>HYPERLINK("https://us2.cloudbeds.com/connect/10074733072513#/reservations/31721934352522?display=Hannah%20Sebring&amp;reservation_id=31721934352522&amp;guest_id=31721928265881", "Hannah Sebring")</f>
        <v>Hannah Sebring</v>
      </c>
      <c r="E11731" t="s">
        <v>10924</v>
      </c>
      <c r="F11731" t="s">
        <v>10288</v>
      </c>
      <c r="G11731">
        <v>149</v>
      </c>
      <c r="H11731">
        <v>161.97</v>
      </c>
      <c r="I11731">
        <v>161.96</v>
      </c>
      <c r="J11731">
        <v>0.01</v>
      </c>
    </row>
    <row r="11732" spans="1:10" x14ac:dyDescent="0.3">
      <c r="A11732" t="str">
        <f>HYPERLINK("https://us2.cloudbeds.com/connect/10074733072513#/reservations/31725420364002?display=MXDD0QA4N&amp;reservation_id=31725420364002", "MXDD0QA4N")</f>
        <v>MXDD0QA4N</v>
      </c>
      <c r="B11732" t="s">
        <v>10</v>
      </c>
      <c r="C11732" t="s">
        <v>17</v>
      </c>
      <c r="D11732" t="str">
        <f>HYPERLINK("https://us2.cloudbeds.com/connect/10074733072513#/reservations/31725420364002?display=Lynece%20Daiker&amp;reservation_id=31725420364002&amp;guest_id=30681296384217", "Lynece Daiker")</f>
        <v>Lynece Daiker</v>
      </c>
      <c r="E11732" t="s">
        <v>4536</v>
      </c>
      <c r="F11732" t="s">
        <v>9259</v>
      </c>
      <c r="G11732">
        <v>238</v>
      </c>
      <c r="H11732">
        <v>258.72000000000003</v>
      </c>
      <c r="I11732">
        <v>258.70999999999998</v>
      </c>
      <c r="J11732">
        <v>0.01</v>
      </c>
    </row>
    <row r="11733" spans="1:10" x14ac:dyDescent="0.3">
      <c r="A11733" t="str">
        <f>HYPERLINK("https://us2.cloudbeds.com/connect/10074733072513#/reservations/31723371487362?display=MXBQM49NQ&amp;reservation_id=31723371487362", "MXBQM49NQ")</f>
        <v>MXBQM49NQ</v>
      </c>
      <c r="B11733" t="s">
        <v>10</v>
      </c>
      <c r="C11733" t="s">
        <v>17</v>
      </c>
      <c r="D11733" t="str">
        <f>HYPERLINK("https://us2.cloudbeds.com/connect/10074733072513#/reservations/31723371487362?display=Cyndi%20Wudel&amp;reservation_id=31723371487362&amp;guest_id=31686296641712", "Cyndi Wudel")</f>
        <v>Cyndi Wudel</v>
      </c>
      <c r="E11733" t="s">
        <v>7922</v>
      </c>
      <c r="F11733" t="s">
        <v>10925</v>
      </c>
      <c r="G11733">
        <v>169</v>
      </c>
      <c r="H11733">
        <v>183.71</v>
      </c>
      <c r="I11733">
        <v>183.7</v>
      </c>
      <c r="J11733">
        <v>0.01</v>
      </c>
    </row>
    <row r="11734" spans="1:10" x14ac:dyDescent="0.3">
      <c r="A11734" t="str">
        <f>HYPERLINK("https://us2.cloudbeds.com/connect/10074733072513#/reservations/31723319406720?display=MXBZWEDM7&amp;reservation_id=31723319406720", "MXBZWEDM7")</f>
        <v>MXBZWEDM7</v>
      </c>
      <c r="B11734" t="s">
        <v>10</v>
      </c>
      <c r="C11734" t="s">
        <v>42</v>
      </c>
      <c r="D11734" t="str">
        <f>HYPERLINK("https://us2.cloudbeds.com/connect/10074733072513#/reservations/31723319406720?display=Carol%20Fields&amp;reservation_id=31723319406720&amp;guest_id=30682358509702", "Carol Fields")</f>
        <v>Carol Fields</v>
      </c>
      <c r="E11734" t="s">
        <v>7680</v>
      </c>
      <c r="F11734" t="s">
        <v>8439</v>
      </c>
      <c r="G11734">
        <v>321.3</v>
      </c>
      <c r="H11734">
        <v>349.26</v>
      </c>
      <c r="I11734">
        <v>349.25</v>
      </c>
      <c r="J11734">
        <v>0.01</v>
      </c>
    </row>
    <row r="11735" spans="1:10" x14ac:dyDescent="0.3">
      <c r="A11735" t="str">
        <f>HYPERLINK("https://us2.cloudbeds.com/connect/10074733072513#/reservations/31725123481785?display=MXD5EF40T&amp;reservation_id=31725123481785", "MXD5EF40T")</f>
        <v>MXD5EF40T</v>
      </c>
      <c r="B11735" t="s">
        <v>10</v>
      </c>
      <c r="C11735" t="s">
        <v>23</v>
      </c>
      <c r="D11735" t="str">
        <f>HYPERLINK("https://us2.cloudbeds.com/connect/10074733072513#/reservations/31725123481785?display=Christina%20Linn&amp;reservation_id=31725123481785&amp;guest_id=31725123481769", "Christina Linn")</f>
        <v>Christina Linn</v>
      </c>
      <c r="E11735" t="s">
        <v>10926</v>
      </c>
      <c r="F11735" t="s">
        <v>9931</v>
      </c>
      <c r="G11735">
        <v>119</v>
      </c>
      <c r="H11735">
        <v>129.36000000000001</v>
      </c>
      <c r="I11735">
        <v>129.35</v>
      </c>
      <c r="J11735">
        <v>0.01</v>
      </c>
    </row>
    <row r="11736" spans="1:10" x14ac:dyDescent="0.3">
      <c r="A11736" t="str">
        <f>HYPERLINK("https://us2.cloudbeds.com/connect/10074733072513#/reservations/31725149118656?display=MXD632CUT&amp;reservation_id=31725149118656", "MXD632CUT")</f>
        <v>MXD632CUT</v>
      </c>
      <c r="B11736" t="s">
        <v>10</v>
      </c>
      <c r="C11736" t="s">
        <v>11</v>
      </c>
      <c r="D11736" t="str">
        <f>HYPERLINK("https://us2.cloudbeds.com/connect/10074733072513#/reservations/31725149118656?display=Tania%20Cameron&amp;reservation_id=31725149118656&amp;guest_id=31725138030832", "Tania Cameron")</f>
        <v>Tania Cameron</v>
      </c>
      <c r="E11736" t="s">
        <v>10927</v>
      </c>
      <c r="F11736" t="s">
        <v>9931</v>
      </c>
      <c r="G11736">
        <v>87.82</v>
      </c>
      <c r="H11736">
        <v>95.47</v>
      </c>
      <c r="I11736">
        <v>95.46</v>
      </c>
      <c r="J11736">
        <v>0.01</v>
      </c>
    </row>
    <row r="11737" spans="1:10" x14ac:dyDescent="0.3">
      <c r="A11737" t="str">
        <f>HYPERLINK("https://us2.cloudbeds.com/connect/10074733072513#/reservations/31725997977825?display=MXDRPS8MT&amp;reservation_id=31725997977825", "MXDRPS8MT")</f>
        <v>MXDRPS8MT</v>
      </c>
      <c r="B11737" t="s">
        <v>10</v>
      </c>
      <c r="C11737" t="s">
        <v>42</v>
      </c>
      <c r="D11737" t="str">
        <f>HYPERLINK("https://us2.cloudbeds.com/connect/10074733072513#/reservations/31725997977825?display=Donnie%20Shannon&amp;reservation_id=31725997977825&amp;guest_id=31716293116057", "Donnie Shannon")</f>
        <v>Donnie Shannon</v>
      </c>
      <c r="E11737" t="s">
        <v>10929</v>
      </c>
      <c r="F11737" t="s">
        <v>10476</v>
      </c>
      <c r="G11737">
        <v>73</v>
      </c>
      <c r="H11737">
        <v>79.36</v>
      </c>
      <c r="I11737">
        <v>79.349999999999994</v>
      </c>
      <c r="J11737">
        <v>0.01</v>
      </c>
    </row>
    <row r="11738" spans="1:10" x14ac:dyDescent="0.3">
      <c r="A11738" t="str">
        <f>HYPERLINK("https://us2.cloudbeds.com/connect/10074733072513#/reservations/31724332568812?display=MXCX7HQG3&amp;reservation_id=31724332568812", "MXCX7HQG3")</f>
        <v>MXCX7HQG3</v>
      </c>
      <c r="B11738" t="s">
        <v>10</v>
      </c>
      <c r="C11738" t="s">
        <v>42</v>
      </c>
      <c r="D11738" t="str">
        <f>HYPERLINK("https://us2.cloudbeds.com/connect/10074733072513#/reservations/31724332568812?display=Chelsea%20Bothun&amp;reservation_id=31724332568812&amp;guest_id=31724322660498", "Chelsea Bothun")</f>
        <v>Chelsea Bothun</v>
      </c>
      <c r="E11738" t="s">
        <v>10930</v>
      </c>
      <c r="F11738" t="s">
        <v>10792</v>
      </c>
      <c r="G11738">
        <v>159</v>
      </c>
      <c r="H11738">
        <v>172.84</v>
      </c>
      <c r="I11738">
        <v>172.83</v>
      </c>
      <c r="J11738">
        <v>0.01</v>
      </c>
    </row>
    <row r="11739" spans="1:10" x14ac:dyDescent="0.3">
      <c r="A11739" t="str">
        <f>HYPERLINK("https://us2.cloudbeds.com/connect/10074733072513#/reservations/31726829523080?display=MXEG117PV&amp;reservation_id=31726829523080", "MXEG117PV")</f>
        <v>MXEG117PV</v>
      </c>
      <c r="B11739" t="s">
        <v>10</v>
      </c>
      <c r="C11739" t="s">
        <v>42</v>
      </c>
      <c r="D11739" t="str">
        <f>HYPERLINK("https://us2.cloudbeds.com/connect/10074733072513#/reservations/31726829523080?display=Mr%20&amp;%20Mrs%20Stutton&amp;reservation_id=31726829523080&amp;guest_id=31726829518984", "Mr &amp; Mrs Stutton")</f>
        <v>Mr &amp; Mrs Stutton</v>
      </c>
      <c r="E11739" t="s">
        <v>10931</v>
      </c>
      <c r="F11739" t="s">
        <v>10288</v>
      </c>
      <c r="G11739">
        <v>69</v>
      </c>
      <c r="H11739">
        <v>75.010000000000005</v>
      </c>
      <c r="I11739">
        <v>75</v>
      </c>
      <c r="J11739">
        <v>0.01</v>
      </c>
    </row>
    <row r="11740" spans="1:10" x14ac:dyDescent="0.3">
      <c r="A11740" t="str">
        <f>HYPERLINK("https://us2.cloudbeds.com/connect/10074733072513#/reservations/31727161532655?display=MXEZGWTE5&amp;reservation_id=31727161532655", "MXEZGWTE5")</f>
        <v>MXEZGWTE5</v>
      </c>
      <c r="B11740" t="s">
        <v>10</v>
      </c>
      <c r="C11740" t="s">
        <v>23</v>
      </c>
      <c r="D11740" t="str">
        <f>HYPERLINK("https://us2.cloudbeds.com/connect/10074733072513#/reservations/31727161532655?display=Rochelle%20Bartels&amp;reservation_id=31727161532655&amp;guest_id=31727161532650", "Rochelle Bartels")</f>
        <v>Rochelle Bartels</v>
      </c>
      <c r="E11740" t="s">
        <v>10933</v>
      </c>
      <c r="F11740" t="s">
        <v>10792</v>
      </c>
      <c r="G11740">
        <v>139</v>
      </c>
      <c r="H11740">
        <v>151.1</v>
      </c>
      <c r="I11740">
        <v>151.09</v>
      </c>
      <c r="J11740">
        <v>0.01</v>
      </c>
    </row>
    <row r="11741" spans="1:10" x14ac:dyDescent="0.3">
      <c r="A11741" t="str">
        <f>HYPERLINK("https://us2.cloudbeds.com/connect/10074733072513#/reservations/31721854279874?display=MXAKTPP2A&amp;reservation_id=31721854279874", "MXAKTPP2A")</f>
        <v>MXAKTPP2A</v>
      </c>
      <c r="B11741" t="s">
        <v>10</v>
      </c>
      <c r="C11741" t="s">
        <v>23</v>
      </c>
      <c r="D11741" t="str">
        <f>HYPERLINK("https://us2.cloudbeds.com/connect/10074733072513#/reservations/31721854279874?display=Kristin%20Braun&amp;reservation_id=31721854279874&amp;guest_id=31721854275788", "Kristin Braun")</f>
        <v>Kristin Braun</v>
      </c>
      <c r="E11741" t="s">
        <v>10934</v>
      </c>
      <c r="F11741" t="s">
        <v>10288</v>
      </c>
      <c r="G11741">
        <v>189</v>
      </c>
      <c r="H11741">
        <v>205.45</v>
      </c>
      <c r="I11741">
        <v>205.44</v>
      </c>
      <c r="J11741">
        <v>0.01</v>
      </c>
    </row>
    <row r="11742" spans="1:10" x14ac:dyDescent="0.3">
      <c r="A11742" t="str">
        <f>HYPERLINK("https://us2.cloudbeds.com/connect/10074733072513#/reservations/31724640940195?display=MXCQ3XMQF&amp;reservation_id=31724640940195", "MXCQ3XMQF")</f>
        <v>MXCQ3XMQF</v>
      </c>
      <c r="B11742" t="s">
        <v>10</v>
      </c>
      <c r="C11742" t="s">
        <v>23</v>
      </c>
      <c r="D11742" t="str">
        <f>HYPERLINK("https://us2.cloudbeds.com/connect/10074733072513#/reservations/31724640940195?display=Matthew%20Brown&amp;reservation_id=31724640940195&amp;guest_id=31724640936093", "Matthew Brown")</f>
        <v>Matthew Brown</v>
      </c>
      <c r="E11742" t="s">
        <v>10935</v>
      </c>
      <c r="F11742" t="s">
        <v>10876</v>
      </c>
      <c r="G11742">
        <v>119</v>
      </c>
      <c r="H11742">
        <v>129.36000000000001</v>
      </c>
      <c r="I11742">
        <v>129.35</v>
      </c>
      <c r="J11742">
        <v>0.01</v>
      </c>
    </row>
    <row r="11743" spans="1:10" x14ac:dyDescent="0.3">
      <c r="A11743" t="str">
        <f>HYPERLINK("https://us2.cloudbeds.com/connect/10074733072513#/reservations/31726928634012?display=MXEXXK4ZH&amp;reservation_id=31726928634012", "MXEXXK4ZH")</f>
        <v>MXEXXK4ZH</v>
      </c>
      <c r="B11743" t="s">
        <v>10</v>
      </c>
      <c r="C11743" t="s">
        <v>23</v>
      </c>
      <c r="D11743" t="str">
        <f>HYPERLINK("https://us2.cloudbeds.com/connect/10074733072513#/reservations/31726928634012?display=Michael%20Heppler&amp;reservation_id=31726928634012&amp;guest_id=31726928634008", "Michael Heppler")</f>
        <v>Michael Heppler</v>
      </c>
      <c r="E11743" t="s">
        <v>10936</v>
      </c>
      <c r="F11743" t="s">
        <v>10780</v>
      </c>
      <c r="G11743">
        <v>238</v>
      </c>
      <c r="H11743">
        <v>258.72000000000003</v>
      </c>
      <c r="I11743">
        <v>258.70999999999998</v>
      </c>
      <c r="J11743">
        <v>0.01</v>
      </c>
    </row>
    <row r="11744" spans="1:10" x14ac:dyDescent="0.3">
      <c r="A11744" t="str">
        <f>HYPERLINK("https://us2.cloudbeds.com/connect/10074733072513#/reservations/31721885696149?display=MXAYN8VQY&amp;reservation_id=31721885696149", "MXAYN8VQY")</f>
        <v>MXAYN8VQY</v>
      </c>
      <c r="B11744" t="s">
        <v>10</v>
      </c>
      <c r="C11744" t="s">
        <v>42</v>
      </c>
      <c r="D11744" t="str">
        <f>HYPERLINK("https://us2.cloudbeds.com/connect/10074733072513#/reservations/31721885696149?display=Laurel%20Laubach&amp;reservation_id=31721885696149&amp;guest_id=31721885692049", "Laurel Laubach")</f>
        <v>Laurel Laubach</v>
      </c>
      <c r="E11744" t="s">
        <v>10937</v>
      </c>
      <c r="F11744" t="s">
        <v>10768</v>
      </c>
      <c r="G11744">
        <v>218</v>
      </c>
      <c r="H11744">
        <v>236.98</v>
      </c>
      <c r="I11744">
        <v>236.97</v>
      </c>
      <c r="J11744">
        <v>0.01</v>
      </c>
    </row>
    <row r="11745" spans="1:10" x14ac:dyDescent="0.3">
      <c r="A11745" t="str">
        <f>HYPERLINK("https://us2.cloudbeds.com/connect/10074733072513#/reservations/31724613046497?display=MXCPD1GZT&amp;reservation_id=31724613046497", "MXCPD1GZT")</f>
        <v>MXCPD1GZT</v>
      </c>
      <c r="B11745" t="s">
        <v>10</v>
      </c>
      <c r="C11745" t="s">
        <v>121</v>
      </c>
      <c r="D11745" t="str">
        <f>HYPERLINK("https://us2.cloudbeds.com/connect/10074733072513#/reservations/31724613046497?display=Lucas%20Wosje&amp;reservation_id=31724613046497&amp;guest_id=31687794884827", "Lucas Wosje")</f>
        <v>Lucas Wosje</v>
      </c>
      <c r="E11745" t="s">
        <v>7900</v>
      </c>
      <c r="F11745" t="s">
        <v>10476</v>
      </c>
      <c r="G11745">
        <v>179</v>
      </c>
      <c r="H11745">
        <v>194.58</v>
      </c>
      <c r="I11745">
        <v>194.57</v>
      </c>
      <c r="J11745">
        <v>0.01</v>
      </c>
    </row>
    <row r="11746" spans="1:10" x14ac:dyDescent="0.3">
      <c r="A11746" t="str">
        <f>HYPERLINK("https://us2.cloudbeds.com/connect/10074733072513#/reservations/31716023931012?display=MX63UFNC2&amp;reservation_id=31716023931012", "MX63UFNC2")</f>
        <v>MX63UFNC2</v>
      </c>
      <c r="B11746" t="s">
        <v>10</v>
      </c>
      <c r="C11746" t="s">
        <v>42</v>
      </c>
      <c r="D11746" t="str">
        <f>HYPERLINK("https://us2.cloudbeds.com/connect/10074733072513#/reservations/31716023931012?display=Donna%20Prather&amp;reservation_id=31716023931012&amp;guest_id=31716023926920", "Donna Prather")</f>
        <v>Donna Prather</v>
      </c>
      <c r="E11746" t="s">
        <v>10939</v>
      </c>
      <c r="F11746" t="s">
        <v>9926</v>
      </c>
      <c r="G11746">
        <v>139</v>
      </c>
      <c r="H11746">
        <v>151.1</v>
      </c>
      <c r="I11746">
        <v>151.09</v>
      </c>
      <c r="J11746">
        <v>0.01</v>
      </c>
    </row>
    <row r="11747" spans="1:10" x14ac:dyDescent="0.3">
      <c r="A11747" t="str">
        <f>HYPERLINK("https://us2.cloudbeds.com/connect/10074733072513#/reservations/31724700774595?display=MXCRY0M53&amp;reservation_id=31724700774595", "MXCRY0M53")</f>
        <v>MXCRY0M53</v>
      </c>
      <c r="B11747" t="s">
        <v>10</v>
      </c>
      <c r="C11747" t="s">
        <v>23</v>
      </c>
      <c r="D11747" t="str">
        <f>HYPERLINK("https://us2.cloudbeds.com/connect/10074733072513#/reservations/31724700774595?display=Roy%20Oberle&amp;reservation_id=31724700774595&amp;guest_id=31724691919030", "Roy Oberle")</f>
        <v>Roy Oberle</v>
      </c>
      <c r="E11747" t="s">
        <v>10940</v>
      </c>
      <c r="F11747" t="s">
        <v>10678</v>
      </c>
      <c r="G11747">
        <v>129</v>
      </c>
      <c r="H11747">
        <v>140.22999999999999</v>
      </c>
      <c r="I11747">
        <v>140.22</v>
      </c>
      <c r="J11747">
        <v>0.01</v>
      </c>
    </row>
    <row r="11748" spans="1:10" x14ac:dyDescent="0.3">
      <c r="A11748" t="str">
        <f>HYPERLINK("https://us2.cloudbeds.com/connect/10074733072513#/reservations/31723201110220?display=MXBMAF9T3&amp;reservation_id=31723201110220", "MXBMAF9T3")</f>
        <v>MXBMAF9T3</v>
      </c>
      <c r="B11748" t="s">
        <v>10</v>
      </c>
      <c r="C11748" t="s">
        <v>23</v>
      </c>
      <c r="D11748" t="str">
        <f>HYPERLINK("https://us2.cloudbeds.com/connect/10074733072513#/reservations/31723201110220?display=Joel%20Wilkens&amp;reservation_id=31723201110220&amp;guest_id=31723201106118", "Joel Wilkens")</f>
        <v>Joel Wilkens</v>
      </c>
      <c r="E11748" t="s">
        <v>10941</v>
      </c>
      <c r="F11748" t="s">
        <v>10615</v>
      </c>
      <c r="G11748">
        <v>169</v>
      </c>
      <c r="H11748">
        <v>183.71</v>
      </c>
      <c r="I11748">
        <v>183.7</v>
      </c>
      <c r="J11748">
        <v>0.01</v>
      </c>
    </row>
    <row r="11749" spans="1:10" x14ac:dyDescent="0.3">
      <c r="A11749" t="str">
        <f>HYPERLINK("https://us2.cloudbeds.com/connect/10074733072513#/reservations/31726546964625?display=MXE8QPKQH&amp;reservation_id=31726546964625", "MXE8QPKQH")</f>
        <v>MXE8QPKQH</v>
      </c>
      <c r="B11749" t="s">
        <v>10</v>
      </c>
      <c r="C11749" t="s">
        <v>42</v>
      </c>
      <c r="D11749" t="str">
        <f>HYPERLINK("https://us2.cloudbeds.com/connect/10074733072513#/reservations/31726546964625?display=Cierra%20Roth&amp;reservation_id=31726546964625&amp;guest_id=31726546964621", "Cierra Roth")</f>
        <v>Cierra Roth</v>
      </c>
      <c r="E11749" t="s">
        <v>10931</v>
      </c>
      <c r="F11749" t="s">
        <v>10288</v>
      </c>
      <c r="G11749">
        <v>149</v>
      </c>
      <c r="H11749">
        <v>161.97</v>
      </c>
      <c r="I11749">
        <v>161.96</v>
      </c>
      <c r="J11749">
        <v>0.01</v>
      </c>
    </row>
    <row r="11750" spans="1:10" x14ac:dyDescent="0.3">
      <c r="A11750" t="str">
        <f>HYPERLINK("https://us2.cloudbeds.com/connect/10074733072513#/reservations/31716018897071?display=MX63Q7KRD&amp;reservation_id=31716018897071", "MX63Q7KRD")</f>
        <v>MX63Q7KRD</v>
      </c>
      <c r="B11750" t="s">
        <v>10</v>
      </c>
      <c r="C11750" t="s">
        <v>42</v>
      </c>
      <c r="D11750" t="str">
        <f>HYPERLINK("https://us2.cloudbeds.com/connect/10074733072513#/reservations/31716018897071?display=Jill%20Lamer%20Bride%20And%20Groom&amp;reservation_id=31716018897071&amp;guest_id=31716006707415", "Jill Lamer Bride And Groom")</f>
        <v>Jill Lamer Bride And Groom</v>
      </c>
      <c r="E11750" t="s">
        <v>10942</v>
      </c>
      <c r="F11750" t="s">
        <v>9926</v>
      </c>
      <c r="G11750">
        <v>139</v>
      </c>
      <c r="H11750">
        <v>151.1</v>
      </c>
      <c r="I11750">
        <v>151.09</v>
      </c>
      <c r="J11750">
        <v>0.01</v>
      </c>
    </row>
    <row r="11751" spans="1:10" x14ac:dyDescent="0.3">
      <c r="A11751" t="str">
        <f>HYPERLINK("https://us2.cloudbeds.com/connect/10074733072513#/reservations/31727171162243?display=MXEZP3S0S&amp;reservation_id=31727171162243", "MXEZP3S0S")</f>
        <v>MXEZP3S0S</v>
      </c>
      <c r="B11751" t="s">
        <v>10</v>
      </c>
      <c r="C11751" t="s">
        <v>23</v>
      </c>
      <c r="D11751" t="str">
        <f>HYPERLINK("https://us2.cloudbeds.com/connect/10074733072513#/reservations/31727171162243?display=Addison%20Juhnke&amp;reservation_id=31727171162243&amp;guest_id=31727171158207", "Addison Juhnke")</f>
        <v>Addison Juhnke</v>
      </c>
      <c r="E11751" t="s">
        <v>10943</v>
      </c>
      <c r="F11751" t="s">
        <v>10792</v>
      </c>
      <c r="G11751">
        <v>189</v>
      </c>
      <c r="H11751">
        <v>205.45</v>
      </c>
      <c r="I11751">
        <v>205.44</v>
      </c>
      <c r="J11751">
        <v>0.01</v>
      </c>
    </row>
    <row r="11752" spans="1:10" x14ac:dyDescent="0.3">
      <c r="A11752" t="str">
        <f>HYPERLINK("https://us2.cloudbeds.com/connect/10074733072513#/reservations/31727348121751?display=MXET9B096&amp;reservation_id=31727348121751", "MXET9B096")</f>
        <v>MXET9B096</v>
      </c>
      <c r="B11752" t="s">
        <v>10</v>
      </c>
      <c r="C11752" t="s">
        <v>20</v>
      </c>
      <c r="D11752" t="str">
        <f>HYPERLINK("https://us2.cloudbeds.com/connect/10074733072513#/reservations/31727348121751?display=Douglas%20Sipma&amp;reservation_id=31727348121751&amp;guest_id=31727348121746", "Douglas Sipma")</f>
        <v>Douglas Sipma</v>
      </c>
      <c r="E11752" t="s">
        <v>10944</v>
      </c>
      <c r="F11752" t="s">
        <v>10945</v>
      </c>
      <c r="G11752">
        <v>119</v>
      </c>
      <c r="H11752">
        <v>129.36000000000001</v>
      </c>
      <c r="I11752">
        <v>129.35</v>
      </c>
      <c r="J11752">
        <v>0.01</v>
      </c>
    </row>
    <row r="11753" spans="1:10" x14ac:dyDescent="0.3">
      <c r="A11753" t="str">
        <f>HYPERLINK("https://us2.cloudbeds.com/connect/10074733072513#/reservations/31724733739258?display=MXCSFQVZ9&amp;reservation_id=31724733739258", "MXCSFQVZ9")</f>
        <v>MXCSFQVZ9</v>
      </c>
      <c r="B11753" t="s">
        <v>10</v>
      </c>
      <c r="C11753" t="s">
        <v>14</v>
      </c>
      <c r="D11753" t="str">
        <f>HYPERLINK("https://us2.cloudbeds.com/connect/10074733072513#/reservations/31724733739258?display=William%20Long&amp;reservation_id=31724733739258&amp;guest_id=31724733739250", "William Long")</f>
        <v>William Long</v>
      </c>
      <c r="E11753" t="s">
        <v>10946</v>
      </c>
      <c r="F11753" t="s">
        <v>10678</v>
      </c>
      <c r="G11753">
        <v>102.58</v>
      </c>
      <c r="H11753">
        <v>111.51</v>
      </c>
      <c r="I11753">
        <v>111.5</v>
      </c>
      <c r="J11753">
        <v>0.01</v>
      </c>
    </row>
    <row r="11754" spans="1:10" x14ac:dyDescent="0.3">
      <c r="A11754" t="str">
        <f>HYPERLINK("https://us2.cloudbeds.com/connect/10074733072513#/reservations/31725061279873?display=MXD3S08YF&amp;reservation_id=31725061279873", "MXD3S08YF")</f>
        <v>MXD3S08YF</v>
      </c>
      <c r="B11754" t="s">
        <v>10</v>
      </c>
      <c r="C11754" t="s">
        <v>17</v>
      </c>
      <c r="D11754" t="str">
        <f>HYPERLINK("https://us2.cloudbeds.com/connect/10074733072513#/reservations/31725061279873?display=Jessica%20Stevens&amp;reservation_id=31725061279873&amp;guest_id=31690677629115", "Jessica Stevens")</f>
        <v>Jessica Stevens</v>
      </c>
      <c r="E11754" t="s">
        <v>8006</v>
      </c>
      <c r="F11754" t="s">
        <v>10947</v>
      </c>
      <c r="G11754">
        <v>278</v>
      </c>
      <c r="H11754">
        <v>302.2</v>
      </c>
      <c r="I11754">
        <v>302.19</v>
      </c>
      <c r="J11754">
        <v>0.01</v>
      </c>
    </row>
    <row r="11755" spans="1:10" x14ac:dyDescent="0.3">
      <c r="A11755" t="str">
        <f>HYPERLINK("https://us2.cloudbeds.com/connect/10074733072513#/reservations/31721876091015?display=MXAYF5MYW&amp;reservation_id=31721876091015", "MXAYF5MYW")</f>
        <v>MXAYF5MYW</v>
      </c>
      <c r="B11755" t="s">
        <v>10</v>
      </c>
      <c r="C11755" t="s">
        <v>42</v>
      </c>
      <c r="D11755" t="str">
        <f>HYPERLINK("https://us2.cloudbeds.com/connect/10074733072513#/reservations/31721876091015?display=Evan%20Schroedermeier&amp;reservation_id=31721876091015&amp;guest_id=31721876091010", "Evan Schroedermeier")</f>
        <v>Evan Schroedermeier</v>
      </c>
      <c r="E11755" t="s">
        <v>10948</v>
      </c>
      <c r="F11755" t="s">
        <v>10768</v>
      </c>
      <c r="G11755">
        <v>109</v>
      </c>
      <c r="H11755">
        <v>118.49</v>
      </c>
      <c r="I11755">
        <v>118.48</v>
      </c>
      <c r="J11755">
        <v>0.01</v>
      </c>
    </row>
    <row r="11756" spans="1:10" x14ac:dyDescent="0.3">
      <c r="A11756" t="str">
        <f>HYPERLINK("https://us2.cloudbeds.com/connect/10074733072513#/reservations/31724377489634?display=MXCJCDQ34&amp;reservation_id=31724377489634", "MXCJCDQ34")</f>
        <v>MXCJCDQ34</v>
      </c>
      <c r="B11756" t="s">
        <v>10</v>
      </c>
      <c r="C11756" t="s">
        <v>121</v>
      </c>
      <c r="D11756" t="str">
        <f>HYPERLINK("https://us2.cloudbeds.com/connect/10074733072513#/reservations/31724377489634?display=Brenda%20Burton&amp;reservation_id=31724377489634&amp;guest_id=31724377489629", "Brenda Burton")</f>
        <v>Brenda Burton</v>
      </c>
      <c r="E11756" t="s">
        <v>10949</v>
      </c>
      <c r="F11756" t="s">
        <v>10780</v>
      </c>
      <c r="G11756">
        <v>109</v>
      </c>
      <c r="H11756">
        <v>118.49</v>
      </c>
      <c r="I11756">
        <v>118.48</v>
      </c>
      <c r="J11756">
        <v>0.01</v>
      </c>
    </row>
    <row r="11757" spans="1:10" x14ac:dyDescent="0.3">
      <c r="A11757" t="str">
        <f>HYPERLINK("https://us2.cloudbeds.com/connect/10074733072513#/reservations/31722915872938?display=MXBF0V503&amp;reservation_id=31722915872938", "MXBF0V503")</f>
        <v>MXBF0V503</v>
      </c>
      <c r="B11757" t="s">
        <v>10</v>
      </c>
      <c r="C11757" t="s">
        <v>42</v>
      </c>
      <c r="D11757" t="str">
        <f>HYPERLINK("https://us2.cloudbeds.com/connect/10074733072513#/reservations/31722915872938?display=Andrew%20Sihrer&amp;reservation_id=31722915872938&amp;guest_id=31722915872933", "Andrew Sihrer")</f>
        <v>Andrew Sihrer</v>
      </c>
      <c r="E11757" t="s">
        <v>8325</v>
      </c>
      <c r="F11757" t="s">
        <v>10678</v>
      </c>
      <c r="G11757">
        <v>73</v>
      </c>
      <c r="H11757">
        <v>79.36</v>
      </c>
      <c r="I11757">
        <v>79.349999999999994</v>
      </c>
      <c r="J11757">
        <v>0.01</v>
      </c>
    </row>
    <row r="11758" spans="1:10" x14ac:dyDescent="0.3">
      <c r="A11758" t="str">
        <f>HYPERLINK("https://us2.cloudbeds.com/connect/10074733072513#/reservations/31727326109851?display=MXESNPGAU&amp;reservation_id=31727326109851", "MXESNPGAU")</f>
        <v>MXESNPGAU</v>
      </c>
      <c r="B11758" t="s">
        <v>10</v>
      </c>
      <c r="C11758" t="s">
        <v>11</v>
      </c>
      <c r="D11758" t="str">
        <f>HYPERLINK("https://us2.cloudbeds.com/connect/10074733072513#/reservations/31727326109851?display=Clay%20Knight&amp;reservation_id=31727326109851&amp;guest_id=31727326109849", "Clay Knight")</f>
        <v>Clay Knight</v>
      </c>
      <c r="E11758" t="s">
        <v>10951</v>
      </c>
      <c r="F11758" t="s">
        <v>10945</v>
      </c>
      <c r="G11758">
        <v>87.82</v>
      </c>
      <c r="H11758">
        <v>95.47</v>
      </c>
      <c r="I11758">
        <v>95.46</v>
      </c>
      <c r="J11758">
        <v>0.01</v>
      </c>
    </row>
    <row r="11759" spans="1:10" x14ac:dyDescent="0.3">
      <c r="A11759" t="str">
        <f>HYPERLINK("https://us2.cloudbeds.com/connect/10074733072513#/reservations/31724700778702?display=MXCRY0PUX&amp;reservation_id=31724700778702", "MXCRY0PUX")</f>
        <v>MXCRY0PUX</v>
      </c>
      <c r="B11759" t="s">
        <v>10</v>
      </c>
      <c r="C11759" t="s">
        <v>42</v>
      </c>
      <c r="D11759" t="str">
        <f>HYPERLINK("https://us2.cloudbeds.com/connect/10074733072513#/reservations/31724700778702?display=Daryl%20Schleeter&amp;reservation_id=31724700778702&amp;guest_id=31724700778699", "Daryl Schleeter")</f>
        <v>Daryl Schleeter</v>
      </c>
      <c r="E11759" t="s">
        <v>9387</v>
      </c>
      <c r="F11759" t="s">
        <v>10678</v>
      </c>
      <c r="G11759">
        <v>89</v>
      </c>
      <c r="H11759">
        <v>96.75</v>
      </c>
      <c r="I11759">
        <v>96.74</v>
      </c>
      <c r="J11759">
        <v>0.01</v>
      </c>
    </row>
    <row r="11760" spans="1:10" x14ac:dyDescent="0.3">
      <c r="A11760" t="str">
        <f>HYPERLINK("https://us2.cloudbeds.com/connect/10074733072513#/reservations/31726759645352?display=MXEE83PU1&amp;reservation_id=31726759645352", "MXEE83PU1")</f>
        <v>MXEE83PU1</v>
      </c>
      <c r="B11760" t="s">
        <v>10</v>
      </c>
      <c r="C11760" t="s">
        <v>20</v>
      </c>
      <c r="D11760" t="str">
        <f>HYPERLINK("https://us2.cloudbeds.com/connect/10074733072513#/reservations/31726759645352?display=Mandy%20Twedt&amp;reservation_id=31726759645352&amp;guest_id=31726759645350", "Mandy Twedt")</f>
        <v>Mandy Twedt</v>
      </c>
      <c r="E11760" t="s">
        <v>10952</v>
      </c>
      <c r="F11760" t="s">
        <v>10288</v>
      </c>
      <c r="G11760">
        <v>169</v>
      </c>
      <c r="H11760">
        <v>183.71</v>
      </c>
      <c r="I11760">
        <v>183.7</v>
      </c>
      <c r="J11760">
        <v>0.01</v>
      </c>
    </row>
    <row r="11761" spans="1:10" x14ac:dyDescent="0.3">
      <c r="A11761" t="str">
        <f>HYPERLINK("https://us2.cloudbeds.com/connect/10074733072513#/reservations/31727106633856?display=MXEN3N4K0&amp;reservation_id=31727106633856", "MXEN3N4K0")</f>
        <v>MXEN3N4K0</v>
      </c>
      <c r="B11761" t="s">
        <v>10</v>
      </c>
      <c r="C11761" t="s">
        <v>23</v>
      </c>
      <c r="D11761" t="str">
        <f>HYPERLINK("https://us2.cloudbeds.com/connect/10074733072513#/reservations/31727106633856?display=Zane%20Rohde&amp;reservation_id=31727106633856&amp;guest_id=31693970927784", "Zane Rohde")</f>
        <v>Zane Rohde</v>
      </c>
      <c r="E11761" t="s">
        <v>8933</v>
      </c>
      <c r="F11761" t="s">
        <v>10792</v>
      </c>
      <c r="G11761">
        <v>159</v>
      </c>
      <c r="H11761">
        <v>172.84</v>
      </c>
      <c r="I11761">
        <v>172.83</v>
      </c>
      <c r="J11761">
        <v>0.01</v>
      </c>
    </row>
    <row r="11762" spans="1:10" x14ac:dyDescent="0.3">
      <c r="A11762" t="str">
        <f>HYPERLINK("https://us2.cloudbeds.com/connect/10074733072513#/reservations/31726891933848?display=MXEHKYTVB&amp;reservation_id=31726891933848", "MXEHKYTVB")</f>
        <v>MXEHKYTVB</v>
      </c>
      <c r="B11762" t="s">
        <v>10</v>
      </c>
      <c r="C11762" t="s">
        <v>121</v>
      </c>
      <c r="D11762" t="str">
        <f>HYPERLINK("https://us2.cloudbeds.com/connect/10074733072513#/reservations/31726891933848?display=Jason%20Pavan%20Suchy&amp;reservation_id=31726891933848&amp;guest_id=31726891933844", "Jason Pavan Suchy")</f>
        <v>Jason Pavan Suchy</v>
      </c>
      <c r="E11762" t="s">
        <v>10953</v>
      </c>
      <c r="F11762" t="s">
        <v>10780</v>
      </c>
      <c r="G11762">
        <v>109</v>
      </c>
      <c r="H11762">
        <v>118.49</v>
      </c>
      <c r="I11762">
        <v>118.48</v>
      </c>
      <c r="J11762">
        <v>0.01</v>
      </c>
    </row>
    <row r="11763" spans="1:10" x14ac:dyDescent="0.3">
      <c r="A11763" t="str">
        <f>HYPERLINK("https://us2.cloudbeds.com/connect/10074733072513#/reservations/31727132119247?display=MXENP6DSP&amp;reservation_id=31727132119247", "MXENP6DSP")</f>
        <v>MXENP6DSP</v>
      </c>
      <c r="B11763" t="s">
        <v>10</v>
      </c>
      <c r="C11763" t="s">
        <v>42</v>
      </c>
      <c r="D11763" t="str">
        <f>HYPERLINK("https://us2.cloudbeds.com/connect/10074733072513#/reservations/31727132119247?display=Elly%20Jo%20Wagner&amp;reservation_id=31727132119247&amp;guest_id=31727132119242", "Elly Jo Wagner")</f>
        <v>Elly Jo Wagner</v>
      </c>
      <c r="E11763" t="s">
        <v>10956</v>
      </c>
      <c r="F11763" t="s">
        <v>10792</v>
      </c>
      <c r="G11763">
        <v>159</v>
      </c>
      <c r="H11763">
        <v>172.84</v>
      </c>
      <c r="I11763">
        <v>172.83</v>
      </c>
      <c r="J11763">
        <v>0.01</v>
      </c>
    </row>
    <row r="11764" spans="1:10" x14ac:dyDescent="0.3">
      <c r="A11764" t="str">
        <f>HYPERLINK("https://us2.cloudbeds.com/connect/10074733072513#/reservations/31727113879766?display=MXEN9QT17&amp;reservation_id=31727113879766", "MXEN9QT17")</f>
        <v>MXEN9QT17</v>
      </c>
      <c r="B11764" t="s">
        <v>10</v>
      </c>
      <c r="C11764" t="s">
        <v>42</v>
      </c>
      <c r="D11764" t="str">
        <f>HYPERLINK("https://us2.cloudbeds.com/connect/10074733072513#/reservations/31727113879766?display=Neil%20Hylla&amp;reservation_id=31727113879766&amp;guest_id=30670310641891", "Neil Hylla")</f>
        <v>Neil Hylla</v>
      </c>
      <c r="E11764" t="s">
        <v>10958</v>
      </c>
      <c r="F11764" t="s">
        <v>10792</v>
      </c>
      <c r="G11764">
        <v>159</v>
      </c>
      <c r="H11764">
        <v>172.84</v>
      </c>
      <c r="I11764">
        <v>172.83</v>
      </c>
      <c r="J11764">
        <v>0.01</v>
      </c>
    </row>
    <row r="11765" spans="1:10" x14ac:dyDescent="0.3">
      <c r="A11765" t="str">
        <f>HYPERLINK("https://us2.cloudbeds.com/connect/10074733072513#/reservations/31724352163972?display=MXCXZ226R&amp;reservation_id=31724352163972", "MXCXZ226R")</f>
        <v>MXCXZ226R</v>
      </c>
      <c r="B11765" t="s">
        <v>10</v>
      </c>
      <c r="C11765" t="s">
        <v>121</v>
      </c>
      <c r="D11765" t="str">
        <f>HYPERLINK("https://us2.cloudbeds.com/connect/10074733072513#/reservations/31724352163972?display=Jacob%20Kayser&amp;reservation_id=31724352163972&amp;guest_id=31724352159935", "Jacob Kayser")</f>
        <v>Jacob Kayser</v>
      </c>
      <c r="E11765" t="s">
        <v>10959</v>
      </c>
      <c r="F11765" t="s">
        <v>10780</v>
      </c>
      <c r="G11765">
        <v>109</v>
      </c>
      <c r="H11765">
        <v>118.49</v>
      </c>
      <c r="I11765">
        <v>118.48</v>
      </c>
      <c r="J11765">
        <v>0.01</v>
      </c>
    </row>
    <row r="11766" spans="1:10" x14ac:dyDescent="0.3">
      <c r="A11766" t="str">
        <f>HYPERLINK("https://us2.cloudbeds.com/connect/10074733072513#/reservations/31724396527813?display=MXCJSFXBY&amp;reservation_id=31724396527813", "MXCJSFXBY")</f>
        <v>MXCJSFXBY</v>
      </c>
      <c r="B11766" t="s">
        <v>10</v>
      </c>
      <c r="C11766" t="s">
        <v>121</v>
      </c>
      <c r="D11766" t="str">
        <f>HYPERLINK("https://us2.cloudbeds.com/connect/10074733072513#/reservations/31724396527813?display=Blow%20Rebecca&amp;reservation_id=31724396527813&amp;guest_id=31724386734261", "Blow Rebecca")</f>
        <v>Blow Rebecca</v>
      </c>
      <c r="E11766" t="s">
        <v>10960</v>
      </c>
      <c r="F11766" t="s">
        <v>10780</v>
      </c>
      <c r="G11766">
        <v>109</v>
      </c>
      <c r="H11766">
        <v>118.49</v>
      </c>
      <c r="I11766">
        <v>118.48</v>
      </c>
      <c r="J11766">
        <v>0.01</v>
      </c>
    </row>
    <row r="11767" spans="1:10" x14ac:dyDescent="0.3">
      <c r="A11767" t="str">
        <f>HYPERLINK("https://us2.cloudbeds.com/connect/10074733072513#/reservations/31727152632027?display=MXEZ9G775&amp;reservation_id=31727152632027", "MXEZ9G775")</f>
        <v>MXEZ9G775</v>
      </c>
      <c r="B11767" t="s">
        <v>10</v>
      </c>
      <c r="C11767" t="s">
        <v>121</v>
      </c>
      <c r="D11767" t="str">
        <f>HYPERLINK("https://us2.cloudbeds.com/connect/10074733072513#/reservations/31727152632027?display=Brigitte%20Delk&amp;reservation_id=31727152632027&amp;guest_id=31727152632022", "Brigitte Delk")</f>
        <v>Brigitte Delk</v>
      </c>
      <c r="E11767" t="s">
        <v>10961</v>
      </c>
      <c r="F11767" t="s">
        <v>10792</v>
      </c>
      <c r="G11767">
        <v>159</v>
      </c>
      <c r="H11767">
        <v>172.84</v>
      </c>
      <c r="I11767">
        <v>172.83</v>
      </c>
      <c r="J11767">
        <v>0.01</v>
      </c>
    </row>
    <row r="11768" spans="1:10" x14ac:dyDescent="0.3">
      <c r="A11768" t="str">
        <f>HYPERLINK("https://us2.cloudbeds.com/connect/10074733072513#/reservations/31727100641516?display=MXEMVYGN4&amp;reservation_id=31727100641516", "MXEMVYGN4")</f>
        <v>MXEMVYGN4</v>
      </c>
      <c r="B11768" t="s">
        <v>10</v>
      </c>
      <c r="C11768" t="s">
        <v>121</v>
      </c>
      <c r="D11768" t="str">
        <f>HYPERLINK("https://us2.cloudbeds.com/connect/10074733072513#/reservations/31727100641516?display=Courtney%20Smith&amp;reservation_id=31727100641516&amp;guest_id=31727086563541", "Courtney Smith")</f>
        <v>Courtney Smith</v>
      </c>
      <c r="E11768" t="s">
        <v>10965</v>
      </c>
      <c r="F11768" t="s">
        <v>10792</v>
      </c>
      <c r="G11768">
        <v>159</v>
      </c>
      <c r="H11768">
        <v>172.84</v>
      </c>
      <c r="I11768">
        <v>172.83</v>
      </c>
      <c r="J11768">
        <v>0.01</v>
      </c>
    </row>
    <row r="11769" spans="1:10" x14ac:dyDescent="0.3">
      <c r="A11769" t="str">
        <f>HYPERLINK("https://us2.cloudbeds.com/connect/10074733072513#/reservations/31725508681921?display=MXDF98T59&amp;reservation_id=31725508681921", "MXDF98T59")</f>
        <v>MXDF98T59</v>
      </c>
      <c r="B11769" t="s">
        <v>10</v>
      </c>
      <c r="C11769" t="s">
        <v>42</v>
      </c>
      <c r="D11769" t="str">
        <f>HYPERLINK("https://us2.cloudbeds.com/connect/10074733072513#/reservations/31725508681921?display=Sherri%20Schneck&amp;reservation_id=31725508681921&amp;guest_id=31685482877170", "Sherri Schneck")</f>
        <v>Sherri Schneck</v>
      </c>
      <c r="E11769" t="s">
        <v>7085</v>
      </c>
      <c r="F11769" t="s">
        <v>10288</v>
      </c>
      <c r="G11769">
        <v>179</v>
      </c>
      <c r="H11769">
        <v>194.58</v>
      </c>
      <c r="I11769">
        <v>194.57</v>
      </c>
      <c r="J11769">
        <v>0.01</v>
      </c>
    </row>
    <row r="11770" spans="1:10" x14ac:dyDescent="0.3">
      <c r="A11770" t="str">
        <f>HYPERLINK("https://us2.cloudbeds.com/connect/10074733072513#/reservations/31725086589140?display=MXD4GBHFV&amp;reservation_id=31725086589140", "MXD4GBHFV")</f>
        <v>MXD4GBHFV</v>
      </c>
      <c r="B11770" t="s">
        <v>10</v>
      </c>
      <c r="C11770" t="s">
        <v>23</v>
      </c>
      <c r="D11770" t="str">
        <f>HYPERLINK("https://us2.cloudbeds.com/connect/10074733072513#/reservations/31725086589140?display=James%20Thovson&amp;reservation_id=31725086589140&amp;guest_id=31725086589129", "James Thovson")</f>
        <v>James Thovson</v>
      </c>
      <c r="E11770" t="s">
        <v>10966</v>
      </c>
      <c r="F11770" t="s">
        <v>10947</v>
      </c>
      <c r="G11770">
        <v>278</v>
      </c>
      <c r="H11770">
        <v>302.2</v>
      </c>
      <c r="I11770">
        <v>302.19</v>
      </c>
      <c r="J11770">
        <v>0.01</v>
      </c>
    </row>
    <row r="11771" spans="1:10" x14ac:dyDescent="0.3">
      <c r="A11771" t="str">
        <f>HYPERLINK("https://us2.cloudbeds.com/connect/10074733072513#/reservations/31718828814590?display=MX89JKZ13&amp;reservation_id=31718828814590", "MX89JKZ13")</f>
        <v>MX89JKZ13</v>
      </c>
      <c r="B11771" t="s">
        <v>10</v>
      </c>
      <c r="C11771" t="s">
        <v>23</v>
      </c>
      <c r="D11771" t="str">
        <f>HYPERLINK("https://us2.cloudbeds.com/connect/10074733072513#/reservations/31718828814590?display=Mike%20Hunhoff&amp;reservation_id=31718828814590&amp;guest_id=31718828814535", "Mike Hunhoff")</f>
        <v>Mike Hunhoff</v>
      </c>
      <c r="E11771" t="s">
        <v>9049</v>
      </c>
      <c r="F11771" t="s">
        <v>10969</v>
      </c>
      <c r="G11771">
        <v>736</v>
      </c>
      <c r="H11771">
        <v>800.04</v>
      </c>
      <c r="I11771">
        <v>800.03</v>
      </c>
      <c r="J11771">
        <v>0.01</v>
      </c>
    </row>
    <row r="11772" spans="1:10" x14ac:dyDescent="0.3">
      <c r="A11772" t="str">
        <f>HYPERLINK("https://us2.cloudbeds.com/connect/10074733072513#/reservations/31725751963804?display=MXDYGDXGX&amp;reservation_id=31725751963804", "MXDYGDXGX")</f>
        <v>MXDYGDXGX</v>
      </c>
      <c r="B11772" t="s">
        <v>10</v>
      </c>
      <c r="C11772" t="s">
        <v>121</v>
      </c>
      <c r="D11772" t="str">
        <f>HYPERLINK("https://us2.cloudbeds.com/connect/10074733072513#/reservations/31725751963804?display=Lori%20Service%20Master%20Restore&amp;reservation_id=31725751963804&amp;guest_id=31725751959719", "Lori Service Master Restore")</f>
        <v>Lori Service Master Restore</v>
      </c>
      <c r="E11772" t="s">
        <v>10828</v>
      </c>
      <c r="F11772" t="s">
        <v>10876</v>
      </c>
      <c r="G11772">
        <v>178</v>
      </c>
      <c r="H11772">
        <v>193.5</v>
      </c>
      <c r="I11772">
        <v>193.49</v>
      </c>
      <c r="J11772">
        <v>0.01</v>
      </c>
    </row>
    <row r="11773" spans="1:10" x14ac:dyDescent="0.3">
      <c r="A11773" t="str">
        <f>HYPERLINK("https://us2.cloudbeds.com/connect/10074733072513#/reservations/31724264431848?display=MXCGG2Q3K&amp;reservation_id=31724264431848", "MXCGG2Q3K")</f>
        <v>MXCGG2Q3K</v>
      </c>
      <c r="B11773" t="s">
        <v>10</v>
      </c>
      <c r="C11773" t="s">
        <v>121</v>
      </c>
      <c r="D11773" t="str">
        <f>HYPERLINK("https://us2.cloudbeds.com/connect/10074733072513#/reservations/31724264431848?display=Rose%20Hildebrandt&amp;reservation_id=31724264431848&amp;guest_id=31724254281873", "Rose Hildebrandt")</f>
        <v>Rose Hildebrandt</v>
      </c>
      <c r="E11773" t="s">
        <v>9710</v>
      </c>
      <c r="F11773" t="s">
        <v>10885</v>
      </c>
      <c r="G11773">
        <v>109</v>
      </c>
      <c r="H11773">
        <v>118.49</v>
      </c>
      <c r="I11773">
        <v>118.48</v>
      </c>
      <c r="J11773">
        <v>0.01</v>
      </c>
    </row>
    <row r="11774" spans="1:10" x14ac:dyDescent="0.3">
      <c r="A11774" t="str">
        <f>HYPERLINK("https://us2.cloudbeds.com/connect/10074733072513#/reservations/31725433266393?display=MXDDBMB28&amp;reservation_id=31725433266393", "MXDDBMB28")</f>
        <v>MXDDBMB28</v>
      </c>
      <c r="B11774" t="s">
        <v>10</v>
      </c>
      <c r="C11774" t="s">
        <v>42</v>
      </c>
      <c r="D11774" t="str">
        <f>HYPERLINK("https://us2.cloudbeds.com/connect/10074733072513#/reservations/31725433266393?display=Peggy%20Edlin&amp;reservation_id=31725433266393&amp;guest_id=31725433266391", "Peggy Edlin")</f>
        <v>Peggy Edlin</v>
      </c>
      <c r="E11774" t="s">
        <v>10971</v>
      </c>
      <c r="F11774" t="s">
        <v>9259</v>
      </c>
      <c r="G11774">
        <v>129</v>
      </c>
      <c r="H11774">
        <v>140.22999999999999</v>
      </c>
      <c r="I11774">
        <v>140.22</v>
      </c>
      <c r="J11774">
        <v>0.01</v>
      </c>
    </row>
    <row r="11775" spans="1:10" x14ac:dyDescent="0.3">
      <c r="A11775" t="str">
        <f>HYPERLINK("https://us2.cloudbeds.com/connect/10074733072513#/reservations/31724944978061?display=MXD0SUWP4&amp;reservation_id=31724944978061", "MXD0SUWP4")</f>
        <v>MXD0SUWP4</v>
      </c>
      <c r="B11775" t="s">
        <v>10</v>
      </c>
      <c r="C11775" t="s">
        <v>20</v>
      </c>
      <c r="D11775" t="str">
        <f>HYPERLINK("https://us2.cloudbeds.com/connect/10074733072513#/reservations/31724944978061?display=Wayne%20Koppman&amp;reservation_id=31724944978061&amp;guest_id=31724944973976", "Wayne Koppman")</f>
        <v>Wayne Koppman</v>
      </c>
      <c r="E11775" t="s">
        <v>10972</v>
      </c>
      <c r="F11775" t="s">
        <v>10973</v>
      </c>
      <c r="G11775">
        <v>338</v>
      </c>
      <c r="H11775">
        <v>367.42</v>
      </c>
      <c r="I11775">
        <v>367.41</v>
      </c>
      <c r="J11775">
        <v>0.01</v>
      </c>
    </row>
    <row r="11776" spans="1:10" x14ac:dyDescent="0.3">
      <c r="A11776" t="str">
        <f>HYPERLINK("https://us2.cloudbeds.com/connect/10074733072513#/reservations/31724189204705?display=MXCEXYG07&amp;reservation_id=31724189204705", "MXCEXYG07")</f>
        <v>MXCEXYG07</v>
      </c>
      <c r="B11776" t="s">
        <v>10</v>
      </c>
      <c r="C11776" t="s">
        <v>42</v>
      </c>
      <c r="D11776" t="str">
        <f>HYPERLINK("https://us2.cloudbeds.com/connect/10074733072513#/reservations/31724189204705?display=Mark%20Steigleder&amp;reservation_id=31724189204705&amp;guest_id=31700861939846", "Mark Steigleder")</f>
        <v>Mark Steigleder</v>
      </c>
      <c r="E11776" t="s">
        <v>8106</v>
      </c>
      <c r="F11776" t="s">
        <v>10968</v>
      </c>
      <c r="G11776">
        <v>89</v>
      </c>
      <c r="H11776">
        <v>96.75</v>
      </c>
      <c r="I11776">
        <v>96.74</v>
      </c>
      <c r="J11776">
        <v>0.01</v>
      </c>
    </row>
    <row r="11777" spans="1:10" x14ac:dyDescent="0.3">
      <c r="A11777" t="str">
        <f>HYPERLINK("https://us2.cloudbeds.com/connect/10074733072513#/reservations/31725194252437?display=MXD784DS3&amp;reservation_id=31725194252437", "MXD784DS3")</f>
        <v>MXD784DS3</v>
      </c>
      <c r="B11777" t="s">
        <v>10</v>
      </c>
      <c r="C11777" t="s">
        <v>17</v>
      </c>
      <c r="D11777" t="str">
        <f>HYPERLINK("https://us2.cloudbeds.com/connect/10074733072513#/reservations/31725194252437?display=Valara%20Mamot&amp;reservation_id=31725194252437&amp;guest_id=31725194248346", "Valara Mamot")</f>
        <v>Valara Mamot</v>
      </c>
      <c r="E11777" t="s">
        <v>10974</v>
      </c>
      <c r="F11777" t="s">
        <v>10812</v>
      </c>
      <c r="G11777">
        <v>159</v>
      </c>
      <c r="H11777">
        <v>172.84</v>
      </c>
      <c r="I11777">
        <v>172.83</v>
      </c>
      <c r="J11777">
        <v>0.01</v>
      </c>
    </row>
    <row r="11778" spans="1:10" x14ac:dyDescent="0.3">
      <c r="A11778" t="str">
        <f>HYPERLINK("https://us2.cloudbeds.com/connect/10074733072513#/reservations/31725202530521?display=MXD7F3PD4&amp;reservation_id=31725202530521", "MXD7F3PD4")</f>
        <v>MXD7F3PD4</v>
      </c>
      <c r="B11778" t="s">
        <v>10</v>
      </c>
      <c r="C11778" t="s">
        <v>17</v>
      </c>
      <c r="D11778" t="str">
        <f>HYPERLINK("https://us2.cloudbeds.com/connect/10074733072513#/reservations/31725202530521?display=Brandon%20Derby&amp;reservation_id=31725202530521&amp;guest_id=31694798725273", "Brandon Derby")</f>
        <v>Brandon Derby</v>
      </c>
      <c r="E11778" t="s">
        <v>8136</v>
      </c>
      <c r="F11778" t="s">
        <v>10947</v>
      </c>
      <c r="G11778">
        <v>358</v>
      </c>
      <c r="H11778">
        <v>389.16</v>
      </c>
      <c r="I11778">
        <v>389.15</v>
      </c>
      <c r="J11778">
        <v>0.01</v>
      </c>
    </row>
    <row r="11779" spans="1:10" x14ac:dyDescent="0.3">
      <c r="A11779" t="str">
        <f>HYPERLINK("https://us2.cloudbeds.com/connect/10074733072513#/reservations/31725032939675?display=MXD343YJJ&amp;reservation_id=31725032939675", "MXD343YJJ")</f>
        <v>MXD343YJJ</v>
      </c>
      <c r="B11779" t="s">
        <v>10</v>
      </c>
      <c r="C11779" t="s">
        <v>17</v>
      </c>
      <c r="D11779" t="str">
        <f>HYPERLINK("https://us2.cloudbeds.com/connect/10074733072513#/reservations/31725032939675?display=Molly%20Gunderson&amp;reservation_id=31725032939675&amp;guest_id=31725032939661", "Molly Gunderson")</f>
        <v>Molly Gunderson</v>
      </c>
      <c r="E11779" t="s">
        <v>10975</v>
      </c>
      <c r="F11779" t="s">
        <v>10947</v>
      </c>
      <c r="G11779">
        <v>358</v>
      </c>
      <c r="H11779">
        <v>389.16</v>
      </c>
      <c r="I11779">
        <v>389.15</v>
      </c>
      <c r="J11779">
        <v>0.01</v>
      </c>
    </row>
    <row r="11780" spans="1:10" x14ac:dyDescent="0.3">
      <c r="A11780" t="str">
        <f>HYPERLINK("https://us2.cloudbeds.com/connect/10074733072513#/reservations/31727375532254?display=MXETWEZKG&amp;reservation_id=31727375532254", "MXETWEZKG")</f>
        <v>MXETWEZKG</v>
      </c>
      <c r="B11780" t="s">
        <v>10</v>
      </c>
      <c r="C11780" t="s">
        <v>17</v>
      </c>
      <c r="D11780" t="str">
        <f>HYPERLINK("https://us2.cloudbeds.com/connect/10074733072513#/reservations/31727375532254?display=Jane%20Conway&amp;reservation_id=31727375532254&amp;guest_id=31727375532232", "Jane Conway")</f>
        <v>Jane Conway</v>
      </c>
      <c r="E11780" t="s">
        <v>10976</v>
      </c>
      <c r="F11780" t="s">
        <v>9467</v>
      </c>
      <c r="G11780">
        <v>338</v>
      </c>
      <c r="H11780">
        <v>367.42</v>
      </c>
      <c r="I11780">
        <v>367.41</v>
      </c>
      <c r="J11780">
        <v>0.01</v>
      </c>
    </row>
    <row r="11781" spans="1:10" x14ac:dyDescent="0.3">
      <c r="A11781" t="str">
        <f>HYPERLINK("https://us2.cloudbeds.com/connect/10074733072513#/reservations/31724549992675?display=MXCNPSV2W&amp;reservation_id=31724549992675", "MXCNPSV2W")</f>
        <v>MXCNPSV2W</v>
      </c>
      <c r="B11781" t="s">
        <v>10</v>
      </c>
      <c r="C11781" t="s">
        <v>42</v>
      </c>
      <c r="D11781" t="str">
        <f>HYPERLINK("https://us2.cloudbeds.com/connect/10074733072513#/reservations/31724549992675?display=Lowry%20Harvey&amp;reservation_id=31724549992675&amp;guest_id=31678877712530", "Lowry Harvey")</f>
        <v>Lowry Harvey</v>
      </c>
      <c r="E11781" t="s">
        <v>6518</v>
      </c>
      <c r="F11781" t="s">
        <v>10856</v>
      </c>
      <c r="G11781">
        <v>139</v>
      </c>
      <c r="H11781">
        <v>151.1</v>
      </c>
      <c r="I11781">
        <v>151.09</v>
      </c>
      <c r="J11781">
        <v>0.01</v>
      </c>
    </row>
    <row r="11782" spans="1:10" x14ac:dyDescent="0.3">
      <c r="A11782" t="str">
        <f>HYPERLINK("https://us2.cloudbeds.com/connect/10074733072513#/reservations/31724665643180?display=MXCQZD2TP&amp;reservation_id=31724665643180", "MXCQZD2TP")</f>
        <v>MXCQZD2TP</v>
      </c>
      <c r="B11782" t="s">
        <v>10</v>
      </c>
      <c r="C11782" t="s">
        <v>23</v>
      </c>
      <c r="D11782" t="str">
        <f>HYPERLINK("https://us2.cloudbeds.com/connect/10074733072513#/reservations/31724665643180?display=Robert%20Johnston&amp;reservation_id=31724665643180&amp;guest_id=31724665643164", "Robert Johnston")</f>
        <v>Robert Johnston</v>
      </c>
      <c r="E11782" t="s">
        <v>10977</v>
      </c>
      <c r="F11782" t="s">
        <v>10876</v>
      </c>
      <c r="G11782">
        <v>109</v>
      </c>
      <c r="H11782">
        <v>118.49</v>
      </c>
      <c r="I11782">
        <v>118.48</v>
      </c>
      <c r="J11782">
        <v>0.01</v>
      </c>
    </row>
    <row r="11783" spans="1:10" x14ac:dyDescent="0.3">
      <c r="A11783" t="str">
        <f>HYPERLINK("https://us2.cloudbeds.com/connect/10074733072513#/reservations/31725218844911?display=MXD7SSZFJ&amp;reservation_id=31725218844911", "MXD7SSZFJ")</f>
        <v>MXD7SSZFJ</v>
      </c>
      <c r="B11783" t="s">
        <v>10</v>
      </c>
      <c r="C11783" t="s">
        <v>42</v>
      </c>
      <c r="D11783" t="str">
        <f>HYPERLINK("https://us2.cloudbeds.com/connect/10074733072513#/reservations/31725218844911?display=Alan%20Maloney&amp;reservation_id=31725218844911&amp;guest_id=31725209919634", "Alan Maloney")</f>
        <v>Alan Maloney</v>
      </c>
      <c r="E11783" t="s">
        <v>8990</v>
      </c>
      <c r="F11783" t="s">
        <v>10812</v>
      </c>
      <c r="G11783">
        <v>230</v>
      </c>
      <c r="H11783">
        <v>250.02</v>
      </c>
      <c r="I11783">
        <v>250.01</v>
      </c>
      <c r="J11783">
        <v>0.01</v>
      </c>
    </row>
    <row r="11784" spans="1:10" x14ac:dyDescent="0.3">
      <c r="A11784" t="str">
        <f>HYPERLINK("https://us2.cloudbeds.com/connect/10074733072513#/reservations/31725149122752?display=MXD632GZN&amp;reservation_id=31725149122752", "MXD632GZN")</f>
        <v>MXD632GZN</v>
      </c>
      <c r="B11784" t="s">
        <v>10</v>
      </c>
      <c r="C11784" t="s">
        <v>42</v>
      </c>
      <c r="D11784" t="str">
        <f>HYPERLINK("https://us2.cloudbeds.com/connect/10074733072513#/reservations/31725149122752?display=Kendal%20Smith&amp;reservation_id=31725149122752&amp;guest_id=31725149118715", "Kendal Smith")</f>
        <v>Kendal Smith</v>
      </c>
      <c r="E11784" t="s">
        <v>10979</v>
      </c>
      <c r="F11784" t="s">
        <v>10812</v>
      </c>
      <c r="G11784">
        <v>159</v>
      </c>
      <c r="H11784">
        <v>172.84</v>
      </c>
      <c r="I11784">
        <v>172.83</v>
      </c>
      <c r="J11784">
        <v>0.01</v>
      </c>
    </row>
    <row r="11785" spans="1:10" x14ac:dyDescent="0.3">
      <c r="A11785" t="str">
        <f>HYPERLINK("https://us2.cloudbeds.com/connect/10074733072513#/reservations/31716523282626?display=MX6GMHTQ5&amp;reservation_id=31716523282626", "MX6GMHTQ5")</f>
        <v>MX6GMHTQ5</v>
      </c>
      <c r="B11785" t="s">
        <v>10</v>
      </c>
      <c r="C11785" t="s">
        <v>42</v>
      </c>
      <c r="D11785" t="str">
        <f>HYPERLINK("https://us2.cloudbeds.com/connect/10074733072513#/reservations/31716523282626?display=Jenifer%20Mees&amp;reservation_id=31716523282626&amp;guest_id=31716523278534", "Jenifer Mees")</f>
        <v>Jenifer Mees</v>
      </c>
      <c r="E11785" t="s">
        <v>10367</v>
      </c>
      <c r="F11785" t="s">
        <v>10812</v>
      </c>
      <c r="G11785">
        <v>159</v>
      </c>
      <c r="H11785">
        <v>172.84</v>
      </c>
      <c r="I11785">
        <v>172.83</v>
      </c>
      <c r="J11785">
        <v>0.01</v>
      </c>
    </row>
    <row r="11786" spans="1:10" x14ac:dyDescent="0.3">
      <c r="A11786" t="str">
        <f>HYPERLINK("https://us2.cloudbeds.com/connect/10074733072513#/reservations/31724825661688?display=MXCURARMF&amp;reservation_id=31724825661688", "MXCURARMF")</f>
        <v>MXCURARMF</v>
      </c>
      <c r="B11786" t="s">
        <v>10</v>
      </c>
      <c r="C11786" t="s">
        <v>17</v>
      </c>
      <c r="D11786" t="str">
        <f>HYPERLINK("https://us2.cloudbeds.com/connect/10074733072513#/reservations/31724825661688?display=Jayne%20Peymann&amp;reservation_id=31724825661688&amp;guest_id=31724825661671", "Jayne Peymann")</f>
        <v>Jayne Peymann</v>
      </c>
      <c r="E11786" t="s">
        <v>10981</v>
      </c>
      <c r="F11786" t="s">
        <v>10982</v>
      </c>
      <c r="G11786">
        <v>149</v>
      </c>
      <c r="H11786">
        <v>161.97</v>
      </c>
      <c r="I11786">
        <v>161.96</v>
      </c>
      <c r="J11786">
        <v>0.01</v>
      </c>
    </row>
    <row r="11787" spans="1:10" x14ac:dyDescent="0.3">
      <c r="A11787" t="str">
        <f>HYPERLINK("https://us2.cloudbeds.com/connect/10074733072513#/reservations/31727272607886?display=MXERBYNT8&amp;reservation_id=31727272607886", "MXERBYNT8")</f>
        <v>MXERBYNT8</v>
      </c>
      <c r="B11787" t="s">
        <v>10</v>
      </c>
      <c r="C11787" t="s">
        <v>42</v>
      </c>
      <c r="D11787" t="str">
        <f>HYPERLINK("https://us2.cloudbeds.com/connect/10074733072513#/reservations/31727272607886?display=Carlos%20Pizarro&amp;reservation_id=31727272607886&amp;guest_id=31727272607884", "Carlos Pizarro")</f>
        <v>Carlos Pizarro</v>
      </c>
      <c r="E11787" t="s">
        <v>10983</v>
      </c>
      <c r="F11787" t="s">
        <v>10984</v>
      </c>
      <c r="G11787">
        <v>336</v>
      </c>
      <c r="H11787">
        <v>365.24</v>
      </c>
      <c r="I11787">
        <v>365.23</v>
      </c>
      <c r="J11787">
        <v>0.01</v>
      </c>
    </row>
    <row r="11788" spans="1:10" x14ac:dyDescent="0.3">
      <c r="A11788" t="str">
        <f>HYPERLINK("https://us2.cloudbeds.com/connect/10074733072513#/reservations/31725177168031?display=MXD6QZ0MR&amp;reservation_id=31725177168031", "MXD6QZ0MR")</f>
        <v>MXD6QZ0MR</v>
      </c>
      <c r="B11788" t="s">
        <v>10</v>
      </c>
      <c r="C11788" t="s">
        <v>42</v>
      </c>
      <c r="D11788" t="str">
        <f>HYPERLINK("https://us2.cloudbeds.com/connect/10074733072513#/reservations/31725177168031?display=James%20Livingston&amp;reservation_id=31725177168031&amp;guest_id=31725177163947", "James Livingston")</f>
        <v>James Livingston</v>
      </c>
      <c r="E11788" t="s">
        <v>10987</v>
      </c>
      <c r="F11788" t="s">
        <v>10812</v>
      </c>
      <c r="G11788">
        <v>159</v>
      </c>
      <c r="H11788">
        <v>172.84</v>
      </c>
      <c r="I11788">
        <v>172.83</v>
      </c>
      <c r="J11788">
        <v>0.01</v>
      </c>
    </row>
    <row r="11789" spans="1:10" x14ac:dyDescent="0.3">
      <c r="A11789" t="str">
        <f>HYPERLINK("https://us2.cloudbeds.com/connect/10074733072513#/reservations/31723211907223?display=MXBMJXZFW&amp;reservation_id=31723211907223", "MXBMJXZFW")</f>
        <v>MXBMJXZFW</v>
      </c>
      <c r="B11789" t="s">
        <v>10</v>
      </c>
      <c r="C11789" t="s">
        <v>11</v>
      </c>
      <c r="D11789" t="str">
        <f>HYPERLINK("https://us2.cloudbeds.com/connect/10074733072513#/reservations/31723211907223?display=Pete%20Eder&amp;reservation_id=31723211907223&amp;guest_id=31723211903142", "Pete Eder")</f>
        <v>Pete Eder</v>
      </c>
      <c r="E11789" t="s">
        <v>10988</v>
      </c>
      <c r="F11789" t="s">
        <v>10615</v>
      </c>
      <c r="G11789">
        <v>102.58</v>
      </c>
      <c r="H11789">
        <v>111.51</v>
      </c>
      <c r="I11789">
        <v>111.5</v>
      </c>
      <c r="J11789">
        <v>0.01</v>
      </c>
    </row>
    <row r="11790" spans="1:10" x14ac:dyDescent="0.3">
      <c r="A11790" t="str">
        <f>HYPERLINK("https://us2.cloudbeds.com/connect/10074733072513#/reservations/31725025423559?display=MXD2UPGZG&amp;reservation_id=31725025423559", "MXD2UPGZG")</f>
        <v>MXD2UPGZG</v>
      </c>
      <c r="B11790" t="s">
        <v>10</v>
      </c>
      <c r="C11790" t="s">
        <v>14</v>
      </c>
      <c r="D11790" t="str">
        <f>HYPERLINK("https://us2.cloudbeds.com/connect/10074733072513#/reservations/31725025423559?display=Terry%20Roiger&amp;reservation_id=31725025423559&amp;guest_id=31725016174765", "Terry Roiger")</f>
        <v>Terry Roiger</v>
      </c>
      <c r="E11790" t="s">
        <v>10989</v>
      </c>
      <c r="F11790" t="s">
        <v>10947</v>
      </c>
      <c r="G11790">
        <v>102.58</v>
      </c>
      <c r="H11790">
        <v>111.51</v>
      </c>
      <c r="I11790">
        <v>111.5</v>
      </c>
      <c r="J11790">
        <v>0.01</v>
      </c>
    </row>
    <row r="11791" spans="1:10" x14ac:dyDescent="0.3">
      <c r="A11791" t="str">
        <f>HYPERLINK("https://us2.cloudbeds.com/connect/10074733072513#/reservations/31725185888452?display=MXD712ME0&amp;reservation_id=31725185888452", "MXD712ME0")</f>
        <v>MXD712ME0</v>
      </c>
      <c r="B11791" t="s">
        <v>10</v>
      </c>
      <c r="C11791" t="s">
        <v>121</v>
      </c>
      <c r="D11791" t="str">
        <f>HYPERLINK("https://us2.cloudbeds.com/connect/10074733072513#/reservations/31725185888452?display=Alija%20Heco&amp;reservation_id=31725185888452&amp;guest_id=31725185888448", "Alija Heco")</f>
        <v>Alija Heco</v>
      </c>
      <c r="E11791" t="s">
        <v>8880</v>
      </c>
      <c r="F11791" t="s">
        <v>10812</v>
      </c>
      <c r="G11791">
        <v>159</v>
      </c>
      <c r="H11791">
        <v>172.84</v>
      </c>
      <c r="I11791">
        <v>172.83</v>
      </c>
      <c r="J11791">
        <v>0.01</v>
      </c>
    </row>
    <row r="11792" spans="1:10" x14ac:dyDescent="0.3">
      <c r="A11792" t="str">
        <f>HYPERLINK("https://us2.cloudbeds.com/connect/10074733072513#/reservations/31716548333715?display=MX6HAYWX2&amp;reservation_id=31716548333715", "MX6HAYWX2")</f>
        <v>MX6HAYWX2</v>
      </c>
      <c r="B11792" t="s">
        <v>10</v>
      </c>
      <c r="C11792" t="s">
        <v>42</v>
      </c>
      <c r="D11792" t="str">
        <f>HYPERLINK("https://us2.cloudbeds.com/connect/10074733072513#/reservations/31716548333715?display=Connie%20Laney&amp;reservation_id=31716548333715&amp;guest_id=30687984439535", "Connie Laney")</f>
        <v>Connie Laney</v>
      </c>
      <c r="E11792" t="s">
        <v>10990</v>
      </c>
      <c r="F11792" t="s">
        <v>10812</v>
      </c>
      <c r="G11792">
        <v>143</v>
      </c>
      <c r="H11792">
        <v>155.44999999999999</v>
      </c>
      <c r="I11792">
        <v>155.44</v>
      </c>
      <c r="J11792">
        <v>0.01</v>
      </c>
    </row>
    <row r="11793" spans="1:10" x14ac:dyDescent="0.3">
      <c r="A11793" t="str">
        <f>HYPERLINK("https://us2.cloudbeds.com/connect/10074733072513#/reservations/31722421338314?display=MXB2CUWTD&amp;reservation_id=31722421338314", "MXB2CUWTD")</f>
        <v>MXB2CUWTD</v>
      </c>
      <c r="B11793" t="s">
        <v>10</v>
      </c>
      <c r="C11793" t="s">
        <v>23</v>
      </c>
      <c r="D11793" t="str">
        <f>HYPERLINK("https://us2.cloudbeds.com/connect/10074733072513#/reservations/31722421338314?display=Gerald%20Tichy&amp;reservation_id=31722421338314&amp;guest_id=31722421338311", "Gerald Tichy")</f>
        <v>Gerald Tichy</v>
      </c>
      <c r="E11793" t="s">
        <v>10991</v>
      </c>
      <c r="F11793" t="s">
        <v>10992</v>
      </c>
      <c r="G11793">
        <v>589.5</v>
      </c>
      <c r="H11793">
        <v>640.79999999999995</v>
      </c>
      <c r="I11793">
        <v>640.79</v>
      </c>
      <c r="J11793">
        <v>0.01</v>
      </c>
    </row>
    <row r="11794" spans="1:10" x14ac:dyDescent="0.3">
      <c r="A11794" t="str">
        <f>HYPERLINK("https://us2.cloudbeds.com/connect/10074733072513#/reservations/31725167763659?display=MXD6XQATS&amp;reservation_id=31725167763659", "MXD6XQATS")</f>
        <v>MXD6XQATS</v>
      </c>
      <c r="B11794" t="s">
        <v>10</v>
      </c>
      <c r="C11794" t="s">
        <v>121</v>
      </c>
      <c r="D11794" t="str">
        <f>HYPERLINK("https://us2.cloudbeds.com/connect/10074733072513#/reservations/31725167763659?display=Maria%20Rempel&amp;reservation_id=31725167763659&amp;guest_id=31725167759574", "Maria Rempel")</f>
        <v>Maria Rempel</v>
      </c>
      <c r="E11794" t="s">
        <v>10993</v>
      </c>
      <c r="F11794" t="s">
        <v>10812</v>
      </c>
      <c r="G11794">
        <v>159</v>
      </c>
      <c r="H11794">
        <v>172.84</v>
      </c>
      <c r="I11794">
        <v>172.83</v>
      </c>
      <c r="J11794">
        <v>0.01</v>
      </c>
    </row>
    <row r="11795" spans="1:10" x14ac:dyDescent="0.3">
      <c r="A11795" t="str">
        <f>HYPERLINK("https://us2.cloudbeds.com/connect/10074733072513#/reservations/31718091178147?display=MX7NZKTUY&amp;reservation_id=31718091178147", "MX7NZKTUY")</f>
        <v>MX7NZKTUY</v>
      </c>
      <c r="B11795" t="s">
        <v>10</v>
      </c>
      <c r="C11795" t="s">
        <v>23</v>
      </c>
      <c r="D11795" t="str">
        <f>HYPERLINK("https://us2.cloudbeds.com/connect/10074733072513#/reservations/31718091178147?display=Michelle%20Landsverk&amp;reservation_id=31718091178147&amp;guest_id=31718081974473", "Michelle Landsverk")</f>
        <v>Michelle Landsverk</v>
      </c>
      <c r="E11795" t="s">
        <v>10995</v>
      </c>
      <c r="F11795" t="s">
        <v>9467</v>
      </c>
      <c r="G11795">
        <v>159</v>
      </c>
      <c r="H11795">
        <v>172.84</v>
      </c>
      <c r="I11795">
        <v>172.83</v>
      </c>
      <c r="J11795">
        <v>0.01</v>
      </c>
    </row>
    <row r="11796" spans="1:10" x14ac:dyDescent="0.3">
      <c r="A11796" t="str">
        <f>HYPERLINK("https://us2.cloudbeds.com/connect/10074733072513#/reservations/31718106583212?display=MX7Z4KXWP&amp;reservation_id=31718106583212", "MX7Z4KXWP")</f>
        <v>MX7Z4KXWP</v>
      </c>
      <c r="B11796" t="s">
        <v>10</v>
      </c>
      <c r="C11796" t="s">
        <v>121</v>
      </c>
      <c r="D11796" t="str">
        <f>HYPERLINK("https://us2.cloudbeds.com/connect/10074733072513#/reservations/31718106583212?display=Audrey%20Kroll&amp;reservation_id=31718106583212&amp;guest_id=31718091182238", "Audrey Kroll")</f>
        <v>Audrey Kroll</v>
      </c>
      <c r="E11796" t="s">
        <v>10997</v>
      </c>
      <c r="F11796" t="s">
        <v>9467</v>
      </c>
      <c r="G11796">
        <v>159</v>
      </c>
      <c r="H11796">
        <v>172.84</v>
      </c>
      <c r="I11796">
        <v>172.83</v>
      </c>
      <c r="J11796">
        <v>0.01</v>
      </c>
    </row>
    <row r="11797" spans="1:10" x14ac:dyDescent="0.3">
      <c r="A11797" t="str">
        <f>HYPERLINK("https://us2.cloudbeds.com/connect/10074733072513#/reservations/31719812276374?display=MX91NU02C&amp;reservation_id=31719812276374", "MX91NU02C")</f>
        <v>MX91NU02C</v>
      </c>
      <c r="B11797" t="s">
        <v>10</v>
      </c>
      <c r="C11797" t="s">
        <v>42</v>
      </c>
      <c r="D11797" t="str">
        <f>HYPERLINK("https://us2.cloudbeds.com/connect/10074733072513#/reservations/31719812276374?display=Molly%20Norris&amp;reservation_id=31719812276374&amp;guest_id=31719812276370", "Molly Norris")</f>
        <v>Molly Norris</v>
      </c>
      <c r="E11797" t="s">
        <v>10998</v>
      </c>
      <c r="F11797" t="s">
        <v>10947</v>
      </c>
      <c r="G11797">
        <v>298</v>
      </c>
      <c r="H11797">
        <v>323.94</v>
      </c>
      <c r="I11797">
        <v>323.93</v>
      </c>
      <c r="J11797">
        <v>0.01</v>
      </c>
    </row>
    <row r="11798" spans="1:10" x14ac:dyDescent="0.3">
      <c r="A11798" t="str">
        <f>HYPERLINK("https://us2.cloudbeds.com/connect/10074733072513#/reservations/31722690265328?display=MXB98N9FS&amp;reservation_id=31722690265328", "MXB98N9FS")</f>
        <v>MXB98N9FS</v>
      </c>
      <c r="B11798" t="s">
        <v>10</v>
      </c>
      <c r="C11798" t="s">
        <v>42</v>
      </c>
      <c r="D11798" t="str">
        <f>HYPERLINK("https://us2.cloudbeds.com/connect/10074733072513#/reservations/31722690265328?display=Renee%20Osborne&amp;reservation_id=31722690265328&amp;guest_id=31684033339591", "Renee Osborne")</f>
        <v>Renee Osborne</v>
      </c>
      <c r="E11798" t="s">
        <v>7450</v>
      </c>
      <c r="F11798" t="s">
        <v>7925</v>
      </c>
      <c r="G11798">
        <v>159</v>
      </c>
      <c r="H11798">
        <v>172.84</v>
      </c>
      <c r="I11798">
        <v>172.83</v>
      </c>
      <c r="J11798">
        <v>0.01</v>
      </c>
    </row>
    <row r="11799" spans="1:10" x14ac:dyDescent="0.3">
      <c r="A11799" t="str">
        <f>HYPERLINK("https://us2.cloudbeds.com/connect/10074733072513#/reservations/31724037570690?display=MXCAMQ1G2&amp;reservation_id=31724037570690", "MXCAMQ1G2")</f>
        <v>MXCAMQ1G2</v>
      </c>
      <c r="B11799" t="s">
        <v>10</v>
      </c>
      <c r="C11799" t="s">
        <v>42</v>
      </c>
      <c r="D11799" t="str">
        <f>HYPERLINK("https://us2.cloudbeds.com/connect/10074733072513#/reservations/31724037570690?display=Andrew%20Pierce&amp;reservation_id=31724037570690&amp;guest_id=31688520413432", "Andrew Pierce")</f>
        <v>Andrew Pierce</v>
      </c>
      <c r="E11799" t="s">
        <v>7935</v>
      </c>
      <c r="F11799" t="s">
        <v>10778</v>
      </c>
      <c r="G11799">
        <v>336</v>
      </c>
      <c r="H11799">
        <v>365.24</v>
      </c>
      <c r="I11799">
        <v>365.23</v>
      </c>
      <c r="J11799">
        <v>0.01</v>
      </c>
    </row>
    <row r="11800" spans="1:10" x14ac:dyDescent="0.3">
      <c r="A11800" t="str">
        <f>HYPERLINK("https://us2.cloudbeds.com/connect/10074733072513#/reservations/31723394187405?display=MXBR88VXT&amp;reservation_id=31723394187405", "MXBR88VXT")</f>
        <v>MXBR88VXT</v>
      </c>
      <c r="B11800" t="s">
        <v>10</v>
      </c>
      <c r="C11800" t="s">
        <v>11</v>
      </c>
      <c r="D11800" t="str">
        <f>HYPERLINK("https://us2.cloudbeds.com/connect/10074733072513#/reservations/31723394187405?display=Jeff%20Bailey&amp;reservation_id=31723394187405&amp;guest_id=31723394187400", "Jeff Bailey")</f>
        <v>Jeff Bailey</v>
      </c>
      <c r="E11800" t="s">
        <v>10999</v>
      </c>
      <c r="F11800" t="s">
        <v>7925</v>
      </c>
      <c r="G11800">
        <v>318</v>
      </c>
      <c r="H11800">
        <v>345.68</v>
      </c>
      <c r="I11800">
        <v>345.67</v>
      </c>
      <c r="J11800">
        <v>0.01</v>
      </c>
    </row>
    <row r="11801" spans="1:10" x14ac:dyDescent="0.3">
      <c r="A11801" t="str">
        <f>HYPERLINK("https://us2.cloudbeds.com/connect/10074733072513#/reservations/31727289110781?display=MXERPXV1W&amp;reservation_id=31727289110781", "MXERPXV1W")</f>
        <v>MXERPXV1W</v>
      </c>
      <c r="B11801" t="s">
        <v>10</v>
      </c>
      <c r="C11801" t="s">
        <v>11</v>
      </c>
      <c r="D11801" t="str">
        <f>HYPERLINK("https://us2.cloudbeds.com/connect/10074733072513#/reservations/31727289110781?display=Wesley%20Stark&amp;reservation_id=31727289110781&amp;guest_id=31727289110776", "Wesley Stark")</f>
        <v>Wesley Stark</v>
      </c>
      <c r="E11801" t="s">
        <v>11000</v>
      </c>
      <c r="F11801" t="s">
        <v>10984</v>
      </c>
      <c r="G11801">
        <v>87.82</v>
      </c>
      <c r="H11801">
        <v>95.47</v>
      </c>
      <c r="I11801">
        <v>95.46</v>
      </c>
      <c r="J11801">
        <v>0.01</v>
      </c>
    </row>
    <row r="11802" spans="1:10" x14ac:dyDescent="0.3">
      <c r="A11802" t="str">
        <f>HYPERLINK("https://us2.cloudbeds.com/connect/10074733072513#/reservations/31722130260141?display=MXARVGAFN&amp;reservation_id=31722130260141", "MXARVGAFN")</f>
        <v>MXARVGAFN</v>
      </c>
      <c r="B11802" t="s">
        <v>10</v>
      </c>
      <c r="C11802" t="s">
        <v>23</v>
      </c>
      <c r="D11802" t="str">
        <f>HYPERLINK("https://us2.cloudbeds.com/connect/10074733072513#/reservations/31722130260141?display=Scott%20Peterson&amp;reservation_id=31722130260141&amp;guest_id=31722130260128", "Scott Peterson")</f>
        <v>Scott Peterson</v>
      </c>
      <c r="E11802" t="s">
        <v>11001</v>
      </c>
      <c r="F11802" t="s">
        <v>10992</v>
      </c>
      <c r="G11802">
        <v>318</v>
      </c>
      <c r="H11802">
        <v>345.68</v>
      </c>
      <c r="I11802">
        <v>345.67</v>
      </c>
      <c r="J11802">
        <v>0.01</v>
      </c>
    </row>
    <row r="11803" spans="1:10" x14ac:dyDescent="0.3">
      <c r="A11803" t="str">
        <f>HYPERLINK("https://us2.cloudbeds.com/connect/10074733072513#/reservations/31727301124306?display=MXES2N7P6&amp;reservation_id=31727301124306", "MXES2N7P6")</f>
        <v>MXES2N7P6</v>
      </c>
      <c r="B11803" t="s">
        <v>10</v>
      </c>
      <c r="C11803" t="s">
        <v>121</v>
      </c>
      <c r="D11803" t="str">
        <f>HYPERLINK("https://us2.cloudbeds.com/connect/10074733072513#/reservations/31727301124306?display=Eric%20Peterka&amp;reservation_id=31727301124306&amp;guest_id=30661540352149", "Eric Peterka")</f>
        <v>Eric Peterka</v>
      </c>
      <c r="E11803" t="s">
        <v>11006</v>
      </c>
      <c r="F11803" t="s">
        <v>10984</v>
      </c>
      <c r="G11803">
        <v>119</v>
      </c>
      <c r="H11803">
        <v>129.36000000000001</v>
      </c>
      <c r="I11803">
        <v>129.35</v>
      </c>
      <c r="J11803">
        <v>0.01</v>
      </c>
    </row>
    <row r="11804" spans="1:10" x14ac:dyDescent="0.3">
      <c r="A11804" t="str">
        <f>HYPERLINK("https://us2.cloudbeds.com/connect/10074733072513#/reservations/31725447405800?display=MXDDNJPU4&amp;reservation_id=31725447405800", "MXDDNJPU4")</f>
        <v>MXDDNJPU4</v>
      </c>
      <c r="B11804" t="s">
        <v>10</v>
      </c>
      <c r="C11804" t="s">
        <v>11</v>
      </c>
      <c r="D11804" t="str">
        <f>HYPERLINK("https://us2.cloudbeds.com/connect/10074733072513#/reservations/31725447405800?display=Omar%20Chang&amp;reservation_id=31725447405800&amp;guest_id=31725447405795", "Omar Chang")</f>
        <v>Omar Chang</v>
      </c>
      <c r="E11804" t="s">
        <v>11007</v>
      </c>
      <c r="F11804" t="s">
        <v>10985</v>
      </c>
      <c r="G11804">
        <v>102.58</v>
      </c>
      <c r="H11804">
        <v>111.51</v>
      </c>
      <c r="I11804">
        <v>111.5</v>
      </c>
      <c r="J11804">
        <v>0.01</v>
      </c>
    </row>
    <row r="11805" spans="1:10" x14ac:dyDescent="0.3">
      <c r="A11805" t="str">
        <f>HYPERLINK("https://us2.cloudbeds.com/connect/10074733072513#/reservations/31726092144811?display=MXDU68JZU&amp;reservation_id=31726092144811", "MXDU68JZU")</f>
        <v>MXDU68JZU</v>
      </c>
      <c r="B11805" t="s">
        <v>10</v>
      </c>
      <c r="C11805" t="s">
        <v>23</v>
      </c>
      <c r="D11805" t="str">
        <f>HYPERLINK("https://us2.cloudbeds.com/connect/10074733072513#/reservations/31726092144811?display=Eric%20Knodel&amp;reservation_id=31726092144811&amp;guest_id=31723402367206", "Eric Knodel")</f>
        <v>Eric Knodel</v>
      </c>
      <c r="E11805" t="s">
        <v>10771</v>
      </c>
      <c r="F11805" t="s">
        <v>10963</v>
      </c>
      <c r="G11805">
        <v>338</v>
      </c>
      <c r="H11805">
        <v>367.42</v>
      </c>
      <c r="I11805">
        <v>367.41</v>
      </c>
      <c r="J11805">
        <v>0.01</v>
      </c>
    </row>
    <row r="11806" spans="1:10" x14ac:dyDescent="0.3">
      <c r="A11806" t="str">
        <f>HYPERLINK("https://us2.cloudbeds.com/connect/10074733072513#/reservations/31726032036000?display=MXDSYXWDQ&amp;reservation_id=31726032036000", "MXDSYXWDQ")</f>
        <v>MXDSYXWDQ</v>
      </c>
      <c r="B11806" t="s">
        <v>10</v>
      </c>
      <c r="C11806" t="s">
        <v>42</v>
      </c>
      <c r="D11806" t="str">
        <f>HYPERLINK("https://us2.cloudbeds.com/connect/10074733072513#/reservations/31726032036000?display=Jordan%20Lentz&amp;reservation_id=31726032036000&amp;guest_id=31714710442171", "Jordan Lentz")</f>
        <v>Jordan Lentz</v>
      </c>
      <c r="E11806" t="s">
        <v>10577</v>
      </c>
      <c r="F11806" t="s">
        <v>11003</v>
      </c>
      <c r="G11806">
        <v>238</v>
      </c>
      <c r="H11806">
        <v>258.72000000000003</v>
      </c>
      <c r="I11806">
        <v>258.70999999999998</v>
      </c>
      <c r="J11806">
        <v>0.01</v>
      </c>
    </row>
    <row r="11807" spans="1:10" x14ac:dyDescent="0.3">
      <c r="A11807" t="str">
        <f>HYPERLINK("https://us2.cloudbeds.com/connect/10074733072513#/reservations/31725508673728?display=MXDF98HUR&amp;reservation_id=31725508673728", "MXDF98HUR")</f>
        <v>MXDF98HUR</v>
      </c>
      <c r="B11807" t="s">
        <v>10</v>
      </c>
      <c r="C11807" t="s">
        <v>11</v>
      </c>
      <c r="D11807" t="str">
        <f>HYPERLINK("https://us2.cloudbeds.com/connect/10074733072513#/reservations/31725508673728?display=Michael%20Carlson&amp;reservation_id=31725508673728&amp;guest_id=31725494259931", "Michael Carlson")</f>
        <v>Michael Carlson</v>
      </c>
      <c r="E11807" t="s">
        <v>11008</v>
      </c>
      <c r="F11807" t="s">
        <v>10985</v>
      </c>
      <c r="G11807">
        <v>102.58</v>
      </c>
      <c r="H11807">
        <v>111.51</v>
      </c>
      <c r="I11807">
        <v>111.5</v>
      </c>
      <c r="J11807">
        <v>0.01</v>
      </c>
    </row>
    <row r="11808" spans="1:10" x14ac:dyDescent="0.3">
      <c r="A11808" t="str">
        <f>HYPERLINK("https://us2.cloudbeds.com/connect/10074733072513#/reservations/31725456027784?display=MXDDUSN8C&amp;reservation_id=31725456027784", "MXDDUSN8C")</f>
        <v>MXDDUSN8C</v>
      </c>
      <c r="B11808" t="s">
        <v>10</v>
      </c>
      <c r="C11808" t="s">
        <v>42</v>
      </c>
      <c r="D11808" t="str">
        <f>HYPERLINK("https://us2.cloudbeds.com/connect/10074733072513#/reservations/31725456027784?display=Joseph%20Lemke&amp;reservation_id=31725456027784&amp;guest_id=31725456027778", "Joseph Lemke")</f>
        <v>Joseph Lemke</v>
      </c>
      <c r="E11808" t="s">
        <v>11009</v>
      </c>
      <c r="F11808" t="s">
        <v>10985</v>
      </c>
      <c r="G11808">
        <v>119</v>
      </c>
      <c r="H11808">
        <v>129.36000000000001</v>
      </c>
      <c r="I11808">
        <v>129.35</v>
      </c>
      <c r="J11808">
        <v>0.01</v>
      </c>
    </row>
    <row r="11809" spans="1:10" x14ac:dyDescent="0.3">
      <c r="A11809" t="str">
        <f>HYPERLINK("https://us2.cloudbeds.com/connect/10074733072513#/reservations/31725473566963?display=MXDECYP0Y&amp;reservation_id=31725473566963", "MXDECYP0Y")</f>
        <v>MXDECYP0Y</v>
      </c>
      <c r="B11809" t="s">
        <v>10</v>
      </c>
      <c r="C11809" t="s">
        <v>11</v>
      </c>
      <c r="D11809" t="str">
        <f>HYPERLINK("https://us2.cloudbeds.com/connect/10074733072513#/reservations/31725473566963?display=Rene%20Hidalago&amp;reservation_id=31725473566963&amp;guest_id=31725473566951", "Rene Hidalago")</f>
        <v>Rene Hidalago</v>
      </c>
      <c r="E11809" t="s">
        <v>11011</v>
      </c>
      <c r="F11809" t="s">
        <v>10985</v>
      </c>
      <c r="G11809">
        <v>102.58</v>
      </c>
      <c r="H11809">
        <v>111.51</v>
      </c>
      <c r="I11809">
        <v>111.5</v>
      </c>
      <c r="J11809">
        <v>0.01</v>
      </c>
    </row>
    <row r="11810" spans="1:10" x14ac:dyDescent="0.3">
      <c r="A11810" t="str">
        <f>HYPERLINK("https://us2.cloudbeds.com/connect/10074733072513#/reservations/31723246911625?display=MXBNG2Q3F&amp;reservation_id=31723246911625", "MXBNG2Q3F")</f>
        <v>MXBNG2Q3F</v>
      </c>
      <c r="B11810" t="s">
        <v>10</v>
      </c>
      <c r="C11810" t="s">
        <v>14</v>
      </c>
      <c r="D11810" t="str">
        <f>HYPERLINK("https://us2.cloudbeds.com/connect/10074733072513#/reservations/31723246911625?display=Martin%20Brown&amp;reservation_id=31723246911625&amp;guest_id=31723246911620", "Martin Brown")</f>
        <v>Martin Brown</v>
      </c>
      <c r="E11810" t="s">
        <v>11012</v>
      </c>
      <c r="F11810" t="s">
        <v>10778</v>
      </c>
      <c r="G11810">
        <v>87.82</v>
      </c>
      <c r="H11810">
        <v>95.47</v>
      </c>
      <c r="I11810">
        <v>95.46</v>
      </c>
      <c r="J11810">
        <v>0.01</v>
      </c>
    </row>
    <row r="11811" spans="1:10" x14ac:dyDescent="0.3">
      <c r="A11811" t="str">
        <f>HYPERLINK("https://us2.cloudbeds.com/connect/10074733072513#/reservations/31723555713221?display=MXBVCFYFX&amp;reservation_id=31723555713221", "MXBVCFYFX")</f>
        <v>MXBVCFYFX</v>
      </c>
      <c r="B11811" t="s">
        <v>10</v>
      </c>
      <c r="C11811" t="s">
        <v>23</v>
      </c>
      <c r="D11811" t="str">
        <f>HYPERLINK("https://us2.cloudbeds.com/connect/10074733072513#/reservations/31723555713221?display=Brenda%20Rouse&amp;reservation_id=31723555713221&amp;guest_id=31723548840085", "Brenda Rouse")</f>
        <v>Brenda Rouse</v>
      </c>
      <c r="E11811" t="s">
        <v>11013</v>
      </c>
      <c r="F11811" t="s">
        <v>11014</v>
      </c>
      <c r="G11811">
        <v>139</v>
      </c>
      <c r="H11811">
        <v>151.1</v>
      </c>
      <c r="I11811">
        <v>151.09</v>
      </c>
      <c r="J11811">
        <v>0.01</v>
      </c>
    </row>
    <row r="11812" spans="1:10" x14ac:dyDescent="0.3">
      <c r="A11812" t="str">
        <f>HYPERLINK("https://us2.cloudbeds.com/connect/10074733072513#/reservations/31723281023118?display=MXBZBRWQ2&amp;reservation_id=31723281023118", "MXBZBRWQ2")</f>
        <v>MXBZBRWQ2</v>
      </c>
      <c r="B11812" t="s">
        <v>10</v>
      </c>
      <c r="C11812" t="s">
        <v>121</v>
      </c>
      <c r="D11812" t="str">
        <f>HYPERLINK("https://us2.cloudbeds.com/connect/10074733072513#/reservations/31723281023118?display=Jason%20Pavan%20Cuhy&amp;reservation_id=31723281023118&amp;guest_id=31723267752129", "Jason Pavan Cuhy")</f>
        <v>Jason Pavan Cuhy</v>
      </c>
      <c r="E11812" t="s">
        <v>11015</v>
      </c>
      <c r="F11812" t="s">
        <v>10778</v>
      </c>
      <c r="G11812">
        <v>238</v>
      </c>
      <c r="H11812">
        <v>258.72000000000003</v>
      </c>
      <c r="I11812">
        <v>258.70999999999998</v>
      </c>
      <c r="J11812">
        <v>0.01</v>
      </c>
    </row>
    <row r="11813" spans="1:10" x14ac:dyDescent="0.3">
      <c r="A11813" t="str">
        <f>HYPERLINK("https://us2.cloudbeds.com/connect/10074733072513#/reservations/31726022906060?display=MXDSDSUKV&amp;reservation_id=31726022906060", "MXDSDSUKV")</f>
        <v>MXDSDSUKV</v>
      </c>
      <c r="B11813" t="s">
        <v>10</v>
      </c>
      <c r="C11813" t="s">
        <v>121</v>
      </c>
      <c r="D11813" t="str">
        <f>HYPERLINK("https://us2.cloudbeds.com/connect/10074733072513#/reservations/31726022906060?display=Jeffrey%20Donwen&amp;reservation_id=31726022906060&amp;guest_id=31723281027227", "Jeffrey Donwen")</f>
        <v>Jeffrey Donwen</v>
      </c>
      <c r="E11813" t="s">
        <v>11016</v>
      </c>
      <c r="F11813" t="s">
        <v>11003</v>
      </c>
      <c r="G11813">
        <v>119</v>
      </c>
      <c r="H11813">
        <v>129.36000000000001</v>
      </c>
      <c r="I11813">
        <v>129.35</v>
      </c>
      <c r="J11813">
        <v>0.01</v>
      </c>
    </row>
    <row r="11814" spans="1:10" x14ac:dyDescent="0.3">
      <c r="A11814" t="str">
        <f>HYPERLINK("https://us2.cloudbeds.com/connect/10074733072513#/reservations/31726053458133?display=MXDT6Y2QB&amp;reservation_id=31726053458133", "MXDT6Y2QB")</f>
        <v>MXDT6Y2QB</v>
      </c>
      <c r="B11814" t="s">
        <v>10</v>
      </c>
      <c r="C11814" t="s">
        <v>23</v>
      </c>
      <c r="D11814" t="str">
        <f>HYPERLINK("https://us2.cloudbeds.com/connect/10074733072513#/reservations/31726053458133?display=Melissa%20I%20Klein&amp;reservation_id=31726053458133&amp;guest_id=31726053458121", "Melissa I Klein")</f>
        <v>Melissa I Klein</v>
      </c>
      <c r="E11814" t="s">
        <v>11017</v>
      </c>
      <c r="F11814" t="s">
        <v>11003</v>
      </c>
      <c r="G11814">
        <v>119</v>
      </c>
      <c r="H11814">
        <v>129.36000000000001</v>
      </c>
      <c r="I11814">
        <v>129.35</v>
      </c>
      <c r="J11814">
        <v>0.01</v>
      </c>
    </row>
    <row r="11815" spans="1:10" x14ac:dyDescent="0.3">
      <c r="A11815" t="str">
        <f>HYPERLINK("https://us2.cloudbeds.com/connect/10074733072513#/reservations/31723301011597?display=MXBZSN6MX&amp;reservation_id=31723301011597", "MXBZSN6MX")</f>
        <v>MXBZSN6MX</v>
      </c>
      <c r="B11815" t="s">
        <v>10</v>
      </c>
      <c r="C11815" t="s">
        <v>121</v>
      </c>
      <c r="D11815" t="str">
        <f>HYPERLINK("https://us2.cloudbeds.com/connect/10074733072513#/reservations/31723301011597?display=Kevin%20Mahoney&amp;reservation_id=31723301011597&amp;guest_id=31723293376691", "Kevin Mahoney")</f>
        <v>Kevin Mahoney</v>
      </c>
      <c r="E11815" t="s">
        <v>11018</v>
      </c>
      <c r="F11815" t="s">
        <v>10778</v>
      </c>
      <c r="G11815">
        <v>119</v>
      </c>
      <c r="H11815">
        <v>129.36000000000001</v>
      </c>
      <c r="I11815">
        <v>129.35</v>
      </c>
      <c r="J11815">
        <v>0.01</v>
      </c>
    </row>
    <row r="11816" spans="1:10" x14ac:dyDescent="0.3">
      <c r="A11816" t="str">
        <f>HYPERLINK("https://us2.cloudbeds.com/connect/10074733072513#/reservations/31726102687940?display=MXDUF4W7M&amp;reservation_id=31726102687940", "MXDUF4W7M")</f>
        <v>MXDUF4W7M</v>
      </c>
      <c r="B11816" t="s">
        <v>10</v>
      </c>
      <c r="C11816" t="s">
        <v>42</v>
      </c>
      <c r="D11816" t="str">
        <f>HYPERLINK("https://us2.cloudbeds.com/connect/10074733072513#/reservations/31726102687940?display=Randy%20Ascheman&amp;reservation_id=31726102687940&amp;guest_id=31686489796768", "Randy Ascheman")</f>
        <v>Randy Ascheman</v>
      </c>
      <c r="E11816" t="s">
        <v>8170</v>
      </c>
      <c r="F11816" t="s">
        <v>10963</v>
      </c>
      <c r="G11816">
        <v>318</v>
      </c>
      <c r="H11816">
        <v>345.68</v>
      </c>
      <c r="I11816">
        <v>345.67</v>
      </c>
      <c r="J11816">
        <v>0.01</v>
      </c>
    </row>
    <row r="11817" spans="1:10" x14ac:dyDescent="0.3">
      <c r="A11817" t="str">
        <f>HYPERLINK("https://us2.cloudbeds.com/connect/10074733072513#/reservations/31726007574684?display=MXDS0VA7Q&amp;reservation_id=31726007574684", "MXDS0VA7Q")</f>
        <v>MXDS0VA7Q</v>
      </c>
      <c r="B11817" t="s">
        <v>10</v>
      </c>
      <c r="C11817" t="s">
        <v>121</v>
      </c>
      <c r="D11817" t="str">
        <f>HYPERLINK("https://us2.cloudbeds.com/connect/10074733072513#/reservations/31726007574684?display=Cobren%20Bird&amp;reservation_id=31726007574684&amp;guest_id=31721712144591", "Cobren Bird")</f>
        <v>Cobren Bird</v>
      </c>
      <c r="E11817" t="s">
        <v>7109</v>
      </c>
      <c r="F11817" t="s">
        <v>10778</v>
      </c>
      <c r="G11817">
        <v>73</v>
      </c>
      <c r="H11817">
        <v>79.36</v>
      </c>
      <c r="I11817">
        <v>79.349999999999994</v>
      </c>
      <c r="J11817">
        <v>0.01</v>
      </c>
    </row>
    <row r="11818" spans="1:10" x14ac:dyDescent="0.3">
      <c r="A11818" t="str">
        <f>HYPERLINK("https://us2.cloudbeds.com/connect/10074733072513#/reservations/31723281027229?display=MXBZBS3XY&amp;reservation_id=31723281027229", "MXBZBS3XY")</f>
        <v>MXBZBS3XY</v>
      </c>
      <c r="B11818" t="s">
        <v>10</v>
      </c>
      <c r="C11818" t="s">
        <v>121</v>
      </c>
      <c r="D11818" t="str">
        <f>HYPERLINK("https://us2.cloudbeds.com/connect/10074733072513#/reservations/31723281027229?display=Jeffrey%20Donwen&amp;reservation_id=31723281027229&amp;guest_id=31723281027227", "Jeffrey Donwen")</f>
        <v>Jeffrey Donwen</v>
      </c>
      <c r="E11818" t="s">
        <v>11016</v>
      </c>
      <c r="F11818" t="s">
        <v>10778</v>
      </c>
      <c r="G11818">
        <v>119</v>
      </c>
      <c r="H11818">
        <v>129.36000000000001</v>
      </c>
      <c r="I11818">
        <v>129.35</v>
      </c>
      <c r="J11818">
        <v>0.01</v>
      </c>
    </row>
    <row r="11819" spans="1:10" x14ac:dyDescent="0.3">
      <c r="A11819" t="str">
        <f>HYPERLINK("https://us2.cloudbeds.com/connect/10074733072513#/reservations/31722093785226?display=MXAR0ZBH8&amp;reservation_id=31722093785226", "MXAR0ZBH8")</f>
        <v>MXAR0ZBH8</v>
      </c>
      <c r="B11819" t="s">
        <v>10</v>
      </c>
      <c r="C11819" t="s">
        <v>23</v>
      </c>
      <c r="D11819" t="str">
        <f>HYPERLINK("https://us2.cloudbeds.com/connect/10074733072513#/reservations/31722093785226?display=Travis%20Halsey&amp;reservation_id=31722093785226&amp;guest_id=31722093781132", "Travis Halsey")</f>
        <v>Travis Halsey</v>
      </c>
      <c r="E11819" t="s">
        <v>11022</v>
      </c>
      <c r="F11819" t="s">
        <v>10992</v>
      </c>
      <c r="G11819">
        <v>298</v>
      </c>
      <c r="H11819">
        <v>323.94</v>
      </c>
      <c r="I11819">
        <v>323.93</v>
      </c>
      <c r="J11819">
        <v>0.01</v>
      </c>
    </row>
    <row r="11820" spans="1:10" x14ac:dyDescent="0.3">
      <c r="A11820" t="str">
        <f>HYPERLINK("https://us2.cloudbeds.com/connect/10074733072513#/reservations/31723875446977?display=MXC6X2NX9&amp;reservation_id=31723875446977", "MXC6X2NX9")</f>
        <v>MXC6X2NX9</v>
      </c>
      <c r="B11820" t="s">
        <v>10</v>
      </c>
      <c r="C11820" t="s">
        <v>17</v>
      </c>
      <c r="D11820" t="str">
        <f>HYPERLINK("https://us2.cloudbeds.com/connect/10074733072513#/reservations/31723875446977?display=Will%20Linehan&amp;reservation_id=31723875446977&amp;guest_id=31723875442883", "Will Linehan")</f>
        <v>Will Linehan</v>
      </c>
      <c r="E11820" t="s">
        <v>11025</v>
      </c>
      <c r="F11820" t="s">
        <v>11026</v>
      </c>
      <c r="G11820">
        <v>119</v>
      </c>
      <c r="H11820">
        <v>129.36000000000001</v>
      </c>
      <c r="I11820">
        <v>129.35</v>
      </c>
      <c r="J11820">
        <v>0.01</v>
      </c>
    </row>
    <row r="11821" spans="1:10" x14ac:dyDescent="0.3">
      <c r="A11821" t="str">
        <f>HYPERLINK("https://us2.cloudbeds.com/connect/10074733072513#/reservations/31717575258329?display=MX7AXJMBP&amp;reservation_id=31717575258329", "MX7AXJMBP")</f>
        <v>MX7AXJMBP</v>
      </c>
      <c r="B11821" t="s">
        <v>10</v>
      </c>
      <c r="C11821" t="s">
        <v>17</v>
      </c>
      <c r="D11821" t="str">
        <f>HYPERLINK("https://us2.cloudbeds.com/connect/10074733072513#/reservations/31717575258329?display=Jay%20Ringenberg&amp;reservation_id=31717575258329&amp;guest_id=31717575258324", "Jay Ringenberg")</f>
        <v>Jay Ringenberg</v>
      </c>
      <c r="E11821" t="s">
        <v>2966</v>
      </c>
      <c r="F11821" t="s">
        <v>11027</v>
      </c>
      <c r="G11821">
        <v>418</v>
      </c>
      <c r="H11821">
        <v>454.38</v>
      </c>
      <c r="I11821">
        <v>454.37</v>
      </c>
      <c r="J11821">
        <v>0.01</v>
      </c>
    </row>
    <row r="11822" spans="1:10" x14ac:dyDescent="0.3">
      <c r="A11822" t="str">
        <f>HYPERLINK("https://us2.cloudbeds.com/connect/10074733072513#/reservations/31727299096778?display=MXES0WQUV&amp;reservation_id=31727299096778", "MXES0WQUV")</f>
        <v>MXES0WQUV</v>
      </c>
      <c r="B11822" t="s">
        <v>10</v>
      </c>
      <c r="C11822" t="s">
        <v>42</v>
      </c>
      <c r="D11822" t="str">
        <f>HYPERLINK("https://us2.cloudbeds.com/connect/10074733072513#/reservations/31727299096778?display=Anna%20Wyly&amp;reservation_id=31727299096778&amp;guest_id=31702784688271", "Anna Wyly")</f>
        <v>Anna Wyly</v>
      </c>
      <c r="E11822" t="s">
        <v>10012</v>
      </c>
      <c r="F11822" t="s">
        <v>10963</v>
      </c>
      <c r="G11822">
        <v>178</v>
      </c>
      <c r="H11822">
        <v>193.5</v>
      </c>
      <c r="I11822">
        <v>193.49</v>
      </c>
      <c r="J11822">
        <v>0.01</v>
      </c>
    </row>
    <row r="11823" spans="1:10" x14ac:dyDescent="0.3">
      <c r="A11823" t="str">
        <f>HYPERLINK("https://us2.cloudbeds.com/connect/10074733072513#/reservations/31717593555136?display=MX7AQ1618&amp;reservation_id=31717593555136", "MX7AQ1618")</f>
        <v>MX7AQ1618</v>
      </c>
      <c r="B11823" t="s">
        <v>10</v>
      </c>
      <c r="C11823" t="s">
        <v>17</v>
      </c>
      <c r="D11823" t="str">
        <f>HYPERLINK("https://us2.cloudbeds.com/connect/10074733072513#/reservations/31717593555136?display=Jay%20Ringenberg&amp;reservation_id=31717593555136&amp;guest_id=31717575258324", "Jay Ringenberg")</f>
        <v>Jay Ringenberg</v>
      </c>
      <c r="E11823" t="s">
        <v>2966</v>
      </c>
      <c r="F11823" t="s">
        <v>11027</v>
      </c>
      <c r="G11823">
        <v>209</v>
      </c>
      <c r="H11823">
        <v>227.19</v>
      </c>
      <c r="I11823">
        <v>227.18</v>
      </c>
      <c r="J11823">
        <v>0.01</v>
      </c>
    </row>
    <row r="11824" spans="1:10" x14ac:dyDescent="0.3">
      <c r="A11824" t="str">
        <f>HYPERLINK("https://us2.cloudbeds.com/connect/10074733072513#/reservations/31723319410823?display=MXBPB766S&amp;reservation_id=31723319410823", "MXBPB766S")</f>
        <v>MXBPB766S</v>
      </c>
      <c r="B11824" t="s">
        <v>10</v>
      </c>
      <c r="C11824" t="s">
        <v>14</v>
      </c>
      <c r="D11824" t="str">
        <f>HYPERLINK("https://us2.cloudbeds.com/connect/10074733072513#/reservations/31723319410823?display=Nyasabit%20Ayom&amp;reservation_id=31723319410823&amp;guest_id=31723319410818", "Nyasabit Ayom")</f>
        <v>Nyasabit Ayom</v>
      </c>
      <c r="E11824" t="s">
        <v>11028</v>
      </c>
      <c r="F11824" t="s">
        <v>9675</v>
      </c>
      <c r="G11824">
        <v>159</v>
      </c>
      <c r="H11824">
        <v>172.84</v>
      </c>
      <c r="I11824">
        <v>172.83</v>
      </c>
      <c r="J11824">
        <v>0.01</v>
      </c>
    </row>
    <row r="11825" spans="1:10" x14ac:dyDescent="0.3">
      <c r="A11825" t="str">
        <f>HYPERLINK("https://us2.cloudbeds.com/connect/10074733072513#/reservations/31727214125196?display=MXEPSBBPH&amp;reservation_id=31727214125196", "MXEPSBBPH")</f>
        <v>MXEPSBBPH</v>
      </c>
      <c r="B11825" t="s">
        <v>10</v>
      </c>
      <c r="C11825" t="s">
        <v>121</v>
      </c>
      <c r="D11825" t="str">
        <f>HYPERLINK("https://us2.cloudbeds.com/connect/10074733072513#/reservations/31727214125196?display=Whitney%20Christensen&amp;reservation_id=31727214125196&amp;guest_id=31724297068749", "Whitney Christensen")</f>
        <v>Whitney Christensen</v>
      </c>
      <c r="E11825" t="s">
        <v>11029</v>
      </c>
      <c r="F11825" t="s">
        <v>10963</v>
      </c>
      <c r="G11825">
        <v>90</v>
      </c>
      <c r="H11825">
        <v>97.84</v>
      </c>
      <c r="I11825">
        <v>97.83</v>
      </c>
      <c r="J11825">
        <v>0.01</v>
      </c>
    </row>
    <row r="11826" spans="1:10" x14ac:dyDescent="0.3">
      <c r="A11826" t="str">
        <f>HYPERLINK("https://us2.cloudbeds.com/connect/10074733072513#/reservations/31723326537952?display=MXBPH7GSF&amp;reservation_id=31723326537952", "MXBPH7GSF")</f>
        <v>MXBPH7GSF</v>
      </c>
      <c r="B11826" t="s">
        <v>10</v>
      </c>
      <c r="C11826" t="s">
        <v>11</v>
      </c>
      <c r="D11826" t="str">
        <f>HYPERLINK("https://us2.cloudbeds.com/connect/10074733072513#/reservations/31723326537952?display=Robert%20Charylo&amp;reservation_id=31723326537952&amp;guest_id=31723319410821", "Robert Charylo")</f>
        <v>Robert Charylo</v>
      </c>
      <c r="E11826" t="s">
        <v>11030</v>
      </c>
      <c r="F11826" t="s">
        <v>8439</v>
      </c>
      <c r="G11826">
        <v>205.16</v>
      </c>
      <c r="H11826">
        <v>223.02</v>
      </c>
      <c r="I11826">
        <v>223.01</v>
      </c>
      <c r="J11826">
        <v>0.01</v>
      </c>
    </row>
    <row r="11827" spans="1:10" x14ac:dyDescent="0.3">
      <c r="A11827" t="str">
        <f>HYPERLINK("https://us2.cloudbeds.com/connect/10074733072513#/reservations/31723382087900?display=MXBQV28U7&amp;reservation_id=31723382087900", "MXBQV28U7")</f>
        <v>MXBQV28U7</v>
      </c>
      <c r="B11827" t="s">
        <v>10</v>
      </c>
      <c r="C11827" t="s">
        <v>42</v>
      </c>
      <c r="D11827" t="str">
        <f>HYPERLINK("https://us2.cloudbeds.com/connect/10074733072513#/reservations/31723382087900?display=Cathy%20Cox&amp;reservation_id=31723382087900&amp;guest_id=31723382087897", "Cathy Cox")</f>
        <v>Cathy Cox</v>
      </c>
      <c r="E11827" t="s">
        <v>11031</v>
      </c>
      <c r="F11827" t="s">
        <v>9675</v>
      </c>
      <c r="G11827">
        <v>129</v>
      </c>
      <c r="H11827">
        <v>140.22999999999999</v>
      </c>
      <c r="I11827">
        <v>140.22</v>
      </c>
      <c r="J11827">
        <v>0.01</v>
      </c>
    </row>
    <row r="11828" spans="1:10" x14ac:dyDescent="0.3">
      <c r="A11828" t="str">
        <f>HYPERLINK("https://us2.cloudbeds.com/connect/10074733072513#/reservations/31726176583900?display=MXDWBF7V4&amp;reservation_id=31726176583900", "MXDWBF7V4")</f>
        <v>MXDWBF7V4</v>
      </c>
      <c r="B11828" t="s">
        <v>10</v>
      </c>
      <c r="C11828" t="s">
        <v>42</v>
      </c>
      <c r="D11828" t="str">
        <f>HYPERLINK("https://us2.cloudbeds.com/connect/10074733072513#/reservations/31726176583900?display=Bradly%20Donabauer&amp;reservation_id=31726176583900&amp;guest_id=31726176583895", "Bradly Donabauer")</f>
        <v>Bradly Donabauer</v>
      </c>
      <c r="E11828" t="s">
        <v>11032</v>
      </c>
      <c r="F11828" t="s">
        <v>10963</v>
      </c>
      <c r="G11828">
        <v>159</v>
      </c>
      <c r="H11828">
        <v>172.84</v>
      </c>
      <c r="I11828">
        <v>172.83</v>
      </c>
      <c r="J11828">
        <v>0.01</v>
      </c>
    </row>
    <row r="11829" spans="1:10" x14ac:dyDescent="0.3">
      <c r="A11829" t="str">
        <f>HYPERLINK("https://us2.cloudbeds.com/connect/10074733072513#/reservations/31726195871946?display=MXDWRNVYE&amp;reservation_id=31726195871946", "MXDWRNVYE")</f>
        <v>MXDWRNVYE</v>
      </c>
      <c r="B11829" t="s">
        <v>10</v>
      </c>
      <c r="C11829" t="s">
        <v>14</v>
      </c>
      <c r="D11829" t="str">
        <f>HYPERLINK("https://us2.cloudbeds.com/connect/10074733072513#/reservations/31726195871946?display=Gregory%20Venenga&amp;reservation_id=31726195871946&amp;guest_id=31726195867845", "Gregory Venenga")</f>
        <v>Gregory Venenga</v>
      </c>
      <c r="E11829" t="s">
        <v>11033</v>
      </c>
      <c r="F11829" t="s">
        <v>10963</v>
      </c>
      <c r="G11829">
        <v>130.38</v>
      </c>
      <c r="H11829">
        <v>141.72999999999999</v>
      </c>
      <c r="I11829">
        <v>141.72</v>
      </c>
      <c r="J11829">
        <v>0.01</v>
      </c>
    </row>
    <row r="11830" spans="1:10" x14ac:dyDescent="0.3">
      <c r="A11830" t="str">
        <f>HYPERLINK("https://us2.cloudbeds.com/connect/10074733072513#/reservations/31724983296141?display=MXD1S8882&amp;reservation_id=31724983296141", "MXD1S8882")</f>
        <v>MXD1S8882</v>
      </c>
      <c r="B11830" t="s">
        <v>10</v>
      </c>
      <c r="C11830" t="s">
        <v>23</v>
      </c>
      <c r="D11830" t="str">
        <f>HYPERLINK("https://us2.cloudbeds.com/connect/10074733072513#/reservations/31724983296141?display=Tyler%20Lange&amp;reservation_id=31724983296141&amp;guest_id=31724983292050", "Tyler Lange")</f>
        <v>Tyler Lange</v>
      </c>
      <c r="E11830" t="s">
        <v>11037</v>
      </c>
      <c r="F11830" t="s">
        <v>10973</v>
      </c>
      <c r="G11830">
        <v>169</v>
      </c>
      <c r="H11830">
        <v>183.71</v>
      </c>
      <c r="I11830">
        <v>183.7</v>
      </c>
      <c r="J11830">
        <v>0.01</v>
      </c>
    </row>
    <row r="11831" spans="1:10" x14ac:dyDescent="0.3">
      <c r="A11831" t="str">
        <f>HYPERLINK("https://us2.cloudbeds.com/connect/10074733072513#/reservations/31719876444385?display=MX93C0XSX&amp;reservation_id=31719876444385", "MX93C0XSX")</f>
        <v>MX93C0XSX</v>
      </c>
      <c r="B11831" t="s">
        <v>10</v>
      </c>
      <c r="C11831" t="s">
        <v>23</v>
      </c>
      <c r="D11831" t="str">
        <f>HYPERLINK("https://us2.cloudbeds.com/connect/10074733072513#/reservations/31719876444385?display=Cody%20Craft&amp;reservation_id=31719876444385&amp;guest_id=31719876444383", "Cody Craft")</f>
        <v>Cody Craft</v>
      </c>
      <c r="E11831" t="s">
        <v>11040</v>
      </c>
      <c r="F11831" t="s">
        <v>11041</v>
      </c>
      <c r="G11831">
        <v>169</v>
      </c>
      <c r="H11831">
        <v>183.71</v>
      </c>
      <c r="I11831">
        <v>183.7</v>
      </c>
      <c r="J11831">
        <v>0.01</v>
      </c>
    </row>
    <row r="11832" spans="1:10" x14ac:dyDescent="0.3">
      <c r="A11832" t="str">
        <f>HYPERLINK("https://us2.cloudbeds.com/connect/10074733072513#/reservations/31720899813611?display=MX9TGVAS7&amp;reservation_id=31720899813611", "MX9TGVAS7")</f>
        <v>MX9TGVAS7</v>
      </c>
      <c r="B11832" t="s">
        <v>10</v>
      </c>
      <c r="C11832" t="s">
        <v>17</v>
      </c>
      <c r="D11832" t="str">
        <f>HYPERLINK("https://us2.cloudbeds.com/connect/10074733072513#/reservations/31720899813611?display=Kadie%20Roozenboom&amp;reservation_id=31720899813611&amp;guest_id=31720888139923", "Kadie Roozenboom")</f>
        <v>Kadie Roozenboom</v>
      </c>
      <c r="E11832" t="s">
        <v>10011</v>
      </c>
      <c r="F11832" t="s">
        <v>11042</v>
      </c>
      <c r="G11832">
        <v>179</v>
      </c>
      <c r="H11832">
        <v>194.58</v>
      </c>
      <c r="I11832">
        <v>194.57</v>
      </c>
      <c r="J11832">
        <v>0.01</v>
      </c>
    </row>
    <row r="11833" spans="1:10" x14ac:dyDescent="0.3">
      <c r="A11833" t="str">
        <f>HYPERLINK("https://us2.cloudbeds.com/connect/10074733072513#/reservations/31720412549291?display=MX9H22FSP&amp;reservation_id=31720412549291", "MX9H22FSP")</f>
        <v>MX9H22FSP</v>
      </c>
      <c r="B11833" t="s">
        <v>10</v>
      </c>
      <c r="C11833" t="s">
        <v>14</v>
      </c>
      <c r="D11833" t="str">
        <f>HYPERLINK("https://us2.cloudbeds.com/connect/10074733072513#/reservations/31720412549291?display=Shawn%20Lockwood&amp;reservation_id=31720412549291&amp;guest_id=31720412549286", "Shawn Lockwood")</f>
        <v>Shawn Lockwood</v>
      </c>
      <c r="E11833" t="s">
        <v>11043</v>
      </c>
      <c r="F11833" t="s">
        <v>11044</v>
      </c>
      <c r="G11833">
        <v>219.92</v>
      </c>
      <c r="H11833">
        <v>239.06</v>
      </c>
      <c r="I11833">
        <v>239.05</v>
      </c>
      <c r="J11833">
        <v>0.01</v>
      </c>
    </row>
    <row r="11834" spans="1:10" x14ac:dyDescent="0.3">
      <c r="A11834" t="str">
        <f>HYPERLINK("https://us2.cloudbeds.com/connect/10074733072513#/reservations/31726764241109?display=MXEEBWM2D&amp;reservation_id=31726764241109", "MXEEBWM2D")</f>
        <v>MXEEBWM2D</v>
      </c>
      <c r="B11834" t="s">
        <v>10</v>
      </c>
      <c r="C11834" t="s">
        <v>23</v>
      </c>
      <c r="D11834" t="str">
        <f>HYPERLINK("https://us2.cloudbeds.com/connect/10074733072513#/reservations/31726764241109?display=Amy%20Brady&amp;reservation_id=31726764241109&amp;guest_id=31726764241103", "Amy Brady")</f>
        <v>Amy Brady</v>
      </c>
      <c r="E11834" t="s">
        <v>11046</v>
      </c>
      <c r="F11834" t="s">
        <v>11047</v>
      </c>
      <c r="G11834">
        <v>119</v>
      </c>
      <c r="H11834">
        <v>129.36000000000001</v>
      </c>
      <c r="I11834">
        <v>129.35</v>
      </c>
      <c r="J11834">
        <v>0.01</v>
      </c>
    </row>
    <row r="11835" spans="1:10" x14ac:dyDescent="0.3">
      <c r="A11835" t="str">
        <f>HYPERLINK("https://us2.cloudbeds.com/connect/10074733072513#/reservations/31719822573811?display=MX91WJHUU&amp;reservation_id=31719822573811", "MX91WJHUU")</f>
        <v>MX91WJHUU</v>
      </c>
      <c r="B11835" t="s">
        <v>10</v>
      </c>
      <c r="C11835" t="s">
        <v>23</v>
      </c>
      <c r="D11835" t="str">
        <f>HYPERLINK("https://us2.cloudbeds.com/connect/10074733072513#/reservations/31719822573811?display=Rodolfo%20R%20Vara&amp;reservation_id=31719822573811&amp;guest_id=31719822573809", "Rodolfo R Vara")</f>
        <v>Rodolfo R Vara</v>
      </c>
      <c r="E11835" t="s">
        <v>11048</v>
      </c>
      <c r="F11835" t="s">
        <v>11049</v>
      </c>
      <c r="G11835">
        <v>238</v>
      </c>
      <c r="H11835">
        <v>258.72000000000003</v>
      </c>
      <c r="I11835">
        <v>258.70999999999998</v>
      </c>
      <c r="J11835">
        <v>0.01</v>
      </c>
    </row>
    <row r="11836" spans="1:10" x14ac:dyDescent="0.3">
      <c r="A11836" t="str">
        <f>HYPERLINK("https://us2.cloudbeds.com/connect/10074733072513#/reservations/31724502065344?display=MXCM9ZGGZ&amp;reservation_id=31724502065344", "MXCM9ZGGZ")</f>
        <v>MXCM9ZGGZ</v>
      </c>
      <c r="B11836" t="s">
        <v>10</v>
      </c>
      <c r="C11836" t="s">
        <v>11</v>
      </c>
      <c r="D11836" t="str">
        <f>HYPERLINK("https://us2.cloudbeds.com/connect/10074733072513#/reservations/31724502065344?display=Robert%20Charylo&amp;reservation_id=31724502065344&amp;guest_id=31724491722899", "Robert Charylo")</f>
        <v>Robert Charylo</v>
      </c>
      <c r="E11836" t="s">
        <v>11052</v>
      </c>
      <c r="F11836" t="s">
        <v>10955</v>
      </c>
      <c r="G11836">
        <v>87.82</v>
      </c>
      <c r="H11836">
        <v>95.47</v>
      </c>
      <c r="I11836">
        <v>95.46</v>
      </c>
      <c r="J11836">
        <v>0.01</v>
      </c>
    </row>
    <row r="11837" spans="1:10" x14ac:dyDescent="0.3">
      <c r="A11837" t="str">
        <f>HYPERLINK("https://us2.cloudbeds.com/connect/10074733072513#/reservations/31724544344197?display=MXCNY3P80&amp;reservation_id=31724544344197", "MXCNY3P80")</f>
        <v>MXCNY3P80</v>
      </c>
      <c r="B11837" t="s">
        <v>10</v>
      </c>
      <c r="C11837" t="s">
        <v>42</v>
      </c>
      <c r="D11837" t="str">
        <f>HYPERLINK("https://us2.cloudbeds.com/connect/10074733072513#/reservations/31724544344197?display=Mike%20Macintosh&amp;reservation_id=31724544344197&amp;guest_id=31724544340101", "Mike Macintosh")</f>
        <v>Mike Macintosh</v>
      </c>
      <c r="E11837" t="s">
        <v>11053</v>
      </c>
      <c r="F11837" t="s">
        <v>10955</v>
      </c>
      <c r="G11837">
        <v>139</v>
      </c>
      <c r="H11837">
        <v>151.1</v>
      </c>
      <c r="I11837">
        <v>151.09</v>
      </c>
      <c r="J11837">
        <v>0.01</v>
      </c>
    </row>
    <row r="11838" spans="1:10" x14ac:dyDescent="0.3">
      <c r="A11838" t="str">
        <f>HYPERLINK("https://us2.cloudbeds.com/connect/10074733072513#/reservations/31725334888675?display=MXDARNRD9&amp;reservation_id=31725334888675", "MXDARNRD9")</f>
        <v>MXDARNRD9</v>
      </c>
      <c r="B11838" t="s">
        <v>10</v>
      </c>
      <c r="C11838" t="s">
        <v>42</v>
      </c>
      <c r="D11838" t="str">
        <f>HYPERLINK("https://us2.cloudbeds.com/connect/10074733072513#/reservations/31725334888675?display=Andrew%20Pierce&amp;reservation_id=31725334888675&amp;guest_id=31688520413432", "Andrew Pierce")</f>
        <v>Andrew Pierce</v>
      </c>
      <c r="E11838" t="s">
        <v>7935</v>
      </c>
      <c r="F11838" t="s">
        <v>11055</v>
      </c>
      <c r="G11838">
        <v>336</v>
      </c>
      <c r="H11838">
        <v>365.24</v>
      </c>
      <c r="I11838">
        <v>365.23</v>
      </c>
      <c r="J11838">
        <v>0.01</v>
      </c>
    </row>
    <row r="11839" spans="1:10" x14ac:dyDescent="0.3">
      <c r="A11839" t="str">
        <f>HYPERLINK("https://us2.cloudbeds.com/connect/10074733072513#/reservations/31725766226113?display=MXDYSEE6Z&amp;reservation_id=31725766226113", "MXDYSEE6Z")</f>
        <v>MXDYSEE6Z</v>
      </c>
      <c r="B11839" t="s">
        <v>10</v>
      </c>
      <c r="C11839" t="s">
        <v>42</v>
      </c>
      <c r="D11839" t="str">
        <f>HYPERLINK("https://us2.cloudbeds.com/connect/10074733072513#/reservations/31725766226113?display=Jayme%20Steinblock&amp;reservation_id=31725766226113&amp;guest_id=31725758046374", "Jayme Steinblock")</f>
        <v>Jayme Steinblock</v>
      </c>
      <c r="E11839" t="s">
        <v>4220</v>
      </c>
      <c r="F11839" t="s">
        <v>11041</v>
      </c>
      <c r="G11839">
        <v>89</v>
      </c>
      <c r="H11839">
        <v>96.75</v>
      </c>
      <c r="I11839">
        <v>96.74</v>
      </c>
      <c r="J11839">
        <v>0.01</v>
      </c>
    </row>
    <row r="11840" spans="1:10" x14ac:dyDescent="0.3">
      <c r="A11840" t="str">
        <f>HYPERLINK("https://us2.cloudbeds.com/connect/10074733072513#/reservations/31725961167016?display=MXDQRQV9R&amp;reservation_id=31725961167016", "MXDQRQV9R")</f>
        <v>MXDQRQV9R</v>
      </c>
      <c r="B11840" t="s">
        <v>10</v>
      </c>
      <c r="C11840" t="s">
        <v>42</v>
      </c>
      <c r="D11840" t="str">
        <f>HYPERLINK("https://us2.cloudbeds.com/connect/10074733072513#/reservations/31725961167016?display=Nick%20Sherman&amp;reservation_id=31725961167016&amp;guest_id=31723967779048", "Nick Sherman")</f>
        <v>Nick Sherman</v>
      </c>
      <c r="E11840" t="s">
        <v>9425</v>
      </c>
      <c r="F11840" t="s">
        <v>11055</v>
      </c>
      <c r="G11840">
        <v>336</v>
      </c>
      <c r="H11840">
        <v>365.24</v>
      </c>
      <c r="I11840">
        <v>365.23</v>
      </c>
      <c r="J11840">
        <v>0.01</v>
      </c>
    </row>
    <row r="11841" spans="1:10" x14ac:dyDescent="0.3">
      <c r="A11841" t="str">
        <f>HYPERLINK("https://us2.cloudbeds.com/connect/10074733072513#/reservations/31726749872259?display=MXEDWSRHN&amp;reservation_id=31726749872259", "MXEDWSRHN")</f>
        <v>MXEDWSRHN</v>
      </c>
      <c r="B11841" t="s">
        <v>10</v>
      </c>
      <c r="C11841" t="s">
        <v>121</v>
      </c>
      <c r="D11841" t="str">
        <f>HYPERLINK("https://us2.cloudbeds.com/connect/10074733072513#/reservations/31726749872259?display=Steven%20Brown&amp;reservation_id=31726749872259&amp;guest_id=31726749872257", "Steven Brown")</f>
        <v>Steven Brown</v>
      </c>
      <c r="E11841" t="s">
        <v>8535</v>
      </c>
      <c r="F11841" t="s">
        <v>11047</v>
      </c>
      <c r="G11841">
        <v>109</v>
      </c>
      <c r="H11841">
        <v>118.49</v>
      </c>
      <c r="I11841">
        <v>118.48</v>
      </c>
      <c r="J11841">
        <v>0.01</v>
      </c>
    </row>
    <row r="11842" spans="1:10" x14ac:dyDescent="0.3">
      <c r="A11842" t="str">
        <f>HYPERLINK("https://us2.cloudbeds.com/connect/10074733072513#/reservations/31721954631869?display=MXANFD6YS&amp;reservation_id=31721954631869", "MXANFD6YS")</f>
        <v>MXANFD6YS</v>
      </c>
      <c r="B11842" t="s">
        <v>10</v>
      </c>
      <c r="C11842" t="s">
        <v>42</v>
      </c>
      <c r="D11842" t="str">
        <f>HYPERLINK("https://us2.cloudbeds.com/connect/10074733072513#/reservations/31721954631869?display=Karin%20Walmer&amp;reservation_id=31721954631869&amp;guest_id=31721954631858", "Karin Walmer")</f>
        <v>Karin Walmer</v>
      </c>
      <c r="E11842" t="s">
        <v>11058</v>
      </c>
      <c r="F11842" t="s">
        <v>11059</v>
      </c>
      <c r="G11842">
        <v>134.1</v>
      </c>
      <c r="H11842">
        <v>145.78</v>
      </c>
      <c r="I11842">
        <v>145.77000000000001</v>
      </c>
      <c r="J11842">
        <v>0.01</v>
      </c>
    </row>
    <row r="11843" spans="1:10" x14ac:dyDescent="0.3">
      <c r="A11843" t="str">
        <f>HYPERLINK("https://us2.cloudbeds.com/connect/10074733072513#/reservations/31724426109139?display=MXCKKDN3F&amp;reservation_id=31724426109139", "MXCKKDN3F")</f>
        <v>MXCKKDN3F</v>
      </c>
      <c r="B11843" t="s">
        <v>10</v>
      </c>
      <c r="C11843" t="s">
        <v>11</v>
      </c>
      <c r="D11843" t="str">
        <f>HYPERLINK("https://us2.cloudbeds.com/connect/10074733072513#/reservations/31724426109139?display=Robert%20Charylo&amp;reservation_id=31724426109139&amp;guest_id=31724426109135", "Robert Charylo")</f>
        <v>Robert Charylo</v>
      </c>
      <c r="E11843" t="s">
        <v>11060</v>
      </c>
      <c r="F11843" t="s">
        <v>11047</v>
      </c>
      <c r="G11843">
        <v>87.82</v>
      </c>
      <c r="H11843">
        <v>95.47</v>
      </c>
      <c r="I11843">
        <v>95.46</v>
      </c>
      <c r="J11843">
        <v>0.01</v>
      </c>
    </row>
    <row r="11844" spans="1:10" x14ac:dyDescent="0.3">
      <c r="A11844" t="str">
        <f>HYPERLINK("https://us2.cloudbeds.com/connect/10074733072513#/reservations/31720562204815?display=MX9KT8SJY&amp;reservation_id=31720562204815", "MX9KT8SJY")</f>
        <v>MX9KT8SJY</v>
      </c>
      <c r="B11844" t="s">
        <v>10</v>
      </c>
      <c r="C11844" t="s">
        <v>42</v>
      </c>
      <c r="D11844" t="str">
        <f>HYPERLINK("https://us2.cloudbeds.com/connect/10074733072513#/reservations/31720562204815?display=Melissa%20Kinnetz&amp;reservation_id=31720562204815&amp;guest_id=31720562200721", "Melissa Kinnetz")</f>
        <v>Melissa Kinnetz</v>
      </c>
      <c r="E11844" t="s">
        <v>11061</v>
      </c>
      <c r="F11844" t="s">
        <v>10821</v>
      </c>
      <c r="G11844">
        <v>134.1</v>
      </c>
      <c r="H11844">
        <v>145.78</v>
      </c>
      <c r="I11844">
        <v>145.77000000000001</v>
      </c>
      <c r="J11844">
        <v>0.01</v>
      </c>
    </row>
    <row r="11845" spans="1:10" x14ac:dyDescent="0.3">
      <c r="A11845" t="str">
        <f>HYPERLINK("https://us2.cloudbeds.com/connect/10074733072513#/reservations/31726787670210?display=MXEEVZKD5&amp;reservation_id=31726787670210", "MXEEVZKD5")</f>
        <v>MXEEVZKD5</v>
      </c>
      <c r="B11845" t="s">
        <v>10</v>
      </c>
      <c r="C11845" t="s">
        <v>121</v>
      </c>
      <c r="D11845" t="str">
        <f>HYPERLINK("https://us2.cloudbeds.com/connect/10074733072513#/reservations/31726787670210?display=Lucas%20Wosje&amp;reservation_id=31726787670210&amp;guest_id=31687794884827", "Lucas Wosje")</f>
        <v>Lucas Wosje</v>
      </c>
      <c r="E11845" t="s">
        <v>7900</v>
      </c>
      <c r="F11845" t="s">
        <v>11047</v>
      </c>
      <c r="G11845">
        <v>109</v>
      </c>
      <c r="H11845">
        <v>118.49</v>
      </c>
      <c r="I11845">
        <v>118.48</v>
      </c>
      <c r="J11845">
        <v>0.01</v>
      </c>
    </row>
    <row r="11846" spans="1:10" x14ac:dyDescent="0.3">
      <c r="A11846" t="str">
        <f>HYPERLINK("https://us2.cloudbeds.com/connect/10074733072513#/reservations/31719539122318?display=MX8RZJ2TZ&amp;reservation_id=31719539122318", "MX8RZJ2TZ")</f>
        <v>MX8RZJ2TZ</v>
      </c>
      <c r="B11846" t="s">
        <v>10</v>
      </c>
      <c r="C11846" t="s">
        <v>17</v>
      </c>
      <c r="D11846" t="str">
        <f>HYPERLINK("https://us2.cloudbeds.com/connect/10074733072513#/reservations/31719539122318?display=Patrick%20Shaw&amp;reservation_id=31719539122318&amp;guest_id=31719539122305", "Patrick Shaw")</f>
        <v>Patrick Shaw</v>
      </c>
      <c r="E11846" t="s">
        <v>11062</v>
      </c>
      <c r="F11846" t="s">
        <v>11063</v>
      </c>
      <c r="G11846">
        <v>119</v>
      </c>
      <c r="H11846">
        <v>129.36000000000001</v>
      </c>
      <c r="I11846">
        <v>129.35</v>
      </c>
      <c r="J11846">
        <v>0.01</v>
      </c>
    </row>
    <row r="11847" spans="1:10" x14ac:dyDescent="0.3">
      <c r="A11847" t="str">
        <f>HYPERLINK("https://us2.cloudbeds.com/connect/10074733072513#/reservations/31726736699627?display=MXEDYP9F1&amp;reservation_id=31726736699627", "MXEDYP9F1")</f>
        <v>MXEDYP9F1</v>
      </c>
      <c r="B11847" t="s">
        <v>10</v>
      </c>
      <c r="C11847" t="s">
        <v>42</v>
      </c>
      <c r="D11847" t="str">
        <f>HYPERLINK("https://us2.cloudbeds.com/connect/10074733072513#/reservations/31726736699627?display=Ben%20Reece&amp;reservation_id=31726736699627&amp;guest_id=31716462199015", "Ben Reece")</f>
        <v>Ben Reece</v>
      </c>
      <c r="E11847" t="s">
        <v>11064</v>
      </c>
      <c r="F11847" t="s">
        <v>11023</v>
      </c>
      <c r="G11847">
        <v>73</v>
      </c>
      <c r="H11847">
        <v>79.36</v>
      </c>
      <c r="I11847">
        <v>79.349999999999994</v>
      </c>
      <c r="J11847">
        <v>0.01</v>
      </c>
    </row>
    <row r="11848" spans="1:10" x14ac:dyDescent="0.3">
      <c r="A11848" t="str">
        <f>HYPERLINK("https://us2.cloudbeds.com/connect/10074733072513#/reservations/31726585790689?display=MXE9QH0ZU&amp;reservation_id=31726585790689", "MXE9QH0ZU")</f>
        <v>MXE9QH0ZU</v>
      </c>
      <c r="B11848" t="s">
        <v>10</v>
      </c>
      <c r="C11848" t="s">
        <v>121</v>
      </c>
      <c r="D11848" t="str">
        <f>HYPERLINK("https://us2.cloudbeds.com/connect/10074733072513#/reservations/31726585790689?display=Mark%20Siudut&amp;reservation_id=31726585790689&amp;guest_id=31726585790672", "Mark Siudut")</f>
        <v>Mark Siudut</v>
      </c>
      <c r="E11848" t="s">
        <v>11065</v>
      </c>
      <c r="F11848" t="s">
        <v>11023</v>
      </c>
      <c r="G11848">
        <v>109</v>
      </c>
      <c r="H11848">
        <v>118.49</v>
      </c>
      <c r="I11848">
        <v>118.48</v>
      </c>
      <c r="J11848">
        <v>0.01</v>
      </c>
    </row>
    <row r="11849" spans="1:10" x14ac:dyDescent="0.3">
      <c r="A11849" t="str">
        <f>HYPERLINK("https://us2.cloudbeds.com/connect/10074733072513#/reservations/31723638456522?display=MXC0G83FB&amp;reservation_id=31723638456522", "MXC0G83FB")</f>
        <v>MXC0G83FB</v>
      </c>
      <c r="B11849" t="s">
        <v>10</v>
      </c>
      <c r="C11849" t="s">
        <v>42</v>
      </c>
      <c r="D11849" t="str">
        <f>HYPERLINK("https://us2.cloudbeds.com/connect/10074733072513#/reservations/31723638456522?display=Melissa%20Williams&amp;reservation_id=31723638456522&amp;guest_id=31723638456518", "Melissa Williams")</f>
        <v>Melissa Williams</v>
      </c>
      <c r="E11849" t="s">
        <v>11066</v>
      </c>
      <c r="F11849" t="s">
        <v>11014</v>
      </c>
      <c r="G11849">
        <v>139</v>
      </c>
      <c r="H11849">
        <v>151.1</v>
      </c>
      <c r="I11849">
        <v>151.09</v>
      </c>
      <c r="J11849">
        <v>0.01</v>
      </c>
    </row>
    <row r="11850" spans="1:10" x14ac:dyDescent="0.3">
      <c r="A11850" t="str">
        <f>HYPERLINK("https://us2.cloudbeds.com/connect/10074733072513#/reservations/31726618943655?display=MXEAYFX88&amp;reservation_id=31726618943655", "MXEAYFX88")</f>
        <v>MXEAYFX88</v>
      </c>
      <c r="B11850" t="s">
        <v>10</v>
      </c>
      <c r="C11850" t="s">
        <v>23</v>
      </c>
      <c r="D11850" t="str">
        <f>HYPERLINK("https://us2.cloudbeds.com/connect/10074733072513#/reservations/31726618943655?display=Olivia%20Whitmore&amp;reservation_id=31726618943655&amp;guest_id=31726608961743", "Olivia Whitmore")</f>
        <v>Olivia Whitmore</v>
      </c>
      <c r="E11850" t="s">
        <v>11067</v>
      </c>
      <c r="F11850" t="s">
        <v>11023</v>
      </c>
      <c r="G11850">
        <v>109</v>
      </c>
      <c r="H11850">
        <v>118.49</v>
      </c>
      <c r="I11850">
        <v>118.48</v>
      </c>
      <c r="J11850">
        <v>0.01</v>
      </c>
    </row>
    <row r="11851" spans="1:10" x14ac:dyDescent="0.3">
      <c r="A11851" t="str">
        <f>HYPERLINK("https://us2.cloudbeds.com/connect/10074733072513#/reservations/31725016174767?display=MXD2MW4R2&amp;reservation_id=31725016174767", "MXD2MW4R2")</f>
        <v>MXD2MW4R2</v>
      </c>
      <c r="B11851" t="s">
        <v>10</v>
      </c>
      <c r="C11851" t="s">
        <v>17</v>
      </c>
      <c r="D11851" t="str">
        <f>HYPERLINK("https://us2.cloudbeds.com/connect/10074733072513#/reservations/31725016174767?display=Tad%20Halferty&amp;reservation_id=31725016174767&amp;guest_id=31725016174764", "Tad Halferty")</f>
        <v>Tad Halferty</v>
      </c>
      <c r="E11851" t="s">
        <v>11068</v>
      </c>
      <c r="F11851" t="s">
        <v>10973</v>
      </c>
      <c r="G11851">
        <v>149</v>
      </c>
      <c r="H11851">
        <v>161.97</v>
      </c>
      <c r="I11851">
        <v>161.96</v>
      </c>
      <c r="J11851">
        <v>0.01</v>
      </c>
    </row>
    <row r="11852" spans="1:10" x14ac:dyDescent="0.3">
      <c r="A11852" t="str">
        <f>HYPERLINK("https://us2.cloudbeds.com/connect/10074733072513#/reservations/31722833305765?display=MXBCUAJZX&amp;reservation_id=31722833305765", "MXBCUAJZX")</f>
        <v>MXBCUAJZX</v>
      </c>
      <c r="B11852" t="s">
        <v>10</v>
      </c>
      <c r="C11852" t="s">
        <v>42</v>
      </c>
      <c r="D11852" t="str">
        <f>HYPERLINK("https://us2.cloudbeds.com/connect/10074733072513#/reservations/31722833305765?display=Tim%20Arens&amp;reservation_id=31722833305765&amp;guest_id=31722833305763", "Tim Arens")</f>
        <v>Tim Arens</v>
      </c>
      <c r="E11852" t="s">
        <v>11069</v>
      </c>
      <c r="F11852" t="s">
        <v>11070</v>
      </c>
      <c r="G11852">
        <v>89</v>
      </c>
      <c r="H11852">
        <v>96.75</v>
      </c>
      <c r="I11852">
        <v>96.74</v>
      </c>
      <c r="J11852">
        <v>0.01</v>
      </c>
    </row>
    <row r="11853" spans="1:10" x14ac:dyDescent="0.3">
      <c r="A11853" t="str">
        <f>HYPERLINK("https://us2.cloudbeds.com/connect/10074733072513#/reservations/31726565789903?display=MXE99YFXG&amp;reservation_id=31726565789903", "MXE99YFXG")</f>
        <v>MXE99YFXG</v>
      </c>
      <c r="B11853" t="s">
        <v>10</v>
      </c>
      <c r="C11853" t="s">
        <v>121</v>
      </c>
      <c r="D11853" t="str">
        <f>HYPERLINK("https://us2.cloudbeds.com/connect/10074733072513#/reservations/31726565789903?display=Carlos%20Maldonado&amp;reservation_id=31726565789903&amp;guest_id=31726565789898", "Carlos Maldonado")</f>
        <v>Carlos Maldonado</v>
      </c>
      <c r="E11853" t="s">
        <v>11071</v>
      </c>
      <c r="F11853" t="s">
        <v>11023</v>
      </c>
      <c r="G11853">
        <v>109</v>
      </c>
      <c r="H11853">
        <v>118.49</v>
      </c>
      <c r="I11853">
        <v>118.48</v>
      </c>
      <c r="J11853">
        <v>0.01</v>
      </c>
    </row>
    <row r="11854" spans="1:10" x14ac:dyDescent="0.3">
      <c r="A11854" t="str">
        <f>HYPERLINK("https://us2.cloudbeds.com/connect/10074733072513#/reservations/31723883962517?display=MXC6P8M4V&amp;reservation_id=31723883962517", "MXC6P8M4V")</f>
        <v>MXC6P8M4V</v>
      </c>
      <c r="B11854" t="s">
        <v>10</v>
      </c>
      <c r="C11854" t="s">
        <v>23</v>
      </c>
      <c r="D11854" t="str">
        <f>HYPERLINK("https://us2.cloudbeds.com/connect/10074733072513#/reservations/31723883962517?display=Matt%20Podany&amp;reservation_id=31723883962517&amp;guest_id=31723883958424", "Matt Podany")</f>
        <v>Matt Podany</v>
      </c>
      <c r="E11854" t="s">
        <v>11072</v>
      </c>
      <c r="F11854" t="s">
        <v>11026</v>
      </c>
      <c r="G11854">
        <v>119</v>
      </c>
      <c r="H11854">
        <v>129.36000000000001</v>
      </c>
      <c r="I11854">
        <v>129.35</v>
      </c>
      <c r="J11854">
        <v>0.01</v>
      </c>
    </row>
    <row r="11855" spans="1:10" x14ac:dyDescent="0.3">
      <c r="A11855" t="str">
        <f>HYPERLINK("https://us2.cloudbeds.com/connect/10074733072513#/reservations/31725059490011?display=MXD3QGF27&amp;reservation_id=31725059490011", "MXD3QGF27")</f>
        <v>MXD3QGF27</v>
      </c>
      <c r="B11855" t="s">
        <v>10</v>
      </c>
      <c r="C11855" t="s">
        <v>23</v>
      </c>
      <c r="D11855" t="str">
        <f>HYPERLINK("https://us2.cloudbeds.com/connect/10074733072513#/reservations/31725059490011?display=Douglas%20Hackett&amp;reservation_id=31725059490011&amp;guest_id=31725049168013", "Douglas Hackett")</f>
        <v>Douglas Hackett</v>
      </c>
      <c r="E11855" t="s">
        <v>11073</v>
      </c>
      <c r="F11855" t="s">
        <v>11014</v>
      </c>
      <c r="G11855">
        <v>119</v>
      </c>
      <c r="H11855">
        <v>129.36000000000001</v>
      </c>
      <c r="I11855">
        <v>129.35</v>
      </c>
      <c r="J11855">
        <v>0.01</v>
      </c>
    </row>
    <row r="11856" spans="1:10" x14ac:dyDescent="0.3">
      <c r="A11856" t="str">
        <f>HYPERLINK("https://us2.cloudbeds.com/connect/10074733072513#/reservations/31723616661711?display=MXBWUSKSH&amp;reservation_id=31723616661711", "MXBWUSKSH")</f>
        <v>MXBWUSKSH</v>
      </c>
      <c r="B11856" t="s">
        <v>10</v>
      </c>
      <c r="C11856" t="s">
        <v>23</v>
      </c>
      <c r="D11856" t="str">
        <f>HYPERLINK("https://us2.cloudbeds.com/connect/10074733072513#/reservations/31723616661711?display=Mckenzie%20Robertson&amp;reservation_id=31723616661711&amp;guest_id=31723616657626", "Mckenzie Robertson")</f>
        <v>Mckenzie Robertson</v>
      </c>
      <c r="E11856" t="s">
        <v>11074</v>
      </c>
      <c r="F11856" t="s">
        <v>11014</v>
      </c>
      <c r="G11856">
        <v>139</v>
      </c>
      <c r="H11856">
        <v>151.1</v>
      </c>
      <c r="I11856">
        <v>151.09</v>
      </c>
      <c r="J11856">
        <v>0.01</v>
      </c>
    </row>
    <row r="11857" spans="1:10" x14ac:dyDescent="0.3">
      <c r="A11857" t="str">
        <f>HYPERLINK("https://us2.cloudbeds.com/connect/10074733072513#/reservations/31725223719059?display=MXD7WWC91&amp;reservation_id=31725223719059", "MXD7WWC91")</f>
        <v>MXD7WWC91</v>
      </c>
      <c r="B11857" t="s">
        <v>10</v>
      </c>
      <c r="C11857" t="s">
        <v>11</v>
      </c>
      <c r="D11857" t="str">
        <f>HYPERLINK("https://us2.cloudbeds.com/connect/10074733072513#/reservations/31725223719059?display=Robert%20Charylo&amp;reservation_id=31725223719059&amp;guest_id=31725223719054", "Robert Charylo")</f>
        <v>Robert Charylo</v>
      </c>
      <c r="E11857" t="s">
        <v>11075</v>
      </c>
      <c r="F11857" t="s">
        <v>11014</v>
      </c>
      <c r="G11857">
        <v>352.58</v>
      </c>
      <c r="H11857">
        <v>383.26</v>
      </c>
      <c r="I11857">
        <v>383.25</v>
      </c>
      <c r="J11857">
        <v>0.01</v>
      </c>
    </row>
    <row r="11858" spans="1:10" x14ac:dyDescent="0.3">
      <c r="A11858" t="str">
        <f>HYPERLINK("https://us2.cloudbeds.com/connect/10074733072513#/reservations/31723596628184?display=MXBWDW5JV&amp;reservation_id=31723596628184", "MXBWDW5JV")</f>
        <v>MXBWDW5JV</v>
      </c>
      <c r="B11858" t="s">
        <v>10</v>
      </c>
      <c r="C11858" t="s">
        <v>42</v>
      </c>
      <c r="D11858" t="str">
        <f>HYPERLINK("https://us2.cloudbeds.com/connect/10074733072513#/reservations/31723596628184?display=Jeff%20Potts&amp;reservation_id=31723596628184&amp;guest_id=31686514208925", "Jeff Potts")</f>
        <v>Jeff Potts</v>
      </c>
      <c r="E11858" t="s">
        <v>3400</v>
      </c>
      <c r="F11858" t="s">
        <v>11014</v>
      </c>
      <c r="G11858">
        <v>252</v>
      </c>
      <c r="H11858">
        <v>273.93</v>
      </c>
      <c r="I11858">
        <v>273.92</v>
      </c>
      <c r="J11858">
        <v>0.01</v>
      </c>
    </row>
    <row r="11859" spans="1:10" x14ac:dyDescent="0.3">
      <c r="A11859" t="str">
        <f>HYPERLINK("https://us2.cloudbeds.com/connect/10074733072513#/reservations/31723649065118?display=MXC0P6A1V&amp;reservation_id=31723649065118", "MXC0P6A1V")</f>
        <v>MXC0P6A1V</v>
      </c>
      <c r="B11859" t="s">
        <v>10</v>
      </c>
      <c r="C11859" t="s">
        <v>42</v>
      </c>
      <c r="D11859" t="str">
        <f>HYPERLINK("https://us2.cloudbeds.com/connect/10074733072513#/reservations/31723649065118?display=Ryan%20Hemmingson&amp;reservation_id=31723649065118&amp;guest_id=31723649065107", "Ryan Hemmingson")</f>
        <v>Ryan Hemmingson</v>
      </c>
      <c r="E11859" t="s">
        <v>11076</v>
      </c>
      <c r="F11859" t="s">
        <v>11014</v>
      </c>
      <c r="G11859">
        <v>139</v>
      </c>
      <c r="H11859">
        <v>151.1</v>
      </c>
      <c r="I11859">
        <v>151.09</v>
      </c>
      <c r="J11859">
        <v>0.01</v>
      </c>
    </row>
    <row r="11860" spans="1:10" x14ac:dyDescent="0.3">
      <c r="A11860" t="str">
        <f>HYPERLINK("https://us2.cloudbeds.com/connect/10074733072513#/reservations/31719848300693?display=MX92Y9E8D&amp;reservation_id=31719848300693", "MX92Y9E8D")</f>
        <v>MX92Y9E8D</v>
      </c>
      <c r="B11860" t="s">
        <v>10</v>
      </c>
      <c r="C11860" t="s">
        <v>42</v>
      </c>
      <c r="D11860" t="str">
        <f>HYPERLINK("https://us2.cloudbeds.com/connect/10074733072513#/reservations/31719848300693?display=Trent%20Tidaback&amp;reservation_id=31719848300693&amp;guest_id=31719848296615", "Trent Tidaback")</f>
        <v>Trent Tidaback</v>
      </c>
      <c r="E11860" t="s">
        <v>11077</v>
      </c>
      <c r="F11860" t="s">
        <v>11049</v>
      </c>
      <c r="G11860">
        <v>178</v>
      </c>
      <c r="H11860">
        <v>193.5</v>
      </c>
      <c r="I11860">
        <v>193.49</v>
      </c>
      <c r="J11860">
        <v>0.01</v>
      </c>
    </row>
    <row r="11861" spans="1:10" x14ac:dyDescent="0.3">
      <c r="A11861" t="str">
        <f>HYPERLINK("https://us2.cloudbeds.com/connect/10074733072513#/reservations/31725083025656?display=MXD4DBC7J&amp;reservation_id=31725083025656", "MXD4DBC7J")</f>
        <v>MXD4DBC7J</v>
      </c>
      <c r="B11861" t="s">
        <v>10</v>
      </c>
      <c r="C11861" t="s">
        <v>23</v>
      </c>
      <c r="D11861" t="str">
        <f>HYPERLINK("https://us2.cloudbeds.com/connect/10074733072513#/reservations/31725083025656?display=Henry%20Rogotzke&amp;reservation_id=31725083025656&amp;guest_id=31725072019612", "Henry Rogotzke")</f>
        <v>Henry Rogotzke</v>
      </c>
      <c r="E11861" t="s">
        <v>11078</v>
      </c>
      <c r="F11861" t="s">
        <v>11014</v>
      </c>
      <c r="G11861">
        <v>149</v>
      </c>
      <c r="H11861">
        <v>161.97</v>
      </c>
      <c r="I11861">
        <v>161.96</v>
      </c>
      <c r="J11861">
        <v>0.01</v>
      </c>
    </row>
    <row r="11862" spans="1:10" x14ac:dyDescent="0.3">
      <c r="A11862" t="str">
        <f>HYPERLINK("https://us2.cloudbeds.com/connect/10074733072513#/reservations/31725049163920?display=MXD3HQ3TC&amp;reservation_id=31725049163920", "MXD3HQ3TC")</f>
        <v>MXD3HQ3TC</v>
      </c>
      <c r="B11862" t="s">
        <v>10</v>
      </c>
      <c r="C11862" t="s">
        <v>11</v>
      </c>
      <c r="D11862" t="str">
        <f>HYPERLINK("https://us2.cloudbeds.com/connect/10074733072513#/reservations/31725049163920?display=Nathan%20Spatz&amp;reservation_id=31725049163920&amp;guest_id=31725041185011", "Nathan Spatz")</f>
        <v>Nathan Spatz</v>
      </c>
      <c r="E11862" t="s">
        <v>11079</v>
      </c>
      <c r="F11862" t="s">
        <v>11014</v>
      </c>
      <c r="G11862">
        <v>102.58</v>
      </c>
      <c r="H11862">
        <v>111.51</v>
      </c>
      <c r="I11862">
        <v>111.5</v>
      </c>
      <c r="J11862">
        <v>0.01</v>
      </c>
    </row>
    <row r="11863" spans="1:10" x14ac:dyDescent="0.3">
      <c r="A11863" t="str">
        <f>HYPERLINK("https://us2.cloudbeds.com/connect/10074733072513#/reservations/31723565322394?display=MXBVKJ1AY&amp;reservation_id=31723565322394", "MXBVKJ1AY")</f>
        <v>MXBVKJ1AY</v>
      </c>
      <c r="B11863" t="s">
        <v>10</v>
      </c>
      <c r="C11863" t="s">
        <v>121</v>
      </c>
      <c r="D11863" t="str">
        <f>HYPERLINK("https://us2.cloudbeds.com/connect/10074733072513#/reservations/31723565322394?display=Nicholas%20Grace&amp;reservation_id=31723565322394&amp;guest_id=31723555717312", "Nicholas Grace")</f>
        <v>Nicholas Grace</v>
      </c>
      <c r="E11863" t="s">
        <v>11080</v>
      </c>
      <c r="F11863" t="s">
        <v>10973</v>
      </c>
      <c r="G11863">
        <v>139</v>
      </c>
      <c r="H11863">
        <v>151.1</v>
      </c>
      <c r="I11863">
        <v>151.09</v>
      </c>
      <c r="J11863">
        <v>0.01</v>
      </c>
    </row>
    <row r="11864" spans="1:10" x14ac:dyDescent="0.3">
      <c r="A11864" t="str">
        <f>HYPERLINK("https://us2.cloudbeds.com/connect/10074733072513#/reservations/31723565326486?display=MXBVKJ52Y&amp;reservation_id=31723565326486", "MXBVKJ52Y")</f>
        <v>MXBVKJ52Y</v>
      </c>
      <c r="B11864" t="s">
        <v>10</v>
      </c>
      <c r="C11864" t="s">
        <v>23</v>
      </c>
      <c r="D11864" t="str">
        <f>HYPERLINK("https://us2.cloudbeds.com/connect/10074733072513#/reservations/31723565326486?display=Landon%20Young&amp;reservation_id=31723565326486&amp;guest_id=31723565326484", "Landon Young")</f>
        <v>Landon Young</v>
      </c>
      <c r="E11864" t="s">
        <v>11083</v>
      </c>
      <c r="F11864" t="s">
        <v>11014</v>
      </c>
      <c r="G11864">
        <v>139</v>
      </c>
      <c r="H11864">
        <v>151.1</v>
      </c>
      <c r="I11864">
        <v>151.09</v>
      </c>
      <c r="J11864">
        <v>0.01</v>
      </c>
    </row>
    <row r="11865" spans="1:10" x14ac:dyDescent="0.3">
      <c r="A11865" t="str">
        <f>HYPERLINK("https://us2.cloudbeds.com/connect/10074733072513#/reservations/31723586265227?display=MXBW57QXV&amp;reservation_id=31723586265227", "MXBW57QXV")</f>
        <v>MXBW57QXV</v>
      </c>
      <c r="B11865" t="s">
        <v>10</v>
      </c>
      <c r="C11865" t="s">
        <v>121</v>
      </c>
      <c r="D11865" t="str">
        <f>HYPERLINK("https://us2.cloudbeds.com/connect/10074733072513#/reservations/31723586265227?display=Chad%20Pederson&amp;reservation_id=31723586265227&amp;guest_id=31723580879068", "Chad Pederson")</f>
        <v>Chad Pederson</v>
      </c>
      <c r="E11865" t="s">
        <v>11084</v>
      </c>
      <c r="F11865" t="s">
        <v>11014</v>
      </c>
      <c r="G11865">
        <v>159</v>
      </c>
      <c r="H11865">
        <v>172.84</v>
      </c>
      <c r="I11865">
        <v>172.83</v>
      </c>
      <c r="J11865">
        <v>0.01</v>
      </c>
    </row>
    <row r="11866" spans="1:10" x14ac:dyDescent="0.3">
      <c r="A11866" t="str">
        <f>HYPERLINK("https://us2.cloudbeds.com/connect/10074733072513#/reservations/31725007196370?display=MXD2FDA6E&amp;reservation_id=31725007196370", "MXD2FDA6E")</f>
        <v>MXD2FDA6E</v>
      </c>
      <c r="B11866" t="s">
        <v>10</v>
      </c>
      <c r="C11866" t="s">
        <v>121</v>
      </c>
      <c r="D11866" t="str">
        <f>HYPERLINK("https://us2.cloudbeds.com/connect/10074733072513#/reservations/31725007196370?display=Charles%20Spence&amp;reservation_id=31725007196370&amp;guest_id=31725007192279", "Charles Spence")</f>
        <v>Charles Spence</v>
      </c>
      <c r="E11866" t="s">
        <v>11085</v>
      </c>
      <c r="F11866" t="s">
        <v>10973</v>
      </c>
      <c r="G11866">
        <v>119</v>
      </c>
      <c r="H11866">
        <v>129.36000000000001</v>
      </c>
      <c r="I11866">
        <v>129.35</v>
      </c>
      <c r="J11866">
        <v>0.01</v>
      </c>
    </row>
    <row r="11867" spans="1:10" x14ac:dyDescent="0.3">
      <c r="A11867" t="str">
        <f>HYPERLINK("https://us2.cloudbeds.com/connect/10074733072513#/reservations/31714825728180?display=MX56A3V9B&amp;reservation_id=31714825728180", "MX56A3V9B")</f>
        <v>MX56A3V9B</v>
      </c>
      <c r="B11867" t="s">
        <v>10</v>
      </c>
      <c r="C11867" t="s">
        <v>42</v>
      </c>
      <c r="D11867" t="str">
        <f>HYPERLINK("https://us2.cloudbeds.com/connect/10074733072513#/reservations/31714825728180?display=Alli%20Holm&amp;reservation_id=31714825728180&amp;guest_id=31714099806412", "Alli Holm")</f>
        <v>Alli Holm</v>
      </c>
      <c r="E11867" t="s">
        <v>10749</v>
      </c>
      <c r="F11867" t="s">
        <v>11087</v>
      </c>
      <c r="G11867">
        <v>159</v>
      </c>
      <c r="H11867">
        <v>172.84</v>
      </c>
      <c r="I11867">
        <v>172.83</v>
      </c>
      <c r="J11867">
        <v>0.01</v>
      </c>
    </row>
    <row r="11868" spans="1:10" x14ac:dyDescent="0.3">
      <c r="A11868" t="str">
        <f>HYPERLINK("https://us2.cloudbeds.com/connect/10074733072513#/reservations/31724978393337?display=MXD1Z3R48&amp;reservation_id=31724978393337", "MXD1Z3R48")</f>
        <v>MXD1Z3R48</v>
      </c>
      <c r="B11868" t="s">
        <v>10</v>
      </c>
      <c r="C11868" t="s">
        <v>121</v>
      </c>
      <c r="D11868" t="str">
        <f>HYPERLINK("https://us2.cloudbeds.com/connect/10074733072513#/reservations/31724978393337?display=Henry%20Buitenbos&amp;reservation_id=31724978393337&amp;guest_id=31724969955489", "Henry Buitenbos")</f>
        <v>Henry Buitenbos</v>
      </c>
      <c r="E11868" t="s">
        <v>11088</v>
      </c>
      <c r="F11868" t="s">
        <v>10973</v>
      </c>
      <c r="G11868">
        <v>119</v>
      </c>
      <c r="H11868">
        <v>129.36000000000001</v>
      </c>
      <c r="I11868">
        <v>129.35</v>
      </c>
      <c r="J11868">
        <v>0.01</v>
      </c>
    </row>
    <row r="11869" spans="1:10" x14ac:dyDescent="0.3">
      <c r="A11869" t="str">
        <f>HYPERLINK("https://us2.cloudbeds.com/connect/10074733072513#/reservations/31723828502664?display=MXC5BGDRB&amp;reservation_id=31723828502664", "MXC5BGDRB")</f>
        <v>MXC5BGDRB</v>
      </c>
      <c r="B11869" t="s">
        <v>10</v>
      </c>
      <c r="C11869" t="s">
        <v>42</v>
      </c>
      <c r="D11869" t="str">
        <f>HYPERLINK("https://us2.cloudbeds.com/connect/10074733072513#/reservations/31723828502664?display=Rori%20Beyer&amp;reservation_id=31723828502664&amp;guest_id=31723828502659", "Rori Beyer")</f>
        <v>Rori Beyer</v>
      </c>
      <c r="E11869" t="s">
        <v>11089</v>
      </c>
      <c r="F11869" t="s">
        <v>11026</v>
      </c>
      <c r="G11869">
        <v>258</v>
      </c>
      <c r="H11869">
        <v>280.45999999999998</v>
      </c>
      <c r="I11869">
        <v>280.45</v>
      </c>
      <c r="J11869">
        <v>0.01</v>
      </c>
    </row>
    <row r="11870" spans="1:10" x14ac:dyDescent="0.3">
      <c r="A11870" t="str">
        <f>HYPERLINK("https://us2.cloudbeds.com/connect/10074733072513#/reservations/31724918825169?display=MXD06T888&amp;reservation_id=31724918825169", "MXD06T888")</f>
        <v>MXD06T888</v>
      </c>
      <c r="B11870" t="s">
        <v>10</v>
      </c>
      <c r="C11870" t="s">
        <v>23</v>
      </c>
      <c r="D11870" t="str">
        <f>HYPERLINK("https://us2.cloudbeds.com/connect/10074733072513#/reservations/31724918825169?display=Bakyt%20Kurmanov&amp;reservation_id=31724918825169&amp;guest_id=31724918825153", "Bakyt Kurmanov")</f>
        <v>Bakyt Kurmanov</v>
      </c>
      <c r="E11870" t="s">
        <v>11090</v>
      </c>
      <c r="F11870" t="s">
        <v>10894</v>
      </c>
      <c r="G11870">
        <v>119</v>
      </c>
      <c r="H11870">
        <v>129.36000000000001</v>
      </c>
      <c r="I11870">
        <v>129.35</v>
      </c>
      <c r="J11870">
        <v>0.01</v>
      </c>
    </row>
    <row r="11871" spans="1:10" x14ac:dyDescent="0.3">
      <c r="A11871" t="str">
        <f>HYPERLINK("https://us2.cloudbeds.com/connect/10074733072513#/reservations/31724905230556?display=MXCWSDVM9&amp;reservation_id=31724905230556", "MXCWSDVM9")</f>
        <v>MXCWSDVM9</v>
      </c>
      <c r="B11871" t="s">
        <v>10</v>
      </c>
      <c r="C11871" t="s">
        <v>23</v>
      </c>
      <c r="D11871" t="str">
        <f>HYPERLINK("https://us2.cloudbeds.com/connect/10074733072513#/reservations/31724905230556?display=Robert%20Dube&amp;reservation_id=31724905230556&amp;guest_id=31724905230551", "Robert Dube")</f>
        <v>Robert Dube</v>
      </c>
      <c r="E11871" t="s">
        <v>11091</v>
      </c>
      <c r="F11871" t="s">
        <v>10894</v>
      </c>
      <c r="G11871">
        <v>119</v>
      </c>
      <c r="H11871">
        <v>129.36000000000001</v>
      </c>
      <c r="I11871">
        <v>129.35</v>
      </c>
      <c r="J11871">
        <v>0.01</v>
      </c>
    </row>
    <row r="11872" spans="1:10" x14ac:dyDescent="0.3">
      <c r="A11872" t="str">
        <f>HYPERLINK("https://us2.cloudbeds.com/connect/10074733072513#/reservations/31724176670942?display=MXCE82NJ7&amp;reservation_id=31724176670942", "MXCE82NJ7")</f>
        <v>MXCE82NJ7</v>
      </c>
      <c r="B11872" t="s">
        <v>10</v>
      </c>
      <c r="C11872" t="s">
        <v>42</v>
      </c>
      <c r="D11872" t="str">
        <f>HYPERLINK("https://us2.cloudbeds.com/connect/10074733072513#/reservations/31724176670942?display=Nick%20Sherman&amp;reservation_id=31724176670942&amp;guest_id=31723967779048", "Nick Sherman")</f>
        <v>Nick Sherman</v>
      </c>
      <c r="E11872" t="s">
        <v>9425</v>
      </c>
      <c r="F11872" t="s">
        <v>11092</v>
      </c>
      <c r="G11872">
        <v>336</v>
      </c>
      <c r="H11872">
        <v>365.24</v>
      </c>
      <c r="I11872">
        <v>365.23</v>
      </c>
      <c r="J11872">
        <v>0.01</v>
      </c>
    </row>
    <row r="11873" spans="1:10" x14ac:dyDescent="0.3">
      <c r="A11873" t="str">
        <f>HYPERLINK("https://us2.cloudbeds.com/connect/10074733072513#/reservations/31724360994952?display=MXCXVGQF9&amp;reservation_id=31724360994952", "MXCXVGQF9")</f>
        <v>MXCXVGQF9</v>
      </c>
      <c r="B11873" t="s">
        <v>10</v>
      </c>
      <c r="C11873" t="s">
        <v>121</v>
      </c>
      <c r="D11873" t="str">
        <f>HYPERLINK("https://us2.cloudbeds.com/connect/10074733072513#/reservations/31724360994952?display=Craig%20Mattheis&amp;reservation_id=31724360994952&amp;guest_id=31724353814695", "Craig Mattheis")</f>
        <v>Craig Mattheis</v>
      </c>
      <c r="E11873" t="s">
        <v>11093</v>
      </c>
      <c r="F11873" t="s">
        <v>10894</v>
      </c>
      <c r="G11873">
        <v>119</v>
      </c>
      <c r="H11873">
        <v>129.36000000000001</v>
      </c>
      <c r="I11873">
        <v>129.35</v>
      </c>
      <c r="J11873">
        <v>0.01</v>
      </c>
    </row>
    <row r="11874" spans="1:10" x14ac:dyDescent="0.3">
      <c r="A11874" t="str">
        <f>HYPERLINK("https://us2.cloudbeds.com/connect/10074733072513#/reservations/31724905226433?display=MXCWSDRTB&amp;reservation_id=31724905226433", "MXCWSDRTB")</f>
        <v>MXCWSDRTB</v>
      </c>
      <c r="B11874" t="s">
        <v>10</v>
      </c>
      <c r="C11874" t="s">
        <v>23</v>
      </c>
      <c r="D11874" t="str">
        <f>HYPERLINK("https://us2.cloudbeds.com/connect/10074733072513#/reservations/31724905226433?display=Lowell%20Tillotson&amp;reservation_id=31724905226433&amp;guest_id=31724891054257", "Lowell Tillotson")</f>
        <v>Lowell Tillotson</v>
      </c>
      <c r="E11874" t="s">
        <v>11094</v>
      </c>
      <c r="F11874" t="s">
        <v>10894</v>
      </c>
      <c r="G11874">
        <v>119</v>
      </c>
      <c r="H11874">
        <v>129.36000000000001</v>
      </c>
      <c r="I11874">
        <v>129.35</v>
      </c>
      <c r="J11874">
        <v>0.01</v>
      </c>
    </row>
    <row r="11875" spans="1:10" x14ac:dyDescent="0.3">
      <c r="A11875" t="str">
        <f>HYPERLINK("https://us2.cloudbeds.com/connect/10074733072513#/reservations/31724396658868?display=MXCJSJ6MW&amp;reservation_id=31724396658868", "MXCJSJ6MW")</f>
        <v>MXCJSJ6MW</v>
      </c>
      <c r="B11875" t="s">
        <v>10</v>
      </c>
      <c r="C11875" t="s">
        <v>23</v>
      </c>
      <c r="D11875" t="str">
        <f>HYPERLINK("https://us2.cloudbeds.com/connect/10074733072513#/reservations/31724396658868?display=James%20Smithson&amp;reservation_id=31724396658868&amp;guest_id=31724396658863", "James Smithson")</f>
        <v>James Smithson</v>
      </c>
      <c r="E11875" t="s">
        <v>11095</v>
      </c>
      <c r="F11875" t="s">
        <v>10894</v>
      </c>
      <c r="G11875">
        <v>119</v>
      </c>
      <c r="H11875">
        <v>129.36000000000001</v>
      </c>
      <c r="I11875">
        <v>129.35</v>
      </c>
      <c r="J11875">
        <v>0.01</v>
      </c>
    </row>
    <row r="11876" spans="1:10" x14ac:dyDescent="0.3">
      <c r="A11876" t="str">
        <f>HYPERLINK("https://us2.cloudbeds.com/connect/10074733072513#/reservations/31723979362435?display=MXC96NACX&amp;reservation_id=31723979362435", "MXC96NACX")</f>
        <v>MXC96NACX</v>
      </c>
      <c r="B11876" t="s">
        <v>10</v>
      </c>
      <c r="C11876" t="s">
        <v>42</v>
      </c>
      <c r="D11876" t="str">
        <f>HYPERLINK("https://us2.cloudbeds.com/connect/10074733072513#/reservations/31723979362435?display=Nick%20Sherman&amp;reservation_id=31723979362435&amp;guest_id=31723967779048", "Nick Sherman")</f>
        <v>Nick Sherman</v>
      </c>
      <c r="E11876" t="s">
        <v>9425</v>
      </c>
      <c r="F11876" t="s">
        <v>11096</v>
      </c>
      <c r="G11876">
        <v>336</v>
      </c>
      <c r="H11876">
        <v>365.24</v>
      </c>
      <c r="I11876">
        <v>365.23</v>
      </c>
      <c r="J11876">
        <v>0.01</v>
      </c>
    </row>
    <row r="11877" spans="1:10" x14ac:dyDescent="0.3">
      <c r="A11877" t="str">
        <f>HYPERLINK("https://us2.cloudbeds.com/connect/10074733072513#/reservations/31719912951950?display=MX949QEQD&amp;reservation_id=31719912951950", "MX949QEQD")</f>
        <v>MX949QEQD</v>
      </c>
      <c r="B11877" t="s">
        <v>10</v>
      </c>
      <c r="C11877" t="s">
        <v>23</v>
      </c>
      <c r="D11877" t="str">
        <f>HYPERLINK("https://us2.cloudbeds.com/connect/10074733072513#/reservations/31719912951950?display=Jason%20Grund&amp;reservation_id=31719912951950&amp;guest_id=31719912951948", "Jason Grund")</f>
        <v>Jason Grund</v>
      </c>
      <c r="E11877" t="s">
        <v>11097</v>
      </c>
      <c r="F11877" t="s">
        <v>11041</v>
      </c>
      <c r="G11877">
        <v>159</v>
      </c>
      <c r="H11877">
        <v>172.84</v>
      </c>
      <c r="I11877">
        <v>172.83</v>
      </c>
      <c r="J11877">
        <v>0.01</v>
      </c>
    </row>
    <row r="11878" spans="1:10" x14ac:dyDescent="0.3">
      <c r="A11878" t="str">
        <f>HYPERLINK("https://us2.cloudbeds.com/connect/10074733072513#/reservations/31723354460297?display=MXBQ7PG74&amp;reservation_id=31723354460297", "MXBQ7PG74")</f>
        <v>MXBQ7PG74</v>
      </c>
      <c r="B11878" t="s">
        <v>10</v>
      </c>
      <c r="C11878" t="s">
        <v>42</v>
      </c>
      <c r="D11878" t="str">
        <f>HYPERLINK("https://us2.cloudbeds.com/connect/10074733072513#/reservations/31723354460297?display=Shirley%20Wiese&amp;reservation_id=31723354460297&amp;guest_id=30650700603646", "Shirley Wiese")</f>
        <v>Shirley Wiese</v>
      </c>
      <c r="E11878" t="s">
        <v>11098</v>
      </c>
      <c r="F11878" t="s">
        <v>9675</v>
      </c>
      <c r="G11878">
        <v>331.2</v>
      </c>
      <c r="H11878">
        <v>360.02</v>
      </c>
      <c r="I11878">
        <v>360.01</v>
      </c>
      <c r="J11878">
        <v>0.01</v>
      </c>
    </row>
    <row r="11879" spans="1:10" x14ac:dyDescent="0.3">
      <c r="A11879" t="str">
        <f>HYPERLINK("https://us2.cloudbeds.com/connect/10074733072513#/reservations/31723851665583?display=MXC5V0VNW&amp;reservation_id=31723851665583", "MXC5V0VNW")</f>
        <v>MXC5V0VNW</v>
      </c>
      <c r="B11879" t="s">
        <v>10</v>
      </c>
      <c r="C11879" t="s">
        <v>42</v>
      </c>
      <c r="D11879" t="str">
        <f>HYPERLINK("https://us2.cloudbeds.com/connect/10074733072513#/reservations/31723851665583?display=Jeff%20Iverson&amp;reservation_id=31723851665583&amp;guest_id=31723839955167", "Jeff Iverson")</f>
        <v>Jeff Iverson</v>
      </c>
      <c r="E11879" t="s">
        <v>9748</v>
      </c>
      <c r="F11879" t="s">
        <v>11026</v>
      </c>
      <c r="G11879">
        <v>119</v>
      </c>
      <c r="H11879">
        <v>129.36000000000001</v>
      </c>
      <c r="I11879">
        <v>129.35</v>
      </c>
      <c r="J11879">
        <v>0.01</v>
      </c>
    </row>
    <row r="11880" spans="1:10" x14ac:dyDescent="0.3">
      <c r="A11880" t="str">
        <f>HYPERLINK("https://us2.cloudbeds.com/connect/10074733072513#/reservations/31712870170753?display=MX3MB4MEC&amp;reservation_id=31712870170753", "MX3MB4MEC")</f>
        <v>MX3MB4MEC</v>
      </c>
      <c r="B11880" t="s">
        <v>10</v>
      </c>
      <c r="C11880" t="s">
        <v>42</v>
      </c>
      <c r="D11880" t="str">
        <f>HYPERLINK("https://us2.cloudbeds.com/connect/10074733072513#/reservations/31712870170753?display=Katilyn%20Vantahos&amp;reservation_id=31712870170753&amp;guest_id=31712860360928", "Katilyn Vantahos")</f>
        <v>Katilyn Vantahos</v>
      </c>
      <c r="E11880" t="s">
        <v>11099</v>
      </c>
      <c r="F11880" t="s">
        <v>10250</v>
      </c>
      <c r="G11880">
        <v>169</v>
      </c>
      <c r="H11880">
        <v>183.71</v>
      </c>
      <c r="I11880">
        <v>183.7</v>
      </c>
      <c r="J11880">
        <v>0.01</v>
      </c>
    </row>
    <row r="11881" spans="1:10" x14ac:dyDescent="0.3">
      <c r="A11881" t="str">
        <f>HYPERLINK("https://us2.cloudbeds.com/connect/10074733072513#/reservations/31724372873430?display=MXCJ8HB55&amp;reservation_id=31724372873430", "MXCJ8HB55")</f>
        <v>MXCJ8HB55</v>
      </c>
      <c r="B11881" t="s">
        <v>10</v>
      </c>
      <c r="C11881" t="s">
        <v>121</v>
      </c>
      <c r="D11881" t="str">
        <f>HYPERLINK("https://us2.cloudbeds.com/connect/10074733072513#/reservations/31724372873430?display=Stacy%20Baas&amp;reservation_id=31724372873430&amp;guest_id=31681756233885", "Stacy Baas")</f>
        <v>Stacy Baas</v>
      </c>
      <c r="E11881" t="s">
        <v>7116</v>
      </c>
      <c r="F11881" t="s">
        <v>10894</v>
      </c>
      <c r="G11881">
        <v>119</v>
      </c>
      <c r="H11881">
        <v>129.36000000000001</v>
      </c>
      <c r="I11881">
        <v>129.35</v>
      </c>
      <c r="J11881">
        <v>0.01</v>
      </c>
    </row>
    <row r="11882" spans="1:10" x14ac:dyDescent="0.3">
      <c r="A11882" t="str">
        <f>HYPERLINK("https://us2.cloudbeds.com/connect/10074733072513#/reservations/31719812280453?display=MX91NU3QW&amp;reservation_id=31719812280453", "MX91NU3QW")</f>
        <v>MX91NU3QW</v>
      </c>
      <c r="B11882" t="s">
        <v>10</v>
      </c>
      <c r="C11882" t="s">
        <v>42</v>
      </c>
      <c r="D11882" t="str">
        <f>HYPERLINK("https://us2.cloudbeds.com/connect/10074733072513#/reservations/31719812280453?display=Logan%20Stiening&amp;reservation_id=31719812280453&amp;guest_id=31694836805795", "Logan Stiening")</f>
        <v>Logan Stiening</v>
      </c>
      <c r="E11882" t="s">
        <v>8358</v>
      </c>
      <c r="F11882" t="s">
        <v>11049</v>
      </c>
      <c r="G11882">
        <v>178</v>
      </c>
      <c r="H11882">
        <v>193.5</v>
      </c>
      <c r="I11882">
        <v>193.49</v>
      </c>
      <c r="J11882">
        <v>0.01</v>
      </c>
    </row>
    <row r="11883" spans="1:10" x14ac:dyDescent="0.3">
      <c r="A11883" t="str">
        <f>HYPERLINK("https://us2.cloudbeds.com/connect/10074733072513#/reservations/31724319125722?display=MXCHT6Z1Z&amp;reservation_id=31724319125722", "MXCHT6Z1Z")</f>
        <v>MXCHT6Z1Z</v>
      </c>
      <c r="B11883" t="s">
        <v>10</v>
      </c>
      <c r="C11883" t="s">
        <v>121</v>
      </c>
      <c r="D11883" t="str">
        <f>HYPERLINK("https://us2.cloudbeds.com/connect/10074733072513#/reservations/31724319125722?display=Connie%20Mckneely&amp;reservation_id=31724319125722&amp;guest_id=31724319121616", "Connie Mckneely")</f>
        <v>Connie Mckneely</v>
      </c>
      <c r="E11883" t="s">
        <v>11100</v>
      </c>
      <c r="F11883" t="s">
        <v>11026</v>
      </c>
      <c r="G11883">
        <v>119</v>
      </c>
      <c r="H11883">
        <v>129.36000000000001</v>
      </c>
      <c r="I11883">
        <v>129.35</v>
      </c>
      <c r="J11883">
        <v>0.01</v>
      </c>
    </row>
    <row r="11884" spans="1:10" x14ac:dyDescent="0.3">
      <c r="A11884" t="str">
        <f>HYPERLINK("https://us2.cloudbeds.com/connect/10074733072513#/reservations/31723853545616?display=MXC5WK93M&amp;reservation_id=31723853545616", "MXC5WK93M")</f>
        <v>MXC5WK93M</v>
      </c>
      <c r="B11884" t="s">
        <v>10</v>
      </c>
      <c r="C11884" t="s">
        <v>42</v>
      </c>
      <c r="D11884" t="str">
        <f>HYPERLINK("https://us2.cloudbeds.com/connect/10074733072513#/reservations/31723853545616?display=Andres%20Rasmussen&amp;reservation_id=31723853545616&amp;guest_id=31723853545614", "Andres Rasmussen")</f>
        <v>Andres Rasmussen</v>
      </c>
      <c r="E11884" t="s">
        <v>11101</v>
      </c>
      <c r="F11884" t="s">
        <v>11026</v>
      </c>
      <c r="G11884">
        <v>139</v>
      </c>
      <c r="H11884">
        <v>151.1</v>
      </c>
      <c r="I11884">
        <v>151.09</v>
      </c>
      <c r="J11884">
        <v>0.01</v>
      </c>
    </row>
    <row r="11885" spans="1:10" x14ac:dyDescent="0.3">
      <c r="A11885" t="str">
        <f>HYPERLINK("https://us2.cloudbeds.com/connect/10074733072513#/reservations/31720272408782?display=MX9DFTSHM&amp;reservation_id=31720272408782", "MX9DFTSHM")</f>
        <v>MX9DFTSHM</v>
      </c>
      <c r="B11885" t="s">
        <v>10</v>
      </c>
      <c r="C11885" t="s">
        <v>42</v>
      </c>
      <c r="D11885" t="str">
        <f>HYPERLINK("https://us2.cloudbeds.com/connect/10074733072513#/reservations/31720272408782?display=Alexander%20Ruble&amp;reservation_id=31720272408782&amp;guest_id=31717463666906", "Alexander Ruble")</f>
        <v>Alexander Ruble</v>
      </c>
      <c r="E11885" t="s">
        <v>8015</v>
      </c>
      <c r="F11885" t="s">
        <v>10617</v>
      </c>
      <c r="G11885">
        <v>119</v>
      </c>
      <c r="H11885">
        <v>129.36000000000001</v>
      </c>
      <c r="I11885">
        <v>129.35</v>
      </c>
      <c r="J11885">
        <v>0.01</v>
      </c>
    </row>
    <row r="11886" spans="1:10" x14ac:dyDescent="0.3">
      <c r="A11886" t="str">
        <f>HYPERLINK("https://us2.cloudbeds.com/connect/10074733072513#/reservations/31723676524708?display=MXC1FBDFZ&amp;reservation_id=31723676524708", "MXC1FBDFZ")</f>
        <v>MXC1FBDFZ</v>
      </c>
      <c r="B11886" t="s">
        <v>10</v>
      </c>
      <c r="C11886" t="s">
        <v>17</v>
      </c>
      <c r="D11886" t="str">
        <f>HYPERLINK("https://us2.cloudbeds.com/connect/10074733072513#/reservations/31723676524708?display=Nick%20Blommer&amp;reservation_id=31723676524708&amp;guest_id=17963453169838", "Nick Blommer")</f>
        <v>Nick Blommer</v>
      </c>
      <c r="E11886" t="s">
        <v>9284</v>
      </c>
      <c r="F11886" t="s">
        <v>11102</v>
      </c>
      <c r="G11886">
        <v>238</v>
      </c>
      <c r="H11886">
        <v>258.72000000000003</v>
      </c>
      <c r="I11886">
        <v>258.70999999999998</v>
      </c>
      <c r="J11886">
        <v>0.01</v>
      </c>
    </row>
    <row r="11887" spans="1:10" x14ac:dyDescent="0.3">
      <c r="A11887" t="str">
        <f>HYPERLINK("https://us2.cloudbeds.com/connect/10074733072513#/reservations/31721468260542?display=MXAB196MQ&amp;reservation_id=31721468260542", "MXAB196MQ")</f>
        <v>MXAB196MQ</v>
      </c>
      <c r="B11887" t="s">
        <v>10</v>
      </c>
      <c r="C11887" t="s">
        <v>17</v>
      </c>
      <c r="D11887" t="str">
        <f>HYPERLINK("https://us2.cloudbeds.com/connect/10074733072513#/reservations/31721468260542?display=Curt%20Edelman&amp;reservation_id=31721468260542&amp;guest_id=31721468260489", "Curt Edelman")</f>
        <v>Curt Edelman</v>
      </c>
      <c r="E11887" t="s">
        <v>7244</v>
      </c>
      <c r="F11887" t="s">
        <v>11103</v>
      </c>
      <c r="G11887">
        <v>238</v>
      </c>
      <c r="H11887">
        <v>258.72000000000003</v>
      </c>
      <c r="I11887">
        <v>258.70999999999998</v>
      </c>
      <c r="J11887">
        <v>0.01</v>
      </c>
    </row>
    <row r="11888" spans="1:10" x14ac:dyDescent="0.3">
      <c r="A11888" t="str">
        <f>HYPERLINK("https://us2.cloudbeds.com/connect/10074733072513#/reservations/31725192900783?display=MXD76WQYT&amp;reservation_id=31725192900783", "MXD76WQYT")</f>
        <v>MXD76WQYT</v>
      </c>
      <c r="B11888" t="s">
        <v>10</v>
      </c>
      <c r="C11888" t="s">
        <v>20</v>
      </c>
      <c r="D11888" t="str">
        <f>HYPERLINK("https://us2.cloudbeds.com/connect/10074733072513#/reservations/31725192900783?display=Robert%20Delgado&amp;reservation_id=31725192900783&amp;guest_id=31725192900780", "Robert Delgado")</f>
        <v>Robert Delgado</v>
      </c>
      <c r="E11888" t="s">
        <v>11104</v>
      </c>
      <c r="F11888" t="s">
        <v>7925</v>
      </c>
      <c r="G11888">
        <v>159</v>
      </c>
      <c r="H11888">
        <v>172.84</v>
      </c>
      <c r="I11888">
        <v>172.83</v>
      </c>
      <c r="J11888">
        <v>0.01</v>
      </c>
    </row>
    <row r="11889" spans="1:10" x14ac:dyDescent="0.3">
      <c r="A11889" t="str">
        <f>HYPERLINK("https://us2.cloudbeds.com/connect/10074733072513#/reservations/31723998011583?display=MXC9ME8D8&amp;reservation_id=31723998011583", "MXC9ME8D8")</f>
        <v>MXC9ME8D8</v>
      </c>
      <c r="B11889" t="s">
        <v>10</v>
      </c>
      <c r="C11889" t="s">
        <v>42</v>
      </c>
      <c r="D11889" t="str">
        <f>HYPERLINK("https://us2.cloudbeds.com/connect/10074733072513#/reservations/31723998011583?display=Marty%20May&amp;reservation_id=31723998011583&amp;guest_id=31690249187536", "Marty May")</f>
        <v>Marty May</v>
      </c>
      <c r="E11889" t="s">
        <v>11105</v>
      </c>
      <c r="F11889" t="s">
        <v>10617</v>
      </c>
      <c r="G11889">
        <v>119</v>
      </c>
      <c r="H11889">
        <v>129.36000000000001</v>
      </c>
      <c r="I11889">
        <v>129.35</v>
      </c>
      <c r="J11889">
        <v>0.01</v>
      </c>
    </row>
    <row r="11890" spans="1:10" x14ac:dyDescent="0.3">
      <c r="A11890" t="str">
        <f>HYPERLINK("https://us2.cloudbeds.com/connect/10074733072513#/reservations/31724007792786?display=MXC9UME7B&amp;reservation_id=31724007792786", "MXC9UME7B")</f>
        <v>MXC9UME7B</v>
      </c>
      <c r="B11890" t="s">
        <v>10</v>
      </c>
      <c r="C11890" t="s">
        <v>42</v>
      </c>
      <c r="D11890" t="str">
        <f>HYPERLINK("https://us2.cloudbeds.com/connect/10074733072513#/reservations/31724007792786?display=Rodolfo%20R%20Vara&amp;reservation_id=31724007792786&amp;guest_id=31719822573809", "Rodolfo R Vara")</f>
        <v>Rodolfo R Vara</v>
      </c>
      <c r="E11890" t="s">
        <v>11048</v>
      </c>
      <c r="F11890" t="s">
        <v>10617</v>
      </c>
      <c r="G11890">
        <v>119</v>
      </c>
      <c r="H11890">
        <v>129.36000000000001</v>
      </c>
      <c r="I11890">
        <v>129.35</v>
      </c>
      <c r="J11890">
        <v>0.01</v>
      </c>
    </row>
    <row r="11891" spans="1:10" x14ac:dyDescent="0.3">
      <c r="A11891" t="str">
        <f>HYPERLINK("https://us2.cloudbeds.com/connect/10074733072513#/reservations/31725182718161?display=MXD6VDF7J&amp;reservation_id=31725182718161", "MXD6VDF7J")</f>
        <v>MXD6VDF7J</v>
      </c>
      <c r="B11891" t="s">
        <v>10</v>
      </c>
      <c r="C11891" t="s">
        <v>20</v>
      </c>
      <c r="D11891" t="str">
        <f>HYPERLINK("https://us2.cloudbeds.com/connect/10074733072513#/reservations/31725182718161?display=Chris%20Delgado&amp;reservation_id=31725182718161&amp;guest_id=31725182714069", "Chris Delgado")</f>
        <v>Chris Delgado</v>
      </c>
      <c r="E11891" t="s">
        <v>11104</v>
      </c>
      <c r="F11891" t="s">
        <v>7925</v>
      </c>
      <c r="G11891">
        <v>159</v>
      </c>
      <c r="H11891">
        <v>172.84</v>
      </c>
      <c r="I11891">
        <v>172.83</v>
      </c>
      <c r="J11891">
        <v>0.01</v>
      </c>
    </row>
    <row r="11892" spans="1:10" x14ac:dyDescent="0.3">
      <c r="A11892" t="str">
        <f>HYPERLINK("https://us2.cloudbeds.com/connect/10074733072513#/reservations/31720296652948?display=MX9E3BGAC&amp;reservation_id=31720296652948", "MX9E3BGAC")</f>
        <v>MX9E3BGAC</v>
      </c>
      <c r="B11892" t="s">
        <v>10</v>
      </c>
      <c r="C11892" t="s">
        <v>11</v>
      </c>
      <c r="D11892" t="str">
        <f>HYPERLINK("https://us2.cloudbeds.com/connect/10074733072513#/reservations/31720296652948?display=Chad%20Thorson&amp;reservation_id=31720296652948&amp;guest_id=31720296652937", "Chad Thorson")</f>
        <v>Chad Thorson</v>
      </c>
      <c r="E11892" t="s">
        <v>11106</v>
      </c>
      <c r="F11892" t="s">
        <v>10617</v>
      </c>
      <c r="G11892">
        <v>87.82</v>
      </c>
      <c r="H11892">
        <v>95.47</v>
      </c>
      <c r="I11892">
        <v>95.46</v>
      </c>
      <c r="J11892">
        <v>0.01</v>
      </c>
    </row>
    <row r="11893" spans="1:10" x14ac:dyDescent="0.3">
      <c r="A11893" t="str">
        <f>HYPERLINK("https://us2.cloudbeds.com/connect/10074733072513#/reservations/31719783821542?display=MX90WU6ZZ&amp;reservation_id=31719783821542", "MX90WU6ZZ")</f>
        <v>MX90WU6ZZ</v>
      </c>
      <c r="B11893" t="s">
        <v>10</v>
      </c>
      <c r="C11893" t="s">
        <v>42</v>
      </c>
      <c r="D11893" t="str">
        <f>HYPERLINK("https://us2.cloudbeds.com/connect/10074733072513#/reservations/31719783821542?display=Justin%20Weatherford&amp;reservation_id=31719783821542&amp;guest_id=31719783821540", "Justin Weatherford")</f>
        <v>Justin Weatherford</v>
      </c>
      <c r="E11893" t="s">
        <v>11107</v>
      </c>
      <c r="F11893" t="s">
        <v>11049</v>
      </c>
      <c r="G11893">
        <v>129</v>
      </c>
      <c r="H11893">
        <v>140.22999999999999</v>
      </c>
      <c r="I11893">
        <v>140.22</v>
      </c>
      <c r="J11893">
        <v>0.01</v>
      </c>
    </row>
    <row r="11894" spans="1:10" x14ac:dyDescent="0.3">
      <c r="A11894" t="str">
        <f>HYPERLINK("https://us2.cloudbeds.com/connect/10074733072513#/reservations/31723933155535?display=MXC80ZHQF&amp;reservation_id=31723933155535", "MXC80ZHQF")</f>
        <v>MXC80ZHQF</v>
      </c>
      <c r="B11894" t="s">
        <v>10</v>
      </c>
      <c r="C11894" t="s">
        <v>20</v>
      </c>
      <c r="D11894" t="str">
        <f>HYPERLINK("https://us2.cloudbeds.com/connect/10074733072513#/reservations/31723933155535?display=Anthony%20Wellentin&amp;reservation_id=31723933155535&amp;guest_id=31723928592610", "Anthony Wellentin")</f>
        <v>Anthony Wellentin</v>
      </c>
      <c r="E11894" t="s">
        <v>11108</v>
      </c>
      <c r="F11894" t="s">
        <v>11096</v>
      </c>
      <c r="G11894">
        <v>238</v>
      </c>
      <c r="H11894">
        <v>258.72000000000003</v>
      </c>
      <c r="I11894">
        <v>258.70999999999998</v>
      </c>
      <c r="J11894">
        <v>0.01</v>
      </c>
    </row>
    <row r="11895" spans="1:10" x14ac:dyDescent="0.3">
      <c r="A11895" t="str">
        <f>HYPERLINK("https://us2.cloudbeds.com/connect/10074733072513#/reservations/31723726434529?display=MXC2ZE7BX&amp;reservation_id=31723726434529", "MXC2ZE7BX")</f>
        <v>MXC2ZE7BX</v>
      </c>
      <c r="B11895" t="s">
        <v>10</v>
      </c>
      <c r="C11895" t="s">
        <v>42</v>
      </c>
      <c r="D11895" t="str">
        <f>HYPERLINK("https://us2.cloudbeds.com/connect/10074733072513#/reservations/31723726434529?display=Jerald%20Anderson&amp;reservation_id=31723726434529&amp;guest_id=31723726430435", "Jerald Anderson")</f>
        <v>Jerald Anderson</v>
      </c>
      <c r="E11895" t="s">
        <v>10828</v>
      </c>
      <c r="F11895" t="s">
        <v>11070</v>
      </c>
      <c r="G11895">
        <v>89</v>
      </c>
      <c r="H11895">
        <v>96.75</v>
      </c>
      <c r="I11895">
        <v>96.74</v>
      </c>
      <c r="J11895">
        <v>0.01</v>
      </c>
    </row>
    <row r="11896" spans="1:10" x14ac:dyDescent="0.3">
      <c r="A11896" t="str">
        <f>HYPERLINK("https://us2.cloudbeds.com/connect/10074733072513#/reservations/31723901194368?display=MXC76Q202&amp;reservation_id=31723901194368", "MXC76Q202")</f>
        <v>MXC76Q202</v>
      </c>
      <c r="B11896" t="s">
        <v>10</v>
      </c>
      <c r="C11896" t="s">
        <v>11</v>
      </c>
      <c r="D11896" t="str">
        <f>HYPERLINK("https://us2.cloudbeds.com/connect/10074733072513#/reservations/31723901194368?display=Deborah%20Watson&amp;reservation_id=31723901194368&amp;guest_id=31723901190277", "Deborah Watson")</f>
        <v>Deborah Watson</v>
      </c>
      <c r="E11896" t="s">
        <v>11110</v>
      </c>
      <c r="F11896" t="s">
        <v>11096</v>
      </c>
      <c r="G11896">
        <v>87.82</v>
      </c>
      <c r="H11896">
        <v>95.47</v>
      </c>
      <c r="I11896">
        <v>95.46</v>
      </c>
      <c r="J11896">
        <v>0.01</v>
      </c>
    </row>
    <row r="11897" spans="1:10" x14ac:dyDescent="0.3">
      <c r="A11897" t="str">
        <f>HYPERLINK("https://us2.cloudbeds.com/connect/10074733072513#/reservations/31725815640210?display=MXDN43ESK&amp;reservation_id=31725815640210", "MXDN43ESK")</f>
        <v>MXDN43ESK</v>
      </c>
      <c r="B11897" t="s">
        <v>10</v>
      </c>
      <c r="C11897" t="s">
        <v>23</v>
      </c>
      <c r="D11897" t="str">
        <f>HYPERLINK("https://us2.cloudbeds.com/connect/10074733072513#/reservations/31725815640210?display=Ryan%20Johnson&amp;reservation_id=31725815640210&amp;guest_id=31689624715474", "Ryan Johnson")</f>
        <v>Ryan Johnson</v>
      </c>
      <c r="E11897" t="s">
        <v>7374</v>
      </c>
      <c r="F11897" t="s">
        <v>11096</v>
      </c>
      <c r="G11897">
        <v>119</v>
      </c>
      <c r="H11897">
        <v>129.36000000000001</v>
      </c>
      <c r="I11897">
        <v>129.35</v>
      </c>
      <c r="J11897">
        <v>0.01</v>
      </c>
    </row>
    <row r="11898" spans="1:10" x14ac:dyDescent="0.3">
      <c r="A11898" t="str">
        <f>HYPERLINK("https://us2.cloudbeds.com/connect/10074733072513#/reservations/31720285122722?display=MX9DQKYDJ&amp;reservation_id=31720285122722", "MX9DQKYDJ")</f>
        <v>MX9DQKYDJ</v>
      </c>
      <c r="B11898" t="s">
        <v>10</v>
      </c>
      <c r="C11898" t="s">
        <v>11</v>
      </c>
      <c r="D11898" t="str">
        <f>HYPERLINK("https://us2.cloudbeds.com/connect/10074733072513#/reservations/31720285122722?display=Aaron%20Friedt&amp;reservation_id=31720285122722&amp;guest_id=31720285122712", "Aaron Friedt")</f>
        <v>Aaron Friedt</v>
      </c>
      <c r="E11898" t="s">
        <v>11111</v>
      </c>
      <c r="F11898" t="s">
        <v>10617</v>
      </c>
      <c r="G11898">
        <v>87.82</v>
      </c>
      <c r="H11898">
        <v>95.47</v>
      </c>
      <c r="I11898">
        <v>95.46</v>
      </c>
      <c r="J11898">
        <v>0.01</v>
      </c>
    </row>
    <row r="11899" spans="1:10" x14ac:dyDescent="0.3">
      <c r="A11899" t="str">
        <f>HYPERLINK("https://us2.cloudbeds.com/connect/10074733072513#/reservations/31725115433183?display=MXD57M56S&amp;reservation_id=31725115433183", "MXD57M56S")</f>
        <v>MXD57M56S</v>
      </c>
      <c r="B11899" t="s">
        <v>10</v>
      </c>
      <c r="C11899" t="s">
        <v>42</v>
      </c>
      <c r="D11899" t="str">
        <f>HYPERLINK("https://us2.cloudbeds.com/connect/10074733072513#/reservations/31725115433183?display=Sylvia%20Bialaf&amp;reservation_id=31725115433183&amp;guest_id=31725115429090", "Sylvia Bialaf")</f>
        <v>Sylvia Bialaf</v>
      </c>
      <c r="E11899" t="s">
        <v>11112</v>
      </c>
      <c r="F11899" t="s">
        <v>10947</v>
      </c>
      <c r="G11899">
        <v>84.5</v>
      </c>
      <c r="H11899">
        <v>91.86</v>
      </c>
      <c r="I11899">
        <v>91.85</v>
      </c>
      <c r="J11899">
        <v>0.01</v>
      </c>
    </row>
    <row r="11900" spans="1:10" x14ac:dyDescent="0.3">
      <c r="A11900" t="str">
        <f>HYPERLINK("https://us2.cloudbeds.com/connect/10074733072513#/reservations/31723985690859?display=MXC9C1DJW&amp;reservation_id=31723985690859", "MXC9C1DJW")</f>
        <v>MXC9C1DJW</v>
      </c>
      <c r="B11900" t="s">
        <v>10</v>
      </c>
      <c r="C11900" t="s">
        <v>11</v>
      </c>
      <c r="D11900" t="str">
        <f>HYPERLINK("https://us2.cloudbeds.com/connect/10074733072513#/reservations/31723985690859?display=Barb%20Guthmiller&amp;reservation_id=31723985690859&amp;guest_id=31723985690855", "Barb Guthmiller")</f>
        <v>Barb Guthmiller</v>
      </c>
      <c r="E11900" t="s">
        <v>11113</v>
      </c>
      <c r="F11900" t="s">
        <v>11096</v>
      </c>
      <c r="G11900">
        <v>87.82</v>
      </c>
      <c r="H11900">
        <v>95.47</v>
      </c>
      <c r="I11900">
        <v>95.46</v>
      </c>
      <c r="J11900">
        <v>0.01</v>
      </c>
    </row>
    <row r="11901" spans="1:10" x14ac:dyDescent="0.3">
      <c r="A11901" t="str">
        <f>HYPERLINK("https://us2.cloudbeds.com/connect/10074733072513#/reservations/31714256654510?display=MX4ZP8KUM&amp;reservation_id=31714256654510", "MX4ZP8KUM")</f>
        <v>MX4ZP8KUM</v>
      </c>
      <c r="B11901" t="s">
        <v>10</v>
      </c>
      <c r="C11901" t="s">
        <v>42</v>
      </c>
      <c r="D11901" t="str">
        <f>HYPERLINK("https://us2.cloudbeds.com/connect/10074733072513#/reservations/31714256654510?display=Marilee%20Rounds&amp;reservation_id=31714256654510&amp;guest_id=31714235932887", "Marilee Rounds")</f>
        <v>Marilee Rounds</v>
      </c>
      <c r="E11901" t="s">
        <v>11115</v>
      </c>
      <c r="F11901" t="s">
        <v>10250</v>
      </c>
      <c r="G11901">
        <v>348</v>
      </c>
      <c r="H11901">
        <v>378.29</v>
      </c>
      <c r="I11901">
        <v>378.28</v>
      </c>
      <c r="J11901">
        <v>0.01</v>
      </c>
    </row>
    <row r="11902" spans="1:10" x14ac:dyDescent="0.3">
      <c r="A11902" t="str">
        <f>HYPERLINK("https://us2.cloudbeds.com/connect/10074733072513#/reservations/31718592176333?display=MX83X2UBS&amp;reservation_id=31718592176333", "MX83X2UBS")</f>
        <v>MX83X2UBS</v>
      </c>
      <c r="B11902" t="s">
        <v>10</v>
      </c>
      <c r="C11902" t="s">
        <v>17</v>
      </c>
      <c r="D11902" t="str">
        <f>HYPERLINK("https://us2.cloudbeds.com/connect/10074733072513#/reservations/31718592176333?display=Bryon%20Alder&amp;reservation_id=31718592176333&amp;guest_id=31718592176331", "Bryon Alder")</f>
        <v>Bryon Alder</v>
      </c>
      <c r="E11902" t="s">
        <v>11116</v>
      </c>
      <c r="F11902" t="s">
        <v>10982</v>
      </c>
      <c r="G11902">
        <v>179</v>
      </c>
      <c r="H11902">
        <v>194.58</v>
      </c>
      <c r="I11902">
        <v>194.57</v>
      </c>
      <c r="J11902">
        <v>0.01</v>
      </c>
    </row>
    <row r="11903" spans="1:10" x14ac:dyDescent="0.3">
      <c r="A11903" t="str">
        <f>HYPERLINK("https://us2.cloudbeds.com/connect/10074733072513#/reservations/31719894048922?display=MX93QSEYC&amp;reservation_id=31719894048922", "MX93QSEYC")</f>
        <v>MX93QSEYC</v>
      </c>
      <c r="B11903" t="s">
        <v>10</v>
      </c>
      <c r="C11903" t="s">
        <v>23</v>
      </c>
      <c r="D11903" t="str">
        <f>HYPERLINK("https://us2.cloudbeds.com/connect/10074733072513#/reservations/31719894048922?display=Wayne%20Fischbach&amp;reservation_id=31719894048922&amp;guest_id=31712130609391", "Wayne Fischbach")</f>
        <v>Wayne Fischbach</v>
      </c>
      <c r="E11903" t="s">
        <v>11117</v>
      </c>
      <c r="F11903" t="s">
        <v>11041</v>
      </c>
      <c r="G11903">
        <v>159</v>
      </c>
      <c r="H11903">
        <v>172.84</v>
      </c>
      <c r="I11903">
        <v>172.83</v>
      </c>
      <c r="J11903">
        <v>0.01</v>
      </c>
    </row>
    <row r="11904" spans="1:10" x14ac:dyDescent="0.3">
      <c r="A11904" t="str">
        <f>HYPERLINK("https://us2.cloudbeds.com/connect/10074733072513#/reservations/31723517145310?display=MXBUCVEJ0&amp;reservation_id=31723517145310", "MXBUCVEJ0")</f>
        <v>MXBUCVEJ0</v>
      </c>
      <c r="B11904" t="s">
        <v>10</v>
      </c>
      <c r="C11904" t="s">
        <v>121</v>
      </c>
      <c r="D11904" t="str">
        <f>HYPERLINK("https://us2.cloudbeds.com/connect/10074733072513#/reservations/31723517145310?display=Charles%20Greer&amp;reservation_id=31723517145310&amp;guest_id=31722742173868", "Charles Greer")</f>
        <v>Charles Greer</v>
      </c>
      <c r="E11904" t="s">
        <v>7962</v>
      </c>
      <c r="F11904" t="s">
        <v>10947</v>
      </c>
      <c r="G11904">
        <v>159</v>
      </c>
      <c r="H11904">
        <v>172.84</v>
      </c>
      <c r="I11904">
        <v>172.83</v>
      </c>
      <c r="J11904">
        <v>0.01</v>
      </c>
    </row>
    <row r="11905" spans="1:10" x14ac:dyDescent="0.3">
      <c r="A11905" t="str">
        <f>HYPERLINK("https://us2.cloudbeds.com/connect/10074733072513#/reservations/31718759760071?display=MX87RD62V&amp;reservation_id=31718759760071", "MX87RD62V")</f>
        <v>MX87RD62V</v>
      </c>
      <c r="B11905" t="s">
        <v>10</v>
      </c>
      <c r="C11905" t="s">
        <v>11</v>
      </c>
      <c r="D11905" t="str">
        <f>HYPERLINK("https://us2.cloudbeds.com/connect/10074733072513#/reservations/31718759760071?display=Kristin%20Cassiday&amp;reservation_id=31718759760071&amp;guest_id=31718759755986", "Kristin Cassiday")</f>
        <v>Kristin Cassiday</v>
      </c>
      <c r="E11905" t="s">
        <v>11118</v>
      </c>
      <c r="F11905" t="s">
        <v>11119</v>
      </c>
      <c r="G11905">
        <v>162.68</v>
      </c>
      <c r="H11905">
        <v>176.84</v>
      </c>
      <c r="I11905">
        <v>176.83</v>
      </c>
      <c r="J11905">
        <v>0.01</v>
      </c>
    </row>
    <row r="11906" spans="1:10" x14ac:dyDescent="0.3">
      <c r="A11906" t="str">
        <f>HYPERLINK("https://us2.cloudbeds.com/connect/10074733072513#/reservations/31725194248348?display=MXD784A36&amp;reservation_id=31725194248348", "MXD784A36")</f>
        <v>MXD784A36</v>
      </c>
      <c r="B11906" t="s">
        <v>10</v>
      </c>
      <c r="C11906" t="s">
        <v>17</v>
      </c>
      <c r="D11906" t="str">
        <f>HYPERLINK("https://us2.cloudbeds.com/connect/10074733072513#/reservations/31725194248348?display=Jason%20Pickner&amp;reservation_id=31725194248348&amp;guest_id=31725185888450", "Jason Pickner")</f>
        <v>Jason Pickner</v>
      </c>
      <c r="E11906" t="s">
        <v>11122</v>
      </c>
      <c r="F11906" t="s">
        <v>10947</v>
      </c>
      <c r="G11906">
        <v>159</v>
      </c>
      <c r="H11906">
        <v>172.84</v>
      </c>
      <c r="I11906">
        <v>172.83</v>
      </c>
      <c r="J11906">
        <v>0.01</v>
      </c>
    </row>
    <row r="11907" spans="1:10" x14ac:dyDescent="0.3">
      <c r="A11907" t="str">
        <f>HYPERLINK("https://us2.cloudbeds.com/connect/10074733072513#/reservations/31725106614412?display=MXD507P5C&amp;reservation_id=31725106614412", "MXD507P5C")</f>
        <v>MXD507P5C</v>
      </c>
      <c r="B11907" t="s">
        <v>10</v>
      </c>
      <c r="C11907" t="s">
        <v>42</v>
      </c>
      <c r="D11907" t="str">
        <f>HYPERLINK("https://us2.cloudbeds.com/connect/10074733072513#/reservations/31725106614412?display=Renee%20Boeve&amp;reservation_id=31725106614412&amp;guest_id=31725106610314", "Renee Boeve")</f>
        <v>Renee Boeve</v>
      </c>
      <c r="E11907" t="s">
        <v>11124</v>
      </c>
      <c r="F11907" t="s">
        <v>10947</v>
      </c>
      <c r="G11907">
        <v>199</v>
      </c>
      <c r="H11907">
        <v>216.32</v>
      </c>
      <c r="I11907">
        <v>216.31</v>
      </c>
      <c r="J11907">
        <v>0.01</v>
      </c>
    </row>
    <row r="11908" spans="1:10" x14ac:dyDescent="0.3">
      <c r="A11908" t="str">
        <f>HYPERLINK("https://us2.cloudbeds.com/connect/10074733072513#/reservations/31720710471814?display=MX9ZM9K90&amp;reservation_id=31720710471814", "MX9ZM9K90")</f>
        <v>MX9ZM9K90</v>
      </c>
      <c r="B11908" t="s">
        <v>10</v>
      </c>
      <c r="C11908" t="s">
        <v>23</v>
      </c>
      <c r="D11908" t="str">
        <f>HYPERLINK("https://us2.cloudbeds.com/connect/10074733072513#/reservations/31720710471814?display=Colin%20Muggins&amp;reservation_id=31720710471814&amp;guest_id=31720710467771", "Colin Muggins")</f>
        <v>Colin Muggins</v>
      </c>
      <c r="E11908" t="s">
        <v>11125</v>
      </c>
      <c r="F11908" t="s">
        <v>11092</v>
      </c>
      <c r="G11908">
        <v>318</v>
      </c>
      <c r="H11908">
        <v>345.68</v>
      </c>
      <c r="I11908">
        <v>345.67</v>
      </c>
      <c r="J11908">
        <v>0.01</v>
      </c>
    </row>
    <row r="11909" spans="1:10" x14ac:dyDescent="0.3">
      <c r="A11909" t="str">
        <f>HYPERLINK("https://us2.cloudbeds.com/connect/10074733072513#/reservations/31723487846582?display=MXBTY85AP&amp;reservation_id=31723487846582", "MXBTY85AP")</f>
        <v>MXBTY85AP</v>
      </c>
      <c r="B11909" t="s">
        <v>10</v>
      </c>
      <c r="C11909" t="s">
        <v>17</v>
      </c>
      <c r="D11909" t="str">
        <f>HYPERLINK("https://us2.cloudbeds.com/connect/10074733072513#/reservations/31723487846582?display=Mary%20Hedstrom&amp;reservation_id=31723487846582&amp;guest_id=31723487846529", "Mary Hedstrom")</f>
        <v>Mary Hedstrom</v>
      </c>
      <c r="E11909" t="s">
        <v>11126</v>
      </c>
      <c r="F11909" t="s">
        <v>10630</v>
      </c>
      <c r="G11909">
        <v>149</v>
      </c>
      <c r="H11909">
        <v>161.97</v>
      </c>
      <c r="I11909">
        <v>161.96</v>
      </c>
      <c r="J11909">
        <v>0.01</v>
      </c>
    </row>
    <row r="11910" spans="1:10" x14ac:dyDescent="0.3">
      <c r="A11910" t="str">
        <f>HYPERLINK("https://us2.cloudbeds.com/connect/10074733072513#/reservations/31723432288422?display=MXBS7D5Z5&amp;reservation_id=31723432288422", "MXBS7D5Z5")</f>
        <v>MXBS7D5Z5</v>
      </c>
      <c r="B11910" t="s">
        <v>10</v>
      </c>
      <c r="C11910" t="s">
        <v>11</v>
      </c>
      <c r="D11910" t="str">
        <f>HYPERLINK("https://us2.cloudbeds.com/connect/10074733072513#/reservations/31723432288422?display=Matt%20Knakmuhs&amp;reservation_id=31723432288422&amp;guest_id=31723419685066", "Matt Knakmuhs")</f>
        <v>Matt Knakmuhs</v>
      </c>
      <c r="E11910" t="s">
        <v>11127</v>
      </c>
      <c r="F11910" t="s">
        <v>10630</v>
      </c>
      <c r="G11910">
        <v>87.82</v>
      </c>
      <c r="H11910">
        <v>95.47</v>
      </c>
      <c r="I11910">
        <v>95.46</v>
      </c>
      <c r="J11910">
        <v>0.01</v>
      </c>
    </row>
    <row r="11911" spans="1:10" x14ac:dyDescent="0.3">
      <c r="A11911" t="str">
        <f>HYPERLINK("https://us2.cloudbeds.com/connect/10074733072513#/reservations/31723461132470?display=MXBSVNQF7&amp;reservation_id=31723461132470", "MXBSVNQF7")</f>
        <v>MXBSVNQF7</v>
      </c>
      <c r="B11911" t="s">
        <v>10</v>
      </c>
      <c r="C11911" t="s">
        <v>23</v>
      </c>
      <c r="D11911" t="str">
        <f>HYPERLINK("https://us2.cloudbeds.com/connect/10074733072513#/reservations/31723461132470?display=Juanita%20Howell&amp;reservation_id=31723461132470&amp;guest_id=31702248079555", "Juanita Howell")</f>
        <v>Juanita Howell</v>
      </c>
      <c r="E11911" t="s">
        <v>11128</v>
      </c>
      <c r="F11911" t="s">
        <v>10630</v>
      </c>
      <c r="G11911">
        <v>119</v>
      </c>
      <c r="H11911">
        <v>129.36000000000001</v>
      </c>
      <c r="I11911">
        <v>129.35</v>
      </c>
      <c r="J11911">
        <v>0.01</v>
      </c>
    </row>
    <row r="11912" spans="1:10" x14ac:dyDescent="0.3">
      <c r="A11912" t="str">
        <f>HYPERLINK("https://us2.cloudbeds.com/connect/10074733072513#/reservations/31723504664714?display=MXBU2E4W4&amp;reservation_id=31723504664714", "MXBU2E4W4")</f>
        <v>MXBU2E4W4</v>
      </c>
      <c r="B11912" t="s">
        <v>10</v>
      </c>
      <c r="C11912" t="s">
        <v>20</v>
      </c>
      <c r="D11912" t="str">
        <f>HYPERLINK("https://us2.cloudbeds.com/connect/10074733072513#/reservations/31723504664714?display=Marty%20Newman&amp;reservation_id=31723504664714&amp;guest_id=31723504664712", "Marty Newman")</f>
        <v>Marty Newman</v>
      </c>
      <c r="E11912" t="s">
        <v>11129</v>
      </c>
      <c r="F11912" t="s">
        <v>10630</v>
      </c>
      <c r="G11912">
        <v>119</v>
      </c>
      <c r="H11912">
        <v>129.36000000000001</v>
      </c>
      <c r="I11912">
        <v>129.35</v>
      </c>
      <c r="J11912">
        <v>0.01</v>
      </c>
    </row>
    <row r="11913" spans="1:10" x14ac:dyDescent="0.3">
      <c r="A11913" t="str">
        <f>HYPERLINK("https://us2.cloudbeds.com/connect/10074733072513#/reservations/31725161009381?display=MXD6D3CKP&amp;reservation_id=31725161009381", "MXD6D3CKP")</f>
        <v>MXD6D3CKP</v>
      </c>
      <c r="B11913" t="s">
        <v>10</v>
      </c>
      <c r="C11913" t="s">
        <v>23</v>
      </c>
      <c r="D11913" t="str">
        <f>HYPERLINK("https://us2.cloudbeds.com/connect/10074733072513#/reservations/31725161009381?display=Arisbet%20Flore-Valdez&amp;reservation_id=31725161009381&amp;guest_id=31725161009376", "Arisbet Flore-Valdez")</f>
        <v>Arisbet Flore-Valdez</v>
      </c>
      <c r="E11913" t="s">
        <v>11131</v>
      </c>
      <c r="F11913" t="s">
        <v>7925</v>
      </c>
      <c r="G11913">
        <v>318</v>
      </c>
      <c r="H11913">
        <v>345.68</v>
      </c>
      <c r="I11913">
        <v>345.67</v>
      </c>
      <c r="J11913">
        <v>0.01</v>
      </c>
    </row>
    <row r="11914" spans="1:10" x14ac:dyDescent="0.3">
      <c r="A11914" t="str">
        <f>HYPERLINK("https://us2.cloudbeds.com/connect/10074733072513#/reservations/31700894220446?display=MHRDAN6TA&amp;reservation_id=31700894220446", "MHRDAN6TA")</f>
        <v>MHRDAN6TA</v>
      </c>
      <c r="B11914" t="s">
        <v>10</v>
      </c>
      <c r="C11914" t="s">
        <v>42</v>
      </c>
      <c r="D11914" t="str">
        <f>HYPERLINK("https://us2.cloudbeds.com/connect/10074733072513#/reservations/31700894220446?display=Russell%20Smith&amp;reservation_id=31700894220446&amp;guest_id=31700894216344", "Russell Smith")</f>
        <v>Russell Smith</v>
      </c>
      <c r="E11914" t="s">
        <v>11133</v>
      </c>
      <c r="F11914" t="s">
        <v>11134</v>
      </c>
      <c r="G11914">
        <v>318</v>
      </c>
      <c r="H11914">
        <v>345.68</v>
      </c>
      <c r="I11914">
        <v>345.67</v>
      </c>
      <c r="J11914">
        <v>0.01</v>
      </c>
    </row>
    <row r="11915" spans="1:10" x14ac:dyDescent="0.3">
      <c r="A11915" t="str">
        <f>HYPERLINK("https://us2.cloudbeds.com/connect/10074733072513#/reservations/31724201369763?display=MXCESTWSB&amp;reservation_id=31724201369763", "MXCESTWSB")</f>
        <v>MXCESTWSB</v>
      </c>
      <c r="B11915" t="s">
        <v>10</v>
      </c>
      <c r="C11915" t="s">
        <v>23</v>
      </c>
      <c r="D11915" t="str">
        <f>HYPERLINK("https://us2.cloudbeds.com/connect/10074733072513#/reservations/31724201369763?display=Carrie%20Dover&amp;reservation_id=31724201369763&amp;guest_id=31724183236739", "Carrie Dover")</f>
        <v>Carrie Dover</v>
      </c>
      <c r="E11915" t="s">
        <v>11137</v>
      </c>
      <c r="F11915" t="s">
        <v>11138</v>
      </c>
      <c r="G11915">
        <v>149</v>
      </c>
      <c r="H11915">
        <v>161.97</v>
      </c>
      <c r="I11915">
        <v>161.96</v>
      </c>
      <c r="J11915">
        <v>0.01</v>
      </c>
    </row>
    <row r="11916" spans="1:10" x14ac:dyDescent="0.3">
      <c r="A11916" t="str">
        <f>HYPERLINK("https://us2.cloudbeds.com/connect/10074733072513#/reservations/31722806304986?display=MXBC7X8Y4&amp;reservation_id=31722806304986", "MXBC7X8Y4")</f>
        <v>MXBC7X8Y4</v>
      </c>
      <c r="B11916" t="s">
        <v>10</v>
      </c>
      <c r="C11916" t="s">
        <v>23</v>
      </c>
      <c r="D11916" t="str">
        <f>HYPERLINK("https://us2.cloudbeds.com/connect/10074733072513#/reservations/31722806304986?display=Angel%20Kean&amp;reservation_id=31722806304986&amp;guest_id=31722806304984", "Angel Kean")</f>
        <v>Angel Kean</v>
      </c>
      <c r="E11916" t="s">
        <v>11139</v>
      </c>
      <c r="F11916" t="s">
        <v>11070</v>
      </c>
      <c r="G11916">
        <v>298</v>
      </c>
      <c r="H11916">
        <v>323.94</v>
      </c>
      <c r="I11916">
        <v>323.93</v>
      </c>
      <c r="J11916">
        <v>0.01</v>
      </c>
    </row>
    <row r="11917" spans="1:10" x14ac:dyDescent="0.3">
      <c r="A11917" t="str">
        <f>HYPERLINK("https://us2.cloudbeds.com/connect/10074733072513#/reservations/31722822906103?display=MXBCYX709&amp;reservation_id=31722822906103", "MXBCYX709")</f>
        <v>MXBCYX709</v>
      </c>
      <c r="B11917" t="s">
        <v>10</v>
      </c>
      <c r="C11917" t="s">
        <v>23</v>
      </c>
      <c r="D11917" t="str">
        <f>HYPERLINK("https://us2.cloudbeds.com/connect/10074733072513#/reservations/31722822906103?display=Nathanael%20Riley&amp;reservation_id=31722822906103&amp;guest_id=31722806309083", "Nathanael Riley")</f>
        <v>Nathanael Riley</v>
      </c>
      <c r="E11917" t="s">
        <v>11141</v>
      </c>
      <c r="F11917" t="s">
        <v>11070</v>
      </c>
      <c r="G11917">
        <v>139</v>
      </c>
      <c r="H11917">
        <v>151.1</v>
      </c>
      <c r="I11917">
        <v>151.09</v>
      </c>
      <c r="J11917">
        <v>0.01</v>
      </c>
    </row>
    <row r="11918" spans="1:10" x14ac:dyDescent="0.3">
      <c r="A11918" t="str">
        <f>HYPERLINK("https://us2.cloudbeds.com/connect/10074733072513#/reservations/31721491493008?display=MXABKSMEU&amp;reservation_id=31721491493008", "MXABKSMEU")</f>
        <v>MXABKSMEU</v>
      </c>
      <c r="B11918" t="s">
        <v>10</v>
      </c>
      <c r="C11918" t="s">
        <v>11</v>
      </c>
      <c r="D11918" t="str">
        <f>HYPERLINK("https://us2.cloudbeds.com/connect/10074733072513#/reservations/31721491493008?display=Mike%20Linder&amp;reservation_id=31721491493008&amp;guest_id=31721491493005", "Mike Linder")</f>
        <v>Mike Linder</v>
      </c>
      <c r="E11918" t="s">
        <v>11146</v>
      </c>
      <c r="F11918" t="s">
        <v>11103</v>
      </c>
      <c r="G11918">
        <v>87.82</v>
      </c>
      <c r="H11918">
        <v>95.47</v>
      </c>
      <c r="I11918">
        <v>95.46</v>
      </c>
      <c r="J11918">
        <v>0.01</v>
      </c>
    </row>
    <row r="11919" spans="1:10" x14ac:dyDescent="0.3">
      <c r="A11919" t="str">
        <f>HYPERLINK("https://us2.cloudbeds.com/connect/10074733072513#/reservations/31723700789406?display=MXC22QK3K&amp;reservation_id=31723700789406", "MXC22QK3K")</f>
        <v>MXC22QK3K</v>
      </c>
      <c r="B11919" t="s">
        <v>10</v>
      </c>
      <c r="C11919" t="s">
        <v>121</v>
      </c>
      <c r="D11919" t="str">
        <f>HYPERLINK("https://us2.cloudbeds.com/connect/10074733072513#/reservations/31723700789406?display=Donald%20Boyle&amp;reservation_id=31723700789406&amp;guest_id=31723688636610", "Donald Boyle")</f>
        <v>Donald Boyle</v>
      </c>
      <c r="E11919" t="s">
        <v>11147</v>
      </c>
      <c r="F11919" t="s">
        <v>11070</v>
      </c>
      <c r="G11919">
        <v>109</v>
      </c>
      <c r="H11919">
        <v>118.49</v>
      </c>
      <c r="I11919">
        <v>118.48</v>
      </c>
      <c r="J11919">
        <v>0.01</v>
      </c>
    </row>
    <row r="11920" spans="1:10" x14ac:dyDescent="0.3">
      <c r="A11920" t="str">
        <f>HYPERLINK("https://us2.cloudbeds.com/connect/10074733072513#/reservations/31723712905457?display=MXC2D0ZVM&amp;reservation_id=31723712905457", "MXC2D0ZVM")</f>
        <v>MXC2D0ZVM</v>
      </c>
      <c r="B11920" t="s">
        <v>10</v>
      </c>
      <c r="C11920" t="s">
        <v>121</v>
      </c>
      <c r="D11920" t="str">
        <f>HYPERLINK("https://us2.cloudbeds.com/connect/10074733072513#/reservations/31723712905457?display=Kevin%20Goebel&amp;reservation_id=31723712905457&amp;guest_id=31723700793498", "Kevin Goebel")</f>
        <v>Kevin Goebel</v>
      </c>
      <c r="E11920" t="s">
        <v>10238</v>
      </c>
      <c r="F11920" t="s">
        <v>11070</v>
      </c>
      <c r="G11920">
        <v>109</v>
      </c>
      <c r="H11920">
        <v>118.49</v>
      </c>
      <c r="I11920">
        <v>118.48</v>
      </c>
      <c r="J11920">
        <v>0.01</v>
      </c>
    </row>
    <row r="11921" spans="1:10" x14ac:dyDescent="0.3">
      <c r="A11921" t="str">
        <f>HYPERLINK("https://us2.cloudbeds.com/connect/10074733072513#/reservations/31722353131669?display=MXB0YE1HC&amp;reservation_id=31722353131669", "MXB0YE1HC")</f>
        <v>MXB0YE1HC</v>
      </c>
      <c r="B11921" t="s">
        <v>10</v>
      </c>
      <c r="C11921" t="s">
        <v>11</v>
      </c>
      <c r="D11921" t="str">
        <f>HYPERLINK("https://us2.cloudbeds.com/connect/10074733072513#/reservations/31722353131669?display=Brandon%20Duren&amp;reservation_id=31722353131669&amp;guest_id=31722353131664", "Brandon Duren")</f>
        <v>Brandon Duren</v>
      </c>
      <c r="E11921" t="s">
        <v>11148</v>
      </c>
      <c r="F11921" t="s">
        <v>11039</v>
      </c>
      <c r="G11921">
        <v>139</v>
      </c>
      <c r="H11921">
        <v>151.1</v>
      </c>
      <c r="I11921">
        <v>151.09</v>
      </c>
      <c r="J11921">
        <v>0.01</v>
      </c>
    </row>
    <row r="11922" spans="1:10" x14ac:dyDescent="0.3">
      <c r="A11922" t="str">
        <f>HYPERLINK("https://us2.cloudbeds.com/connect/10074733072513#/reservations/31722824695954?display=MXBCN20J6&amp;reservation_id=31722824695954", "MXBCN20J6")</f>
        <v>MXBCN20J6</v>
      </c>
      <c r="B11922" t="s">
        <v>10</v>
      </c>
      <c r="C11922" t="s">
        <v>121</v>
      </c>
      <c r="D11922" t="str">
        <f>HYPERLINK("https://us2.cloudbeds.com/connect/10074733072513#/reservations/31722824695954?display=Michael%20Traxler&amp;reservation_id=31722824695954&amp;guest_id=31722824695952", "Michael Traxler")</f>
        <v>Michael Traxler</v>
      </c>
      <c r="E11922" t="s">
        <v>11149</v>
      </c>
      <c r="F11922" t="s">
        <v>11070</v>
      </c>
      <c r="G11922">
        <v>109</v>
      </c>
      <c r="H11922">
        <v>118.49</v>
      </c>
      <c r="I11922">
        <v>118.48</v>
      </c>
      <c r="J11922">
        <v>0.01</v>
      </c>
    </row>
    <row r="11923" spans="1:10" x14ac:dyDescent="0.3">
      <c r="A11923" t="str">
        <f>HYPERLINK("https://us2.cloudbeds.com/connect/10074733072513#/reservations/31724204499172?display=MXCEVX2GU&amp;reservation_id=31724204499172", "MXCEVX2GU")</f>
        <v>MXCEVX2GU</v>
      </c>
      <c r="B11923" t="s">
        <v>10</v>
      </c>
      <c r="C11923" t="s">
        <v>42</v>
      </c>
      <c r="D11923" t="str">
        <f>HYPERLINK("https://us2.cloudbeds.com/connect/10074733072513#/reservations/31724204499172?display=Jonathan%20Galaviz&amp;reservation_id=31724204499172&amp;guest_id=31724204499170", "Jonathan Galaviz")</f>
        <v>Jonathan Galaviz</v>
      </c>
      <c r="E11923" t="s">
        <v>11150</v>
      </c>
      <c r="F11923" t="s">
        <v>11138</v>
      </c>
      <c r="G11923">
        <v>109</v>
      </c>
      <c r="H11923">
        <v>118.49</v>
      </c>
      <c r="I11923">
        <v>118.48</v>
      </c>
      <c r="J11923">
        <v>0.01</v>
      </c>
    </row>
    <row r="11924" spans="1:10" x14ac:dyDescent="0.3">
      <c r="A11924" t="str">
        <f>HYPERLINK("https://us2.cloudbeds.com/connect/10074733072513#/reservations/31724238938292?display=MXCFRJD1K&amp;reservation_id=31724238938292", "MXCFRJD1K")</f>
        <v>MXCFRJD1K</v>
      </c>
      <c r="B11924" t="s">
        <v>10</v>
      </c>
      <c r="C11924" t="s">
        <v>42</v>
      </c>
      <c r="D11924" t="str">
        <f>HYPERLINK("https://us2.cloudbeds.com/connect/10074733072513#/reservations/31724238938292?display=Ralph%20Green&amp;reservation_id=31724238938292&amp;guest_id=31724228755612", "Ralph Green")</f>
        <v>Ralph Green</v>
      </c>
      <c r="E11924" t="s">
        <v>11151</v>
      </c>
      <c r="F11924" t="s">
        <v>11138</v>
      </c>
      <c r="G11924">
        <v>73</v>
      </c>
      <c r="H11924">
        <v>79.36</v>
      </c>
      <c r="I11924">
        <v>79.349999999999994</v>
      </c>
      <c r="J11924">
        <v>0.01</v>
      </c>
    </row>
    <row r="11925" spans="1:10" x14ac:dyDescent="0.3">
      <c r="A11925" t="str">
        <f>HYPERLINK("https://us2.cloudbeds.com/connect/10074733072513#/reservations/31722670510218?display=MXB8P1XT5&amp;reservation_id=31722670510218", "MXB8P1XT5")</f>
        <v>MXB8P1XT5</v>
      </c>
      <c r="B11925" t="s">
        <v>10</v>
      </c>
      <c r="C11925" t="s">
        <v>42</v>
      </c>
      <c r="D11925" t="str">
        <f>HYPERLINK("https://us2.cloudbeds.com/connect/10074733072513#/reservations/31722670510218?display=Tanner%20Moncur&amp;reservation_id=31722670510218&amp;guest_id=31722661265587", "Tanner Moncur")</f>
        <v>Tanner Moncur</v>
      </c>
      <c r="E11925" t="s">
        <v>11152</v>
      </c>
      <c r="F11925" t="s">
        <v>7925</v>
      </c>
      <c r="G11925">
        <v>318</v>
      </c>
      <c r="H11925">
        <v>345.68</v>
      </c>
      <c r="I11925">
        <v>345.67</v>
      </c>
      <c r="J11925">
        <v>0.01</v>
      </c>
    </row>
    <row r="11926" spans="1:10" x14ac:dyDescent="0.3">
      <c r="A11926" t="str">
        <f>HYPERLINK("https://us2.cloudbeds.com/connect/10074733072513#/reservations/31720703463602?display=MX9ZGCJQV&amp;reservation_id=31720703463602", "MX9ZGCJQV")</f>
        <v>MX9ZGCJQV</v>
      </c>
      <c r="B11926" t="s">
        <v>10</v>
      </c>
      <c r="C11926" t="s">
        <v>23</v>
      </c>
      <c r="D11926" t="str">
        <f>HYPERLINK("https://us2.cloudbeds.com/connect/10074733072513#/reservations/31720703463602?display=Michael%20Gaskin&amp;reservation_id=31720703463602&amp;guest_id=31720703463592", "Michael Gaskin")</f>
        <v>Michael Gaskin</v>
      </c>
      <c r="E11926" t="s">
        <v>11153</v>
      </c>
      <c r="F11926" t="s">
        <v>11092</v>
      </c>
      <c r="G11926">
        <v>119</v>
      </c>
      <c r="H11926">
        <v>129.36000000000001</v>
      </c>
      <c r="I11926">
        <v>129.35</v>
      </c>
      <c r="J11926">
        <v>0.01</v>
      </c>
    </row>
    <row r="11927" spans="1:10" x14ac:dyDescent="0.3">
      <c r="A11927" t="str">
        <f>HYPERLINK("https://us2.cloudbeds.com/connect/10074733072513#/reservations/31721933746412?display=MXAMUQ137&amp;reservation_id=31721933746412", "MXAMUQ137")</f>
        <v>MXAMUQ137</v>
      </c>
      <c r="B11927" t="s">
        <v>10</v>
      </c>
      <c r="C11927" t="s">
        <v>121</v>
      </c>
      <c r="D11927" t="str">
        <f>HYPERLINK("https://us2.cloudbeds.com/connect/10074733072513#/reservations/31721933746412?display=Jordan%20Fitch&amp;reservation_id=31721933746412&amp;guest_id=31721915605152", "Jordan Fitch")</f>
        <v>Jordan Fitch</v>
      </c>
      <c r="E11927" t="s">
        <v>9207</v>
      </c>
      <c r="F11927" t="s">
        <v>11092</v>
      </c>
      <c r="G11927">
        <v>109</v>
      </c>
      <c r="H11927">
        <v>118.49</v>
      </c>
      <c r="I11927">
        <v>118.48</v>
      </c>
      <c r="J11927">
        <v>0.01</v>
      </c>
    </row>
    <row r="11928" spans="1:10" x14ac:dyDescent="0.3">
      <c r="A11928" t="str">
        <f>HYPERLINK("https://us2.cloudbeds.com/connect/10074733072513#/reservations/31721826111618?display=MXAK60UTQ&amp;reservation_id=31721826111618", "MXAK60UTQ")</f>
        <v>MXAK60UTQ</v>
      </c>
      <c r="B11928" t="s">
        <v>10</v>
      </c>
      <c r="C11928" t="s">
        <v>42</v>
      </c>
      <c r="D11928" t="str">
        <f>HYPERLINK("https://us2.cloudbeds.com/connect/10074733072513#/reservations/31721826111618?display=Michael%20Daniels&amp;reservation_id=31721826111618&amp;guest_id=30671090090186", "Michael Daniels")</f>
        <v>Michael Daniels</v>
      </c>
      <c r="E11928" t="s">
        <v>3262</v>
      </c>
      <c r="F11928" t="s">
        <v>10768</v>
      </c>
      <c r="G11928">
        <v>73</v>
      </c>
      <c r="H11928">
        <v>79.36</v>
      </c>
      <c r="I11928">
        <v>79.349999999999994</v>
      </c>
      <c r="J11928">
        <v>0.01</v>
      </c>
    </row>
    <row r="11929" spans="1:10" x14ac:dyDescent="0.3">
      <c r="A11929" t="str">
        <f>HYPERLINK("https://us2.cloudbeds.com/connect/10074733072513#/reservations/31722119393431?display=MXARMAUSF&amp;reservation_id=31722119393431", "MXARMAUSF")</f>
        <v>MXARMAUSF</v>
      </c>
      <c r="B11929" t="s">
        <v>10</v>
      </c>
      <c r="C11929" t="s">
        <v>23</v>
      </c>
      <c r="D11929" t="str">
        <f>HYPERLINK("https://us2.cloudbeds.com/connect/10074733072513#/reservations/31722119393431?display=Katherine%20Northington&amp;reservation_id=31722119393431&amp;guest_id=31722119393418", "Katherine Northington")</f>
        <v>Katherine Northington</v>
      </c>
      <c r="E11929" t="s">
        <v>11154</v>
      </c>
      <c r="F11929" t="s">
        <v>10992</v>
      </c>
      <c r="G11929">
        <v>87.82</v>
      </c>
      <c r="H11929">
        <v>95.47</v>
      </c>
      <c r="I11929">
        <v>95.46</v>
      </c>
      <c r="J11929">
        <v>0.01</v>
      </c>
    </row>
    <row r="11930" spans="1:10" x14ac:dyDescent="0.3">
      <c r="A11930" t="str">
        <f>HYPERLINK("https://us2.cloudbeds.com/connect/10074733072513#/reservations/31718786080999?display=MX88GJJTR&amp;reservation_id=31718786080999", "MX88GJJTR")</f>
        <v>MX88GJJTR</v>
      </c>
      <c r="B11930" t="s">
        <v>10</v>
      </c>
      <c r="C11930" t="s">
        <v>42</v>
      </c>
      <c r="D11930" t="str">
        <f>HYPERLINK("https://us2.cloudbeds.com/connect/10074733072513#/reservations/31718786080999?display=Richard%20Dutt&amp;reservation_id=31718786080999&amp;guest_id=31718786080995", "Richard Dutt")</f>
        <v>Richard Dutt</v>
      </c>
      <c r="E11930" t="s">
        <v>11155</v>
      </c>
      <c r="F11930" t="s">
        <v>11036</v>
      </c>
      <c r="G11930">
        <v>336</v>
      </c>
      <c r="H11930">
        <v>365.24</v>
      </c>
      <c r="I11930">
        <v>365.23</v>
      </c>
      <c r="J11930">
        <v>0.01</v>
      </c>
    </row>
    <row r="11931" spans="1:10" x14ac:dyDescent="0.3">
      <c r="A11931" t="str">
        <f>HYPERLINK("https://us2.cloudbeds.com/connect/10074733072513#/reservations/31720982352065?display=MX9VKX2ZG&amp;reservation_id=31720982352065", "MX9VKX2ZG")</f>
        <v>MX9VKX2ZG</v>
      </c>
      <c r="B11931" t="s">
        <v>10</v>
      </c>
      <c r="C11931" t="s">
        <v>121</v>
      </c>
      <c r="D11931" t="str">
        <f>HYPERLINK("https://us2.cloudbeds.com/connect/10074733072513#/reservations/31720982352065?display=Sherwood%20Goossen&amp;reservation_id=31720982352065&amp;guest_id=31711710073083", "Sherwood Goossen")</f>
        <v>Sherwood Goossen</v>
      </c>
      <c r="E11931" t="s">
        <v>11156</v>
      </c>
      <c r="F11931" t="s">
        <v>11092</v>
      </c>
      <c r="G11931">
        <v>109</v>
      </c>
      <c r="H11931">
        <v>118.49</v>
      </c>
      <c r="I11931">
        <v>118.48</v>
      </c>
      <c r="J11931">
        <v>0.01</v>
      </c>
    </row>
    <row r="11932" spans="1:10" x14ac:dyDescent="0.3">
      <c r="A11932" t="str">
        <f>HYPERLINK("https://us2.cloudbeds.com/connect/10074733072513#/reservations/31720673394917?display=MX9NZ0THM&amp;reservation_id=31720673394917", "MX9NZ0THM")</f>
        <v>MX9NZ0THM</v>
      </c>
      <c r="B11932" t="s">
        <v>10</v>
      </c>
      <c r="C11932" t="s">
        <v>121</v>
      </c>
      <c r="D11932" t="str">
        <f>HYPERLINK("https://us2.cloudbeds.com/connect/10074733072513#/reservations/31720673394917?display=Rodney%20Froemming&amp;reservation_id=31720673394917&amp;guest_id=31720673394898", "Rodney Froemming")</f>
        <v>Rodney Froemming</v>
      </c>
      <c r="E11932" t="s">
        <v>11157</v>
      </c>
      <c r="F11932" t="s">
        <v>11092</v>
      </c>
      <c r="G11932">
        <v>109</v>
      </c>
      <c r="H11932">
        <v>118.49</v>
      </c>
      <c r="I11932">
        <v>118.48</v>
      </c>
      <c r="J11932">
        <v>0.01</v>
      </c>
    </row>
    <row r="11933" spans="1:10" x14ac:dyDescent="0.3">
      <c r="A11933" t="str">
        <f>HYPERLINK("https://us2.cloudbeds.com/connect/10074733072513#/reservations/31721905778897?display=MXAM76Q8P&amp;reservation_id=31721905778897", "MXAM76Q8P")</f>
        <v>MXAM76Q8P</v>
      </c>
      <c r="B11933" t="s">
        <v>10</v>
      </c>
      <c r="C11933" t="s">
        <v>121</v>
      </c>
      <c r="D11933" t="str">
        <f>HYPERLINK("https://us2.cloudbeds.com/connect/10074733072513#/reservations/31721905778897?display=Jody%20Hebbert&amp;reservation_id=31721905778897&amp;guest_id=31721905778893", "Jody Hebbert")</f>
        <v>Jody Hebbert</v>
      </c>
      <c r="E11933" t="s">
        <v>11158</v>
      </c>
      <c r="F11933" t="s">
        <v>11092</v>
      </c>
      <c r="G11933">
        <v>109</v>
      </c>
      <c r="H11933">
        <v>118.49</v>
      </c>
      <c r="I11933">
        <v>118.48</v>
      </c>
      <c r="J11933">
        <v>0.01</v>
      </c>
    </row>
    <row r="11934" spans="1:10" x14ac:dyDescent="0.3">
      <c r="A11934" t="str">
        <f>HYPERLINK("https://us2.cloudbeds.com/connect/10074733072513#/reservations/31726504542407?display=MXE7Z05JP&amp;reservation_id=31726504542407", "MXE7Z05JP")</f>
        <v>MXE7Z05JP</v>
      </c>
      <c r="B11934" t="s">
        <v>10</v>
      </c>
      <c r="C11934" t="s">
        <v>23</v>
      </c>
      <c r="D11934" t="str">
        <f>HYPERLINK("https://us2.cloudbeds.com/connect/10074733072513#/reservations/31726504542407?display=Steph%20Mccoy&amp;reservation_id=31726504542407&amp;guest_id=31726504538332", "Steph Mccoy")</f>
        <v>Steph Mccoy</v>
      </c>
      <c r="E11934" t="s">
        <v>11160</v>
      </c>
      <c r="F11934" t="s">
        <v>11036</v>
      </c>
      <c r="G11934">
        <v>238</v>
      </c>
      <c r="H11934">
        <v>258.72000000000003</v>
      </c>
      <c r="I11934">
        <v>258.70999999999998</v>
      </c>
      <c r="J11934">
        <v>0.01</v>
      </c>
    </row>
    <row r="11935" spans="1:10" x14ac:dyDescent="0.3">
      <c r="A11935" t="str">
        <f>HYPERLINK("https://us2.cloudbeds.com/connect/10074733072513#/reservations/31726440206558?display=MXE62ZUMJ&amp;reservation_id=31726440206558", "MXE62ZUMJ")</f>
        <v>MXE62ZUMJ</v>
      </c>
      <c r="B11935" t="s">
        <v>10</v>
      </c>
      <c r="C11935" t="s">
        <v>23</v>
      </c>
      <c r="D11935" t="str">
        <f>HYPERLINK("https://us2.cloudbeds.com/connect/10074733072513#/reservations/31726440206558?display=Laurie%20Leber&amp;reservation_id=31726440206558&amp;guest_id=31726429851789", "Laurie Leber")</f>
        <v>Laurie Leber</v>
      </c>
      <c r="E11935" t="s">
        <v>11161</v>
      </c>
      <c r="F11935" t="s">
        <v>11036</v>
      </c>
      <c r="G11935">
        <v>238</v>
      </c>
      <c r="H11935">
        <v>258.72000000000003</v>
      </c>
      <c r="I11935">
        <v>258.70999999999998</v>
      </c>
      <c r="J11935">
        <v>0.01</v>
      </c>
    </row>
    <row r="11936" spans="1:10" x14ac:dyDescent="0.3">
      <c r="A11936" t="str">
        <f>HYPERLINK("https://us2.cloudbeds.com/connect/10074733072513#/reservations/31721951760550?display=MXANCWA06&amp;reservation_id=31721951760550", "MXANCWA06")</f>
        <v>MXANCWA06</v>
      </c>
      <c r="B11936" t="s">
        <v>10</v>
      </c>
      <c r="C11936" t="s">
        <v>42</v>
      </c>
      <c r="D11936" t="str">
        <f>HYPERLINK("https://us2.cloudbeds.com/connect/10074733072513#/reservations/31721951760550?display=Laura%20Hall&amp;reservation_id=31721951760550&amp;guest_id=31721935618191", "Laura Hall")</f>
        <v>Laura Hall</v>
      </c>
      <c r="E11936" t="s">
        <v>11162</v>
      </c>
      <c r="F11936" t="s">
        <v>11163</v>
      </c>
      <c r="G11936">
        <v>139</v>
      </c>
      <c r="H11936">
        <v>151.1</v>
      </c>
      <c r="I11936">
        <v>151.09</v>
      </c>
      <c r="J11936">
        <v>0.01</v>
      </c>
    </row>
    <row r="11937" spans="1:10" x14ac:dyDescent="0.3">
      <c r="A11937" t="str">
        <f>HYPERLINK("https://us2.cloudbeds.com/connect/10074733072513#/reservations/31723411730566?display=MXBRN23WR&amp;reservation_id=31723411730566", "MXBRN23WR")</f>
        <v>MXBRN23WR</v>
      </c>
      <c r="B11937" t="s">
        <v>10</v>
      </c>
      <c r="C11937" t="s">
        <v>23</v>
      </c>
      <c r="D11937" t="str">
        <f>HYPERLINK("https://us2.cloudbeds.com/connect/10074733072513#/reservations/31723411730566?display=Christine%20Bacon&amp;reservation_id=31723411730566&amp;guest_id=31723411730564", "Christine Bacon")</f>
        <v>Christine Bacon</v>
      </c>
      <c r="E11937" t="s">
        <v>11164</v>
      </c>
      <c r="F11937" t="s">
        <v>10925</v>
      </c>
      <c r="G11937">
        <v>234.1</v>
      </c>
      <c r="H11937">
        <v>254.48</v>
      </c>
      <c r="I11937">
        <v>254.47</v>
      </c>
      <c r="J11937">
        <v>0.01</v>
      </c>
    </row>
    <row r="11938" spans="1:10" x14ac:dyDescent="0.3">
      <c r="A11938" t="str">
        <f>HYPERLINK("https://us2.cloudbeds.com/connect/10074733072513#/reservations/31725230108818?display=MXD85C5R3&amp;reservation_id=31725230108818", "MXD85C5R3")</f>
        <v>MXD85C5R3</v>
      </c>
      <c r="B11938" t="s">
        <v>10</v>
      </c>
      <c r="C11938" t="s">
        <v>121</v>
      </c>
      <c r="D11938" t="str">
        <f>HYPERLINK("https://us2.cloudbeds.com/connect/10074733072513#/reservations/31725230108818?display=Morgan%20Gentry&amp;reservation_id=31725230108818&amp;guest_id=31725230108815", "Morgan Gentry")</f>
        <v>Morgan Gentry</v>
      </c>
      <c r="E11938" t="s">
        <v>11165</v>
      </c>
      <c r="F11938" t="s">
        <v>7925</v>
      </c>
      <c r="G11938">
        <v>159</v>
      </c>
      <c r="H11938">
        <v>172.84</v>
      </c>
      <c r="I11938">
        <v>172.83</v>
      </c>
      <c r="J11938">
        <v>0.01</v>
      </c>
    </row>
    <row r="11939" spans="1:10" x14ac:dyDescent="0.3">
      <c r="A11939" t="str">
        <f>HYPERLINK("https://us2.cloudbeds.com/connect/10074733072513#/reservations/31720638410936?display=MX9MRHDM1&amp;reservation_id=31720638410936", "MX9MRHDM1")</f>
        <v>MX9MRHDM1</v>
      </c>
      <c r="B11939" t="s">
        <v>10</v>
      </c>
      <c r="C11939" t="s">
        <v>42</v>
      </c>
      <c r="D11939" t="str">
        <f>HYPERLINK("https://us2.cloudbeds.com/connect/10074733072513#/reservations/31720638410936?display=Trisha%20Kraft&amp;reservation_id=31720638410936&amp;guest_id=31720638410921", "Trisha Kraft")</f>
        <v>Trisha Kraft</v>
      </c>
      <c r="E11939" t="s">
        <v>11167</v>
      </c>
      <c r="F11939" t="s">
        <v>11039</v>
      </c>
      <c r="G11939">
        <v>159</v>
      </c>
      <c r="H11939">
        <v>172.84</v>
      </c>
      <c r="I11939">
        <v>172.83</v>
      </c>
      <c r="J11939">
        <v>0.01</v>
      </c>
    </row>
    <row r="11940" spans="1:10" x14ac:dyDescent="0.3">
      <c r="A11940" t="str">
        <f>HYPERLINK("https://us2.cloudbeds.com/connect/10074733072513#/reservations/31726444585089?display=MXE66EPCB&amp;reservation_id=31726444585089", "MXE66EPCB")</f>
        <v>MXE66EPCB</v>
      </c>
      <c r="B11940" t="s">
        <v>10</v>
      </c>
      <c r="C11940" t="s">
        <v>23</v>
      </c>
      <c r="D11940" t="str">
        <f>HYPERLINK("https://us2.cloudbeds.com/connect/10074733072513#/reservations/31726444585089?display=Enrique%20Layton&amp;reservation_id=31726444585089&amp;guest_id=31726444580995", "Enrique Layton")</f>
        <v>Enrique Layton</v>
      </c>
      <c r="E11940" t="s">
        <v>11169</v>
      </c>
      <c r="F11940" t="s">
        <v>11036</v>
      </c>
      <c r="G11940">
        <v>119</v>
      </c>
      <c r="H11940">
        <v>129.36000000000001</v>
      </c>
      <c r="I11940">
        <v>129.35</v>
      </c>
      <c r="J11940">
        <v>0.01</v>
      </c>
    </row>
    <row r="11941" spans="1:10" x14ac:dyDescent="0.3">
      <c r="A11941" t="str">
        <f>HYPERLINK("https://us2.cloudbeds.com/connect/10074733072513#/reservations/31716163350778?display=MX67G18SF&amp;reservation_id=31716163350778", "MX67G18SF")</f>
        <v>MX67G18SF</v>
      </c>
      <c r="B11941" t="s">
        <v>10</v>
      </c>
      <c r="C11941" t="s">
        <v>42</v>
      </c>
      <c r="D11941" t="str">
        <f>HYPERLINK("https://us2.cloudbeds.com/connect/10074733072513#/reservations/31716163350778?display=Kathy%20Brink&amp;reservation_id=31716163350778&amp;guest_id=31716163350773", "Kathy Brink")</f>
        <v>Kathy Brink</v>
      </c>
      <c r="E11941" t="s">
        <v>11173</v>
      </c>
      <c r="F11941" t="s">
        <v>10982</v>
      </c>
      <c r="G11941">
        <v>298</v>
      </c>
      <c r="H11941">
        <v>323.94</v>
      </c>
      <c r="I11941">
        <v>323.93</v>
      </c>
      <c r="J11941">
        <v>0.01</v>
      </c>
    </row>
    <row r="11942" spans="1:10" x14ac:dyDescent="0.3">
      <c r="A11942" t="str">
        <f>HYPERLINK("https://us2.cloudbeds.com/connect/10074733072513#/reservations/31718802772194?display=MX88UM1WK&amp;reservation_id=31718802772194", "MX88UM1WK")</f>
        <v>MX88UM1WK</v>
      </c>
      <c r="B11942" t="s">
        <v>10</v>
      </c>
      <c r="C11942" t="s">
        <v>42</v>
      </c>
      <c r="D11942" t="str">
        <f>HYPERLINK("https://us2.cloudbeds.com/connect/10074733072513#/reservations/31718802772194?display=Adam%20Hull&amp;reservation_id=31718802772194&amp;guest_id=31688951021811", "Adam Hull")</f>
        <v>Adam Hull</v>
      </c>
      <c r="E11942" t="s">
        <v>6474</v>
      </c>
      <c r="F11942" t="s">
        <v>11036</v>
      </c>
      <c r="G11942">
        <v>73</v>
      </c>
      <c r="H11942">
        <v>79.36</v>
      </c>
      <c r="I11942">
        <v>79.349999999999994</v>
      </c>
      <c r="J11942">
        <v>0.01</v>
      </c>
    </row>
    <row r="11943" spans="1:10" x14ac:dyDescent="0.3">
      <c r="A11943" t="str">
        <f>HYPERLINK("https://us2.cloudbeds.com/connect/10074733072513#/reservations/31724869013731?display=MXCVUT5NZ&amp;reservation_id=31724869013731", "MXCVUT5NZ")</f>
        <v>MXCVUT5NZ</v>
      </c>
      <c r="B11943" t="s">
        <v>10</v>
      </c>
      <c r="C11943" t="s">
        <v>42</v>
      </c>
      <c r="D11943" t="str">
        <f>HYPERLINK("https://us2.cloudbeds.com/connect/10074733072513#/reservations/31724869013731?display=Steve%20Brink&amp;reservation_id=31724869013731&amp;guest_id=31724869013720", "Steve Brink")</f>
        <v>Steve Brink</v>
      </c>
      <c r="E11943" t="s">
        <v>11175</v>
      </c>
      <c r="F11943" t="s">
        <v>10982</v>
      </c>
      <c r="G11943">
        <v>318</v>
      </c>
      <c r="H11943">
        <v>345.68</v>
      </c>
      <c r="I11943">
        <v>345.67</v>
      </c>
      <c r="J11943">
        <v>0.01</v>
      </c>
    </row>
    <row r="11944" spans="1:10" x14ac:dyDescent="0.3">
      <c r="A11944" t="str">
        <f>HYPERLINK("https://us2.cloudbeds.com/connect/10074733072513#/reservations/31715917856988?display=MX61711CN&amp;reservation_id=31715917856988", "MX61711CN")</f>
        <v>MX61711CN</v>
      </c>
      <c r="B11944" t="s">
        <v>10</v>
      </c>
      <c r="C11944" t="s">
        <v>42</v>
      </c>
      <c r="D11944" t="str">
        <f>HYPERLINK("https://us2.cloudbeds.com/connect/10074733072513#/reservations/31715917856988?display=Samantha%20Brink&amp;reservation_id=31715917856988&amp;guest_id=31715917856963", "Samantha Brink")</f>
        <v>Samantha Brink</v>
      </c>
      <c r="E11944" t="s">
        <v>11176</v>
      </c>
      <c r="F11944" t="s">
        <v>10982</v>
      </c>
      <c r="G11944">
        <v>318</v>
      </c>
      <c r="H11944">
        <v>345.68</v>
      </c>
      <c r="I11944">
        <v>345.67</v>
      </c>
      <c r="J11944">
        <v>0.01</v>
      </c>
    </row>
    <row r="11945" spans="1:10" x14ac:dyDescent="0.3">
      <c r="A11945" t="str">
        <f>HYPERLINK("https://us2.cloudbeds.com/connect/10074733072513#/reservations/31722171756748?display=MXAT0G0NK&amp;reservation_id=31722171756748", "MXAT0G0NK")</f>
        <v>MXAT0G0NK</v>
      </c>
      <c r="B11945" t="s">
        <v>10</v>
      </c>
      <c r="C11945" t="s">
        <v>23</v>
      </c>
      <c r="D11945" t="str">
        <f>HYPERLINK("https://us2.cloudbeds.com/connect/10074733072513#/reservations/31722171756748?display=Kyle%20Sanders&amp;reservation_id=31722171756748&amp;guest_id=31722171752669", "Kyle Sanders")</f>
        <v>Kyle Sanders</v>
      </c>
      <c r="E11945" t="s">
        <v>11179</v>
      </c>
      <c r="F11945" t="s">
        <v>11180</v>
      </c>
      <c r="G11945">
        <v>102.58</v>
      </c>
      <c r="H11945">
        <v>111.51</v>
      </c>
      <c r="I11945">
        <v>111.5</v>
      </c>
      <c r="J11945">
        <v>0.01</v>
      </c>
    </row>
    <row r="11946" spans="1:10" x14ac:dyDescent="0.3">
      <c r="A11946" t="str">
        <f>HYPERLINK("https://us2.cloudbeds.com/connect/10074733072513#/reservations/31726512509075?display=MXE7UNS5V&amp;reservation_id=31726512509075", "MXE7UNS5V")</f>
        <v>MXE7UNS5V</v>
      </c>
      <c r="B11946" t="s">
        <v>10</v>
      </c>
      <c r="C11946" t="s">
        <v>42</v>
      </c>
      <c r="D11946" t="str">
        <f>HYPERLINK("https://us2.cloudbeds.com/connect/10074733072513#/reservations/31726512509075?display=Matthew%20Polzin&amp;reservation_id=31726512509075&amp;guest_id=31726512509073", "Matthew Polzin")</f>
        <v>Matthew Polzin</v>
      </c>
      <c r="E11946" t="s">
        <v>11181</v>
      </c>
      <c r="F11946" t="s">
        <v>11036</v>
      </c>
      <c r="G11946">
        <v>109</v>
      </c>
      <c r="H11946">
        <v>118.49</v>
      </c>
      <c r="I11946">
        <v>118.48</v>
      </c>
      <c r="J11946">
        <v>0.01</v>
      </c>
    </row>
    <row r="11947" spans="1:10" x14ac:dyDescent="0.3">
      <c r="A11947" t="str">
        <f>HYPERLINK("https://us2.cloudbeds.com/connect/10074733072513#/reservations/31722150502619?display=MXASFXJK4&amp;reservation_id=31722150502619", "MXASFXJK4")</f>
        <v>MXASFXJK4</v>
      </c>
      <c r="B11947" t="s">
        <v>10</v>
      </c>
      <c r="C11947" t="s">
        <v>121</v>
      </c>
      <c r="D11947" t="str">
        <f>HYPERLINK("https://us2.cloudbeds.com/connect/10074733072513#/reservations/31722150502619?display=Edwin%20Ware&amp;reservation_id=31722150502619&amp;guest_id=31722150502616", "Edwin Ware")</f>
        <v>Edwin Ware</v>
      </c>
      <c r="E11947" t="s">
        <v>7169</v>
      </c>
      <c r="F11947" t="s">
        <v>11180</v>
      </c>
      <c r="G11947">
        <v>109</v>
      </c>
      <c r="H11947">
        <v>118.49</v>
      </c>
      <c r="I11947">
        <v>118.48</v>
      </c>
      <c r="J11947">
        <v>0.01</v>
      </c>
    </row>
    <row r="11948" spans="1:10" x14ac:dyDescent="0.3">
      <c r="A11948" t="str">
        <f>HYPERLINK("https://us2.cloudbeds.com/connect/10074733072513#/reservations/31726408515800?display=MXE5912TJ&amp;reservation_id=31726408515800", "MXE5912TJ")</f>
        <v>MXE5912TJ</v>
      </c>
      <c r="B11948" t="s">
        <v>10</v>
      </c>
      <c r="C11948" t="s">
        <v>42</v>
      </c>
      <c r="D11948" t="str">
        <f>HYPERLINK("https://us2.cloudbeds.com/connect/10074733072513#/reservations/31726408515800?display=Colton%20Jungjohan&amp;reservation_id=31726408515800&amp;guest_id=31692468879562", "Colton Jungjohan")</f>
        <v>Colton Jungjohan</v>
      </c>
      <c r="E11948" t="s">
        <v>8246</v>
      </c>
      <c r="F11948" t="s">
        <v>11180</v>
      </c>
      <c r="G11948">
        <v>73</v>
      </c>
      <c r="H11948">
        <v>79.36</v>
      </c>
      <c r="I11948">
        <v>79.349999999999994</v>
      </c>
      <c r="J11948">
        <v>0.01</v>
      </c>
    </row>
    <row r="11949" spans="1:10" x14ac:dyDescent="0.3">
      <c r="A11949" t="str">
        <f>HYPERLINK("https://us2.cloudbeds.com/connect/10074733072513#/reservations/31719398318220?display=MX8Z4S06T&amp;reservation_id=31719398318220", "MX8Z4S06T")</f>
        <v>MX8Z4S06T</v>
      </c>
      <c r="B11949" t="s">
        <v>10</v>
      </c>
      <c r="C11949" t="s">
        <v>23</v>
      </c>
      <c r="D11949" t="str">
        <f>HYPERLINK("https://us2.cloudbeds.com/connect/10074733072513#/reservations/31719398318220?display=Aaron%20Ringgenberg&amp;reservation_id=31719398318220&amp;guest_id=31719398314126", "Aaron Ringgenberg")</f>
        <v>Aaron Ringgenberg</v>
      </c>
      <c r="E11949" t="s">
        <v>11182</v>
      </c>
      <c r="F11949" t="s">
        <v>11183</v>
      </c>
      <c r="G11949">
        <v>338</v>
      </c>
      <c r="H11949">
        <v>367.42</v>
      </c>
      <c r="I11949">
        <v>367.41</v>
      </c>
      <c r="J11949">
        <v>0.01</v>
      </c>
    </row>
    <row r="11950" spans="1:10" x14ac:dyDescent="0.3">
      <c r="A11950" t="str">
        <f>HYPERLINK("https://us2.cloudbeds.com/connect/10074733072513#/reservations/31715964489952?display=MX62DBM6R&amp;reservation_id=31715964489952", "MX62DBM6R")</f>
        <v>MX62DBM6R</v>
      </c>
      <c r="B11950" t="s">
        <v>10</v>
      </c>
      <c r="C11950" t="s">
        <v>42</v>
      </c>
      <c r="D11950" t="str">
        <f>HYPERLINK("https://us2.cloudbeds.com/connect/10074733072513#/reservations/31715964489952?display=Jill%20Lamer&amp;reservation_id=31715964489952&amp;guest_id=31715964489947", "Jill Lamer")</f>
        <v>Jill Lamer</v>
      </c>
      <c r="E11950" t="s">
        <v>11184</v>
      </c>
      <c r="F11950" t="s">
        <v>9926</v>
      </c>
      <c r="G11950">
        <v>278</v>
      </c>
      <c r="H11950">
        <v>302.2</v>
      </c>
      <c r="I11950">
        <v>302.19</v>
      </c>
      <c r="J11950">
        <v>0.01</v>
      </c>
    </row>
    <row r="11951" spans="1:10" x14ac:dyDescent="0.3">
      <c r="A11951" t="str">
        <f>HYPERLINK("https://us2.cloudbeds.com/connect/10074733072513#/reservations/31722421334210?display=MXB2CUT41&amp;reservation_id=31722421334210", "MXB2CUT41")</f>
        <v>MXB2CUT41</v>
      </c>
      <c r="B11951" t="s">
        <v>10</v>
      </c>
      <c r="C11951" t="s">
        <v>42</v>
      </c>
      <c r="D11951" t="str">
        <f>HYPERLINK("https://us2.cloudbeds.com/connect/10074733072513#/reservations/31722421334210?display=Marcus%20Vaughn&amp;reservation_id=31722421334210&amp;guest_id=31701108732121", "Marcus Vaughn")</f>
        <v>Marcus Vaughn</v>
      </c>
      <c r="E11951" t="s">
        <v>11185</v>
      </c>
      <c r="F11951" t="s">
        <v>10992</v>
      </c>
      <c r="G11951">
        <v>73</v>
      </c>
      <c r="H11951">
        <v>79.36</v>
      </c>
      <c r="I11951">
        <v>79.349999999999994</v>
      </c>
      <c r="J11951">
        <v>0.01</v>
      </c>
    </row>
    <row r="11952" spans="1:10" x14ac:dyDescent="0.3">
      <c r="A11952" t="str">
        <f>HYPERLINK("https://us2.cloudbeds.com/connect/10074733072513#/reservations/31724813529247?display=MXCUH37PZ&amp;reservation_id=31724813529247", "MXCUH37PZ")</f>
        <v>MXCUH37PZ</v>
      </c>
      <c r="B11952" t="s">
        <v>10</v>
      </c>
      <c r="C11952" t="s">
        <v>23</v>
      </c>
      <c r="D11952" t="str">
        <f>HYPERLINK("https://us2.cloudbeds.com/connect/10074733072513#/reservations/31724813529247?display=Kelly%20Gross&amp;reservation_id=31724813529247&amp;guest_id=31724813529228", "Kelly Gross")</f>
        <v>Kelly Gross</v>
      </c>
      <c r="E11952" t="s">
        <v>11186</v>
      </c>
      <c r="F11952" t="s">
        <v>10925</v>
      </c>
      <c r="G11952">
        <v>87.82</v>
      </c>
      <c r="H11952">
        <v>95.47</v>
      </c>
      <c r="I11952">
        <v>95.46</v>
      </c>
      <c r="J11952">
        <v>0.01</v>
      </c>
    </row>
    <row r="11953" spans="1:10" x14ac:dyDescent="0.3">
      <c r="A11953" t="str">
        <f>HYPERLINK("https://us2.cloudbeds.com/connect/10074733072513#/reservations/31718969614579?display=MX8D6BMVF&amp;reservation_id=31718969614579", "MX8D6BMVF")</f>
        <v>MX8D6BMVF</v>
      </c>
      <c r="B11953" t="s">
        <v>10</v>
      </c>
      <c r="C11953" t="s">
        <v>42</v>
      </c>
      <c r="D11953" t="str">
        <f>HYPERLINK("https://us2.cloudbeds.com/connect/10074733072513#/reservations/31718969614579?display=Jill%20Lamer&amp;reservation_id=31718969614579&amp;guest_id=31715964489947", "Jill Lamer")</f>
        <v>Jill Lamer</v>
      </c>
      <c r="E11953" t="s">
        <v>11184</v>
      </c>
      <c r="F11953" t="s">
        <v>9926</v>
      </c>
      <c r="G11953">
        <v>139</v>
      </c>
      <c r="H11953">
        <v>151.1</v>
      </c>
      <c r="I11953">
        <v>151.09</v>
      </c>
      <c r="J11953">
        <v>0.01</v>
      </c>
    </row>
    <row r="11954" spans="1:10" x14ac:dyDescent="0.3">
      <c r="A11954" t="str">
        <f>HYPERLINK("https://us2.cloudbeds.com/connect/10074733072513#/reservations/31712981995666?display=MX3P6ECA3&amp;reservation_id=31712981995666", "MX3P6ECA3")</f>
        <v>MX3P6ECA3</v>
      </c>
      <c r="B11954" t="s">
        <v>10</v>
      </c>
      <c r="C11954" t="s">
        <v>42</v>
      </c>
      <c r="D11954" t="str">
        <f>HYPERLINK("https://us2.cloudbeds.com/connect/10074733072513#/reservations/31712981995666?display=Jill%20Sternhagen&amp;reservation_id=31712981995666&amp;guest_id=31712981991573", "Jill Sternhagen")</f>
        <v>Jill Sternhagen</v>
      </c>
      <c r="E11954" t="s">
        <v>11189</v>
      </c>
      <c r="F11954" t="s">
        <v>10449</v>
      </c>
      <c r="G11954">
        <v>159</v>
      </c>
      <c r="H11954">
        <v>172.84</v>
      </c>
      <c r="I11954">
        <v>172.83</v>
      </c>
      <c r="J11954">
        <v>0.01</v>
      </c>
    </row>
    <row r="11955" spans="1:10" x14ac:dyDescent="0.3">
      <c r="A11955" t="str">
        <f>HYPERLINK("https://us2.cloudbeds.com/connect/10074733072513#/reservations/31723853549707?display=MXC5WKCSY&amp;reservation_id=31723853549707", "MXC5WKCSY")</f>
        <v>MXC5WKCSY</v>
      </c>
      <c r="B11955" t="s">
        <v>10</v>
      </c>
      <c r="C11955" t="s">
        <v>23</v>
      </c>
      <c r="D11955" t="str">
        <f>HYPERLINK("https://us2.cloudbeds.com/connect/10074733072513#/reservations/31723853549707?display=Sarah%20Wright&amp;reservation_id=31723853549707&amp;guest_id=31723803816145", "Sarah Wright")</f>
        <v>Sarah Wright</v>
      </c>
      <c r="E11955" t="s">
        <v>11190</v>
      </c>
      <c r="F11955" t="s">
        <v>11191</v>
      </c>
      <c r="G11955">
        <v>278</v>
      </c>
      <c r="H11955">
        <v>302.2</v>
      </c>
      <c r="I11955">
        <v>302.19</v>
      </c>
      <c r="J11955">
        <v>0.01</v>
      </c>
    </row>
    <row r="11956" spans="1:10" x14ac:dyDescent="0.3">
      <c r="A11956" t="str">
        <f>HYPERLINK("https://us2.cloudbeds.com/connect/10074733072513#/reservations/31723469844698?display=MXBT627M4&amp;reservation_id=31723469844698", "MXBT627M4")</f>
        <v>MXBT627M4</v>
      </c>
      <c r="B11956" t="s">
        <v>10</v>
      </c>
      <c r="C11956" t="s">
        <v>23</v>
      </c>
      <c r="D11956" t="str">
        <f>HYPERLINK("https://us2.cloudbeds.com/connect/10074733072513#/reservations/31723469844698?display=Lacey%20Gilbertson&amp;reservation_id=31723469844698&amp;guest_id=30669457617069", "Lacey Gilbertson")</f>
        <v>Lacey Gilbertson</v>
      </c>
      <c r="E11956" t="s">
        <v>11192</v>
      </c>
      <c r="F11956" t="s">
        <v>11171</v>
      </c>
      <c r="G11956">
        <v>139</v>
      </c>
      <c r="H11956">
        <v>151.1</v>
      </c>
      <c r="I11956">
        <v>151.09</v>
      </c>
      <c r="J11956">
        <v>0.01</v>
      </c>
    </row>
    <row r="11957" spans="1:10" x14ac:dyDescent="0.3">
      <c r="A11957" t="str">
        <f>HYPERLINK("https://us2.cloudbeds.com/connect/10074733072513#/reservations/31723817791722?display=MXC52FC8B&amp;reservation_id=31723817791722", "MXC52FC8B")</f>
        <v>MXC52FC8B</v>
      </c>
      <c r="B11957" t="s">
        <v>10</v>
      </c>
      <c r="C11957" t="s">
        <v>23</v>
      </c>
      <c r="D11957" t="str">
        <f>HYPERLINK("https://us2.cloudbeds.com/connect/10074733072513#/reservations/31723817791722?display=Sarah%20Wright&amp;reservation_id=31723817791722&amp;guest_id=31723803816145", "Sarah Wright")</f>
        <v>Sarah Wright</v>
      </c>
      <c r="E11957" t="s">
        <v>11190</v>
      </c>
      <c r="F11957" t="s">
        <v>11191</v>
      </c>
      <c r="G11957">
        <v>278</v>
      </c>
      <c r="H11957">
        <v>302.2</v>
      </c>
      <c r="I11957">
        <v>302.19</v>
      </c>
      <c r="J11957">
        <v>0.01</v>
      </c>
    </row>
    <row r="11958" spans="1:10" x14ac:dyDescent="0.3">
      <c r="A11958" t="str">
        <f>HYPERLINK("https://us2.cloudbeds.com/connect/10074733072513#/reservations/31722399920338?display=MXB1RT0AQ&amp;reservation_id=31722399920338", "MXB1RT0AQ")</f>
        <v>MXB1RT0AQ</v>
      </c>
      <c r="B11958" t="s">
        <v>10</v>
      </c>
      <c r="C11958" t="s">
        <v>42</v>
      </c>
      <c r="D11958" t="str">
        <f>HYPERLINK("https://us2.cloudbeds.com/connect/10074733072513#/reservations/31722399920338?display=Tammy%20Oltmanns&amp;reservation_id=31722399920338&amp;guest_id=31722399916251", "Tammy Oltmanns")</f>
        <v>Tammy Oltmanns</v>
      </c>
      <c r="E11958" t="s">
        <v>11193</v>
      </c>
      <c r="F11958" t="s">
        <v>11039</v>
      </c>
      <c r="G11958">
        <v>139</v>
      </c>
      <c r="H11958">
        <v>151.1</v>
      </c>
      <c r="I11958">
        <v>151.09</v>
      </c>
      <c r="J11958">
        <v>0.01</v>
      </c>
    </row>
    <row r="11959" spans="1:10" x14ac:dyDescent="0.3">
      <c r="A11959" t="str">
        <f>HYPERLINK("https://us2.cloudbeds.com/connect/10074733072513#/reservations/31720629215460?display=MX9MJPHN8&amp;reservation_id=31720629215460", "MX9MJPHN8")</f>
        <v>MX9MJPHN8</v>
      </c>
      <c r="B11959" t="s">
        <v>10</v>
      </c>
      <c r="C11959" t="s">
        <v>42</v>
      </c>
      <c r="D11959" t="str">
        <f>HYPERLINK("https://us2.cloudbeds.com/connect/10074733072513#/reservations/31720629215460?display=Alecia%20Amezcua&amp;reservation_id=31720629215460&amp;guest_id=31720629215446", "Alecia Amezcua")</f>
        <v>Alecia Amezcua</v>
      </c>
      <c r="E11959" t="s">
        <v>11194</v>
      </c>
      <c r="F11959" t="s">
        <v>11171</v>
      </c>
      <c r="G11959">
        <v>139</v>
      </c>
      <c r="H11959">
        <v>151.1</v>
      </c>
      <c r="I11959">
        <v>151.09</v>
      </c>
      <c r="J11959">
        <v>0.01</v>
      </c>
    </row>
    <row r="11960" spans="1:10" x14ac:dyDescent="0.3">
      <c r="A11960" t="str">
        <f>HYPERLINK("https://us2.cloudbeds.com/connect/10074733072513#/reservations/31721656905938?display=MXAFSBHPV&amp;reservation_id=31721656905938", "MXAFSBHPV")</f>
        <v>MXAFSBHPV</v>
      </c>
      <c r="B11960" t="s">
        <v>10</v>
      </c>
      <c r="C11960" t="s">
        <v>23</v>
      </c>
      <c r="D11960" t="str">
        <f>HYPERLINK("https://us2.cloudbeds.com/connect/10074733072513#/reservations/31721656905938?display=Rhonda%20Lewis&amp;reservation_id=31721656905938&amp;guest_id=31721656905936", "Rhonda Lewis")</f>
        <v>Rhonda Lewis</v>
      </c>
      <c r="E11960" t="s">
        <v>11195</v>
      </c>
      <c r="F11960" t="s">
        <v>11196</v>
      </c>
      <c r="G11960">
        <v>554.4</v>
      </c>
      <c r="H11960">
        <v>602.64</v>
      </c>
      <c r="I11960">
        <v>602.63</v>
      </c>
      <c r="J11960">
        <v>0.01</v>
      </c>
    </row>
    <row r="11961" spans="1:10" x14ac:dyDescent="0.3">
      <c r="A11961" t="str">
        <f>HYPERLINK("https://us2.cloudbeds.com/connect/10074733072513#/reservations/31720595898595?display=MX9YZMAVS&amp;reservation_id=31720595898595", "MX9YZMAVS")</f>
        <v>MX9YZMAVS</v>
      </c>
      <c r="B11961" t="s">
        <v>10</v>
      </c>
      <c r="C11961" t="s">
        <v>42</v>
      </c>
      <c r="D11961" t="str">
        <f>HYPERLINK("https://us2.cloudbeds.com/connect/10074733072513#/reservations/31720595898595?display=Tim%20Moore&amp;reservation_id=31720595898595&amp;guest_id=31720595894518", "Tim Moore")</f>
        <v>Tim Moore</v>
      </c>
      <c r="E11961" t="s">
        <v>11197</v>
      </c>
      <c r="F11961" t="s">
        <v>11171</v>
      </c>
      <c r="G11961">
        <v>73</v>
      </c>
      <c r="H11961">
        <v>79.36</v>
      </c>
      <c r="I11961">
        <v>79.349999999999994</v>
      </c>
      <c r="J11961">
        <v>0.01</v>
      </c>
    </row>
    <row r="11962" spans="1:10" x14ac:dyDescent="0.3">
      <c r="A11962" t="str">
        <f>HYPERLINK("https://us2.cloudbeds.com/connect/10074733072513#/reservations/31720656728226?display=MX9N9W3VE&amp;reservation_id=31720656728226", "MX9N9W3VE")</f>
        <v>MX9N9W3VE</v>
      </c>
      <c r="B11962" t="s">
        <v>10</v>
      </c>
      <c r="C11962" t="s">
        <v>121</v>
      </c>
      <c r="D11962" t="str">
        <f>HYPERLINK("https://us2.cloudbeds.com/connect/10074733072513#/reservations/31720656728226?display=Ryan%20Werbalowsky&amp;reservation_id=31720656728226&amp;guest_id=31720656728224", "Ryan Werbalowsky")</f>
        <v>Ryan Werbalowsky</v>
      </c>
      <c r="E11962" t="s">
        <v>11199</v>
      </c>
      <c r="F11962" t="s">
        <v>11039</v>
      </c>
      <c r="G11962">
        <v>139</v>
      </c>
      <c r="H11962">
        <v>151.1</v>
      </c>
      <c r="I11962">
        <v>151.09</v>
      </c>
      <c r="J11962">
        <v>0.01</v>
      </c>
    </row>
    <row r="11963" spans="1:10" x14ac:dyDescent="0.3">
      <c r="A11963" t="str">
        <f>HYPERLINK("https://us2.cloudbeds.com/connect/10074733072513#/reservations/31724978442470?display=MXD1Z5684&amp;reservation_id=31724978442470", "MXD1Z5684")</f>
        <v>MXD1Z5684</v>
      </c>
      <c r="B11963" t="s">
        <v>10</v>
      </c>
      <c r="C11963" t="s">
        <v>121</v>
      </c>
      <c r="D11963" t="str">
        <f>HYPERLINK("https://us2.cloudbeds.com/connect/10074733072513#/reservations/31724978442470?display=Jesse%20Bjornson&amp;reservation_id=31724978442470&amp;guest_id=31724978442458", "Jesse Bjornson")</f>
        <v>Jesse Bjornson</v>
      </c>
      <c r="E11963" t="s">
        <v>11202</v>
      </c>
      <c r="F11963" t="s">
        <v>10925</v>
      </c>
      <c r="G11963">
        <v>258</v>
      </c>
      <c r="H11963">
        <v>280.45999999999998</v>
      </c>
      <c r="I11963">
        <v>280.45</v>
      </c>
      <c r="J11963">
        <v>0.01</v>
      </c>
    </row>
    <row r="11964" spans="1:10" x14ac:dyDescent="0.3">
      <c r="A11964" t="str">
        <f>HYPERLINK("https://us2.cloudbeds.com/connect/10074733072513#/reservations/31724879384765?display=MXCW6KP5G&amp;reservation_id=31724879384765", "MXCW6KP5G")</f>
        <v>MXCW6KP5G</v>
      </c>
      <c r="B11964" t="s">
        <v>10</v>
      </c>
      <c r="C11964" t="s">
        <v>23</v>
      </c>
      <c r="D11964" t="str">
        <f>HYPERLINK("https://us2.cloudbeds.com/connect/10074733072513#/reservations/31724879384765?display=Peter%20Bjorklund&amp;reservation_id=31724879384765&amp;guest_id=31724869013729", "Peter Bjorklund")</f>
        <v>Peter Bjorklund</v>
      </c>
      <c r="E11964" t="s">
        <v>11204</v>
      </c>
      <c r="F11964" t="s">
        <v>10925</v>
      </c>
      <c r="G11964">
        <v>109</v>
      </c>
      <c r="H11964">
        <v>118.49</v>
      </c>
      <c r="I11964">
        <v>118.48</v>
      </c>
      <c r="J11964">
        <v>0.01</v>
      </c>
    </row>
    <row r="11965" spans="1:10" x14ac:dyDescent="0.3">
      <c r="A11965" t="str">
        <f>HYPERLINK("https://us2.cloudbeds.com/connect/10074733072513#/reservations/31724881498316?display=MXCW8DXWG&amp;reservation_id=31724881498316", "MXCW8DXWG")</f>
        <v>MXCW8DXWG</v>
      </c>
      <c r="B11965" t="s">
        <v>10</v>
      </c>
      <c r="C11965" t="s">
        <v>23</v>
      </c>
      <c r="D11965" t="str">
        <f>HYPERLINK("https://us2.cloudbeds.com/connect/10074733072513#/reservations/31724881498316?display=Linda%20Kuhl&amp;reservation_id=31724881498316&amp;guest_id=31724881494230", "Linda Kuhl")</f>
        <v>Linda Kuhl</v>
      </c>
      <c r="E11965" t="s">
        <v>11205</v>
      </c>
      <c r="F11965" t="s">
        <v>10925</v>
      </c>
      <c r="G11965">
        <v>139</v>
      </c>
      <c r="H11965">
        <v>151.1</v>
      </c>
      <c r="I11965">
        <v>151.09</v>
      </c>
      <c r="J11965">
        <v>0.01</v>
      </c>
    </row>
    <row r="11966" spans="1:10" x14ac:dyDescent="0.3">
      <c r="A11966" t="str">
        <f>HYPERLINK("https://us2.cloudbeds.com/connect/10074733072513#/reservations/31723446489270?display=MXBSJCAWT&amp;reservation_id=31723446489270", "MXBSJCAWT")</f>
        <v>MXBSJCAWT</v>
      </c>
      <c r="B11966" t="s">
        <v>10</v>
      </c>
      <c r="C11966" t="s">
        <v>42</v>
      </c>
      <c r="D11966" t="str">
        <f>HYPERLINK("https://us2.cloudbeds.com/connect/10074733072513#/reservations/31723446489270?display=Jordan%20Fitch&amp;reservation_id=31723446489270&amp;guest_id=31711282266352", "Jordan Fitch")</f>
        <v>Jordan Fitch</v>
      </c>
      <c r="E11966" t="s">
        <v>7464</v>
      </c>
      <c r="F11966" t="s">
        <v>11171</v>
      </c>
      <c r="G11966">
        <v>139</v>
      </c>
      <c r="H11966">
        <v>151.1</v>
      </c>
      <c r="I11966">
        <v>151.09</v>
      </c>
      <c r="J11966">
        <v>0.01</v>
      </c>
    </row>
    <row r="11967" spans="1:10" x14ac:dyDescent="0.3">
      <c r="A11967" t="str">
        <f>HYPERLINK("https://us2.cloudbeds.com/connect/10074733072513#/reservations/31721975795914?display=MXAZ0841X&amp;reservation_id=31721975795914", "MXAZ0841X")</f>
        <v>MXAZ0841X</v>
      </c>
      <c r="B11967" t="s">
        <v>10</v>
      </c>
      <c r="C11967" t="s">
        <v>42</v>
      </c>
      <c r="D11967" t="str">
        <f>HYPERLINK("https://us2.cloudbeds.com/connect/10074733072513#/reservations/31721975795914?display=Jason%20Larsen&amp;reservation_id=31721975795914&amp;guest_id=31721975795909", "Jason Larsen")</f>
        <v>Jason Larsen</v>
      </c>
      <c r="E11967" t="s">
        <v>11206</v>
      </c>
      <c r="F11967" t="s">
        <v>11163</v>
      </c>
      <c r="G11967">
        <v>169</v>
      </c>
      <c r="H11967">
        <v>183.71</v>
      </c>
      <c r="I11967">
        <v>183.7</v>
      </c>
      <c r="J11967">
        <v>0.01</v>
      </c>
    </row>
    <row r="11968" spans="1:10" x14ac:dyDescent="0.3">
      <c r="A11968" t="str">
        <f>HYPERLINK("https://us2.cloudbeds.com/connect/10074733072513#/reservations/31724879855821?display=MXCW70SNU&amp;reservation_id=31724879855821", "MXCW70SNU")</f>
        <v>MXCW70SNU</v>
      </c>
      <c r="B11968" t="s">
        <v>10</v>
      </c>
      <c r="C11968" t="s">
        <v>23</v>
      </c>
      <c r="D11968" t="str">
        <f>HYPERLINK("https://us2.cloudbeds.com/connect/10074733072513#/reservations/31724879855821?display=Eddie%20Lipinski&amp;reservation_id=31724879855821&amp;guest_id=31724879855816", "Eddie Lipinski")</f>
        <v>Eddie Lipinski</v>
      </c>
      <c r="E11968" t="s">
        <v>11208</v>
      </c>
      <c r="F11968" t="s">
        <v>11209</v>
      </c>
      <c r="G11968">
        <v>105.78</v>
      </c>
      <c r="H11968">
        <v>114.99</v>
      </c>
      <c r="I11968">
        <v>114.98</v>
      </c>
      <c r="J11968">
        <v>0.01</v>
      </c>
    </row>
    <row r="11969" spans="1:10" x14ac:dyDescent="0.3">
      <c r="A11969" t="str">
        <f>HYPERLINK("https://us2.cloudbeds.com/connect/10074733072513#/reservations/31724868071585?display=MXCVU2VXR&amp;reservation_id=31724868071585", "MXCVU2VXR")</f>
        <v>MXCVU2VXR</v>
      </c>
      <c r="B11969" t="s">
        <v>10</v>
      </c>
      <c r="C11969" t="s">
        <v>23</v>
      </c>
      <c r="D11969" t="str">
        <f>HYPERLINK("https://us2.cloudbeds.com/connect/10074733072513#/reservations/31724868071585?display=Edwin%20Lipinski%20Iii&amp;reservation_id=31724868071585&amp;guest_id=31724868067499", "Edwin Lipinski Iii")</f>
        <v>Edwin Lipinski Iii</v>
      </c>
      <c r="E11969" t="s">
        <v>11210</v>
      </c>
      <c r="F11969" t="s">
        <v>11209</v>
      </c>
      <c r="G11969">
        <v>105.78</v>
      </c>
      <c r="H11969">
        <v>114.99</v>
      </c>
      <c r="I11969">
        <v>114.98</v>
      </c>
      <c r="J11969">
        <v>0.01</v>
      </c>
    </row>
    <row r="11970" spans="1:10" x14ac:dyDescent="0.3">
      <c r="A11970" t="str">
        <f>HYPERLINK("https://us2.cloudbeds.com/connect/10074733072513#/reservations/31721257677018?display=MXA5YNDCT&amp;reservation_id=31721257677018", "MXA5YNDCT")</f>
        <v>MXA5YNDCT</v>
      </c>
      <c r="B11970" t="s">
        <v>10</v>
      </c>
      <c r="C11970" t="s">
        <v>23</v>
      </c>
      <c r="D11970" t="str">
        <f>HYPERLINK("https://us2.cloudbeds.com/connect/10074733072513#/reservations/31721257677018?display=Kary%20Peterson&amp;reservation_id=31721257677018&amp;guest_id=31720016302299", "Kary Peterson")</f>
        <v>Kary Peterson</v>
      </c>
      <c r="E11970" t="s">
        <v>7786</v>
      </c>
      <c r="F11970" t="s">
        <v>11209</v>
      </c>
      <c r="G11970">
        <v>109</v>
      </c>
      <c r="H11970">
        <v>118.49</v>
      </c>
      <c r="I11970">
        <v>118.48</v>
      </c>
      <c r="J11970">
        <v>0.01</v>
      </c>
    </row>
    <row r="11971" spans="1:10" x14ac:dyDescent="0.3">
      <c r="A11971" t="str">
        <f>HYPERLINK("https://us2.cloudbeds.com/connect/10074733072513#/reservations/31724895256776?display=MXCWK0E0H&amp;reservation_id=31724895256776", "MXCWK0E0H")</f>
        <v>MXCWK0E0H</v>
      </c>
      <c r="B11971" t="s">
        <v>10</v>
      </c>
      <c r="C11971" t="s">
        <v>42</v>
      </c>
      <c r="D11971" t="str">
        <f>HYPERLINK("https://us2.cloudbeds.com/connect/10074733072513#/reservations/31724895256776?display=Cobren%20Bird&amp;reservation_id=31724895256776&amp;guest_id=31721712144591", "Cobren Bird")</f>
        <v>Cobren Bird</v>
      </c>
      <c r="E11971" t="s">
        <v>7109</v>
      </c>
      <c r="F11971" t="s">
        <v>11209</v>
      </c>
      <c r="G11971">
        <v>73</v>
      </c>
      <c r="H11971">
        <v>79.36</v>
      </c>
      <c r="I11971">
        <v>79.349999999999994</v>
      </c>
      <c r="J11971">
        <v>0.01</v>
      </c>
    </row>
    <row r="11972" spans="1:10" x14ac:dyDescent="0.3">
      <c r="A11972" t="str">
        <f>HYPERLINK("https://us2.cloudbeds.com/connect/10074733072513#/reservations/31721670254734?display=MXAG6JWKU&amp;reservation_id=31721670254734", "MXAG6JWKU")</f>
        <v>MXAG6JWKU</v>
      </c>
      <c r="B11972" t="s">
        <v>10</v>
      </c>
      <c r="C11972" t="s">
        <v>23</v>
      </c>
      <c r="D11972" t="str">
        <f>HYPERLINK("https://us2.cloudbeds.com/connect/10074733072513#/reservations/31721670254734?display=David%20Detamore&amp;reservation_id=31721670254734&amp;guest_id=31721670250643", "David Detamore")</f>
        <v>David Detamore</v>
      </c>
      <c r="E11972" t="s">
        <v>11212</v>
      </c>
      <c r="F11972" t="s">
        <v>11196</v>
      </c>
      <c r="G11972">
        <v>536</v>
      </c>
      <c r="H11972">
        <v>582.64</v>
      </c>
      <c r="I11972">
        <v>582.63</v>
      </c>
      <c r="J11972">
        <v>0.01</v>
      </c>
    </row>
    <row r="11973" spans="1:10" x14ac:dyDescent="0.3">
      <c r="A11973" t="str">
        <f>HYPERLINK("https://us2.cloudbeds.com/connect/10074733072513#/reservations/31723592601744?display=MXBWAJ47K&amp;reservation_id=31723592601744", "MXBWAJ47K")</f>
        <v>MXBWAJ47K</v>
      </c>
      <c r="B11973" t="s">
        <v>10</v>
      </c>
      <c r="C11973" t="s">
        <v>23</v>
      </c>
      <c r="D11973" t="str">
        <f>HYPERLINK("https://us2.cloudbeds.com/connect/10074733072513#/reservations/31723592601744?display=Brandon%20Hamman&amp;reservation_id=31723592601744&amp;guest_id=31723592601739", "Brandon Hamman")</f>
        <v>Brandon Hamman</v>
      </c>
      <c r="E11973" t="s">
        <v>11213</v>
      </c>
      <c r="F11973" t="s">
        <v>11203</v>
      </c>
      <c r="G11973">
        <v>218</v>
      </c>
      <c r="H11973">
        <v>236.98</v>
      </c>
      <c r="I11973">
        <v>236.97</v>
      </c>
      <c r="J11973">
        <v>0.01</v>
      </c>
    </row>
    <row r="11974" spans="1:10" x14ac:dyDescent="0.3">
      <c r="A11974" t="str">
        <f>HYPERLINK("https://us2.cloudbeds.com/connect/10074733072513#/reservations/31718838800543?display=MX89S1JSP&amp;reservation_id=31718838800543", "MX89S1JSP")</f>
        <v>MX89S1JSP</v>
      </c>
      <c r="B11974" t="s">
        <v>10</v>
      </c>
      <c r="C11974" t="s">
        <v>42</v>
      </c>
      <c r="D11974" t="str">
        <f>HYPERLINK("https://us2.cloudbeds.com/connect/10074733072513#/reservations/31718838800543?display=Nate%20Stellrecht&amp;reservation_id=31718838800543&amp;guest_id=31718826754251", "Nate Stellrecht")</f>
        <v>Nate Stellrecht</v>
      </c>
      <c r="E11974" t="s">
        <v>7087</v>
      </c>
      <c r="F11974" t="s">
        <v>11178</v>
      </c>
      <c r="G11974">
        <v>252</v>
      </c>
      <c r="H11974">
        <v>273.93</v>
      </c>
      <c r="I11974">
        <v>273.92</v>
      </c>
      <c r="J11974">
        <v>0.01</v>
      </c>
    </row>
    <row r="11975" spans="1:10" x14ac:dyDescent="0.3">
      <c r="A11975" t="str">
        <f>HYPERLINK("https://us2.cloudbeds.com/connect/10074733072513#/reservations/31722486767773?display=MXB423M19&amp;reservation_id=31722486767773", "MXB423M19")</f>
        <v>MXB423M19</v>
      </c>
      <c r="B11975" t="s">
        <v>10</v>
      </c>
      <c r="C11975" t="s">
        <v>42</v>
      </c>
      <c r="D11975" t="str">
        <f>HYPERLINK("https://us2.cloudbeds.com/connect/10074733072513#/reservations/31722486767773?display=Deb%20Schaefer&amp;reservation_id=31722486767773&amp;guest_id=31722486767768", "Deb Schaefer")</f>
        <v>Deb Schaefer</v>
      </c>
      <c r="E11975" t="s">
        <v>11215</v>
      </c>
      <c r="F11975" t="s">
        <v>11216</v>
      </c>
      <c r="G11975">
        <v>278</v>
      </c>
      <c r="H11975">
        <v>302.2</v>
      </c>
      <c r="I11975">
        <v>302.19</v>
      </c>
      <c r="J11975">
        <v>0.01</v>
      </c>
    </row>
    <row r="11976" spans="1:10" x14ac:dyDescent="0.3">
      <c r="A11976" t="str">
        <f>HYPERLINK("https://us2.cloudbeds.com/connect/10074733072513#/reservations/31713921003656?display=MX4G67YJM&amp;reservation_id=31713921003656", "MX4G67YJM")</f>
        <v>MX4G67YJM</v>
      </c>
      <c r="B11976" t="s">
        <v>10</v>
      </c>
      <c r="C11976" t="s">
        <v>42</v>
      </c>
      <c r="D11976" t="str">
        <f>HYPERLINK("https://us2.cloudbeds.com/connect/10074733072513#/reservations/31713921003656?display=Thor%20Larson&amp;reservation_id=31713921003656&amp;guest_id=31713920999575", "Thor Larson")</f>
        <v>Thor Larson</v>
      </c>
      <c r="E11976" t="s">
        <v>11217</v>
      </c>
      <c r="F11976" t="s">
        <v>10750</v>
      </c>
      <c r="G11976">
        <v>338</v>
      </c>
      <c r="H11976">
        <v>367.42</v>
      </c>
      <c r="I11976">
        <v>367.41</v>
      </c>
      <c r="J11976">
        <v>0.01</v>
      </c>
    </row>
    <row r="11977" spans="1:10" x14ac:dyDescent="0.3">
      <c r="A11977" t="str">
        <f>HYPERLINK("https://us2.cloudbeds.com/connect/10074733072513#/reservations/31719555428492?display=MX8S5ARE7&amp;reservation_id=31719555428492", "MX8S5ARE7")</f>
        <v>MX8S5ARE7</v>
      </c>
      <c r="B11977" t="s">
        <v>10</v>
      </c>
      <c r="C11977" t="s">
        <v>23</v>
      </c>
      <c r="D11977" t="str">
        <f>HYPERLINK("https://us2.cloudbeds.com/connect/10074733072513#/reservations/31719555428492?display=Paul%20Chavez&amp;reservation_id=31719555428492&amp;guest_id=31719555428487", "Paul Chavez")</f>
        <v>Paul Chavez</v>
      </c>
      <c r="E11977" t="s">
        <v>11218</v>
      </c>
      <c r="F11977" t="s">
        <v>9926</v>
      </c>
      <c r="G11977">
        <v>159</v>
      </c>
      <c r="H11977">
        <v>172.84</v>
      </c>
      <c r="I11977">
        <v>172.83</v>
      </c>
      <c r="J11977">
        <v>0.01</v>
      </c>
    </row>
    <row r="11978" spans="1:10" x14ac:dyDescent="0.3">
      <c r="A11978" t="str">
        <f>HYPERLINK("https://us2.cloudbeds.com/connect/10074733072513#/reservations/31721207238877?display=MXA4C5TCC&amp;reservation_id=31721207238877", "MXA4C5TCC")</f>
        <v>MXA4C5TCC</v>
      </c>
      <c r="B11978" t="s">
        <v>10</v>
      </c>
      <c r="C11978" t="s">
        <v>121</v>
      </c>
      <c r="D11978" t="str">
        <f>HYPERLINK("https://us2.cloudbeds.com/connect/10074733072513#/reservations/31721207238877?display=Shanna%20Anderson&amp;reservation_id=31721207238877&amp;guest_id=31721207234783", "Shanna Anderson")</f>
        <v>Shanna Anderson</v>
      </c>
      <c r="E11978" t="s">
        <v>11219</v>
      </c>
      <c r="F11978" t="s">
        <v>11203</v>
      </c>
      <c r="G11978">
        <v>218</v>
      </c>
      <c r="H11978">
        <v>236.98</v>
      </c>
      <c r="I11978">
        <v>236.97</v>
      </c>
      <c r="J11978">
        <v>0.01</v>
      </c>
    </row>
    <row r="11979" spans="1:10" x14ac:dyDescent="0.3">
      <c r="A11979" t="str">
        <f>HYPERLINK("https://us2.cloudbeds.com/connect/10074733072513#/reservations/31722593681553?display=MXB6Q8N4Q&amp;reservation_id=31722593681553", "MXB6Q8N4Q")</f>
        <v>MXB6Q8N4Q</v>
      </c>
      <c r="B11979" t="s">
        <v>10</v>
      </c>
      <c r="C11979" t="s">
        <v>42</v>
      </c>
      <c r="D11979" t="str">
        <f>HYPERLINK("https://us2.cloudbeds.com/connect/10074733072513#/reservations/31722593681553?display=Allison%20Hendrickson&amp;reservation_id=31722593681553&amp;guest_id=31686494265493", "Allison Hendrickson")</f>
        <v>Allison Hendrickson</v>
      </c>
      <c r="E11979" t="s">
        <v>4589</v>
      </c>
      <c r="F11979" t="s">
        <v>11220</v>
      </c>
      <c r="G11979">
        <v>179</v>
      </c>
      <c r="H11979">
        <v>194.58</v>
      </c>
      <c r="I11979">
        <v>194.57</v>
      </c>
      <c r="J11979">
        <v>0.01</v>
      </c>
    </row>
    <row r="11980" spans="1:10" x14ac:dyDescent="0.3">
      <c r="A11980" t="str">
        <f>HYPERLINK("https://us2.cloudbeds.com/connect/10074733072513#/reservations/31713946382468?display=MX4GRKS9X&amp;reservation_id=31713946382468", "MX4GRKS9X")</f>
        <v>MX4GRKS9X</v>
      </c>
      <c r="B11980" t="s">
        <v>10</v>
      </c>
      <c r="C11980" t="s">
        <v>42</v>
      </c>
      <c r="D11980" t="str">
        <f>HYPERLINK("https://us2.cloudbeds.com/connect/10074733072513#/reservations/31713946382468?display=Thor%20Larson&amp;reservation_id=31713946382468&amp;guest_id=31713935094005", "Thor Larson")</f>
        <v>Thor Larson</v>
      </c>
      <c r="E11980" t="s">
        <v>11221</v>
      </c>
      <c r="F11980" t="s">
        <v>10750</v>
      </c>
      <c r="G11980">
        <v>338</v>
      </c>
      <c r="H11980">
        <v>367.42</v>
      </c>
      <c r="I11980">
        <v>367.41</v>
      </c>
      <c r="J11980">
        <v>0.01</v>
      </c>
    </row>
    <row r="11981" spans="1:10" x14ac:dyDescent="0.3">
      <c r="A11981" t="str">
        <f>HYPERLINK("https://us2.cloudbeds.com/connect/10074733072513#/reservations/31723194998985?display=MXBM5A835&amp;reservation_id=31723194998985", "MXBM5A835")</f>
        <v>MXBM5A835</v>
      </c>
      <c r="B11981" t="s">
        <v>10</v>
      </c>
      <c r="C11981" t="s">
        <v>23</v>
      </c>
      <c r="D11981" t="str">
        <f>HYPERLINK("https://us2.cloudbeds.com/connect/10074733072513#/reservations/31723194998985?display=Caroline%20Neikirk&amp;reservation_id=31723194998985&amp;guest_id=31723194994936", "Caroline Neikirk")</f>
        <v>Caroline Neikirk</v>
      </c>
      <c r="E11981" t="s">
        <v>11225</v>
      </c>
      <c r="F11981" t="s">
        <v>11178</v>
      </c>
      <c r="G11981">
        <v>87.82</v>
      </c>
      <c r="H11981">
        <v>95.47</v>
      </c>
      <c r="I11981">
        <v>95.46</v>
      </c>
      <c r="J11981">
        <v>0.01</v>
      </c>
    </row>
    <row r="11982" spans="1:10" x14ac:dyDescent="0.3">
      <c r="A11982" t="str">
        <f>HYPERLINK("https://us2.cloudbeds.com/connect/10074733072513#/reservations/31723174523097?display=MXBYY1FKN&amp;reservation_id=31723174523097", "MXBYY1FKN")</f>
        <v>MXBYY1FKN</v>
      </c>
      <c r="B11982" t="s">
        <v>10</v>
      </c>
      <c r="C11982" t="s">
        <v>42</v>
      </c>
      <c r="D11982" t="str">
        <f>HYPERLINK("https://us2.cloudbeds.com/connect/10074733072513#/reservations/31723174523097?display=Ben%20Frohling&amp;reservation_id=31723174523097&amp;guest_id=31723174523092", "Ben Frohling")</f>
        <v>Ben Frohling</v>
      </c>
      <c r="E11982" t="s">
        <v>11226</v>
      </c>
      <c r="F11982" t="s">
        <v>11178</v>
      </c>
      <c r="G11982">
        <v>73</v>
      </c>
      <c r="H11982">
        <v>79.36</v>
      </c>
      <c r="I11982">
        <v>79.349999999999994</v>
      </c>
      <c r="J11982">
        <v>0.01</v>
      </c>
    </row>
    <row r="11983" spans="1:10" x14ac:dyDescent="0.3">
      <c r="A11983" t="str">
        <f>HYPERLINK("https://us2.cloudbeds.com/connect/10074733072513#/reservations/31713960530051?display=MX4H6XHY7&amp;reservation_id=31713960530051", "MX4H6XHY7")</f>
        <v>MX4H6XHY7</v>
      </c>
      <c r="B11983" t="s">
        <v>10</v>
      </c>
      <c r="C11983" t="s">
        <v>42</v>
      </c>
      <c r="D11983" t="str">
        <f>HYPERLINK("https://us2.cloudbeds.com/connect/10074733072513#/reservations/31713960530051?display=Emily%20Krueger&amp;reservation_id=31713960530051&amp;guest_id=31713960525957", "Emily Krueger")</f>
        <v>Emily Krueger</v>
      </c>
      <c r="E11983" t="s">
        <v>11228</v>
      </c>
      <c r="F11983" t="s">
        <v>10750</v>
      </c>
      <c r="G11983">
        <v>159</v>
      </c>
      <c r="H11983">
        <v>172.84</v>
      </c>
      <c r="I11983">
        <v>172.83</v>
      </c>
      <c r="J11983">
        <v>0.01</v>
      </c>
    </row>
    <row r="11984" spans="1:10" x14ac:dyDescent="0.3">
      <c r="A11984" t="str">
        <f>HYPERLINK("https://us2.cloudbeds.com/connect/10074733072513#/reservations/31722613231813?display=MXB79ZNKU&amp;reservation_id=31722613231813", "MXB79ZNKU")</f>
        <v>MXB79ZNKU</v>
      </c>
      <c r="B11984" t="s">
        <v>10</v>
      </c>
      <c r="C11984" t="s">
        <v>42</v>
      </c>
      <c r="D11984" t="str">
        <f>HYPERLINK("https://us2.cloudbeds.com/connect/10074733072513#/reservations/31722613231813?display=Justice%20Brandt&amp;reservation_id=31722613231813&amp;guest_id=31722604458218", "Justice Brandt")</f>
        <v>Justice Brandt</v>
      </c>
      <c r="E11984" t="s">
        <v>11232</v>
      </c>
      <c r="F11984" t="s">
        <v>11220</v>
      </c>
      <c r="G11984">
        <v>258</v>
      </c>
      <c r="H11984">
        <v>280.45999999999998</v>
      </c>
      <c r="I11984">
        <v>280.45</v>
      </c>
      <c r="J11984">
        <v>0.01</v>
      </c>
    </row>
    <row r="11985" spans="1:10" x14ac:dyDescent="0.3">
      <c r="A11985" t="str">
        <f>HYPERLINK("https://us2.cloudbeds.com/connect/10074733072513#/reservations/31722788384946?display=MXBBPEK4K&amp;reservation_id=31722788384946", "MXBBPEK4K")</f>
        <v>MXBBPEK4K</v>
      </c>
      <c r="B11985" t="s">
        <v>10</v>
      </c>
      <c r="C11985" t="s">
        <v>42</v>
      </c>
      <c r="D11985" t="str">
        <f>HYPERLINK("https://us2.cloudbeds.com/connect/10074733072513#/reservations/31722788384946?display=Jill%20Anderson&amp;reservation_id=31722788384946&amp;guest_id=31722788384930", "Jill Anderson")</f>
        <v>Jill Anderson</v>
      </c>
      <c r="E11985" t="s">
        <v>11235</v>
      </c>
      <c r="F11985" t="s">
        <v>11236</v>
      </c>
      <c r="G11985">
        <v>109</v>
      </c>
      <c r="H11985">
        <v>118.49</v>
      </c>
      <c r="I11985">
        <v>118.48</v>
      </c>
      <c r="J11985">
        <v>0.01</v>
      </c>
    </row>
    <row r="11986" spans="1:10" x14ac:dyDescent="0.3">
      <c r="A11986" t="str">
        <f>HYPERLINK("https://us2.cloudbeds.com/connect/10074733072513#/reservations/31717070295268?display=MX6UYQB2R&amp;reservation_id=31717070295268", "MX6UYQB2R")</f>
        <v>MX6UYQB2R</v>
      </c>
      <c r="B11986" t="s">
        <v>10</v>
      </c>
      <c r="C11986" t="s">
        <v>23</v>
      </c>
      <c r="D11986" t="str">
        <f>HYPERLINK("https://us2.cloudbeds.com/connect/10074733072513#/reservations/31717070295268?display=Kim%20Wilking&amp;reservation_id=31717070295268&amp;guest_id=31717053624535", "Kim Wilking")</f>
        <v>Kim Wilking</v>
      </c>
      <c r="E11986" t="s">
        <v>11237</v>
      </c>
      <c r="F11986" t="s">
        <v>10250</v>
      </c>
      <c r="G11986">
        <v>378</v>
      </c>
      <c r="H11986">
        <v>410.9</v>
      </c>
      <c r="I11986">
        <v>410.89</v>
      </c>
      <c r="J11986">
        <v>0.01</v>
      </c>
    </row>
    <row r="11987" spans="1:10" x14ac:dyDescent="0.3">
      <c r="A11987" t="str">
        <f>HYPERLINK("https://us2.cloudbeds.com/connect/10074733072513#/reservations/31721398464707?display=MXA98E10G&amp;reservation_id=31721398464707", "MXA98E10G")</f>
        <v>MXA98E10G</v>
      </c>
      <c r="B11987" t="s">
        <v>10</v>
      </c>
      <c r="C11987" t="s">
        <v>23</v>
      </c>
      <c r="D11987" t="str">
        <f>HYPERLINK("https://us2.cloudbeds.com/connect/10074733072513#/reservations/31721398464707?display=Tandy%20Walker&amp;reservation_id=31721398464707&amp;guest_id=31721392283811", "Tandy Walker")</f>
        <v>Tandy Walker</v>
      </c>
      <c r="E11987" t="s">
        <v>11238</v>
      </c>
      <c r="F11987" t="s">
        <v>11234</v>
      </c>
      <c r="G11987">
        <v>139</v>
      </c>
      <c r="H11987">
        <v>151.1</v>
      </c>
      <c r="I11987">
        <v>151.09</v>
      </c>
      <c r="J11987">
        <v>0.01</v>
      </c>
    </row>
    <row r="11988" spans="1:10" x14ac:dyDescent="0.3">
      <c r="A11988" t="str">
        <f>HYPERLINK("https://us2.cloudbeds.com/connect/10074733072513#/reservations/31722582245568?display=MXB6GKC2K&amp;reservation_id=31722582245568", "MXB6GKC2K")</f>
        <v>MXB6GKC2K</v>
      </c>
      <c r="B11988" t="s">
        <v>10</v>
      </c>
      <c r="C11988" t="s">
        <v>23</v>
      </c>
      <c r="D11988" t="str">
        <f>HYPERLINK("https://us2.cloudbeds.com/connect/10074733072513#/reservations/31722582245568?display=Heather%20Fitch&amp;reservation_id=31722582245568&amp;guest_id=31688172773532", "Heather Fitch")</f>
        <v>Heather Fitch</v>
      </c>
      <c r="E11988" t="s">
        <v>5024</v>
      </c>
      <c r="F11988" t="s">
        <v>11220</v>
      </c>
      <c r="G11988">
        <v>129</v>
      </c>
      <c r="H11988">
        <v>140.22999999999999</v>
      </c>
      <c r="I11988">
        <v>140.22</v>
      </c>
      <c r="J11988">
        <v>0.01</v>
      </c>
    </row>
    <row r="11989" spans="1:10" x14ac:dyDescent="0.3">
      <c r="A11989" t="str">
        <f>HYPERLINK("https://us2.cloudbeds.com/connect/10074733072513#/reservations/31723716845707?display=MXC2GBD66&amp;reservation_id=31723716845707", "MXC2GBD66")</f>
        <v>MXC2GBD66</v>
      </c>
      <c r="B11989" t="s">
        <v>10</v>
      </c>
      <c r="C11989" t="s">
        <v>42</v>
      </c>
      <c r="D11989" t="str">
        <f>HYPERLINK("https://us2.cloudbeds.com/connect/10074733072513#/reservations/31723716845707?display=Nick%20Vega&amp;reservation_id=31723716845707&amp;guest_id=31719601733783", "Nick Vega")</f>
        <v>Nick Vega</v>
      </c>
      <c r="E11989" t="s">
        <v>11241</v>
      </c>
      <c r="F11989" t="s">
        <v>11242</v>
      </c>
      <c r="G11989">
        <v>109</v>
      </c>
      <c r="H11989">
        <v>118.49</v>
      </c>
      <c r="I11989">
        <v>118.48</v>
      </c>
      <c r="J11989">
        <v>0.01</v>
      </c>
    </row>
    <row r="11990" spans="1:10" x14ac:dyDescent="0.3">
      <c r="A11990" t="str">
        <f>HYPERLINK("https://us2.cloudbeds.com/connect/10074733072513#/reservations/31718759755988?display=MX87RD2B7&amp;reservation_id=31718759755988", "MX87RD2B7")</f>
        <v>MX87RD2B7</v>
      </c>
      <c r="B11990" t="s">
        <v>10</v>
      </c>
      <c r="C11990" t="s">
        <v>42</v>
      </c>
      <c r="D11990" t="str">
        <f>HYPERLINK("https://us2.cloudbeds.com/connect/10074733072513#/reservations/31718759755988?display=Kasi%20Schneck&amp;reservation_id=31718759755988&amp;guest_id=31718759755983", "Kasi Schneck")</f>
        <v>Kasi Schneck</v>
      </c>
      <c r="E11990" t="s">
        <v>4851</v>
      </c>
      <c r="F11990" t="s">
        <v>11114</v>
      </c>
      <c r="G11990">
        <v>258</v>
      </c>
      <c r="H11990">
        <v>280.45999999999998</v>
      </c>
      <c r="I11990">
        <v>280.45</v>
      </c>
      <c r="J11990">
        <v>0.01</v>
      </c>
    </row>
    <row r="11991" spans="1:10" x14ac:dyDescent="0.3">
      <c r="A11991" t="str">
        <f>HYPERLINK("https://us2.cloudbeds.com/connect/10074733072513#/reservations/31723700793500?display=MXC22QNSM&amp;reservation_id=31723700793500", "MXC22QNSM")</f>
        <v>MXC22QNSM</v>
      </c>
      <c r="B11991" t="s">
        <v>10</v>
      </c>
      <c r="C11991" t="s">
        <v>42</v>
      </c>
      <c r="D11991" t="str">
        <f>HYPERLINK("https://us2.cloudbeds.com/connect/10074733072513#/reservations/31723700793500?display=Thomas%20Gilchrist&amp;reservation_id=31723700793500&amp;guest_id=31723700793495", "Thomas Gilchrist")</f>
        <v>Thomas Gilchrist</v>
      </c>
      <c r="E11991" t="s">
        <v>11244</v>
      </c>
      <c r="F11991" t="s">
        <v>11242</v>
      </c>
      <c r="G11991">
        <v>109</v>
      </c>
      <c r="H11991">
        <v>118.49</v>
      </c>
      <c r="I11991">
        <v>118.48</v>
      </c>
      <c r="J11991">
        <v>0.01</v>
      </c>
    </row>
    <row r="11992" spans="1:10" x14ac:dyDescent="0.3">
      <c r="A11992" t="str">
        <f>HYPERLINK("https://us2.cloudbeds.com/connect/10074733072513#/reservations/31720554455230?display=MX9KMZ7BZ&amp;reservation_id=31720554455230", "MX9KMZ7BZ")</f>
        <v>MX9KMZ7BZ</v>
      </c>
      <c r="B11992" t="s">
        <v>10</v>
      </c>
      <c r="C11992" t="s">
        <v>121</v>
      </c>
      <c r="D11992" t="str">
        <f>HYPERLINK("https://us2.cloudbeds.com/connect/10074733072513#/reservations/31720554455230?display=Darin%20Bowling&amp;reservation_id=31720554455230&amp;guest_id=31720554455225", "Darin Bowling")</f>
        <v>Darin Bowling</v>
      </c>
      <c r="E11992" t="s">
        <v>11245</v>
      </c>
      <c r="F11992" t="s">
        <v>11242</v>
      </c>
      <c r="G11992">
        <v>109</v>
      </c>
      <c r="H11992">
        <v>118.49</v>
      </c>
      <c r="I11992">
        <v>118.48</v>
      </c>
      <c r="J11992">
        <v>0.01</v>
      </c>
    </row>
    <row r="11993" spans="1:10" x14ac:dyDescent="0.3">
      <c r="A11993" t="str">
        <f>HYPERLINK("https://us2.cloudbeds.com/connect/10074733072513#/reservations/31722998870156?display=MXBH4UM5A&amp;reservation_id=31722998870156", "MXBH4UM5A")</f>
        <v>MXBH4UM5A</v>
      </c>
      <c r="B11993" t="s">
        <v>10</v>
      </c>
      <c r="C11993" t="s">
        <v>23</v>
      </c>
      <c r="D11993" t="str">
        <f>HYPERLINK("https://us2.cloudbeds.com/connect/10074733072513#/reservations/31722998870156?display=Michelle%20Bowden&amp;reservation_id=31722998870156&amp;guest_id=31722998866060", "Michelle Bowden")</f>
        <v>Michelle Bowden</v>
      </c>
      <c r="E11993" t="s">
        <v>11246</v>
      </c>
      <c r="F11993" t="s">
        <v>11247</v>
      </c>
      <c r="G11993">
        <v>102.58</v>
      </c>
      <c r="H11993">
        <v>111.51</v>
      </c>
      <c r="I11993">
        <v>111.5</v>
      </c>
      <c r="J11993">
        <v>0.01</v>
      </c>
    </row>
    <row r="11994" spans="1:10" x14ac:dyDescent="0.3">
      <c r="A11994" t="str">
        <f>HYPERLINK("https://us2.cloudbeds.com/connect/10074733072513#/reservations/31720500609237?display=MX9JAASWW&amp;reservation_id=31720500609237", "MX9JAASWW")</f>
        <v>MX9JAASWW</v>
      </c>
      <c r="B11994" t="s">
        <v>10</v>
      </c>
      <c r="C11994" t="s">
        <v>42</v>
      </c>
      <c r="D11994" t="str">
        <f>HYPERLINK("https://us2.cloudbeds.com/connect/10074733072513#/reservations/31720500609237?display=Donald%20Ray%20Landriault&amp;reservation_id=31720500609237&amp;guest_id=31720495116474", "Donald Ray Landriault")</f>
        <v>Donald Ray Landriault</v>
      </c>
      <c r="E11994" t="s">
        <v>11248</v>
      </c>
      <c r="F11994" t="s">
        <v>11249</v>
      </c>
      <c r="G11994">
        <v>73</v>
      </c>
      <c r="H11994">
        <v>79.36</v>
      </c>
      <c r="I11994">
        <v>79.349999999999994</v>
      </c>
      <c r="J11994">
        <v>0.01</v>
      </c>
    </row>
    <row r="11995" spans="1:10" x14ac:dyDescent="0.3">
      <c r="A11995" t="str">
        <f>HYPERLINK("https://us2.cloudbeds.com/connect/10074733072513#/reservations/31724496134364?display=MXCMDF8DW&amp;reservation_id=31724496134364", "MXCMDF8DW")</f>
        <v>MXCMDF8DW</v>
      </c>
      <c r="B11995" t="s">
        <v>10</v>
      </c>
      <c r="C11995" t="s">
        <v>23</v>
      </c>
      <c r="D11995" t="str">
        <f>HYPERLINK("https://us2.cloudbeds.com/connect/10074733072513#/reservations/31724496134364?display=Callie%20Hohn&amp;reservation_id=31724496134364&amp;guest_id=31724496130267", "Callie Hohn")</f>
        <v>Callie Hohn</v>
      </c>
      <c r="E11995" t="s">
        <v>11250</v>
      </c>
      <c r="F11995" t="s">
        <v>11183</v>
      </c>
      <c r="G11995">
        <v>119</v>
      </c>
      <c r="H11995">
        <v>129.36000000000001</v>
      </c>
      <c r="I11995">
        <v>129.35</v>
      </c>
      <c r="J11995">
        <v>0.01</v>
      </c>
    </row>
    <row r="11996" spans="1:10" x14ac:dyDescent="0.3">
      <c r="A11996" t="str">
        <f>HYPERLINK("https://us2.cloudbeds.com/connect/10074733072513#/reservations/31718675259605?display=MX85M4RHP&amp;reservation_id=31718675259605", "MX85M4RHP")</f>
        <v>MX85M4RHP</v>
      </c>
      <c r="B11996" t="s">
        <v>10</v>
      </c>
      <c r="C11996" t="s">
        <v>42</v>
      </c>
      <c r="D11996" t="str">
        <f>HYPERLINK("https://us2.cloudbeds.com/connect/10074733072513#/reservations/31718675259605?display=Jason%20Jeffers&amp;reservation_id=31718675259605&amp;guest_id=31718667776185", "Jason Jeffers")</f>
        <v>Jason Jeffers</v>
      </c>
      <c r="E11996" t="s">
        <v>11252</v>
      </c>
      <c r="F11996" t="s">
        <v>11044</v>
      </c>
      <c r="G11996">
        <v>298</v>
      </c>
      <c r="H11996">
        <v>323.94</v>
      </c>
      <c r="I11996">
        <v>323.93</v>
      </c>
      <c r="J11996">
        <v>0.01</v>
      </c>
    </row>
    <row r="11997" spans="1:10" x14ac:dyDescent="0.3">
      <c r="A11997" t="str">
        <f>HYPERLINK("https://us2.cloudbeds.com/connect/10074733072513#/reservations/31720534180084?display=MX9K5Y17C&amp;reservation_id=31720534180084", "MX9K5Y17C")</f>
        <v>MX9K5Y17C</v>
      </c>
      <c r="B11997" t="s">
        <v>10</v>
      </c>
      <c r="C11997" t="s">
        <v>42</v>
      </c>
      <c r="D11997" t="str">
        <f>HYPERLINK("https://us2.cloudbeds.com/connect/10074733072513#/reservations/31720534180084?display=Nick%20Vega&amp;reservation_id=31720534180084&amp;guest_id=31719601733783", "Nick Vega")</f>
        <v>Nick Vega</v>
      </c>
      <c r="E11997" t="s">
        <v>11241</v>
      </c>
      <c r="F11997" t="s">
        <v>11249</v>
      </c>
      <c r="G11997">
        <v>109</v>
      </c>
      <c r="H11997">
        <v>118.49</v>
      </c>
      <c r="I11997">
        <v>118.48</v>
      </c>
      <c r="J11997">
        <v>0.01</v>
      </c>
    </row>
    <row r="11998" spans="1:10" x14ac:dyDescent="0.3">
      <c r="A11998" t="str">
        <f>HYPERLINK("https://us2.cloudbeds.com/connect/10074733072513#/reservations/31720475676865?display=MX9XMA38X&amp;reservation_id=31720475676865", "MX9XMA38X")</f>
        <v>MX9XMA38X</v>
      </c>
      <c r="B11998" t="s">
        <v>10</v>
      </c>
      <c r="C11998" t="s">
        <v>23</v>
      </c>
      <c r="D11998" t="str">
        <f>HYPERLINK("https://us2.cloudbeds.com/connect/10074733072513#/reservations/31720475676865?display=Craig%20Turner&amp;reservation_id=31720475676865&amp;guest_id=31720475672780", "Craig Turner")</f>
        <v>Craig Turner</v>
      </c>
      <c r="E11998" t="s">
        <v>11253</v>
      </c>
      <c r="F11998" t="s">
        <v>11249</v>
      </c>
      <c r="G11998">
        <v>87.82</v>
      </c>
      <c r="H11998">
        <v>95.47</v>
      </c>
      <c r="I11998">
        <v>95.46</v>
      </c>
      <c r="J11998">
        <v>0.01</v>
      </c>
    </row>
    <row r="11999" spans="1:10" x14ac:dyDescent="0.3">
      <c r="A11999" t="str">
        <f>HYPERLINK("https://us2.cloudbeds.com/connect/10074733072513#/reservations/31721977372857?display=MXAZ1J03N&amp;reservation_id=31721977372857", "MXAZ1J03N")</f>
        <v>MXAZ1J03N</v>
      </c>
      <c r="B11999" t="s">
        <v>10</v>
      </c>
      <c r="C11999" t="s">
        <v>23</v>
      </c>
      <c r="D11999" t="str">
        <f>HYPERLINK("https://us2.cloudbeds.com/connect/10074733072513#/reservations/31721977372857?display=Michelle%20Hohn&amp;reservation_id=31721977372857&amp;guest_id=31721977372804", "Michelle Hohn")</f>
        <v>Michelle Hohn</v>
      </c>
      <c r="E11999" t="s">
        <v>11254</v>
      </c>
      <c r="F11999" t="s">
        <v>11183</v>
      </c>
      <c r="G11999">
        <v>139</v>
      </c>
      <c r="H11999">
        <v>151.1</v>
      </c>
      <c r="I11999">
        <v>151.09</v>
      </c>
      <c r="J11999">
        <v>0.01</v>
      </c>
    </row>
    <row r="12000" spans="1:10" x14ac:dyDescent="0.3">
      <c r="A12000" t="str">
        <f>HYPERLINK("https://us2.cloudbeds.com/connect/10074733072513#/reservations/31723006505191?display=MXBHBC470&amp;reservation_id=31723006505191", "MXBHBC470")</f>
        <v>MXBHBC470</v>
      </c>
      <c r="B12000" t="s">
        <v>10</v>
      </c>
      <c r="C12000" t="s">
        <v>23</v>
      </c>
      <c r="D12000" t="str">
        <f>HYPERLINK("https://us2.cloudbeds.com/connect/10074733072513#/reservations/31723006505191?display=Michelle%20Bowden&amp;reservation_id=31723006505191&amp;guest_id=31723006505189", "Michelle Bowden")</f>
        <v>Michelle Bowden</v>
      </c>
      <c r="E12000" t="s">
        <v>11255</v>
      </c>
      <c r="F12000" t="s">
        <v>11247</v>
      </c>
      <c r="G12000">
        <v>102.58</v>
      </c>
      <c r="H12000">
        <v>111.51</v>
      </c>
      <c r="I12000">
        <v>111.5</v>
      </c>
      <c r="J12000">
        <v>0.01</v>
      </c>
    </row>
    <row r="12001" spans="1:10" x14ac:dyDescent="0.3">
      <c r="A12001" t="str">
        <f>HYPERLINK("https://us2.cloudbeds.com/connect/10074733072513#/reservations/31719195955378?display=MX8XW6VZX&amp;reservation_id=31719195955378", "MX8XW6VZX")</f>
        <v>MX8XW6VZX</v>
      </c>
      <c r="B12001" t="s">
        <v>10</v>
      </c>
      <c r="C12001" t="s">
        <v>121</v>
      </c>
      <c r="D12001" t="str">
        <f>HYPERLINK("https://us2.cloudbeds.com/connect/10074733072513#/reservations/31719195955378?display=Jenna%20Ann%20Magalsky&amp;reservation_id=31719195955378&amp;guest_id=31719195955374", "Jenna Ann Magalsky")</f>
        <v>Jenna Ann Magalsky</v>
      </c>
      <c r="E12001" t="s">
        <v>11263</v>
      </c>
      <c r="F12001" t="s">
        <v>11249</v>
      </c>
      <c r="G12001">
        <v>139</v>
      </c>
      <c r="H12001">
        <v>151.1</v>
      </c>
      <c r="I12001">
        <v>151.09</v>
      </c>
      <c r="J12001">
        <v>0.01</v>
      </c>
    </row>
    <row r="12002" spans="1:10" x14ac:dyDescent="0.3">
      <c r="A12002" t="str">
        <f>HYPERLINK("https://us2.cloudbeds.com/connect/10074733072513#/reservations/31720545550561?display=MX9KF7EE9&amp;reservation_id=31720545550561", "MX9KF7EE9")</f>
        <v>MX9KF7EE9</v>
      </c>
      <c r="B12002" t="s">
        <v>10</v>
      </c>
      <c r="C12002" t="s">
        <v>121</v>
      </c>
      <c r="D12002" t="str">
        <f>HYPERLINK("https://us2.cloudbeds.com/connect/10074733072513#/reservations/31720545550561?display=Stacy%20Heimenz&amp;reservation_id=31720545550561&amp;guest_id=31720545546465", "Stacy Heimenz")</f>
        <v>Stacy Heimenz</v>
      </c>
      <c r="E12002" t="s">
        <v>11264</v>
      </c>
      <c r="F12002" t="s">
        <v>11249</v>
      </c>
      <c r="G12002">
        <v>119</v>
      </c>
      <c r="H12002">
        <v>129.36000000000001</v>
      </c>
      <c r="I12002">
        <v>129.35</v>
      </c>
      <c r="J12002">
        <v>0.01</v>
      </c>
    </row>
    <row r="12003" spans="1:10" x14ac:dyDescent="0.3">
      <c r="A12003" t="str">
        <f>HYPERLINK("https://us2.cloudbeds.com/connect/10074733072513#/reservations/31719172579569?display=MX8XCGGBN&amp;reservation_id=31719172579569", "MX8XCGGBN")</f>
        <v>MX8XCGGBN</v>
      </c>
      <c r="B12003" t="s">
        <v>10</v>
      </c>
      <c r="C12003" t="s">
        <v>42</v>
      </c>
      <c r="D12003" t="str">
        <f>HYPERLINK("https://us2.cloudbeds.com/connect/10074733072513#/reservations/31719172579569?display=Ryan%20Maurer&amp;reservation_id=31719172579569&amp;guest_id=31719172579564", "Ryan Maurer")</f>
        <v>Ryan Maurer</v>
      </c>
      <c r="E12003" t="s">
        <v>4067</v>
      </c>
      <c r="F12003" t="s">
        <v>11266</v>
      </c>
      <c r="G12003">
        <v>73</v>
      </c>
      <c r="H12003">
        <v>79.36</v>
      </c>
      <c r="I12003">
        <v>79.349999999999994</v>
      </c>
      <c r="J12003">
        <v>0.01</v>
      </c>
    </row>
    <row r="12004" spans="1:10" x14ac:dyDescent="0.3">
      <c r="A12004" t="str">
        <f>HYPERLINK("https://us2.cloudbeds.com/connect/10074733072513#/reservations/31722534719662?display=MXB59HWWR&amp;reservation_id=31722534719662", "MXB59HWWR")</f>
        <v>MXB59HWWR</v>
      </c>
      <c r="B12004" t="s">
        <v>10</v>
      </c>
      <c r="C12004" t="s">
        <v>23</v>
      </c>
      <c r="D12004" t="str">
        <f>HYPERLINK("https://us2.cloudbeds.com/connect/10074733072513#/reservations/31722534719662?display=Jennie%20Berczyk&amp;reservation_id=31722534719662&amp;guest_id=31719463112861", "Jennie Berczyk")</f>
        <v>Jennie Berczyk</v>
      </c>
      <c r="E12004" t="s">
        <v>11267</v>
      </c>
      <c r="F12004" t="s">
        <v>11266</v>
      </c>
      <c r="G12004">
        <v>99</v>
      </c>
      <c r="H12004">
        <v>107.62</v>
      </c>
      <c r="I12004">
        <v>107.61</v>
      </c>
      <c r="J12004">
        <v>0.01</v>
      </c>
    </row>
    <row r="12005" spans="1:10" x14ac:dyDescent="0.3">
      <c r="A12005" t="str">
        <f>HYPERLINK("https://us2.cloudbeds.com/connect/10074733072513#/reservations/31721392279709?display=MXA936UGA&amp;reservation_id=31721392279709", "MXA936UGA")</f>
        <v>MXA936UGA</v>
      </c>
      <c r="B12005" t="s">
        <v>10</v>
      </c>
      <c r="C12005" t="s">
        <v>42</v>
      </c>
      <c r="D12005" t="str">
        <f>HYPERLINK("https://us2.cloudbeds.com/connect/10074733072513#/reservations/31721392279709?display=Willy%20Dealacruz&amp;reservation_id=31721392279709&amp;guest_id=31721377521799", "Willy Dealacruz")</f>
        <v>Willy Dealacruz</v>
      </c>
      <c r="E12005" t="s">
        <v>11269</v>
      </c>
      <c r="F12005" t="s">
        <v>11234</v>
      </c>
      <c r="G12005">
        <v>73</v>
      </c>
      <c r="H12005">
        <v>79.36</v>
      </c>
      <c r="I12005">
        <v>79.349999999999994</v>
      </c>
      <c r="J12005">
        <v>0.01</v>
      </c>
    </row>
    <row r="12006" spans="1:10" x14ac:dyDescent="0.3">
      <c r="A12006" t="str">
        <f>HYPERLINK("https://us2.cloudbeds.com/connect/10074733072513#/reservations/31721353646214?display=MXA83KTCB&amp;reservation_id=31721353646214", "MXA83KTCB")</f>
        <v>MXA83KTCB</v>
      </c>
      <c r="B12006" t="s">
        <v>10</v>
      </c>
      <c r="C12006" t="s">
        <v>121</v>
      </c>
      <c r="D12006" t="str">
        <f>HYPERLINK("https://us2.cloudbeds.com/connect/10074733072513#/reservations/31721353646214?display=Sara%20Spisak&amp;reservation_id=31721353646214&amp;guest_id=31721353642167", "Sara Spisak")</f>
        <v>Sara Spisak</v>
      </c>
      <c r="E12006" t="s">
        <v>11270</v>
      </c>
      <c r="F12006" t="s">
        <v>11234</v>
      </c>
      <c r="G12006">
        <v>150</v>
      </c>
      <c r="H12006">
        <v>163.06</v>
      </c>
      <c r="I12006">
        <v>163.05000000000001</v>
      </c>
      <c r="J12006">
        <v>0.01</v>
      </c>
    </row>
    <row r="12007" spans="1:10" x14ac:dyDescent="0.3">
      <c r="A12007" t="str">
        <f>HYPERLINK("https://us2.cloudbeds.com/connect/10074733072513#/reservations/31719601737877?display=MX8TBCF3U&amp;reservation_id=31719601737877", "MX8TBCF3U")</f>
        <v>MX8TBCF3U</v>
      </c>
      <c r="B12007" t="s">
        <v>10</v>
      </c>
      <c r="C12007" t="s">
        <v>42</v>
      </c>
      <c r="D12007" t="str">
        <f>HYPERLINK("https://us2.cloudbeds.com/connect/10074733072513#/reservations/31719601737877?display=Nick%20Vega&amp;reservation_id=31719601737877&amp;guest_id=31719601733783", "Nick Vega")</f>
        <v>Nick Vega</v>
      </c>
      <c r="E12007" t="s">
        <v>11241</v>
      </c>
      <c r="F12007" t="s">
        <v>11272</v>
      </c>
      <c r="G12007">
        <v>420</v>
      </c>
      <c r="H12007">
        <v>456.55</v>
      </c>
      <c r="I12007">
        <v>456.54</v>
      </c>
      <c r="J12007">
        <v>0.01</v>
      </c>
    </row>
    <row r="12008" spans="1:10" x14ac:dyDescent="0.3">
      <c r="A12008" t="str">
        <f>HYPERLINK("https://us2.cloudbeds.com/connect/10074733072513#/reservations/31719576817816?display=MX8SNC0MX&amp;reservation_id=31719576817816", "MX8SNC0MX")</f>
        <v>MX8SNC0MX</v>
      </c>
      <c r="B12008" t="s">
        <v>10</v>
      </c>
      <c r="C12008" t="s">
        <v>42</v>
      </c>
      <c r="D12008" t="str">
        <f>HYPERLINK("https://us2.cloudbeds.com/connect/10074733072513#/reservations/31719576817816?display=Matt%20Watson&amp;reservation_id=31719576817816&amp;guest_id=31719576817813", "Matt Watson")</f>
        <v>Matt Watson</v>
      </c>
      <c r="E12008" t="s">
        <v>10273</v>
      </c>
      <c r="F12008" t="s">
        <v>11272</v>
      </c>
      <c r="G12008">
        <v>109</v>
      </c>
      <c r="H12008">
        <v>118.49</v>
      </c>
      <c r="I12008">
        <v>118.48</v>
      </c>
      <c r="J12008">
        <v>0.01</v>
      </c>
    </row>
    <row r="12009" spans="1:10" x14ac:dyDescent="0.3">
      <c r="A12009" t="str">
        <f>HYPERLINK("https://us2.cloudbeds.com/connect/10074733072513#/reservations/31722516471942?display=MXB4R57JK&amp;reservation_id=31722516471942", "MXB4R57JK")</f>
        <v>MXB4R57JK</v>
      </c>
      <c r="B12009" t="s">
        <v>10</v>
      </c>
      <c r="C12009" t="s">
        <v>42</v>
      </c>
      <c r="D12009" t="str">
        <f>HYPERLINK("https://us2.cloudbeds.com/connect/10074733072513#/reservations/31722516471942?display=Dustin%20Hiriarte&amp;reservation_id=31722516471942&amp;guest_id=31722507374767", "Dustin Hiriarte")</f>
        <v>Dustin Hiriarte</v>
      </c>
      <c r="E12009" t="s">
        <v>11275</v>
      </c>
      <c r="F12009" t="s">
        <v>11266</v>
      </c>
      <c r="G12009">
        <v>73</v>
      </c>
      <c r="H12009">
        <v>79.36</v>
      </c>
      <c r="I12009">
        <v>79.349999999999994</v>
      </c>
      <c r="J12009">
        <v>0.01</v>
      </c>
    </row>
    <row r="12010" spans="1:10" x14ac:dyDescent="0.3">
      <c r="A12010" t="str">
        <f>HYPERLINK("https://us2.cloudbeds.com/connect/10074733072513#/reservations/31719188099278?display=MX8XPJBMU&amp;reservation_id=31719188099278", "MX8XPJBMU")</f>
        <v>MX8XPJBMU</v>
      </c>
      <c r="B12010" t="s">
        <v>10</v>
      </c>
      <c r="C12010" t="s">
        <v>121</v>
      </c>
      <c r="D12010" t="str">
        <f>HYPERLINK("https://us2.cloudbeds.com/connect/10074733072513#/reservations/31719188099278?display=Jennifer%20Issendorf&amp;reservation_id=31719188099278&amp;guest_id=31719188095197", "Jennifer Issendorf")</f>
        <v>Jennifer Issendorf</v>
      </c>
      <c r="E12010" t="s">
        <v>11278</v>
      </c>
      <c r="F12010" t="s">
        <v>11266</v>
      </c>
      <c r="G12010">
        <v>99</v>
      </c>
      <c r="H12010">
        <v>107.62</v>
      </c>
      <c r="I12010">
        <v>107.61</v>
      </c>
      <c r="J12010">
        <v>0.01</v>
      </c>
    </row>
    <row r="12011" spans="1:10" x14ac:dyDescent="0.3">
      <c r="A12011" t="str">
        <f>HYPERLINK("https://us2.cloudbeds.com/connect/10074733072513#/reservations/31722440216792?display=MXB2SSAGG&amp;reservation_id=31722440216792", "MXB2SSAGG")</f>
        <v>MXB2SSAGG</v>
      </c>
      <c r="B12011" t="s">
        <v>10</v>
      </c>
      <c r="C12011" t="s">
        <v>42</v>
      </c>
      <c r="D12011" t="str">
        <f>HYPERLINK("https://us2.cloudbeds.com/connect/10074733072513#/reservations/31722440216792?display=Jennifer%20Issendorf&amp;reservation_id=31722440216792&amp;guest_id=31719539122316", "Jennifer Issendorf")</f>
        <v>Jennifer Issendorf</v>
      </c>
      <c r="E12011" t="s">
        <v>11278</v>
      </c>
      <c r="F12011" t="s">
        <v>11234</v>
      </c>
      <c r="G12011">
        <v>119</v>
      </c>
      <c r="H12011">
        <v>129.36000000000001</v>
      </c>
      <c r="I12011">
        <v>129.35</v>
      </c>
      <c r="J12011">
        <v>0.01</v>
      </c>
    </row>
    <row r="12012" spans="1:10" x14ac:dyDescent="0.3">
      <c r="A12012" t="str">
        <f>HYPERLINK("https://us2.cloudbeds.com/connect/10074733072513#/reservations/31723148943562?display=MXBKWFMK9&amp;reservation_id=31723148943562", "MXBKWFMK9")</f>
        <v>MXBKWFMK9</v>
      </c>
      <c r="B12012" t="s">
        <v>10</v>
      </c>
      <c r="C12012" t="s">
        <v>42</v>
      </c>
      <c r="D12012" t="str">
        <f>HYPERLINK("https://us2.cloudbeds.com/connect/10074733072513#/reservations/31723148943562?display=Craig%20Pederson&amp;reservation_id=31723148943562&amp;guest_id=31723148939469", "Craig Pederson")</f>
        <v>Craig Pederson</v>
      </c>
      <c r="E12012" t="s">
        <v>11279</v>
      </c>
      <c r="F12012" t="s">
        <v>11259</v>
      </c>
      <c r="G12012">
        <v>178</v>
      </c>
      <c r="H12012">
        <v>193.5</v>
      </c>
      <c r="I12012">
        <v>193.49</v>
      </c>
      <c r="J12012">
        <v>0.01</v>
      </c>
    </row>
    <row r="12013" spans="1:10" x14ac:dyDescent="0.3">
      <c r="A12013" t="str">
        <f>HYPERLINK("https://us2.cloudbeds.com/connect/10074733072513#/reservations/31715808112804?display=MX5VDG86C&amp;reservation_id=31715808112804", "MX5VDG86C")</f>
        <v>MX5VDG86C</v>
      </c>
      <c r="B12013" t="s">
        <v>10</v>
      </c>
      <c r="C12013" t="s">
        <v>42</v>
      </c>
      <c r="D12013" t="str">
        <f>HYPERLINK("https://us2.cloudbeds.com/connect/10074733072513#/reservations/31715808112804?display=Zoe%20Benson&amp;reservation_id=31715808112804&amp;guest_id=31715796447431", "Zoe Benson")</f>
        <v>Zoe Benson</v>
      </c>
      <c r="E12013" t="s">
        <v>11280</v>
      </c>
      <c r="F12013" t="s">
        <v>11281</v>
      </c>
      <c r="G12013">
        <v>318</v>
      </c>
      <c r="H12013">
        <v>345.68</v>
      </c>
      <c r="I12013">
        <v>345.67</v>
      </c>
      <c r="J12013">
        <v>0.01</v>
      </c>
    </row>
    <row r="12014" spans="1:10" x14ac:dyDescent="0.3">
      <c r="A12014" t="str">
        <f>HYPERLINK("https://us2.cloudbeds.com/connect/10074733072513#/reservations/31715823698131?display=MX5VQKUQ0&amp;reservation_id=31715823698131", "MX5VQKUQ0")</f>
        <v>MX5VQKUQ0</v>
      </c>
      <c r="B12014" t="s">
        <v>10</v>
      </c>
      <c r="C12014" t="s">
        <v>42</v>
      </c>
      <c r="D12014" t="str">
        <f>HYPERLINK("https://us2.cloudbeds.com/connect/10074733072513#/reservations/31715823698131?display=Zoe%20Benson&amp;reservation_id=31715823698131&amp;guest_id=31715796447431", "Zoe Benson")</f>
        <v>Zoe Benson</v>
      </c>
      <c r="E12014" t="s">
        <v>11280</v>
      </c>
      <c r="F12014" t="s">
        <v>11281</v>
      </c>
      <c r="G12014">
        <v>159</v>
      </c>
      <c r="H12014">
        <v>172.84</v>
      </c>
      <c r="I12014">
        <v>172.83</v>
      </c>
      <c r="J12014">
        <v>0.01</v>
      </c>
    </row>
    <row r="12015" spans="1:10" x14ac:dyDescent="0.3">
      <c r="A12015" t="str">
        <f>HYPERLINK("https://us2.cloudbeds.com/connect/10074733072513#/reservations/31724171825401?display=MXCE3WT1Y&amp;reservation_id=31724171825401", "MXCE3WT1Y")</f>
        <v>MXCE3WT1Y</v>
      </c>
      <c r="B12015" t="s">
        <v>10</v>
      </c>
      <c r="C12015" t="s">
        <v>42</v>
      </c>
      <c r="D12015" t="str">
        <f>HYPERLINK("https://us2.cloudbeds.com/connect/10074733072513#/reservations/31724171825401?display=Jason%20Hetterley&amp;reservation_id=31724171825401&amp;guest_id=31724171825399", "Jason Hetterley")</f>
        <v>Jason Hetterley</v>
      </c>
      <c r="E12015" t="s">
        <v>11282</v>
      </c>
      <c r="F12015" t="s">
        <v>11283</v>
      </c>
      <c r="G12015">
        <v>420</v>
      </c>
      <c r="H12015">
        <v>456.55</v>
      </c>
      <c r="I12015">
        <v>456.54</v>
      </c>
      <c r="J12015">
        <v>0.01</v>
      </c>
    </row>
    <row r="12016" spans="1:10" x14ac:dyDescent="0.3">
      <c r="A12016" t="str">
        <f>HYPERLINK("https://us2.cloudbeds.com/connect/10074733072513#/reservations/31722316730520?display=MXAWNZ4A8&amp;reservation_id=31722316730520", "MXAWNZ4A8")</f>
        <v>MXAWNZ4A8</v>
      </c>
      <c r="B12016" t="s">
        <v>10</v>
      </c>
      <c r="C12016" t="s">
        <v>23</v>
      </c>
      <c r="D12016" t="str">
        <f>HYPERLINK("https://us2.cloudbeds.com/connect/10074733072513#/reservations/31722316730520?display=Rebecca%20Hunter&amp;reservation_id=31722316730520&amp;guest_id=31722306781435", "Rebecca Hunter")</f>
        <v>Rebecca Hunter</v>
      </c>
      <c r="E12016" t="s">
        <v>11284</v>
      </c>
      <c r="F12016" t="s">
        <v>11230</v>
      </c>
      <c r="G12016">
        <v>195.48</v>
      </c>
      <c r="H12016">
        <v>212.5</v>
      </c>
      <c r="I12016">
        <v>212.49</v>
      </c>
      <c r="J12016">
        <v>0.01</v>
      </c>
    </row>
    <row r="12017" spans="1:10" x14ac:dyDescent="0.3">
      <c r="A12017" t="str">
        <f>HYPERLINK("https://us2.cloudbeds.com/connect/10074733072513#/reservations/31719166468298?display=MX8X7BEHM&amp;reservation_id=31719166468298", "MX8X7BEHM")</f>
        <v>MX8X7BEHM</v>
      </c>
      <c r="B12017" t="s">
        <v>10</v>
      </c>
      <c r="C12017" t="s">
        <v>23</v>
      </c>
      <c r="D12017" t="str">
        <f>HYPERLINK("https://us2.cloudbeds.com/connect/10074733072513#/reservations/31719166468298?display=Clay%20Caudill&amp;reservation_id=31719166468298&amp;guest_id=31719166468294", "Clay Caudill")</f>
        <v>Clay Caudill</v>
      </c>
      <c r="E12017" t="s">
        <v>9884</v>
      </c>
      <c r="F12017" t="s">
        <v>11200</v>
      </c>
      <c r="G12017">
        <v>139</v>
      </c>
      <c r="H12017">
        <v>151.1</v>
      </c>
      <c r="I12017">
        <v>151.09</v>
      </c>
      <c r="J12017">
        <v>0.01</v>
      </c>
    </row>
    <row r="12018" spans="1:10" x14ac:dyDescent="0.3">
      <c r="A12018" t="str">
        <f>HYPERLINK("https://us2.cloudbeds.com/connect/10074733072513#/reservations/31719199760529?display=MX8J2DRU5&amp;reservation_id=31719199760529", "MX8J2DRU5")</f>
        <v>MX8J2DRU5</v>
      </c>
      <c r="B12018" t="s">
        <v>10</v>
      </c>
      <c r="C12018" t="s">
        <v>23</v>
      </c>
      <c r="D12018" t="str">
        <f>HYPERLINK("https://us2.cloudbeds.com/connect/10074733072513#/reservations/31719199760529?display=Daniel%20Waldner&amp;reservation_id=31719199760529&amp;guest_id=31719199760525", "Daniel Waldner")</f>
        <v>Daniel Waldner</v>
      </c>
      <c r="E12018" t="s">
        <v>11286</v>
      </c>
      <c r="F12018" t="s">
        <v>11200</v>
      </c>
      <c r="G12018">
        <v>129</v>
      </c>
      <c r="H12018">
        <v>140.22999999999999</v>
      </c>
      <c r="I12018">
        <v>140.22</v>
      </c>
      <c r="J12018">
        <v>0.01</v>
      </c>
    </row>
    <row r="12019" spans="1:10" x14ac:dyDescent="0.3">
      <c r="A12019" t="str">
        <f>HYPERLINK("https://us2.cloudbeds.com/connect/10074733072513#/reservations/31720250400964?display=MX9CUBFB3&amp;reservation_id=31720250400964", "MX9CUBFB3")</f>
        <v>MX9CUBFB3</v>
      </c>
      <c r="B12019" t="s">
        <v>10</v>
      </c>
      <c r="C12019" t="s">
        <v>23</v>
      </c>
      <c r="D12019" t="str">
        <f>HYPERLINK("https://us2.cloudbeds.com/connect/10074733072513#/reservations/31720250400964?display=Skyler%20Counteran&amp;reservation_id=31720250400964&amp;guest_id=31720242102435", "Skyler Counteran")</f>
        <v>Skyler Counteran</v>
      </c>
      <c r="E12019" t="s">
        <v>11287</v>
      </c>
      <c r="F12019" t="s">
        <v>11288</v>
      </c>
      <c r="G12019">
        <v>129</v>
      </c>
      <c r="H12019">
        <v>140.22999999999999</v>
      </c>
      <c r="I12019">
        <v>140.22</v>
      </c>
      <c r="J12019">
        <v>0.01</v>
      </c>
    </row>
    <row r="12020" spans="1:10" x14ac:dyDescent="0.3">
      <c r="A12020" t="str">
        <f>HYPERLINK("https://us2.cloudbeds.com/connect/10074733072513#/reservations/31719209980145?display=MX8JB17AG&amp;reservation_id=31719209980145", "MX8JB17AG")</f>
        <v>MX8JB17AG</v>
      </c>
      <c r="B12020" t="s">
        <v>10</v>
      </c>
      <c r="C12020" t="s">
        <v>23</v>
      </c>
      <c r="D12020" t="str">
        <f>HYPERLINK("https://us2.cloudbeds.com/connect/10074733072513#/reservations/31719209980145?display=Skyler%20Counterman&amp;reservation_id=31719209980145&amp;guest_id=31719209980121", "Skyler Counterman")</f>
        <v>Skyler Counterman</v>
      </c>
      <c r="E12020" t="s">
        <v>11290</v>
      </c>
      <c r="F12020" t="s">
        <v>11200</v>
      </c>
      <c r="G12020">
        <v>129</v>
      </c>
      <c r="H12020">
        <v>140.22999999999999</v>
      </c>
      <c r="I12020">
        <v>140.22</v>
      </c>
      <c r="J12020">
        <v>0.01</v>
      </c>
    </row>
    <row r="12021" spans="1:10" x14ac:dyDescent="0.3">
      <c r="A12021" t="str">
        <f>HYPERLINK("https://us2.cloudbeds.com/connect/10074733072513#/reservations/31719070818504?display=MX8FPMRS2&amp;reservation_id=31719070818504", "MX8FPMRS2")</f>
        <v>MX8FPMRS2</v>
      </c>
      <c r="B12021" t="s">
        <v>10</v>
      </c>
      <c r="C12021" t="s">
        <v>42</v>
      </c>
      <c r="D12021" t="str">
        <f>HYPERLINK("https://us2.cloudbeds.com/connect/10074733072513#/reservations/31719070818504?display=Dustin%20Vabeek%20Llc&amp;reservation_id=31719070818504&amp;guest_id=31719070814409", "Dustin Vabeek Llc")</f>
        <v>Dustin Vabeek Llc</v>
      </c>
      <c r="E12021" t="s">
        <v>11291</v>
      </c>
      <c r="F12021" t="s">
        <v>11272</v>
      </c>
      <c r="G12021">
        <v>99</v>
      </c>
      <c r="H12021">
        <v>107.62</v>
      </c>
      <c r="I12021">
        <v>107.61</v>
      </c>
      <c r="J12021">
        <v>0.01</v>
      </c>
    </row>
    <row r="12022" spans="1:10" x14ac:dyDescent="0.3">
      <c r="A12022" t="str">
        <f>HYPERLINK("https://us2.cloudbeds.com/connect/10074733072513#/reservations/31723214635227?display=MXBMYSYHQ&amp;reservation_id=31723214635227", "MXBMYSYHQ")</f>
        <v>MXBMYSYHQ</v>
      </c>
      <c r="B12022" t="s">
        <v>10</v>
      </c>
      <c r="C12022" t="s">
        <v>23</v>
      </c>
      <c r="D12022" t="str">
        <f>HYPERLINK("https://us2.cloudbeds.com/connect/10074733072513#/reservations/31723214635227?display=Craig%20Valone&amp;reservation_id=31723214635227&amp;guest_id=31723204739263", "Craig Valone")</f>
        <v>Craig Valone</v>
      </c>
      <c r="E12022" t="s">
        <v>11292</v>
      </c>
      <c r="F12022" t="s">
        <v>11293</v>
      </c>
      <c r="G12022">
        <v>219.92</v>
      </c>
      <c r="H12022">
        <v>239.06</v>
      </c>
      <c r="I12022">
        <v>239.05</v>
      </c>
      <c r="J12022">
        <v>0.01</v>
      </c>
    </row>
    <row r="12023" spans="1:10" x14ac:dyDescent="0.3">
      <c r="A12023" t="str">
        <f>HYPERLINK("https://us2.cloudbeds.com/connect/10074733072513#/reservations/31724207308947?display=MXCF0U8YK&amp;reservation_id=31724207308947", "MXCF0U8YK")</f>
        <v>MXCF0U8YK</v>
      </c>
      <c r="B12023" t="s">
        <v>10</v>
      </c>
      <c r="C12023" t="s">
        <v>121</v>
      </c>
      <c r="D12023" t="str">
        <f>HYPERLINK("https://us2.cloudbeds.com/connect/10074733072513#/reservations/31724207308947?display=Yulier%20Failde%20Lugo&amp;reservation_id=31724207308947&amp;guest_id=31724207304853", "Yulier Failde Lugo")</f>
        <v>Yulier Failde Lugo</v>
      </c>
      <c r="E12023" t="s">
        <v>11294</v>
      </c>
      <c r="F12023" t="s">
        <v>11283</v>
      </c>
      <c r="G12023">
        <v>198</v>
      </c>
      <c r="H12023">
        <v>215.24</v>
      </c>
      <c r="I12023">
        <v>215.23</v>
      </c>
      <c r="J12023">
        <v>0.01</v>
      </c>
    </row>
    <row r="12024" spans="1:10" x14ac:dyDescent="0.3">
      <c r="A12024" t="str">
        <f>HYPERLINK("https://us2.cloudbeds.com/connect/10074733072513#/reservations/31723121623186?display=MXBK9EF13&amp;reservation_id=31723121623186", "MXBK9EF13")</f>
        <v>MXBK9EF13</v>
      </c>
      <c r="B12024" t="s">
        <v>10</v>
      </c>
      <c r="C12024" t="s">
        <v>23</v>
      </c>
      <c r="D12024" t="str">
        <f>HYPERLINK("https://us2.cloudbeds.com/connect/10074733072513#/reservations/31723121623186?display=Matthew%20Miller&amp;reservation_id=31723121623186&amp;guest_id=31723121619105", "Matthew Miller")</f>
        <v>Matthew Miller</v>
      </c>
      <c r="E12024" t="s">
        <v>11295</v>
      </c>
      <c r="F12024" t="s">
        <v>11259</v>
      </c>
      <c r="G12024">
        <v>99</v>
      </c>
      <c r="H12024">
        <v>107.62</v>
      </c>
      <c r="I12024">
        <v>107.61</v>
      </c>
      <c r="J12024">
        <v>0.01</v>
      </c>
    </row>
    <row r="12025" spans="1:10" x14ac:dyDescent="0.3">
      <c r="A12025" t="str">
        <f>HYPERLINK("https://us2.cloudbeds.com/connect/10074733072513#/reservations/31718501363907?display=MX817GUN5&amp;reservation_id=31718501363907", "MX817GUN5")</f>
        <v>MX817GUN5</v>
      </c>
      <c r="B12025" t="s">
        <v>10</v>
      </c>
      <c r="C12025" t="s">
        <v>42</v>
      </c>
      <c r="D12025" t="str">
        <f>HYPERLINK("https://us2.cloudbeds.com/connect/10074733072513#/reservations/31718501363907?display=Tasha%20Krohmer&amp;reservation_id=31718501363907&amp;guest_id=31718501363905", "Tasha Krohmer")</f>
        <v>Tasha Krohmer</v>
      </c>
      <c r="E12025" t="s">
        <v>11297</v>
      </c>
      <c r="F12025" t="s">
        <v>10982</v>
      </c>
      <c r="G12025">
        <v>318</v>
      </c>
      <c r="H12025">
        <v>345.68</v>
      </c>
      <c r="I12025">
        <v>345.67</v>
      </c>
      <c r="J12025">
        <v>0.01</v>
      </c>
    </row>
    <row r="12026" spans="1:10" x14ac:dyDescent="0.3">
      <c r="A12026" t="str">
        <f>HYPERLINK("https://us2.cloudbeds.com/connect/10074733072513#/reservations/31724074156168?display=MXCBKY2VU&amp;reservation_id=31724074156168", "MXCBKY2VU")</f>
        <v>MXCBKY2VU</v>
      </c>
      <c r="B12026" t="s">
        <v>10</v>
      </c>
      <c r="C12026" t="s">
        <v>23</v>
      </c>
      <c r="D12026" t="str">
        <f>HYPERLINK("https://us2.cloudbeds.com/connect/10074733072513#/reservations/31724074156168?display=Matthew%20Hage&amp;reservation_id=31724074156168&amp;guest_id=31724074152087", "Matthew Hage")</f>
        <v>Matthew Hage</v>
      </c>
      <c r="E12026" t="s">
        <v>11298</v>
      </c>
      <c r="F12026" t="s">
        <v>11299</v>
      </c>
      <c r="G12026">
        <v>99</v>
      </c>
      <c r="H12026">
        <v>107.62</v>
      </c>
      <c r="I12026">
        <v>107.61</v>
      </c>
      <c r="J12026">
        <v>0.01</v>
      </c>
    </row>
    <row r="12027" spans="1:10" x14ac:dyDescent="0.3">
      <c r="A12027" t="str">
        <f>HYPERLINK("https://us2.cloudbeds.com/connect/10074733072513#/reservations/31721984254159?display=MXAZ7CG10&amp;reservation_id=31721984254159", "MXAZ7CG10")</f>
        <v>MXAZ7CG10</v>
      </c>
      <c r="B12027" t="s">
        <v>10</v>
      </c>
      <c r="C12027" t="s">
        <v>23</v>
      </c>
      <c r="D12027" t="str">
        <f>HYPERLINK("https://us2.cloudbeds.com/connect/10074733072513#/reservations/31721984254159?display=Loretta%20E%20Naber&amp;reservation_id=31721984254159&amp;guest_id=31721984250074", "Loretta E Naber")</f>
        <v>Loretta E Naber</v>
      </c>
      <c r="E12027" t="s">
        <v>11300</v>
      </c>
      <c r="F12027" t="s">
        <v>11183</v>
      </c>
      <c r="G12027">
        <v>119</v>
      </c>
      <c r="H12027">
        <v>129.36000000000001</v>
      </c>
      <c r="I12027">
        <v>129.35</v>
      </c>
      <c r="J12027">
        <v>0.01</v>
      </c>
    </row>
    <row r="12028" spans="1:10" x14ac:dyDescent="0.3">
      <c r="A12028" t="str">
        <f>HYPERLINK("https://us2.cloudbeds.com/connect/10074733072513#/reservations/31717410881769?display=MX76BWYMT&amp;reservation_id=31717410881769", "MX76BWYMT")</f>
        <v>MX76BWYMT</v>
      </c>
      <c r="B12028" t="s">
        <v>10</v>
      </c>
      <c r="C12028" t="s">
        <v>23</v>
      </c>
      <c r="D12028" t="str">
        <f>HYPERLINK("https://us2.cloudbeds.com/connect/10074733072513#/reservations/31717410881769?display=James%20Lushbough&amp;reservation_id=31717410881769&amp;guest_id=31717402636444", "James Lushbough")</f>
        <v>James Lushbough</v>
      </c>
      <c r="E12028" t="s">
        <v>11301</v>
      </c>
      <c r="F12028" t="s">
        <v>11302</v>
      </c>
      <c r="G12028">
        <v>102.58</v>
      </c>
      <c r="H12028">
        <v>111.51</v>
      </c>
      <c r="I12028">
        <v>111.5</v>
      </c>
      <c r="J12028">
        <v>0.01</v>
      </c>
    </row>
    <row r="12029" spans="1:10" x14ac:dyDescent="0.3">
      <c r="A12029" t="str">
        <f>HYPERLINK("https://us2.cloudbeds.com/connect/10074733072513#/reservations/31724161478796?display=MXCDS8W14&amp;reservation_id=31724161478796", "MXCDS8W14")</f>
        <v>MXCDS8W14</v>
      </c>
      <c r="B12029" t="s">
        <v>10</v>
      </c>
      <c r="C12029" t="s">
        <v>121</v>
      </c>
      <c r="D12029" t="str">
        <f>HYPERLINK("https://us2.cloudbeds.com/connect/10074733072513#/reservations/31724161478796?display=Andres%20Rasmussen&amp;reservation_id=31724161478796&amp;guest_id=31724161474715", "Andres Rasmussen")</f>
        <v>Andres Rasmussen</v>
      </c>
      <c r="E12029" t="s">
        <v>11101</v>
      </c>
      <c r="F12029" t="s">
        <v>11283</v>
      </c>
      <c r="G12029">
        <v>99</v>
      </c>
      <c r="H12029">
        <v>107.62</v>
      </c>
      <c r="I12029">
        <v>107.61</v>
      </c>
      <c r="J12029">
        <v>0.01</v>
      </c>
    </row>
    <row r="12030" spans="1:10" x14ac:dyDescent="0.3">
      <c r="A12030" t="str">
        <f>HYPERLINK("https://us2.cloudbeds.com/connect/10074733072513#/reservations/31715949478094?display=MX620MV71&amp;reservation_id=31715949478094", "MX620MV71")</f>
        <v>MX620MV71</v>
      </c>
      <c r="B12030" t="s">
        <v>10</v>
      </c>
      <c r="C12030" t="s">
        <v>42</v>
      </c>
      <c r="D12030" t="str">
        <f>HYPERLINK("https://us2.cloudbeds.com/connect/10074733072513#/reservations/31715949478094?display=Michele%20Turbak&amp;reservation_id=31715949478094&amp;guest_id=31715949478091", "Michele Turbak")</f>
        <v>Michele Turbak</v>
      </c>
      <c r="E12030" t="s">
        <v>11303</v>
      </c>
      <c r="F12030" t="s">
        <v>10982</v>
      </c>
      <c r="G12030">
        <v>149</v>
      </c>
      <c r="H12030">
        <v>161.97</v>
      </c>
      <c r="I12030">
        <v>161.96</v>
      </c>
      <c r="J12030">
        <v>0.01</v>
      </c>
    </row>
    <row r="12031" spans="1:10" x14ac:dyDescent="0.3">
      <c r="A12031" t="str">
        <f>HYPERLINK("https://us2.cloudbeds.com/connect/10074733072513#/reservations/31724420288708?display=MXCKFGZBP&amp;reservation_id=31724420288708", "MXCKFGZBP")</f>
        <v>MXCKFGZBP</v>
      </c>
      <c r="B12031" t="s">
        <v>10</v>
      </c>
      <c r="C12031" t="s">
        <v>42</v>
      </c>
      <c r="D12031" t="str">
        <f>HYPERLINK("https://us2.cloudbeds.com/connect/10074733072513#/reservations/31724420288708?display=Toni%20Martin&amp;reservation_id=31724420288708&amp;guest_id=31724420284627", "Toni Martin")</f>
        <v>Toni Martin</v>
      </c>
      <c r="E12031" t="s">
        <v>11304</v>
      </c>
      <c r="F12031" t="s">
        <v>11305</v>
      </c>
      <c r="G12031">
        <v>99</v>
      </c>
      <c r="H12031">
        <v>107.62</v>
      </c>
      <c r="I12031">
        <v>107.61</v>
      </c>
      <c r="J12031">
        <v>0.01</v>
      </c>
    </row>
    <row r="12032" spans="1:10" x14ac:dyDescent="0.3">
      <c r="A12032" t="str">
        <f>HYPERLINK("https://us2.cloudbeds.com/connect/10074733072513#/reservations/31724413133052?display=MXCK9FKGN&amp;reservation_id=31724413133052", "MXCK9FKGN")</f>
        <v>MXCK9FKGN</v>
      </c>
      <c r="B12032" t="s">
        <v>10</v>
      </c>
      <c r="C12032" t="s">
        <v>42</v>
      </c>
      <c r="D12032" t="str">
        <f>HYPERLINK("https://us2.cloudbeds.com/connect/10074733072513#/reservations/31724413133052?display=Dick%20Godfrey&amp;reservation_id=31724413133052&amp;guest_id=31724413133046", "Dick Godfrey")</f>
        <v>Dick Godfrey</v>
      </c>
      <c r="E12032" t="s">
        <v>11304</v>
      </c>
      <c r="F12032" t="s">
        <v>11305</v>
      </c>
      <c r="G12032">
        <v>99</v>
      </c>
      <c r="H12032">
        <v>107.62</v>
      </c>
      <c r="I12032">
        <v>107.61</v>
      </c>
      <c r="J12032">
        <v>0.01</v>
      </c>
    </row>
    <row r="12033" spans="1:10" x14ac:dyDescent="0.3">
      <c r="A12033" t="str">
        <f>HYPERLINK("https://us2.cloudbeds.com/connect/10074733072513#/reservations/31724404240549?display=MXCK1W5ZU&amp;reservation_id=31724404240549", "MXCK1W5ZU")</f>
        <v>MXCK1W5ZU</v>
      </c>
      <c r="B12033" t="s">
        <v>10</v>
      </c>
      <c r="C12033" t="s">
        <v>42</v>
      </c>
      <c r="D12033" t="str">
        <f>HYPERLINK("https://us2.cloudbeds.com/connect/10074733072513#/reservations/31724404240549?display=Tracy%20Nordell&amp;reservation_id=31724404240549&amp;guest_id=31724404240538", "Tracy Nordell")</f>
        <v>Tracy Nordell</v>
      </c>
      <c r="E12033" t="s">
        <v>11304</v>
      </c>
      <c r="F12033" t="s">
        <v>11305</v>
      </c>
      <c r="G12033">
        <v>99</v>
      </c>
      <c r="H12033">
        <v>107.62</v>
      </c>
      <c r="I12033">
        <v>107.61</v>
      </c>
      <c r="J12033">
        <v>0.01</v>
      </c>
    </row>
    <row r="12034" spans="1:10" x14ac:dyDescent="0.3">
      <c r="A12034" t="str">
        <f>HYPERLINK("https://us2.cloudbeds.com/connect/10074733072513#/reservations/31715377066130?display=MX5KD0ZCV&amp;reservation_id=31715377066130", "MX5KD0ZCV")</f>
        <v>MX5KD0ZCV</v>
      </c>
      <c r="B12034" t="s">
        <v>10</v>
      </c>
      <c r="C12034" t="s">
        <v>23</v>
      </c>
      <c r="D12034" t="str">
        <f>HYPERLINK("https://us2.cloudbeds.com/connect/10074733072513#/reservations/31715377066130?display=Kristi%20Baker&amp;reservation_id=31715377066130&amp;guest_id=31715377066127", "Kristi Baker")</f>
        <v>Kristi Baker</v>
      </c>
      <c r="E12034" t="s">
        <v>11306</v>
      </c>
      <c r="F12034" t="s">
        <v>11307</v>
      </c>
      <c r="G12034">
        <v>238</v>
      </c>
      <c r="H12034">
        <v>258.72000000000003</v>
      </c>
      <c r="I12034">
        <v>258.70999999999998</v>
      </c>
      <c r="J12034">
        <v>0.01</v>
      </c>
    </row>
    <row r="12035" spans="1:10" x14ac:dyDescent="0.3">
      <c r="A12035" t="str">
        <f>HYPERLINK("https://us2.cloudbeds.com/connect/10074733072513#/reservations/31724254281875?display=MXCG7HBYM&amp;reservation_id=31724254281875", "MXCG7HBYM")</f>
        <v>MXCG7HBYM</v>
      </c>
      <c r="B12035" t="s">
        <v>10</v>
      </c>
      <c r="C12035" t="s">
        <v>23</v>
      </c>
      <c r="D12035" t="str">
        <f>HYPERLINK("https://us2.cloudbeds.com/connect/10074733072513#/reservations/31724254281875?display=Nathan%20Dick&amp;reservation_id=31724254281875&amp;guest_id=30652649930933", "Nathan Dick")</f>
        <v>Nathan Dick</v>
      </c>
      <c r="E12035" t="s">
        <v>437</v>
      </c>
      <c r="F12035" t="s">
        <v>11283</v>
      </c>
      <c r="G12035">
        <v>99</v>
      </c>
      <c r="H12035">
        <v>107.62</v>
      </c>
      <c r="I12035">
        <v>107.61</v>
      </c>
      <c r="J12035">
        <v>0.01</v>
      </c>
    </row>
    <row r="12036" spans="1:10" x14ac:dyDescent="0.3">
      <c r="A12036" t="str">
        <f>HYPERLINK("https://us2.cloudbeds.com/connect/10074733072513#/reservations/31724289990839?display=MXCH4Y08G&amp;reservation_id=31724289990839", "MXCH4Y08G")</f>
        <v>MXCH4Y08G</v>
      </c>
      <c r="B12036" t="s">
        <v>10</v>
      </c>
      <c r="C12036" t="s">
        <v>121</v>
      </c>
      <c r="D12036" t="str">
        <f>HYPERLINK("https://us2.cloudbeds.com/connect/10074733072513#/reservations/31724289990839?display=Aaron%20Aurzada&amp;reservation_id=31724289990839&amp;guest_id=31724289990826", "Aaron Aurzada")</f>
        <v>Aaron Aurzada</v>
      </c>
      <c r="E12036" t="s">
        <v>11308</v>
      </c>
      <c r="F12036" t="s">
        <v>11283</v>
      </c>
      <c r="G12036">
        <v>99</v>
      </c>
      <c r="H12036">
        <v>107.62</v>
      </c>
      <c r="I12036">
        <v>107.61</v>
      </c>
      <c r="J12036">
        <v>0.01</v>
      </c>
    </row>
    <row r="12037" spans="1:10" x14ac:dyDescent="0.3">
      <c r="A12037" t="str">
        <f>HYPERLINK("https://us2.cloudbeds.com/connect/10074733072513#/reservations/31719392821432?display=MX8Z071YX&amp;reservation_id=31719392821432", "MX8Z071YX")</f>
        <v>MX8Z071YX</v>
      </c>
      <c r="B12037" t="s">
        <v>10</v>
      </c>
      <c r="C12037" t="s">
        <v>23</v>
      </c>
      <c r="D12037" t="str">
        <f>HYPERLINK("https://us2.cloudbeds.com/connect/10074733072513#/reservations/31719392821432?display=Logan%20Morris&amp;reservation_id=31719392821432&amp;guest_id=31719381410014", "Logan Morris")</f>
        <v>Logan Morris</v>
      </c>
      <c r="E12037" t="s">
        <v>11309</v>
      </c>
      <c r="F12037" t="s">
        <v>11183</v>
      </c>
      <c r="G12037">
        <v>119</v>
      </c>
      <c r="H12037">
        <v>129.36000000000001</v>
      </c>
      <c r="I12037">
        <v>129.35</v>
      </c>
      <c r="J12037">
        <v>0.01</v>
      </c>
    </row>
    <row r="12038" spans="1:10" x14ac:dyDescent="0.3">
      <c r="A12038" t="str">
        <f>HYPERLINK("https://us2.cloudbeds.com/connect/10074733072513#/reservations/31719381405923?display=MX8NNJD31&amp;reservation_id=31719381405923", "MX8NNJD31")</f>
        <v>MX8NNJD31</v>
      </c>
      <c r="B12038" t="s">
        <v>10</v>
      </c>
      <c r="C12038" t="s">
        <v>23</v>
      </c>
      <c r="D12038" t="str">
        <f>HYPERLINK("https://us2.cloudbeds.com/connect/10074733072513#/reservations/31719381405923?display=Rachel%20Manwarren&amp;reservation_id=31719381405923&amp;guest_id=31719368597637", "Rachel Manwarren")</f>
        <v>Rachel Manwarren</v>
      </c>
      <c r="E12038" t="s">
        <v>11310</v>
      </c>
      <c r="F12038" t="s">
        <v>11183</v>
      </c>
      <c r="G12038">
        <v>119</v>
      </c>
      <c r="H12038">
        <v>129.36000000000001</v>
      </c>
      <c r="I12038">
        <v>129.35</v>
      </c>
      <c r="J12038">
        <v>0.01</v>
      </c>
    </row>
    <row r="12039" spans="1:10" x14ac:dyDescent="0.3">
      <c r="A12039" t="str">
        <f>HYPERLINK("https://us2.cloudbeds.com/connect/10074733072513#/reservations/31721993347255?display=MXAZF1GWC&amp;reservation_id=31721993347255", "MXAZF1GWC")</f>
        <v>MXAZF1GWC</v>
      </c>
      <c r="B12039" t="s">
        <v>10</v>
      </c>
      <c r="C12039" t="s">
        <v>42</v>
      </c>
      <c r="D12039" t="str">
        <f>HYPERLINK("https://us2.cloudbeds.com/connect/10074733072513#/reservations/31721993347255?display=Cynthia%20Loeschke&amp;reservation_id=31721993347255&amp;guest_id=31694326771882", "Cynthia Loeschke")</f>
        <v>Cynthia Loeschke</v>
      </c>
      <c r="E12039" t="s">
        <v>7529</v>
      </c>
      <c r="F12039" t="s">
        <v>11183</v>
      </c>
      <c r="G12039">
        <v>119</v>
      </c>
      <c r="H12039">
        <v>129.36000000000001</v>
      </c>
      <c r="I12039">
        <v>129.35</v>
      </c>
      <c r="J12039">
        <v>0.01</v>
      </c>
    </row>
    <row r="12040" spans="1:10" x14ac:dyDescent="0.3">
      <c r="A12040" t="str">
        <f>HYPERLINK("https://us2.cloudbeds.com/connect/10074733072513#/reservations/31719450157252?display=MX8PFXGKY&amp;reservation_id=31719450157252", "MX8PFXGKY")</f>
        <v>MX8PFXGKY</v>
      </c>
      <c r="B12040" t="s">
        <v>10</v>
      </c>
      <c r="C12040" t="s">
        <v>23</v>
      </c>
      <c r="D12040" t="str">
        <f>HYPERLINK("https://us2.cloudbeds.com/connect/10074733072513#/reservations/31719450157252?display=Michelle%20Kleinschmidt&amp;reservation_id=31719450157252&amp;guest_id=31719434313891", "Michelle Kleinschmidt")</f>
        <v>Michelle Kleinschmidt</v>
      </c>
      <c r="E12040" t="s">
        <v>11311</v>
      </c>
      <c r="F12040" t="s">
        <v>11183</v>
      </c>
      <c r="G12040">
        <v>238</v>
      </c>
      <c r="H12040">
        <v>258.72000000000003</v>
      </c>
      <c r="I12040">
        <v>258.70999999999998</v>
      </c>
      <c r="J12040">
        <v>0.01</v>
      </c>
    </row>
    <row r="12041" spans="1:10" x14ac:dyDescent="0.3">
      <c r="A12041" t="str">
        <f>HYPERLINK("https://us2.cloudbeds.com/connect/10074733072513#/reservations/31722284544204?display=MXAVTJGFB&amp;reservation_id=31722284544204", "MXAVTJGFB")</f>
        <v>MXAVTJGFB</v>
      </c>
      <c r="B12041" t="s">
        <v>10</v>
      </c>
      <c r="C12041" t="s">
        <v>42</v>
      </c>
      <c r="D12041" t="str">
        <f>HYPERLINK("https://us2.cloudbeds.com/connect/10074733072513#/reservations/31722284544204?display=Casey%20Hultquist&amp;reservation_id=31722284544204&amp;guest_id=31722273579251", "Casey Hultquist")</f>
        <v>Casey Hultquist</v>
      </c>
      <c r="E12041" t="s">
        <v>11312</v>
      </c>
      <c r="F12041" t="s">
        <v>11305</v>
      </c>
      <c r="G12041">
        <v>109</v>
      </c>
      <c r="H12041">
        <v>118.49</v>
      </c>
      <c r="I12041">
        <v>118.48</v>
      </c>
      <c r="J12041">
        <v>0.01</v>
      </c>
    </row>
    <row r="12042" spans="1:10" x14ac:dyDescent="0.3">
      <c r="A12042" t="str">
        <f>HYPERLINK("https://us2.cloudbeds.com/connect/10074733072513#/reservations/31723430797498?display=MXBS64MYY&amp;reservation_id=31723430797498", "MXBS64MYY")</f>
        <v>MXBS64MYY</v>
      </c>
      <c r="B12042" t="s">
        <v>10</v>
      </c>
      <c r="C12042" t="s">
        <v>42</v>
      </c>
      <c r="D12042" t="str">
        <f>HYPERLINK("https://us2.cloudbeds.com/connect/10074733072513#/reservations/31723430797498?display=Kari%20Alverson&amp;reservation_id=31723430797498&amp;guest_id=31723421524126", "Kari Alverson")</f>
        <v>Kari Alverson</v>
      </c>
      <c r="E12042" t="s">
        <v>11313</v>
      </c>
      <c r="F12042" t="s">
        <v>11216</v>
      </c>
      <c r="G12042">
        <v>278</v>
      </c>
      <c r="H12042">
        <v>302.2</v>
      </c>
      <c r="I12042">
        <v>302.19</v>
      </c>
      <c r="J12042">
        <v>0.01</v>
      </c>
    </row>
    <row r="12043" spans="1:10" x14ac:dyDescent="0.3">
      <c r="A12043" t="str">
        <f>HYPERLINK("https://us2.cloudbeds.com/connect/10074733072513#/reservations/31719434309801?display=MX8P26HAS&amp;reservation_id=31719434309801", "MX8P26HAS")</f>
        <v>MX8P26HAS</v>
      </c>
      <c r="B12043" t="s">
        <v>10</v>
      </c>
      <c r="C12043" t="s">
        <v>23</v>
      </c>
      <c r="D12043" t="str">
        <f>HYPERLINK("https://us2.cloudbeds.com/connect/10074733072513#/reservations/31719434309801?display=Sara%20Klapperich&amp;reservation_id=31719434309801&amp;guest_id=31719434309796", "Sara Klapperich")</f>
        <v>Sara Klapperich</v>
      </c>
      <c r="E12043" t="s">
        <v>11314</v>
      </c>
      <c r="F12043" t="s">
        <v>11183</v>
      </c>
      <c r="G12043">
        <v>129</v>
      </c>
      <c r="H12043">
        <v>140.22999999999999</v>
      </c>
      <c r="I12043">
        <v>140.22</v>
      </c>
      <c r="J12043">
        <v>0.01</v>
      </c>
    </row>
    <row r="12044" spans="1:10" x14ac:dyDescent="0.3">
      <c r="A12044" t="str">
        <f>HYPERLINK("https://us2.cloudbeds.com/connect/10074733072513#/reservations/31724086046958?display=MXCBUYVVT&amp;reservation_id=31724086046958", "MXCBUYVVT")</f>
        <v>MXCBUYVVT</v>
      </c>
      <c r="B12044" t="s">
        <v>10</v>
      </c>
      <c r="C12044" t="s">
        <v>23</v>
      </c>
      <c r="D12044" t="str">
        <f>HYPERLINK("https://us2.cloudbeds.com/connect/10074733072513#/reservations/31724086046958?display=Dana%20Smith&amp;reservation_id=31724086046958&amp;guest_id=31724086046953", "Dana Smith")</f>
        <v>Dana Smith</v>
      </c>
      <c r="E12044" t="s">
        <v>11315</v>
      </c>
      <c r="F12044" t="s">
        <v>11299</v>
      </c>
      <c r="G12044">
        <v>129</v>
      </c>
      <c r="H12044">
        <v>140.22999999999999</v>
      </c>
      <c r="I12044">
        <v>140.22</v>
      </c>
      <c r="J12044">
        <v>0.01</v>
      </c>
    </row>
    <row r="12045" spans="1:10" x14ac:dyDescent="0.3">
      <c r="A12045" t="str">
        <f>HYPERLINK("https://us2.cloudbeds.com/connect/10074733072513#/reservations/31723487461515?display=MXBTKUEZ2&amp;reservation_id=31723487461515", "MXBTKUEZ2")</f>
        <v>MXBTKUEZ2</v>
      </c>
      <c r="B12045" t="s">
        <v>10</v>
      </c>
      <c r="C12045" t="s">
        <v>42</v>
      </c>
      <c r="D12045" t="str">
        <f>HYPERLINK("https://us2.cloudbeds.com/connect/10074733072513#/reservations/31723487461515?display=Jill%20Strom&amp;reservation_id=31723487461515&amp;guest_id=31723487461513", "Jill Strom")</f>
        <v>Jill Strom</v>
      </c>
      <c r="E12045" t="s">
        <v>11316</v>
      </c>
      <c r="F12045" t="s">
        <v>11216</v>
      </c>
      <c r="G12045">
        <v>139</v>
      </c>
      <c r="H12045">
        <v>151.1</v>
      </c>
      <c r="I12045">
        <v>151.09</v>
      </c>
      <c r="J12045">
        <v>0.01</v>
      </c>
    </row>
    <row r="12046" spans="1:10" x14ac:dyDescent="0.3">
      <c r="A12046" t="str">
        <f>HYPERLINK("https://us2.cloudbeds.com/connect/10074733072513#/reservations/31720730345604?display=MX9P61KS2&amp;reservation_id=31720730345604", "MX9P61KS2")</f>
        <v>MX9P61KS2</v>
      </c>
      <c r="B12046" t="s">
        <v>10</v>
      </c>
      <c r="C12046" t="s">
        <v>23</v>
      </c>
      <c r="D12046" t="str">
        <f>HYPERLINK("https://us2.cloudbeds.com/connect/10074733072513#/reservations/31720730345604?display=Christy%20Wesseling&amp;reservation_id=31720730345604&amp;guest_id=31720717107420", "Christy Wesseling")</f>
        <v>Christy Wesseling</v>
      </c>
      <c r="E12046" t="s">
        <v>11317</v>
      </c>
      <c r="F12046" t="s">
        <v>11216</v>
      </c>
      <c r="G12046">
        <v>313.2</v>
      </c>
      <c r="H12046">
        <v>340.46</v>
      </c>
      <c r="I12046">
        <v>340.45</v>
      </c>
      <c r="J12046">
        <v>0.01</v>
      </c>
    </row>
    <row r="12047" spans="1:10" x14ac:dyDescent="0.3">
      <c r="A12047" t="str">
        <f>HYPERLINK("https://us2.cloudbeds.com/connect/10074733072513#/reservations/31723839955169?display=MXC5Y53BV&amp;reservation_id=31723839955169", "MXC5Y53BV")</f>
        <v>MXC5Y53BV</v>
      </c>
      <c r="B12047" t="s">
        <v>10</v>
      </c>
      <c r="C12047" t="s">
        <v>23</v>
      </c>
      <c r="D12047" t="str">
        <f>HYPERLINK("https://us2.cloudbeds.com/connect/10074733072513#/reservations/31723839955169?display=Lacey%20Deberg&amp;reservation_id=31723839955169&amp;guest_id=31720328782014", "Lacey Deberg")</f>
        <v>Lacey Deberg</v>
      </c>
      <c r="E12047" t="s">
        <v>11319</v>
      </c>
      <c r="F12047" t="s">
        <v>11191</v>
      </c>
      <c r="G12047">
        <v>119</v>
      </c>
      <c r="H12047">
        <v>129.36000000000001</v>
      </c>
      <c r="I12047">
        <v>129.35</v>
      </c>
      <c r="J12047">
        <v>0.01</v>
      </c>
    </row>
    <row r="12048" spans="1:10" x14ac:dyDescent="0.3">
      <c r="A12048" t="str">
        <f>HYPERLINK("https://us2.cloudbeds.com/connect/10074733072513#/reservations/31724125778142?display=MXCCV5X25&amp;reservation_id=31724125778142", "MXCCV5X25")</f>
        <v>MXCCV5X25</v>
      </c>
      <c r="B12048" t="s">
        <v>10</v>
      </c>
      <c r="C12048" t="s">
        <v>121</v>
      </c>
      <c r="D12048" t="str">
        <f>HYPERLINK("https://us2.cloudbeds.com/connect/10074733072513#/reservations/31724125778142?display=Erik%20Harrison&amp;reservation_id=31724125778142&amp;guest_id=31724125778119", "Erik Harrison")</f>
        <v>Erik Harrison</v>
      </c>
      <c r="E12048" t="s">
        <v>11320</v>
      </c>
      <c r="F12048" t="s">
        <v>11299</v>
      </c>
      <c r="G12048">
        <v>73</v>
      </c>
      <c r="H12048">
        <v>79.36</v>
      </c>
      <c r="I12048">
        <v>79.349999999999994</v>
      </c>
      <c r="J12048">
        <v>0.01</v>
      </c>
    </row>
    <row r="12049" spans="1:10" x14ac:dyDescent="0.3">
      <c r="A12049" t="str">
        <f>HYPERLINK("https://us2.cloudbeds.com/connect/10074733072513#/reservations/31721306644642?display=MXA6U0029&amp;reservation_id=31721306644642", "MXA6U0029")</f>
        <v>MXA6U0029</v>
      </c>
      <c r="B12049" t="s">
        <v>10</v>
      </c>
      <c r="C12049" t="s">
        <v>121</v>
      </c>
      <c r="D12049" t="str">
        <f>HYPERLINK("https://us2.cloudbeds.com/connect/10074733072513#/reservations/31721306644642?display=Colt%20Navrat&amp;reservation_id=31721306644642&amp;guest_id=31721306644639", "Colt Navrat")</f>
        <v>Colt Navrat</v>
      </c>
      <c r="E12049" t="s">
        <v>11322</v>
      </c>
      <c r="F12049" t="s">
        <v>11323</v>
      </c>
      <c r="G12049">
        <v>99</v>
      </c>
      <c r="H12049">
        <v>107.62</v>
      </c>
      <c r="I12049">
        <v>107.61</v>
      </c>
      <c r="J12049">
        <v>0.01</v>
      </c>
    </row>
    <row r="12050" spans="1:10" x14ac:dyDescent="0.3">
      <c r="A12050" t="str">
        <f>HYPERLINK("https://us2.cloudbeds.com/connect/10074733072513#/reservations/31721289384177?display=MXA6FEN7T&amp;reservation_id=31721289384177", "MXA6FEN7T")</f>
        <v>MXA6FEN7T</v>
      </c>
      <c r="B12050" t="s">
        <v>10</v>
      </c>
      <c r="C12050" t="s">
        <v>42</v>
      </c>
      <c r="D12050" t="str">
        <f>HYPERLINK("https://us2.cloudbeds.com/connect/10074733072513#/reservations/31721289384177?display=Samantha%20Bach&amp;reservation_id=31721289384177&amp;guest_id=31721289384174", "Samantha Bach")</f>
        <v>Samantha Bach</v>
      </c>
      <c r="E12050" t="s">
        <v>11324</v>
      </c>
      <c r="F12050" t="s">
        <v>11323</v>
      </c>
      <c r="G12050">
        <v>129</v>
      </c>
      <c r="H12050">
        <v>140.22999999999999</v>
      </c>
      <c r="I12050">
        <v>140.22</v>
      </c>
      <c r="J12050">
        <v>0.01</v>
      </c>
    </row>
    <row r="12051" spans="1:10" x14ac:dyDescent="0.3">
      <c r="A12051" t="str">
        <f>HYPERLINK("https://us2.cloudbeds.com/connect/10074733072513#/reservations/31721282240648?display=MXA69DUHA&amp;reservation_id=31721282240648", "MXA69DUHA")</f>
        <v>MXA69DUHA</v>
      </c>
      <c r="B12051" t="s">
        <v>10</v>
      </c>
      <c r="C12051" t="s">
        <v>121</v>
      </c>
      <c r="D12051" t="str">
        <f>HYPERLINK("https://us2.cloudbeds.com/connect/10074733072513#/reservations/31721282240648?display=Bill%20Samuelson&amp;reservation_id=31721282240648&amp;guest_id=31684738982101", "Bill Samuelson")</f>
        <v>Bill Samuelson</v>
      </c>
      <c r="E12051" t="s">
        <v>8048</v>
      </c>
      <c r="F12051" t="s">
        <v>11323</v>
      </c>
      <c r="G12051">
        <v>252</v>
      </c>
      <c r="H12051">
        <v>273.93</v>
      </c>
      <c r="I12051">
        <v>273.92</v>
      </c>
      <c r="J12051">
        <v>0.01</v>
      </c>
    </row>
    <row r="12052" spans="1:10" x14ac:dyDescent="0.3">
      <c r="A12052" t="str">
        <f>HYPERLINK("https://us2.cloudbeds.com/connect/10074733072513#/reservations/31723037876363?display=MXBX4R2HJ&amp;reservation_id=31723037876363", "MXBX4R2HJ")</f>
        <v>MXBX4R2HJ</v>
      </c>
      <c r="B12052" t="s">
        <v>10</v>
      </c>
      <c r="C12052" t="s">
        <v>23</v>
      </c>
      <c r="D12052" t="str">
        <f>HYPERLINK("https://us2.cloudbeds.com/connect/10074733072513#/reservations/31723037876363?display=Lyle%20Kaitlyn%20Scheel&amp;reservation_id=31723037876363&amp;guest_id=31723031978225", "Lyle Kaitlyn Scheel")</f>
        <v>Lyle Kaitlyn Scheel</v>
      </c>
      <c r="E12052" t="s">
        <v>11325</v>
      </c>
      <c r="F12052" t="s">
        <v>11247</v>
      </c>
      <c r="G12052">
        <v>119</v>
      </c>
      <c r="H12052">
        <v>129.36000000000001</v>
      </c>
      <c r="I12052">
        <v>129.35</v>
      </c>
      <c r="J12052">
        <v>0.01</v>
      </c>
    </row>
    <row r="12053" spans="1:10" x14ac:dyDescent="0.3">
      <c r="A12053" t="str">
        <f>HYPERLINK("https://us2.cloudbeds.com/connect/10074733072513#/reservations/31722429395100?display=MXB2JZ67E&amp;reservation_id=31722429395100", "MXB2JZ67E")</f>
        <v>MXB2JZ67E</v>
      </c>
      <c r="B12053" t="s">
        <v>10</v>
      </c>
      <c r="C12053" t="s">
        <v>42</v>
      </c>
      <c r="D12053" t="str">
        <f>HYPERLINK("https://us2.cloudbeds.com/connect/10074733072513#/reservations/31722429395100?display=Kristyne%20Zuehlke&amp;reservation_id=31722429395100&amp;guest_id=31722429395095", "Kristyne Zuehlke")</f>
        <v>Kristyne Zuehlke</v>
      </c>
      <c r="E12053" t="s">
        <v>11326</v>
      </c>
      <c r="F12053" t="s">
        <v>11216</v>
      </c>
      <c r="G12053">
        <v>139</v>
      </c>
      <c r="H12053">
        <v>151.1</v>
      </c>
      <c r="I12053">
        <v>151.09</v>
      </c>
      <c r="J12053">
        <v>0.01</v>
      </c>
    </row>
    <row r="12054" spans="1:10" x14ac:dyDescent="0.3">
      <c r="A12054" t="str">
        <f>HYPERLINK("https://us2.cloudbeds.com/connect/10074733072513#/reservations/31721320816847?display=MXA78VC11&amp;reservation_id=31721320816847", "MXA78VC11")</f>
        <v>MXA78VC11</v>
      </c>
      <c r="B12054" t="s">
        <v>10</v>
      </c>
      <c r="C12054" t="s">
        <v>121</v>
      </c>
      <c r="D12054" t="str">
        <f>HYPERLINK("https://us2.cloudbeds.com/connect/10074733072513#/reservations/31721320816847?display=Gregory%20Wolff&amp;reservation_id=31721320816847&amp;guest_id=31721315811576", "Gregory Wolff")</f>
        <v>Gregory Wolff</v>
      </c>
      <c r="E12054" t="s">
        <v>11327</v>
      </c>
      <c r="F12054" t="s">
        <v>11323</v>
      </c>
      <c r="G12054">
        <v>73</v>
      </c>
      <c r="H12054">
        <v>79.36</v>
      </c>
      <c r="I12054">
        <v>79.349999999999994</v>
      </c>
      <c r="J12054">
        <v>0.01</v>
      </c>
    </row>
    <row r="12055" spans="1:10" x14ac:dyDescent="0.3">
      <c r="A12055" t="str">
        <f>HYPERLINK("https://us2.cloudbeds.com/connect/10074733072513#/reservations/31724471439613?display=MXCYPY2T6&amp;reservation_id=31724471439613", "MXCYPY2T6")</f>
        <v>MXCYPY2T6</v>
      </c>
      <c r="B12055" t="s">
        <v>10</v>
      </c>
      <c r="C12055" t="s">
        <v>23</v>
      </c>
      <c r="D12055" t="str">
        <f>HYPERLINK("https://us2.cloudbeds.com/connect/10074733072513#/reservations/31724471439613?display=Jared%20Suchanek&amp;reservation_id=31724471439613&amp;guest_id=31724471439608", "Jared Suchanek")</f>
        <v>Jared Suchanek</v>
      </c>
      <c r="E12055" t="s">
        <v>11328</v>
      </c>
      <c r="F12055" t="s">
        <v>11183</v>
      </c>
      <c r="G12055">
        <v>277.16000000000003</v>
      </c>
      <c r="H12055">
        <v>301.27999999999997</v>
      </c>
      <c r="I12055">
        <v>301.27</v>
      </c>
      <c r="J12055">
        <v>0.01</v>
      </c>
    </row>
    <row r="12056" spans="1:10" x14ac:dyDescent="0.3">
      <c r="A12056" t="str">
        <f>HYPERLINK("https://us2.cloudbeds.com/connect/10074733072513#/reservations/31721256505541?display=MXA5KNQYJ&amp;reservation_id=31721256505541", "MXA5KNQYJ")</f>
        <v>MXA5KNQYJ</v>
      </c>
      <c r="B12056" t="s">
        <v>10</v>
      </c>
      <c r="C12056" t="s">
        <v>42</v>
      </c>
      <c r="D12056" t="str">
        <f>HYPERLINK("https://us2.cloudbeds.com/connect/10074733072513#/reservations/31721256505541?display=Jay%20Tieszen&amp;reservation_id=31721256505541&amp;guest_id=31690584445060", "Jay Tieszen")</f>
        <v>Jay Tieszen</v>
      </c>
      <c r="E12056" t="s">
        <v>11332</v>
      </c>
      <c r="F12056" t="s">
        <v>11323</v>
      </c>
      <c r="G12056">
        <v>99</v>
      </c>
      <c r="H12056">
        <v>107.62</v>
      </c>
      <c r="I12056">
        <v>107.61</v>
      </c>
      <c r="J12056">
        <v>0.01</v>
      </c>
    </row>
    <row r="12057" spans="1:10" x14ac:dyDescent="0.3">
      <c r="A12057" t="str">
        <f>HYPERLINK("https://us2.cloudbeds.com/connect/10074733072513#/reservations/31721570271423?display=MXADY9QJK&amp;reservation_id=31721570271423", "MXADY9QJK")</f>
        <v>MXADY9QJK</v>
      </c>
      <c r="B12057" t="s">
        <v>10</v>
      </c>
      <c r="C12057" t="s">
        <v>23</v>
      </c>
      <c r="D12057" t="str">
        <f>HYPERLINK("https://us2.cloudbeds.com/connect/10074733072513#/reservations/31721570271423?display=Kyle%20Mabus&amp;reservation_id=31721570271423&amp;guest_id=31721570271418", "Kyle Mabus")</f>
        <v>Kyle Mabus</v>
      </c>
      <c r="E12057" t="s">
        <v>11333</v>
      </c>
      <c r="F12057" t="s">
        <v>11114</v>
      </c>
      <c r="G12057">
        <v>169</v>
      </c>
      <c r="H12057">
        <v>183.71</v>
      </c>
      <c r="I12057">
        <v>183.7</v>
      </c>
      <c r="J12057">
        <v>0.01</v>
      </c>
    </row>
    <row r="12058" spans="1:10" x14ac:dyDescent="0.3">
      <c r="A12058" t="str">
        <f>HYPERLINK("https://us2.cloudbeds.com/connect/10074733072513#/reservations/31723555717314?display=MXBVCFP7K&amp;reservation_id=31723555717314", "MXBVCFP7K")</f>
        <v>MXBVCFP7K</v>
      </c>
      <c r="B12058" t="s">
        <v>10</v>
      </c>
      <c r="C12058" t="s">
        <v>23</v>
      </c>
      <c r="D12058" t="str">
        <f>HYPERLINK("https://us2.cloudbeds.com/connect/10074733072513#/reservations/31723555717314?display=Todd%20Wood&amp;reservation_id=31723555717314&amp;guest_id=31723555713220", "Todd Wood")</f>
        <v>Todd Wood</v>
      </c>
      <c r="E12058" t="s">
        <v>11334</v>
      </c>
      <c r="F12058" t="s">
        <v>11191</v>
      </c>
      <c r="G12058">
        <v>102.58</v>
      </c>
      <c r="H12058">
        <v>111.51</v>
      </c>
      <c r="I12058">
        <v>111.5</v>
      </c>
      <c r="J12058">
        <v>0.01</v>
      </c>
    </row>
    <row r="12059" spans="1:10" x14ac:dyDescent="0.3">
      <c r="A12059" t="str">
        <f>HYPERLINK("https://us2.cloudbeds.com/connect/10074733072513#/reservations/31715930575024?display=MX61HZV0Z&amp;reservation_id=31715930575024", "MX61HZV0Z")</f>
        <v>MX61HZV0Z</v>
      </c>
      <c r="B12059" t="s">
        <v>10</v>
      </c>
      <c r="C12059" t="s">
        <v>42</v>
      </c>
      <c r="D12059" t="str">
        <f>HYPERLINK("https://us2.cloudbeds.com/connect/10074733072513#/reservations/31715930575024?display=Sherry%20Kleinsasser&amp;reservation_id=31715930575024&amp;guest_id=31715917861086", "Sherry Kleinsasser")</f>
        <v>Sherry Kleinsasser</v>
      </c>
      <c r="E12059" t="s">
        <v>11335</v>
      </c>
      <c r="F12059" t="s">
        <v>10982</v>
      </c>
      <c r="G12059">
        <v>318</v>
      </c>
      <c r="H12059">
        <v>345.68</v>
      </c>
      <c r="I12059">
        <v>345.67</v>
      </c>
      <c r="J12059">
        <v>0.01</v>
      </c>
    </row>
    <row r="12060" spans="1:10" x14ac:dyDescent="0.3">
      <c r="A12060" t="str">
        <f>HYPERLINK("https://us2.cloudbeds.com/connect/10074733072513#/reservations/31723901190279?display=MXC76Q1VB&amp;reservation_id=31723901190279", "MXC76Q1VB")</f>
        <v>MXC76Q1VB</v>
      </c>
      <c r="B12060" t="s">
        <v>10</v>
      </c>
      <c r="C12060" t="s">
        <v>121</v>
      </c>
      <c r="D12060" t="str">
        <f>HYPERLINK("https://us2.cloudbeds.com/connect/10074733072513#/reservations/31723901190279?display=Dorothy%20Ross&amp;reservation_id=31723901190279&amp;guest_id=31723901190276", "Dorothy Ross")</f>
        <v>Dorothy Ross</v>
      </c>
      <c r="E12060" t="s">
        <v>11336</v>
      </c>
      <c r="F12060" t="s">
        <v>11323</v>
      </c>
      <c r="G12060">
        <v>99</v>
      </c>
      <c r="H12060">
        <v>107.62</v>
      </c>
      <c r="I12060">
        <v>107.61</v>
      </c>
      <c r="J12060">
        <v>0.01</v>
      </c>
    </row>
    <row r="12061" spans="1:10" x14ac:dyDescent="0.3">
      <c r="A12061" t="str">
        <f>HYPERLINK("https://us2.cloudbeds.com/connect/10074733072513#/reservations/31719484592324?display=MX8QBJNEM&amp;reservation_id=31719484592324", "MX8QBJNEM")</f>
        <v>MX8QBJNEM</v>
      </c>
      <c r="B12061" t="s">
        <v>10</v>
      </c>
      <c r="C12061" t="s">
        <v>23</v>
      </c>
      <c r="D12061" t="str">
        <f>HYPERLINK("https://us2.cloudbeds.com/connect/10074733072513#/reservations/31719484592324?display=Renee%20Thomas&amp;reservation_id=31719484592324&amp;guest_id=31719484592321", "Renee Thomas")</f>
        <v>Renee Thomas</v>
      </c>
      <c r="E12061" t="s">
        <v>11337</v>
      </c>
      <c r="F12061" t="s">
        <v>11183</v>
      </c>
      <c r="G12061">
        <v>119</v>
      </c>
      <c r="H12061">
        <v>129.36000000000001</v>
      </c>
      <c r="I12061">
        <v>129.35</v>
      </c>
      <c r="J12061">
        <v>0.01</v>
      </c>
    </row>
    <row r="12062" spans="1:10" x14ac:dyDescent="0.3">
      <c r="A12062" t="str">
        <f>HYPERLINK("https://us2.cloudbeds.com/connect/10074733072513#/reservations/31718709674135?display=MX86X5FGA&amp;reservation_id=31718709674135", "MX86X5FGA")</f>
        <v>MX86X5FGA</v>
      </c>
      <c r="B12062" t="s">
        <v>10</v>
      </c>
      <c r="C12062" t="s">
        <v>23</v>
      </c>
      <c r="D12062" t="str">
        <f>HYPERLINK("https://us2.cloudbeds.com/connect/10074733072513#/reservations/31718709674135?display=Morissa%20Benson&amp;reservation_id=31718709674135&amp;guest_id=31718709670039", "Morissa Benson")</f>
        <v>Morissa Benson</v>
      </c>
      <c r="E12062" t="s">
        <v>11338</v>
      </c>
      <c r="F12062" t="s">
        <v>11027</v>
      </c>
      <c r="G12062">
        <v>249</v>
      </c>
      <c r="H12062">
        <v>270.67</v>
      </c>
      <c r="I12062">
        <v>270.66000000000003</v>
      </c>
      <c r="J12062">
        <v>0.01</v>
      </c>
    </row>
    <row r="12063" spans="1:10" x14ac:dyDescent="0.3">
      <c r="A12063" t="str">
        <f>HYPERLINK("https://us2.cloudbeds.com/connect/10074733072513#/reservations/31719420375169?display=MX8ZNEPH9&amp;reservation_id=31719420375169", "MX8ZNEPH9")</f>
        <v>MX8ZNEPH9</v>
      </c>
      <c r="B12063" t="s">
        <v>10</v>
      </c>
      <c r="C12063" t="s">
        <v>23</v>
      </c>
      <c r="D12063" t="str">
        <f>HYPERLINK("https://us2.cloudbeds.com/connect/10074733072513#/reservations/31719420375169?display=Denis%20Drake&amp;reservation_id=31719420375169&amp;guest_id=31719408693462", "Denis Drake")</f>
        <v>Denis Drake</v>
      </c>
      <c r="E12063" t="s">
        <v>11340</v>
      </c>
      <c r="F12063" t="s">
        <v>11183</v>
      </c>
      <c r="G12063">
        <v>119</v>
      </c>
      <c r="H12063">
        <v>129.36000000000001</v>
      </c>
      <c r="I12063">
        <v>129.35</v>
      </c>
      <c r="J12063">
        <v>0.01</v>
      </c>
    </row>
    <row r="12064" spans="1:10" x14ac:dyDescent="0.3">
      <c r="A12064" t="str">
        <f>HYPERLINK("https://us2.cloudbeds.com/connect/10074733072513#/reservations/31722010452120?display=MXAZTFFUK&amp;reservation_id=31722010452120", "MXAZTFFUK")</f>
        <v>MXAZTFFUK</v>
      </c>
      <c r="B12064" t="s">
        <v>10</v>
      </c>
      <c r="C12064" t="s">
        <v>23</v>
      </c>
      <c r="D12064" t="str">
        <f>HYPERLINK("https://us2.cloudbeds.com/connect/10074733072513#/reservations/31722010452120?display=Julie%20Blair&amp;reservation_id=31722010452120&amp;guest_id=31722010448033", "Julie Blair")</f>
        <v>Julie Blair</v>
      </c>
      <c r="E12064" t="s">
        <v>11341</v>
      </c>
      <c r="F12064" t="s">
        <v>11183</v>
      </c>
      <c r="G12064">
        <v>87.82</v>
      </c>
      <c r="H12064">
        <v>95.47</v>
      </c>
      <c r="I12064">
        <v>95.46</v>
      </c>
      <c r="J12064">
        <v>0.01</v>
      </c>
    </row>
    <row r="12065" spans="1:10" x14ac:dyDescent="0.3">
      <c r="A12065" t="str">
        <f>HYPERLINK("https://us2.cloudbeds.com/connect/10074733072513#/reservations/31722263220368?display=MXAVBK4BG&amp;reservation_id=31722263220368", "MXAVBK4BG")</f>
        <v>MXAVBK4BG</v>
      </c>
      <c r="B12065" t="s">
        <v>10</v>
      </c>
      <c r="C12065" t="s">
        <v>42</v>
      </c>
      <c r="D12065" t="str">
        <f>HYPERLINK("https://us2.cloudbeds.com/connect/10074733072513#/reservations/31722263220368?display=Dale%20Opdahl&amp;reservation_id=31722263220368&amp;guest_id=31722263216283", "Dale Opdahl")</f>
        <v>Dale Opdahl</v>
      </c>
      <c r="E12065" t="s">
        <v>4598</v>
      </c>
      <c r="F12065" t="s">
        <v>11305</v>
      </c>
      <c r="G12065">
        <v>218</v>
      </c>
      <c r="H12065">
        <v>236.98</v>
      </c>
      <c r="I12065">
        <v>236.97</v>
      </c>
      <c r="J12065">
        <v>0.01</v>
      </c>
    </row>
    <row r="12066" spans="1:10" x14ac:dyDescent="0.3">
      <c r="A12066" t="str">
        <f>HYPERLINK("https://us2.cloudbeds.com/connect/10074733072513#/reservations/31723609387242?display=MXBWZZ6U2&amp;reservation_id=31723609387242", "MXBWZZ6U2")</f>
        <v>MXBWZZ6U2</v>
      </c>
      <c r="B12066" t="s">
        <v>10</v>
      </c>
      <c r="C12066" t="s">
        <v>23</v>
      </c>
      <c r="D12066" t="str">
        <f>HYPERLINK("https://us2.cloudbeds.com/connect/10074733072513#/reservations/31723609387242?display=Mike%20Lovelace&amp;reservation_id=31723609387242&amp;guest_id=31723592601742", "Mike Lovelace")</f>
        <v>Mike Lovelace</v>
      </c>
      <c r="E12066" t="s">
        <v>11342</v>
      </c>
      <c r="F12066" t="s">
        <v>11247</v>
      </c>
      <c r="G12066">
        <v>238</v>
      </c>
      <c r="H12066">
        <v>258.72000000000003</v>
      </c>
      <c r="I12066">
        <v>258.70999999999998</v>
      </c>
      <c r="J12066">
        <v>0.01</v>
      </c>
    </row>
    <row r="12067" spans="1:10" x14ac:dyDescent="0.3">
      <c r="A12067" t="str">
        <f>HYPERLINK("https://us2.cloudbeds.com/connect/10074733072513#/reservations/31719300813019?display=MX8YYKPZR&amp;reservation_id=31719300813019", "MX8YYKPZR")</f>
        <v>MX8YYKPZR</v>
      </c>
      <c r="B12067" t="s">
        <v>10</v>
      </c>
      <c r="C12067" t="s">
        <v>23</v>
      </c>
      <c r="D12067" t="str">
        <f>HYPERLINK("https://us2.cloudbeds.com/connect/10074733072513#/reservations/31719300813019?display=Tanya%20Geer&amp;reservation_id=31719300813019&amp;guest_id=31719293665409", "Tanya Geer")</f>
        <v>Tanya Geer</v>
      </c>
      <c r="E12067" t="s">
        <v>11343</v>
      </c>
      <c r="F12067" t="s">
        <v>11230</v>
      </c>
      <c r="G12067">
        <v>298</v>
      </c>
      <c r="H12067">
        <v>323.94</v>
      </c>
      <c r="I12067">
        <v>323.93</v>
      </c>
      <c r="J12067">
        <v>0.01</v>
      </c>
    </row>
    <row r="12068" spans="1:10" x14ac:dyDescent="0.3">
      <c r="A12068" t="str">
        <f>HYPERLINK("https://us2.cloudbeds.com/connect/10074733072513#/reservations/31724830736596?display=MXCUVK1RX&amp;reservation_id=31724830736596", "MXCUVK1RX")</f>
        <v>MXCUVK1RX</v>
      </c>
      <c r="B12068" t="s">
        <v>10</v>
      </c>
      <c r="C12068" t="s">
        <v>42</v>
      </c>
      <c r="D12068" t="str">
        <f>HYPERLINK("https://us2.cloudbeds.com/connect/10074733072513#/reservations/31724830736596?display=Janet%20Huber&amp;reservation_id=31724830736596&amp;guest_id=31724830732495", "Janet Huber")</f>
        <v>Janet Huber</v>
      </c>
      <c r="E12068" t="s">
        <v>11344</v>
      </c>
      <c r="F12068" t="s">
        <v>10982</v>
      </c>
      <c r="G12068">
        <v>318</v>
      </c>
      <c r="H12068">
        <v>345.68</v>
      </c>
      <c r="I12068">
        <v>345.67</v>
      </c>
      <c r="J12068">
        <v>0.01</v>
      </c>
    </row>
    <row r="12069" spans="1:10" x14ac:dyDescent="0.3">
      <c r="A12069" t="str">
        <f>HYPERLINK("https://us2.cloudbeds.com/connect/10074733072513#/reservations/31722019066056?display=MXAP3Z5SW&amp;reservation_id=31722019066056", "MXAP3Z5SW")</f>
        <v>MXAP3Z5SW</v>
      </c>
      <c r="B12069" t="s">
        <v>10</v>
      </c>
      <c r="C12069" t="s">
        <v>23</v>
      </c>
      <c r="D12069" t="str">
        <f>HYPERLINK("https://us2.cloudbeds.com/connect/10074733072513#/reservations/31722019066056?display=Renee%20Schlosberg&amp;reservation_id=31722019066056&amp;guest_id=31722019066051", "Renee Schlosberg")</f>
        <v>Renee Schlosberg</v>
      </c>
      <c r="E12069" t="s">
        <v>11345</v>
      </c>
      <c r="F12069" t="s">
        <v>11183</v>
      </c>
      <c r="G12069">
        <v>87.82</v>
      </c>
      <c r="H12069">
        <v>95.47</v>
      </c>
      <c r="I12069">
        <v>95.46</v>
      </c>
      <c r="J12069">
        <v>0.01</v>
      </c>
    </row>
    <row r="12070" spans="1:10" x14ac:dyDescent="0.3">
      <c r="A12070" t="str">
        <f>HYPERLINK("https://us2.cloudbeds.com/connect/10074733072513#/reservations/31722256392386?display=MXAV5S4CV&amp;reservation_id=31722256392386", "MXAV5S4CV")</f>
        <v>MXAV5S4CV</v>
      </c>
      <c r="B12070" t="s">
        <v>10</v>
      </c>
      <c r="C12070" t="s">
        <v>23</v>
      </c>
      <c r="D12070" t="str">
        <f>HYPERLINK("https://us2.cloudbeds.com/connect/10074733072513#/reservations/31722256392386?display=Randy%20Barnhardt&amp;reservation_id=31722256392386&amp;guest_id=31722256388290", "Randy Barnhardt")</f>
        <v>Randy Barnhardt</v>
      </c>
      <c r="E12070" t="s">
        <v>11346</v>
      </c>
      <c r="F12070" t="s">
        <v>11305</v>
      </c>
      <c r="G12070">
        <v>109</v>
      </c>
      <c r="H12070">
        <v>118.49</v>
      </c>
      <c r="I12070">
        <v>118.48</v>
      </c>
      <c r="J12070">
        <v>0.01</v>
      </c>
    </row>
    <row r="12071" spans="1:10" x14ac:dyDescent="0.3">
      <c r="A12071" t="str">
        <f>HYPERLINK("https://us2.cloudbeds.com/connect/10074733072513#/reservations/31723655241861?display=MXC0UD5WW&amp;reservation_id=31723655241861", "MXC0UD5WW")</f>
        <v>MXC0UD5WW</v>
      </c>
      <c r="B12071" t="s">
        <v>10</v>
      </c>
      <c r="C12071" t="s">
        <v>23</v>
      </c>
      <c r="D12071" t="str">
        <f>HYPERLINK("https://us2.cloudbeds.com/connect/10074733072513#/reservations/31723655241861?display=Carley%20Steinhoff&amp;reservation_id=31723655241861&amp;guest_id=31723651313827", "Carley Steinhoff")</f>
        <v>Carley Steinhoff</v>
      </c>
      <c r="E12071" t="s">
        <v>11347</v>
      </c>
      <c r="F12071" t="s">
        <v>11348</v>
      </c>
      <c r="G12071">
        <v>99</v>
      </c>
      <c r="H12071">
        <v>107.62</v>
      </c>
      <c r="I12071">
        <v>107.61</v>
      </c>
      <c r="J12071">
        <v>0.01</v>
      </c>
    </row>
    <row r="12072" spans="1:10" x14ac:dyDescent="0.3">
      <c r="A12072" t="str">
        <f>HYPERLINK("https://us2.cloudbeds.com/connect/10074733072513#/reservations/31721962070167?display=MXANYM61R&amp;reservation_id=31721962070167", "MXANYM61R")</f>
        <v>MXANYM61R</v>
      </c>
      <c r="B12072" t="s">
        <v>10</v>
      </c>
      <c r="C12072" t="s">
        <v>121</v>
      </c>
      <c r="D12072" t="str">
        <f>HYPERLINK("https://us2.cloudbeds.com/connect/10074733072513#/reservations/31721962070167?display=Kari%20Hall&amp;reservation_id=31721962070167&amp;guest_id=31721954631867", "Kari Hall")</f>
        <v>Kari Hall</v>
      </c>
      <c r="E12072" t="s">
        <v>11349</v>
      </c>
      <c r="F12072" t="s">
        <v>11183</v>
      </c>
      <c r="G12072">
        <v>119</v>
      </c>
      <c r="H12072">
        <v>129.36000000000001</v>
      </c>
      <c r="I12072">
        <v>129.35</v>
      </c>
      <c r="J12072">
        <v>0.01</v>
      </c>
    </row>
    <row r="12073" spans="1:10" x14ac:dyDescent="0.3">
      <c r="A12073" t="str">
        <f>HYPERLINK("https://us2.cloudbeds.com/connect/10074733072513#/reservations/31716232282330?display=MX6985CTC&amp;reservation_id=31716232282330", "MX6985CTC")</f>
        <v>MX6985CTC</v>
      </c>
      <c r="B12073" t="s">
        <v>10</v>
      </c>
      <c r="C12073" t="s">
        <v>42</v>
      </c>
      <c r="D12073" t="str">
        <f>HYPERLINK("https://us2.cloudbeds.com/connect/10074733072513#/reservations/31716232282330?display=Alyssa%20Hauge&amp;reservation_id=31716232282330&amp;guest_id=31716222193802", "Alyssa Hauge")</f>
        <v>Alyssa Hauge</v>
      </c>
      <c r="E12073" t="s">
        <v>11350</v>
      </c>
      <c r="F12073" t="s">
        <v>10982</v>
      </c>
      <c r="G12073">
        <v>298</v>
      </c>
      <c r="H12073">
        <v>323.94</v>
      </c>
      <c r="I12073">
        <v>323.93</v>
      </c>
      <c r="J12073">
        <v>0.01</v>
      </c>
    </row>
    <row r="12074" spans="1:10" x14ac:dyDescent="0.3">
      <c r="A12074" t="str">
        <f>HYPERLINK("https://us2.cloudbeds.com/connect/10074733072513#/reservations/31723248902301?display=MXBNHP62W&amp;reservation_id=31723248902301", "MXBNHP62W")</f>
        <v>MXBNHP62W</v>
      </c>
      <c r="B12074" t="s">
        <v>10</v>
      </c>
      <c r="C12074" t="s">
        <v>42</v>
      </c>
      <c r="D12074" t="str">
        <f>HYPERLINK("https://us2.cloudbeds.com/connect/10074733072513#/reservations/31723248902301?display=Jenny%20Rios&amp;reservation_id=31723248902301&amp;guest_id=31723248902286", "Jenny Rios")</f>
        <v>Jenny Rios</v>
      </c>
      <c r="E12074" t="s">
        <v>11351</v>
      </c>
      <c r="F12074" t="s">
        <v>11293</v>
      </c>
      <c r="G12074">
        <v>298</v>
      </c>
      <c r="H12074">
        <v>323.94</v>
      </c>
      <c r="I12074">
        <v>323.93</v>
      </c>
      <c r="J12074">
        <v>0.01</v>
      </c>
    </row>
    <row r="12075" spans="1:10" x14ac:dyDescent="0.3">
      <c r="A12075" t="str">
        <f>HYPERLINK("https://us2.cloudbeds.com/connect/10074733072513#/reservations/31723243053310?display=MXBNCRE3R&amp;reservation_id=31723243053310", "MXBNCRE3R")</f>
        <v>MXBNCRE3R</v>
      </c>
      <c r="B12075" t="s">
        <v>10</v>
      </c>
      <c r="C12075" t="s">
        <v>42</v>
      </c>
      <c r="D12075" t="str">
        <f>HYPERLINK("https://us2.cloudbeds.com/connect/10074733072513#/reservations/31723243053310?display=Heather%20Schaffer&amp;reservation_id=31723243053310&amp;guest_id=31723243053294", "Heather Schaffer")</f>
        <v>Heather Schaffer</v>
      </c>
      <c r="E12075" t="s">
        <v>11351</v>
      </c>
      <c r="F12075" t="s">
        <v>11293</v>
      </c>
      <c r="G12075">
        <v>298</v>
      </c>
      <c r="H12075">
        <v>323.94</v>
      </c>
      <c r="I12075">
        <v>323.93</v>
      </c>
      <c r="J12075">
        <v>0.01</v>
      </c>
    </row>
    <row r="12076" spans="1:10" x14ac:dyDescent="0.3">
      <c r="A12076" t="str">
        <f>HYPERLINK("https://us2.cloudbeds.com/connect/10074733072513#/reservations/31723686187162?display=MXC1NG98C&amp;reservation_id=31723686187162", "MXC1NG98C")</f>
        <v>MXC1NG98C</v>
      </c>
      <c r="B12076" t="s">
        <v>10</v>
      </c>
      <c r="C12076" t="s">
        <v>42</v>
      </c>
      <c r="D12076" t="str">
        <f>HYPERLINK("https://us2.cloudbeds.com/connect/10074733072513#/reservations/31723686187162?display=Gene%20Westerbuhr&amp;reservation_id=31723686187162&amp;guest_id=31702436380876", "Gene Westerbuhr")</f>
        <v>Gene Westerbuhr</v>
      </c>
      <c r="E12076" t="s">
        <v>11352</v>
      </c>
      <c r="F12076" t="s">
        <v>11348</v>
      </c>
      <c r="G12076">
        <v>89</v>
      </c>
      <c r="H12076">
        <v>96.75</v>
      </c>
      <c r="I12076">
        <v>96.74</v>
      </c>
      <c r="J12076">
        <v>0.01</v>
      </c>
    </row>
    <row r="12077" spans="1:10" x14ac:dyDescent="0.3">
      <c r="A12077" t="str">
        <f>HYPERLINK("https://us2.cloudbeds.com/connect/10074733072513#/reservations/31723580874987?display=MXBW0MQSB&amp;reservation_id=31723580874987", "MXBW0MQSB")</f>
        <v>MXBW0MQSB</v>
      </c>
      <c r="B12077" t="s">
        <v>10</v>
      </c>
      <c r="C12077" t="s">
        <v>42</v>
      </c>
      <c r="D12077" t="str">
        <f>HYPERLINK("https://us2.cloudbeds.com/connect/10074733072513#/reservations/31723580874987?display=Danny%20Ayers&amp;reservation_id=31723580874987&amp;guest_id=31712538620121", "Danny Ayers")</f>
        <v>Danny Ayers</v>
      </c>
      <c r="E12077" t="s">
        <v>4167</v>
      </c>
      <c r="F12077" t="s">
        <v>11102</v>
      </c>
      <c r="G12077">
        <v>170</v>
      </c>
      <c r="H12077">
        <v>184.8</v>
      </c>
      <c r="I12077">
        <v>184.79</v>
      </c>
      <c r="J12077">
        <v>0.01</v>
      </c>
    </row>
    <row r="12078" spans="1:10" x14ac:dyDescent="0.3">
      <c r="A12078" t="str">
        <f>HYPERLINK("https://us2.cloudbeds.com/connect/10074733072513#/reservations/31721449316524?display=MXAAXA1TK&amp;reservation_id=31721449316524", "MXAAXA1TK")</f>
        <v>MXAAXA1TK</v>
      </c>
      <c r="B12078" t="s">
        <v>10</v>
      </c>
      <c r="C12078" t="s">
        <v>23</v>
      </c>
      <c r="D12078" t="str">
        <f>HYPERLINK("https://us2.cloudbeds.com/connect/10074733072513#/reservations/31721449316524?display=Breelle%20Breaw&amp;reservation_id=31721449316524&amp;guest_id=31721438081248", "Breelle Breaw")</f>
        <v>Breelle Breaw</v>
      </c>
      <c r="E12078" t="s">
        <v>11357</v>
      </c>
      <c r="F12078" t="s">
        <v>11247</v>
      </c>
      <c r="G12078">
        <v>119</v>
      </c>
      <c r="H12078">
        <v>129.36000000000001</v>
      </c>
      <c r="I12078">
        <v>129.35</v>
      </c>
      <c r="J12078">
        <v>0.01</v>
      </c>
    </row>
    <row r="12079" spans="1:10" x14ac:dyDescent="0.3">
      <c r="A12079" t="str">
        <f>HYPERLINK("https://us2.cloudbeds.com/connect/10074733072513#/reservations/31721522458847?display=MXACDWBXM&amp;reservation_id=31721522458847", "MXACDWBXM")</f>
        <v>MXACDWBXM</v>
      </c>
      <c r="B12079" t="s">
        <v>10</v>
      </c>
      <c r="C12079" t="s">
        <v>42</v>
      </c>
      <c r="D12079" t="str">
        <f>HYPERLINK("https://us2.cloudbeds.com/connect/10074733072513#/reservations/31721522458847?display=Gene%20Westerbuhr&amp;reservation_id=31721522458847&amp;guest_id=31717043159232", "Gene Westerbuhr")</f>
        <v>Gene Westerbuhr</v>
      </c>
      <c r="E12079" t="s">
        <v>11352</v>
      </c>
      <c r="F12079" t="s">
        <v>11114</v>
      </c>
      <c r="G12079">
        <v>89</v>
      </c>
      <c r="H12079">
        <v>96.75</v>
      </c>
      <c r="I12079">
        <v>96.74</v>
      </c>
      <c r="J12079">
        <v>0.01</v>
      </c>
    </row>
    <row r="12080" spans="1:10" x14ac:dyDescent="0.3">
      <c r="A12080" t="str">
        <f>HYPERLINK("https://us2.cloudbeds.com/connect/10074733072513#/reservations/31712413347969?display=MX3AYUU3N&amp;reservation_id=31712413347969", "MX3AYUU3N")</f>
        <v>MX3AYUU3N</v>
      </c>
      <c r="B12080" t="s">
        <v>10</v>
      </c>
      <c r="C12080" t="s">
        <v>42</v>
      </c>
      <c r="D12080" t="str">
        <f>HYPERLINK("https://us2.cloudbeds.com/connect/10074733072513#/reservations/31712413347969?display=Trent%20Herman&amp;reservation_id=31712413347969&amp;guest_id=31702693081331", "Trent Herman")</f>
        <v>Trent Herman</v>
      </c>
      <c r="E12080" t="s">
        <v>9970</v>
      </c>
      <c r="F12080" t="s">
        <v>11360</v>
      </c>
      <c r="G12080">
        <v>89</v>
      </c>
      <c r="H12080">
        <v>96.75</v>
      </c>
      <c r="I12080">
        <v>96.74</v>
      </c>
      <c r="J12080">
        <v>0.01</v>
      </c>
    </row>
    <row r="12081" spans="1:10" x14ac:dyDescent="0.3">
      <c r="A12081" t="str">
        <f>HYPERLINK("https://us2.cloudbeds.com/connect/10074733072513#/reservations/31724881494232?display=MXCW8DF7Z&amp;reservation_id=31724881494232", "MXCW8DF7Z")</f>
        <v>MXCW8DF7Z</v>
      </c>
      <c r="B12081" t="s">
        <v>10</v>
      </c>
      <c r="C12081" t="s">
        <v>42</v>
      </c>
      <c r="D12081" t="str">
        <f>HYPERLINK("https://us2.cloudbeds.com/connect/10074733072513#/reservations/31724881494232?display=Samantha%20Kuchac&amp;reservation_id=31724881494232&amp;guest_id=31724881494227", "Samantha Kuchac")</f>
        <v>Samantha Kuchac</v>
      </c>
      <c r="E12081" t="s">
        <v>11361</v>
      </c>
      <c r="F12081" t="s">
        <v>10982</v>
      </c>
      <c r="G12081">
        <v>338</v>
      </c>
      <c r="H12081">
        <v>367.42</v>
      </c>
      <c r="I12081">
        <v>367.41</v>
      </c>
      <c r="J12081">
        <v>0.01</v>
      </c>
    </row>
    <row r="12082" spans="1:10" x14ac:dyDescent="0.3">
      <c r="A12082" t="str">
        <f>HYPERLINK("https://us2.cloudbeds.com/connect/10074733072513#/reservations/31723795292320?display=MXC4GG9Y9&amp;reservation_id=31723795292320", "MXC4GG9Y9")</f>
        <v>MXC4GG9Y9</v>
      </c>
      <c r="B12082" t="s">
        <v>10</v>
      </c>
      <c r="C12082" t="s">
        <v>42</v>
      </c>
      <c r="D12082" t="str">
        <f>HYPERLINK("https://us2.cloudbeds.com/connect/10074733072513#/reservations/31723795292320?display=Allen%20Cihak&amp;reservation_id=31723795292320&amp;guest_id=31719163981975", "Allen Cihak")</f>
        <v>Allen Cihak</v>
      </c>
      <c r="E12082" t="s">
        <v>10467</v>
      </c>
      <c r="F12082" t="s">
        <v>11102</v>
      </c>
      <c r="G12082">
        <v>99</v>
      </c>
      <c r="H12082">
        <v>107.62</v>
      </c>
      <c r="I12082">
        <v>107.61</v>
      </c>
      <c r="J12082">
        <v>0.01</v>
      </c>
    </row>
    <row r="12083" spans="1:10" x14ac:dyDescent="0.3">
      <c r="A12083" t="str">
        <f>HYPERLINK("https://us2.cloudbeds.com/connect/10074733072513#/reservations/31723729162378?display=MXC2QZ48Y&amp;reservation_id=31723729162378", "MXC2QZ48Y")</f>
        <v>MXC2QZ48Y</v>
      </c>
      <c r="B12083" t="s">
        <v>10</v>
      </c>
      <c r="C12083" t="s">
        <v>121</v>
      </c>
      <c r="D12083" t="str">
        <f>HYPERLINK("https://us2.cloudbeds.com/connect/10074733072513#/reservations/31723729162378?display=Dale%20Opdahl&amp;reservation_id=31723729162378&amp;guest_id=31723729162375", "Dale Opdahl")</f>
        <v>Dale Opdahl</v>
      </c>
      <c r="E12083" t="s">
        <v>7595</v>
      </c>
      <c r="F12083" t="s">
        <v>11102</v>
      </c>
      <c r="G12083">
        <v>198</v>
      </c>
      <c r="H12083">
        <v>215.24</v>
      </c>
      <c r="I12083">
        <v>215.23</v>
      </c>
      <c r="J12083">
        <v>0.01</v>
      </c>
    </row>
    <row r="12084" spans="1:10" x14ac:dyDescent="0.3">
      <c r="A12084" t="str">
        <f>HYPERLINK("https://us2.cloudbeds.com/connect/10074733072513#/reservations/31723720204470?display=MXC2J5SET&amp;reservation_id=31723720204470", "MXC2J5SET")</f>
        <v>MXC2J5SET</v>
      </c>
      <c r="B12084" t="s">
        <v>10</v>
      </c>
      <c r="C12084" t="s">
        <v>121</v>
      </c>
      <c r="D12084" t="str">
        <f>HYPERLINK("https://us2.cloudbeds.com/connect/10074733072513#/reservations/31723720204470?display=Matthew%20Miller&amp;reservation_id=31723720204470&amp;guest_id=31723121619105", "Matthew Miller")</f>
        <v>Matthew Miller</v>
      </c>
      <c r="E12084" t="s">
        <v>11295</v>
      </c>
      <c r="F12084" t="s">
        <v>11102</v>
      </c>
      <c r="G12084">
        <v>99</v>
      </c>
      <c r="H12084">
        <v>107.62</v>
      </c>
      <c r="I12084">
        <v>107.61</v>
      </c>
      <c r="J12084">
        <v>0.01</v>
      </c>
    </row>
    <row r="12085" spans="1:10" x14ac:dyDescent="0.3">
      <c r="A12085" t="str">
        <f>HYPERLINK("https://us2.cloudbeds.com/connect/10074733072513#/reservations/31722465423560?display=MXB3H3Z6V&amp;reservation_id=31722465423560", "MXB3H3Z6V")</f>
        <v>MXB3H3Z6V</v>
      </c>
      <c r="B12085" t="s">
        <v>10</v>
      </c>
      <c r="C12085" t="s">
        <v>23</v>
      </c>
      <c r="D12085" t="str">
        <f>HYPERLINK("https://us2.cloudbeds.com/connect/10074733072513#/reservations/31722465423560?display=Tonya%20Schlueter&amp;reservation_id=31722465423560&amp;guest_id=31722453565617", "Tonya Schlueter")</f>
        <v>Tonya Schlueter</v>
      </c>
      <c r="E12085" t="s">
        <v>11362</v>
      </c>
      <c r="F12085" t="s">
        <v>11114</v>
      </c>
      <c r="G12085">
        <v>162.68</v>
      </c>
      <c r="H12085">
        <v>176.84</v>
      </c>
      <c r="I12085">
        <v>176.83</v>
      </c>
      <c r="J12085">
        <v>0.01</v>
      </c>
    </row>
    <row r="12086" spans="1:10" x14ac:dyDescent="0.3">
      <c r="A12086" t="str">
        <f>HYPERLINK("https://us2.cloudbeds.com/connect/10074733072513#/reservations/31723649061017?display=MXC0P669Y&amp;reservation_id=31723649061017", "MXC0P669Y")</f>
        <v>MXC0P669Y</v>
      </c>
      <c r="B12086" t="s">
        <v>10</v>
      </c>
      <c r="C12086" t="s">
        <v>42</v>
      </c>
      <c r="D12086" t="str">
        <f>HYPERLINK("https://us2.cloudbeds.com/connect/10074733072513#/reservations/31723649061017?display=Ona%20Ebsen&amp;reservation_id=31723649061017&amp;guest_id=31683989270663", "Ona Ebsen")</f>
        <v>Ona Ebsen</v>
      </c>
      <c r="E12086" t="s">
        <v>5411</v>
      </c>
      <c r="F12086" t="s">
        <v>11102</v>
      </c>
      <c r="G12086">
        <v>99</v>
      </c>
      <c r="H12086">
        <v>107.62</v>
      </c>
      <c r="I12086">
        <v>107.61</v>
      </c>
      <c r="J12086">
        <v>0.01</v>
      </c>
    </row>
    <row r="12087" spans="1:10" x14ac:dyDescent="0.3">
      <c r="A12087" t="str">
        <f>HYPERLINK("https://us2.cloudbeds.com/connect/10074733072513#/reservations/31723616657628?display=MXBWUSH3Q&amp;reservation_id=31723616657628", "MXBWUSH3Q")</f>
        <v>MXBWUSH3Q</v>
      </c>
      <c r="B12087" t="s">
        <v>10</v>
      </c>
      <c r="C12087" t="s">
        <v>23</v>
      </c>
      <c r="D12087" t="str">
        <f>HYPERLINK("https://us2.cloudbeds.com/connect/10074733072513#/reservations/31723616657628?display=Christian%20Donovan&amp;reservation_id=31723616657628&amp;guest_id=31723616657623", "Christian Donovan")</f>
        <v>Christian Donovan</v>
      </c>
      <c r="E12087" t="s">
        <v>11363</v>
      </c>
      <c r="F12087" t="s">
        <v>11102</v>
      </c>
      <c r="G12087">
        <v>99</v>
      </c>
      <c r="H12087">
        <v>107.62</v>
      </c>
      <c r="I12087">
        <v>107.61</v>
      </c>
      <c r="J12087">
        <v>0.01</v>
      </c>
    </row>
    <row r="12088" spans="1:10" x14ac:dyDescent="0.3">
      <c r="A12088" t="str">
        <f>HYPERLINK("https://us2.cloudbeds.com/connect/10074733072513#/reservations/31724023111874?display=MXCAAJNB4&amp;reservation_id=31724023111874", "MXCAAJNB4")</f>
        <v>MXCAAJNB4</v>
      </c>
      <c r="B12088" t="s">
        <v>10</v>
      </c>
      <c r="C12088" t="s">
        <v>23</v>
      </c>
      <c r="D12088" t="str">
        <f>HYPERLINK("https://us2.cloudbeds.com/connect/10074733072513#/reservations/31724023111874?display=Michele%20Holmgren&amp;reservation_id=31724023111874&amp;guest_id=31724023111872", "Michele Holmgren")</f>
        <v>Michele Holmgren</v>
      </c>
      <c r="E12088" t="s">
        <v>11365</v>
      </c>
      <c r="F12088" t="s">
        <v>11356</v>
      </c>
      <c r="G12088">
        <v>259.94</v>
      </c>
      <c r="H12088">
        <v>282.56</v>
      </c>
      <c r="I12088">
        <v>282.55</v>
      </c>
      <c r="J12088">
        <v>0.01</v>
      </c>
    </row>
    <row r="12089" spans="1:10" x14ac:dyDescent="0.3">
      <c r="A12089" t="str">
        <f>HYPERLINK("https://us2.cloudbeds.com/connect/10074733072513#/reservations/31723561271440?display=MXBVH5AEF&amp;reservation_id=31723561271440", "MXBVH5AEF")</f>
        <v>MXBVH5AEF</v>
      </c>
      <c r="B12089" t="s">
        <v>10</v>
      </c>
      <c r="C12089" t="s">
        <v>23</v>
      </c>
      <c r="D12089" t="str">
        <f>HYPERLINK("https://us2.cloudbeds.com/connect/10074733072513#/reservations/31723561271440?display=Laura%20Wright&amp;reservation_id=31723561271440&amp;guest_id=31723561271438", "Laura Wright")</f>
        <v>Laura Wright</v>
      </c>
      <c r="E12089" t="s">
        <v>11366</v>
      </c>
      <c r="F12089" t="s">
        <v>11247</v>
      </c>
      <c r="G12089">
        <v>258</v>
      </c>
      <c r="H12089">
        <v>280.45999999999998</v>
      </c>
      <c r="I12089">
        <v>280.45</v>
      </c>
      <c r="J12089">
        <v>0.01</v>
      </c>
    </row>
    <row r="12090" spans="1:10" x14ac:dyDescent="0.3">
      <c r="A12090" t="str">
        <f>HYPERLINK("https://us2.cloudbeds.com/connect/10074733072513#/reservations/31724030566573?display=MXCAGT4Q3&amp;reservation_id=31724030566573", "MXCAGT4Q3")</f>
        <v>MXCAGT4Q3</v>
      </c>
      <c r="B12090" t="s">
        <v>10</v>
      </c>
      <c r="C12090" t="s">
        <v>23</v>
      </c>
      <c r="D12090" t="str">
        <f>HYPERLINK("https://us2.cloudbeds.com/connect/10074733072513#/reservations/31724030566573?display=Nicolle%20Holmgren&amp;reservation_id=31724030566573&amp;guest_id=31724030566567", "Nicolle Holmgren")</f>
        <v>Nicolle Holmgren</v>
      </c>
      <c r="E12090" t="s">
        <v>11367</v>
      </c>
      <c r="F12090" t="s">
        <v>11356</v>
      </c>
      <c r="G12090">
        <v>218</v>
      </c>
      <c r="H12090">
        <v>236.98</v>
      </c>
      <c r="I12090">
        <v>236.97</v>
      </c>
      <c r="J12090">
        <v>0.01</v>
      </c>
    </row>
    <row r="12091" spans="1:10" x14ac:dyDescent="0.3">
      <c r="A12091" t="str">
        <f>HYPERLINK("https://us2.cloudbeds.com/connect/10074733072513#/reservations/31721851691239?display=MXAKRJNWQ&amp;reservation_id=31721851691239", "MXAKRJNWQ")</f>
        <v>MXAKRJNWQ</v>
      </c>
      <c r="B12091" t="s">
        <v>10</v>
      </c>
      <c r="C12091" t="s">
        <v>23</v>
      </c>
      <c r="D12091" t="str">
        <f>HYPERLINK("https://us2.cloudbeds.com/connect/10074733072513#/reservations/31721851691239?display=Paul%20Moret&amp;reservation_id=31721851691239&amp;guest_id=31721837289687", "Paul Moret")</f>
        <v>Paul Moret</v>
      </c>
      <c r="E12091" t="s">
        <v>11368</v>
      </c>
      <c r="F12091" t="s">
        <v>11356</v>
      </c>
      <c r="G12091">
        <v>119</v>
      </c>
      <c r="H12091">
        <v>129.36000000000001</v>
      </c>
      <c r="I12091">
        <v>129.35</v>
      </c>
      <c r="J12091">
        <v>0.01</v>
      </c>
    </row>
    <row r="12092" spans="1:10" x14ac:dyDescent="0.3">
      <c r="A12092" t="str">
        <f>HYPERLINK("https://us2.cloudbeds.com/connect/10074733072513#/reservations/31721834688641?display=MXAKD8JVJ&amp;reservation_id=31721834688641", "MXAKD8JVJ")</f>
        <v>MXAKD8JVJ</v>
      </c>
      <c r="B12092" t="s">
        <v>10</v>
      </c>
      <c r="C12092" t="s">
        <v>23</v>
      </c>
      <c r="D12092" t="str">
        <f>HYPERLINK("https://us2.cloudbeds.com/connect/10074733072513#/reservations/31721834688641?display=David%20Godwin&amp;reservation_id=31721834688641&amp;guest_id=31721824538838", "David Godwin")</f>
        <v>David Godwin</v>
      </c>
      <c r="E12092" t="s">
        <v>11369</v>
      </c>
      <c r="F12092" t="s">
        <v>11356</v>
      </c>
      <c r="G12092">
        <v>218</v>
      </c>
      <c r="H12092">
        <v>236.98</v>
      </c>
      <c r="I12092">
        <v>236.97</v>
      </c>
      <c r="J12092">
        <v>0.01</v>
      </c>
    </row>
    <row r="12093" spans="1:10" x14ac:dyDescent="0.3">
      <c r="A12093" t="str">
        <f>HYPERLINK("https://us2.cloudbeds.com/connect/10074733072513#/reservations/31711536230616?display=MX2Y8ARBW&amp;reservation_id=31711536230616", "MX2Y8ARBW")</f>
        <v>MX2Y8ARBW</v>
      </c>
      <c r="B12093" t="s">
        <v>10</v>
      </c>
      <c r="C12093" t="s">
        <v>42</v>
      </c>
      <c r="D12093" t="str">
        <f>HYPERLINK("https://us2.cloudbeds.com/connect/10074733072513#/reservations/31711536230616?display=Kerrie%20Arens&amp;reservation_id=31711536230616&amp;guest_id=31711536230614", "Kerrie Arens")</f>
        <v>Kerrie Arens</v>
      </c>
      <c r="E12093" t="s">
        <v>11370</v>
      </c>
      <c r="F12093" t="s">
        <v>11371</v>
      </c>
      <c r="G12093">
        <v>318</v>
      </c>
      <c r="H12093">
        <v>345.68</v>
      </c>
      <c r="I12093">
        <v>345.67</v>
      </c>
      <c r="J12093">
        <v>0.01</v>
      </c>
    </row>
    <row r="12094" spans="1:10" x14ac:dyDescent="0.3">
      <c r="A12094" t="str">
        <f>HYPERLINK("https://us2.cloudbeds.com/connect/10074733072513#/reservations/31712353595537?display=MX394X70V&amp;reservation_id=31712353595537", "MX394X70V")</f>
        <v>MX394X70V</v>
      </c>
      <c r="B12094" t="s">
        <v>10</v>
      </c>
      <c r="C12094" t="s">
        <v>42</v>
      </c>
      <c r="D12094" t="str">
        <f>HYPERLINK("https://us2.cloudbeds.com/connect/10074733072513#/reservations/31712353595537?display=Kurt%20Seeger&amp;reservation_id=31712353595537&amp;guest_id=31712345891001", "Kurt Seeger")</f>
        <v>Kurt Seeger</v>
      </c>
      <c r="E12094" t="s">
        <v>11372</v>
      </c>
      <c r="F12094" t="s">
        <v>11373</v>
      </c>
      <c r="G12094">
        <v>198</v>
      </c>
      <c r="H12094">
        <v>215.24</v>
      </c>
      <c r="I12094">
        <v>215.23</v>
      </c>
      <c r="J12094">
        <v>0.01</v>
      </c>
    </row>
    <row r="12095" spans="1:10" x14ac:dyDescent="0.3">
      <c r="A12095" t="str">
        <f>HYPERLINK("https://us2.cloudbeds.com/connect/10074733072513#/reservations/31723641802959?display=MXC0J27DG&amp;reservation_id=31723641802959", "MXC0J27DG")</f>
        <v>MXC0J27DG</v>
      </c>
      <c r="B12095" t="s">
        <v>10</v>
      </c>
      <c r="C12095" t="s">
        <v>42</v>
      </c>
      <c r="D12095" t="str">
        <f>HYPERLINK("https://us2.cloudbeds.com/connect/10074733072513#/reservations/31723641802959?display=Rudi%20Kitching&amp;reservation_id=31723641802959&amp;guest_id=31720707854538", "Rudi Kitching")</f>
        <v>Rudi Kitching</v>
      </c>
      <c r="E12095" t="s">
        <v>11374</v>
      </c>
      <c r="F12095" t="s">
        <v>11102</v>
      </c>
      <c r="G12095">
        <v>73</v>
      </c>
      <c r="H12095">
        <v>79.36</v>
      </c>
      <c r="I12095">
        <v>79.349999999999994</v>
      </c>
      <c r="J12095">
        <v>0.01</v>
      </c>
    </row>
    <row r="12096" spans="1:10" x14ac:dyDescent="0.3">
      <c r="A12096" t="str">
        <f>HYPERLINK("https://us2.cloudbeds.com/connect/10074733072513#/reservations/31712370102411?display=MX39XFHS8&amp;reservation_id=31712370102411", "MX39XFHS8")</f>
        <v>MX39XFHS8</v>
      </c>
      <c r="B12096" t="s">
        <v>10</v>
      </c>
      <c r="C12096" t="s">
        <v>42</v>
      </c>
      <c r="D12096" t="str">
        <f>HYPERLINK("https://us2.cloudbeds.com/connect/10074733072513#/reservations/31712370102411?display=Login%20Lau&amp;reservation_id=31712370102411&amp;guest_id=31712370098359", "Login Lau")</f>
        <v>Login Lau</v>
      </c>
      <c r="E12096" t="s">
        <v>11375</v>
      </c>
      <c r="F12096" t="s">
        <v>11373</v>
      </c>
      <c r="G12096">
        <v>198</v>
      </c>
      <c r="H12096">
        <v>215.24</v>
      </c>
      <c r="I12096">
        <v>215.23</v>
      </c>
      <c r="J12096">
        <v>0.01</v>
      </c>
    </row>
    <row r="12097" spans="1:10" x14ac:dyDescent="0.3">
      <c r="A12097" t="str">
        <f>HYPERLINK("https://us2.cloudbeds.com/connect/10074733072513#/reservations/31712363524305?display=MX39CUGBN&amp;reservation_id=31712363524305", "MX39CUGBN")</f>
        <v>MX39CUGBN</v>
      </c>
      <c r="B12097" t="s">
        <v>10</v>
      </c>
      <c r="C12097" t="s">
        <v>42</v>
      </c>
      <c r="D12097" t="str">
        <f>HYPERLINK("https://us2.cloudbeds.com/connect/10074733072513#/reservations/31712363524305?display=Logan%20Miller&amp;reservation_id=31712363524305&amp;guest_id=31712353599635", "Logan Miller")</f>
        <v>Logan Miller</v>
      </c>
      <c r="E12097" t="s">
        <v>11376</v>
      </c>
      <c r="F12097" t="s">
        <v>11373</v>
      </c>
      <c r="G12097">
        <v>198</v>
      </c>
      <c r="H12097">
        <v>215.24</v>
      </c>
      <c r="I12097">
        <v>215.23</v>
      </c>
      <c r="J12097">
        <v>0.01</v>
      </c>
    </row>
    <row r="12098" spans="1:10" x14ac:dyDescent="0.3">
      <c r="A12098" t="str">
        <f>HYPERLINK("https://us2.cloudbeds.com/connect/10074733072513#/reservations/31723545227512?display=MXBV3KSNR&amp;reservation_id=31723545227512", "MXBV3KSNR")</f>
        <v>MXBV3KSNR</v>
      </c>
      <c r="B12098" t="s">
        <v>10</v>
      </c>
      <c r="C12098" t="s">
        <v>23</v>
      </c>
      <c r="D12098" t="str">
        <f>HYPERLINK("https://us2.cloudbeds.com/connect/10074733072513#/reservations/31723545227512?display=Mary%20Odegaard&amp;reservation_id=31723545227512&amp;guest_id=31723545227510", "Mary Odegaard")</f>
        <v>Mary Odegaard</v>
      </c>
      <c r="E12098" t="s">
        <v>11377</v>
      </c>
      <c r="F12098" t="s">
        <v>11247</v>
      </c>
      <c r="G12098">
        <v>119</v>
      </c>
      <c r="H12098">
        <v>129.36000000000001</v>
      </c>
      <c r="I12098">
        <v>129.35</v>
      </c>
      <c r="J12098">
        <v>0.01</v>
      </c>
    </row>
    <row r="12099" spans="1:10" x14ac:dyDescent="0.3">
      <c r="A12099" t="str">
        <f>HYPERLINK("https://us2.cloudbeds.com/connect/10074733072513#/reservations/31723632885890?display=MXC0BX33A&amp;reservation_id=31723632885890", "MXC0BX33A")</f>
        <v>MXC0BX33A</v>
      </c>
      <c r="B12099" t="s">
        <v>10</v>
      </c>
      <c r="C12099" t="s">
        <v>42</v>
      </c>
      <c r="D12099" t="str">
        <f>HYPERLINK("https://us2.cloudbeds.com/connect/10074733072513#/reservations/31723632885890?display=Matt%20Haglund&amp;reservation_id=31723632885890&amp;guest_id=31723621265638", "Matt Haglund")</f>
        <v>Matt Haglund</v>
      </c>
      <c r="E12099" t="s">
        <v>11378</v>
      </c>
      <c r="F12099" t="s">
        <v>11102</v>
      </c>
      <c r="G12099">
        <v>73</v>
      </c>
      <c r="H12099">
        <v>79.36</v>
      </c>
      <c r="I12099">
        <v>79.349999999999994</v>
      </c>
      <c r="J12099">
        <v>0.01</v>
      </c>
    </row>
    <row r="12100" spans="1:10" x14ac:dyDescent="0.3">
      <c r="A12100" t="str">
        <f>HYPERLINK("https://us2.cloudbeds.com/connect/10074733072513#/reservations/31723950231738?display=MXC8F4NE5&amp;reservation_id=31723950231738", "MXC8F4NE5")</f>
        <v>MXC8F4NE5</v>
      </c>
      <c r="B12100" t="s">
        <v>10</v>
      </c>
      <c r="C12100" t="s">
        <v>23</v>
      </c>
      <c r="D12100" t="str">
        <f>HYPERLINK("https://us2.cloudbeds.com/connect/10074733072513#/reservations/31723950231738?display=Kyle%20Sanders&amp;reservation_id=31723950231738&amp;guest_id=31723950231733", "Kyle Sanders")</f>
        <v>Kyle Sanders</v>
      </c>
      <c r="E12100" t="s">
        <v>11379</v>
      </c>
      <c r="F12100" t="s">
        <v>11360</v>
      </c>
      <c r="G12100">
        <v>102.58</v>
      </c>
      <c r="H12100">
        <v>111.51</v>
      </c>
      <c r="I12100">
        <v>111.5</v>
      </c>
      <c r="J12100">
        <v>0.01</v>
      </c>
    </row>
    <row r="12101" spans="1:10" x14ac:dyDescent="0.3">
      <c r="A12101" t="str">
        <f>HYPERLINK("https://us2.cloudbeds.com/connect/10074733072513#/reservations/31723993850080?display=MXC9XUF03&amp;reservation_id=31723993850080", "MXC9XUF03")</f>
        <v>MXC9XUF03</v>
      </c>
      <c r="B12101" t="s">
        <v>10</v>
      </c>
      <c r="C12101" t="s">
        <v>121</v>
      </c>
      <c r="D12101" t="str">
        <f>HYPERLINK("https://us2.cloudbeds.com/connect/10074733072513#/reservations/31723993850080?display=Kent%20Allen&amp;reservation_id=31723993850080&amp;guest_id=31723978621139", "Kent Allen")</f>
        <v>Kent Allen</v>
      </c>
      <c r="E12101" t="s">
        <v>11380</v>
      </c>
      <c r="F12101" t="s">
        <v>11360</v>
      </c>
      <c r="G12101">
        <v>73</v>
      </c>
      <c r="H12101">
        <v>79.36</v>
      </c>
      <c r="I12101">
        <v>79.349999999999994</v>
      </c>
      <c r="J12101">
        <v>0.01</v>
      </c>
    </row>
    <row r="12102" spans="1:10" x14ac:dyDescent="0.3">
      <c r="A12102" t="str">
        <f>HYPERLINK("https://us2.cloudbeds.com/connect/10074733072513#/reservations/31712334401755?display=MX38YC3T6&amp;reservation_id=31712334401755", "MX38YC3T6")</f>
        <v>MX38YC3T6</v>
      </c>
      <c r="B12102" t="s">
        <v>10</v>
      </c>
      <c r="C12102" t="s">
        <v>121</v>
      </c>
      <c r="D12102" t="str">
        <f>HYPERLINK("https://us2.cloudbeds.com/connect/10074733072513#/reservations/31712334401755?display=Josh%20Pape&amp;reservation_id=31712334401755&amp;guest_id=31712334397663", "Josh Pape")</f>
        <v>Josh Pape</v>
      </c>
      <c r="E12102" t="s">
        <v>11381</v>
      </c>
      <c r="F12102" t="s">
        <v>11373</v>
      </c>
      <c r="G12102">
        <v>178</v>
      </c>
      <c r="H12102">
        <v>193.5</v>
      </c>
      <c r="I12102">
        <v>193.49</v>
      </c>
      <c r="J12102">
        <v>0.01</v>
      </c>
    </row>
    <row r="12103" spans="1:10" x14ac:dyDescent="0.3">
      <c r="A12103" t="str">
        <f>HYPERLINK("https://us2.cloudbeds.com/connect/10074733072513#/reservations/31711595913396?display=MX2MPYJG2&amp;reservation_id=31711595913396", "MX2MPYJG2")</f>
        <v>MX2MPYJG2</v>
      </c>
      <c r="B12103" t="s">
        <v>10</v>
      </c>
      <c r="C12103" t="s">
        <v>42</v>
      </c>
      <c r="D12103" t="str">
        <f>HYPERLINK("https://us2.cloudbeds.com/connect/10074733072513#/reservations/31711595913396?display=Lisa%20Aslanishvili&amp;reservation_id=31711595913396&amp;guest_id=31711588131034", "Lisa Aslanishvili")</f>
        <v>Lisa Aslanishvili</v>
      </c>
      <c r="E12103" t="s">
        <v>11382</v>
      </c>
      <c r="F12103" t="s">
        <v>11371</v>
      </c>
      <c r="G12103">
        <v>318</v>
      </c>
      <c r="H12103">
        <v>345.68</v>
      </c>
      <c r="I12103">
        <v>345.67</v>
      </c>
      <c r="J12103">
        <v>0.01</v>
      </c>
    </row>
    <row r="12104" spans="1:10" x14ac:dyDescent="0.3">
      <c r="A12104" t="str">
        <f>HYPERLINK("https://us2.cloudbeds.com/connect/10074733072513#/reservations/31721815294092?display=MXAJTTUEW&amp;reservation_id=31721815294092", "MXAJTTUEW")</f>
        <v>MXAJTTUEW</v>
      </c>
      <c r="B12104" t="s">
        <v>10</v>
      </c>
      <c r="C12104" t="s">
        <v>23</v>
      </c>
      <c r="D12104" t="str">
        <f>HYPERLINK("https://us2.cloudbeds.com/connect/10074733072513#/reservations/31721815294092?display=Dan%20Attema&amp;reservation_id=31721815294092&amp;guest_id=31721815289998", "Dan Attema")</f>
        <v>Dan Attema</v>
      </c>
      <c r="E12104" t="s">
        <v>8322</v>
      </c>
      <c r="F12104" t="s">
        <v>11356</v>
      </c>
      <c r="G12104">
        <v>258</v>
      </c>
      <c r="H12104">
        <v>280.45999999999998</v>
      </c>
      <c r="I12104">
        <v>280.45</v>
      </c>
      <c r="J12104">
        <v>0.01</v>
      </c>
    </row>
    <row r="12105" spans="1:10" x14ac:dyDescent="0.3">
      <c r="A12105" t="str">
        <f>HYPERLINK("https://us2.cloudbeds.com/connect/10074733072513#/reservations/31722162172061?display=MXASPDABJ&amp;reservation_id=31722162172061", "MXASPDABJ")</f>
        <v>MXASPDABJ</v>
      </c>
      <c r="B12105" t="s">
        <v>10</v>
      </c>
      <c r="C12105" t="s">
        <v>23</v>
      </c>
      <c r="D12105" t="str">
        <f>HYPERLINK("https://us2.cloudbeds.com/connect/10074733072513#/reservations/31722162172061?display=Amanda%20Sorgdrager&amp;reservation_id=31722162172061&amp;guest_id=31722154225861", "Amanda Sorgdrager")</f>
        <v>Amanda Sorgdrager</v>
      </c>
      <c r="E12105" t="s">
        <v>11383</v>
      </c>
      <c r="F12105" t="s">
        <v>11247</v>
      </c>
      <c r="G12105">
        <v>159</v>
      </c>
      <c r="H12105">
        <v>172.84</v>
      </c>
      <c r="I12105">
        <v>172.83</v>
      </c>
      <c r="J12105">
        <v>0.01</v>
      </c>
    </row>
    <row r="12106" spans="1:10" x14ac:dyDescent="0.3">
      <c r="A12106" t="str">
        <f>HYPERLINK("https://us2.cloudbeds.com/connect/10074733072513#/reservations/31723590189301?display=MXBW8HWV9&amp;reservation_id=31723590189301", "MXBW8HWV9")</f>
        <v>MXBW8HWV9</v>
      </c>
      <c r="B12106" t="s">
        <v>10</v>
      </c>
      <c r="C12106" t="s">
        <v>23</v>
      </c>
      <c r="D12106" t="str">
        <f>HYPERLINK("https://us2.cloudbeds.com/connect/10074733072513#/reservations/31723590189301?display=Hannah%20Tarrell&amp;reservation_id=31723590189301&amp;guest_id=31723581710464", "Hannah Tarrell")</f>
        <v>Hannah Tarrell</v>
      </c>
      <c r="E12106" t="s">
        <v>11384</v>
      </c>
      <c r="F12106" t="s">
        <v>11247</v>
      </c>
      <c r="G12106">
        <v>318</v>
      </c>
      <c r="H12106">
        <v>345.68</v>
      </c>
      <c r="I12106">
        <v>345.67</v>
      </c>
      <c r="J12106">
        <v>0.01</v>
      </c>
    </row>
    <row r="12107" spans="1:10" x14ac:dyDescent="0.3">
      <c r="A12107" t="str">
        <f>HYPERLINK("https://us2.cloudbeds.com/connect/10074733072513#/reservations/31719663239397?display=MX8UU7RBB&amp;reservation_id=31719663239397", "MX8UU7RBB")</f>
        <v>MX8UU7RBB</v>
      </c>
      <c r="B12107" t="s">
        <v>10</v>
      </c>
      <c r="C12107" t="s">
        <v>42</v>
      </c>
      <c r="D12107" t="str">
        <f>HYPERLINK("https://us2.cloudbeds.com/connect/10074733072513#/reservations/31719663239397?display=Doug%20Welte&amp;reservation_id=31719663239397&amp;guest_id=31719663239380", "Doug Welte")</f>
        <v>Doug Welte</v>
      </c>
      <c r="E12107" t="s">
        <v>11385</v>
      </c>
      <c r="F12107" t="s">
        <v>11373</v>
      </c>
      <c r="G12107">
        <v>73</v>
      </c>
      <c r="H12107">
        <v>79.36</v>
      </c>
      <c r="I12107">
        <v>79.349999999999994</v>
      </c>
      <c r="J12107">
        <v>0.01</v>
      </c>
    </row>
    <row r="12108" spans="1:10" x14ac:dyDescent="0.3">
      <c r="A12108" t="str">
        <f>HYPERLINK("https://us2.cloudbeds.com/connect/10074733072513#/reservations/31719691804826?display=MX8VYAN7D&amp;reservation_id=31719691804826", "MX8VYAN7D")</f>
        <v>MX8VYAN7D</v>
      </c>
      <c r="B12108" t="s">
        <v>10</v>
      </c>
      <c r="C12108" t="s">
        <v>42</v>
      </c>
      <c r="D12108" t="str">
        <f>HYPERLINK("https://us2.cloudbeds.com/connect/10074733072513#/reservations/31719691804826?display=Teddy%20Lamb&amp;reservation_id=31719691804826&amp;guest_id=31719691804824", "Teddy Lamb")</f>
        <v>Teddy Lamb</v>
      </c>
      <c r="E12108" t="s">
        <v>11387</v>
      </c>
      <c r="F12108" t="s">
        <v>11373</v>
      </c>
      <c r="G12108">
        <v>109</v>
      </c>
      <c r="H12108">
        <v>118.49</v>
      </c>
      <c r="I12108">
        <v>118.48</v>
      </c>
      <c r="J12108">
        <v>0.01</v>
      </c>
    </row>
    <row r="12109" spans="1:10" x14ac:dyDescent="0.3">
      <c r="A12109" t="str">
        <f>HYPERLINK("https://us2.cloudbeds.com/connect/10074733072513#/reservations/31719663243490?display=MX8UU7V3C&amp;reservation_id=31719663243490", "MX8UU7V3C")</f>
        <v>MX8UU7V3C</v>
      </c>
      <c r="B12109" t="s">
        <v>10</v>
      </c>
      <c r="C12109" t="s">
        <v>42</v>
      </c>
      <c r="D12109" t="str">
        <f>HYPERLINK("https://us2.cloudbeds.com/connect/10074733072513#/reservations/31719663243490?display=Kylie%20Voecks&amp;reservation_id=31719663243490&amp;guest_id=31719663243487", "Kylie Voecks")</f>
        <v>Kylie Voecks</v>
      </c>
      <c r="E12109" t="s">
        <v>11388</v>
      </c>
      <c r="F12109" t="s">
        <v>11373</v>
      </c>
      <c r="G12109">
        <v>139</v>
      </c>
      <c r="H12109">
        <v>151.1</v>
      </c>
      <c r="I12109">
        <v>151.09</v>
      </c>
      <c r="J12109">
        <v>0.01</v>
      </c>
    </row>
    <row r="12110" spans="1:10" x14ac:dyDescent="0.3">
      <c r="A12110" t="str">
        <f>HYPERLINK("https://us2.cloudbeds.com/connect/10074733072513#/reservations/31721482154205?display=MXABCWQST&amp;reservation_id=31721482154205", "MXABCWQST")</f>
        <v>MXABCWQST</v>
      </c>
      <c r="B12110" t="s">
        <v>10</v>
      </c>
      <c r="C12110" t="s">
        <v>42</v>
      </c>
      <c r="D12110" t="str">
        <f>HYPERLINK("https://us2.cloudbeds.com/connect/10074733072513#/reservations/31721482154205?display=Jessica%20Ferrell&amp;reservation_id=31721482154205&amp;guest_id=31721482154201", "Jessica Ferrell")</f>
        <v>Jessica Ferrell</v>
      </c>
      <c r="E12110" t="s">
        <v>4171</v>
      </c>
      <c r="F12110" t="s">
        <v>11373</v>
      </c>
      <c r="G12110">
        <v>89</v>
      </c>
      <c r="H12110">
        <v>96.75</v>
      </c>
      <c r="I12110">
        <v>96.74</v>
      </c>
      <c r="J12110">
        <v>0.01</v>
      </c>
    </row>
    <row r="12111" spans="1:10" x14ac:dyDescent="0.3">
      <c r="A12111" t="str">
        <f>HYPERLINK("https://us2.cloudbeds.com/connect/10074733072513#/reservations/31724017295545?display=MXCA5MSBZ&amp;reservation_id=31724017295545", "MXCA5MSBZ")</f>
        <v>MXCA5MSBZ</v>
      </c>
      <c r="B12111" t="s">
        <v>10</v>
      </c>
      <c r="C12111" t="s">
        <v>23</v>
      </c>
      <c r="D12111" t="str">
        <f>HYPERLINK("https://us2.cloudbeds.com/connect/10074733072513#/reservations/31724017295545?display=Thomas%20Kuntz&amp;reservation_id=31724017295545&amp;guest_id=31724006977761", "Thomas Kuntz")</f>
        <v>Thomas Kuntz</v>
      </c>
      <c r="E12111" t="s">
        <v>11389</v>
      </c>
      <c r="F12111" t="s">
        <v>11360</v>
      </c>
      <c r="G12111">
        <v>102.58</v>
      </c>
      <c r="H12111">
        <v>111.51</v>
      </c>
      <c r="I12111">
        <v>111.5</v>
      </c>
      <c r="J12111">
        <v>0.01</v>
      </c>
    </row>
    <row r="12112" spans="1:10" x14ac:dyDescent="0.3">
      <c r="A12112" t="str">
        <f>HYPERLINK("https://us2.cloudbeds.com/connect/10074733072513#/reservations/31721790066886?display=MXAJ8KUW6&amp;reservation_id=31721790066886", "MXAJ8KUW6")</f>
        <v>MXAJ8KUW6</v>
      </c>
      <c r="B12112" t="s">
        <v>10</v>
      </c>
      <c r="C12112" t="s">
        <v>42</v>
      </c>
      <c r="D12112" t="str">
        <f>HYPERLINK("https://us2.cloudbeds.com/connect/10074733072513#/reservations/31721790066886?display=Jessica%20Jirele&amp;reservation_id=31721790066886&amp;guest_id=31721790066884", "Jessica Jirele")</f>
        <v>Jessica Jirele</v>
      </c>
      <c r="E12112" t="s">
        <v>11391</v>
      </c>
      <c r="F12112" t="s">
        <v>11356</v>
      </c>
      <c r="G12112">
        <v>119</v>
      </c>
      <c r="H12112">
        <v>129.36000000000001</v>
      </c>
      <c r="I12112">
        <v>129.35</v>
      </c>
      <c r="J12112">
        <v>0.01</v>
      </c>
    </row>
    <row r="12113" spans="1:10" x14ac:dyDescent="0.3">
      <c r="A12113" t="str">
        <f>HYPERLINK("https://us2.cloudbeds.com/connect/10074733072513#/reservations/31724854034661?display=MXCVX8BRH&amp;reservation_id=31724854034661", "MXCVX8BRH")</f>
        <v>MXCVX8BRH</v>
      </c>
      <c r="B12113" t="s">
        <v>10</v>
      </c>
      <c r="C12113" t="s">
        <v>42</v>
      </c>
      <c r="D12113" t="str">
        <f>HYPERLINK("https://us2.cloudbeds.com/connect/10074733072513#/reservations/31724854034661?display=Cory%20Donlyn&amp;reservation_id=31724854034661&amp;guest_id=31724854034625", "Cory Donlyn")</f>
        <v>Cory Donlyn</v>
      </c>
      <c r="E12113" t="s">
        <v>11392</v>
      </c>
      <c r="F12113" t="s">
        <v>10982</v>
      </c>
      <c r="G12113">
        <v>298</v>
      </c>
      <c r="H12113">
        <v>323.94</v>
      </c>
      <c r="I12113">
        <v>323.93</v>
      </c>
      <c r="J12113">
        <v>0.01</v>
      </c>
    </row>
    <row r="12114" spans="1:10" x14ac:dyDescent="0.3">
      <c r="A12114" t="str">
        <f>HYPERLINK("https://us2.cloudbeds.com/connect/10074733072513#/reservations/31722095673584?display=MXAR2ATX7&amp;reservation_id=31722095673584", "MXAR2ATX7")</f>
        <v>MXAR2ATX7</v>
      </c>
      <c r="B12114" t="s">
        <v>10</v>
      </c>
      <c r="C12114" t="s">
        <v>42</v>
      </c>
      <c r="D12114" t="str">
        <f>HYPERLINK("https://us2.cloudbeds.com/connect/10074733072513#/reservations/31722095673584?display=Justin%20Plante&amp;reservation_id=31722095673584&amp;guest_id=31722095673581", "Justin Plante")</f>
        <v>Justin Plante</v>
      </c>
      <c r="E12114" t="s">
        <v>11393</v>
      </c>
      <c r="F12114" t="s">
        <v>11394</v>
      </c>
      <c r="G12114">
        <v>99</v>
      </c>
      <c r="H12114">
        <v>107.62</v>
      </c>
      <c r="I12114">
        <v>107.61</v>
      </c>
      <c r="J12114">
        <v>0.01</v>
      </c>
    </row>
    <row r="12115" spans="1:10" x14ac:dyDescent="0.3">
      <c r="A12115" t="str">
        <f>HYPERLINK("https://us2.cloudbeds.com/connect/10074733072513#/reservations/31721539440836?display=MXACS9TMD&amp;reservation_id=31721539440836", "MXACS9TMD")</f>
        <v>MXACS9TMD</v>
      </c>
      <c r="B12115" t="s">
        <v>10</v>
      </c>
      <c r="C12115" t="s">
        <v>42</v>
      </c>
      <c r="D12115" t="str">
        <f>HYPERLINK("https://us2.cloudbeds.com/connect/10074733072513#/reservations/31721539440836?display=Patti%20Stoeser&amp;reservation_id=31721539440836&amp;guest_id=31721539440833", "Patti Stoeser")</f>
        <v>Patti Stoeser</v>
      </c>
      <c r="E12115" t="s">
        <v>11395</v>
      </c>
      <c r="F12115" t="s">
        <v>11373</v>
      </c>
      <c r="G12115">
        <v>109</v>
      </c>
      <c r="H12115">
        <v>118.49</v>
      </c>
      <c r="I12115">
        <v>118.48</v>
      </c>
      <c r="J12115">
        <v>0.01</v>
      </c>
    </row>
    <row r="12116" spans="1:10" x14ac:dyDescent="0.3">
      <c r="A12116" t="str">
        <f>HYPERLINK("https://us2.cloudbeds.com/connect/10074733072513#/reservations/31723632889984?display=MXC0BX356&amp;reservation_id=31723632889984", "MXC0BX356")</f>
        <v>MXC0BX356</v>
      </c>
      <c r="B12116" t="s">
        <v>10</v>
      </c>
      <c r="C12116" t="s">
        <v>23</v>
      </c>
      <c r="D12116" t="str">
        <f>HYPERLINK("https://us2.cloudbeds.com/connect/10074733072513#/reservations/31723632889984?display=Rodney%20Polley&amp;reservation_id=31723632889984&amp;guest_id=31723632885948", "Rodney Polley")</f>
        <v>Rodney Polley</v>
      </c>
      <c r="E12116" t="s">
        <v>11396</v>
      </c>
      <c r="F12116" t="s">
        <v>11247</v>
      </c>
      <c r="G12116">
        <v>159</v>
      </c>
      <c r="H12116">
        <v>172.84</v>
      </c>
      <c r="I12116">
        <v>172.83</v>
      </c>
      <c r="J12116">
        <v>0.01</v>
      </c>
    </row>
    <row r="12117" spans="1:10" x14ac:dyDescent="0.3">
      <c r="A12117" t="str">
        <f>HYPERLINK("https://us2.cloudbeds.com/connect/10074733072513#/reservations/31721854275790?display=MXAKTPYAX&amp;reservation_id=31721854275790", "MXAKTPYAX")</f>
        <v>MXAKTPYAX</v>
      </c>
      <c r="B12117" t="s">
        <v>10</v>
      </c>
      <c r="C12117" t="s">
        <v>23</v>
      </c>
      <c r="D12117" t="str">
        <f>HYPERLINK("https://us2.cloudbeds.com/connect/10074733072513#/reservations/31721854275790?display=Joseph%20Trudeau&amp;reservation_id=31721854275790&amp;guest_id=31721854275785", "Joseph Trudeau")</f>
        <v>Joseph Trudeau</v>
      </c>
      <c r="E12117" t="s">
        <v>11397</v>
      </c>
      <c r="F12117" t="s">
        <v>11356</v>
      </c>
      <c r="G12117">
        <v>105.78</v>
      </c>
      <c r="H12117">
        <v>114.99</v>
      </c>
      <c r="I12117">
        <v>114.98</v>
      </c>
      <c r="J12117">
        <v>0.01</v>
      </c>
    </row>
    <row r="12118" spans="1:10" x14ac:dyDescent="0.3">
      <c r="A12118" t="str">
        <f>HYPERLINK("https://us2.cloudbeds.com/connect/10074733072513#/reservations/31721863491748?display=MXAY4X330&amp;reservation_id=31721863491748", "MXAY4X330")</f>
        <v>MXAY4X330</v>
      </c>
      <c r="B12118" t="s">
        <v>10</v>
      </c>
      <c r="C12118" t="s">
        <v>42</v>
      </c>
      <c r="D12118" t="str">
        <f>HYPERLINK("https://us2.cloudbeds.com/connect/10074733072513#/reservations/31721863491748?display=Kelly%20Price&amp;reservation_id=31721863491748&amp;guest_id=31721863491743", "Kelly Price")</f>
        <v>Kelly Price</v>
      </c>
      <c r="E12118" t="s">
        <v>11398</v>
      </c>
      <c r="F12118" t="s">
        <v>11356</v>
      </c>
      <c r="G12118">
        <v>119</v>
      </c>
      <c r="H12118">
        <v>129.36000000000001</v>
      </c>
      <c r="I12118">
        <v>129.35</v>
      </c>
      <c r="J12118">
        <v>0.01</v>
      </c>
    </row>
    <row r="12119" spans="1:10" x14ac:dyDescent="0.3">
      <c r="A12119" t="str">
        <f>HYPERLINK("https://us2.cloudbeds.com/connect/10074733072513#/reservations/31721482150110?display=MXABCWN3Q&amp;reservation_id=31721482150110", "MXABCWN3Q")</f>
        <v>MXABCWN3Q</v>
      </c>
      <c r="B12119" t="s">
        <v>10</v>
      </c>
      <c r="C12119" t="s">
        <v>121</v>
      </c>
      <c r="D12119" t="str">
        <f>HYPERLINK("https://us2.cloudbeds.com/connect/10074733072513#/reservations/31721482150110?display=Gregory%20Johnson&amp;reservation_id=31721482150110&amp;guest_id=31721476886771", "Gregory Johnson")</f>
        <v>Gregory Johnson</v>
      </c>
      <c r="E12119" t="s">
        <v>11399</v>
      </c>
      <c r="F12119" t="s">
        <v>11356</v>
      </c>
      <c r="G12119">
        <v>129</v>
      </c>
      <c r="H12119">
        <v>140.22999999999999</v>
      </c>
      <c r="I12119">
        <v>140.22</v>
      </c>
      <c r="J12119">
        <v>0.01</v>
      </c>
    </row>
    <row r="12120" spans="1:10" x14ac:dyDescent="0.3">
      <c r="A12120" t="str">
        <f>HYPERLINK("https://us2.cloudbeds.com/connect/10074733072513#/reservations/31721465004253?display=MXAAVHJHC&amp;reservation_id=31721465004253", "MXAAVHJHC")</f>
        <v>MXAAVHJHC</v>
      </c>
      <c r="B12120" t="s">
        <v>10</v>
      </c>
      <c r="C12120" t="s">
        <v>42</v>
      </c>
      <c r="D12120" t="str">
        <f>HYPERLINK("https://us2.cloudbeds.com/connect/10074733072513#/reservations/31721465004253?display=Eric%20Trottier&amp;reservation_id=31721465004253&amp;guest_id=31721465004248", "Eric Trottier")</f>
        <v>Eric Trottier</v>
      </c>
      <c r="E12120" t="s">
        <v>11400</v>
      </c>
      <c r="F12120" t="s">
        <v>11356</v>
      </c>
      <c r="G12120">
        <v>119</v>
      </c>
      <c r="H12120">
        <v>129.36000000000001</v>
      </c>
      <c r="I12120">
        <v>129.35</v>
      </c>
      <c r="J12120">
        <v>0.01</v>
      </c>
    </row>
    <row r="12121" spans="1:10" x14ac:dyDescent="0.3">
      <c r="A12121" t="str">
        <f>HYPERLINK("https://us2.cloudbeds.com/connect/10074733072513#/reservations/31722172915860?display=MXAT1F938&amp;reservation_id=31722172915860", "MXAT1F938")</f>
        <v>MXAT1F938</v>
      </c>
      <c r="B12121" t="s">
        <v>10</v>
      </c>
      <c r="C12121" t="s">
        <v>42</v>
      </c>
      <c r="D12121" t="str">
        <f>HYPERLINK("https://us2.cloudbeds.com/connect/10074733072513#/reservations/31722172915860?display=Alyssa%20Gurnsey&amp;reservation_id=31722172915860&amp;guest_id=31722172915857", "Alyssa Gurnsey")</f>
        <v>Alyssa Gurnsey</v>
      </c>
      <c r="E12121" t="s">
        <v>11401</v>
      </c>
      <c r="F12121" t="s">
        <v>11247</v>
      </c>
      <c r="G12121">
        <v>119</v>
      </c>
      <c r="H12121">
        <v>129.36000000000001</v>
      </c>
      <c r="I12121">
        <v>129.35</v>
      </c>
      <c r="J12121">
        <v>0.01</v>
      </c>
    </row>
    <row r="12122" spans="1:10" x14ac:dyDescent="0.3">
      <c r="A12122" t="str">
        <f>HYPERLINK("https://us2.cloudbeds.com/connect/10074733072513#/reservations/31718742229212?display=MX87CKBVP&amp;reservation_id=31718742229212", "MX87CKBVP")</f>
        <v>MX87CKBVP</v>
      </c>
      <c r="B12122" t="s">
        <v>10</v>
      </c>
      <c r="C12122" t="s">
        <v>23</v>
      </c>
      <c r="D12122" t="str">
        <f>HYPERLINK("https://us2.cloudbeds.com/connect/10074733072513#/reservations/31718742229212?display=Donna%20Reinertson&amp;reservation_id=31718742229212&amp;guest_id=31718742225128", "Donna Reinertson")</f>
        <v>Donna Reinertson</v>
      </c>
      <c r="E12122" t="s">
        <v>11402</v>
      </c>
      <c r="F12122" t="s">
        <v>11196</v>
      </c>
      <c r="G12122">
        <v>322.2</v>
      </c>
      <c r="H12122">
        <v>350.24</v>
      </c>
      <c r="I12122">
        <v>350.23</v>
      </c>
      <c r="J12122">
        <v>0.01</v>
      </c>
    </row>
    <row r="12123" spans="1:10" x14ac:dyDescent="0.3">
      <c r="A12123" t="str">
        <f>HYPERLINK("https://us2.cloudbeds.com/connect/10074733072513#/reservations/31721514356987?display=MXAC74TRP&amp;reservation_id=31721514356987", "MXAC74TRP")</f>
        <v>MXAC74TRP</v>
      </c>
      <c r="B12123" t="s">
        <v>10</v>
      </c>
      <c r="C12123" t="s">
        <v>42</v>
      </c>
      <c r="D12123" t="str">
        <f>HYPERLINK("https://us2.cloudbeds.com/connect/10074733072513#/reservations/31721514356987?display=Hannah%20Dostal&amp;reservation_id=31721514356987&amp;guest_id=31721499730074", "Hannah Dostal")</f>
        <v>Hannah Dostal</v>
      </c>
      <c r="E12123" t="s">
        <v>11403</v>
      </c>
      <c r="F12123" t="s">
        <v>11373</v>
      </c>
      <c r="G12123">
        <v>109</v>
      </c>
      <c r="H12123">
        <v>118.49</v>
      </c>
      <c r="I12123">
        <v>118.48</v>
      </c>
      <c r="J12123">
        <v>0.01</v>
      </c>
    </row>
    <row r="12124" spans="1:10" x14ac:dyDescent="0.3">
      <c r="A12124" t="str">
        <f>HYPERLINK("https://us2.cloudbeds.com/connect/10074733072513#/reservations/31723571445979?display=MXBVPZEER&amp;reservation_id=31723571445979", "MXBVPZEER")</f>
        <v>MXBVPZEER</v>
      </c>
      <c r="B12124" t="s">
        <v>10</v>
      </c>
      <c r="C12124" t="s">
        <v>23</v>
      </c>
      <c r="D12124" t="str">
        <f>HYPERLINK("https://us2.cloudbeds.com/connect/10074733072513#/reservations/31723571445979?display=Clay%20Caudill&amp;reservation_id=31723571445979&amp;guest_id=31723571441895", "Clay Caudill")</f>
        <v>Clay Caudill</v>
      </c>
      <c r="E12124" t="s">
        <v>9884</v>
      </c>
      <c r="F12124" t="s">
        <v>11247</v>
      </c>
      <c r="G12124">
        <v>238</v>
      </c>
      <c r="H12124">
        <v>258.72000000000003</v>
      </c>
      <c r="I12124">
        <v>258.70999999999998</v>
      </c>
      <c r="J12124">
        <v>0.01</v>
      </c>
    </row>
    <row r="12125" spans="1:10" x14ac:dyDescent="0.3">
      <c r="A12125" t="str">
        <f>HYPERLINK("https://us2.cloudbeds.com/connect/10074733072513#/reservations/31719655022736?display=MX8UNA66K&amp;reservation_id=31719655022736", "MX8UNA66K")</f>
        <v>MX8UNA66K</v>
      </c>
      <c r="B12125" t="s">
        <v>10</v>
      </c>
      <c r="C12125" t="s">
        <v>42</v>
      </c>
      <c r="D12125" t="str">
        <f>HYPERLINK("https://us2.cloudbeds.com/connect/10074733072513#/reservations/31719655022736?display=Adam%20Hull&amp;reservation_id=31719655022736&amp;guest_id=31702235377882", "Adam Hull")</f>
        <v>Adam Hull</v>
      </c>
      <c r="E12125" t="s">
        <v>6474</v>
      </c>
      <c r="F12125" t="s">
        <v>11373</v>
      </c>
      <c r="G12125">
        <v>73</v>
      </c>
      <c r="H12125">
        <v>79.36</v>
      </c>
      <c r="I12125">
        <v>79.349999999999994</v>
      </c>
      <c r="J12125">
        <v>0.01</v>
      </c>
    </row>
    <row r="12126" spans="1:10" x14ac:dyDescent="0.3">
      <c r="A12126" t="str">
        <f>HYPERLINK("https://us2.cloudbeds.com/connect/10074733072513#/reservations/31723985694941?display=MXC9C1HBM&amp;reservation_id=31723985694941", "MXC9C1HBM")</f>
        <v>MXC9C1HBM</v>
      </c>
      <c r="B12126" t="s">
        <v>10</v>
      </c>
      <c r="C12126" t="s">
        <v>23</v>
      </c>
      <c r="D12126" t="str">
        <f>HYPERLINK("https://us2.cloudbeds.com/connect/10074733072513#/reservations/31723985694941?display=Jayme%20Williams&amp;reservation_id=31723985694941&amp;guest_id=31711940866197", "Jayme Williams")</f>
        <v>Jayme Williams</v>
      </c>
      <c r="E12126" t="s">
        <v>11404</v>
      </c>
      <c r="F12126" t="s">
        <v>11356</v>
      </c>
      <c r="G12126">
        <v>119</v>
      </c>
      <c r="H12126">
        <v>129.36000000000001</v>
      </c>
      <c r="I12126">
        <v>129.35</v>
      </c>
      <c r="J12126">
        <v>0.01</v>
      </c>
    </row>
    <row r="12127" spans="1:10" x14ac:dyDescent="0.3">
      <c r="A12127" t="str">
        <f>HYPERLINK("https://us2.cloudbeds.com/connect/10074733072513#/reservations/31722213261565?display=MXAU2FVGC&amp;reservation_id=31722213261565", "MXAU2FVGC")</f>
        <v>MXAU2FVGC</v>
      </c>
      <c r="B12127" t="s">
        <v>10</v>
      </c>
      <c r="C12127" t="s">
        <v>23</v>
      </c>
      <c r="D12127" t="str">
        <f>HYPERLINK("https://us2.cloudbeds.com/connect/10074733072513#/reservations/31722213261565?display=Stephanie%20Chute&amp;reservation_id=31722213261565&amp;guest_id=31722213261560", "Stephanie Chute")</f>
        <v>Stephanie Chute</v>
      </c>
      <c r="E12127" t="s">
        <v>11406</v>
      </c>
      <c r="F12127" t="s">
        <v>11247</v>
      </c>
      <c r="G12127">
        <v>97.74</v>
      </c>
      <c r="H12127">
        <v>106.25</v>
      </c>
      <c r="I12127">
        <v>106.24</v>
      </c>
      <c r="J12127">
        <v>0.01</v>
      </c>
    </row>
    <row r="12128" spans="1:10" x14ac:dyDescent="0.3">
      <c r="A12128" t="str">
        <f>HYPERLINK("https://us2.cloudbeds.com/connect/10074733072513#/reservations/31719316386011?display=MX8M1P40M&amp;reservation_id=31719316386011", "MX8M1P40M")</f>
        <v>MX8M1P40M</v>
      </c>
      <c r="B12128" t="s">
        <v>10</v>
      </c>
      <c r="C12128" t="s">
        <v>23</v>
      </c>
      <c r="D12128" t="str">
        <f>HYPERLINK("https://us2.cloudbeds.com/connect/10074733072513#/reservations/31719316386011?display=Joel%20Kroll&amp;reservation_id=31719316386011&amp;guest_id=31719316381909", "Joel Kroll")</f>
        <v>Joel Kroll</v>
      </c>
      <c r="E12128" t="s">
        <v>11409</v>
      </c>
      <c r="F12128" t="s">
        <v>11230</v>
      </c>
      <c r="G12128">
        <v>178</v>
      </c>
      <c r="H12128">
        <v>193.5</v>
      </c>
      <c r="I12128">
        <v>193.49</v>
      </c>
      <c r="J12128">
        <v>0.01</v>
      </c>
    </row>
    <row r="12129" spans="1:10" x14ac:dyDescent="0.3">
      <c r="A12129" t="str">
        <f>HYPERLINK("https://us2.cloudbeds.com/connect/10074733072513#/reservations/31723651309737?display=MXC0R2P7N&amp;reservation_id=31723651309737", "MXC0R2P7N")</f>
        <v>MXC0R2P7N</v>
      </c>
      <c r="B12129" t="s">
        <v>10</v>
      </c>
      <c r="C12129" t="s">
        <v>42</v>
      </c>
      <c r="D12129" t="str">
        <f>HYPERLINK("https://us2.cloudbeds.com/connect/10074733072513#/reservations/31723651309737?display=Chad%20Reilly&amp;reservation_id=31723651309737&amp;guest_id=31723641807055", "Chad Reilly")</f>
        <v>Chad Reilly</v>
      </c>
      <c r="E12129" t="s">
        <v>11410</v>
      </c>
      <c r="F12129" t="s">
        <v>11247</v>
      </c>
      <c r="G12129">
        <v>159</v>
      </c>
      <c r="H12129">
        <v>172.84</v>
      </c>
      <c r="I12129">
        <v>172.83</v>
      </c>
      <c r="J12129">
        <v>0.01</v>
      </c>
    </row>
    <row r="12130" spans="1:10" x14ac:dyDescent="0.3">
      <c r="A12130" t="str">
        <f>HYPERLINK("https://us2.cloudbeds.com/connect/10074733072513#/reservations/31722203746473?display=MXATRF618&amp;reservation_id=31722203746473", "MXATRF618")</f>
        <v>MXATRF618</v>
      </c>
      <c r="B12130" t="s">
        <v>10</v>
      </c>
      <c r="C12130" t="s">
        <v>42</v>
      </c>
      <c r="D12130" t="str">
        <f>HYPERLINK("https://us2.cloudbeds.com/connect/10074733072513#/reservations/31722203746473?display=Amber%20Braithwaite&amp;reservation_id=31722203746473&amp;guest_id=31692950859935", "Amber Braithwaite")</f>
        <v>Amber Braithwaite</v>
      </c>
      <c r="E12130" t="s">
        <v>7904</v>
      </c>
      <c r="F12130" t="s">
        <v>11247</v>
      </c>
      <c r="G12130">
        <v>119</v>
      </c>
      <c r="H12130">
        <v>129.36000000000001</v>
      </c>
      <c r="I12130">
        <v>129.35</v>
      </c>
      <c r="J12130">
        <v>0.01</v>
      </c>
    </row>
    <row r="12131" spans="1:10" x14ac:dyDescent="0.3">
      <c r="A12131" t="str">
        <f>HYPERLINK("https://us2.cloudbeds.com/connect/10074733072513#/reservations/31722402181371?display=MXB1TPUXW&amp;reservation_id=31722402181371", "MXB1TPUXW")</f>
        <v>MXB1TPUXW</v>
      </c>
      <c r="B12131" t="s">
        <v>10</v>
      </c>
      <c r="C12131" t="s">
        <v>42</v>
      </c>
      <c r="D12131" t="str">
        <f>HYPERLINK("https://us2.cloudbeds.com/connect/10074733072513#/reservations/31722402181371?display=Russ%20Furby&amp;reservation_id=31722402181371&amp;guest_id=31722402181361", "Russ Furby")</f>
        <v>Russ Furby</v>
      </c>
      <c r="E12131" t="s">
        <v>11411</v>
      </c>
      <c r="F12131" t="s">
        <v>11216</v>
      </c>
      <c r="G12131">
        <v>198</v>
      </c>
      <c r="H12131">
        <v>215.24</v>
      </c>
      <c r="I12131">
        <v>215.23</v>
      </c>
      <c r="J12131">
        <v>0.01</v>
      </c>
    </row>
    <row r="12132" spans="1:10" x14ac:dyDescent="0.3">
      <c r="A12132" t="str">
        <f>HYPERLINK("https://us2.cloudbeds.com/connect/10074733072513#/reservations/31722978111652?display=MXBGKE15Z&amp;reservation_id=31722978111652", "MXBGKE15Z")</f>
        <v>MXBGKE15Z</v>
      </c>
      <c r="B12132" t="s">
        <v>10</v>
      </c>
      <c r="C12132" t="s">
        <v>23</v>
      </c>
      <c r="D12132" t="str">
        <f>HYPERLINK("https://us2.cloudbeds.com/connect/10074733072513#/reservations/31722978111652?display=Jayme%20Williams&amp;reservation_id=31722978111652&amp;guest_id=31711940866197", "Jayme Williams")</f>
        <v>Jayme Williams</v>
      </c>
      <c r="E12132" t="s">
        <v>11404</v>
      </c>
      <c r="F12132" t="s">
        <v>11247</v>
      </c>
      <c r="G12132">
        <v>149</v>
      </c>
      <c r="H12132">
        <v>161.97</v>
      </c>
      <c r="I12132">
        <v>161.96</v>
      </c>
      <c r="J12132">
        <v>0.01</v>
      </c>
    </row>
    <row r="12133" spans="1:10" x14ac:dyDescent="0.3">
      <c r="A12133" t="str">
        <f>HYPERLINK("https://us2.cloudbeds.com/connect/10074733072513#/reservations/31715515334827?display=MX5NUK8TF&amp;reservation_id=31715515334827", "MX5NUK8TF")</f>
        <v>MX5NUK8TF</v>
      </c>
      <c r="B12133" t="s">
        <v>10</v>
      </c>
      <c r="C12133" t="s">
        <v>23</v>
      </c>
      <c r="D12133" t="str">
        <f>HYPERLINK("https://us2.cloudbeds.com/connect/10074733072513#/reservations/31715515334827?display=Michael%20Lemon&amp;reservation_id=31715515334827&amp;guest_id=31715506254031", "Michael Lemon")</f>
        <v>Michael Lemon</v>
      </c>
      <c r="E12133" t="s">
        <v>11414</v>
      </c>
      <c r="F12133" t="s">
        <v>10695</v>
      </c>
      <c r="G12133">
        <v>298</v>
      </c>
      <c r="H12133">
        <v>323.94</v>
      </c>
      <c r="I12133">
        <v>323.93</v>
      </c>
      <c r="J12133">
        <v>0.01</v>
      </c>
    </row>
    <row r="12134" spans="1:10" x14ac:dyDescent="0.3">
      <c r="A12134" t="str">
        <f>HYPERLINK("https://us2.cloudbeds.com/connect/10074733072513#/reservations/31723450871955?display=MXBSN29GH&amp;reservation_id=31723450871955", "MXBSN29GH")</f>
        <v>MXBSN29GH</v>
      </c>
      <c r="B12134" t="s">
        <v>10</v>
      </c>
      <c r="C12134" t="s">
        <v>23</v>
      </c>
      <c r="D12134" t="str">
        <f>HYPERLINK("https://us2.cloudbeds.com/connect/10074733072513#/reservations/31723450871955?display=Jessica%20Foster&amp;reservation_id=31723450871955&amp;guest_id=31723450871953", "Jessica Foster")</f>
        <v>Jessica Foster</v>
      </c>
      <c r="E12134" t="s">
        <v>11415</v>
      </c>
      <c r="F12134" t="s">
        <v>11216</v>
      </c>
      <c r="G12134">
        <v>298</v>
      </c>
      <c r="H12134">
        <v>323.94</v>
      </c>
      <c r="I12134">
        <v>323.93</v>
      </c>
      <c r="J12134">
        <v>0.01</v>
      </c>
    </row>
    <row r="12135" spans="1:10" x14ac:dyDescent="0.3">
      <c r="A12135" t="str">
        <f>HYPERLINK("https://us2.cloudbeds.com/connect/10074733072513#/reservations/31722423386358?display=MXB2EYWXB&amp;reservation_id=31722423386358", "MXB2EYWXB")</f>
        <v>MXB2EYWXB</v>
      </c>
      <c r="B12135" t="s">
        <v>10</v>
      </c>
      <c r="C12135" t="s">
        <v>23</v>
      </c>
      <c r="D12135" t="str">
        <f>HYPERLINK("https://us2.cloudbeds.com/connect/10074733072513#/reservations/31722423386358?display=Paul%20Beck&amp;reservation_id=31722423386358&amp;guest_id=31722423386309", "Paul Beck")</f>
        <v>Paul Beck</v>
      </c>
      <c r="E12135" t="s">
        <v>11416</v>
      </c>
      <c r="F12135" t="s">
        <v>11216</v>
      </c>
      <c r="G12135">
        <v>119</v>
      </c>
      <c r="H12135">
        <v>129.36000000000001</v>
      </c>
      <c r="I12135">
        <v>129.35</v>
      </c>
      <c r="J12135">
        <v>0.01</v>
      </c>
    </row>
    <row r="12136" spans="1:10" x14ac:dyDescent="0.3">
      <c r="A12136" t="str">
        <f>HYPERLINK("https://us2.cloudbeds.com/connect/10074733072513#/reservations/31722767675590?display=MXBB7WB9C&amp;reservation_id=31722767675590", "MXBB7WB9C")</f>
        <v>MXBB7WB9C</v>
      </c>
      <c r="B12136" t="s">
        <v>10</v>
      </c>
      <c r="C12136" t="s">
        <v>42</v>
      </c>
      <c r="D12136" t="str">
        <f>HYPERLINK("https://us2.cloudbeds.com/connect/10074733072513#/reservations/31722767675590?display=Eddie%20Sisson&amp;reservation_id=31722767675590&amp;guest_id=31722767675588", "Eddie Sisson")</f>
        <v>Eddie Sisson</v>
      </c>
      <c r="E12136" t="s">
        <v>11417</v>
      </c>
      <c r="F12136" t="s">
        <v>11257</v>
      </c>
      <c r="G12136">
        <v>642.6</v>
      </c>
      <c r="H12136">
        <v>698.52</v>
      </c>
      <c r="I12136">
        <v>698.51</v>
      </c>
      <c r="J12136">
        <v>0.01</v>
      </c>
    </row>
    <row r="12137" spans="1:10" x14ac:dyDescent="0.3">
      <c r="A12137" t="str">
        <f>HYPERLINK("https://us2.cloudbeds.com/connect/10074733072513#/reservations/31714567536797?display=MX4WNDCV1&amp;reservation_id=31714567536797", "MX4WNDCV1")</f>
        <v>MX4WNDCV1</v>
      </c>
      <c r="B12137" t="s">
        <v>10</v>
      </c>
      <c r="C12137" t="s">
        <v>42</v>
      </c>
      <c r="D12137" t="str">
        <f>HYPERLINK("https://us2.cloudbeds.com/connect/10074733072513#/reservations/31714567536797?display=Steve%20Pfaff&amp;reservation_id=31714567536797&amp;guest_id=31714567536785", "Steve Pfaff")</f>
        <v>Steve Pfaff</v>
      </c>
      <c r="E12137" t="s">
        <v>11418</v>
      </c>
      <c r="F12137" t="s">
        <v>8603</v>
      </c>
      <c r="G12137">
        <v>149</v>
      </c>
      <c r="H12137">
        <v>161.97</v>
      </c>
      <c r="I12137">
        <v>161.96</v>
      </c>
      <c r="J12137">
        <v>0.01</v>
      </c>
    </row>
    <row r="12138" spans="1:10" x14ac:dyDescent="0.3">
      <c r="A12138" t="str">
        <f>HYPERLINK("https://us2.cloudbeds.com/connect/10074733072513#/reservations/31701844443374?display=MHS4JVXXG&amp;reservation_id=31701844443374", "MHS4JVXXG")</f>
        <v>MHS4JVXXG</v>
      </c>
      <c r="B12138" t="s">
        <v>10</v>
      </c>
      <c r="C12138" t="s">
        <v>23</v>
      </c>
      <c r="D12138" t="str">
        <f>HYPERLINK("https://us2.cloudbeds.com/connect/10074733072513#/reservations/31701844443374?display=Shelly%20Meyers&amp;reservation_id=31701844443374&amp;guest_id=31701844443369", "Shelly Meyers")</f>
        <v>Shelly Meyers</v>
      </c>
      <c r="E12138" t="s">
        <v>11419</v>
      </c>
      <c r="F12138" t="s">
        <v>11420</v>
      </c>
      <c r="G12138">
        <v>189</v>
      </c>
      <c r="H12138">
        <v>205.45</v>
      </c>
      <c r="I12138">
        <v>205.44</v>
      </c>
      <c r="J12138">
        <v>0.01</v>
      </c>
    </row>
    <row r="12139" spans="1:10" x14ac:dyDescent="0.3">
      <c r="A12139" t="str">
        <f>HYPERLINK("https://us2.cloudbeds.com/connect/10074733072513#/reservations/31720648233193?display=MX9N2QZ66&amp;reservation_id=31720648233193", "MX9N2QZ66")</f>
        <v>MX9N2QZ66</v>
      </c>
      <c r="B12139" t="s">
        <v>10</v>
      </c>
      <c r="C12139" t="s">
        <v>42</v>
      </c>
      <c r="D12139" t="str">
        <f>HYPERLINK("https://us2.cloudbeds.com/connect/10074733072513#/reservations/31720648233193?display=Miranda%20Joyce&amp;reservation_id=31720648233193&amp;guest_id=31720648233190", "Miranda Joyce")</f>
        <v>Miranda Joyce</v>
      </c>
      <c r="E12139" t="s">
        <v>11421</v>
      </c>
      <c r="F12139" t="s">
        <v>11422</v>
      </c>
      <c r="G12139">
        <v>376</v>
      </c>
      <c r="H12139">
        <v>408.72</v>
      </c>
      <c r="I12139">
        <v>408.71</v>
      </c>
      <c r="J12139">
        <v>0.01</v>
      </c>
    </row>
    <row r="12140" spans="1:10" x14ac:dyDescent="0.3">
      <c r="A12140" t="str">
        <f>HYPERLINK("https://us2.cloudbeds.com/connect/10074733072513#/reservations/31700938330309?display=MHREETKQR&amp;reservation_id=31700938330309", "MHREETKQR")</f>
        <v>MHREETKQR</v>
      </c>
      <c r="B12140" t="s">
        <v>10</v>
      </c>
      <c r="C12140" t="s">
        <v>23</v>
      </c>
      <c r="D12140" t="str">
        <f>HYPERLINK("https://us2.cloudbeds.com/connect/10074733072513#/reservations/31700938330309?display=Mark%20Scholten&amp;reservation_id=31700938330309&amp;guest_id=31700933468314", "Mark Scholten")</f>
        <v>Mark Scholten</v>
      </c>
      <c r="E12140" t="s">
        <v>11423</v>
      </c>
      <c r="F12140" t="s">
        <v>11134</v>
      </c>
      <c r="G12140">
        <v>229</v>
      </c>
      <c r="H12140">
        <v>248.93</v>
      </c>
      <c r="I12140">
        <v>248.92</v>
      </c>
      <c r="J12140">
        <v>0.01</v>
      </c>
    </row>
    <row r="12141" spans="1:10" x14ac:dyDescent="0.3">
      <c r="A12141" t="str">
        <f>HYPERLINK("https://us2.cloudbeds.com/connect/10074733072513#/reservations/31718428799174?display=MX7WCANDS&amp;reservation_id=31718428799174", "MX7WCANDS")</f>
        <v>MX7WCANDS</v>
      </c>
      <c r="B12141" t="s">
        <v>10</v>
      </c>
      <c r="C12141" t="s">
        <v>23</v>
      </c>
      <c r="D12141" t="str">
        <f>HYPERLINK("https://us2.cloudbeds.com/connect/10074733072513#/reservations/31718428799174?display=Stacey%20Tveit&amp;reservation_id=31718428799174&amp;guest_id=31718418985209", "Stacey Tveit")</f>
        <v>Stacey Tveit</v>
      </c>
      <c r="E12141" t="s">
        <v>11426</v>
      </c>
      <c r="F12141" t="s">
        <v>11293</v>
      </c>
      <c r="G12141">
        <v>149</v>
      </c>
      <c r="H12141">
        <v>161.97</v>
      </c>
      <c r="I12141">
        <v>161.96</v>
      </c>
      <c r="J12141">
        <v>0.01</v>
      </c>
    </row>
    <row r="12142" spans="1:10" x14ac:dyDescent="0.3">
      <c r="A12142" t="str">
        <f>HYPERLINK("https://us2.cloudbeds.com/connect/10074733072513#/reservations/31718982873338?display=MX8DHHY41&amp;reservation_id=31718982873338", "MX8DHHY41")</f>
        <v>MX8DHHY41</v>
      </c>
      <c r="B12142" t="s">
        <v>10</v>
      </c>
      <c r="C12142" t="s">
        <v>42</v>
      </c>
      <c r="D12142" t="str">
        <f>HYPERLINK("https://us2.cloudbeds.com/connect/10074733072513#/reservations/31718982873338?display=Susie%20Haugly&amp;reservation_id=31718982873338&amp;guest_id=31718982873335", "Susie Haugly")</f>
        <v>Susie Haugly</v>
      </c>
      <c r="E12142" t="s">
        <v>11427</v>
      </c>
      <c r="F12142" t="s">
        <v>9926</v>
      </c>
      <c r="G12142">
        <v>149</v>
      </c>
      <c r="H12142">
        <v>161.97</v>
      </c>
      <c r="I12142">
        <v>161.96</v>
      </c>
      <c r="J12142">
        <v>0.01</v>
      </c>
    </row>
    <row r="12143" spans="1:10" x14ac:dyDescent="0.3">
      <c r="A12143" t="str">
        <f>HYPERLINK("https://us2.cloudbeds.com/connect/10074733072513#/reservations/31717499302039?display=MX78KX2N0&amp;reservation_id=31717499302039", "MX78KX2N0")</f>
        <v>MX78KX2N0</v>
      </c>
      <c r="B12143" t="s">
        <v>10</v>
      </c>
      <c r="C12143" t="s">
        <v>42</v>
      </c>
      <c r="D12143" t="str">
        <f>HYPERLINK("https://us2.cloudbeds.com/connect/10074733072513#/reservations/31717499302039?display=Shawn%20Smith&amp;reservation_id=31717499302039&amp;guest_id=31717499302035", "Shawn Smith")</f>
        <v>Shawn Smith</v>
      </c>
      <c r="E12143" t="s">
        <v>11428</v>
      </c>
      <c r="F12143" t="s">
        <v>11413</v>
      </c>
      <c r="G12143">
        <v>198</v>
      </c>
      <c r="H12143">
        <v>215.24</v>
      </c>
      <c r="I12143">
        <v>215.23</v>
      </c>
      <c r="J12143">
        <v>0.01</v>
      </c>
    </row>
    <row r="12144" spans="1:10" x14ac:dyDescent="0.3">
      <c r="A12144" t="str">
        <f>HYPERLINK("https://us2.cloudbeds.com/connect/10074733072513#/reservations/31722771624071?display=MXBBBA72A&amp;reservation_id=31722771624071", "MXBBBA72A")</f>
        <v>MXBBBA72A</v>
      </c>
      <c r="B12144" t="s">
        <v>10</v>
      </c>
      <c r="C12144" t="s">
        <v>23</v>
      </c>
      <c r="D12144" t="str">
        <f>HYPERLINK("https://us2.cloudbeds.com/connect/10074733072513#/reservations/31722771624071?display=Jeffrey%20Hammer&amp;reservation_id=31722771624071&amp;guest_id=31722771624066", "Jeffrey Hammer")</f>
        <v>Jeffrey Hammer</v>
      </c>
      <c r="E12144" t="s">
        <v>11430</v>
      </c>
      <c r="F12144" t="s">
        <v>11236</v>
      </c>
      <c r="G12144">
        <v>99</v>
      </c>
      <c r="H12144">
        <v>107.62</v>
      </c>
      <c r="I12144">
        <v>107.61</v>
      </c>
      <c r="J12144">
        <v>0.01</v>
      </c>
    </row>
    <row r="12145" spans="1:10" x14ac:dyDescent="0.3">
      <c r="A12145" t="str">
        <f>HYPERLINK("https://us2.cloudbeds.com/connect/10074733072513#/reservations/31722687799456?display=MXB96KM4F&amp;reservation_id=31722687799456", "MXB96KM4F")</f>
        <v>MXB96KM4F</v>
      </c>
      <c r="B12145" t="s">
        <v>10</v>
      </c>
      <c r="C12145" t="s">
        <v>23</v>
      </c>
      <c r="D12145" t="str">
        <f>HYPERLINK("https://us2.cloudbeds.com/connect/10074733072513#/reservations/31722687799456?display=Brandon%20Hofer&amp;reservation_id=31722687799456&amp;guest_id=31722687799451", "Brandon Hofer")</f>
        <v>Brandon Hofer</v>
      </c>
      <c r="E12145" t="s">
        <v>11432</v>
      </c>
      <c r="F12145" t="s">
        <v>11257</v>
      </c>
      <c r="G12145">
        <v>149</v>
      </c>
      <c r="H12145">
        <v>161.97</v>
      </c>
      <c r="I12145">
        <v>161.96</v>
      </c>
      <c r="J12145">
        <v>0.01</v>
      </c>
    </row>
    <row r="12146" spans="1:10" x14ac:dyDescent="0.3">
      <c r="A12146" t="str">
        <f>HYPERLINK("https://us2.cloudbeds.com/connect/10074733072513#/reservations/31722474418321?display=MXB3ZN0SE&amp;reservation_id=31722474418321", "MXB3ZN0SE")</f>
        <v>MXB3ZN0SE</v>
      </c>
      <c r="B12146" t="s">
        <v>10</v>
      </c>
      <c r="C12146" t="s">
        <v>42</v>
      </c>
      <c r="D12146" t="str">
        <f>HYPERLINK("https://us2.cloudbeds.com/connect/10074733072513#/reservations/31722474418321?display=Alison%20Ammon&amp;reservation_id=31722474418321&amp;guest_id=31718780616953", "Alison Ammon")</f>
        <v>Alison Ammon</v>
      </c>
      <c r="E12146" t="s">
        <v>10791</v>
      </c>
      <c r="F12146" t="s">
        <v>11114</v>
      </c>
      <c r="G12146">
        <v>298</v>
      </c>
      <c r="H12146">
        <v>323.94</v>
      </c>
      <c r="I12146">
        <v>323.93</v>
      </c>
      <c r="J12146">
        <v>0.01</v>
      </c>
    </row>
    <row r="12147" spans="1:10" x14ac:dyDescent="0.3">
      <c r="A12147" t="str">
        <f>HYPERLINK("https://us2.cloudbeds.com/connect/10074733072513#/reservations/31717474361522?display=MX77WH2FP&amp;reservation_id=31717474361522", "MX77WH2FP")</f>
        <v>MX77WH2FP</v>
      </c>
      <c r="B12147" t="s">
        <v>10</v>
      </c>
      <c r="C12147" t="s">
        <v>42</v>
      </c>
      <c r="D12147" t="str">
        <f>HYPERLINK("https://us2.cloudbeds.com/connect/10074733072513#/reservations/31717474361522?display=Alexander%20Ruble&amp;reservation_id=31717474361522&amp;guest_id=31717463666906", "Alexander Ruble")</f>
        <v>Alexander Ruble</v>
      </c>
      <c r="E12147" t="s">
        <v>8015</v>
      </c>
      <c r="F12147" t="s">
        <v>11413</v>
      </c>
      <c r="G12147">
        <v>99</v>
      </c>
      <c r="H12147">
        <v>107.62</v>
      </c>
      <c r="I12147">
        <v>107.61</v>
      </c>
      <c r="J12147">
        <v>0.01</v>
      </c>
    </row>
    <row r="12148" spans="1:10" x14ac:dyDescent="0.3">
      <c r="A12148" t="str">
        <f>HYPERLINK("https://us2.cloudbeds.com/connect/10074733072513#/reservations/31718794272916?display=MX88NGXAZ&amp;reservation_id=31718794272916", "MX88NGXAZ")</f>
        <v>MX88NGXAZ</v>
      </c>
      <c r="B12148" t="s">
        <v>10</v>
      </c>
      <c r="C12148" t="s">
        <v>42</v>
      </c>
      <c r="D12148" t="str">
        <f>HYPERLINK("https://us2.cloudbeds.com/connect/10074733072513#/reservations/31718794272916?display=Alison%20Ammon&amp;reservation_id=31718794272916&amp;guest_id=31718780616953", "Alison Ammon")</f>
        <v>Alison Ammon</v>
      </c>
      <c r="E12148" t="s">
        <v>10791</v>
      </c>
      <c r="F12148" t="s">
        <v>11114</v>
      </c>
      <c r="G12148">
        <v>298</v>
      </c>
      <c r="H12148">
        <v>323.94</v>
      </c>
      <c r="I12148">
        <v>323.93</v>
      </c>
      <c r="J12148">
        <v>0.01</v>
      </c>
    </row>
    <row r="12149" spans="1:10" x14ac:dyDescent="0.3">
      <c r="A12149" t="str">
        <f>HYPERLINK("https://us2.cloudbeds.com/connect/10074733072513#/reservations/31717519245443?display=MX794C16J&amp;reservation_id=31717519245443", "MX794C16J")</f>
        <v>MX794C16J</v>
      </c>
      <c r="B12149" t="s">
        <v>10</v>
      </c>
      <c r="C12149" t="s">
        <v>42</v>
      </c>
      <c r="D12149" t="str">
        <f>HYPERLINK("https://us2.cloudbeds.com/connect/10074733072513#/reservations/31717519245443?display=Chris%20Pilling&amp;reservation_id=31717519245443&amp;guest_id=31717508727024", "Chris Pilling")</f>
        <v>Chris Pilling</v>
      </c>
      <c r="E12149" t="s">
        <v>11428</v>
      </c>
      <c r="F12149" t="s">
        <v>11413</v>
      </c>
      <c r="G12149">
        <v>198</v>
      </c>
      <c r="H12149">
        <v>215.24</v>
      </c>
      <c r="I12149">
        <v>215.23</v>
      </c>
      <c r="J12149">
        <v>0.01</v>
      </c>
    </row>
    <row r="12150" spans="1:10" x14ac:dyDescent="0.3">
      <c r="A12150" t="str">
        <f>HYPERLINK("https://us2.cloudbeds.com/connect/10074733072513#/reservations/31720609697929?display=MX9M3AE8U&amp;reservation_id=31720609697929", "MX9M3AE8U")</f>
        <v>MX9M3AE8U</v>
      </c>
      <c r="B12150" t="s">
        <v>10</v>
      </c>
      <c r="C12150" t="s">
        <v>42</v>
      </c>
      <c r="D12150" t="str">
        <f>HYPERLINK("https://us2.cloudbeds.com/connect/10074733072513#/reservations/31720609697929?display=Joel%20Kroll&amp;reservation_id=31720609697929&amp;guest_id=31720597397743", "Joel Kroll")</f>
        <v>Joel Kroll</v>
      </c>
      <c r="E12150" t="s">
        <v>11409</v>
      </c>
      <c r="F12150" t="s">
        <v>11422</v>
      </c>
      <c r="G12150">
        <v>89</v>
      </c>
      <c r="H12150">
        <v>96.75</v>
      </c>
      <c r="I12150">
        <v>96.74</v>
      </c>
      <c r="J12150">
        <v>0.01</v>
      </c>
    </row>
    <row r="12151" spans="1:10" x14ac:dyDescent="0.3">
      <c r="A12151" t="str">
        <f>HYPERLINK("https://us2.cloudbeds.com/connect/10074733072513#/reservations/31720618504415?display=MX9MAZG14&amp;reservation_id=31720618504415", "MX9MAZG14")</f>
        <v>MX9MAZG14</v>
      </c>
      <c r="B12151" t="s">
        <v>10</v>
      </c>
      <c r="C12151" t="s">
        <v>23</v>
      </c>
      <c r="D12151" t="str">
        <f>HYPERLINK("https://us2.cloudbeds.com/connect/10074733072513#/reservations/31720618504415?display=Marrissa%20Blom&amp;reservation_id=31720618504415&amp;guest_id=31720609702020", "Marrissa Blom")</f>
        <v>Marrissa Blom</v>
      </c>
      <c r="E12151" t="s">
        <v>11433</v>
      </c>
      <c r="F12151" t="s">
        <v>11422</v>
      </c>
      <c r="G12151">
        <v>149</v>
      </c>
      <c r="H12151">
        <v>161.97</v>
      </c>
      <c r="I12151">
        <v>161.96</v>
      </c>
      <c r="J12151">
        <v>0.01</v>
      </c>
    </row>
    <row r="12152" spans="1:10" x14ac:dyDescent="0.3">
      <c r="A12152" t="str">
        <f>HYPERLINK("https://us2.cloudbeds.com/connect/10074733072513#/reservations/31717463662813?display=MX77NGC4F&amp;reservation_id=31717463662813", "MX77NGC4F")</f>
        <v>MX77NGC4F</v>
      </c>
      <c r="B12152" t="s">
        <v>10</v>
      </c>
      <c r="C12152" t="s">
        <v>23</v>
      </c>
      <c r="D12152" t="str">
        <f>HYPERLINK("https://us2.cloudbeds.com/connect/10074733072513#/reservations/31717463662813?display=Shane%20Phillips&amp;reservation_id=31717463662813&amp;guest_id=31717456662716", "Shane Phillips")</f>
        <v>Shane Phillips</v>
      </c>
      <c r="E12152" t="s">
        <v>11436</v>
      </c>
      <c r="F12152" t="s">
        <v>11413</v>
      </c>
      <c r="G12152">
        <v>119</v>
      </c>
      <c r="H12152">
        <v>129.36000000000001</v>
      </c>
      <c r="I12152">
        <v>129.35</v>
      </c>
      <c r="J12152">
        <v>0.01</v>
      </c>
    </row>
    <row r="12153" spans="1:10" x14ac:dyDescent="0.3">
      <c r="A12153" t="str">
        <f>HYPERLINK("https://us2.cloudbeds.com/connect/10074733072513#/reservations/31719337341077?display=MX8MJE7GM&amp;reservation_id=31719337341077", "MX8MJE7GM")</f>
        <v>MX8MJE7GM</v>
      </c>
      <c r="B12153" t="s">
        <v>10</v>
      </c>
      <c r="C12153" t="s">
        <v>23</v>
      </c>
      <c r="D12153" t="str">
        <f>HYPERLINK("https://us2.cloudbeds.com/connect/10074733072513#/reservations/31719337341077?display=Christina%20Bate&amp;reservation_id=31719337341077&amp;guest_id=31719337341074", "Christina Bate")</f>
        <v>Christina Bate</v>
      </c>
      <c r="E12153" t="s">
        <v>11437</v>
      </c>
      <c r="F12153" t="s">
        <v>11230</v>
      </c>
      <c r="G12153">
        <v>313.2</v>
      </c>
      <c r="H12153">
        <v>340.46</v>
      </c>
      <c r="I12153">
        <v>340.45</v>
      </c>
      <c r="J12153">
        <v>0.01</v>
      </c>
    </row>
    <row r="12154" spans="1:10" x14ac:dyDescent="0.3">
      <c r="A12154" t="str">
        <f>HYPERLINK("https://us2.cloudbeds.com/connect/10074733072513#/reservations/31720819380421?display=MX9RF455R&amp;reservation_id=31720819380421", "MX9RF455R")</f>
        <v>MX9RF455R</v>
      </c>
      <c r="B12154" t="s">
        <v>10</v>
      </c>
      <c r="C12154" t="s">
        <v>23</v>
      </c>
      <c r="D12154" t="str">
        <f>HYPERLINK("https://us2.cloudbeds.com/connect/10074733072513#/reservations/31720819380421?display=Yesenia%20Calderon&amp;reservation_id=31720819380421&amp;guest_id=31720819380416", "Yesenia Calderon")</f>
        <v>Yesenia Calderon</v>
      </c>
      <c r="E12154" t="s">
        <v>11439</v>
      </c>
      <c r="F12154" t="s">
        <v>11216</v>
      </c>
      <c r="G12154">
        <v>119</v>
      </c>
      <c r="H12154">
        <v>129.36000000000001</v>
      </c>
      <c r="I12154">
        <v>129.35</v>
      </c>
      <c r="J12154">
        <v>0.01</v>
      </c>
    </row>
    <row r="12155" spans="1:10" x14ac:dyDescent="0.3">
      <c r="A12155" t="str">
        <f>HYPERLINK("https://us2.cloudbeds.com/connect/10074733072513#/reservations/31722220048531?display=MXAU86QQ0&amp;reservation_id=31722220048531", "MXAU86QQ0")</f>
        <v>MXAU86QQ0</v>
      </c>
      <c r="B12155" t="s">
        <v>10</v>
      </c>
      <c r="C12155" t="s">
        <v>23</v>
      </c>
      <c r="D12155" t="str">
        <f>HYPERLINK("https://us2.cloudbeds.com/connect/10074733072513#/reservations/31722220048531?display=Alice%20Podvin&amp;reservation_id=31722220048531&amp;guest_id=31722213261563", "Alice Podvin")</f>
        <v>Alice Podvin</v>
      </c>
      <c r="E12155" t="s">
        <v>11440</v>
      </c>
      <c r="F12155" t="s">
        <v>11230</v>
      </c>
      <c r="G12155">
        <v>119</v>
      </c>
      <c r="H12155">
        <v>129.36000000000001</v>
      </c>
      <c r="I12155">
        <v>129.35</v>
      </c>
      <c r="J12155">
        <v>0.01</v>
      </c>
    </row>
    <row r="12156" spans="1:10" x14ac:dyDescent="0.3">
      <c r="A12156" t="str">
        <f>HYPERLINK("https://us2.cloudbeds.com/connect/10074733072513#/reservations/31722742177948?display=MXBAJFRFH&amp;reservation_id=31722742177948", "MXBAJFRFH")</f>
        <v>MXBAJFRFH</v>
      </c>
      <c r="B12156" t="s">
        <v>10</v>
      </c>
      <c r="C12156" t="s">
        <v>121</v>
      </c>
      <c r="D12156" t="str">
        <f>HYPERLINK("https://us2.cloudbeds.com/connect/10074733072513#/reservations/31722742177948?display=Charles%20Greer&amp;reservation_id=31722742177948&amp;guest_id=31722742173868", "Charles Greer")</f>
        <v>Charles Greer</v>
      </c>
      <c r="E12156" t="s">
        <v>7962</v>
      </c>
      <c r="F12156" t="s">
        <v>11236</v>
      </c>
      <c r="G12156">
        <v>99</v>
      </c>
      <c r="H12156">
        <v>107.62</v>
      </c>
      <c r="I12156">
        <v>107.61</v>
      </c>
      <c r="J12156">
        <v>0.01</v>
      </c>
    </row>
    <row r="12157" spans="1:10" x14ac:dyDescent="0.3">
      <c r="A12157" t="str">
        <f>HYPERLINK("https://us2.cloudbeds.com/connect/10074733072513#/reservations/31722793885907?display=MXBBU2MHD&amp;reservation_id=31722793885907", "MXBBU2MHD")</f>
        <v>MXBBU2MHD</v>
      </c>
      <c r="B12157" t="s">
        <v>10</v>
      </c>
      <c r="C12157" t="s">
        <v>42</v>
      </c>
      <c r="D12157" t="str">
        <f>HYPERLINK("https://us2.cloudbeds.com/connect/10074733072513#/reservations/31722793885907?display=Amanda%20Roark&amp;reservation_id=31722793885907&amp;guest_id=31722793885905", "Amanda Roark")</f>
        <v>Amanda Roark</v>
      </c>
      <c r="E12157" t="s">
        <v>4203</v>
      </c>
      <c r="F12157" t="s">
        <v>11257</v>
      </c>
      <c r="G12157">
        <v>119</v>
      </c>
      <c r="H12157">
        <v>129.36000000000001</v>
      </c>
      <c r="I12157">
        <v>129.35</v>
      </c>
      <c r="J12157">
        <v>0.01</v>
      </c>
    </row>
    <row r="12158" spans="1:10" x14ac:dyDescent="0.3">
      <c r="A12158" t="str">
        <f>HYPERLINK("https://us2.cloudbeds.com/connect/10074733072513#/reservations/31720628785331?display=MX9MJDXZ1&amp;reservation_id=31720628785331", "MX9MJDXZ1")</f>
        <v>MX9MJDXZ1</v>
      </c>
      <c r="B12158" t="s">
        <v>10</v>
      </c>
      <c r="C12158" t="s">
        <v>23</v>
      </c>
      <c r="D12158" t="str">
        <f>HYPERLINK("https://us2.cloudbeds.com/connect/10074733072513#/reservations/31720628785331?display=Heather%20Hubbell&amp;reservation_id=31720628785331&amp;guest_id=31720618508505", "Heather Hubbell")</f>
        <v>Heather Hubbell</v>
      </c>
      <c r="E12158" t="s">
        <v>11441</v>
      </c>
      <c r="F12158" t="s">
        <v>11422</v>
      </c>
      <c r="G12158">
        <v>87.82</v>
      </c>
      <c r="H12158">
        <v>95.47</v>
      </c>
      <c r="I12158">
        <v>95.46</v>
      </c>
      <c r="J12158">
        <v>0.01</v>
      </c>
    </row>
    <row r="12159" spans="1:10" x14ac:dyDescent="0.3">
      <c r="A12159" t="str">
        <f>HYPERLINK("https://us2.cloudbeds.com/connect/10074733072513#/reservations/31720508973185?display=MX9JHCKCV&amp;reservation_id=31720508973185", "MX9JHCKCV")</f>
        <v>MX9JHCKCV</v>
      </c>
      <c r="B12159" t="s">
        <v>10</v>
      </c>
      <c r="C12159" t="s">
        <v>23</v>
      </c>
      <c r="D12159" t="str">
        <f>HYPERLINK("https://us2.cloudbeds.com/connect/10074733072513#/reservations/31720508973185?display=Courtney%20Dorer&amp;reservation_id=31720508973185&amp;guest_id=31720496697557", "Courtney Dorer")</f>
        <v>Courtney Dorer</v>
      </c>
      <c r="E12159" t="s">
        <v>11442</v>
      </c>
      <c r="F12159" t="s">
        <v>10821</v>
      </c>
      <c r="G12159">
        <v>149</v>
      </c>
      <c r="H12159">
        <v>161.97</v>
      </c>
      <c r="I12159">
        <v>161.96</v>
      </c>
      <c r="J12159">
        <v>0.01</v>
      </c>
    </row>
    <row r="12160" spans="1:10" x14ac:dyDescent="0.3">
      <c r="A12160" t="str">
        <f>HYPERLINK("https://us2.cloudbeds.com/connect/10074733072513#/reservations/31720684384392?display=MX9Z09MT2&amp;reservation_id=31720684384392", "MX9Z09MT2")</f>
        <v>MX9Z09MT2</v>
      </c>
      <c r="B12160" t="s">
        <v>10</v>
      </c>
      <c r="C12160" t="s">
        <v>23</v>
      </c>
      <c r="D12160" t="str">
        <f>HYPERLINK("https://us2.cloudbeds.com/connect/10074733072513#/reservations/31720684384392?display=Shaina%20Frolik%20Frolik&amp;reservation_id=31720684384392&amp;guest_id=31720674799793", "Shaina Frolik Frolik")</f>
        <v>Shaina Frolik Frolik</v>
      </c>
      <c r="E12160" t="s">
        <v>2852</v>
      </c>
      <c r="F12160" t="s">
        <v>11422</v>
      </c>
      <c r="G12160">
        <v>87.82</v>
      </c>
      <c r="H12160">
        <v>95.47</v>
      </c>
      <c r="I12160">
        <v>95.46</v>
      </c>
      <c r="J12160">
        <v>0.01</v>
      </c>
    </row>
    <row r="12161" spans="1:10" x14ac:dyDescent="0.3">
      <c r="A12161" t="str">
        <f>HYPERLINK("https://us2.cloudbeds.com/connect/10074733072513#/reservations/31718800527548?display=MX88SPJQ1&amp;reservation_id=31718800527548", "MX88SPJQ1")</f>
        <v>MX88SPJQ1</v>
      </c>
      <c r="B12161" t="s">
        <v>10</v>
      </c>
      <c r="C12161" t="s">
        <v>23</v>
      </c>
      <c r="D12161" t="str">
        <f>HYPERLINK("https://us2.cloudbeds.com/connect/10074733072513#/reservations/31718800527548?display=John%20Maggi&amp;reservation_id=31718800527548&amp;guest_id=31718800527489", "John Maggi")</f>
        <v>John Maggi</v>
      </c>
      <c r="E12161" t="s">
        <v>9656</v>
      </c>
      <c r="F12161" t="s">
        <v>11114</v>
      </c>
      <c r="G12161">
        <v>149</v>
      </c>
      <c r="H12161">
        <v>161.97</v>
      </c>
      <c r="I12161">
        <v>161.96</v>
      </c>
      <c r="J12161">
        <v>0.01</v>
      </c>
    </row>
    <row r="12162" spans="1:10" x14ac:dyDescent="0.3">
      <c r="A12162" t="str">
        <f>HYPERLINK("https://us2.cloudbeds.com/connect/10074733072513#/reservations/31720707858639?display=MX9ZK2TYT&amp;reservation_id=31720707858639", "MX9ZK2TYT")</f>
        <v>MX9ZK2TYT</v>
      </c>
      <c r="B12162" t="s">
        <v>10</v>
      </c>
      <c r="C12162" t="s">
        <v>121</v>
      </c>
      <c r="D12162" t="str">
        <f>HYPERLINK("https://us2.cloudbeds.com/connect/10074733072513#/reservations/31720707858639?display=Rudi%20Kitching&amp;reservation_id=31720707858639&amp;guest_id=31720707854538", "Rudi Kitching")</f>
        <v>Rudi Kitching</v>
      </c>
      <c r="E12162" t="s">
        <v>11374</v>
      </c>
      <c r="F12162" t="s">
        <v>11413</v>
      </c>
      <c r="G12162">
        <v>99</v>
      </c>
      <c r="H12162">
        <v>107.62</v>
      </c>
      <c r="I12162">
        <v>107.61</v>
      </c>
      <c r="J12162">
        <v>0.01</v>
      </c>
    </row>
    <row r="12163" spans="1:10" x14ac:dyDescent="0.3">
      <c r="A12163" t="str">
        <f>HYPERLINK("https://us2.cloudbeds.com/connect/10074733072513#/reservations/31719576821905?display=MX8SNC4EF&amp;reservation_id=31719576821905", "MX8SNC4EF")</f>
        <v>MX8SNC4EF</v>
      </c>
      <c r="B12163" t="s">
        <v>10</v>
      </c>
      <c r="C12163" t="s">
        <v>42</v>
      </c>
      <c r="D12163" t="str">
        <f>HYPERLINK("https://us2.cloudbeds.com/connect/10074733072513#/reservations/31719576821905?display=Tony%20Gross&amp;reservation_id=31719576821905&amp;guest_id=31719576817814", "Tony Gross")</f>
        <v>Tony Gross</v>
      </c>
      <c r="E12163" t="s">
        <v>11445</v>
      </c>
      <c r="F12163" t="s">
        <v>11230</v>
      </c>
      <c r="G12163">
        <v>119</v>
      </c>
      <c r="H12163">
        <v>129.36000000000001</v>
      </c>
      <c r="I12163">
        <v>129.35</v>
      </c>
      <c r="J12163">
        <v>0.01</v>
      </c>
    </row>
    <row r="12164" spans="1:10" x14ac:dyDescent="0.3">
      <c r="A12164" t="str">
        <f>HYPERLINK("https://us2.cloudbeds.com/connect/10074733072513#/reservations/31722162176157?display=MXASPDE3N&amp;reservation_id=31722162176157", "MXASPDE3N")</f>
        <v>MXASPDE3N</v>
      </c>
      <c r="B12164" t="s">
        <v>10</v>
      </c>
      <c r="C12164" t="s">
        <v>23</v>
      </c>
      <c r="D12164" t="str">
        <f>HYPERLINK("https://us2.cloudbeds.com/connect/10074733072513#/reservations/31722162176157?display=Kerri%20Wilson&amp;reservation_id=31722162176157&amp;guest_id=31722162176152", "Kerri Wilson")</f>
        <v>Kerri Wilson</v>
      </c>
      <c r="E12164" t="s">
        <v>11446</v>
      </c>
      <c r="F12164" t="s">
        <v>11447</v>
      </c>
      <c r="G12164">
        <v>146.12</v>
      </c>
      <c r="H12164">
        <v>158.84</v>
      </c>
      <c r="I12164">
        <v>158.83000000000001</v>
      </c>
      <c r="J12164">
        <v>0.01</v>
      </c>
    </row>
    <row r="12165" spans="1:10" x14ac:dyDescent="0.3">
      <c r="A12165" t="str">
        <f>HYPERLINK("https://us2.cloudbeds.com/connect/10074733072513#/reservations/31720635125891?display=MX9MZP037&amp;reservation_id=31720635125891", "MX9MZP037")</f>
        <v>MX9MZP037</v>
      </c>
      <c r="B12165" t="s">
        <v>10</v>
      </c>
      <c r="C12165" t="s">
        <v>23</v>
      </c>
      <c r="D12165" t="str">
        <f>HYPERLINK("https://us2.cloudbeds.com/connect/10074733072513#/reservations/31720635125891?display=Dawn%20Gross&amp;reservation_id=31720635125891&amp;guest_id=31720635121802", "Dawn Gross")</f>
        <v>Dawn Gross</v>
      </c>
      <c r="E12165" t="s">
        <v>11448</v>
      </c>
      <c r="F12165" t="s">
        <v>11422</v>
      </c>
      <c r="G12165">
        <v>119</v>
      </c>
      <c r="H12165">
        <v>129.36000000000001</v>
      </c>
      <c r="I12165">
        <v>129.35</v>
      </c>
      <c r="J12165">
        <v>0.01</v>
      </c>
    </row>
    <row r="12166" spans="1:10" x14ac:dyDescent="0.3">
      <c r="A12166" t="str">
        <f>HYPERLINK("https://us2.cloudbeds.com/connect/10074733072513#/reservations/31722239271129?display=MXAUZDNCW&amp;reservation_id=31722239271129", "MXAUZDNCW")</f>
        <v>MXAUZDNCW</v>
      </c>
      <c r="B12166" t="s">
        <v>10</v>
      </c>
      <c r="C12166" t="s">
        <v>23</v>
      </c>
      <c r="D12166" t="str">
        <f>HYPERLINK("https://us2.cloudbeds.com/connect/10074733072513#/reservations/31722239271129?display=Brent%20Jung&amp;reservation_id=31722239271129&amp;guest_id=31722239267037", "Brent Jung")</f>
        <v>Brent Jung</v>
      </c>
      <c r="E12166" t="s">
        <v>11450</v>
      </c>
      <c r="F12166" t="s">
        <v>11230</v>
      </c>
      <c r="G12166">
        <v>119</v>
      </c>
      <c r="H12166">
        <v>129.36000000000001</v>
      </c>
      <c r="I12166">
        <v>129.35</v>
      </c>
      <c r="J12166">
        <v>0.01</v>
      </c>
    </row>
    <row r="12167" spans="1:10" x14ac:dyDescent="0.3">
      <c r="A12167" t="str">
        <f>HYPERLINK("https://us2.cloudbeds.com/connect/10074733072513#/reservations/31723496874207?display=MXBTSSC55&amp;reservation_id=31723496874207", "MXBTSSC55")</f>
        <v>MXBTSSC55</v>
      </c>
      <c r="B12167" t="s">
        <v>10</v>
      </c>
      <c r="C12167" t="s">
        <v>42</v>
      </c>
      <c r="D12167" t="str">
        <f>HYPERLINK("https://us2.cloudbeds.com/connect/10074733072513#/reservations/31723496874207?display=Ryan%20Kalina&amp;reservation_id=31723496874207&amp;guest_id=31723496874202", "Ryan Kalina")</f>
        <v>Ryan Kalina</v>
      </c>
      <c r="E12167" t="s">
        <v>10485</v>
      </c>
      <c r="F12167" t="s">
        <v>11216</v>
      </c>
      <c r="G12167">
        <v>149</v>
      </c>
      <c r="H12167">
        <v>161.97</v>
      </c>
      <c r="I12167">
        <v>161.96</v>
      </c>
      <c r="J12167">
        <v>0.01</v>
      </c>
    </row>
    <row r="12168" spans="1:10" x14ac:dyDescent="0.3">
      <c r="A12168" t="str">
        <f>HYPERLINK("https://us2.cloudbeds.com/connect/10074733072513#/reservations/31715904991376?display=MX60T617M&amp;reservation_id=31715904991376", "MX60T617M")</f>
        <v>MX60T617M</v>
      </c>
      <c r="B12168" t="s">
        <v>10</v>
      </c>
      <c r="C12168" t="s">
        <v>42</v>
      </c>
      <c r="D12168" t="str">
        <f>HYPERLINK("https://us2.cloudbeds.com/connect/10074733072513#/reservations/31715904991376?display=David%20Brink&amp;reservation_id=31715904991376&amp;guest_id=31715894296771", "David Brink")</f>
        <v>David Brink</v>
      </c>
      <c r="E12168" t="s">
        <v>11454</v>
      </c>
      <c r="F12168" t="s">
        <v>10982</v>
      </c>
      <c r="G12168">
        <v>149</v>
      </c>
      <c r="H12168">
        <v>161.97</v>
      </c>
      <c r="I12168">
        <v>161.96</v>
      </c>
      <c r="J12168">
        <v>0.01</v>
      </c>
    </row>
    <row r="12169" spans="1:10" x14ac:dyDescent="0.3">
      <c r="A12169" t="str">
        <f>HYPERLINK("https://us2.cloudbeds.com/connect/10074733072513#/reservations/31723069944026?display=MXBXVSDDV&amp;reservation_id=31723069944026", "MXBXVSDDV")</f>
        <v>MXBXVSDDV</v>
      </c>
      <c r="B12169" t="s">
        <v>10</v>
      </c>
      <c r="C12169" t="s">
        <v>23</v>
      </c>
      <c r="D12169" t="str">
        <f>HYPERLINK("https://us2.cloudbeds.com/connect/10074733072513#/reservations/31723069944026?display=Erick%20Dabbs&amp;reservation_id=31723069944026&amp;guest_id=31694796468396", "Erick Dabbs")</f>
        <v>Erick Dabbs</v>
      </c>
      <c r="E12169" t="s">
        <v>8256</v>
      </c>
      <c r="F12169" t="s">
        <v>11452</v>
      </c>
      <c r="G12169">
        <v>99</v>
      </c>
      <c r="H12169">
        <v>107.62</v>
      </c>
      <c r="I12169">
        <v>107.61</v>
      </c>
      <c r="J12169">
        <v>0.01</v>
      </c>
    </row>
    <row r="12170" spans="1:10" x14ac:dyDescent="0.3">
      <c r="A12170" t="str">
        <f>HYPERLINK("https://us2.cloudbeds.com/connect/10074733072513#/reservations/31723335614698?display=MXBPZT2QC&amp;reservation_id=31723335614698", "MXBPZT2QC")</f>
        <v>MXBPZT2QC</v>
      </c>
      <c r="B12170" t="s">
        <v>10</v>
      </c>
      <c r="C12170" t="s">
        <v>23</v>
      </c>
      <c r="D12170" t="str">
        <f>HYPERLINK("https://us2.cloudbeds.com/connect/10074733072513#/reservations/31723335614698?display=Steven%20Elias&amp;reservation_id=31723335614698&amp;guest_id=31721100812511", "Steven Elias")</f>
        <v>Steven Elias</v>
      </c>
      <c r="E12170" t="s">
        <v>11458</v>
      </c>
      <c r="F12170" t="s">
        <v>11447</v>
      </c>
      <c r="G12170">
        <v>109</v>
      </c>
      <c r="H12170">
        <v>118.49</v>
      </c>
      <c r="I12170">
        <v>118.48</v>
      </c>
      <c r="J12170">
        <v>0.01</v>
      </c>
    </row>
    <row r="12171" spans="1:10" x14ac:dyDescent="0.3">
      <c r="A12171" t="str">
        <f>HYPERLINK("https://us2.cloudbeds.com/connect/10074733072513#/reservations/31715729166498?display=MX5TCUET2&amp;reservation_id=31715729166498", "MX5TCUET2")</f>
        <v>MX5TCUET2</v>
      </c>
      <c r="B12171" t="s">
        <v>10</v>
      </c>
      <c r="C12171" t="s">
        <v>23</v>
      </c>
      <c r="D12171" t="str">
        <f>HYPERLINK("https://us2.cloudbeds.com/connect/10074733072513#/reservations/31715729166498?display=Grace%20Smith&amp;reservation_id=31715729166498&amp;guest_id=31715729166494", "Grace Smith")</f>
        <v>Grace Smith</v>
      </c>
      <c r="E12171" t="s">
        <v>11461</v>
      </c>
      <c r="F12171" t="s">
        <v>10750</v>
      </c>
      <c r="G12171">
        <v>378</v>
      </c>
      <c r="H12171">
        <v>410.9</v>
      </c>
      <c r="I12171">
        <v>410.89</v>
      </c>
      <c r="J12171">
        <v>0.01</v>
      </c>
    </row>
    <row r="12172" spans="1:10" x14ac:dyDescent="0.3">
      <c r="A12172" t="str">
        <f>HYPERLINK("https://us2.cloudbeds.com/connect/10074733072513#/reservations/31717282328760?display=MX732JFS5&amp;reservation_id=31717282328760", "MX732JFS5")</f>
        <v>MX732JFS5</v>
      </c>
      <c r="B12172" t="s">
        <v>10</v>
      </c>
      <c r="C12172" t="s">
        <v>23</v>
      </c>
      <c r="D12172" t="str">
        <f>HYPERLINK("https://us2.cloudbeds.com/connect/10074733072513#/reservations/31717282328760?display=Mackenzie%20Ellwein&amp;reservation_id=31717282328760&amp;guest_id=31717267497184", "Mackenzie Ellwein")</f>
        <v>Mackenzie Ellwein</v>
      </c>
      <c r="E12172" t="s">
        <v>11462</v>
      </c>
      <c r="F12172" t="s">
        <v>11027</v>
      </c>
      <c r="G12172">
        <v>371.94</v>
      </c>
      <c r="H12172">
        <v>404.31</v>
      </c>
      <c r="I12172">
        <v>404.3</v>
      </c>
      <c r="J12172">
        <v>0.01</v>
      </c>
    </row>
    <row r="12173" spans="1:10" x14ac:dyDescent="0.3">
      <c r="A12173" t="str">
        <f>HYPERLINK("https://us2.cloudbeds.com/connect/10074733072513#/reservations/31713917857981?display=MX4G3J406&amp;reservation_id=31713917857981", "MX4G3J406")</f>
        <v>MX4G3J406</v>
      </c>
      <c r="B12173" t="s">
        <v>10</v>
      </c>
      <c r="C12173" t="s">
        <v>42</v>
      </c>
      <c r="D12173" t="str">
        <f>HYPERLINK("https://us2.cloudbeds.com/connect/10074733072513#/reservations/31713917857981?display=Ffa%20Highmore%20School%20District&amp;reservation_id=31713917857981&amp;guest_id=31713908396257", "Ffa Highmore School District")</f>
        <v>Ffa Highmore School District</v>
      </c>
      <c r="E12173" t="s">
        <v>11463</v>
      </c>
      <c r="F12173" t="s">
        <v>11464</v>
      </c>
      <c r="G12173">
        <v>642.6</v>
      </c>
      <c r="H12173">
        <v>698.52</v>
      </c>
      <c r="I12173">
        <v>698.51</v>
      </c>
      <c r="J12173">
        <v>0.01</v>
      </c>
    </row>
    <row r="12174" spans="1:10" x14ac:dyDescent="0.3">
      <c r="A12174" t="str">
        <f>HYPERLINK("https://us2.cloudbeds.com/connect/10074733072513#/reservations/31722280370344?display=MXAVQ2BNZ&amp;reservation_id=31722280370344", "MXAVQ2BNZ")</f>
        <v>MXAVQ2BNZ</v>
      </c>
      <c r="B12174" t="s">
        <v>10</v>
      </c>
      <c r="C12174" t="s">
        <v>23</v>
      </c>
      <c r="D12174" t="str">
        <f>HYPERLINK("https://us2.cloudbeds.com/connect/10074733072513#/reservations/31722280370344?display=Trevor%20Deurmier&amp;reservation_id=31722280370344&amp;guest_id=31722280370339", "Trevor Deurmier")</f>
        <v>Trevor Deurmier</v>
      </c>
      <c r="E12174" t="s">
        <v>11465</v>
      </c>
      <c r="F12174" t="s">
        <v>11230</v>
      </c>
      <c r="G12174">
        <v>149</v>
      </c>
      <c r="H12174">
        <v>161.97</v>
      </c>
      <c r="I12174">
        <v>161.96</v>
      </c>
      <c r="J12174">
        <v>0.01</v>
      </c>
    </row>
    <row r="12175" spans="1:10" x14ac:dyDescent="0.3">
      <c r="A12175" t="str">
        <f>HYPERLINK("https://us2.cloudbeds.com/connect/10074733072513#/reservations/31713413611738?display=MX437CNW0&amp;reservation_id=31713413611738", "MX437CNW0")</f>
        <v>MX437CNW0</v>
      </c>
      <c r="B12175" t="s">
        <v>10</v>
      </c>
      <c r="C12175" t="s">
        <v>42</v>
      </c>
      <c r="D12175" t="str">
        <f>HYPERLINK("https://us2.cloudbeds.com/connect/10074733072513#/reservations/31713413611738?display=Gabby%20Zantow&amp;reservation_id=31713413611738&amp;guest_id=31713413607645", "Gabby Zantow")</f>
        <v>Gabby Zantow</v>
      </c>
      <c r="E12175" t="s">
        <v>11466</v>
      </c>
      <c r="F12175" t="s">
        <v>9834</v>
      </c>
      <c r="G12175">
        <v>398</v>
      </c>
      <c r="H12175">
        <v>432.64</v>
      </c>
      <c r="I12175">
        <v>432.63</v>
      </c>
      <c r="J12175">
        <v>0.01</v>
      </c>
    </row>
    <row r="12176" spans="1:10" x14ac:dyDescent="0.3">
      <c r="A12176" t="str">
        <f>HYPERLINK("https://us2.cloudbeds.com/connect/10074733072513#/reservations/31717402632341?display=MX76513F7&amp;reservation_id=31717402632341", "MX76513F7")</f>
        <v>MX76513F7</v>
      </c>
      <c r="B12176" t="s">
        <v>10</v>
      </c>
      <c r="C12176" t="s">
        <v>23</v>
      </c>
      <c r="D12176" t="str">
        <f>HYPERLINK("https://us2.cloudbeds.com/connect/10074733072513#/reservations/31717402632341?display=Jill%20Dibbet&amp;reservation_id=31717402632341&amp;guest_id=31717392642181", "Jill Dibbet")</f>
        <v>Jill Dibbet</v>
      </c>
      <c r="E12176" t="s">
        <v>11467</v>
      </c>
      <c r="F12176" t="s">
        <v>11302</v>
      </c>
      <c r="G12176">
        <v>149</v>
      </c>
      <c r="H12176">
        <v>161.97</v>
      </c>
      <c r="I12176">
        <v>161.96</v>
      </c>
      <c r="J12176">
        <v>0.01</v>
      </c>
    </row>
    <row r="12177" spans="1:10" x14ac:dyDescent="0.3">
      <c r="A12177" t="str">
        <f>HYPERLINK("https://us2.cloudbeds.com/connect/10074733072513#/reservations/31713406156929?display=MX43139DN&amp;reservation_id=31713406156929", "MX43139DN")</f>
        <v>MX43139DN</v>
      </c>
      <c r="B12177" t="s">
        <v>10</v>
      </c>
      <c r="C12177" t="s">
        <v>42</v>
      </c>
      <c r="D12177" t="str">
        <f>HYPERLINK("https://us2.cloudbeds.com/connect/10074733072513#/reservations/31713406156929?display=Jim%20&amp;%20Nancy%20Hawke&amp;reservation_id=31713406156929&amp;guest_id=31713406152893", "Jim &amp; Nancy Hawke")</f>
        <v>Jim &amp; Nancy Hawke</v>
      </c>
      <c r="E12177" t="s">
        <v>11468</v>
      </c>
      <c r="F12177" t="s">
        <v>9834</v>
      </c>
      <c r="G12177">
        <v>318</v>
      </c>
      <c r="H12177">
        <v>345.68</v>
      </c>
      <c r="I12177">
        <v>345.67</v>
      </c>
      <c r="J12177">
        <v>0.01</v>
      </c>
    </row>
    <row r="12178" spans="1:10" x14ac:dyDescent="0.3">
      <c r="A12178" t="str">
        <f>HYPERLINK("https://us2.cloudbeds.com/connect/10074733072513#/reservations/31722181763305?display=MXAT8UFFY&amp;reservation_id=31722181763305", "MXAT8UFFY")</f>
        <v>MXAT8UFFY</v>
      </c>
      <c r="B12178" t="s">
        <v>10</v>
      </c>
      <c r="C12178" t="s">
        <v>42</v>
      </c>
      <c r="D12178" t="str">
        <f>HYPERLINK("https://us2.cloudbeds.com/connect/10074733072513#/reservations/31722181763305?display=Casey%20Koch&amp;reservation_id=31722181763305&amp;guest_id=31722181763303", "Casey Koch")</f>
        <v>Casey Koch</v>
      </c>
      <c r="E12178" t="s">
        <v>11469</v>
      </c>
      <c r="F12178" t="s">
        <v>11447</v>
      </c>
      <c r="G12178">
        <v>119</v>
      </c>
      <c r="H12178">
        <v>129.36000000000001</v>
      </c>
      <c r="I12178">
        <v>129.35</v>
      </c>
      <c r="J12178">
        <v>0.01</v>
      </c>
    </row>
    <row r="12179" spans="1:10" x14ac:dyDescent="0.3">
      <c r="A12179" t="str">
        <f>HYPERLINK("https://us2.cloudbeds.com/connect/10074733072513#/reservations/31721100812516?display=MXA1YEDS4&amp;reservation_id=31721100812516", "MXA1YEDS4")</f>
        <v>MXA1YEDS4</v>
      </c>
      <c r="B12179" t="s">
        <v>10</v>
      </c>
      <c r="C12179" t="s">
        <v>23</v>
      </c>
      <c r="D12179" t="str">
        <f>HYPERLINK("https://us2.cloudbeds.com/connect/10074733072513#/reservations/31721100812516?display=Steven%20Elias&amp;reservation_id=31721100812516&amp;guest_id=31721100812511", "Steven Elias")</f>
        <v>Steven Elias</v>
      </c>
      <c r="E12179" t="s">
        <v>11458</v>
      </c>
      <c r="F12179" t="s">
        <v>11470</v>
      </c>
      <c r="G12179">
        <v>99</v>
      </c>
      <c r="H12179">
        <v>107.62</v>
      </c>
      <c r="I12179">
        <v>107.61</v>
      </c>
      <c r="J12179">
        <v>0.01</v>
      </c>
    </row>
    <row r="12180" spans="1:10" x14ac:dyDescent="0.3">
      <c r="A12180" t="str">
        <f>HYPERLINK("https://us2.cloudbeds.com/connect/10074733072513#/reservations/31717622178027?display=MX7BP59FQ&amp;reservation_id=31717622178027", "MX7BP59FQ")</f>
        <v>MX7BP59FQ</v>
      </c>
      <c r="B12180" t="s">
        <v>10</v>
      </c>
      <c r="C12180" t="s">
        <v>23</v>
      </c>
      <c r="D12180" t="str">
        <f>HYPERLINK("https://us2.cloudbeds.com/connect/10074733072513#/reservations/31717622178027?display=Cindy%20Ellwein&amp;reservation_id=31717622178027&amp;guest_id=31717611765908", "Cindy Ellwein")</f>
        <v>Cindy Ellwein</v>
      </c>
      <c r="E12180" t="s">
        <v>11472</v>
      </c>
      <c r="F12180" t="s">
        <v>11027</v>
      </c>
      <c r="G12180">
        <v>371.94</v>
      </c>
      <c r="H12180">
        <v>404.31</v>
      </c>
      <c r="I12180">
        <v>404.3</v>
      </c>
      <c r="J12180">
        <v>0.01</v>
      </c>
    </row>
    <row r="12181" spans="1:10" x14ac:dyDescent="0.3">
      <c r="A12181" t="str">
        <f>HYPERLINK("https://us2.cloudbeds.com/connect/10074733072513#/reservations/31721081348322?display=MXA150QD2&amp;reservation_id=31721081348322", "MXA150QD2")</f>
        <v>MXA150QD2</v>
      </c>
      <c r="B12181" t="s">
        <v>10</v>
      </c>
      <c r="C12181" t="s">
        <v>23</v>
      </c>
      <c r="D12181" t="str">
        <f>HYPERLINK("https://us2.cloudbeds.com/connect/10074733072513#/reservations/31721081348322?display=Jonny%20Efraimson&amp;reservation_id=31721081348322&amp;guest_id=31721081348310", "Jonny Efraimson")</f>
        <v>Jonny Efraimson</v>
      </c>
      <c r="E12181" t="s">
        <v>11473</v>
      </c>
      <c r="F12181" t="s">
        <v>11470</v>
      </c>
      <c r="G12181">
        <v>99</v>
      </c>
      <c r="H12181">
        <v>107.62</v>
      </c>
      <c r="I12181">
        <v>107.61</v>
      </c>
      <c r="J12181">
        <v>0.01</v>
      </c>
    </row>
    <row r="12182" spans="1:10" x14ac:dyDescent="0.3">
      <c r="A12182" t="str">
        <f>HYPERLINK("https://us2.cloudbeds.com/connect/10074733072513#/reservations/31721405505670?display=MXA9EBVHW&amp;reservation_id=31721405505670", "MXA9EBVHW")</f>
        <v>MXA9EBVHW</v>
      </c>
      <c r="B12182" t="s">
        <v>10</v>
      </c>
      <c r="C12182" t="s">
        <v>23</v>
      </c>
      <c r="D12182" t="str">
        <f>HYPERLINK("https://us2.cloudbeds.com/connect/10074733072513#/reservations/31721405505670?display=Jodie%20Davis&amp;reservation_id=31721405505670&amp;guest_id=31721405501590", "Jodie Davis")</f>
        <v>Jodie Davis</v>
      </c>
      <c r="E12182" t="s">
        <v>11474</v>
      </c>
      <c r="F12182" t="s">
        <v>11435</v>
      </c>
      <c r="G12182">
        <v>139</v>
      </c>
      <c r="H12182">
        <v>151.1</v>
      </c>
      <c r="I12182">
        <v>151.09</v>
      </c>
      <c r="J12182">
        <v>0.01</v>
      </c>
    </row>
    <row r="12183" spans="1:10" x14ac:dyDescent="0.3">
      <c r="A12183" t="str">
        <f>HYPERLINK("https://us2.cloudbeds.com/connect/10074733072513#/reservations/31721557713127?display=MXADANBY6&amp;reservation_id=31721557713127", "MXADANBY6")</f>
        <v>MXADANBY6</v>
      </c>
      <c r="B12183" t="s">
        <v>10</v>
      </c>
      <c r="C12183" t="s">
        <v>23</v>
      </c>
      <c r="D12183" t="str">
        <f>HYPERLINK("https://us2.cloudbeds.com/connect/10074733072513#/reservations/31721557713127?display=Lisa%20Smith&amp;reservation_id=31721557713127&amp;guest_id=31721553768656", "Lisa Smith")</f>
        <v>Lisa Smith</v>
      </c>
      <c r="E12183" t="s">
        <v>11475</v>
      </c>
      <c r="F12183" t="s">
        <v>11114</v>
      </c>
      <c r="G12183">
        <v>149</v>
      </c>
      <c r="H12183">
        <v>161.97</v>
      </c>
      <c r="I12183">
        <v>161.96</v>
      </c>
      <c r="J12183">
        <v>0.01</v>
      </c>
    </row>
    <row r="12184" spans="1:10" x14ac:dyDescent="0.3">
      <c r="A12184" t="str">
        <f>HYPERLINK("https://us2.cloudbeds.com/connect/10074733072513#/reservations/31720578785477?display=MX9YA885V&amp;reservation_id=31720578785477", "MX9YA885V")</f>
        <v>MX9YA885V</v>
      </c>
      <c r="B12184" t="s">
        <v>10</v>
      </c>
      <c r="C12184" t="s">
        <v>23</v>
      </c>
      <c r="D12184" t="str">
        <f>HYPERLINK("https://us2.cloudbeds.com/connect/10074733072513#/reservations/31720578785477?display=April%20Hower&amp;reservation_id=31720578785477&amp;guest_id=31720572371166", "April Hower")</f>
        <v>April Hower</v>
      </c>
      <c r="E12184" t="s">
        <v>11476</v>
      </c>
      <c r="F12184" t="s">
        <v>10821</v>
      </c>
      <c r="G12184">
        <v>179</v>
      </c>
      <c r="H12184">
        <v>194.58</v>
      </c>
      <c r="I12184">
        <v>194.57</v>
      </c>
      <c r="J12184">
        <v>0.01</v>
      </c>
    </row>
    <row r="12185" spans="1:10" x14ac:dyDescent="0.3">
      <c r="A12185" t="str">
        <f>HYPERLINK("https://us2.cloudbeds.com/connect/10074733072513#/reservations/31715013238976?display=MX5AREZSF&amp;reservation_id=31715013238976", "MX5AREZSF")</f>
        <v>MX5AREZSF</v>
      </c>
      <c r="B12185" t="s">
        <v>10</v>
      </c>
      <c r="C12185" t="s">
        <v>23</v>
      </c>
      <c r="D12185" t="str">
        <f>HYPERLINK("https://us2.cloudbeds.com/connect/10074733072513#/reservations/31715013238976?display=Matthew%20Underwood&amp;reservation_id=31715013238976&amp;guest_id=31715002814623", "Matthew Underwood")</f>
        <v>Matthew Underwood</v>
      </c>
      <c r="E12185" t="s">
        <v>11478</v>
      </c>
      <c r="F12185" t="s">
        <v>11479</v>
      </c>
      <c r="G12185">
        <v>129</v>
      </c>
      <c r="H12185">
        <v>140.22999999999999</v>
      </c>
      <c r="I12185">
        <v>140.22</v>
      </c>
      <c r="J12185">
        <v>0.01</v>
      </c>
    </row>
    <row r="12186" spans="1:10" x14ac:dyDescent="0.3">
      <c r="A12186" t="str">
        <f>HYPERLINK("https://us2.cloudbeds.com/connect/10074733072513#/reservations/31723142181044?display=MXBKQPGPG&amp;reservation_id=31723142181044", "MXBKQPGPG")</f>
        <v>MXBKQPGPG</v>
      </c>
      <c r="B12186" t="s">
        <v>10</v>
      </c>
      <c r="C12186" t="s">
        <v>23</v>
      </c>
      <c r="D12186" t="str">
        <f>HYPERLINK("https://us2.cloudbeds.com/connect/10074733072513#/reservations/31723142181044?display=Cal%20Post&amp;reservation_id=31723142181044&amp;guest_id=31723142181012", "Cal Post")</f>
        <v>Cal Post</v>
      </c>
      <c r="E12186" t="s">
        <v>11480</v>
      </c>
      <c r="F12186" t="s">
        <v>11452</v>
      </c>
      <c r="G12186">
        <v>99</v>
      </c>
      <c r="H12186">
        <v>107.62</v>
      </c>
      <c r="I12186">
        <v>107.61</v>
      </c>
      <c r="J12186">
        <v>0.01</v>
      </c>
    </row>
    <row r="12187" spans="1:10" x14ac:dyDescent="0.3">
      <c r="A12187" t="str">
        <f>HYPERLINK("https://us2.cloudbeds.com/connect/10074733072513#/reservations/31719163986064?display=MX8X58C5F&amp;reservation_id=31719163986064", "MX8X58C5F")</f>
        <v>MX8X58C5F</v>
      </c>
      <c r="B12187" t="s">
        <v>10</v>
      </c>
      <c r="C12187" t="s">
        <v>23</v>
      </c>
      <c r="D12187" t="str">
        <f>HYPERLINK("https://us2.cloudbeds.com/connect/10074733072513#/reservations/31719163986064?display=Jane%20Conway&amp;reservation_id=31719163986064&amp;guest_id=31719163981978", "Jane Conway")</f>
        <v>Jane Conway</v>
      </c>
      <c r="E12187" t="s">
        <v>11484</v>
      </c>
      <c r="F12187" t="s">
        <v>11485</v>
      </c>
      <c r="G12187">
        <v>149</v>
      </c>
      <c r="H12187">
        <v>161.97</v>
      </c>
      <c r="I12187">
        <v>161.96</v>
      </c>
      <c r="J12187">
        <v>0.01</v>
      </c>
    </row>
    <row r="12188" spans="1:10" x14ac:dyDescent="0.3">
      <c r="A12188" t="str">
        <f>HYPERLINK("https://us2.cloudbeds.com/connect/10074733072513#/reservations/31714474389742?display=MX4UASEF0&amp;reservation_id=31714474389742", "MX4UASEF0")</f>
        <v>MX4UASEF0</v>
      </c>
      <c r="B12188" t="s">
        <v>10</v>
      </c>
      <c r="C12188" t="s">
        <v>23</v>
      </c>
      <c r="D12188" t="str">
        <f>HYPERLINK("https://us2.cloudbeds.com/connect/10074733072513#/reservations/31714474389742?display=Leann%20Ness&amp;reservation_id=31714474389742&amp;guest_id=31714464411803", "Leann Ness")</f>
        <v>Leann Ness</v>
      </c>
      <c r="E12188" t="s">
        <v>11487</v>
      </c>
      <c r="F12188" t="s">
        <v>10695</v>
      </c>
      <c r="G12188">
        <v>298</v>
      </c>
      <c r="H12188">
        <v>323.94</v>
      </c>
      <c r="I12188">
        <v>323.93</v>
      </c>
      <c r="J12188">
        <v>0.01</v>
      </c>
    </row>
    <row r="12189" spans="1:10" x14ac:dyDescent="0.3">
      <c r="A12189" t="str">
        <f>HYPERLINK("https://us2.cloudbeds.com/connect/10074733072513#/reservations/31717420318869?display=MX76JV8HJ&amp;reservation_id=31717420318869", "MX76JV8HJ")</f>
        <v>MX76JV8HJ</v>
      </c>
      <c r="B12189" t="s">
        <v>10</v>
      </c>
      <c r="C12189" t="s">
        <v>23</v>
      </c>
      <c r="D12189" t="str">
        <f>HYPERLINK("https://us2.cloudbeds.com/connect/10074733072513#/reservations/31717420318869?display=Cal%20Post&amp;reservation_id=31717420318869&amp;guest_id=31717420314788", "Cal Post")</f>
        <v>Cal Post</v>
      </c>
      <c r="E12189" t="s">
        <v>11488</v>
      </c>
      <c r="F12189" t="s">
        <v>11302</v>
      </c>
      <c r="G12189">
        <v>119</v>
      </c>
      <c r="H12189">
        <v>129.36000000000001</v>
      </c>
      <c r="I12189">
        <v>129.35</v>
      </c>
      <c r="J12189">
        <v>0.01</v>
      </c>
    </row>
    <row r="12190" spans="1:10" x14ac:dyDescent="0.3">
      <c r="A12190" t="str">
        <f>HYPERLINK("https://us2.cloudbeds.com/connect/10074733072513#/reservations/31720774385808?display=MX9QA63QN&amp;reservation_id=31720774385808", "MX9QA63QN")</f>
        <v>MX9QA63QN</v>
      </c>
      <c r="B12190" t="s">
        <v>10</v>
      </c>
      <c r="C12190" t="s">
        <v>42</v>
      </c>
      <c r="D12190" t="str">
        <f>HYPERLINK("https://us2.cloudbeds.com/connect/10074733072513#/reservations/31720774385808?display=Cathy%20Kreeger&amp;reservation_id=31720774385808&amp;guest_id=31687459147913", "Cathy Kreeger")</f>
        <v>Cathy Kreeger</v>
      </c>
      <c r="E12190" t="s">
        <v>6968</v>
      </c>
      <c r="F12190" t="s">
        <v>11216</v>
      </c>
      <c r="G12190">
        <v>149</v>
      </c>
      <c r="H12190">
        <v>161.97</v>
      </c>
      <c r="I12190">
        <v>161.96</v>
      </c>
      <c r="J12190">
        <v>0.01</v>
      </c>
    </row>
    <row r="12191" spans="1:10" x14ac:dyDescent="0.3">
      <c r="A12191" t="str">
        <f>HYPERLINK("https://us2.cloudbeds.com/connect/10074733072513#/reservations/31723039350924?display=MXBX623J8&amp;reservation_id=31723039350924", "MXBX623J8")</f>
        <v>MXBX623J8</v>
      </c>
      <c r="B12191" t="s">
        <v>10</v>
      </c>
      <c r="C12191" t="s">
        <v>42</v>
      </c>
      <c r="D12191" t="str">
        <f>HYPERLINK("https://us2.cloudbeds.com/connect/10074733072513#/reservations/31723039350924?display=Jenny%20Bercezyk&amp;reservation_id=31723039350924&amp;guest_id=31723039346844", "Jenny Bercezyk")</f>
        <v>Jenny Bercezyk</v>
      </c>
      <c r="E12191" t="s">
        <v>11489</v>
      </c>
      <c r="F12191" t="s">
        <v>11261</v>
      </c>
      <c r="G12191">
        <v>99</v>
      </c>
      <c r="H12191">
        <v>107.62</v>
      </c>
      <c r="I12191">
        <v>107.61</v>
      </c>
      <c r="J12191">
        <v>0.01</v>
      </c>
    </row>
    <row r="12192" spans="1:10" x14ac:dyDescent="0.3">
      <c r="A12192" t="str">
        <f>HYPERLINK("https://us2.cloudbeds.com/connect/10074733072513#/reservations/31718449692914?display=MX7WTV3JG&amp;reservation_id=31718449692914", "MX7WTV3JG")</f>
        <v>MX7WTV3JG</v>
      </c>
      <c r="B12192" t="s">
        <v>10</v>
      </c>
      <c r="C12192" t="s">
        <v>23</v>
      </c>
      <c r="D12192" t="str">
        <f>HYPERLINK("https://us2.cloudbeds.com/connect/10074733072513#/reservations/31718449692914?display=Jenny%20Dierkhising&amp;reservation_id=31718449692914&amp;guest_id=31718439125154", "Jenny Dierkhising")</f>
        <v>Jenny Dierkhising</v>
      </c>
      <c r="E12192" t="s">
        <v>11490</v>
      </c>
      <c r="F12192" t="s">
        <v>11293</v>
      </c>
      <c r="G12192">
        <v>278</v>
      </c>
      <c r="H12192">
        <v>302.2</v>
      </c>
      <c r="I12192">
        <v>302.19</v>
      </c>
      <c r="J12192">
        <v>0.01</v>
      </c>
    </row>
    <row r="12193" spans="1:10" x14ac:dyDescent="0.3">
      <c r="A12193" t="str">
        <f>HYPERLINK("https://us2.cloudbeds.com/connect/10074733072513#/reservations/31717385711861?display=MX75NP8RD&amp;reservation_id=31717385711861", "MX75NP8RD")</f>
        <v>MX75NP8RD</v>
      </c>
      <c r="B12193" t="s">
        <v>10</v>
      </c>
      <c r="C12193" t="s">
        <v>23</v>
      </c>
      <c r="D12193" t="str">
        <f>HYPERLINK("https://us2.cloudbeds.com/connect/10074733072513#/reservations/31717385711861?display=Cory%20Weins&amp;reservation_id=31717385711861&amp;guest_id=31717385711856", "Cory Weins")</f>
        <v>Cory Weins</v>
      </c>
      <c r="E12193" t="s">
        <v>11491</v>
      </c>
      <c r="F12193" t="s">
        <v>11302</v>
      </c>
      <c r="G12193">
        <v>119</v>
      </c>
      <c r="H12193">
        <v>129.36000000000001</v>
      </c>
      <c r="I12193">
        <v>129.35</v>
      </c>
      <c r="J12193">
        <v>0.01</v>
      </c>
    </row>
    <row r="12194" spans="1:10" x14ac:dyDescent="0.3">
      <c r="A12194" t="str">
        <f>HYPERLINK("https://us2.cloudbeds.com/connect/10074733072513#/reservations/31713344622786?display=MX41F707N&amp;reservation_id=31713344622786", "MX41F707N")</f>
        <v>MX41F707N</v>
      </c>
      <c r="B12194" t="s">
        <v>10</v>
      </c>
      <c r="C12194" t="s">
        <v>42</v>
      </c>
      <c r="D12194" t="str">
        <f>HYPERLINK("https://us2.cloudbeds.com/connect/10074733072513#/reservations/31713344622786?display=Rob%20Roberg&amp;reservation_id=31713344622786&amp;guest_id=31713335881905", "Rob Roberg")</f>
        <v>Rob Roberg</v>
      </c>
      <c r="E12194" t="s">
        <v>11492</v>
      </c>
      <c r="F12194" t="s">
        <v>8603</v>
      </c>
      <c r="G12194">
        <v>318</v>
      </c>
      <c r="H12194">
        <v>345.68</v>
      </c>
      <c r="I12194">
        <v>345.67</v>
      </c>
      <c r="J12194">
        <v>0.01</v>
      </c>
    </row>
    <row r="12195" spans="1:10" x14ac:dyDescent="0.3">
      <c r="A12195" t="str">
        <f>HYPERLINK("https://us2.cloudbeds.com/connect/10074733072513#/reservations/31722228867303?display=MXAUFY6RH&amp;reservation_id=31722228867303", "MXAUFY6RH")</f>
        <v>MXAUFY6RH</v>
      </c>
      <c r="B12195" t="s">
        <v>10</v>
      </c>
      <c r="C12195" t="s">
        <v>23</v>
      </c>
      <c r="D12195" t="str">
        <f>HYPERLINK("https://us2.cloudbeds.com/connect/10074733072513#/reservations/31722228867303?display=Brandi%20Bourquin&amp;reservation_id=31722228867303&amp;guest_id=31722220052624", "Brandi Bourquin")</f>
        <v>Brandi Bourquin</v>
      </c>
      <c r="E12195" t="s">
        <v>11495</v>
      </c>
      <c r="F12195" t="s">
        <v>11230</v>
      </c>
      <c r="G12195">
        <v>119</v>
      </c>
      <c r="H12195">
        <v>129.36000000000001</v>
      </c>
      <c r="I12195">
        <v>129.35</v>
      </c>
      <c r="J12195">
        <v>0.01</v>
      </c>
    </row>
    <row r="12196" spans="1:10" x14ac:dyDescent="0.3">
      <c r="A12196" t="str">
        <f>HYPERLINK("https://us2.cloudbeds.com/connect/10074733072513#/reservations/31722429399179?display=MXB2JZ9W1&amp;reservation_id=31722429399179", "MXB2JZ9W1")</f>
        <v>MXB2JZ9W1</v>
      </c>
      <c r="B12196" t="s">
        <v>10</v>
      </c>
      <c r="C12196" t="s">
        <v>42</v>
      </c>
      <c r="D12196" t="str">
        <f>HYPERLINK("https://us2.cloudbeds.com/connect/10074733072513#/reservations/31722429399179?display=Ryan%20Schaefer&amp;reservation_id=31722429399179&amp;guest_id=31722429395098", "Ryan Schaefer")</f>
        <v>Ryan Schaefer</v>
      </c>
      <c r="E12196" t="s">
        <v>11497</v>
      </c>
      <c r="F12196" t="s">
        <v>11216</v>
      </c>
      <c r="G12196">
        <v>149</v>
      </c>
      <c r="H12196">
        <v>161.97</v>
      </c>
      <c r="I12196">
        <v>161.96</v>
      </c>
      <c r="J12196">
        <v>0.01</v>
      </c>
    </row>
    <row r="12197" spans="1:10" x14ac:dyDescent="0.3">
      <c r="A12197" t="str">
        <f>HYPERLINK("https://us2.cloudbeds.com/connect/10074733072513#/reservations/31717370687622?display=MX75B36FE&amp;reservation_id=31717370687622", "MX75B36FE")</f>
        <v>MX75B36FE</v>
      </c>
      <c r="B12197" t="s">
        <v>10</v>
      </c>
      <c r="C12197" t="s">
        <v>121</v>
      </c>
      <c r="D12197" t="str">
        <f>HYPERLINK("https://us2.cloudbeds.com/connect/10074733072513#/reservations/31717370687622?display=Lori%20Zirpel&amp;reservation_id=31717370687622&amp;guest_id=31717365756059", "Lori Zirpel")</f>
        <v>Lori Zirpel</v>
      </c>
      <c r="E12197" t="s">
        <v>11499</v>
      </c>
      <c r="F12197" t="s">
        <v>11302</v>
      </c>
      <c r="G12197">
        <v>149</v>
      </c>
      <c r="H12197">
        <v>161.97</v>
      </c>
      <c r="I12197">
        <v>161.96</v>
      </c>
      <c r="J12197">
        <v>0.01</v>
      </c>
    </row>
    <row r="12198" spans="1:10" x14ac:dyDescent="0.3">
      <c r="A12198" t="str">
        <f>HYPERLINK("https://us2.cloudbeds.com/connect/10074733072513#/reservations/31723317817487?display=MXBP9SS2V&amp;reservation_id=31723317817487", "MXBP9SS2V")</f>
        <v>MXBP9SS2V</v>
      </c>
      <c r="B12198" t="s">
        <v>10</v>
      </c>
      <c r="C12198" t="s">
        <v>23</v>
      </c>
      <c r="D12198" t="str">
        <f>HYPERLINK("https://us2.cloudbeds.com/connect/10074733072513#/reservations/31723317817487?display=Cathy%20Markus&amp;reservation_id=31723317817487&amp;guest_id=31723317817485", "Cathy Markus")</f>
        <v>Cathy Markus</v>
      </c>
      <c r="E12198" t="s">
        <v>11500</v>
      </c>
      <c r="F12198" t="s">
        <v>11501</v>
      </c>
      <c r="G12198">
        <v>198</v>
      </c>
      <c r="H12198">
        <v>215.24</v>
      </c>
      <c r="I12198">
        <v>215.23</v>
      </c>
      <c r="J12198">
        <v>0.01</v>
      </c>
    </row>
    <row r="12199" spans="1:10" x14ac:dyDescent="0.3">
      <c r="A12199" t="str">
        <f>HYPERLINK("https://us2.cloudbeds.com/connect/10074733072513#/reservations/31716776063123?display=MX6N4MTF7&amp;reservation_id=31716776063123", "MX6N4MTF7")</f>
        <v>MX6N4MTF7</v>
      </c>
      <c r="B12199" t="s">
        <v>10</v>
      </c>
      <c r="C12199" t="s">
        <v>42</v>
      </c>
      <c r="D12199" t="str">
        <f>HYPERLINK("https://us2.cloudbeds.com/connect/10074733072513#/reservations/31716776063123?display=Kat%20Beeghly-Fliehe&amp;reservation_id=31716776063123&amp;guest_id=31716775743704", "Kat Beeghly-Fliehe")</f>
        <v>Kat Beeghly-Fliehe</v>
      </c>
      <c r="E12199" t="s">
        <v>11503</v>
      </c>
      <c r="F12199" t="s">
        <v>11504</v>
      </c>
      <c r="G12199">
        <v>189</v>
      </c>
      <c r="H12199">
        <v>205.45</v>
      </c>
      <c r="I12199">
        <v>205.44</v>
      </c>
      <c r="J12199">
        <v>0.01</v>
      </c>
    </row>
    <row r="12200" spans="1:10" x14ac:dyDescent="0.3">
      <c r="A12200" t="str">
        <f>HYPERLINK("https://us2.cloudbeds.com/connect/10074733072513#/reservations/31722437800178?display=MXB2QR2CP&amp;reservation_id=31722437800178", "MXB2QR2CP")</f>
        <v>MXB2QR2CP</v>
      </c>
      <c r="B12200" t="s">
        <v>10</v>
      </c>
      <c r="C12200" t="s">
        <v>23</v>
      </c>
      <c r="D12200" t="str">
        <f>HYPERLINK("https://us2.cloudbeds.com/connect/10074733072513#/reservations/31722437800178?display=Brandi%20White&amp;reservation_id=31722437800178&amp;guest_id=31722437800128", "Brandi White")</f>
        <v>Brandi White</v>
      </c>
      <c r="E12200" t="s">
        <v>11506</v>
      </c>
      <c r="F12200" t="s">
        <v>11216</v>
      </c>
      <c r="G12200">
        <v>119</v>
      </c>
      <c r="H12200">
        <v>129.36000000000001</v>
      </c>
      <c r="I12200">
        <v>129.35</v>
      </c>
      <c r="J12200">
        <v>0.01</v>
      </c>
    </row>
    <row r="12201" spans="1:10" x14ac:dyDescent="0.3">
      <c r="A12201" t="str">
        <f>HYPERLINK("https://us2.cloudbeds.com/connect/10074733072513#/reservations/31722446229639?display=MXB30UKUW&amp;reservation_id=31722446229639", "MXB30UKUW")</f>
        <v>MXB30UKUW</v>
      </c>
      <c r="B12201" t="s">
        <v>10</v>
      </c>
      <c r="C12201" t="s">
        <v>23</v>
      </c>
      <c r="D12201" t="str">
        <f>HYPERLINK("https://us2.cloudbeds.com/connect/10074733072513#/reservations/31722446229639?display=Gretta%20Holt&amp;reservation_id=31722446229639&amp;guest_id=31722446229636", "Gretta Holt")</f>
        <v>Gretta Holt</v>
      </c>
      <c r="E12201" t="s">
        <v>11506</v>
      </c>
      <c r="F12201" t="s">
        <v>11216</v>
      </c>
      <c r="G12201">
        <v>119</v>
      </c>
      <c r="H12201">
        <v>129.36000000000001</v>
      </c>
      <c r="I12201">
        <v>129.35</v>
      </c>
      <c r="J12201">
        <v>0.01</v>
      </c>
    </row>
    <row r="12202" spans="1:10" x14ac:dyDescent="0.3">
      <c r="A12202" t="str">
        <f>HYPERLINK("https://us2.cloudbeds.com/connect/10074733072513#/reservations/31717721219270?display=MX7E9M8EJ&amp;reservation_id=31717721219270", "MX7E9M8EJ")</f>
        <v>MX7E9M8EJ</v>
      </c>
      <c r="B12202" t="s">
        <v>10</v>
      </c>
      <c r="C12202" t="s">
        <v>23</v>
      </c>
      <c r="D12202" t="str">
        <f>HYPERLINK("https://us2.cloudbeds.com/connect/10074733072513#/reservations/31717721219270?display=Chad%20Vanden%20Bosch&amp;reservation_id=31717721219270&amp;guest_id=31717721215176", "Chad Vanden Bosch")</f>
        <v>Chad Vanden Bosch</v>
      </c>
      <c r="E12202" t="s">
        <v>11507</v>
      </c>
      <c r="F12202" t="s">
        <v>11425</v>
      </c>
      <c r="G12202">
        <v>149</v>
      </c>
      <c r="H12202">
        <v>161.97</v>
      </c>
      <c r="I12202">
        <v>161.96</v>
      </c>
      <c r="J12202">
        <v>0.01</v>
      </c>
    </row>
    <row r="12203" spans="1:10" x14ac:dyDescent="0.3">
      <c r="A12203" t="str">
        <f>HYPERLINK("https://us2.cloudbeds.com/connect/10074733072513#/reservations/31722394050721?display=MXB1MUMDY&amp;reservation_id=31722394050721", "MXB1MUMDY")</f>
        <v>MXB1MUMDY</v>
      </c>
      <c r="B12203" t="s">
        <v>10</v>
      </c>
      <c r="C12203" t="s">
        <v>23</v>
      </c>
      <c r="D12203" t="str">
        <f>HYPERLINK("https://us2.cloudbeds.com/connect/10074733072513#/reservations/31722394050721?display=Kris%20Oman&amp;reservation_id=31722394050721&amp;guest_id=31722394050715", "Kris Oman")</f>
        <v>Kris Oman</v>
      </c>
      <c r="E12203" t="s">
        <v>11508</v>
      </c>
      <c r="F12203" t="s">
        <v>11509</v>
      </c>
      <c r="G12203">
        <v>105.78</v>
      </c>
      <c r="H12203">
        <v>114.99</v>
      </c>
      <c r="I12203">
        <v>114.98</v>
      </c>
      <c r="J12203">
        <v>0.01</v>
      </c>
    </row>
    <row r="12204" spans="1:10" x14ac:dyDescent="0.3">
      <c r="A12204" t="str">
        <f>HYPERLINK("https://us2.cloudbeds.com/connect/10074733072513#/reservations/31722329100436?display=MXB015B96&amp;reservation_id=31722329100436", "MXB015B96")</f>
        <v>MXB015B96</v>
      </c>
      <c r="B12204" t="s">
        <v>10</v>
      </c>
      <c r="C12204" t="s">
        <v>42</v>
      </c>
      <c r="D12204" t="str">
        <f>HYPERLINK("https://us2.cloudbeds.com/connect/10074733072513#/reservations/31722329100436?display=Cameron%20Wyly&amp;reservation_id=31722329100436&amp;guest_id=31676340576486", "Cameron Wyly")</f>
        <v>Cameron Wyly</v>
      </c>
      <c r="E12204" t="s">
        <v>5570</v>
      </c>
      <c r="F12204" t="s">
        <v>11230</v>
      </c>
      <c r="G12204">
        <v>336</v>
      </c>
      <c r="H12204">
        <v>365.24</v>
      </c>
      <c r="I12204">
        <v>365.23</v>
      </c>
      <c r="J12204">
        <v>0.01</v>
      </c>
    </row>
    <row r="12205" spans="1:10" x14ac:dyDescent="0.3">
      <c r="A12205" t="str">
        <f>HYPERLINK("https://us2.cloudbeds.com/connect/10074733072513#/reservations/31722423386311?display=MXB2EYWGU&amp;reservation_id=31722423386311", "MXB2EYWGU")</f>
        <v>MXB2EYWGU</v>
      </c>
      <c r="B12205" t="s">
        <v>10</v>
      </c>
      <c r="C12205" t="s">
        <v>42</v>
      </c>
      <c r="D12205" t="str">
        <f>HYPERLINK("https://us2.cloudbeds.com/connect/10074733072513#/reservations/31722423386311?display=Jeff%20Hasllebrook&amp;reservation_id=31722423386311&amp;guest_id=31722423386308", "Jeff Hasllebrook")</f>
        <v>Jeff Hasllebrook</v>
      </c>
      <c r="E12205" t="s">
        <v>11510</v>
      </c>
      <c r="F12205" t="s">
        <v>11511</v>
      </c>
      <c r="G12205">
        <v>99</v>
      </c>
      <c r="H12205">
        <v>107.62</v>
      </c>
      <c r="I12205">
        <v>107.61</v>
      </c>
      <c r="J12205">
        <v>0.01</v>
      </c>
    </row>
    <row r="12206" spans="1:10" x14ac:dyDescent="0.3">
      <c r="A12206" t="str">
        <f>HYPERLINK("https://us2.cloudbeds.com/connect/10074733072513#/reservations/31723293376693?display=MXBZM8ZZR&amp;reservation_id=31723293376693", "MXBZM8ZZR")</f>
        <v>MXBZM8ZZR</v>
      </c>
      <c r="B12206" t="s">
        <v>10</v>
      </c>
      <c r="C12206" t="s">
        <v>42</v>
      </c>
      <c r="D12206" t="str">
        <f>HYPERLINK("https://us2.cloudbeds.com/connect/10074733072513#/reservations/31723293376693?display=Mackenzie%20Johnson&amp;reservation_id=31723293376693&amp;guest_id=30658344972537", "Mackenzie Johnson")</f>
        <v>Mackenzie Johnson</v>
      </c>
      <c r="E12206" t="s">
        <v>2045</v>
      </c>
      <c r="F12206" t="s">
        <v>11501</v>
      </c>
      <c r="G12206">
        <v>73</v>
      </c>
      <c r="H12206">
        <v>79.36</v>
      </c>
      <c r="I12206">
        <v>79.349999999999994</v>
      </c>
      <c r="J12206">
        <v>0.01</v>
      </c>
    </row>
    <row r="12207" spans="1:10" x14ac:dyDescent="0.3">
      <c r="A12207" t="str">
        <f>HYPERLINK("https://us2.cloudbeds.com/connect/10074733072513#/reservations/31717625024718?display=MX7BRXGH5&amp;reservation_id=31717625024718", "MX7BRXGH5")</f>
        <v>MX7BRXGH5</v>
      </c>
      <c r="B12207" t="s">
        <v>10</v>
      </c>
      <c r="C12207" t="s">
        <v>23</v>
      </c>
      <c r="D12207" t="str">
        <f>HYPERLINK("https://us2.cloudbeds.com/connect/10074733072513#/reservations/31717625024718?display=Karla%20Schrader&amp;reservation_id=31717625024718&amp;guest_id=31717625020623", "Karla Schrader")</f>
        <v>Karla Schrader</v>
      </c>
      <c r="E12207" t="s">
        <v>11512</v>
      </c>
      <c r="F12207" t="s">
        <v>11027</v>
      </c>
      <c r="G12207">
        <v>418</v>
      </c>
      <c r="H12207">
        <v>454.38</v>
      </c>
      <c r="I12207">
        <v>454.37</v>
      </c>
      <c r="J12207">
        <v>0.01</v>
      </c>
    </row>
    <row r="12208" spans="1:10" x14ac:dyDescent="0.3">
      <c r="A12208" t="str">
        <f>HYPERLINK("https://us2.cloudbeds.com/connect/10074733072513#/reservations/31723351769251?display=MXBQ5GK39&amp;reservation_id=31723351769251", "MXBQ5GK39")</f>
        <v>MXBQ5GK39</v>
      </c>
      <c r="B12208" t="s">
        <v>10</v>
      </c>
      <c r="C12208" t="s">
        <v>42</v>
      </c>
      <c r="D12208" t="str">
        <f>HYPERLINK("https://us2.cloudbeds.com/connect/10074733072513#/reservations/31723351769251?display=Andrew%20Aldridge&amp;reservation_id=31723351769251&amp;guest_id=31723351769225", "Andrew Aldridge")</f>
        <v>Andrew Aldridge</v>
      </c>
      <c r="E12208" t="s">
        <v>11515</v>
      </c>
      <c r="F12208" t="s">
        <v>11501</v>
      </c>
      <c r="G12208">
        <v>99</v>
      </c>
      <c r="H12208">
        <v>107.62</v>
      </c>
      <c r="I12208">
        <v>107.61</v>
      </c>
      <c r="J12208">
        <v>0.01</v>
      </c>
    </row>
    <row r="12209" spans="1:10" x14ac:dyDescent="0.3">
      <c r="A12209" t="str">
        <f>HYPERLINK("https://us2.cloudbeds.com/connect/10074733072513#/reservations/31712919896265?display=MX3NK2C21&amp;reservation_id=31712919896265", "MX3NK2C21")</f>
        <v>MX3NK2C21</v>
      </c>
      <c r="B12209" t="s">
        <v>10</v>
      </c>
      <c r="C12209" t="s">
        <v>42</v>
      </c>
      <c r="D12209" t="str">
        <f>HYPERLINK("https://us2.cloudbeds.com/connect/10074733072513#/reservations/31712919896265?display=Heather%20Berney&amp;reservation_id=31712919896265&amp;guest_id=31712919892180", "Heather Berney")</f>
        <v>Heather Berney</v>
      </c>
      <c r="E12209" t="s">
        <v>4956</v>
      </c>
      <c r="F12209" t="s">
        <v>11516</v>
      </c>
      <c r="G12209">
        <v>407</v>
      </c>
      <c r="H12209">
        <v>442.42</v>
      </c>
      <c r="I12209">
        <v>442.41</v>
      </c>
      <c r="J12209">
        <v>0.01</v>
      </c>
    </row>
    <row r="12210" spans="1:10" x14ac:dyDescent="0.3">
      <c r="A12210" t="str">
        <f>HYPERLINK("https://us2.cloudbeds.com/connect/10074733072513#/reservations/31723016847502?display=MXBHK2U9C&amp;reservation_id=31723016847502", "MXBHK2U9C")</f>
        <v>MXBHK2U9C</v>
      </c>
      <c r="B12210" t="s">
        <v>10</v>
      </c>
      <c r="C12210" t="s">
        <v>23</v>
      </c>
      <c r="D12210" t="str">
        <f>HYPERLINK("https://us2.cloudbeds.com/connect/10074733072513#/reservations/31723016847502?display=Melissa%20Carlson&amp;reservation_id=31723016847502&amp;guest_id=31723016847500", "Melissa Carlson")</f>
        <v>Melissa Carlson</v>
      </c>
      <c r="E12210" t="s">
        <v>11519</v>
      </c>
      <c r="F12210" t="s">
        <v>11261</v>
      </c>
      <c r="G12210">
        <v>146.12</v>
      </c>
      <c r="H12210">
        <v>158.84</v>
      </c>
      <c r="I12210">
        <v>158.83000000000001</v>
      </c>
      <c r="J12210">
        <v>0.01</v>
      </c>
    </row>
    <row r="12211" spans="1:10" x14ac:dyDescent="0.3">
      <c r="A12211" t="str">
        <f>HYPERLINK("https://us2.cloudbeds.com/connect/10074733072513#/reservations/31722998792433?display=MXBH4SGQ2&amp;reservation_id=31722998792433", "MXBH4SGQ2")</f>
        <v>MXBH4SGQ2</v>
      </c>
      <c r="B12211" t="s">
        <v>10</v>
      </c>
      <c r="C12211" t="s">
        <v>42</v>
      </c>
      <c r="D12211" t="str">
        <f>HYPERLINK("https://us2.cloudbeds.com/connect/10074733072513#/reservations/31722998792433?display=Travis%20Bloom&amp;reservation_id=31722998792433&amp;guest_id=31722998792431", "Travis Bloom")</f>
        <v>Travis Bloom</v>
      </c>
      <c r="E12211" t="s">
        <v>11520</v>
      </c>
      <c r="F12211" t="s">
        <v>11261</v>
      </c>
      <c r="G12211">
        <v>198</v>
      </c>
      <c r="H12211">
        <v>215.24</v>
      </c>
      <c r="I12211">
        <v>215.23</v>
      </c>
      <c r="J12211">
        <v>0.01</v>
      </c>
    </row>
    <row r="12212" spans="1:10" x14ac:dyDescent="0.3">
      <c r="A12212" t="str">
        <f>HYPERLINK("https://us2.cloudbeds.com/connect/10074733072513#/reservations/31722971926733?display=MXBGF6UNV&amp;reservation_id=31722971926733", "MXBGF6UNV")</f>
        <v>MXBGF6UNV</v>
      </c>
      <c r="B12212" t="s">
        <v>10</v>
      </c>
      <c r="C12212" t="s">
        <v>42</v>
      </c>
      <c r="D12212" t="str">
        <f>HYPERLINK("https://us2.cloudbeds.com/connect/10074733072513#/reservations/31722971926733?display=Mitch%20Geg&amp;reservation_id=31722971926733&amp;guest_id=31722971926729", "Mitch Geg")</f>
        <v>Mitch Geg</v>
      </c>
      <c r="E12212" t="s">
        <v>11520</v>
      </c>
      <c r="F12212" t="s">
        <v>11261</v>
      </c>
      <c r="G12212">
        <v>198</v>
      </c>
      <c r="H12212">
        <v>215.24</v>
      </c>
      <c r="I12212">
        <v>215.23</v>
      </c>
      <c r="J12212">
        <v>0.01</v>
      </c>
    </row>
    <row r="12213" spans="1:10" x14ac:dyDescent="0.3">
      <c r="A12213" t="str">
        <f>HYPERLINK("https://us2.cloudbeds.com/connect/10074733072513#/reservations/31722931286232?display=MXBFDV1KJ&amp;reservation_id=31722931286232", "MXBFDV1KJ")</f>
        <v>MXBFDV1KJ</v>
      </c>
      <c r="B12213" t="s">
        <v>10</v>
      </c>
      <c r="C12213" t="s">
        <v>42</v>
      </c>
      <c r="D12213" t="str">
        <f>HYPERLINK("https://us2.cloudbeds.com/connect/10074733072513#/reservations/31722931286232?display=John%20Pool&amp;reservation_id=31722931286232&amp;guest_id=30681940979955", "John Pool")</f>
        <v>John Pool</v>
      </c>
      <c r="E12213" t="s">
        <v>1918</v>
      </c>
      <c r="F12213" t="s">
        <v>11501</v>
      </c>
      <c r="G12213">
        <v>73</v>
      </c>
      <c r="H12213">
        <v>79.36</v>
      </c>
      <c r="I12213">
        <v>79.349999999999994</v>
      </c>
      <c r="J12213">
        <v>0.01</v>
      </c>
    </row>
    <row r="12214" spans="1:10" x14ac:dyDescent="0.3">
      <c r="A12214" t="str">
        <f>HYPERLINK("https://us2.cloudbeds.com/connect/10074733072513#/reservations/31721963299008?display=MXANCWDP8&amp;reservation_id=31721963299008", "MXANCWDP8")</f>
        <v>MXANCWDP8</v>
      </c>
      <c r="B12214" t="s">
        <v>10</v>
      </c>
      <c r="C12214" t="s">
        <v>42</v>
      </c>
      <c r="D12214" t="str">
        <f>HYPERLINK("https://us2.cloudbeds.com/connect/10074733072513#/reservations/31721963299008?display=Patrice%20Koerselman&amp;reservation_id=31721963299008&amp;guest_id=31721951764634", "Patrice Koerselman")</f>
        <v>Patrice Koerselman</v>
      </c>
      <c r="E12214" t="s">
        <v>11521</v>
      </c>
      <c r="F12214" t="s">
        <v>11044</v>
      </c>
      <c r="G12214">
        <v>169</v>
      </c>
      <c r="H12214">
        <v>183.71</v>
      </c>
      <c r="I12214">
        <v>183.7</v>
      </c>
      <c r="J12214">
        <v>0.01</v>
      </c>
    </row>
    <row r="12215" spans="1:10" x14ac:dyDescent="0.3">
      <c r="A12215" t="str">
        <f>HYPERLINK("https://us2.cloudbeds.com/connect/10074733072513#/reservations/31723060273291?display=MXBXNNA1C&amp;reservation_id=31723060273291", "MXBXNNA1C")</f>
        <v>MXBXNNA1C</v>
      </c>
      <c r="B12215" t="s">
        <v>10</v>
      </c>
      <c r="C12215" t="s">
        <v>121</v>
      </c>
      <c r="D12215" t="str">
        <f>HYPERLINK("https://us2.cloudbeds.com/connect/10074733072513#/reservations/31723060273291?display=German%20Varela%20Recinos&amp;reservation_id=31723060273291&amp;guest_id=31720089227465", "German Varela Recinos")</f>
        <v>German Varela Recinos</v>
      </c>
      <c r="E12215" t="s">
        <v>11524</v>
      </c>
      <c r="F12215" t="s">
        <v>11261</v>
      </c>
      <c r="G12215">
        <v>99</v>
      </c>
      <c r="H12215">
        <v>107.62</v>
      </c>
      <c r="I12215">
        <v>107.61</v>
      </c>
      <c r="J12215">
        <v>0.01</v>
      </c>
    </row>
    <row r="12216" spans="1:10" x14ac:dyDescent="0.3">
      <c r="A12216" t="str">
        <f>HYPERLINK("https://us2.cloudbeds.com/connect/10074733072513#/reservations/31722291409089?display=MXAW2CHA5&amp;reservation_id=31722291409089", "MXAW2CHA5")</f>
        <v>MXAW2CHA5</v>
      </c>
      <c r="B12216" t="s">
        <v>10</v>
      </c>
      <c r="C12216" t="s">
        <v>23</v>
      </c>
      <c r="D12216" t="str">
        <f>HYPERLINK("https://us2.cloudbeds.com/connect/10074733072513#/reservations/31722291409089?display=Brook%20Stang&amp;reservation_id=31722291409089&amp;guest_id=31722280370342", "Brook Stang")</f>
        <v>Brook Stang</v>
      </c>
      <c r="E12216" t="s">
        <v>11531</v>
      </c>
      <c r="F12216" t="s">
        <v>11230</v>
      </c>
      <c r="G12216">
        <v>318</v>
      </c>
      <c r="H12216">
        <v>345.68</v>
      </c>
      <c r="I12216">
        <v>345.67</v>
      </c>
      <c r="J12216">
        <v>0.01</v>
      </c>
    </row>
    <row r="12217" spans="1:10" x14ac:dyDescent="0.3">
      <c r="A12217" t="str">
        <f>HYPERLINK("https://us2.cloudbeds.com/connect/10074733072513#/reservations/31713083060425?display=MX3RPYYDX&amp;reservation_id=31713083060425", "MX3RPYYDX")</f>
        <v>MX3RPYYDX</v>
      </c>
      <c r="B12217" t="s">
        <v>10</v>
      </c>
      <c r="C12217" t="s">
        <v>42</v>
      </c>
      <c r="D12217" t="str">
        <f>HYPERLINK("https://us2.cloudbeds.com/connect/10074733072513#/reservations/31713083060425?display=Lori%20Decker&amp;reservation_id=31713083060425&amp;guest_id=31713074159793", "Lori Decker")</f>
        <v>Lori Decker</v>
      </c>
      <c r="E12217" t="s">
        <v>11532</v>
      </c>
      <c r="F12217" t="s">
        <v>11533</v>
      </c>
      <c r="G12217">
        <v>149</v>
      </c>
      <c r="H12217">
        <v>161.97</v>
      </c>
      <c r="I12217">
        <v>161.96</v>
      </c>
      <c r="J12217">
        <v>0.01</v>
      </c>
    </row>
    <row r="12218" spans="1:10" x14ac:dyDescent="0.3">
      <c r="A12218" t="str">
        <f>HYPERLINK("https://us2.cloudbeds.com/connect/10074733072513#/reservations/31722882986120?display=MXBE670TS&amp;reservation_id=31722882986120", "MXBE670TS")</f>
        <v>MXBE670TS</v>
      </c>
      <c r="B12218" t="s">
        <v>10</v>
      </c>
      <c r="C12218" t="s">
        <v>121</v>
      </c>
      <c r="D12218" t="str">
        <f>HYPERLINK("https://us2.cloudbeds.com/connect/10074733072513#/reservations/31722882986120?display=Ryan%20Carter&amp;reservation_id=31722882986120&amp;guest_id=31722882986116", "Ryan Carter")</f>
        <v>Ryan Carter</v>
      </c>
      <c r="E12218" t="s">
        <v>11534</v>
      </c>
      <c r="F12218" t="s">
        <v>11261</v>
      </c>
      <c r="G12218">
        <v>99</v>
      </c>
      <c r="H12218">
        <v>107.62</v>
      </c>
      <c r="I12218">
        <v>107.61</v>
      </c>
      <c r="J12218">
        <v>0.01</v>
      </c>
    </row>
    <row r="12219" spans="1:10" x14ac:dyDescent="0.3">
      <c r="A12219" t="str">
        <f>HYPERLINK("https://us2.cloudbeds.com/connect/10074733072513#/reservations/31717706772697?display=MX7DUG8HY&amp;reservation_id=31717706772697", "MX7DUG8HY")</f>
        <v>MX7DUG8HY</v>
      </c>
      <c r="B12219" t="s">
        <v>10</v>
      </c>
      <c r="C12219" t="s">
        <v>23</v>
      </c>
      <c r="D12219" t="str">
        <f>HYPERLINK("https://us2.cloudbeds.com/connect/10074733072513#/reservations/31717706772697?display=Kelly%20Klein&amp;reservation_id=31717706772697&amp;guest_id=31717706768603", "Kelly Klein")</f>
        <v>Kelly Klein</v>
      </c>
      <c r="E12219" t="s">
        <v>11535</v>
      </c>
      <c r="F12219" t="s">
        <v>11536</v>
      </c>
      <c r="G12219">
        <v>110.86</v>
      </c>
      <c r="H12219">
        <v>120.51</v>
      </c>
      <c r="I12219">
        <v>120.5</v>
      </c>
      <c r="J12219">
        <v>0.01</v>
      </c>
    </row>
    <row r="12220" spans="1:10" x14ac:dyDescent="0.3">
      <c r="A12220" t="str">
        <f>HYPERLINK("https://us2.cloudbeds.com/connect/10074733072513#/reservations/31721511809224?display=MXAC5009R&amp;reservation_id=31721511809224", "MXAC5009R")</f>
        <v>MXAC5009R</v>
      </c>
      <c r="B12220" t="s">
        <v>10</v>
      </c>
      <c r="C12220" t="s">
        <v>42</v>
      </c>
      <c r="D12220" t="str">
        <f>HYPERLINK("https://us2.cloudbeds.com/connect/10074733072513#/reservations/31721511809224?display=Brenda%20Padilla&amp;reservation_id=31721511809224&amp;guest_id=31721501778147", "Brenda Padilla")</f>
        <v>Brenda Padilla</v>
      </c>
      <c r="E12220" t="s">
        <v>11537</v>
      </c>
      <c r="F12220" t="s">
        <v>11114</v>
      </c>
      <c r="G12220">
        <v>149</v>
      </c>
      <c r="H12220">
        <v>161.97</v>
      </c>
      <c r="I12220">
        <v>161.96</v>
      </c>
      <c r="J12220">
        <v>0.01</v>
      </c>
    </row>
    <row r="12221" spans="1:10" x14ac:dyDescent="0.3">
      <c r="A12221" t="str">
        <f>HYPERLINK("https://us2.cloudbeds.com/connect/10074733072513#/reservations/31712852197553?display=MX3YSWX3V&amp;reservation_id=31712852197553", "MX3YSWX3V")</f>
        <v>MX3YSWX3V</v>
      </c>
      <c r="B12221" t="s">
        <v>10</v>
      </c>
      <c r="C12221" t="s">
        <v>42</v>
      </c>
      <c r="D12221" t="str">
        <f>HYPERLINK("https://us2.cloudbeds.com/connect/10074733072513#/reservations/31712852197553?display=Ashley%20Hesla&amp;reservation_id=31712852197553&amp;guest_id=31712842948816", "Ashley Hesla")</f>
        <v>Ashley Hesla</v>
      </c>
      <c r="E12221" t="s">
        <v>11539</v>
      </c>
      <c r="F12221" t="s">
        <v>9834</v>
      </c>
      <c r="G12221">
        <v>398</v>
      </c>
      <c r="H12221">
        <v>432.64</v>
      </c>
      <c r="I12221">
        <v>432.63</v>
      </c>
      <c r="J12221">
        <v>0.01</v>
      </c>
    </row>
    <row r="12222" spans="1:10" x14ac:dyDescent="0.3">
      <c r="A12222" t="str">
        <f>HYPERLINK("https://us2.cloudbeds.com/connect/10074733072513#/reservations/31718263009420?display=MX7S4HC1U&amp;reservation_id=31718263009420", "MX7S4HC1U")</f>
        <v>MX7S4HC1U</v>
      </c>
      <c r="B12222" t="s">
        <v>10</v>
      </c>
      <c r="C12222" t="s">
        <v>121</v>
      </c>
      <c r="D12222" t="str">
        <f>HYPERLINK("https://us2.cloudbeds.com/connect/10074733072513#/reservations/31718263009420?display=Alison%20Hudelson&amp;reservation_id=31718263009420&amp;guest_id=31718263009409", "Alison Hudelson")</f>
        <v>Alison Hudelson</v>
      </c>
      <c r="E12222" t="s">
        <v>11540</v>
      </c>
      <c r="F12222" t="s">
        <v>11261</v>
      </c>
      <c r="G12222">
        <v>99</v>
      </c>
      <c r="H12222">
        <v>107.62</v>
      </c>
      <c r="I12222">
        <v>107.61</v>
      </c>
      <c r="J12222">
        <v>0.01</v>
      </c>
    </row>
    <row r="12223" spans="1:10" x14ac:dyDescent="0.3">
      <c r="A12223" t="str">
        <f>HYPERLINK("https://us2.cloudbeds.com/connect/10074733072513#/reservations/31722870579343?display=MXBDSZQ2U&amp;reservation_id=31722870579343", "MXBDSZQ2U")</f>
        <v>MXBDSZQ2U</v>
      </c>
      <c r="B12223" t="s">
        <v>10</v>
      </c>
      <c r="C12223" t="s">
        <v>121</v>
      </c>
      <c r="D12223" t="str">
        <f>HYPERLINK("https://us2.cloudbeds.com/connect/10074733072513#/reservations/31722870579343?display=Kristina%20Carlson&amp;reservation_id=31722870579343&amp;guest_id=31722870579338", "Kristina Carlson")</f>
        <v>Kristina Carlson</v>
      </c>
      <c r="E12223" t="s">
        <v>11542</v>
      </c>
      <c r="F12223" t="s">
        <v>11543</v>
      </c>
      <c r="G12223">
        <v>99</v>
      </c>
      <c r="H12223">
        <v>107.62</v>
      </c>
      <c r="I12223">
        <v>107.61</v>
      </c>
      <c r="J12223">
        <v>0.01</v>
      </c>
    </row>
    <row r="12224" spans="1:10" x14ac:dyDescent="0.3">
      <c r="A12224" t="str">
        <f>HYPERLINK("https://us2.cloudbeds.com/connect/10074733072513#/reservations/31718174085302?display=MX7PSHUCM&amp;reservation_id=31718174085302", "MX7PSHUCM")</f>
        <v>MX7PSHUCM</v>
      </c>
      <c r="B12224" t="s">
        <v>10</v>
      </c>
      <c r="C12224" t="s">
        <v>23</v>
      </c>
      <c r="D12224" t="str">
        <f>HYPERLINK("https://us2.cloudbeds.com/connect/10074733072513#/reservations/31718174085302?display=Erika%20Smyth&amp;reservation_id=31718174085302&amp;guest_id=31718161076427", "Erika Smyth")</f>
        <v>Erika Smyth</v>
      </c>
      <c r="E12224" t="s">
        <v>11544</v>
      </c>
      <c r="F12224" t="s">
        <v>11293</v>
      </c>
      <c r="G12224">
        <v>159</v>
      </c>
      <c r="H12224">
        <v>172.84</v>
      </c>
      <c r="I12224">
        <v>172.83</v>
      </c>
      <c r="J12224">
        <v>0.01</v>
      </c>
    </row>
    <row r="12225" spans="1:10" x14ac:dyDescent="0.3">
      <c r="A12225" t="str">
        <f>HYPERLINK("https://us2.cloudbeds.com/connect/10074733072513#/reservations/31724991607018?display=MXD228GTR&amp;reservation_id=31724991607018", "MXD228GTR")</f>
        <v>MXD228GTR</v>
      </c>
      <c r="B12225" t="s">
        <v>10</v>
      </c>
      <c r="C12225" t="s">
        <v>23</v>
      </c>
      <c r="D12225" t="str">
        <f>HYPERLINK("https://us2.cloudbeds.com/connect/10074733072513#/reservations/31724991607018?display=Douglas%20Sipma&amp;reservation_id=31724991607018&amp;guest_id=31724991607005", "Douglas Sipma")</f>
        <v>Douglas Sipma</v>
      </c>
      <c r="E12225" t="s">
        <v>11545</v>
      </c>
      <c r="F12225" t="s">
        <v>11546</v>
      </c>
      <c r="G12225">
        <v>149</v>
      </c>
      <c r="H12225">
        <v>161.97</v>
      </c>
      <c r="I12225">
        <v>161.96</v>
      </c>
      <c r="J12225">
        <v>0.01</v>
      </c>
    </row>
    <row r="12226" spans="1:10" x14ac:dyDescent="0.3">
      <c r="A12226" t="str">
        <f>HYPERLINK("https://us2.cloudbeds.com/connect/10074733072513#/reservations/31720316281019?display=MX9EJTM8D&amp;reservation_id=31720316281019", "MX9EJTM8D")</f>
        <v>MX9EJTM8D</v>
      </c>
      <c r="B12226" t="s">
        <v>10</v>
      </c>
      <c r="C12226" t="s">
        <v>23</v>
      </c>
      <c r="D12226" t="str">
        <f>HYPERLINK("https://us2.cloudbeds.com/connect/10074733072513#/reservations/31720316281019?display=Cassandra%20Hallman&amp;reservation_id=31720316281019&amp;guest_id=31720316281017", "Cassandra Hallman")</f>
        <v>Cassandra Hallman</v>
      </c>
      <c r="E12226" t="s">
        <v>11547</v>
      </c>
      <c r="F12226" t="s">
        <v>11044</v>
      </c>
      <c r="G12226">
        <v>318</v>
      </c>
      <c r="H12226">
        <v>345.68</v>
      </c>
      <c r="I12226">
        <v>345.67</v>
      </c>
      <c r="J12226">
        <v>0.01</v>
      </c>
    </row>
    <row r="12227" spans="1:10" x14ac:dyDescent="0.3">
      <c r="A12227" t="str">
        <f>HYPERLINK("https://us2.cloudbeds.com/connect/10074733072513#/reservations/31715757076653?display=MX5U3F31A&amp;reservation_id=31715757076653", "MX5U3F31A")</f>
        <v>MX5U3F31A</v>
      </c>
      <c r="B12227" t="s">
        <v>10</v>
      </c>
      <c r="C12227" t="s">
        <v>23</v>
      </c>
      <c r="D12227" t="str">
        <f>HYPERLINK("https://us2.cloudbeds.com/connect/10074733072513#/reservations/31715757076653?display=Douglas%20Sipma&amp;reservation_id=31715757076653&amp;guest_id=31715745833179", "Douglas Sipma")</f>
        <v>Douglas Sipma</v>
      </c>
      <c r="E12227" t="s">
        <v>11550</v>
      </c>
      <c r="F12227" t="s">
        <v>11504</v>
      </c>
      <c r="G12227">
        <v>189</v>
      </c>
      <c r="H12227">
        <v>205.45</v>
      </c>
      <c r="I12227">
        <v>205.44</v>
      </c>
      <c r="J12227">
        <v>0.01</v>
      </c>
    </row>
    <row r="12228" spans="1:10" x14ac:dyDescent="0.3">
      <c r="A12228" t="str">
        <f>HYPERLINK("https://us2.cloudbeds.com/connect/10074733072513#/reservations/31722857255135?display=MXBDHH0R1&amp;reservation_id=31722857255135", "MXBDHH0R1")</f>
        <v>MXBDHH0R1</v>
      </c>
      <c r="B12228" t="s">
        <v>10</v>
      </c>
      <c r="C12228" t="s">
        <v>42</v>
      </c>
      <c r="D12228" t="str">
        <f>HYPERLINK("https://us2.cloudbeds.com/connect/10074733072513#/reservations/31722857255135?display=Lindsey%20Cookston&amp;reservation_id=31722857255135&amp;guest_id=31722857255131", "Lindsey Cookston")</f>
        <v>Lindsey Cookston</v>
      </c>
      <c r="E12228" t="s">
        <v>11551</v>
      </c>
      <c r="F12228" t="s">
        <v>11543</v>
      </c>
      <c r="G12228">
        <v>109</v>
      </c>
      <c r="H12228">
        <v>118.49</v>
      </c>
      <c r="I12228">
        <v>118.48</v>
      </c>
      <c r="J12228">
        <v>0.01</v>
      </c>
    </row>
    <row r="12229" spans="1:10" x14ac:dyDescent="0.3">
      <c r="A12229" t="str">
        <f>HYPERLINK("https://us2.cloudbeds.com/connect/10074733072513#/reservations/31722835292403?display=MXBCVWT0N&amp;reservation_id=31722835292403", "MXBCVWT0N")</f>
        <v>MXBCVWT0N</v>
      </c>
      <c r="B12229" t="s">
        <v>10</v>
      </c>
      <c r="C12229" t="s">
        <v>42</v>
      </c>
      <c r="D12229" t="str">
        <f>HYPERLINK("https://us2.cloudbeds.com/connect/10074733072513#/reservations/31722835292403?display=Rob%20Yates&amp;reservation_id=31722835292403&amp;guest_id=31722835292400", "Rob Yates")</f>
        <v>Rob Yates</v>
      </c>
      <c r="E12229" t="s">
        <v>11552</v>
      </c>
      <c r="F12229" t="s">
        <v>11543</v>
      </c>
      <c r="G12229">
        <v>99</v>
      </c>
      <c r="H12229">
        <v>107.62</v>
      </c>
      <c r="I12229">
        <v>107.61</v>
      </c>
      <c r="J12229">
        <v>0.01</v>
      </c>
    </row>
    <row r="12230" spans="1:10" x14ac:dyDescent="0.3">
      <c r="A12230" t="str">
        <f>HYPERLINK("https://us2.cloudbeds.com/connect/10074733072513#/reservations/31719166464198?display=MX8X7BAPE&amp;reservation_id=31719166464198", "MX8X7BAPE")</f>
        <v>MX8X7BAPE</v>
      </c>
      <c r="B12230" t="s">
        <v>10</v>
      </c>
      <c r="C12230" t="s">
        <v>42</v>
      </c>
      <c r="D12230" t="str">
        <f>HYPERLINK("https://us2.cloudbeds.com/connect/10074733072513#/reservations/31719166464198?display=Gordon%20Woods&amp;reservation_id=31719166464198&amp;guest_id=31702975803555", "Gordon Woods")</f>
        <v>Gordon Woods</v>
      </c>
      <c r="E12230" t="s">
        <v>11553</v>
      </c>
      <c r="F12230" t="s">
        <v>10821</v>
      </c>
      <c r="G12230">
        <v>298</v>
      </c>
      <c r="H12230">
        <v>323.94</v>
      </c>
      <c r="I12230">
        <v>323.93</v>
      </c>
      <c r="J12230">
        <v>0.01</v>
      </c>
    </row>
    <row r="12231" spans="1:10" x14ac:dyDescent="0.3">
      <c r="A12231" t="str">
        <f>HYPERLINK("https://us2.cloudbeds.com/connect/10074733072513#/reservations/31719197528236?display=MX8J0HZ1U&amp;reservation_id=31719197528236", "MX8J0HZ1U")</f>
        <v>MX8J0HZ1U</v>
      </c>
      <c r="B12231" t="s">
        <v>10</v>
      </c>
      <c r="C12231" t="s">
        <v>23</v>
      </c>
      <c r="D12231" t="str">
        <f>HYPERLINK("https://us2.cloudbeds.com/connect/10074733072513#/reservations/31719197528236?display=Taylor%20Deckert&amp;reservation_id=31719197528236&amp;guest_id=31719187562716", "Taylor Deckert")</f>
        <v>Taylor Deckert</v>
      </c>
      <c r="E12231" t="s">
        <v>11555</v>
      </c>
      <c r="F12231" t="s">
        <v>10821</v>
      </c>
      <c r="G12231">
        <v>338</v>
      </c>
      <c r="H12231">
        <v>367.42</v>
      </c>
      <c r="I12231">
        <v>367.41</v>
      </c>
      <c r="J12231">
        <v>0.01</v>
      </c>
    </row>
    <row r="12232" spans="1:10" x14ac:dyDescent="0.3">
      <c r="A12232" t="str">
        <f>HYPERLINK("https://us2.cloudbeds.com/connect/10074733072513#/reservations/31718398537875?display=MX7VJQY8Q&amp;reservation_id=31718398537875", "MX7VJQY8Q")</f>
        <v>MX7VJQY8Q</v>
      </c>
      <c r="B12232" t="s">
        <v>10</v>
      </c>
      <c r="C12232" t="s">
        <v>23</v>
      </c>
      <c r="D12232" t="str">
        <f>HYPERLINK("https://us2.cloudbeds.com/connect/10074733072513#/reservations/31718398537875?display=Melanie%20White&amp;reservation_id=31718398537875&amp;guest_id=31718398537872", "Melanie White")</f>
        <v>Melanie White</v>
      </c>
      <c r="E12232" t="s">
        <v>11556</v>
      </c>
      <c r="F12232" t="s">
        <v>11557</v>
      </c>
      <c r="G12232">
        <v>109</v>
      </c>
      <c r="H12232">
        <v>118.49</v>
      </c>
      <c r="I12232">
        <v>118.48</v>
      </c>
      <c r="J12232">
        <v>0.01</v>
      </c>
    </row>
    <row r="12233" spans="1:10" x14ac:dyDescent="0.3">
      <c r="A12233" t="str">
        <f>HYPERLINK("https://us2.cloudbeds.com/connect/10074733072513#/reservations/31722719424712?display=MXBA09MPX&amp;reservation_id=31722719424712", "MXBA09MPX")</f>
        <v>MXBA09MPX</v>
      </c>
      <c r="B12233" t="s">
        <v>10</v>
      </c>
      <c r="C12233" t="s">
        <v>42</v>
      </c>
      <c r="D12233" t="str">
        <f>HYPERLINK("https://us2.cloudbeds.com/connect/10074733072513#/reservations/31722719424712?display=Derek%20Miles&amp;reservation_id=31722719424712&amp;guest_id=31722719420631", "Derek Miles")</f>
        <v>Derek Miles</v>
      </c>
      <c r="E12233" t="s">
        <v>7788</v>
      </c>
      <c r="F12233" t="s">
        <v>11425</v>
      </c>
      <c r="G12233">
        <v>169</v>
      </c>
      <c r="H12233">
        <v>183.71</v>
      </c>
      <c r="I12233">
        <v>183.7</v>
      </c>
      <c r="J12233">
        <v>0.01</v>
      </c>
    </row>
    <row r="12234" spans="1:10" x14ac:dyDescent="0.3">
      <c r="A12234" t="str">
        <f>HYPERLINK("https://us2.cloudbeds.com/connect/10074733072513#/reservations/31720819380471?display=MX9RF457B&amp;reservation_id=31720819380471", "MX9RF457B")</f>
        <v>MX9RF457B</v>
      </c>
      <c r="B12234" t="s">
        <v>10</v>
      </c>
      <c r="C12234" t="s">
        <v>42</v>
      </c>
      <c r="D12234" t="str">
        <f>HYPERLINK("https://us2.cloudbeds.com/connect/10074733072513#/reservations/31720819380471?display=Doug%20Weis&amp;reservation_id=31720819380471&amp;guest_id=31720819380419", "Doug Weis")</f>
        <v>Doug Weis</v>
      </c>
      <c r="E12234" t="s">
        <v>11558</v>
      </c>
      <c r="F12234" t="s">
        <v>10695</v>
      </c>
      <c r="G12234">
        <v>278</v>
      </c>
      <c r="H12234">
        <v>302.2</v>
      </c>
      <c r="I12234">
        <v>302.19</v>
      </c>
      <c r="J12234">
        <v>0.01</v>
      </c>
    </row>
    <row r="12235" spans="1:10" x14ac:dyDescent="0.3">
      <c r="A12235" t="str">
        <f>HYPERLINK("https://us2.cloudbeds.com/connect/10074733072513#/reservations/31719218696332?display=MX8JXCP5C&amp;reservation_id=31719218696332", "MX8JXCP5C")</f>
        <v>MX8JXCP5C</v>
      </c>
      <c r="B12235" t="s">
        <v>10</v>
      </c>
      <c r="C12235" t="s">
        <v>121</v>
      </c>
      <c r="D12235" t="str">
        <f>HYPERLINK("https://us2.cloudbeds.com/connect/10074733072513#/reservations/31719218696332?display=Lori%20Gilsdorf&amp;reservation_id=31719218696332&amp;guest_id=31719218696328", "Lori Gilsdorf")</f>
        <v>Lori Gilsdorf</v>
      </c>
      <c r="E12235" t="s">
        <v>11559</v>
      </c>
      <c r="F12235" t="s">
        <v>10821</v>
      </c>
      <c r="G12235">
        <v>149</v>
      </c>
      <c r="H12235">
        <v>161.97</v>
      </c>
      <c r="I12235">
        <v>161.96</v>
      </c>
      <c r="J12235">
        <v>0.01</v>
      </c>
    </row>
    <row r="12236" spans="1:10" x14ac:dyDescent="0.3">
      <c r="A12236" t="str">
        <f>HYPERLINK("https://us2.cloudbeds.com/connect/10074733072513#/reservations/31719297941698?display=MX8YJ6T33&amp;reservation_id=31719297941698", "MX8YJ6T33")</f>
        <v>MX8YJ6T33</v>
      </c>
      <c r="B12236" t="s">
        <v>10</v>
      </c>
      <c r="C12236" t="s">
        <v>23</v>
      </c>
      <c r="D12236" t="str">
        <f>HYPERLINK("https://us2.cloudbeds.com/connect/10074733072513#/reservations/31719297941698?display=Heather%20Depuy&amp;reservation_id=31719297941698&amp;guest_id=31719288627377", "Heather Depuy")</f>
        <v>Heather Depuy</v>
      </c>
      <c r="E12236" t="s">
        <v>11560</v>
      </c>
      <c r="F12236" t="s">
        <v>11561</v>
      </c>
      <c r="G12236">
        <v>102.58</v>
      </c>
      <c r="H12236">
        <v>111.51</v>
      </c>
      <c r="I12236">
        <v>111.5</v>
      </c>
      <c r="J12236">
        <v>0.01</v>
      </c>
    </row>
    <row r="12237" spans="1:10" x14ac:dyDescent="0.3">
      <c r="A12237" t="str">
        <f>HYPERLINK("https://us2.cloudbeds.com/connect/10074733072513#/reservations/31722555248801?display=MXB5QS8BU&amp;reservation_id=31722555248801", "MXB5QS8BU")</f>
        <v>MXB5QS8BU</v>
      </c>
      <c r="B12237" t="s">
        <v>10</v>
      </c>
      <c r="C12237" t="s">
        <v>23</v>
      </c>
      <c r="D12237" t="str">
        <f>HYPERLINK("https://us2.cloudbeds.com/connect/10074733072513#/reservations/31722555248801?display=Erica%20Goldsmith&amp;reservation_id=31722555248801&amp;guest_id=31722555248796", "Erica Goldsmith")</f>
        <v>Erica Goldsmith</v>
      </c>
      <c r="E12237" t="s">
        <v>11562</v>
      </c>
      <c r="F12237" t="s">
        <v>11563</v>
      </c>
      <c r="G12237">
        <v>119</v>
      </c>
      <c r="H12237">
        <v>129.36000000000001</v>
      </c>
      <c r="I12237">
        <v>129.35</v>
      </c>
      <c r="J12237">
        <v>0.01</v>
      </c>
    </row>
    <row r="12238" spans="1:10" x14ac:dyDescent="0.3">
      <c r="A12238" t="str">
        <f>HYPERLINK("https://us2.cloudbeds.com/connect/10074733072513#/reservations/31719123570914?display=MX8H45ZWV&amp;reservation_id=31719123570914", "MX8H45ZWV")</f>
        <v>MX8H45ZWV</v>
      </c>
      <c r="B12238" t="s">
        <v>10</v>
      </c>
      <c r="C12238" t="s">
        <v>23</v>
      </c>
      <c r="D12238" t="str">
        <f>HYPERLINK("https://us2.cloudbeds.com/connect/10074733072513#/reservations/31719123570914?display=Tamara%20Voight&amp;reservation_id=31719123570914&amp;guest_id=31719123570912", "Tamara Voight")</f>
        <v>Tamara Voight</v>
      </c>
      <c r="E12238" t="s">
        <v>11564</v>
      </c>
      <c r="F12238" t="s">
        <v>10821</v>
      </c>
      <c r="G12238">
        <v>130.38</v>
      </c>
      <c r="H12238">
        <v>141.72999999999999</v>
      </c>
      <c r="I12238">
        <v>141.72</v>
      </c>
      <c r="J12238">
        <v>0.01</v>
      </c>
    </row>
    <row r="12239" spans="1:10" x14ac:dyDescent="0.3">
      <c r="A12239" t="str">
        <f>HYPERLINK("https://us2.cloudbeds.com/connect/10074733072513#/reservations/31713100812494?display=MX3S7KKM1&amp;reservation_id=31713100812494", "MX3S7KKM1")</f>
        <v>MX3S7KKM1</v>
      </c>
      <c r="B12239" t="s">
        <v>10</v>
      </c>
      <c r="C12239" t="s">
        <v>23</v>
      </c>
      <c r="D12239" t="str">
        <f>HYPERLINK("https://us2.cloudbeds.com/connect/10074733072513#/reservations/31713100812494?display=Karan%20Henderson&amp;reservation_id=31713100812494&amp;guest_id=31713100812489", "Karan Henderson")</f>
        <v>Karan Henderson</v>
      </c>
      <c r="E12239" t="s">
        <v>11565</v>
      </c>
      <c r="F12239" t="s">
        <v>11566</v>
      </c>
      <c r="G12239">
        <v>473.4</v>
      </c>
      <c r="H12239">
        <v>514.6</v>
      </c>
      <c r="I12239">
        <v>514.59</v>
      </c>
      <c r="J12239">
        <v>0.01</v>
      </c>
    </row>
    <row r="12240" spans="1:10" x14ac:dyDescent="0.3">
      <c r="A12240" t="str">
        <f>HYPERLINK("https://us2.cloudbeds.com/connect/10074733072513#/reservations/31722093781134?display=MXAR0Z7P8&amp;reservation_id=31722093781134", "MXAR0Z7P8")</f>
        <v>MXAR0Z7P8</v>
      </c>
      <c r="B12240" t="s">
        <v>10</v>
      </c>
      <c r="C12240" t="s">
        <v>23</v>
      </c>
      <c r="D12240" t="str">
        <f>HYPERLINK("https://us2.cloudbeds.com/connect/10074733072513#/reservations/31722093781134?display=Timothy%20Goldsmith&amp;reservation_id=31722093781134&amp;guest_id=31722085654771", "Timothy Goldsmith")</f>
        <v>Timothy Goldsmith</v>
      </c>
      <c r="E12240" t="s">
        <v>11567</v>
      </c>
      <c r="F12240" t="s">
        <v>11563</v>
      </c>
      <c r="G12240">
        <v>109</v>
      </c>
      <c r="H12240">
        <v>118.49</v>
      </c>
      <c r="I12240">
        <v>118.48</v>
      </c>
      <c r="J12240">
        <v>0.01</v>
      </c>
    </row>
    <row r="12241" spans="1:10" x14ac:dyDescent="0.3">
      <c r="A12241" t="str">
        <f>HYPERLINK("https://us2.cloudbeds.com/connect/10074733072513#/reservations/31721905033434?display=MXAM6J1NW&amp;reservation_id=31721905033434", "MXAM6J1NW")</f>
        <v>MXAM6J1NW</v>
      </c>
      <c r="B12241" t="s">
        <v>10</v>
      </c>
      <c r="C12241" t="s">
        <v>23</v>
      </c>
      <c r="D12241" t="str">
        <f>HYPERLINK("https://us2.cloudbeds.com/connect/10074733072513#/reservations/31721905033434?display=Terri%20Traxinger&amp;reservation_id=31721905033434&amp;guest_id=31721905029342", "Terri Traxinger")</f>
        <v>Terri Traxinger</v>
      </c>
      <c r="E12241" t="s">
        <v>11568</v>
      </c>
      <c r="F12241" t="s">
        <v>11059</v>
      </c>
      <c r="G12241">
        <v>99</v>
      </c>
      <c r="H12241">
        <v>107.62</v>
      </c>
      <c r="I12241">
        <v>107.61</v>
      </c>
      <c r="J12241">
        <v>0.01</v>
      </c>
    </row>
    <row r="12242" spans="1:10" x14ac:dyDescent="0.3">
      <c r="A12242" t="str">
        <f>HYPERLINK("https://us2.cloudbeds.com/connect/10074733072513#/reservations/31721895448709?display=MXAYVGBAP&amp;reservation_id=31721895448709", "MXAYVGBAP")</f>
        <v>MXAYVGBAP</v>
      </c>
      <c r="B12242" t="s">
        <v>10</v>
      </c>
      <c r="C12242" t="s">
        <v>23</v>
      </c>
      <c r="D12242" t="str">
        <f>HYPERLINK("https://us2.cloudbeds.com/connect/10074733072513#/reservations/31721895448709?display=Gene%20Gates&amp;reservation_id=31721895448709&amp;guest_id=31721895444617", "Gene Gates")</f>
        <v>Gene Gates</v>
      </c>
      <c r="E12242" t="s">
        <v>11568</v>
      </c>
      <c r="F12242" t="s">
        <v>11059</v>
      </c>
      <c r="G12242">
        <v>99</v>
      </c>
      <c r="H12242">
        <v>107.62</v>
      </c>
      <c r="I12242">
        <v>107.61</v>
      </c>
      <c r="J12242">
        <v>0.01</v>
      </c>
    </row>
    <row r="12243" spans="1:10" x14ac:dyDescent="0.3">
      <c r="A12243" t="str">
        <f>HYPERLINK("https://us2.cloudbeds.com/connect/10074733072513#/reservations/31711657332950?display=MX2ZBEMEM&amp;reservation_id=31711657332950", "MX2ZBEMEM")</f>
        <v>MX2ZBEMEM</v>
      </c>
      <c r="B12243" t="s">
        <v>10</v>
      </c>
      <c r="C12243" t="s">
        <v>23</v>
      </c>
      <c r="D12243" t="str">
        <f>HYPERLINK("https://us2.cloudbeds.com/connect/10074733072513#/reservations/31711657332950?display=Kelly%20Goldsmith&amp;reservation_id=31711657332950&amp;guest_id=31711657332948", "Kelly Goldsmith")</f>
        <v>Kelly Goldsmith</v>
      </c>
      <c r="E12243" t="s">
        <v>11569</v>
      </c>
      <c r="F12243" t="s">
        <v>11563</v>
      </c>
      <c r="G12243">
        <v>89</v>
      </c>
      <c r="H12243">
        <v>96.75</v>
      </c>
      <c r="I12243">
        <v>96.74</v>
      </c>
      <c r="J12243">
        <v>0.01</v>
      </c>
    </row>
    <row r="12244" spans="1:10" x14ac:dyDescent="0.3">
      <c r="A12244" t="str">
        <f>HYPERLINK("https://us2.cloudbeds.com/connect/10074733072513#/reservations/31711689515204?display=MX2P5J6XG&amp;reservation_id=31711689515204", "MX2P5J6XG")</f>
        <v>MX2P5J6XG</v>
      </c>
      <c r="B12244" t="s">
        <v>10</v>
      </c>
      <c r="C12244" t="s">
        <v>23</v>
      </c>
      <c r="D12244" t="str">
        <f>HYPERLINK("https://us2.cloudbeds.com/connect/10074733072513#/reservations/31711689515204?display=Rachel%20Pike&amp;reservation_id=31711689515204&amp;guest_id=31711689511152", "Rachel Pike")</f>
        <v>Rachel Pike</v>
      </c>
      <c r="E12244" t="s">
        <v>11570</v>
      </c>
      <c r="F12244" t="s">
        <v>11563</v>
      </c>
      <c r="G12244">
        <v>109</v>
      </c>
      <c r="H12244">
        <v>118.49</v>
      </c>
      <c r="I12244">
        <v>118.48</v>
      </c>
      <c r="J12244">
        <v>0.01</v>
      </c>
    </row>
    <row r="12245" spans="1:10" x14ac:dyDescent="0.3">
      <c r="A12245" t="str">
        <f>HYPERLINK("https://us2.cloudbeds.com/connect/10074733072513#/reservations/31714611724514?display=MX50RYWBP&amp;reservation_id=31714611724514", "MX50RYWBP")</f>
        <v>MX50RYWBP</v>
      </c>
      <c r="B12245" t="s">
        <v>10</v>
      </c>
      <c r="C12245" t="s">
        <v>42</v>
      </c>
      <c r="D12245" t="str">
        <f>HYPERLINK("https://us2.cloudbeds.com/connect/10074733072513#/reservations/31714611724514?display=Henrik%20Petersen&amp;reservation_id=31714611724514&amp;guest_id=31714611724499", "Henrik Petersen")</f>
        <v>Henrik Petersen</v>
      </c>
      <c r="E12245" t="s">
        <v>11572</v>
      </c>
      <c r="F12245" t="s">
        <v>11573</v>
      </c>
      <c r="G12245">
        <v>149</v>
      </c>
      <c r="H12245">
        <v>161.97</v>
      </c>
      <c r="I12245">
        <v>161.96</v>
      </c>
      <c r="J12245">
        <v>0.01</v>
      </c>
    </row>
    <row r="12246" spans="1:10" x14ac:dyDescent="0.3">
      <c r="A12246" t="str">
        <f>HYPERLINK("https://us2.cloudbeds.com/connect/10074733072513#/reservations/31714619555975?display=MX5118TPP&amp;reservation_id=31714619555975", "MX5118TPP")</f>
        <v>MX5118TPP</v>
      </c>
      <c r="B12246" t="s">
        <v>10</v>
      </c>
      <c r="C12246" t="s">
        <v>42</v>
      </c>
      <c r="D12246" t="str">
        <f>HYPERLINK("https://us2.cloudbeds.com/connect/10074733072513#/reservations/31714619555975?display=Scott%20Petty&amp;reservation_id=31714619555975&amp;guest_id=31714619551915", "Scott Petty")</f>
        <v>Scott Petty</v>
      </c>
      <c r="E12246" t="s">
        <v>11574</v>
      </c>
      <c r="F12246" t="s">
        <v>11573</v>
      </c>
      <c r="G12246">
        <v>278</v>
      </c>
      <c r="H12246">
        <v>302.2</v>
      </c>
      <c r="I12246">
        <v>302.19</v>
      </c>
      <c r="J12246">
        <v>0.01</v>
      </c>
    </row>
    <row r="12247" spans="1:10" x14ac:dyDescent="0.3">
      <c r="A12247" t="str">
        <f>HYPERLINK("https://us2.cloudbeds.com/connect/10074733072513#/reservations/31718178857107?display=MX7PWXN6R&amp;reservation_id=31718178857107", "MX7PWXN6R")</f>
        <v>MX7PWXN6R</v>
      </c>
      <c r="B12247" t="s">
        <v>10</v>
      </c>
      <c r="C12247" t="s">
        <v>42</v>
      </c>
      <c r="D12247" t="str">
        <f>HYPERLINK("https://us2.cloudbeds.com/connect/10074733072513#/reservations/31718178857107?display=Trica%20Roetke&amp;reservation_id=31718178857107&amp;guest_id=31718178857104", "Trica Roetke")</f>
        <v>Trica Roetke</v>
      </c>
      <c r="E12247" t="s">
        <v>11575</v>
      </c>
      <c r="F12247" t="s">
        <v>11573</v>
      </c>
      <c r="G12247">
        <v>139</v>
      </c>
      <c r="H12247">
        <v>151.1</v>
      </c>
      <c r="I12247">
        <v>151.09</v>
      </c>
      <c r="J12247">
        <v>0.01</v>
      </c>
    </row>
    <row r="12248" spans="1:10" x14ac:dyDescent="0.3">
      <c r="A12248" t="str">
        <f>HYPERLINK("https://us2.cloudbeds.com/connect/10074733072513#/reservations/31720540770470?display=MX9KB6E01&amp;reservation_id=31720540770470", "MX9KB6E01")</f>
        <v>MX9KB6E01</v>
      </c>
      <c r="B12248" t="s">
        <v>10</v>
      </c>
      <c r="C12248" t="s">
        <v>42</v>
      </c>
      <c r="D12248" t="str">
        <f>HYPERLINK("https://us2.cloudbeds.com/connect/10074733072513#/reservations/31720540770470?display=Julie%20Konen&amp;reservation_id=31720540770470&amp;guest_id=31720540770467", "Julie Konen")</f>
        <v>Julie Konen</v>
      </c>
      <c r="E12248" t="s">
        <v>11576</v>
      </c>
      <c r="F12248" t="s">
        <v>10821</v>
      </c>
      <c r="G12248">
        <v>149</v>
      </c>
      <c r="H12248">
        <v>161.97</v>
      </c>
      <c r="I12248">
        <v>161.96</v>
      </c>
      <c r="J12248">
        <v>0.01</v>
      </c>
    </row>
    <row r="12249" spans="1:10" x14ac:dyDescent="0.3">
      <c r="A12249" t="str">
        <f>HYPERLINK("https://us2.cloudbeds.com/connect/10074733072513#/reservations/31724915249330?display=MXD03SZYG&amp;reservation_id=31724915249330", "MXD03SZYG")</f>
        <v>MXD03SZYG</v>
      </c>
      <c r="B12249" t="s">
        <v>10</v>
      </c>
      <c r="C12249" t="s">
        <v>42</v>
      </c>
      <c r="D12249" t="str">
        <f>HYPERLINK("https://us2.cloudbeds.com/connect/10074733072513#/reservations/31724915249330?display=Kasey%20Mayclin&amp;reservation_id=31724915249330&amp;guest_id=31724905230554", "Kasey Mayclin")</f>
        <v>Kasey Mayclin</v>
      </c>
      <c r="E12249" t="s">
        <v>11577</v>
      </c>
      <c r="F12249" t="s">
        <v>10982</v>
      </c>
      <c r="G12249">
        <v>338</v>
      </c>
      <c r="H12249">
        <v>367.42</v>
      </c>
      <c r="I12249">
        <v>367.41</v>
      </c>
      <c r="J12249">
        <v>0.01</v>
      </c>
    </row>
    <row r="12250" spans="1:10" x14ac:dyDescent="0.3">
      <c r="A12250" t="str">
        <f>HYPERLINK("https://us2.cloudbeds.com/connect/10074733072513#/reservations/31717716738225?display=MX7E5TXKB&amp;reservation_id=31717716738225", "MX7E5TXKB")</f>
        <v>MX7E5TXKB</v>
      </c>
      <c r="B12250" t="s">
        <v>10</v>
      </c>
      <c r="C12250" t="s">
        <v>42</v>
      </c>
      <c r="D12250" t="str">
        <f>HYPERLINK("https://us2.cloudbeds.com/connect/10074733072513#/reservations/31717716738225?display=Artulo%20Martinez&amp;reservation_id=31717716738225&amp;guest_id=31717706772695", "Artulo Martinez")</f>
        <v>Artulo Martinez</v>
      </c>
      <c r="E12250" t="s">
        <v>11578</v>
      </c>
      <c r="F12250" t="s">
        <v>10821</v>
      </c>
      <c r="G12250">
        <v>149</v>
      </c>
      <c r="H12250">
        <v>161.97</v>
      </c>
      <c r="I12250">
        <v>161.96</v>
      </c>
      <c r="J12250">
        <v>0.01</v>
      </c>
    </row>
    <row r="12251" spans="1:10" x14ac:dyDescent="0.3">
      <c r="A12251" t="str">
        <f>HYPERLINK("https://us2.cloudbeds.com/connect/10074733072513#/reservations/31720404492438?display=MX9GS99FN&amp;reservation_id=31720404492438", "MX9GS99FN")</f>
        <v>MX9GS99FN</v>
      </c>
      <c r="B12251" t="s">
        <v>10</v>
      </c>
      <c r="C12251" t="s">
        <v>23</v>
      </c>
      <c r="D12251" t="str">
        <f>HYPERLINK("https://us2.cloudbeds.com/connect/10074733072513#/reservations/31720404492438?display=Molly%20Niday&amp;reservation_id=31720404492438&amp;guest_id=31720404492433", "Molly Niday")</f>
        <v>Molly Niday</v>
      </c>
      <c r="E12251" t="s">
        <v>11579</v>
      </c>
      <c r="F12251" t="s">
        <v>11044</v>
      </c>
      <c r="G12251">
        <v>139</v>
      </c>
      <c r="H12251">
        <v>151.1</v>
      </c>
      <c r="I12251">
        <v>151.09</v>
      </c>
      <c r="J12251">
        <v>0.01</v>
      </c>
    </row>
    <row r="12252" spans="1:10" x14ac:dyDescent="0.3">
      <c r="A12252" t="str">
        <f>HYPERLINK("https://us2.cloudbeds.com/connect/10074733072513#/reservations/31718658232541?display=MX857Q114&amp;reservation_id=31718658232541", "MX857Q114")</f>
        <v>MX857Q114</v>
      </c>
      <c r="B12252" t="s">
        <v>10</v>
      </c>
      <c r="C12252" t="s">
        <v>23</v>
      </c>
      <c r="D12252" t="str">
        <f>HYPERLINK("https://us2.cloudbeds.com/connect/10074733072513#/reservations/31718658232541?display=Travis%20Boyd&amp;reservation_id=31718658232541&amp;guest_id=31718658232536", "Travis Boyd")</f>
        <v>Travis Boyd</v>
      </c>
      <c r="E12252" t="s">
        <v>11580</v>
      </c>
      <c r="F12252" t="s">
        <v>11196</v>
      </c>
      <c r="G12252">
        <v>378</v>
      </c>
      <c r="H12252">
        <v>410.9</v>
      </c>
      <c r="I12252">
        <v>410.89</v>
      </c>
      <c r="J12252">
        <v>0.01</v>
      </c>
    </row>
    <row r="12253" spans="1:10" x14ac:dyDescent="0.3">
      <c r="A12253" t="str">
        <f>HYPERLINK("https://us2.cloudbeds.com/connect/10074733072513#/reservations/31720272404690?display=MX9DFTZPM&amp;reservation_id=31720272404690", "MX9DFTZPM")</f>
        <v>MX9DFTZPM</v>
      </c>
      <c r="B12253" t="s">
        <v>10</v>
      </c>
      <c r="C12253" t="s">
        <v>23</v>
      </c>
      <c r="D12253" t="str">
        <f>HYPERLINK("https://us2.cloudbeds.com/connect/10074733072513#/reservations/31720272404690?display=Crystal%20Nelson&amp;reservation_id=31720272404690&amp;guest_id=31720272404686", "Crystal Nelson")</f>
        <v>Crystal Nelson</v>
      </c>
      <c r="E12253" t="s">
        <v>11581</v>
      </c>
      <c r="F12253" t="s">
        <v>11435</v>
      </c>
      <c r="G12253">
        <v>149</v>
      </c>
      <c r="H12253">
        <v>161.97</v>
      </c>
      <c r="I12253">
        <v>161.96</v>
      </c>
      <c r="J12253">
        <v>0.01</v>
      </c>
    </row>
    <row r="12254" spans="1:10" x14ac:dyDescent="0.3">
      <c r="A12254" t="str">
        <f>HYPERLINK("https://us2.cloudbeds.com/connect/10074733072513#/reservations/31722540310704?display=MXB5E8J3B&amp;reservation_id=31722540310704", "MXB5E8J3B")</f>
        <v>MXB5E8J3B</v>
      </c>
      <c r="B12254" t="s">
        <v>10</v>
      </c>
      <c r="C12254" t="s">
        <v>23</v>
      </c>
      <c r="D12254" t="str">
        <f>HYPERLINK("https://us2.cloudbeds.com/connect/10074733072513#/reservations/31722540310704?display=Kevin%20Meierhofer&amp;reservation_id=31722540310704&amp;guest_id=31722531512533", "Kevin Meierhofer")</f>
        <v>Kevin Meierhofer</v>
      </c>
      <c r="E12254" t="s">
        <v>11582</v>
      </c>
      <c r="F12254" t="s">
        <v>11059</v>
      </c>
      <c r="G12254">
        <v>109</v>
      </c>
      <c r="H12254">
        <v>118.49</v>
      </c>
      <c r="I12254">
        <v>118.48</v>
      </c>
      <c r="J12254">
        <v>0.01</v>
      </c>
    </row>
    <row r="12255" spans="1:10" x14ac:dyDescent="0.3">
      <c r="A12255" t="str">
        <f>HYPERLINK("https://us2.cloudbeds.com/connect/10074733072513#/reservations/31723133636820?display=MXBKJXZRK&amp;reservation_id=31723133636820", "MXBKJXZRK")</f>
        <v>MXBKJXZRK</v>
      </c>
      <c r="B12255" t="s">
        <v>10</v>
      </c>
      <c r="C12255" t="s">
        <v>42</v>
      </c>
      <c r="D12255" t="str">
        <f>HYPERLINK("https://us2.cloudbeds.com/connect/10074733072513#/reservations/31723133636820?display=Caleb%20Dockter&amp;reservation_id=31723133636820&amp;guest_id=31722586931393", "Caleb Dockter")</f>
        <v>Caleb Dockter</v>
      </c>
      <c r="E12255" t="s">
        <v>11583</v>
      </c>
      <c r="F12255" t="s">
        <v>10821</v>
      </c>
      <c r="G12255">
        <v>149</v>
      </c>
      <c r="H12255">
        <v>161.97</v>
      </c>
      <c r="I12255">
        <v>161.96</v>
      </c>
      <c r="J12255">
        <v>0.01</v>
      </c>
    </row>
    <row r="12256" spans="1:10" x14ac:dyDescent="0.3">
      <c r="A12256" t="str">
        <f>HYPERLINK("https://us2.cloudbeds.com/connect/10074733072513#/reservations/31714604073102?display=MX50Y728Q&amp;reservation_id=31714604073102", "MX50Y728Q")</f>
        <v>MX50Y728Q</v>
      </c>
      <c r="B12256" t="s">
        <v>10</v>
      </c>
      <c r="C12256" t="s">
        <v>42</v>
      </c>
      <c r="D12256" t="str">
        <f>HYPERLINK("https://us2.cloudbeds.com/connect/10074733072513#/reservations/31714604073102?display=Robert%20Stabe&amp;reservation_id=31714604073102&amp;guest_id=31714600485091", "Robert Stabe")</f>
        <v>Robert Stabe</v>
      </c>
      <c r="E12256" t="s">
        <v>11584</v>
      </c>
      <c r="F12256" t="s">
        <v>11573</v>
      </c>
      <c r="G12256">
        <v>149</v>
      </c>
      <c r="H12256">
        <v>161.97</v>
      </c>
      <c r="I12256">
        <v>161.96</v>
      </c>
      <c r="J12256">
        <v>0.01</v>
      </c>
    </row>
    <row r="12257" spans="1:10" x14ac:dyDescent="0.3">
      <c r="A12257" t="str">
        <f>HYPERLINK("https://us2.cloudbeds.com/connect/10074733072513#/reservations/31721920606410?display=MXAMJNCWB&amp;reservation_id=31721920606410", "MXAMJNCWB")</f>
        <v>MXAMJNCWB</v>
      </c>
      <c r="B12257" t="s">
        <v>10</v>
      </c>
      <c r="C12257" t="s">
        <v>23</v>
      </c>
      <c r="D12257" t="str">
        <f>HYPERLINK("https://us2.cloudbeds.com/connect/10074733072513#/reservations/31721920606410?display=Myrtis%20Kaarup&amp;reservation_id=31721920606410&amp;guest_id=31721876091013", "Myrtis Kaarup")</f>
        <v>Myrtis Kaarup</v>
      </c>
      <c r="E12257" t="s">
        <v>11585</v>
      </c>
      <c r="F12257" t="s">
        <v>11059</v>
      </c>
      <c r="G12257">
        <v>238</v>
      </c>
      <c r="H12257">
        <v>258.72000000000003</v>
      </c>
      <c r="I12257">
        <v>258.70999999999998</v>
      </c>
      <c r="J12257">
        <v>0.01</v>
      </c>
    </row>
    <row r="12258" spans="1:10" x14ac:dyDescent="0.3">
      <c r="A12258" t="str">
        <f>HYPERLINK("https://us2.cloudbeds.com/connect/10074733072513#/reservations/31721962074262?display=MXANYM9QU&amp;reservation_id=31721962074262", "MXANYM9QU")</f>
        <v>MXANYM9QU</v>
      </c>
      <c r="B12258" t="s">
        <v>10</v>
      </c>
      <c r="C12258" t="s">
        <v>23</v>
      </c>
      <c r="D12258" t="str">
        <f>HYPERLINK("https://us2.cloudbeds.com/connect/10074733072513#/reservations/31721962074262?display=Paul%20Parsons&amp;reservation_id=31721962074262&amp;guest_id=31721962074257", "Paul Parsons")</f>
        <v>Paul Parsons</v>
      </c>
      <c r="E12258" t="s">
        <v>11586</v>
      </c>
      <c r="F12258" t="s">
        <v>11059</v>
      </c>
      <c r="G12258">
        <v>99</v>
      </c>
      <c r="H12258">
        <v>107.62</v>
      </c>
      <c r="I12258">
        <v>107.61</v>
      </c>
      <c r="J12258">
        <v>0.01</v>
      </c>
    </row>
    <row r="12259" spans="1:10" x14ac:dyDescent="0.3">
      <c r="A12259" t="str">
        <f>HYPERLINK("https://us2.cloudbeds.com/connect/10074733072513#/reservations/31719227244776?display=MX8JPJKW4&amp;reservation_id=31719227244776", "MX8JPJKW4")</f>
        <v>MX8JPJKW4</v>
      </c>
      <c r="B12259" t="s">
        <v>10</v>
      </c>
      <c r="C12259" t="s">
        <v>42</v>
      </c>
      <c r="D12259" t="str">
        <f>HYPERLINK("https://us2.cloudbeds.com/connect/10074733072513#/reservations/31719227244776?display=Ethan%20Bender&amp;reservation_id=31719227244776&amp;guest_id=31713193734299", "Ethan Bender")</f>
        <v>Ethan Bender</v>
      </c>
      <c r="E12259" t="s">
        <v>11587</v>
      </c>
      <c r="F12259" t="s">
        <v>10821</v>
      </c>
      <c r="G12259">
        <v>139</v>
      </c>
      <c r="H12259">
        <v>151.1</v>
      </c>
      <c r="I12259">
        <v>151.09</v>
      </c>
      <c r="J12259">
        <v>0.01</v>
      </c>
    </row>
    <row r="12260" spans="1:10" x14ac:dyDescent="0.3">
      <c r="A12260" t="str">
        <f>HYPERLINK("https://us2.cloudbeds.com/connect/10074733072513#/reservations/31720226554096?display=MX9CA7TCZ&amp;reservation_id=31720226554096", "MX9CA7TCZ")</f>
        <v>MX9CA7TCZ</v>
      </c>
      <c r="B12260" t="s">
        <v>10</v>
      </c>
      <c r="C12260" t="s">
        <v>42</v>
      </c>
      <c r="D12260" t="str">
        <f>HYPERLINK("https://us2.cloudbeds.com/connect/10074733072513#/reservations/31720226554096?display=Trent%20Herman&amp;reservation_id=31720226554096&amp;guest_id=31702693081331", "Trent Herman")</f>
        <v>Trent Herman</v>
      </c>
      <c r="E12260" t="s">
        <v>9970</v>
      </c>
      <c r="F12260" t="s">
        <v>11566</v>
      </c>
      <c r="G12260">
        <v>89</v>
      </c>
      <c r="H12260">
        <v>96.75</v>
      </c>
      <c r="I12260">
        <v>96.74</v>
      </c>
      <c r="J12260">
        <v>0.01</v>
      </c>
    </row>
    <row r="12261" spans="1:10" x14ac:dyDescent="0.3">
      <c r="A12261" t="str">
        <f>HYPERLINK("https://us2.cloudbeds.com/connect/10074733072513#/reservations/31722468282514?display=MXB3JH9GU&amp;reservation_id=31722468282514", "MXB3JH9GU")</f>
        <v>MXB3JH9GU</v>
      </c>
      <c r="B12261" t="s">
        <v>10</v>
      </c>
      <c r="C12261" t="s">
        <v>42</v>
      </c>
      <c r="D12261" t="str">
        <f>HYPERLINK("https://us2.cloudbeds.com/connect/10074733072513#/reservations/31722468282514?display=Rene%20Garzon&amp;reservation_id=31722468282514&amp;guest_id=31722468282512", "Rene Garzon")</f>
        <v>Rene Garzon</v>
      </c>
      <c r="E12261" t="s">
        <v>11590</v>
      </c>
      <c r="F12261" t="s">
        <v>11159</v>
      </c>
      <c r="G12261">
        <v>99</v>
      </c>
      <c r="H12261">
        <v>107.62</v>
      </c>
      <c r="I12261">
        <v>107.61</v>
      </c>
      <c r="J12261">
        <v>0.01</v>
      </c>
    </row>
    <row r="12262" spans="1:10" x14ac:dyDescent="0.3">
      <c r="A12262" t="str">
        <f>HYPERLINK("https://us2.cloudbeds.com/connect/10074733072513#/reservations/31722524758231?display=MXB514QM9&amp;reservation_id=31722524758231", "MXB514QM9")</f>
        <v>MXB514QM9</v>
      </c>
      <c r="B12262" t="s">
        <v>10</v>
      </c>
      <c r="C12262" t="s">
        <v>23</v>
      </c>
      <c r="D12262" t="str">
        <f>HYPERLINK("https://us2.cloudbeds.com/connect/10074733072513#/reservations/31722524758231?display=John%20Axelson&amp;reservation_id=31722524758231&amp;guest_id=31721167827184", "John Axelson")</f>
        <v>John Axelson</v>
      </c>
      <c r="E12262" t="s">
        <v>10770</v>
      </c>
      <c r="F12262" t="s">
        <v>11563</v>
      </c>
      <c r="G12262">
        <v>109</v>
      </c>
      <c r="H12262">
        <v>118.49</v>
      </c>
      <c r="I12262">
        <v>118.48</v>
      </c>
      <c r="J12262">
        <v>0.01</v>
      </c>
    </row>
    <row r="12263" spans="1:10" x14ac:dyDescent="0.3">
      <c r="A12263" t="str">
        <f>HYPERLINK("https://us2.cloudbeds.com/connect/10074733072513#/reservations/31716734308484?display=MX6M2G094&amp;reservation_id=31716734308484", "MX6M2G094")</f>
        <v>MX6M2G094</v>
      </c>
      <c r="B12263" t="s">
        <v>10</v>
      </c>
      <c r="C12263" t="s">
        <v>42</v>
      </c>
      <c r="D12263" t="str">
        <f>HYPERLINK("https://us2.cloudbeds.com/connect/10074733072513#/reservations/31716734308484?display=Jody%20Bonnema&amp;reservation_id=31716734308484&amp;guest_id=31716719562921", "Jody Bonnema")</f>
        <v>Jody Bonnema</v>
      </c>
      <c r="E12263" t="s">
        <v>11591</v>
      </c>
      <c r="F12263" t="s">
        <v>10827</v>
      </c>
      <c r="G12263">
        <v>258</v>
      </c>
      <c r="H12263">
        <v>280.45999999999998</v>
      </c>
      <c r="I12263">
        <v>280.45</v>
      </c>
      <c r="J12263">
        <v>0.01</v>
      </c>
    </row>
    <row r="12264" spans="1:10" x14ac:dyDescent="0.3">
      <c r="A12264" t="str">
        <f>HYPERLINK("https://us2.cloudbeds.com/connect/10074733072513#/reservations/31722203750562?display=MXATRF9Q5&amp;reservation_id=31722203750562", "MXATRF9Q5")</f>
        <v>MXATRF9Q5</v>
      </c>
      <c r="B12264" t="s">
        <v>10</v>
      </c>
      <c r="C12264" t="s">
        <v>23</v>
      </c>
      <c r="D12264" t="str">
        <f>HYPERLINK("https://us2.cloudbeds.com/connect/10074733072513#/reservations/31722203750562?display=Renee%20Osborne&amp;reservation_id=31722203750562&amp;guest_id=31702055457010", "Renee Osborne")</f>
        <v>Renee Osborne</v>
      </c>
      <c r="E12264" t="s">
        <v>7450</v>
      </c>
      <c r="F12264" t="s">
        <v>11230</v>
      </c>
      <c r="G12264">
        <v>189</v>
      </c>
      <c r="H12264">
        <v>205.45</v>
      </c>
      <c r="I12264">
        <v>205.44</v>
      </c>
      <c r="J12264">
        <v>0.01</v>
      </c>
    </row>
    <row r="12265" spans="1:10" x14ac:dyDescent="0.3">
      <c r="A12265" t="str">
        <f>HYPERLINK("https://us2.cloudbeds.com/connect/10074733072513#/reservations/31722193989840?display=MXATJ7MPN&amp;reservation_id=31722193989840", "MXATJ7MPN")</f>
        <v>MXATJ7MPN</v>
      </c>
      <c r="B12265" t="s">
        <v>10</v>
      </c>
      <c r="C12265" t="s">
        <v>23</v>
      </c>
      <c r="D12265" t="str">
        <f>HYPERLINK("https://us2.cloudbeds.com/connect/10074733072513#/reservations/31722193989840?display=Darnell%20Novotny&amp;reservation_id=31722193989840&amp;guest_id=31722193985729", "Darnell Novotny")</f>
        <v>Darnell Novotny</v>
      </c>
      <c r="E12265" t="s">
        <v>11592</v>
      </c>
      <c r="F12265" t="s">
        <v>11230</v>
      </c>
      <c r="G12265">
        <v>149</v>
      </c>
      <c r="H12265">
        <v>161.97</v>
      </c>
      <c r="I12265">
        <v>161.96</v>
      </c>
      <c r="J12265">
        <v>0.01</v>
      </c>
    </row>
    <row r="12266" spans="1:10" x14ac:dyDescent="0.3">
      <c r="A12266" t="str">
        <f>HYPERLINK("https://us2.cloudbeds.com/connect/10074733072513#/reservations/31716846948600?display=MX6ZVFCNW&amp;reservation_id=31716846948600", "MX6ZVFCNW")</f>
        <v>MX6ZVFCNW</v>
      </c>
      <c r="B12266" t="s">
        <v>10</v>
      </c>
      <c r="C12266" t="s">
        <v>42</v>
      </c>
      <c r="D12266" t="str">
        <f>HYPERLINK("https://us2.cloudbeds.com/connect/10074733072513#/reservations/31716846948600?display=Dominic%20Diggs&amp;reservation_id=31716846948600&amp;guest_id=31716846948595", "Dominic Diggs")</f>
        <v>Dominic Diggs</v>
      </c>
      <c r="E12266" t="s">
        <v>11595</v>
      </c>
      <c r="F12266" t="s">
        <v>10827</v>
      </c>
      <c r="G12266">
        <v>318</v>
      </c>
      <c r="H12266">
        <v>345.68</v>
      </c>
      <c r="I12266">
        <v>345.67</v>
      </c>
      <c r="J12266">
        <v>0.01</v>
      </c>
    </row>
    <row r="12267" spans="1:10" x14ac:dyDescent="0.3">
      <c r="A12267" t="str">
        <f>HYPERLINK("https://us2.cloudbeds.com/connect/10074733072513#/reservations/31718731948170?display=MX873V952&amp;reservation_id=31718731948170", "MX873V952")</f>
        <v>MX873V952</v>
      </c>
      <c r="B12267" t="s">
        <v>10</v>
      </c>
      <c r="C12267" t="s">
        <v>23</v>
      </c>
      <c r="D12267" t="str">
        <f>HYPERLINK("https://us2.cloudbeds.com/connect/10074733072513#/reservations/31718731948170?display=Michelle%20Evans&amp;reservation_id=31718731948170&amp;guest_id=31718328287446", "Michelle Evans")</f>
        <v>Michelle Evans</v>
      </c>
      <c r="E12267" t="s">
        <v>11599</v>
      </c>
      <c r="F12267" t="s">
        <v>11114</v>
      </c>
      <c r="G12267">
        <v>189</v>
      </c>
      <c r="H12267">
        <v>205.45</v>
      </c>
      <c r="I12267">
        <v>205.44</v>
      </c>
      <c r="J12267">
        <v>0.01</v>
      </c>
    </row>
    <row r="12268" spans="1:10" x14ac:dyDescent="0.3">
      <c r="A12268" t="str">
        <f>HYPERLINK("https://us2.cloudbeds.com/connect/10074733072513#/reservations/31722373664978?display=MXB15ZDNS&amp;reservation_id=31722373664978", "MXB15ZDNS")</f>
        <v>MXB15ZDNS</v>
      </c>
      <c r="B12268" t="s">
        <v>10</v>
      </c>
      <c r="C12268" t="s">
        <v>23</v>
      </c>
      <c r="D12268" t="str">
        <f>HYPERLINK("https://us2.cloudbeds.com/connect/10074733072513#/reservations/31722373664978?display=Taylor%20Tuscherer&amp;reservation_id=31722373664978&amp;guest_id=31722373664973", "Taylor Tuscherer")</f>
        <v>Taylor Tuscherer</v>
      </c>
      <c r="E12268" t="s">
        <v>10681</v>
      </c>
      <c r="F12268" t="s">
        <v>11600</v>
      </c>
      <c r="G12268">
        <v>278</v>
      </c>
      <c r="H12268">
        <v>302.2</v>
      </c>
      <c r="I12268">
        <v>302.19</v>
      </c>
      <c r="J12268">
        <v>0.01</v>
      </c>
    </row>
    <row r="12269" spans="1:10" x14ac:dyDescent="0.3">
      <c r="A12269" t="str">
        <f>HYPERLINK("https://us2.cloudbeds.com/connect/10074733072513#/reservations/31721857274008?display=MXAKWA2GY&amp;reservation_id=31721857274008", "MXAKWA2GY")</f>
        <v>MXAKWA2GY</v>
      </c>
      <c r="B12269" t="s">
        <v>10</v>
      </c>
      <c r="C12269" t="s">
        <v>42</v>
      </c>
      <c r="D12269" t="str">
        <f>HYPERLINK("https://us2.cloudbeds.com/connect/10074733072513#/reservations/31721857274008?display=Justin%20Fortine&amp;reservation_id=31721857274008&amp;guest_id=31691961192660", "Justin Fortine")</f>
        <v>Justin Fortine</v>
      </c>
      <c r="E12269" t="s">
        <v>9173</v>
      </c>
      <c r="F12269" t="s">
        <v>11566</v>
      </c>
      <c r="G12269">
        <v>73</v>
      </c>
      <c r="H12269">
        <v>79.36</v>
      </c>
      <c r="I12269">
        <v>79.349999999999994</v>
      </c>
      <c r="J12269">
        <v>0.01</v>
      </c>
    </row>
    <row r="12270" spans="1:10" x14ac:dyDescent="0.3">
      <c r="A12270" t="str">
        <f>HYPERLINK("https://us2.cloudbeds.com/connect/10074733072513#/reservations/31722531508443?display=MXB56RY75&amp;reservation_id=31722531508443", "MXB56RY75")</f>
        <v>MXB56RY75</v>
      </c>
      <c r="B12270" t="s">
        <v>10</v>
      </c>
      <c r="C12270" t="s">
        <v>42</v>
      </c>
      <c r="D12270" t="str">
        <f>HYPERLINK("https://us2.cloudbeds.com/connect/10074733072513#/reservations/31722531508443?display=Justin%20Fortin&amp;reservation_id=31722531508443&amp;guest_id=31692707201206", "Justin Fortin")</f>
        <v>Justin Fortin</v>
      </c>
      <c r="E12270" t="s">
        <v>9260</v>
      </c>
      <c r="F12270" t="s">
        <v>11159</v>
      </c>
      <c r="G12270">
        <v>73</v>
      </c>
      <c r="H12270">
        <v>79.36</v>
      </c>
      <c r="I12270">
        <v>79.349999999999994</v>
      </c>
      <c r="J12270">
        <v>0.01</v>
      </c>
    </row>
    <row r="12271" spans="1:10" x14ac:dyDescent="0.3">
      <c r="A12271" t="str">
        <f>HYPERLINK("https://us2.cloudbeds.com/connect/10074733072513#/reservations/31719453483211?display=MX8PXC1P9&amp;reservation_id=31719453483211", "MX8PXC1P9")</f>
        <v>MX8PXC1P9</v>
      </c>
      <c r="B12271" t="s">
        <v>10</v>
      </c>
      <c r="C12271" t="s">
        <v>42</v>
      </c>
      <c r="D12271" t="str">
        <f>HYPERLINK("https://us2.cloudbeds.com/connect/10074733072513#/reservations/31719453483211?display=Ana%20Hernandez%20Cruz&amp;reservation_id=31719453483211&amp;guest_id=31719453483206", "Ana Hernandez Cruz")</f>
        <v>Ana Hernandez Cruz</v>
      </c>
      <c r="E12271" t="s">
        <v>11601</v>
      </c>
      <c r="F12271" t="s">
        <v>11527</v>
      </c>
      <c r="G12271">
        <v>238</v>
      </c>
      <c r="H12271">
        <v>258.72000000000003</v>
      </c>
      <c r="I12271">
        <v>258.70999999999998</v>
      </c>
      <c r="J12271">
        <v>0.01</v>
      </c>
    </row>
    <row r="12272" spans="1:10" x14ac:dyDescent="0.3">
      <c r="A12272" t="str">
        <f>HYPERLINK("https://us2.cloudbeds.com/connect/10074733072513#/reservations/31720176685284?display=MX9B1675K&amp;reservation_id=31720176685284", "MX9B1675K")</f>
        <v>MX9B1675K</v>
      </c>
      <c r="B12272" t="s">
        <v>10</v>
      </c>
      <c r="C12272" t="s">
        <v>42</v>
      </c>
      <c r="D12272" t="str">
        <f>HYPERLINK("https://us2.cloudbeds.com/connect/10074733072513#/reservations/31720176685284?display=Logan%20Miller&amp;reservation_id=31720176685284&amp;guest_id=31720176685273", "Logan Miller")</f>
        <v>Logan Miller</v>
      </c>
      <c r="E12272" t="s">
        <v>11376</v>
      </c>
      <c r="F12272" t="s">
        <v>11566</v>
      </c>
      <c r="G12272">
        <v>99</v>
      </c>
      <c r="H12272">
        <v>107.62</v>
      </c>
      <c r="I12272">
        <v>107.61</v>
      </c>
      <c r="J12272">
        <v>0.01</v>
      </c>
    </row>
    <row r="12273" spans="1:10" x14ac:dyDescent="0.3">
      <c r="A12273" t="str">
        <f>HYPERLINK("https://us2.cloudbeds.com/connect/10074733072513#/reservations/31713083064520?display=MX3RPYP5Y&amp;reservation_id=31713083064520", "MX3RPYP5Y")</f>
        <v>MX3RPYP5Y</v>
      </c>
      <c r="B12273" t="s">
        <v>10</v>
      </c>
      <c r="C12273" t="s">
        <v>42</v>
      </c>
      <c r="D12273" t="str">
        <f>HYPERLINK("https://us2.cloudbeds.com/connect/10074733072513#/reservations/31713083064520?display=Kurt%20Seeger&amp;reservation_id=31713083064520&amp;guest_id=31713083064515", "Kurt Seeger")</f>
        <v>Kurt Seeger</v>
      </c>
      <c r="E12273" t="s">
        <v>11372</v>
      </c>
      <c r="F12273" t="s">
        <v>11566</v>
      </c>
      <c r="G12273">
        <v>99</v>
      </c>
      <c r="H12273">
        <v>107.62</v>
      </c>
      <c r="I12273">
        <v>107.61</v>
      </c>
      <c r="J12273">
        <v>0.01</v>
      </c>
    </row>
    <row r="12274" spans="1:10" x14ac:dyDescent="0.3">
      <c r="A12274" t="str">
        <f>HYPERLINK("https://us2.cloudbeds.com/connect/10074733072513#/reservations/31722454425824?display=MXB37RN97&amp;reservation_id=31722454425824", "MXB37RN97")</f>
        <v>MXB37RN97</v>
      </c>
      <c r="B12274" t="s">
        <v>10</v>
      </c>
      <c r="C12274" t="s">
        <v>121</v>
      </c>
      <c r="D12274" t="str">
        <f>HYPERLINK("https://us2.cloudbeds.com/connect/10074733072513#/reservations/31722454425824?display=Jeffrey%20Harper&amp;reservation_id=31722454425824&amp;guest_id=31722446229637", "Jeffrey Harper")</f>
        <v>Jeffrey Harper</v>
      </c>
      <c r="E12274" t="s">
        <v>11602</v>
      </c>
      <c r="F12274" t="s">
        <v>11159</v>
      </c>
      <c r="G12274">
        <v>99</v>
      </c>
      <c r="H12274">
        <v>107.62</v>
      </c>
      <c r="I12274">
        <v>107.61</v>
      </c>
      <c r="J12274">
        <v>0.01</v>
      </c>
    </row>
    <row r="12275" spans="1:10" x14ac:dyDescent="0.3">
      <c r="A12275" t="str">
        <f>HYPERLINK("https://us2.cloudbeds.com/connect/10074733072513#/reservations/31714525720765?display=MX4VY4QCX&amp;reservation_id=31714525720765", "MX4VY4QCX")</f>
        <v>MX4VY4QCX</v>
      </c>
      <c r="B12275" t="s">
        <v>10</v>
      </c>
      <c r="C12275" t="s">
        <v>23</v>
      </c>
      <c r="D12275" t="str">
        <f>HYPERLINK("https://us2.cloudbeds.com/connect/10074733072513#/reservations/31714525720765?display=Andrew%20Bossman&amp;reservation_id=31714525720765&amp;guest_id=31714525720760", "Andrew Bossman")</f>
        <v>Andrew Bossman</v>
      </c>
      <c r="E12275" t="s">
        <v>11605</v>
      </c>
      <c r="F12275" t="s">
        <v>11573</v>
      </c>
      <c r="G12275">
        <v>616</v>
      </c>
      <c r="H12275">
        <v>669.6</v>
      </c>
      <c r="I12275">
        <v>669.59</v>
      </c>
      <c r="J12275">
        <v>0.01</v>
      </c>
    </row>
    <row r="12276" spans="1:10" x14ac:dyDescent="0.3">
      <c r="A12276" t="str">
        <f>HYPERLINK("https://us2.cloudbeds.com/connect/10074733072513#/reservations/31717215219931?display=MX71C02J9&amp;reservation_id=31717215219931", "MX71C02J9")</f>
        <v>MX71C02J9</v>
      </c>
      <c r="B12276" t="s">
        <v>10</v>
      </c>
      <c r="C12276" t="s">
        <v>23</v>
      </c>
      <c r="D12276" t="str">
        <f>HYPERLINK("https://us2.cloudbeds.com/connect/10074733072513#/reservations/31717215219931?display=Katharine%20Karn&amp;reservation_id=31717215219931&amp;guest_id=31717215219928", "Katharine Karn")</f>
        <v>Katharine Karn</v>
      </c>
      <c r="E12276" t="s">
        <v>11606</v>
      </c>
      <c r="F12276" t="s">
        <v>11536</v>
      </c>
      <c r="G12276">
        <v>97.74</v>
      </c>
      <c r="H12276">
        <v>106.25</v>
      </c>
      <c r="I12276">
        <v>106.24</v>
      </c>
      <c r="J12276">
        <v>0.01</v>
      </c>
    </row>
    <row r="12277" spans="1:10" x14ac:dyDescent="0.3">
      <c r="A12277" t="str">
        <f>HYPERLINK("https://us2.cloudbeds.com/connect/10074733072513#/reservations/31713029632163?display=MX3QDJUY9&amp;reservation_id=31713029632163", "MX3QDJUY9")</f>
        <v>MX3QDJUY9</v>
      </c>
      <c r="B12277" t="s">
        <v>10</v>
      </c>
      <c r="C12277" t="s">
        <v>23</v>
      </c>
      <c r="D12277" t="str">
        <f>HYPERLINK("https://us2.cloudbeds.com/connect/10074733072513#/reservations/31713029632163?display=Justin%20Perry&amp;reservation_id=31713029632163&amp;guest_id=31713029628077", "Justin Perry")</f>
        <v>Justin Perry</v>
      </c>
      <c r="E12277" t="s">
        <v>11608</v>
      </c>
      <c r="F12277" t="s">
        <v>11527</v>
      </c>
      <c r="G12277">
        <v>102.58</v>
      </c>
      <c r="H12277">
        <v>111.51</v>
      </c>
      <c r="I12277">
        <v>111.5</v>
      </c>
      <c r="J12277">
        <v>0.01</v>
      </c>
    </row>
    <row r="12278" spans="1:10" x14ac:dyDescent="0.3">
      <c r="A12278" t="str">
        <f>HYPERLINK("https://us2.cloudbeds.com/connect/10074733072513#/reservations/31716345467046?display=MX6C4JUE8&amp;reservation_id=31716345467046", "MX6C4JUE8")</f>
        <v>MX6C4JUE8</v>
      </c>
      <c r="B12278" t="s">
        <v>10</v>
      </c>
      <c r="C12278" t="s">
        <v>23</v>
      </c>
      <c r="D12278" t="str">
        <f>HYPERLINK("https://us2.cloudbeds.com/connect/10074733072513#/reservations/31716345467046?display=Brittnie%20Bossman&amp;reservation_id=31716345467046&amp;guest_id=31716334346445", "Brittnie Bossman")</f>
        <v>Brittnie Bossman</v>
      </c>
      <c r="E12278" t="s">
        <v>11609</v>
      </c>
      <c r="F12278" t="s">
        <v>11573</v>
      </c>
      <c r="G12278">
        <v>616</v>
      </c>
      <c r="H12278">
        <v>669.6</v>
      </c>
      <c r="I12278">
        <v>669.59</v>
      </c>
      <c r="J12278">
        <v>0.01</v>
      </c>
    </row>
    <row r="12279" spans="1:10" x14ac:dyDescent="0.3">
      <c r="A12279" t="str">
        <f>HYPERLINK("https://us2.cloudbeds.com/connect/10074733072513#/reservations/31720231477384?display=MX9CECTA9&amp;reservation_id=31720231477384", "MX9CECTA9")</f>
        <v>MX9CECTA9</v>
      </c>
      <c r="B12279" t="s">
        <v>10</v>
      </c>
      <c r="C12279" t="s">
        <v>23</v>
      </c>
      <c r="D12279" t="str">
        <f>HYPERLINK("https://us2.cloudbeds.com/connect/10074733072513#/reservations/31720231477384?display=William%20Prentice&amp;reservation_id=31720231477384&amp;guest_id=31720231477382", "William Prentice")</f>
        <v>William Prentice</v>
      </c>
      <c r="E12279" t="s">
        <v>10159</v>
      </c>
      <c r="F12279" t="s">
        <v>11566</v>
      </c>
      <c r="G12279">
        <v>99</v>
      </c>
      <c r="H12279">
        <v>107.62</v>
      </c>
      <c r="I12279">
        <v>107.61</v>
      </c>
      <c r="J12279">
        <v>0.01</v>
      </c>
    </row>
    <row r="12280" spans="1:10" x14ac:dyDescent="0.3">
      <c r="A12280" t="str">
        <f>HYPERLINK("https://us2.cloudbeds.com/connect/10074733072513#/reservations/31713056395508?display=MX3R35YNP&amp;reservation_id=31713056395508", "MX3R35YNP")</f>
        <v>MX3R35YNP</v>
      </c>
      <c r="B12280" t="s">
        <v>10</v>
      </c>
      <c r="C12280" t="s">
        <v>121</v>
      </c>
      <c r="D12280" t="str">
        <f>HYPERLINK("https://us2.cloudbeds.com/connect/10074733072513#/reservations/31713056395508?display=Bob%20Tiedt&amp;reservation_id=31713056395508&amp;guest_id=31713056395506", "Bob Tiedt")</f>
        <v>Bob Tiedt</v>
      </c>
      <c r="E12280" t="s">
        <v>11610</v>
      </c>
      <c r="F12280" t="s">
        <v>11527</v>
      </c>
      <c r="G12280">
        <v>89</v>
      </c>
      <c r="H12280">
        <v>96.75</v>
      </c>
      <c r="I12280">
        <v>96.74</v>
      </c>
      <c r="J12280">
        <v>0.01</v>
      </c>
    </row>
    <row r="12281" spans="1:10" x14ac:dyDescent="0.3">
      <c r="A12281" t="str">
        <f>HYPERLINK("https://us2.cloudbeds.com/connect/10074733072513#/reservations/31719479644315?display=MX8Q7E0R0&amp;reservation_id=31719479644315", "MX8Q7E0R0")</f>
        <v>MX8Q7E0R0</v>
      </c>
      <c r="B12281" t="s">
        <v>10</v>
      </c>
      <c r="C12281" t="s">
        <v>23</v>
      </c>
      <c r="D12281" t="str">
        <f>HYPERLINK("https://us2.cloudbeds.com/connect/10074733072513#/reservations/31719479644315?display=Deniz%20Yasat&amp;reservation_id=31719479644315&amp;guest_id=31719479644312", "Deniz Yasat")</f>
        <v>Deniz Yasat</v>
      </c>
      <c r="E12281" t="s">
        <v>11611</v>
      </c>
      <c r="F12281" t="s">
        <v>11518</v>
      </c>
      <c r="G12281">
        <v>179</v>
      </c>
      <c r="H12281">
        <v>194.58</v>
      </c>
      <c r="I12281">
        <v>194.57</v>
      </c>
      <c r="J12281">
        <v>0.01</v>
      </c>
    </row>
    <row r="12282" spans="1:10" x14ac:dyDescent="0.3">
      <c r="A12282" t="str">
        <f>HYPERLINK("https://us2.cloudbeds.com/connect/10074733072513#/reservations/31722160971942?display=MXASZCUAB&amp;reservation_id=31722160971942", "MXASZCUAB")</f>
        <v>MXASZCUAB</v>
      </c>
      <c r="B12282" t="s">
        <v>10</v>
      </c>
      <c r="C12282" t="s">
        <v>23</v>
      </c>
      <c r="D12282" t="str">
        <f>HYPERLINK("https://us2.cloudbeds.com/connect/10074733072513#/reservations/31722160971942?display=Kim%20Meyer&amp;reservation_id=31722160971942&amp;guest_id=31722150502617", "Kim Meyer")</f>
        <v>Kim Meyer</v>
      </c>
      <c r="E12282" t="s">
        <v>11613</v>
      </c>
      <c r="F12282" t="s">
        <v>11563</v>
      </c>
      <c r="G12282">
        <v>87.82</v>
      </c>
      <c r="H12282">
        <v>95.47</v>
      </c>
      <c r="I12282">
        <v>95.46</v>
      </c>
      <c r="J12282">
        <v>0.01</v>
      </c>
    </row>
    <row r="12283" spans="1:10" x14ac:dyDescent="0.3">
      <c r="A12283" t="str">
        <f>HYPERLINK("https://us2.cloudbeds.com/connect/10074733072513#/reservations/31722171752671?display=MXAT0FTW3&amp;reservation_id=31722171752671", "MXAT0FTW3")</f>
        <v>MXAT0FTW3</v>
      </c>
      <c r="B12283" t="s">
        <v>10</v>
      </c>
      <c r="C12283" t="s">
        <v>42</v>
      </c>
      <c r="D12283" t="str">
        <f>HYPERLINK("https://us2.cloudbeds.com/connect/10074733072513#/reservations/31722171752671?display=Arlyn%20Johns&amp;reservation_id=31722171752671&amp;guest_id=31682571722972", "Arlyn Johns")</f>
        <v>Arlyn Johns</v>
      </c>
      <c r="E12283" t="s">
        <v>10034</v>
      </c>
      <c r="F12283" t="s">
        <v>11563</v>
      </c>
      <c r="G12283">
        <v>149</v>
      </c>
      <c r="H12283">
        <v>161.97</v>
      </c>
      <c r="I12283">
        <v>161.96</v>
      </c>
      <c r="J12283">
        <v>0.01</v>
      </c>
    </row>
    <row r="12284" spans="1:10" x14ac:dyDescent="0.3">
      <c r="A12284" t="str">
        <f>HYPERLINK("https://us2.cloudbeds.com/connect/10074733072513#/reservations/31722163470586?display=MXASQGEZR&amp;reservation_id=31722163470586", "MXASQGEZR")</f>
        <v>MXASQGEZR</v>
      </c>
      <c r="B12284" t="s">
        <v>10</v>
      </c>
      <c r="C12284" t="s">
        <v>42</v>
      </c>
      <c r="D12284" t="str">
        <f>HYPERLINK("https://us2.cloudbeds.com/connect/10074733072513#/reservations/31722163470586?display=Mahlaha%20Mapiloko&amp;reservation_id=31722163470586&amp;guest_id=30663523127499", "Mahlaha Mapiloko")</f>
        <v>Mahlaha Mapiloko</v>
      </c>
      <c r="E12284" t="s">
        <v>11615</v>
      </c>
      <c r="F12284" t="s">
        <v>11563</v>
      </c>
      <c r="G12284">
        <v>73</v>
      </c>
      <c r="H12284">
        <v>79.36</v>
      </c>
      <c r="I12284">
        <v>79.349999999999994</v>
      </c>
      <c r="J12284">
        <v>0.01</v>
      </c>
    </row>
    <row r="12285" spans="1:10" x14ac:dyDescent="0.3">
      <c r="A12285" t="str">
        <f>HYPERLINK("https://us2.cloudbeds.com/connect/10074733072513#/reservations/31719448539312?display=MX8PE6FU5&amp;reservation_id=31719448539312", "MX8PE6FU5")</f>
        <v>MX8PE6FU5</v>
      </c>
      <c r="B12285" t="s">
        <v>10</v>
      </c>
      <c r="C12285" t="s">
        <v>121</v>
      </c>
      <c r="D12285" t="str">
        <f>HYPERLINK("https://us2.cloudbeds.com/connect/10074733072513#/reservations/31719448539312?display=Jaime%20Bahena&amp;reservation_id=31719448539312&amp;guest_id=31719435911365", "Jaime Bahena")</f>
        <v>Jaime Bahena</v>
      </c>
      <c r="E12285" t="s">
        <v>11616</v>
      </c>
      <c r="F12285" t="s">
        <v>11527</v>
      </c>
      <c r="G12285">
        <v>99</v>
      </c>
      <c r="H12285">
        <v>107.62</v>
      </c>
      <c r="I12285">
        <v>107.61</v>
      </c>
      <c r="J12285">
        <v>0.01</v>
      </c>
    </row>
    <row r="12286" spans="1:10" x14ac:dyDescent="0.3">
      <c r="A12286" t="str">
        <f>HYPERLINK("https://us2.cloudbeds.com/connect/10074733072513#/reservations/31713449169082?display=MX444C5B9&amp;reservation_id=31713449169082", "MX444C5B9")</f>
        <v>MX444C5B9</v>
      </c>
      <c r="B12286" t="s">
        <v>10</v>
      </c>
      <c r="C12286" t="s">
        <v>42</v>
      </c>
      <c r="D12286" t="str">
        <f>HYPERLINK("https://us2.cloudbeds.com/connect/10074733072513#/reservations/31713449169082?display=Maggie%20Scheffler&amp;reservation_id=31713449169082&amp;guest_id=31712862752961", "Maggie Scheffler")</f>
        <v>Maggie Scheffler</v>
      </c>
      <c r="E12286" t="s">
        <v>11617</v>
      </c>
      <c r="F12286" t="s">
        <v>9834</v>
      </c>
      <c r="G12286">
        <v>318</v>
      </c>
      <c r="H12286">
        <v>345.68</v>
      </c>
      <c r="I12286">
        <v>345.67</v>
      </c>
      <c r="J12286">
        <v>0.01</v>
      </c>
    </row>
    <row r="12287" spans="1:10" x14ac:dyDescent="0.3">
      <c r="A12287" t="str">
        <f>HYPERLINK("https://us2.cloudbeds.com/connect/10074733072513#/reservations/31719463108771?display=MX8PQFTYU&amp;reservation_id=31719463108771", "MX8PQFTYU")</f>
        <v>MX8PQFTYU</v>
      </c>
      <c r="B12287" t="s">
        <v>10</v>
      </c>
      <c r="C12287" t="s">
        <v>42</v>
      </c>
      <c r="D12287" t="str">
        <f>HYPERLINK("https://us2.cloudbeds.com/connect/10074733072513#/reservations/31719463108771?display=Sherwood%20Goossen&amp;reservation_id=31719463108771&amp;guest_id=31711710073083", "Sherwood Goossen")</f>
        <v>Sherwood Goossen</v>
      </c>
      <c r="E12287" t="s">
        <v>11156</v>
      </c>
      <c r="F12287" t="s">
        <v>11527</v>
      </c>
      <c r="G12287">
        <v>99</v>
      </c>
      <c r="H12287">
        <v>107.62</v>
      </c>
      <c r="I12287">
        <v>107.61</v>
      </c>
      <c r="J12287">
        <v>0.01</v>
      </c>
    </row>
    <row r="12288" spans="1:10" x14ac:dyDescent="0.3">
      <c r="A12288" t="str">
        <f>HYPERLINK("https://us2.cloudbeds.com/connect/10074733072513#/reservations/31712862752977?display=MX3M4T8T9&amp;reservation_id=31712862752977", "MX3M4T8T9")</f>
        <v>MX3M4T8T9</v>
      </c>
      <c r="B12288" t="s">
        <v>10</v>
      </c>
      <c r="C12288" t="s">
        <v>42</v>
      </c>
      <c r="D12288" t="str">
        <f>HYPERLINK("https://us2.cloudbeds.com/connect/10074733072513#/reservations/31712862752977?display=Maggie%20Scheffler&amp;reservation_id=31712862752977&amp;guest_id=31712862752961", "Maggie Scheffler")</f>
        <v>Maggie Scheffler</v>
      </c>
      <c r="E12288" t="s">
        <v>11617</v>
      </c>
      <c r="F12288" t="s">
        <v>9834</v>
      </c>
      <c r="G12288">
        <v>159</v>
      </c>
      <c r="H12288">
        <v>172.84</v>
      </c>
      <c r="I12288">
        <v>172.83</v>
      </c>
      <c r="J12288">
        <v>0.01</v>
      </c>
    </row>
    <row r="12289" spans="1:10" x14ac:dyDescent="0.3">
      <c r="A12289" t="str">
        <f>HYPERLINK("https://us2.cloudbeds.com/connect/10074733072513#/reservations/31721570271360?display=MXADANFD7&amp;reservation_id=31721570271360", "MXADANFD7")</f>
        <v>MXADANFD7</v>
      </c>
      <c r="B12289" t="s">
        <v>10</v>
      </c>
      <c r="C12289" t="s">
        <v>42</v>
      </c>
      <c r="D12289" t="str">
        <f>HYPERLINK("https://us2.cloudbeds.com/connect/10074733072513#/reservations/31721570271360?display=Jennifer%20Hovzenes&amp;reservation_id=31721570271360&amp;guest_id=31721557717218", "Jennifer Hovzenes")</f>
        <v>Jennifer Hovzenes</v>
      </c>
      <c r="E12289" t="s">
        <v>11619</v>
      </c>
      <c r="F12289" t="s">
        <v>11114</v>
      </c>
      <c r="G12289">
        <v>179</v>
      </c>
      <c r="H12289">
        <v>194.58</v>
      </c>
      <c r="I12289">
        <v>194.57</v>
      </c>
      <c r="J12289">
        <v>0.01</v>
      </c>
    </row>
    <row r="12290" spans="1:10" x14ac:dyDescent="0.3">
      <c r="A12290" t="str">
        <f>HYPERLINK("https://us2.cloudbeds.com/connect/10074733072513#/reservations/31718769213619?display=MX882C813&amp;reservation_id=31718769213619", "MX882C813")</f>
        <v>MX882C813</v>
      </c>
      <c r="B12290" t="s">
        <v>10</v>
      </c>
      <c r="C12290" t="s">
        <v>23</v>
      </c>
      <c r="D12290" t="str">
        <f>HYPERLINK("https://us2.cloudbeds.com/connect/10074733072513#/reservations/31718769213619?display=Jacob%20Burgett&amp;reservation_id=31718769213619&amp;guest_id=31718769213614", "Jacob Burgett")</f>
        <v>Jacob Burgett</v>
      </c>
      <c r="E12290" t="s">
        <v>11621</v>
      </c>
      <c r="F12290" t="s">
        <v>11114</v>
      </c>
      <c r="G12290">
        <v>189</v>
      </c>
      <c r="H12290">
        <v>205.45</v>
      </c>
      <c r="I12290">
        <v>205.44</v>
      </c>
      <c r="J12290">
        <v>0.01</v>
      </c>
    </row>
    <row r="12291" spans="1:10" x14ac:dyDescent="0.3">
      <c r="A12291" t="str">
        <f>HYPERLINK("https://us2.cloudbeds.com/connect/10074733072513#/reservations/31721681678581?display=MXAGG7SS3&amp;reservation_id=31721681678581", "MXAGG7SS3")</f>
        <v>MXAGG7SS3</v>
      </c>
      <c r="B12291" t="s">
        <v>10</v>
      </c>
      <c r="C12291" t="s">
        <v>23</v>
      </c>
      <c r="D12291" t="str">
        <f>HYPERLINK("https://us2.cloudbeds.com/connect/10074733072513#/reservations/31721681678581?display=Jayne%20W%20Lloyd&amp;reservation_id=31721681678581&amp;guest_id=31721681678579", "Jayne W Lloyd")</f>
        <v>Jayne W Lloyd</v>
      </c>
      <c r="E12291" t="s">
        <v>11622</v>
      </c>
      <c r="F12291" t="s">
        <v>11623</v>
      </c>
      <c r="G12291">
        <v>402.2</v>
      </c>
      <c r="H12291">
        <v>437.2</v>
      </c>
      <c r="I12291">
        <v>437.19</v>
      </c>
      <c r="J12291">
        <v>0.01</v>
      </c>
    </row>
    <row r="12292" spans="1:10" x14ac:dyDescent="0.3">
      <c r="A12292" t="str">
        <f>HYPERLINK("https://us2.cloudbeds.com/connect/10074733072513#/reservations/31715932049557?display=MX61XWW1X&amp;reservation_id=31715932049557", "MX61XWW1X")</f>
        <v>MX61XWW1X</v>
      </c>
      <c r="B12292" t="s">
        <v>10</v>
      </c>
      <c r="C12292" t="s">
        <v>23</v>
      </c>
      <c r="D12292" t="str">
        <f>HYPERLINK("https://us2.cloudbeds.com/connect/10074733072513#/reservations/31715932049557?display=Jake%20Terpening&amp;reservation_id=31715932049557&amp;guest_id=31714496807070", "Jake Terpening")</f>
        <v>Jake Terpening</v>
      </c>
      <c r="E12292" t="s">
        <v>8130</v>
      </c>
      <c r="F12292" t="s">
        <v>11027</v>
      </c>
      <c r="G12292">
        <v>438</v>
      </c>
      <c r="H12292">
        <v>476.12</v>
      </c>
      <c r="I12292">
        <v>476.11</v>
      </c>
      <c r="J12292">
        <v>0.01</v>
      </c>
    </row>
    <row r="12293" spans="1:10" x14ac:dyDescent="0.3">
      <c r="A12293" t="str">
        <f>HYPERLINK("https://us2.cloudbeds.com/connect/10074733072513#/reservations/31718641533154?display=MX84QNBE2&amp;reservation_id=31718641533154", "MX84QNBE2")</f>
        <v>MX84QNBE2</v>
      </c>
      <c r="B12293" t="s">
        <v>10</v>
      </c>
      <c r="C12293" t="s">
        <v>23</v>
      </c>
      <c r="D12293" t="str">
        <f>HYPERLINK("https://us2.cloudbeds.com/connect/10074733072513#/reservations/31718641533154?display=Brianna%20Dunn&amp;reservation_id=31718641533154&amp;guest_id=31718641533149", "Brianna Dunn")</f>
        <v>Brianna Dunn</v>
      </c>
      <c r="E12293" t="s">
        <v>11624</v>
      </c>
      <c r="F12293" t="s">
        <v>11196</v>
      </c>
      <c r="G12293">
        <v>358</v>
      </c>
      <c r="H12293">
        <v>389.16</v>
      </c>
      <c r="I12293">
        <v>389.15</v>
      </c>
      <c r="J12293">
        <v>0.01</v>
      </c>
    </row>
    <row r="12294" spans="1:10" x14ac:dyDescent="0.3">
      <c r="A12294" t="str">
        <f>HYPERLINK("https://us2.cloudbeds.com/connect/10074733072513#/reservations/31720166908098?display=MX9APV518&amp;reservation_id=31720166908098", "MX9APV518")</f>
        <v>MX9APV518</v>
      </c>
      <c r="B12294" t="s">
        <v>10</v>
      </c>
      <c r="C12294" t="s">
        <v>42</v>
      </c>
      <c r="D12294" t="str">
        <f>HYPERLINK("https://us2.cloudbeds.com/connect/10074733072513#/reservations/31720166908098?display=Bernie%20Bloss&amp;reservation_id=31720166908098&amp;guest_id=31717705265370", "Bernie Bloss")</f>
        <v>Bernie Bloss</v>
      </c>
      <c r="E12294" t="s">
        <v>11625</v>
      </c>
      <c r="F12294" t="s">
        <v>11626</v>
      </c>
      <c r="G12294">
        <v>252</v>
      </c>
      <c r="H12294">
        <v>273.93</v>
      </c>
      <c r="I12294">
        <v>273.92</v>
      </c>
      <c r="J12294">
        <v>0.01</v>
      </c>
    </row>
    <row r="12295" spans="1:10" x14ac:dyDescent="0.3">
      <c r="A12295" t="str">
        <f>HYPERLINK("https://us2.cloudbeds.com/connect/10074733072513#/reservations/31720295039142?display=MX9E1WJD5&amp;reservation_id=31720295039142", "MX9E1WJD5")</f>
        <v>MX9E1WJD5</v>
      </c>
      <c r="B12295" t="s">
        <v>10</v>
      </c>
      <c r="C12295" t="s">
        <v>23</v>
      </c>
      <c r="D12295" t="str">
        <f>HYPERLINK("https://us2.cloudbeds.com/connect/10074733072513#/reservations/31720295039142?display=Christopher%20Abrahamson&amp;reservation_id=31720295039142&amp;guest_id=31720295039140", "Christopher Abrahamson")</f>
        <v>Christopher Abrahamson</v>
      </c>
      <c r="E12295" t="s">
        <v>11627</v>
      </c>
      <c r="F12295" t="s">
        <v>11044</v>
      </c>
      <c r="G12295">
        <v>139</v>
      </c>
      <c r="H12295">
        <v>151.1</v>
      </c>
      <c r="I12295">
        <v>151.09</v>
      </c>
      <c r="J12295">
        <v>0.01</v>
      </c>
    </row>
    <row r="12296" spans="1:10" x14ac:dyDescent="0.3">
      <c r="A12296" t="str">
        <f>HYPERLINK("https://us2.cloudbeds.com/connect/10074733072513#/reservations/31714586493126?display=MX506CT18&amp;reservation_id=31714586493126", "MX506CT18")</f>
        <v>MX506CT18</v>
      </c>
      <c r="B12296" t="s">
        <v>10</v>
      </c>
      <c r="C12296" t="s">
        <v>23</v>
      </c>
      <c r="D12296" t="str">
        <f>HYPERLINK("https://us2.cloudbeds.com/connect/10074733072513#/reservations/31714586493126?display=Jake%20Terpening&amp;reservation_id=31714586493126&amp;guest_id=31714496807070", "Jake Terpening")</f>
        <v>Jake Terpening</v>
      </c>
      <c r="E12296" t="s">
        <v>8130</v>
      </c>
      <c r="F12296" t="s">
        <v>11628</v>
      </c>
      <c r="G12296">
        <v>557</v>
      </c>
      <c r="H12296">
        <v>605.47</v>
      </c>
      <c r="I12296">
        <v>605.46</v>
      </c>
      <c r="J12296">
        <v>0.01</v>
      </c>
    </row>
    <row r="12297" spans="1:10" x14ac:dyDescent="0.3">
      <c r="A12297" t="str">
        <f>HYPERLINK("https://us2.cloudbeds.com/connect/10074733072513#/reservations/31714506756346?display=MX4V552S6&amp;reservation_id=31714506756346", "MX4V552S6")</f>
        <v>MX4V552S6</v>
      </c>
      <c r="B12297" t="s">
        <v>10</v>
      </c>
      <c r="C12297" t="s">
        <v>23</v>
      </c>
      <c r="D12297" t="str">
        <f>HYPERLINK("https://us2.cloudbeds.com/connect/10074733072513#/reservations/31714506756346?display=Jake%20Terpening&amp;reservation_id=31714506756346&amp;guest_id=31714496807070", "Jake Terpening")</f>
        <v>Jake Terpening</v>
      </c>
      <c r="E12297" t="s">
        <v>8130</v>
      </c>
      <c r="F12297" t="s">
        <v>11281</v>
      </c>
      <c r="G12297">
        <v>378</v>
      </c>
      <c r="H12297">
        <v>410.9</v>
      </c>
      <c r="I12297">
        <v>410.89</v>
      </c>
      <c r="J12297">
        <v>0.01</v>
      </c>
    </row>
    <row r="12298" spans="1:10" x14ac:dyDescent="0.3">
      <c r="A12298" t="str">
        <f>HYPERLINK("https://us2.cloudbeds.com/connect/10074733072513#/reservations/31720149430405?display=MX9AB6QZ6&amp;reservation_id=31720149430405", "MX9AB6QZ6")</f>
        <v>MX9AB6QZ6</v>
      </c>
      <c r="B12298" t="s">
        <v>10</v>
      </c>
      <c r="C12298" t="s">
        <v>42</v>
      </c>
      <c r="D12298" t="str">
        <f>HYPERLINK("https://us2.cloudbeds.com/connect/10074733072513#/reservations/31720149430405?display=Bryan%20Schaust&amp;reservation_id=31720149430405&amp;guest_id=31720149426367", "Bryan Schaust")</f>
        <v>Bryan Schaust</v>
      </c>
      <c r="E12298" t="s">
        <v>11625</v>
      </c>
      <c r="F12298" t="s">
        <v>11626</v>
      </c>
      <c r="G12298">
        <v>252</v>
      </c>
      <c r="H12298">
        <v>273.93</v>
      </c>
      <c r="I12298">
        <v>273.92</v>
      </c>
      <c r="J12298">
        <v>0.01</v>
      </c>
    </row>
    <row r="12299" spans="1:10" x14ac:dyDescent="0.3">
      <c r="A12299" t="str">
        <f>HYPERLINK("https://us2.cloudbeds.com/connect/10074733072513#/reservations/31716804821194?display=MX6NSV47U&amp;reservation_id=31716804821194", "MX6NSV47U")</f>
        <v>MX6NSV47U</v>
      </c>
      <c r="B12299" t="s">
        <v>10</v>
      </c>
      <c r="C12299" t="s">
        <v>23</v>
      </c>
      <c r="D12299" t="str">
        <f>HYPERLINK("https://us2.cloudbeds.com/connect/10074733072513#/reservations/31716804821194?display=Erin%20Brenden&amp;reservation_id=31716804821194&amp;guest_id=31716804821188", "Erin Brenden")</f>
        <v>Erin Brenden</v>
      </c>
      <c r="E12299" t="s">
        <v>11629</v>
      </c>
      <c r="F12299" t="s">
        <v>10695</v>
      </c>
      <c r="G12299">
        <v>313.2</v>
      </c>
      <c r="H12299">
        <v>340.46</v>
      </c>
      <c r="I12299">
        <v>340.45</v>
      </c>
      <c r="J12299">
        <v>0.01</v>
      </c>
    </row>
    <row r="12300" spans="1:10" x14ac:dyDescent="0.3">
      <c r="A12300" t="str">
        <f>HYPERLINK("https://us2.cloudbeds.com/connect/10074733072513#/reservations/31719417421952?display=MX8Z8S3H3&amp;reservation_id=31719417421952", "MX8Z8S3H3")</f>
        <v>MX8Z8S3H3</v>
      </c>
      <c r="B12300" t="s">
        <v>10</v>
      </c>
      <c r="C12300" t="s">
        <v>42</v>
      </c>
      <c r="D12300" t="str">
        <f>HYPERLINK("https://us2.cloudbeds.com/connect/10074733072513#/reservations/31719417421952?display=Robert%20Hudson&amp;reservation_id=31719417421952&amp;guest_id=31719403065505", "Robert Hudson")</f>
        <v>Robert Hudson</v>
      </c>
      <c r="E12300" t="s">
        <v>11630</v>
      </c>
      <c r="F12300" t="s">
        <v>11563</v>
      </c>
      <c r="G12300">
        <v>149</v>
      </c>
      <c r="H12300">
        <v>161.97</v>
      </c>
      <c r="I12300">
        <v>161.96</v>
      </c>
      <c r="J12300">
        <v>0.01</v>
      </c>
    </row>
    <row r="12301" spans="1:10" x14ac:dyDescent="0.3">
      <c r="A12301" t="str">
        <f>HYPERLINK("https://us2.cloudbeds.com/connect/10074733072513#/reservations/31711672098950?display=MX2ZNTXM7&amp;reservation_id=31711672098950", "MX2ZNTXM7")</f>
        <v>MX2ZNTXM7</v>
      </c>
      <c r="B12301" t="s">
        <v>10</v>
      </c>
      <c r="C12301" t="s">
        <v>121</v>
      </c>
      <c r="D12301" t="str">
        <f>HYPERLINK("https://us2.cloudbeds.com/connect/10074733072513#/reservations/31711672098950?display=Morgan%20Smith&amp;reservation_id=31711672098950&amp;guest_id=31711672098945", "Morgan Smith")</f>
        <v>Morgan Smith</v>
      </c>
      <c r="E12301" t="s">
        <v>11632</v>
      </c>
      <c r="F12301" t="s">
        <v>11563</v>
      </c>
      <c r="G12301">
        <v>149</v>
      </c>
      <c r="H12301">
        <v>161.97</v>
      </c>
      <c r="I12301">
        <v>161.96</v>
      </c>
      <c r="J12301">
        <v>0.01</v>
      </c>
    </row>
    <row r="12302" spans="1:10" x14ac:dyDescent="0.3">
      <c r="A12302" t="str">
        <f>HYPERLINK("https://us2.cloudbeds.com/connect/10074733072513#/reservations/31721325195394?display=MXA7CY6Z9&amp;reservation_id=31721325195394", "MXA7CY6Z9")</f>
        <v>MXA7CY6Z9</v>
      </c>
      <c r="B12302" t="s">
        <v>10</v>
      </c>
      <c r="C12302" t="s">
        <v>42</v>
      </c>
      <c r="D12302" t="str">
        <f>HYPERLINK("https://us2.cloudbeds.com/connect/10074733072513#/reservations/31721325195394?display=April%20Schultz&amp;reservation_id=31721325195394&amp;guest_id=31721315012842", "April Schultz")</f>
        <v>April Schultz</v>
      </c>
      <c r="E12302" t="s">
        <v>11634</v>
      </c>
      <c r="F12302" t="s">
        <v>11435</v>
      </c>
      <c r="G12302">
        <v>189</v>
      </c>
      <c r="H12302">
        <v>205.45</v>
      </c>
      <c r="I12302">
        <v>205.44</v>
      </c>
      <c r="J12302">
        <v>0.01</v>
      </c>
    </row>
    <row r="12303" spans="1:10" x14ac:dyDescent="0.3">
      <c r="A12303" t="str">
        <f>HYPERLINK("https://us2.cloudbeds.com/connect/10074733072513#/reservations/31719638503653?display=MX8U9CH5B&amp;reservation_id=31719638503653", "MX8U9CH5B")</f>
        <v>MX8U9CH5B</v>
      </c>
      <c r="B12303" t="s">
        <v>10</v>
      </c>
      <c r="C12303" t="s">
        <v>23</v>
      </c>
      <c r="D12303" t="str">
        <f>HYPERLINK("https://us2.cloudbeds.com/connect/10074733072513#/reservations/31719638503653?display=Joel%20Fromm&amp;reservation_id=31719638503653&amp;guest_id=31719638503650", "Joel Fromm")</f>
        <v>Joel Fromm</v>
      </c>
      <c r="E12303" t="s">
        <v>11635</v>
      </c>
      <c r="F12303" t="s">
        <v>11230</v>
      </c>
      <c r="G12303">
        <v>97.74</v>
      </c>
      <c r="H12303">
        <v>106.25</v>
      </c>
      <c r="I12303">
        <v>106.24</v>
      </c>
      <c r="J12303">
        <v>0.01</v>
      </c>
    </row>
    <row r="12304" spans="1:10" x14ac:dyDescent="0.3">
      <c r="A12304" t="str">
        <f>HYPERLINK("https://us2.cloudbeds.com/connect/10074733072513#/reservations/31716372402325?display=MX6CRAECR&amp;reservation_id=31716372402325", "MX6CRAECR")</f>
        <v>MX6CRAECR</v>
      </c>
      <c r="B12304" t="s">
        <v>10</v>
      </c>
      <c r="C12304" t="s">
        <v>42</v>
      </c>
      <c r="D12304" t="str">
        <f>HYPERLINK("https://us2.cloudbeds.com/connect/10074733072513#/reservations/31716372402325?display=Brian%20Masker&amp;reservation_id=31716372402325&amp;guest_id=31716372402320", "Brian Masker")</f>
        <v>Brian Masker</v>
      </c>
      <c r="E12304" t="s">
        <v>11636</v>
      </c>
      <c r="F12304" t="s">
        <v>11573</v>
      </c>
      <c r="G12304">
        <v>149</v>
      </c>
      <c r="H12304">
        <v>161.97</v>
      </c>
      <c r="I12304">
        <v>161.96</v>
      </c>
      <c r="J12304">
        <v>0.01</v>
      </c>
    </row>
    <row r="12305" spans="1:10" x14ac:dyDescent="0.3">
      <c r="A12305" t="str">
        <f>HYPERLINK("https://us2.cloudbeds.com/connect/10074733072513#/reservations/31715326738683?display=MX5J3JA0Q&amp;reservation_id=31715326738683", "MX5J3JA0Q")</f>
        <v>MX5J3JA0Q</v>
      </c>
      <c r="B12305" t="s">
        <v>10</v>
      </c>
      <c r="C12305" t="s">
        <v>23</v>
      </c>
      <c r="D12305" t="str">
        <f>HYPERLINK("https://us2.cloudbeds.com/connect/10074733072513#/reservations/31715326738683?display=Kary%20Peterson&amp;reservation_id=31715326738683&amp;guest_id=31691479302356", "Kary Peterson")</f>
        <v>Kary Peterson</v>
      </c>
      <c r="E12305" t="s">
        <v>7786</v>
      </c>
      <c r="F12305" t="s">
        <v>11549</v>
      </c>
      <c r="G12305">
        <v>109</v>
      </c>
      <c r="H12305">
        <v>118.49</v>
      </c>
      <c r="I12305">
        <v>118.48</v>
      </c>
      <c r="J12305">
        <v>0.01</v>
      </c>
    </row>
    <row r="12306" spans="1:10" x14ac:dyDescent="0.3">
      <c r="A12306" t="str">
        <f>HYPERLINK("https://us2.cloudbeds.com/connect/10074733072513#/reservations/31715314270369?display=MX5XQ2BN3&amp;reservation_id=31715314270369", "MX5XQ2BN3")</f>
        <v>MX5XQ2BN3</v>
      </c>
      <c r="B12306" t="s">
        <v>10</v>
      </c>
      <c r="C12306" t="s">
        <v>23</v>
      </c>
      <c r="D12306" t="str">
        <f>HYPERLINK("https://us2.cloudbeds.com/connect/10074733072513#/reservations/31715314270369?display=Ryan%20Wilfahrt&amp;reservation_id=31715314270369&amp;guest_id=31715314266271", "Ryan Wilfahrt")</f>
        <v>Ryan Wilfahrt</v>
      </c>
      <c r="E12306" t="s">
        <v>11640</v>
      </c>
      <c r="F12306" t="s">
        <v>11549</v>
      </c>
      <c r="G12306">
        <v>139</v>
      </c>
      <c r="H12306">
        <v>151.1</v>
      </c>
      <c r="I12306">
        <v>151.09</v>
      </c>
      <c r="J12306">
        <v>0.01</v>
      </c>
    </row>
    <row r="12307" spans="1:10" x14ac:dyDescent="0.3">
      <c r="A12307" t="str">
        <f>HYPERLINK("https://us2.cloudbeds.com/connect/10074733072513#/reservations/31721501774056?display=MXABTHP8R&amp;reservation_id=31721501774056", "MXABTHP8R")</f>
        <v>MXABTHP8R</v>
      </c>
      <c r="B12307" t="s">
        <v>10</v>
      </c>
      <c r="C12307" t="s">
        <v>121</v>
      </c>
      <c r="D12307" t="str">
        <f>HYPERLINK("https://us2.cloudbeds.com/connect/10074733072513#/reservations/31721501774056?display=Ramiro%20Pruneda&amp;reservation_id=31721501774056&amp;guest_id=31721491493006", "Ramiro Pruneda")</f>
        <v>Ramiro Pruneda</v>
      </c>
      <c r="E12307" t="s">
        <v>11641</v>
      </c>
      <c r="F12307" t="s">
        <v>11230</v>
      </c>
      <c r="G12307">
        <v>169</v>
      </c>
      <c r="H12307">
        <v>183.71</v>
      </c>
      <c r="I12307">
        <v>183.7</v>
      </c>
      <c r="J12307">
        <v>0.01</v>
      </c>
    </row>
    <row r="12308" spans="1:10" x14ac:dyDescent="0.3">
      <c r="A12308" t="str">
        <f>HYPERLINK("https://us2.cloudbeds.com/connect/10074733072513#/reservations/31722260717699?display=MXAV9GG71&amp;reservation_id=31722260717699", "MXAV9GG71")</f>
        <v>MXAV9GG71</v>
      </c>
      <c r="B12308" t="s">
        <v>10</v>
      </c>
      <c r="C12308" t="s">
        <v>23</v>
      </c>
      <c r="D12308" t="str">
        <f>HYPERLINK("https://us2.cloudbeds.com/connect/10074733072513#/reservations/31722260717699?display=Mila%20Rafter&amp;reservation_id=31722260717699&amp;guest_id=31722251366578", "Mila Rafter")</f>
        <v>Mila Rafter</v>
      </c>
      <c r="E12308" t="s">
        <v>11642</v>
      </c>
      <c r="F12308" t="s">
        <v>11230</v>
      </c>
      <c r="G12308">
        <v>169</v>
      </c>
      <c r="H12308">
        <v>183.71</v>
      </c>
      <c r="I12308">
        <v>183.7</v>
      </c>
      <c r="J12308">
        <v>0.01</v>
      </c>
    </row>
    <row r="12309" spans="1:10" x14ac:dyDescent="0.3">
      <c r="A12309" t="str">
        <f>HYPERLINK("https://us2.cloudbeds.com/connect/10074733072513#/reservations/31711547572421?display=MX2YHTE81&amp;reservation_id=31711547572421", "MX2YHTE81")</f>
        <v>MX2YHTE81</v>
      </c>
      <c r="B12309" t="s">
        <v>10</v>
      </c>
      <c r="C12309" t="s">
        <v>42</v>
      </c>
      <c r="D12309" t="str">
        <f>HYPERLINK("https://us2.cloudbeds.com/connect/10074733072513#/reservations/31711547572421?display=Tedd%20Gilkison&amp;reservation_id=31711547572421&amp;guest_id=31711547572416", "Tedd Gilkison")</f>
        <v>Tedd Gilkison</v>
      </c>
      <c r="E12309" t="s">
        <v>11643</v>
      </c>
      <c r="F12309" t="s">
        <v>11371</v>
      </c>
      <c r="G12309">
        <v>318</v>
      </c>
      <c r="H12309">
        <v>345.68</v>
      </c>
      <c r="I12309">
        <v>345.67</v>
      </c>
      <c r="J12309">
        <v>0.01</v>
      </c>
    </row>
    <row r="12310" spans="1:10" x14ac:dyDescent="0.3">
      <c r="A12310" t="str">
        <f>HYPERLINK("https://us2.cloudbeds.com/connect/10074733072513#/reservations/31718451392665?display=MX7WVCDE3&amp;reservation_id=31718451392665", "MX7WVCDE3")</f>
        <v>MX7WVCDE3</v>
      </c>
      <c r="B12310" t="s">
        <v>10</v>
      </c>
      <c r="C12310" t="s">
        <v>42</v>
      </c>
      <c r="D12310" t="str">
        <f>HYPERLINK("https://us2.cloudbeds.com/connect/10074733072513#/reservations/31718451392665?display=Bobbi%20Pearman&amp;reservation_id=31718451392665&amp;guest_id=31718451392660", "Bobbi Pearman")</f>
        <v>Bobbi Pearman</v>
      </c>
      <c r="E12310" t="s">
        <v>11644</v>
      </c>
      <c r="F12310" t="s">
        <v>11557</v>
      </c>
      <c r="G12310">
        <v>218</v>
      </c>
      <c r="H12310">
        <v>236.98</v>
      </c>
      <c r="I12310">
        <v>236.97</v>
      </c>
      <c r="J12310">
        <v>0.01</v>
      </c>
    </row>
    <row r="12311" spans="1:10" x14ac:dyDescent="0.3">
      <c r="A12311" t="str">
        <f>HYPERLINK("https://us2.cloudbeds.com/connect/10074733072513#/reservations/31718449692864?display=MX7WY11GD&amp;reservation_id=31718449692864", "MX7WY11GD")</f>
        <v>MX7WY11GD</v>
      </c>
      <c r="B12311" t="s">
        <v>10</v>
      </c>
      <c r="C12311" t="s">
        <v>42</v>
      </c>
      <c r="D12311" t="str">
        <f>HYPERLINK("https://us2.cloudbeds.com/connect/10074733072513#/reservations/31718449692864?display=Joshua%20Burgey&amp;reservation_id=31718449692864&amp;guest_id=31718439125151", "Joshua Burgey")</f>
        <v>Joshua Burgey</v>
      </c>
      <c r="E12311" t="s">
        <v>11648</v>
      </c>
      <c r="F12311" t="s">
        <v>11557</v>
      </c>
      <c r="G12311">
        <v>109</v>
      </c>
      <c r="H12311">
        <v>118.49</v>
      </c>
      <c r="I12311">
        <v>118.48</v>
      </c>
      <c r="J12311">
        <v>0.01</v>
      </c>
    </row>
    <row r="12312" spans="1:10" x14ac:dyDescent="0.3">
      <c r="A12312" t="str">
        <f>HYPERLINK("https://us2.cloudbeds.com/connect/10074733072513#/reservations/31720334336224?display=MX9F242SR&amp;reservation_id=31720334336224", "MX9F242SR")</f>
        <v>MX9F242SR</v>
      </c>
      <c r="B12312" t="s">
        <v>10</v>
      </c>
      <c r="C12312" t="s">
        <v>23</v>
      </c>
      <c r="D12312" t="str">
        <f>HYPERLINK("https://us2.cloudbeds.com/connect/10074733072513#/reservations/31720334336224?display=Lacey%20Deberg&amp;reservation_id=31720334336224&amp;guest_id=31720328782014", "Lacey Deberg")</f>
        <v>Lacey Deberg</v>
      </c>
      <c r="E12312" t="s">
        <v>11319</v>
      </c>
      <c r="F12312" t="s">
        <v>11435</v>
      </c>
      <c r="G12312">
        <v>189</v>
      </c>
      <c r="H12312">
        <v>205.45</v>
      </c>
      <c r="I12312">
        <v>205.44</v>
      </c>
      <c r="J12312">
        <v>0.01</v>
      </c>
    </row>
    <row r="12313" spans="1:10" x14ac:dyDescent="0.3">
      <c r="A12313" t="str">
        <f>HYPERLINK("https://us2.cloudbeds.com/connect/10074733072513#/reservations/31719764619404?display=MX90GNSUP&amp;reservation_id=31719764619404", "MX90GNSUP")</f>
        <v>MX90GNSUP</v>
      </c>
      <c r="B12313" t="s">
        <v>10</v>
      </c>
      <c r="C12313" t="s">
        <v>42</v>
      </c>
      <c r="D12313" t="str">
        <f>HYPERLINK("https://us2.cloudbeds.com/connect/10074733072513#/reservations/31719764619404?display=Amy%20Harrington&amp;reservation_id=31719764619404&amp;guest_id=31719764619402", "Amy Harrington")</f>
        <v>Amy Harrington</v>
      </c>
      <c r="E12313" t="s">
        <v>11651</v>
      </c>
      <c r="F12313" t="s">
        <v>11435</v>
      </c>
      <c r="G12313">
        <v>149</v>
      </c>
      <c r="H12313">
        <v>161.97</v>
      </c>
      <c r="I12313">
        <v>161.96</v>
      </c>
      <c r="J12313">
        <v>0.01</v>
      </c>
    </row>
    <row r="12314" spans="1:10" x14ac:dyDescent="0.3">
      <c r="A12314" t="str">
        <f>HYPERLINK("https://us2.cloudbeds.com/connect/10074733072513#/reservations/31717895524552?display=MX7XZYXCR&amp;reservation_id=31717895524552", "MX7XZYXCR")</f>
        <v>MX7XZYXCR</v>
      </c>
      <c r="B12314" t="s">
        <v>10</v>
      </c>
      <c r="C12314" t="s">
        <v>121</v>
      </c>
      <c r="D12314" t="str">
        <f>HYPERLINK("https://us2.cloudbeds.com/connect/10074733072513#/reservations/31717895524552?display=Cindy%20Krull&amp;reservation_id=31717895524552&amp;guest_id=31717895520455", "Cindy Krull")</f>
        <v>Cindy Krull</v>
      </c>
      <c r="E12314" t="s">
        <v>11386</v>
      </c>
      <c r="F12314" t="s">
        <v>11647</v>
      </c>
      <c r="G12314">
        <v>150</v>
      </c>
      <c r="H12314">
        <v>163.06</v>
      </c>
      <c r="I12314">
        <v>163.05000000000001</v>
      </c>
      <c r="J12314">
        <v>0.01</v>
      </c>
    </row>
    <row r="12315" spans="1:10" x14ac:dyDescent="0.3">
      <c r="A12315" t="str">
        <f>HYPERLINK("https://us2.cloudbeds.com/connect/10074733072513#/reservations/31715894296774?display=MX60K5EYR&amp;reservation_id=31715894296774", "MX60K5EYR")</f>
        <v>MX60K5EYR</v>
      </c>
      <c r="B12315" t="s">
        <v>10</v>
      </c>
      <c r="C12315" t="s">
        <v>23</v>
      </c>
      <c r="D12315" t="str">
        <f>HYPERLINK("https://us2.cloudbeds.com/connect/10074733072513#/reservations/31715894296774?display=Danilo%20Sosa&amp;reservation_id=31715894296774&amp;guest_id=31715894296772", "Danilo Sosa")</f>
        <v>Danilo Sosa</v>
      </c>
      <c r="E12315" t="s">
        <v>11655</v>
      </c>
      <c r="F12315" t="s">
        <v>11027</v>
      </c>
      <c r="G12315">
        <v>209</v>
      </c>
      <c r="H12315">
        <v>227.19</v>
      </c>
      <c r="I12315">
        <v>227.18</v>
      </c>
      <c r="J12315">
        <v>0.01</v>
      </c>
    </row>
    <row r="12316" spans="1:10" x14ac:dyDescent="0.3">
      <c r="A12316" t="str">
        <f>HYPERLINK("https://us2.cloudbeds.com/connect/10074733072513#/reservations/31717233238231?display=MX71R6FAC&amp;reservation_id=31717233238231", "MX71R6FAC")</f>
        <v>MX71R6FAC</v>
      </c>
      <c r="B12316" t="s">
        <v>10</v>
      </c>
      <c r="C12316" t="s">
        <v>23</v>
      </c>
      <c r="D12316" t="str">
        <f>HYPERLINK("https://us2.cloudbeds.com/connect/10074733072513#/reservations/31717233238231?display=Gail%20Krause&amp;reservation_id=31717233238231&amp;guest_id=31717223944385", "Gail Krause")</f>
        <v>Gail Krause</v>
      </c>
      <c r="E12316" t="s">
        <v>11656</v>
      </c>
      <c r="F12316" t="s">
        <v>11657</v>
      </c>
      <c r="G12316">
        <v>109</v>
      </c>
      <c r="H12316">
        <v>118.49</v>
      </c>
      <c r="I12316">
        <v>118.48</v>
      </c>
      <c r="J12316">
        <v>0.01</v>
      </c>
    </row>
    <row r="12317" spans="1:10" x14ac:dyDescent="0.3">
      <c r="A12317" t="str">
        <f>HYPERLINK("https://us2.cloudbeds.com/connect/10074733072513#/reservations/31720459129046?display=MX9X8BKRG&amp;reservation_id=31720459129046", "MX9X8BKRG")</f>
        <v>MX9X8BKRG</v>
      </c>
      <c r="B12317" t="s">
        <v>10</v>
      </c>
      <c r="C12317" t="s">
        <v>23</v>
      </c>
      <c r="D12317" t="str">
        <f>HYPERLINK("https://us2.cloudbeds.com/connect/10074733072513#/reservations/31720459129046?display=Laurie%20Ann%20Nissen&amp;reservation_id=31720459129046&amp;guest_id=31720459129041", "Laurie Ann Nissen")</f>
        <v>Laurie Ann Nissen</v>
      </c>
      <c r="E12317" t="s">
        <v>11658</v>
      </c>
      <c r="F12317" t="s">
        <v>11044</v>
      </c>
      <c r="G12317">
        <v>195.48</v>
      </c>
      <c r="H12317">
        <v>212.5</v>
      </c>
      <c r="I12317">
        <v>212.49</v>
      </c>
      <c r="J12317">
        <v>0.01</v>
      </c>
    </row>
    <row r="12318" spans="1:10" x14ac:dyDescent="0.3">
      <c r="A12318" t="str">
        <f>HYPERLINK("https://us2.cloudbeds.com/connect/10074733072513#/reservations/31720328781956?display=MX9EUEHHM&amp;reservation_id=31720328781956", "MX9EUEHHM")</f>
        <v>MX9EUEHHM</v>
      </c>
      <c r="B12318" t="s">
        <v>10</v>
      </c>
      <c r="C12318" t="s">
        <v>23</v>
      </c>
      <c r="D12318" t="str">
        <f>HYPERLINK("https://us2.cloudbeds.com/connect/10074733072513#/reservations/31720328781956?display=Amy%20Harrington&amp;reservation_id=31720328781956&amp;guest_id=31720322482339", "Amy Harrington")</f>
        <v>Amy Harrington</v>
      </c>
      <c r="E12318" t="s">
        <v>11661</v>
      </c>
      <c r="F12318" t="s">
        <v>11435</v>
      </c>
      <c r="G12318">
        <v>179</v>
      </c>
      <c r="H12318">
        <v>194.58</v>
      </c>
      <c r="I12318">
        <v>194.57</v>
      </c>
      <c r="J12318">
        <v>0.01</v>
      </c>
    </row>
    <row r="12319" spans="1:10" x14ac:dyDescent="0.3">
      <c r="A12319" t="str">
        <f>HYPERLINK("https://us2.cloudbeds.com/connect/10074733072513#/reservations/31715290099905?display=MX5X5MPJQ&amp;reservation_id=31715290099905", "MX5X5MPJQ")</f>
        <v>MX5X5MPJQ</v>
      </c>
      <c r="B12319" t="s">
        <v>10</v>
      </c>
      <c r="C12319" t="s">
        <v>42</v>
      </c>
      <c r="D12319" t="str">
        <f>HYPERLINK("https://us2.cloudbeds.com/connect/10074733072513#/reservations/31715290099905?display=Justin%20Fortin&amp;reservation_id=31715290099905&amp;guest_id=31692707201206", "Justin Fortin")</f>
        <v>Justin Fortin</v>
      </c>
      <c r="E12319" t="s">
        <v>9260</v>
      </c>
      <c r="F12319" t="s">
        <v>11557</v>
      </c>
      <c r="G12319">
        <v>73</v>
      </c>
      <c r="H12319">
        <v>79.36</v>
      </c>
      <c r="I12319">
        <v>79.349999999999994</v>
      </c>
      <c r="J12319">
        <v>0.01</v>
      </c>
    </row>
    <row r="12320" spans="1:10" x14ac:dyDescent="0.3">
      <c r="A12320" t="str">
        <f>HYPERLINK("https://us2.cloudbeds.com/connect/10074733072513#/reservations/31717891973358?display=MX7XYYZDT&amp;reservation_id=31717891973358", "MX7XYYZDT")</f>
        <v>MX7XYYZDT</v>
      </c>
      <c r="B12320" t="s">
        <v>10</v>
      </c>
      <c r="C12320" t="s">
        <v>23</v>
      </c>
      <c r="D12320" t="str">
        <f>HYPERLINK("https://us2.cloudbeds.com/connect/10074733072513#/reservations/31717891973358?display=Adam%20Hardisty&amp;reservation_id=31717891973358&amp;guest_id=31717876854935", "Adam Hardisty")</f>
        <v>Adam Hardisty</v>
      </c>
      <c r="E12320" t="s">
        <v>11666</v>
      </c>
      <c r="F12320" t="s">
        <v>11647</v>
      </c>
      <c r="G12320">
        <v>109</v>
      </c>
      <c r="H12320">
        <v>118.49</v>
      </c>
      <c r="I12320">
        <v>118.48</v>
      </c>
      <c r="J12320">
        <v>0.01</v>
      </c>
    </row>
    <row r="12321" spans="1:10" x14ac:dyDescent="0.3">
      <c r="A12321" t="str">
        <f>HYPERLINK("https://us2.cloudbeds.com/connect/10074733072513#/reservations/31718552658106?display=MX82HP8QR&amp;reservation_id=31718552658106", "MX82HP8QR")</f>
        <v>MX82HP8QR</v>
      </c>
      <c r="B12321" t="s">
        <v>10</v>
      </c>
      <c r="C12321" t="s">
        <v>42</v>
      </c>
      <c r="D12321" t="str">
        <f>HYPERLINK("https://us2.cloudbeds.com/connect/10074733072513#/reservations/31718552658106?display=Tyler%20Wilson&amp;reservation_id=31718552658106&amp;guest_id=31718542954741", "Tyler Wilson")</f>
        <v>Tyler Wilson</v>
      </c>
      <c r="E12321" t="s">
        <v>11667</v>
      </c>
      <c r="F12321" t="s">
        <v>10982</v>
      </c>
      <c r="G12321">
        <v>298</v>
      </c>
      <c r="H12321">
        <v>323.94</v>
      </c>
      <c r="I12321">
        <v>323.93</v>
      </c>
      <c r="J12321">
        <v>0.01</v>
      </c>
    </row>
    <row r="12322" spans="1:10" x14ac:dyDescent="0.3">
      <c r="A12322" t="str">
        <f>HYPERLINK("https://us2.cloudbeds.com/connect/10074733072513#/reservations/31721600389334?display=MXAEDMT2J&amp;reservation_id=31721600389334", "MXAEDMT2J")</f>
        <v>MXAEDMT2J</v>
      </c>
      <c r="B12322" t="s">
        <v>10</v>
      </c>
      <c r="C12322" t="s">
        <v>23</v>
      </c>
      <c r="D12322" t="str">
        <f>HYPERLINK("https://us2.cloudbeds.com/connect/10074733072513#/reservations/31721600389334?display=Zachary%20Seubert&amp;reservation_id=31721600389334&amp;guest_id=31721593450748", "Zachary Seubert")</f>
        <v>Zachary Seubert</v>
      </c>
      <c r="E12322" t="s">
        <v>11668</v>
      </c>
      <c r="F12322" t="s">
        <v>11647</v>
      </c>
      <c r="G12322">
        <v>105.78</v>
      </c>
      <c r="H12322">
        <v>114.99</v>
      </c>
      <c r="I12322">
        <v>114.98</v>
      </c>
      <c r="J12322">
        <v>0.01</v>
      </c>
    </row>
    <row r="12323" spans="1:10" x14ac:dyDescent="0.3">
      <c r="A12323" t="str">
        <f>HYPERLINK("https://us2.cloudbeds.com/connect/10074733072513#/reservations/31723278942443?display=MXBZA335A&amp;reservation_id=31723278942443", "MXBZA335A")</f>
        <v>MXBZA335A</v>
      </c>
      <c r="B12323" t="s">
        <v>10</v>
      </c>
      <c r="C12323" t="s">
        <v>23</v>
      </c>
      <c r="D12323" t="str">
        <f>HYPERLINK("https://us2.cloudbeds.com/connect/10074733072513#/reservations/31723278942443?display=Tara%20Vallery&amp;reservation_id=31723278942443&amp;guest_id=31720313143428", "Tara Vallery")</f>
        <v>Tara Vallery</v>
      </c>
      <c r="E12323" t="s">
        <v>11653</v>
      </c>
      <c r="F12323" t="s">
        <v>11293</v>
      </c>
      <c r="G12323">
        <v>149</v>
      </c>
      <c r="H12323">
        <v>161.97</v>
      </c>
      <c r="I12323">
        <v>161.96</v>
      </c>
      <c r="J12323">
        <v>0.01</v>
      </c>
    </row>
    <row r="12324" spans="1:10" x14ac:dyDescent="0.3">
      <c r="A12324" t="str">
        <f>HYPERLINK("https://us2.cloudbeds.com/connect/10074733072513#/reservations/31720993910963?display=MX9VU9NW4&amp;reservation_id=31720993910963", "MX9VU9NW4")</f>
        <v>MX9VU9NW4</v>
      </c>
      <c r="B12324" t="s">
        <v>10</v>
      </c>
      <c r="C12324" t="s">
        <v>121</v>
      </c>
      <c r="D12324" t="str">
        <f>HYPERLINK("https://us2.cloudbeds.com/connect/10074733072513#/reservations/31720993910963?display=Casey%20Tempel&amp;reservation_id=31720993910963&amp;guest_id=31720993910961", "Casey Tempel")</f>
        <v>Casey Tempel</v>
      </c>
      <c r="E12324" t="s">
        <v>11671</v>
      </c>
      <c r="F12324" t="s">
        <v>11647</v>
      </c>
      <c r="G12324">
        <v>99</v>
      </c>
      <c r="H12324">
        <v>107.62</v>
      </c>
      <c r="I12324">
        <v>107.61</v>
      </c>
      <c r="J12324">
        <v>0.01</v>
      </c>
    </row>
    <row r="12325" spans="1:10" x14ac:dyDescent="0.3">
      <c r="A12325" t="str">
        <f>HYPERLINK("https://us2.cloudbeds.com/connect/10074733072513#/reservations/31717865468129?display=MX7HWA6BW&amp;reservation_id=31717865468129", "MX7HWA6BW")</f>
        <v>MX7HWA6BW</v>
      </c>
      <c r="B12325" t="s">
        <v>10</v>
      </c>
      <c r="C12325" t="s">
        <v>121</v>
      </c>
      <c r="D12325" t="str">
        <f>HYPERLINK("https://us2.cloudbeds.com/connect/10074733072513#/reservations/31717865468129?display=Jordan%20Fitch&amp;reservation_id=31717865468129&amp;guest_id=31711282266352", "Jordan Fitch")</f>
        <v>Jordan Fitch</v>
      </c>
      <c r="E12325" t="s">
        <v>7464</v>
      </c>
      <c r="F12325" t="s">
        <v>11647</v>
      </c>
      <c r="G12325">
        <v>99</v>
      </c>
      <c r="H12325">
        <v>107.62</v>
      </c>
      <c r="I12325">
        <v>107.61</v>
      </c>
      <c r="J12325">
        <v>0.01</v>
      </c>
    </row>
    <row r="12326" spans="1:10" x14ac:dyDescent="0.3">
      <c r="A12326" t="str">
        <f>HYPERLINK("https://us2.cloudbeds.com/connect/10074733072513#/reservations/31718740824240?display=MX87BE8QT&amp;reservation_id=31718740824240", "MX87BE8QT")</f>
        <v>MX87BE8QT</v>
      </c>
      <c r="B12326" t="s">
        <v>10</v>
      </c>
      <c r="C12326" t="s">
        <v>42</v>
      </c>
      <c r="D12326" t="str">
        <f>HYPERLINK("https://us2.cloudbeds.com/connect/10074733072513#/reservations/31718740824240?display=Bernie%20Bloss%20Pro%20Form&amp;reservation_id=31718740824240&amp;guest_id=31718732181664", "Bernie Bloss Pro Form")</f>
        <v>Bernie Bloss Pro Form</v>
      </c>
      <c r="E12326" t="s">
        <v>11625</v>
      </c>
      <c r="F12326" t="s">
        <v>11675</v>
      </c>
      <c r="G12326">
        <v>252</v>
      </c>
      <c r="H12326">
        <v>273.93</v>
      </c>
      <c r="I12326">
        <v>273.92</v>
      </c>
      <c r="J12326">
        <v>0.01</v>
      </c>
    </row>
    <row r="12327" spans="1:10" x14ac:dyDescent="0.3">
      <c r="A12327" t="str">
        <f>HYPERLINK("https://us2.cloudbeds.com/connect/10074733072513#/reservations/31700983341269?display=MHRFJS46A&amp;reservation_id=31700983341269", "MHRFJS46A")</f>
        <v>MHRFJS46A</v>
      </c>
      <c r="B12327" t="s">
        <v>10</v>
      </c>
      <c r="C12327" t="s">
        <v>42</v>
      </c>
      <c r="D12327" t="str">
        <f>HYPERLINK("https://us2.cloudbeds.com/connect/10074733072513#/reservations/31700983341269?display=Gabby%20Hill-Sanow&amp;reservation_id=31700983341269&amp;guest_id=31700983341267", "Gabby Hill-Sanow")</f>
        <v>Gabby Hill-Sanow</v>
      </c>
      <c r="E12327" t="s">
        <v>11676</v>
      </c>
      <c r="F12327" t="s">
        <v>11134</v>
      </c>
      <c r="G12327">
        <v>358</v>
      </c>
      <c r="H12327">
        <v>389.16</v>
      </c>
      <c r="I12327">
        <v>389.15</v>
      </c>
      <c r="J12327">
        <v>0.01</v>
      </c>
    </row>
    <row r="12328" spans="1:10" x14ac:dyDescent="0.3">
      <c r="A12328" t="str">
        <f>HYPERLINK("https://us2.cloudbeds.com/connect/10074733072513#/reservations/31719880589480?display=MX93FGU6G&amp;reservation_id=31719880589480", "MX93FGU6G")</f>
        <v>MX93FGU6G</v>
      </c>
      <c r="B12328" t="s">
        <v>10</v>
      </c>
      <c r="C12328" t="s">
        <v>42</v>
      </c>
      <c r="D12328" t="str">
        <f>HYPERLINK("https://us2.cloudbeds.com/connect/10074733072513#/reservations/31719880589480?display=Cindy%20Krull&amp;reservation_id=31719880589480&amp;guest_id=31719880589478", "Cindy Krull")</f>
        <v>Cindy Krull</v>
      </c>
      <c r="E12328" t="s">
        <v>11677</v>
      </c>
      <c r="F12328" t="s">
        <v>11678</v>
      </c>
      <c r="G12328">
        <v>336</v>
      </c>
      <c r="H12328">
        <v>365.24</v>
      </c>
      <c r="I12328">
        <v>365.23</v>
      </c>
      <c r="J12328">
        <v>0.01</v>
      </c>
    </row>
    <row r="12329" spans="1:10" x14ac:dyDescent="0.3">
      <c r="A12329" t="str">
        <f>HYPERLINK("https://us2.cloudbeds.com/connect/10074733072513#/reservations/31722595430555?display=MXB6RZC6S&amp;reservation_id=31722595430555", "MXB6RZC6S")</f>
        <v>MXB6RZC6S</v>
      </c>
      <c r="B12329" t="s">
        <v>10</v>
      </c>
      <c r="C12329" t="s">
        <v>42</v>
      </c>
      <c r="D12329" t="str">
        <f>HYPERLINK("https://us2.cloudbeds.com/connect/10074733072513#/reservations/31722595430555?display=Cindy%20Krull&amp;reservation_id=31722595430555&amp;guest_id=31722595430553", "Cindy Krull")</f>
        <v>Cindy Krull</v>
      </c>
      <c r="E12329" t="s">
        <v>11386</v>
      </c>
      <c r="F12329" t="s">
        <v>11680</v>
      </c>
      <c r="G12329">
        <v>193</v>
      </c>
      <c r="H12329">
        <v>209.8</v>
      </c>
      <c r="I12329">
        <v>209.79</v>
      </c>
      <c r="J12329">
        <v>0.01</v>
      </c>
    </row>
    <row r="12330" spans="1:10" x14ac:dyDescent="0.3">
      <c r="A12330" t="str">
        <f>HYPERLINK("https://us2.cloudbeds.com/connect/10074733072513#/reservations/31721680756968?display=MXAGFF7XE&amp;reservation_id=31721680756968", "MXAGFF7XE")</f>
        <v>MXAGFF7XE</v>
      </c>
      <c r="B12330" t="s">
        <v>10</v>
      </c>
      <c r="C12330" t="s">
        <v>42</v>
      </c>
      <c r="D12330" t="str">
        <f>HYPERLINK("https://us2.cloudbeds.com/connect/10074733072513#/reservations/31721680756968?display=Cindy%20Krull&amp;reservation_id=31721680756968&amp;guest_id=31701286858899", "Cindy Krull")</f>
        <v>Cindy Krull</v>
      </c>
      <c r="E12330" t="s">
        <v>11681</v>
      </c>
      <c r="F12330" t="s">
        <v>11678</v>
      </c>
      <c r="G12330">
        <v>336</v>
      </c>
      <c r="H12330">
        <v>365.24</v>
      </c>
      <c r="I12330">
        <v>365.23</v>
      </c>
      <c r="J12330">
        <v>0.01</v>
      </c>
    </row>
    <row r="12331" spans="1:10" x14ac:dyDescent="0.3">
      <c r="A12331" t="str">
        <f>HYPERLINK("https://us2.cloudbeds.com/connect/10074733072513#/reservations/31715912409308?display=MX612EEUG&amp;reservation_id=31715912409308", "MX612EEUG")</f>
        <v>MX612EEUG</v>
      </c>
      <c r="B12331" t="s">
        <v>10</v>
      </c>
      <c r="C12331" t="s">
        <v>23</v>
      </c>
      <c r="D12331" t="str">
        <f>HYPERLINK("https://us2.cloudbeds.com/connect/10074733072513#/reservations/31715912409308?display=Kylie%20Sheets&amp;reservation_id=31715912409308&amp;guest_id=31715912405212", "Kylie Sheets")</f>
        <v>Kylie Sheets</v>
      </c>
      <c r="E12331" t="s">
        <v>11683</v>
      </c>
      <c r="F12331" t="s">
        <v>9926</v>
      </c>
      <c r="G12331">
        <v>159</v>
      </c>
      <c r="H12331">
        <v>172.84</v>
      </c>
      <c r="I12331">
        <v>172.83</v>
      </c>
      <c r="J12331">
        <v>0.01</v>
      </c>
    </row>
    <row r="12332" spans="1:10" x14ac:dyDescent="0.3">
      <c r="A12332" t="str">
        <f>HYPERLINK("https://us2.cloudbeds.com/connect/10074733072513#/reservations/31720730349701?display=MX9P61ZK7&amp;reservation_id=31720730349701", "MX9P61ZK7")</f>
        <v>MX9P61ZK7</v>
      </c>
      <c r="B12332" t="s">
        <v>10</v>
      </c>
      <c r="C12332" t="s">
        <v>42</v>
      </c>
      <c r="D12332" t="str">
        <f>HYPERLINK("https://us2.cloudbeds.com/connect/10074733072513#/reservations/31720730349701?display=Bernie%20Bloss%20Pro%20Form&amp;reservation_id=31720730349701&amp;guest_id=31720730345602", "Bernie Bloss Pro Form")</f>
        <v>Bernie Bloss Pro Form</v>
      </c>
      <c r="E12332" t="s">
        <v>11625</v>
      </c>
      <c r="F12332" t="s">
        <v>11684</v>
      </c>
      <c r="G12332">
        <v>336</v>
      </c>
      <c r="H12332">
        <v>365.24</v>
      </c>
      <c r="I12332">
        <v>365.23</v>
      </c>
      <c r="J12332">
        <v>0.01</v>
      </c>
    </row>
    <row r="12333" spans="1:10" x14ac:dyDescent="0.3">
      <c r="A12333" t="str">
        <f>HYPERLINK("https://us2.cloudbeds.com/connect/10074733072513#/reservations/31715932053651?display=MX61J02QK&amp;reservation_id=31715932053651", "MX61J02QK")</f>
        <v>MX61J02QK</v>
      </c>
      <c r="B12333" t="s">
        <v>10</v>
      </c>
      <c r="C12333" t="s">
        <v>42</v>
      </c>
      <c r="D12333" t="str">
        <f>HYPERLINK("https://us2.cloudbeds.com/connect/10074733072513#/reservations/31715932053651?display=Kristina%20Malecek&amp;reservation_id=31715932053651&amp;guest_id=31715932049555", "Kristina Malecek")</f>
        <v>Kristina Malecek</v>
      </c>
      <c r="E12333" t="s">
        <v>11686</v>
      </c>
      <c r="F12333" t="s">
        <v>10982</v>
      </c>
      <c r="G12333">
        <v>318</v>
      </c>
      <c r="H12333">
        <v>345.68</v>
      </c>
      <c r="I12333">
        <v>345.67</v>
      </c>
      <c r="J12333">
        <v>0.01</v>
      </c>
    </row>
    <row r="12334" spans="1:10" x14ac:dyDescent="0.3">
      <c r="A12334" t="str">
        <f>HYPERLINK("https://us2.cloudbeds.com/connect/10074733072513#/reservations/31718161072337?display=MX7PHXQUD&amp;reservation_id=31718161072337", "MX7PHXQUD")</f>
        <v>MX7PHXQUD</v>
      </c>
      <c r="B12334" t="s">
        <v>10</v>
      </c>
      <c r="C12334" t="s">
        <v>23</v>
      </c>
      <c r="D12334" t="str">
        <f>HYPERLINK("https://us2.cloudbeds.com/connect/10074733072513#/reservations/31718161072337?display=Shelly%20Quast&amp;reservation_id=31718161072337&amp;guest_id=31718161072335", "Shelly Quast")</f>
        <v>Shelly Quast</v>
      </c>
      <c r="E12334" t="s">
        <v>11687</v>
      </c>
      <c r="F12334" t="s">
        <v>11293</v>
      </c>
      <c r="G12334">
        <v>159</v>
      </c>
      <c r="H12334">
        <v>172.84</v>
      </c>
      <c r="I12334">
        <v>172.83</v>
      </c>
      <c r="J12334">
        <v>0.01</v>
      </c>
    </row>
    <row r="12335" spans="1:10" x14ac:dyDescent="0.3">
      <c r="A12335" t="str">
        <f>HYPERLINK("https://us2.cloudbeds.com/connect/10074733072513#/reservations/31718439121054?display=MX7WY0UZ3&amp;reservation_id=31718439121054", "MX7WY0UZ3")</f>
        <v>MX7WY0UZ3</v>
      </c>
      <c r="B12335" t="s">
        <v>10</v>
      </c>
      <c r="C12335" t="s">
        <v>23</v>
      </c>
      <c r="D12335" t="str">
        <f>HYPERLINK("https://us2.cloudbeds.com/connect/10074733072513#/reservations/31718439121054?display=Tyler%20Erstad&amp;reservation_id=31718439121054&amp;guest_id=31718428803278", "Tyler Erstad")</f>
        <v>Tyler Erstad</v>
      </c>
      <c r="E12335" t="s">
        <v>11688</v>
      </c>
      <c r="F12335" t="s">
        <v>11293</v>
      </c>
      <c r="G12335">
        <v>159</v>
      </c>
      <c r="H12335">
        <v>172.84</v>
      </c>
      <c r="I12335">
        <v>172.83</v>
      </c>
      <c r="J12335">
        <v>0.01</v>
      </c>
    </row>
    <row r="12336" spans="1:10" x14ac:dyDescent="0.3">
      <c r="A12336" t="str">
        <f>HYPERLINK("https://us2.cloudbeds.com/connect/10074733072513#/reservations/31720285118627?display=MX9DQKHYG&amp;reservation_id=31720285118627", "MX9DQKHYG")</f>
        <v>MX9DQKHYG</v>
      </c>
      <c r="B12336" t="s">
        <v>10</v>
      </c>
      <c r="C12336" t="s">
        <v>42</v>
      </c>
      <c r="D12336" t="str">
        <f>HYPERLINK("https://us2.cloudbeds.com/connect/10074733072513#/reservations/31720285118627?display=George%20Beyer&amp;reservation_id=31720285118627&amp;guest_id=31720272408780", "George Beyer")</f>
        <v>George Beyer</v>
      </c>
      <c r="E12336" t="s">
        <v>10928</v>
      </c>
      <c r="F12336" t="s">
        <v>11435</v>
      </c>
      <c r="G12336">
        <v>159</v>
      </c>
      <c r="H12336">
        <v>172.84</v>
      </c>
      <c r="I12336">
        <v>172.83</v>
      </c>
      <c r="J12336">
        <v>0.01</v>
      </c>
    </row>
    <row r="12337" spans="1:10" x14ac:dyDescent="0.3">
      <c r="A12337" t="str">
        <f>HYPERLINK("https://us2.cloudbeds.com/connect/10074733072513#/reservations/31718521176224?display=MX81Z77RD&amp;reservation_id=31718521176224", "MX81Z77RD")</f>
        <v>MX81Z77RD</v>
      </c>
      <c r="B12337" t="s">
        <v>10</v>
      </c>
      <c r="C12337" t="s">
        <v>42</v>
      </c>
      <c r="D12337" t="str">
        <f>HYPERLINK("https://us2.cloudbeds.com/connect/10074733072513#/reservations/31718521176224?display=Chelsie%20Bothun&amp;reservation_id=31718521176224&amp;guest_id=31718521176222", "Chelsie Bothun")</f>
        <v>Chelsie Bothun</v>
      </c>
      <c r="E12337" t="s">
        <v>11686</v>
      </c>
      <c r="F12337" t="s">
        <v>10982</v>
      </c>
      <c r="G12337">
        <v>318</v>
      </c>
      <c r="H12337">
        <v>345.68</v>
      </c>
      <c r="I12337">
        <v>345.67</v>
      </c>
      <c r="J12337">
        <v>0.01</v>
      </c>
    </row>
    <row r="12338" spans="1:10" x14ac:dyDescent="0.3">
      <c r="A12338" t="str">
        <f>HYPERLINK("https://us2.cloudbeds.com/connect/10074733072513#/reservations/31715968426179?display=MX62GM6ZE&amp;reservation_id=31715968426179", "MX62GM6ZE")</f>
        <v>MX62GM6ZE</v>
      </c>
      <c r="B12338" t="s">
        <v>10</v>
      </c>
      <c r="C12338" t="s">
        <v>42</v>
      </c>
      <c r="D12338" t="str">
        <f>HYPERLINK("https://us2.cloudbeds.com/connect/10074733072513#/reservations/31715968426179?display=Laura%20Menning&amp;reservation_id=31715968426179&amp;guest_id=31715961229462", "Laura Menning")</f>
        <v>Laura Menning</v>
      </c>
      <c r="E12338" t="s">
        <v>11686</v>
      </c>
      <c r="F12338" t="s">
        <v>10982</v>
      </c>
      <c r="G12338">
        <v>159</v>
      </c>
      <c r="H12338">
        <v>172.84</v>
      </c>
      <c r="I12338">
        <v>172.83</v>
      </c>
      <c r="J12338">
        <v>0.01</v>
      </c>
    </row>
    <row r="12339" spans="1:10" x14ac:dyDescent="0.3">
      <c r="A12339" t="str">
        <f>HYPERLINK("https://us2.cloudbeds.com/connect/10074733072513#/reservations/31718575079600?display=MX833M5T1&amp;reservation_id=31718575079600", "MX833M5T1")</f>
        <v>MX833M5T1</v>
      </c>
      <c r="B12339" t="s">
        <v>10</v>
      </c>
      <c r="C12339" t="s">
        <v>42</v>
      </c>
      <c r="D12339" t="str">
        <f>HYPERLINK("https://us2.cloudbeds.com/connect/10074733072513#/reservations/31718575079600?display=Brook%20Bothun&amp;reservation_id=31718575079600&amp;guest_id=31718575079598", "Brook Bothun")</f>
        <v>Brook Bothun</v>
      </c>
      <c r="E12339" t="s">
        <v>11686</v>
      </c>
      <c r="F12339" t="s">
        <v>10982</v>
      </c>
      <c r="G12339">
        <v>318</v>
      </c>
      <c r="H12339">
        <v>345.68</v>
      </c>
      <c r="I12339">
        <v>345.67</v>
      </c>
      <c r="J12339">
        <v>0.01</v>
      </c>
    </row>
    <row r="12340" spans="1:10" x14ac:dyDescent="0.3">
      <c r="A12340" t="str">
        <f>HYPERLINK("https://us2.cloudbeds.com/connect/10074733072513#/reservations/31721935614101?display=MXAMWC04S&amp;reservation_id=31721935614101", "MXAMWC04S")</f>
        <v>MXAMWC04S</v>
      </c>
      <c r="B12340" t="s">
        <v>10</v>
      </c>
      <c r="C12340" t="s">
        <v>42</v>
      </c>
      <c r="D12340" t="str">
        <f>HYPERLINK("https://us2.cloudbeds.com/connect/10074733072513#/reservations/31721935614101?display=Timothy%20Riley&amp;reservation_id=31721935614101&amp;guest_id=31721935614098", "Timothy Riley")</f>
        <v>Timothy Riley</v>
      </c>
      <c r="E12340" t="s">
        <v>11689</v>
      </c>
      <c r="F12340" t="s">
        <v>11163</v>
      </c>
      <c r="G12340">
        <v>119</v>
      </c>
      <c r="H12340">
        <v>129.36000000000001</v>
      </c>
      <c r="I12340">
        <v>129.35</v>
      </c>
      <c r="J12340">
        <v>0.01</v>
      </c>
    </row>
    <row r="12341" spans="1:10" x14ac:dyDescent="0.3">
      <c r="A12341" t="str">
        <f>HYPERLINK("https://us2.cloudbeds.com/connect/10074733072513#/reservations/31716891353256?display=MX6Q2U0BK&amp;reservation_id=31716891353256", "MX6Q2U0BK")</f>
        <v>MX6Q2U0BK</v>
      </c>
      <c r="B12341" t="s">
        <v>10</v>
      </c>
      <c r="C12341" t="s">
        <v>42</v>
      </c>
      <c r="D12341" t="str">
        <f>HYPERLINK("https://us2.cloudbeds.com/connect/10074733072513#/reservations/31716891353256?display=Kory%20Foss&amp;reservation_id=31716891353256&amp;guest_id=31716881121410", "Kory Foss")</f>
        <v>Kory Foss</v>
      </c>
      <c r="E12341" t="s">
        <v>11690</v>
      </c>
      <c r="F12341" t="s">
        <v>11691</v>
      </c>
      <c r="G12341">
        <v>139</v>
      </c>
      <c r="H12341">
        <v>151.1</v>
      </c>
      <c r="I12341">
        <v>151.09</v>
      </c>
      <c r="J12341">
        <v>0.01</v>
      </c>
    </row>
    <row r="12342" spans="1:10" x14ac:dyDescent="0.3">
      <c r="A12342" t="str">
        <f>HYPERLINK("https://us2.cloudbeds.com/connect/10074733072513#/reservations/31712839758062?display=MX3YXGD8M&amp;reservation_id=31712839758062", "MX3YXGD8M")</f>
        <v>MX3YXGD8M</v>
      </c>
      <c r="B12342" t="s">
        <v>10</v>
      </c>
      <c r="C12342" t="s">
        <v>42</v>
      </c>
      <c r="D12342" t="str">
        <f>HYPERLINK("https://us2.cloudbeds.com/connect/10074733072513#/reservations/31712839758062?display=Kassidi%20Thiele&amp;reservation_id=31712839758062&amp;guest_id=31712839758057", "Kassidi Thiele")</f>
        <v>Kassidi Thiele</v>
      </c>
      <c r="E12342" t="s">
        <v>11692</v>
      </c>
      <c r="F12342" t="s">
        <v>11516</v>
      </c>
      <c r="G12342">
        <v>318</v>
      </c>
      <c r="H12342">
        <v>345.68</v>
      </c>
      <c r="I12342">
        <v>345.67</v>
      </c>
      <c r="J12342">
        <v>0.01</v>
      </c>
    </row>
    <row r="12343" spans="1:10" x14ac:dyDescent="0.3">
      <c r="A12343" t="str">
        <f>HYPERLINK("https://us2.cloudbeds.com/connect/10074733072513#/reservations/31718554398867?display=MX82J7NA5&amp;reservation_id=31718554398867", "MX82J7NA5")</f>
        <v>MX82J7NA5</v>
      </c>
      <c r="B12343" t="s">
        <v>10</v>
      </c>
      <c r="C12343" t="s">
        <v>42</v>
      </c>
      <c r="D12343" t="str">
        <f>HYPERLINK("https://us2.cloudbeds.com/connect/10074733072513#/reservations/31718554398867?display=Crystal%20Plate&amp;reservation_id=31718554398867&amp;guest_id=31718554398865", "Crystal Plate")</f>
        <v>Crystal Plate</v>
      </c>
      <c r="E12343" t="s">
        <v>11686</v>
      </c>
      <c r="F12343" t="s">
        <v>10982</v>
      </c>
      <c r="G12343">
        <v>318</v>
      </c>
      <c r="H12343">
        <v>345.68</v>
      </c>
      <c r="I12343">
        <v>345.67</v>
      </c>
      <c r="J12343">
        <v>0.01</v>
      </c>
    </row>
    <row r="12344" spans="1:10" x14ac:dyDescent="0.3">
      <c r="A12344" t="str">
        <f>HYPERLINK("https://us2.cloudbeds.com/connect/10074733072513#/reservations/31715949473992?display=MX620MREZ&amp;reservation_id=31715949473992", "MX620MREZ")</f>
        <v>MX620MREZ</v>
      </c>
      <c r="B12344" t="s">
        <v>10</v>
      </c>
      <c r="C12344" t="s">
        <v>42</v>
      </c>
      <c r="D12344" t="str">
        <f>HYPERLINK("https://us2.cloudbeds.com/connect/10074733072513#/reservations/31715949473992?display=Andrea%20Hastad&amp;reservation_id=31715949473992&amp;guest_id=31715941318897", "Andrea Hastad")</f>
        <v>Andrea Hastad</v>
      </c>
      <c r="E12344" t="s">
        <v>11686</v>
      </c>
      <c r="F12344" t="s">
        <v>10982</v>
      </c>
      <c r="G12344">
        <v>318</v>
      </c>
      <c r="H12344">
        <v>345.68</v>
      </c>
      <c r="I12344">
        <v>345.67</v>
      </c>
      <c r="J12344">
        <v>0.01</v>
      </c>
    </row>
    <row r="12345" spans="1:10" x14ac:dyDescent="0.3">
      <c r="A12345" t="str">
        <f>HYPERLINK("https://us2.cloudbeds.com/connect/10074733072513#/reservations/31714551873746?display=MX4WA6HW4&amp;reservation_id=31714551873746", "MX4WA6HW4")</f>
        <v>MX4WA6HW4</v>
      </c>
      <c r="B12345" t="s">
        <v>10</v>
      </c>
      <c r="C12345" t="s">
        <v>23</v>
      </c>
      <c r="D12345" t="str">
        <f>HYPERLINK("https://us2.cloudbeds.com/connect/10074733072513#/reservations/31714551873746?display=Chris%20Knadel&amp;reservation_id=31714551873746&amp;guest_id=31714551869658", "Chris Knadel")</f>
        <v>Chris Knadel</v>
      </c>
      <c r="E12345" t="s">
        <v>11701</v>
      </c>
      <c r="F12345" t="s">
        <v>11573</v>
      </c>
      <c r="G12345">
        <v>557</v>
      </c>
      <c r="H12345">
        <v>605.47</v>
      </c>
      <c r="I12345">
        <v>605.46</v>
      </c>
      <c r="J12345">
        <v>0.01</v>
      </c>
    </row>
    <row r="12346" spans="1:10" x14ac:dyDescent="0.3">
      <c r="A12346" t="str">
        <f>HYPERLINK("https://us2.cloudbeds.com/connect/10074733072513#/reservations/31718150750411?display=MX7P8SJXP&amp;reservation_id=31718150750411", "MX7P8SJXP")</f>
        <v>MX7P8SJXP</v>
      </c>
      <c r="B12346" t="s">
        <v>10</v>
      </c>
      <c r="C12346" t="s">
        <v>42</v>
      </c>
      <c r="D12346" t="str">
        <f>HYPERLINK("https://us2.cloudbeds.com/connect/10074733072513#/reservations/31718150750411?display=Sarah%20Bebnarek&amp;reservation_id=31718150750411&amp;guest_id=31718141796543", "Sarah Bebnarek")</f>
        <v>Sarah Bebnarek</v>
      </c>
      <c r="E12346" t="s">
        <v>11702</v>
      </c>
      <c r="F12346" t="s">
        <v>11293</v>
      </c>
      <c r="G12346">
        <v>199</v>
      </c>
      <c r="H12346">
        <v>216.32</v>
      </c>
      <c r="I12346">
        <v>216.31</v>
      </c>
      <c r="J12346">
        <v>0.01</v>
      </c>
    </row>
    <row r="12347" spans="1:10" x14ac:dyDescent="0.3">
      <c r="A12347" t="str">
        <f>HYPERLINK("https://us2.cloudbeds.com/connect/10074733072513#/reservations/31719837417676?display=MX92C3JM0&amp;reservation_id=31719837417676", "MX92C3JM0")</f>
        <v>MX92C3JM0</v>
      </c>
      <c r="B12347" t="s">
        <v>10</v>
      </c>
      <c r="C12347" t="s">
        <v>42</v>
      </c>
      <c r="D12347" t="str">
        <f>HYPERLINK("https://us2.cloudbeds.com/connect/10074733072513#/reservations/31719837417676?display=Josh%20Smith&amp;reservation_id=31719837417676&amp;guest_id=31719837417674", "Josh Smith")</f>
        <v>Josh Smith</v>
      </c>
      <c r="E12347" t="s">
        <v>10905</v>
      </c>
      <c r="F12347" t="s">
        <v>11696</v>
      </c>
      <c r="G12347">
        <v>149</v>
      </c>
      <c r="H12347">
        <v>161.97</v>
      </c>
      <c r="I12347">
        <v>161.96</v>
      </c>
      <c r="J12347">
        <v>0.01</v>
      </c>
    </row>
    <row r="12348" spans="1:10" x14ac:dyDescent="0.3">
      <c r="A12348" t="str">
        <f>HYPERLINK("https://us2.cloudbeds.com/connect/10074733072513#/reservations/31719610163336?display=MX8TXFTWS&amp;reservation_id=31719610163336", "MX8TXFTWS")</f>
        <v>MX8TXFTWS</v>
      </c>
      <c r="B12348" t="s">
        <v>10</v>
      </c>
      <c r="C12348" t="s">
        <v>42</v>
      </c>
      <c r="D12348" t="str">
        <f>HYPERLINK("https://us2.cloudbeds.com/connect/10074733072513#/reservations/31719610163336?display=Christian%20Hudec&amp;reservation_id=31719610163336&amp;guest_id=31719610163334", "Christian Hudec")</f>
        <v>Christian Hudec</v>
      </c>
      <c r="E12348" t="s">
        <v>11703</v>
      </c>
      <c r="F12348" t="s">
        <v>11293</v>
      </c>
      <c r="G12348">
        <v>199</v>
      </c>
      <c r="H12348">
        <v>216.32</v>
      </c>
      <c r="I12348">
        <v>216.31</v>
      </c>
      <c r="J12348">
        <v>0.01</v>
      </c>
    </row>
    <row r="12349" spans="1:10" x14ac:dyDescent="0.3">
      <c r="A12349" t="str">
        <f>HYPERLINK("https://us2.cloudbeds.com/connect/10074733072513#/reservations/31722334683302?display=MXB05SMSV&amp;reservation_id=31722334683302", "MXB05SMSV")</f>
        <v>MXB05SMSV</v>
      </c>
      <c r="B12349" t="s">
        <v>10</v>
      </c>
      <c r="C12349" t="s">
        <v>23</v>
      </c>
      <c r="D12349" t="str">
        <f>HYPERLINK("https://us2.cloudbeds.com/connect/10074733072513#/reservations/31722334683302?display=Nicholas%20Rider&amp;reservation_id=31722334683302&amp;guest_id=31722334683298", "Nicholas Rider")</f>
        <v>Nicholas Rider</v>
      </c>
      <c r="E12349" t="s">
        <v>11704</v>
      </c>
      <c r="F12349" t="s">
        <v>11626</v>
      </c>
      <c r="G12349">
        <v>102.58</v>
      </c>
      <c r="H12349">
        <v>111.51</v>
      </c>
      <c r="I12349">
        <v>111.5</v>
      </c>
      <c r="J12349">
        <v>0.01</v>
      </c>
    </row>
    <row r="12350" spans="1:10" x14ac:dyDescent="0.3">
      <c r="A12350" t="str">
        <f>HYPERLINK("https://us2.cloudbeds.com/connect/10074733072513#/reservations/31716955603079?display=MX6RZ2S8V&amp;reservation_id=31716955603079", "MX6RZ2S8V")</f>
        <v>MX6RZ2S8V</v>
      </c>
      <c r="B12350" t="s">
        <v>10</v>
      </c>
      <c r="C12350" t="s">
        <v>42</v>
      </c>
      <c r="D12350" t="str">
        <f>HYPERLINK("https://us2.cloudbeds.com/connect/10074733072513#/reservations/31716955603079?display=Stan%20Bonnema&amp;reservation_id=31716955603079&amp;guest_id=31716955598992", "Stan Bonnema")</f>
        <v>Stan Bonnema</v>
      </c>
      <c r="E12350" t="s">
        <v>11705</v>
      </c>
      <c r="F12350" t="s">
        <v>11516</v>
      </c>
      <c r="G12350">
        <v>258</v>
      </c>
      <c r="H12350">
        <v>280.45999999999998</v>
      </c>
      <c r="I12350">
        <v>280.45</v>
      </c>
      <c r="J12350">
        <v>0.01</v>
      </c>
    </row>
    <row r="12351" spans="1:10" x14ac:dyDescent="0.3">
      <c r="A12351" t="str">
        <f>HYPERLINK("https://us2.cloudbeds.com/connect/10074733072513#/reservations/31717756813443?display=MX7F6MNKT&amp;reservation_id=31717756813443", "MX7F6MNKT")</f>
        <v>MX7F6MNKT</v>
      </c>
      <c r="B12351" t="s">
        <v>10</v>
      </c>
      <c r="C12351" t="s">
        <v>23</v>
      </c>
      <c r="D12351" t="str">
        <f>HYPERLINK("https://us2.cloudbeds.com/connect/10074733072513#/reservations/31717756813443?display=Twila%20Flom&amp;reservation_id=31717756813443&amp;guest_id=31717749158108", "Twila Flom")</f>
        <v>Twila Flom</v>
      </c>
      <c r="E12351" t="s">
        <v>11706</v>
      </c>
      <c r="F12351" t="s">
        <v>11707</v>
      </c>
      <c r="G12351">
        <v>119</v>
      </c>
      <c r="H12351">
        <v>129.36000000000001</v>
      </c>
      <c r="I12351">
        <v>129.35</v>
      </c>
      <c r="J12351">
        <v>0.01</v>
      </c>
    </row>
    <row r="12352" spans="1:10" x14ac:dyDescent="0.3">
      <c r="A12352" t="str">
        <f>HYPERLINK("https://us2.cloudbeds.com/connect/10074733072513#/reservations/31718126547079?display=MX7ZYF39F&amp;reservation_id=31718126547079", "MX7ZYF39F")</f>
        <v>MX7ZYF39F</v>
      </c>
      <c r="B12352" t="s">
        <v>10</v>
      </c>
      <c r="C12352" t="s">
        <v>42</v>
      </c>
      <c r="D12352" t="str">
        <f>HYPERLINK("https://us2.cloudbeds.com/connect/10074733072513#/reservations/31718126547079?display=Ashley%20Langel&amp;reservation_id=31718126547079&amp;guest_id=31718126542983", "Ashley Langel")</f>
        <v>Ashley Langel</v>
      </c>
      <c r="E12352" t="s">
        <v>11708</v>
      </c>
      <c r="F12352" t="s">
        <v>11573</v>
      </c>
      <c r="G12352">
        <v>149</v>
      </c>
      <c r="H12352">
        <v>161.97</v>
      </c>
      <c r="I12352">
        <v>161.96</v>
      </c>
      <c r="J12352">
        <v>0.01</v>
      </c>
    </row>
    <row r="12353" spans="1:10" x14ac:dyDescent="0.3">
      <c r="A12353" t="str">
        <f>HYPERLINK("https://us2.cloudbeds.com/connect/10074733072513#/reservations/31714366414988?display=MX4RXQT2P&amp;reservation_id=31714366414988", "MX4RXQT2P")</f>
        <v>MX4RXQT2P</v>
      </c>
      <c r="B12353" t="s">
        <v>10</v>
      </c>
      <c r="C12353" t="s">
        <v>42</v>
      </c>
      <c r="D12353" t="str">
        <f>HYPERLINK("https://us2.cloudbeds.com/connect/10074733072513#/reservations/31714366414988?display=Levi%20Poppe&amp;reservation_id=31714366414988&amp;guest_id=31714366414983", "Levi Poppe")</f>
        <v>Levi Poppe</v>
      </c>
      <c r="E12353" t="s">
        <v>11709</v>
      </c>
      <c r="F12353" t="s">
        <v>10750</v>
      </c>
      <c r="G12353">
        <v>159</v>
      </c>
      <c r="H12353">
        <v>172.84</v>
      </c>
      <c r="I12353">
        <v>172.83</v>
      </c>
      <c r="J12353">
        <v>0.01</v>
      </c>
    </row>
    <row r="12354" spans="1:10" x14ac:dyDescent="0.3">
      <c r="A12354" t="str">
        <f>HYPERLINK("https://us2.cloudbeds.com/connect/10074733072513#/reservations/31722399916253?display=MXB1RSTJ1&amp;reservation_id=31722399916253", "MXB1RSTJ1")</f>
        <v>MXB1RSTJ1</v>
      </c>
      <c r="B12354" t="s">
        <v>10</v>
      </c>
      <c r="C12354" t="s">
        <v>23</v>
      </c>
      <c r="D12354" t="str">
        <f>HYPERLINK("https://us2.cloudbeds.com/connect/10074733072513#/reservations/31722399916253?display=Mark%20Keating&amp;reservation_id=31722399916253&amp;guest_id=31722399916248", "Mark Keating")</f>
        <v>Mark Keating</v>
      </c>
      <c r="E12354" t="s">
        <v>11710</v>
      </c>
      <c r="F12354" t="s">
        <v>11600</v>
      </c>
      <c r="G12354">
        <v>238</v>
      </c>
      <c r="H12354">
        <v>258.72000000000003</v>
      </c>
      <c r="I12354">
        <v>258.70999999999998</v>
      </c>
      <c r="J12354">
        <v>0.01</v>
      </c>
    </row>
    <row r="12355" spans="1:10" x14ac:dyDescent="0.3">
      <c r="A12355" t="str">
        <f>HYPERLINK("https://us2.cloudbeds.com/connect/10074733072513#/reservations/31720385138833?display=MX9GBVZXR&amp;reservation_id=31720385138833", "MX9GBVZXR")</f>
        <v>MX9GBVZXR</v>
      </c>
      <c r="B12355" t="s">
        <v>10</v>
      </c>
      <c r="C12355" t="s">
        <v>23</v>
      </c>
      <c r="D12355" t="str">
        <f>HYPERLINK("https://us2.cloudbeds.com/connect/10074733072513#/reservations/31720385138833?display=Bernard%20Solomon&amp;reservation_id=31720385138833&amp;guest_id=31720385138828", "Bernard Solomon")</f>
        <v>Bernard Solomon</v>
      </c>
      <c r="E12355" t="s">
        <v>11711</v>
      </c>
      <c r="F12355" t="s">
        <v>11044</v>
      </c>
      <c r="G12355">
        <v>159</v>
      </c>
      <c r="H12355">
        <v>172.84</v>
      </c>
      <c r="I12355">
        <v>172.83</v>
      </c>
      <c r="J12355">
        <v>0.01</v>
      </c>
    </row>
    <row r="12356" spans="1:10" x14ac:dyDescent="0.3">
      <c r="A12356" t="str">
        <f>HYPERLINK("https://us2.cloudbeds.com/connect/10074733072513#/reservations/31721771896983?display=MXAXQAB12&amp;reservation_id=31721771896983", "MXAXQAB12")</f>
        <v>MXAXQAB12</v>
      </c>
      <c r="B12356" t="s">
        <v>10</v>
      </c>
      <c r="C12356" t="s">
        <v>23</v>
      </c>
      <c r="D12356" t="str">
        <f>HYPERLINK("https://us2.cloudbeds.com/connect/10074733072513#/reservations/31721771896983?display=Tammy%20Abbas&amp;reservation_id=31721771896983&amp;guest_id=31721771892889", "Tammy Abbas")</f>
        <v>Tammy Abbas</v>
      </c>
      <c r="E12356" t="s">
        <v>11712</v>
      </c>
      <c r="F12356" t="s">
        <v>11623</v>
      </c>
      <c r="G12356">
        <v>109</v>
      </c>
      <c r="H12356">
        <v>118.49</v>
      </c>
      <c r="I12356">
        <v>118.48</v>
      </c>
      <c r="J12356">
        <v>0.01</v>
      </c>
    </row>
    <row r="12357" spans="1:10" x14ac:dyDescent="0.3">
      <c r="A12357" t="str">
        <f>HYPERLINK("https://us2.cloudbeds.com/connect/10074733072513#/reservations/31718328291530?display=MX7TQXUTM&amp;reservation_id=31718328291530", "MX7TQXUTM")</f>
        <v>MX7TQXUTM</v>
      </c>
      <c r="B12357" t="s">
        <v>10</v>
      </c>
      <c r="C12357" t="s">
        <v>23</v>
      </c>
      <c r="D12357" t="str">
        <f>HYPERLINK("https://us2.cloudbeds.com/connect/10074733072513#/reservations/31718328291530?display=Michelle%20Evans&amp;reservation_id=31718328291530&amp;guest_id=31718328287446", "Michelle Evans")</f>
        <v>Michelle Evans</v>
      </c>
      <c r="E12357" t="s">
        <v>11599</v>
      </c>
      <c r="F12357" t="s">
        <v>11618</v>
      </c>
      <c r="G12357">
        <v>139</v>
      </c>
      <c r="H12357">
        <v>151.1</v>
      </c>
      <c r="I12357">
        <v>151.09</v>
      </c>
      <c r="J12357">
        <v>0.01</v>
      </c>
    </row>
    <row r="12358" spans="1:10" x14ac:dyDescent="0.3">
      <c r="A12358" t="str">
        <f>HYPERLINK("https://us2.cloudbeds.com/connect/10074733072513#/reservations/31716344271060?display=MX6C3JY68&amp;reservation_id=31716344271060", "MX6C3JY68")</f>
        <v>MX6C3JY68</v>
      </c>
      <c r="B12358" t="s">
        <v>10</v>
      </c>
      <c r="C12358" t="s">
        <v>42</v>
      </c>
      <c r="D12358" t="str">
        <f>HYPERLINK("https://us2.cloudbeds.com/connect/10074733072513#/reservations/31716344271060?display=Susan%20Benney&amp;reservation_id=31716344271060&amp;guest_id=31716344271057", "Susan Benney")</f>
        <v>Susan Benney</v>
      </c>
      <c r="E12358" t="s">
        <v>7011</v>
      </c>
      <c r="F12358" t="s">
        <v>11713</v>
      </c>
      <c r="G12358">
        <v>681.3</v>
      </c>
      <c r="H12358">
        <v>740.58</v>
      </c>
      <c r="I12358">
        <v>740.57</v>
      </c>
      <c r="J12358">
        <v>0.01</v>
      </c>
    </row>
    <row r="12359" spans="1:10" x14ac:dyDescent="0.3">
      <c r="A12359" t="str">
        <f>HYPERLINK("https://us2.cloudbeds.com/connect/10074733072513#/reservations/31716918685915?display=MX6QPVJ70&amp;reservation_id=31716918685915", "MX6QPVJ70")</f>
        <v>MX6QPVJ70</v>
      </c>
      <c r="B12359" t="s">
        <v>10</v>
      </c>
      <c r="C12359" t="s">
        <v>42</v>
      </c>
      <c r="D12359" t="str">
        <f>HYPERLINK("https://us2.cloudbeds.com/connect/10074733072513#/reservations/31716918685915?display=Erin%20Horwig&amp;reservation_id=31716918685915&amp;guest_id=31716918681851", "Erin Horwig")</f>
        <v>Erin Horwig</v>
      </c>
      <c r="E12359" t="s">
        <v>11714</v>
      </c>
      <c r="F12359" t="s">
        <v>11691</v>
      </c>
      <c r="G12359">
        <v>205.2</v>
      </c>
      <c r="H12359">
        <v>223.06</v>
      </c>
      <c r="I12359">
        <v>223.05</v>
      </c>
      <c r="J12359">
        <v>0.01</v>
      </c>
    </row>
    <row r="12360" spans="1:10" x14ac:dyDescent="0.3">
      <c r="A12360" t="str">
        <f>HYPERLINK("https://us2.cloudbeds.com/connect/10074733072513#/reservations/31718202851461?display=MX7QJQCJF&amp;reservation_id=31718202851461", "MX7QJQCJF")</f>
        <v>MX7QJQCJF</v>
      </c>
      <c r="B12360" t="s">
        <v>10</v>
      </c>
      <c r="C12360" t="s">
        <v>23</v>
      </c>
      <c r="D12360" t="str">
        <f>HYPERLINK("https://us2.cloudbeds.com/connect/10074733072513#/reservations/31718202851461?display=Lynda%20Ostrom&amp;reservation_id=31718202851461&amp;guest_id=31718202851457", "Lynda Ostrom")</f>
        <v>Lynda Ostrom</v>
      </c>
      <c r="E12360" t="s">
        <v>11716</v>
      </c>
      <c r="F12360" t="s">
        <v>11717</v>
      </c>
      <c r="G12360">
        <v>321.3</v>
      </c>
      <c r="H12360">
        <v>349.26</v>
      </c>
      <c r="I12360">
        <v>349.25</v>
      </c>
      <c r="J12360">
        <v>0.01</v>
      </c>
    </row>
    <row r="12361" spans="1:10" x14ac:dyDescent="0.3">
      <c r="A12361" t="str">
        <f>HYPERLINK("https://us2.cloudbeds.com/connect/10074733072513#/reservations/31720826695825?display=MX9RY9NNZ&amp;reservation_id=31720826695825", "MX9RY9NNZ")</f>
        <v>MX9RY9NNZ</v>
      </c>
      <c r="B12361" t="s">
        <v>10</v>
      </c>
      <c r="C12361" t="s">
        <v>42</v>
      </c>
      <c r="D12361" t="str">
        <f>HYPERLINK("https://us2.cloudbeds.com/connect/10074733072513#/reservations/31720826695825?display=James%20Marnette&amp;reservation_id=31720826695825&amp;guest_id=31678877712533", "James Marnette")</f>
        <v>James Marnette</v>
      </c>
      <c r="E12361" t="s">
        <v>6553</v>
      </c>
      <c r="F12361" t="s">
        <v>10695</v>
      </c>
      <c r="G12361">
        <v>278</v>
      </c>
      <c r="H12361">
        <v>302.2</v>
      </c>
      <c r="I12361">
        <v>302.19</v>
      </c>
      <c r="J12361">
        <v>0.01</v>
      </c>
    </row>
    <row r="12362" spans="1:10" x14ac:dyDescent="0.3">
      <c r="A12362" t="str">
        <f>HYPERLINK("https://us2.cloudbeds.com/connect/10074733072513#/reservations/31717552869513?display=MX79WNM9Q&amp;reservation_id=31717552869513", "MX79WNM9Q")</f>
        <v>MX79WNM9Q</v>
      </c>
      <c r="B12362" t="s">
        <v>10</v>
      </c>
      <c r="C12362" t="s">
        <v>42</v>
      </c>
      <c r="D12362" t="str">
        <f>HYPERLINK("https://us2.cloudbeds.com/connect/10074733072513#/reservations/31717552869513?display=Sandra%20Brandvold&amp;reservation_id=31717552869513&amp;guest_id=31717552869509", "Sandra Brandvold")</f>
        <v>Sandra Brandvold</v>
      </c>
      <c r="E12362" t="s">
        <v>11719</v>
      </c>
      <c r="F12362" t="s">
        <v>11027</v>
      </c>
      <c r="G12362">
        <v>398</v>
      </c>
      <c r="H12362">
        <v>432.64</v>
      </c>
      <c r="I12362">
        <v>432.63</v>
      </c>
      <c r="J12362">
        <v>0.01</v>
      </c>
    </row>
    <row r="12363" spans="1:10" x14ac:dyDescent="0.3">
      <c r="A12363" t="str">
        <f>HYPERLINK("https://us2.cloudbeds.com/connect/10074733072513#/reservations/31720772042903?display=MX9Q86UCJ&amp;reservation_id=31720772042903", "MX9Q86UCJ")</f>
        <v>MX9Q86UCJ</v>
      </c>
      <c r="B12363" t="s">
        <v>10</v>
      </c>
      <c r="C12363" t="s">
        <v>42</v>
      </c>
      <c r="D12363" t="str">
        <f>HYPERLINK("https://us2.cloudbeds.com/connect/10074733072513#/reservations/31720772042903?display=Donald%20Jones&amp;reservation_id=31720772042903&amp;guest_id=31720772042901", "Donald Jones")</f>
        <v>Donald Jones</v>
      </c>
      <c r="E12363" t="s">
        <v>10782</v>
      </c>
      <c r="F12363" t="s">
        <v>11665</v>
      </c>
      <c r="G12363">
        <v>73</v>
      </c>
      <c r="H12363">
        <v>79.36</v>
      </c>
      <c r="I12363">
        <v>79.349999999999994</v>
      </c>
      <c r="J12363">
        <v>0.01</v>
      </c>
    </row>
    <row r="12364" spans="1:10" x14ac:dyDescent="0.3">
      <c r="A12364" t="str">
        <f>HYPERLINK("https://us2.cloudbeds.com/connect/10074733072513#/reservations/31719242735822?display=MX8K5YMWP&amp;reservation_id=31719242735822", "MX8K5YMWP")</f>
        <v>MX8K5YMWP</v>
      </c>
      <c r="B12364" t="s">
        <v>10</v>
      </c>
      <c r="C12364" t="s">
        <v>23</v>
      </c>
      <c r="D12364" t="str">
        <f>HYPERLINK("https://us2.cloudbeds.com/connect/10074733072513#/reservations/31719242735822?display=Sandra%20Carrell&amp;reservation_id=31719242735822&amp;guest_id=31719242731728", "Sandra Carrell")</f>
        <v>Sandra Carrell</v>
      </c>
      <c r="E12364" t="s">
        <v>11720</v>
      </c>
      <c r="F12364" t="s">
        <v>11721</v>
      </c>
      <c r="G12364">
        <v>321.76</v>
      </c>
      <c r="H12364">
        <v>349.76</v>
      </c>
      <c r="I12364">
        <v>349.75</v>
      </c>
      <c r="J12364">
        <v>0.01</v>
      </c>
    </row>
    <row r="12365" spans="1:10" x14ac:dyDescent="0.3">
      <c r="A12365" t="str">
        <f>HYPERLINK("https://us2.cloudbeds.com/connect/10074733072513#/reservations/31712769749234?display=MX3JPFA01&amp;reservation_id=31712769749234", "MX3JPFA01")</f>
        <v>MX3JPFA01</v>
      </c>
      <c r="B12365" t="s">
        <v>10</v>
      </c>
      <c r="C12365" t="s">
        <v>42</v>
      </c>
      <c r="D12365" t="str">
        <f>HYPERLINK("https://us2.cloudbeds.com/connect/10074733072513#/reservations/31712769749234?display=Tana%20Clarks&amp;reservation_id=31712769749234&amp;guest_id=31712760275098", "Tana Clarks")</f>
        <v>Tana Clarks</v>
      </c>
      <c r="E12365" t="s">
        <v>11722</v>
      </c>
      <c r="F12365" t="s">
        <v>11533</v>
      </c>
      <c r="G12365">
        <v>298</v>
      </c>
      <c r="H12365">
        <v>323.94</v>
      </c>
      <c r="I12365">
        <v>323.93</v>
      </c>
      <c r="J12365">
        <v>0.01</v>
      </c>
    </row>
    <row r="12366" spans="1:10" x14ac:dyDescent="0.3">
      <c r="A12366" t="str">
        <f>HYPERLINK("https://us2.cloudbeds.com/connect/10074733072513#/reservations/31722391089288?display=MXB1KE908&amp;reservation_id=31722391089288", "MXB1KE908")</f>
        <v>MXB1KE908</v>
      </c>
      <c r="B12366" t="s">
        <v>10</v>
      </c>
      <c r="C12366" t="s">
        <v>23</v>
      </c>
      <c r="D12366" t="str">
        <f>HYPERLINK("https://us2.cloudbeds.com/connect/10074733072513#/reservations/31722391089288?display=Andrew%20Lenz&amp;reservation_id=31722391089288&amp;guest_id=31722383823004", "Andrew Lenz")</f>
        <v>Andrew Lenz</v>
      </c>
      <c r="E12366" t="s">
        <v>11723</v>
      </c>
      <c r="F12366" t="s">
        <v>11600</v>
      </c>
      <c r="G12366">
        <v>109</v>
      </c>
      <c r="H12366">
        <v>118.49</v>
      </c>
      <c r="I12366">
        <v>118.48</v>
      </c>
      <c r="J12366">
        <v>0.01</v>
      </c>
    </row>
    <row r="12367" spans="1:10" x14ac:dyDescent="0.3">
      <c r="A12367" t="str">
        <f>HYPERLINK("https://us2.cloudbeds.com/connect/10074733072513#/reservations/31720500613329?display=MX9JAAWZW&amp;reservation_id=31720500613329", "MX9JAAWZW")</f>
        <v>MX9JAAWZW</v>
      </c>
      <c r="B12367" t="s">
        <v>10</v>
      </c>
      <c r="C12367" t="s">
        <v>23</v>
      </c>
      <c r="D12367" t="str">
        <f>HYPERLINK("https://us2.cloudbeds.com/connect/10074733072513#/reservations/31720500613329?display=Jerissa%20Meng&amp;reservation_id=31720500613329&amp;guest_id=31720500609235", "Jerissa Meng")</f>
        <v>Jerissa Meng</v>
      </c>
      <c r="E12367" t="s">
        <v>11724</v>
      </c>
      <c r="F12367" t="s">
        <v>11665</v>
      </c>
      <c r="G12367">
        <v>109</v>
      </c>
      <c r="H12367">
        <v>118.49</v>
      </c>
      <c r="I12367">
        <v>118.48</v>
      </c>
      <c r="J12367">
        <v>0.01</v>
      </c>
    </row>
    <row r="12368" spans="1:10" x14ac:dyDescent="0.3">
      <c r="A12368" t="str">
        <f>HYPERLINK("https://us2.cloudbeds.com/connect/10074733072513#/reservations/31721790062791?display=MXAJ8KR73&amp;reservation_id=31721790062791", "MXAJ8KR73")</f>
        <v>MXAJ8KR73</v>
      </c>
      <c r="B12368" t="s">
        <v>10</v>
      </c>
      <c r="C12368" t="s">
        <v>23</v>
      </c>
      <c r="D12368" t="str">
        <f>HYPERLINK("https://us2.cloudbeds.com/connect/10074733072513#/reservations/31721790062791?display=Dennis%20Price&amp;reservation_id=31721790062791&amp;guest_id=31721783816430", "Dennis Price")</f>
        <v>Dennis Price</v>
      </c>
      <c r="E12368" t="s">
        <v>11728</v>
      </c>
      <c r="F12368" t="s">
        <v>11623</v>
      </c>
      <c r="G12368">
        <v>109</v>
      </c>
      <c r="H12368">
        <v>118.49</v>
      </c>
      <c r="I12368">
        <v>118.48</v>
      </c>
      <c r="J12368">
        <v>0.01</v>
      </c>
    </row>
    <row r="12369" spans="1:10" x14ac:dyDescent="0.3">
      <c r="A12369" t="str">
        <f>HYPERLINK("https://us2.cloudbeds.com/connect/10074733072513#/reservations/31720484552931?display=MX9XTQ2U8&amp;reservation_id=31720484552931", "MX9XTQ2U8")</f>
        <v>MX9XTQ2U8</v>
      </c>
      <c r="B12369" t="s">
        <v>10</v>
      </c>
      <c r="C12369" t="s">
        <v>42</v>
      </c>
      <c r="D12369" t="str">
        <f>HYPERLINK("https://us2.cloudbeds.com/connect/10074733072513#/reservations/31720484552931?display=Ian%20Wright&amp;reservation_id=31720484552931&amp;guest_id=31720484552920", "Ian Wright")</f>
        <v>Ian Wright</v>
      </c>
      <c r="E12369" t="s">
        <v>11729</v>
      </c>
      <c r="F12369" t="s">
        <v>11600</v>
      </c>
      <c r="G12369">
        <v>73</v>
      </c>
      <c r="H12369">
        <v>79.36</v>
      </c>
      <c r="I12369">
        <v>79.349999999999994</v>
      </c>
      <c r="J12369">
        <v>0.01</v>
      </c>
    </row>
    <row r="12370" spans="1:10" x14ac:dyDescent="0.3">
      <c r="A12370" t="str">
        <f>HYPERLINK("https://us2.cloudbeds.com/connect/10074733072513#/reservations/31720450085114?display=MX9X0NW0V&amp;reservation_id=31720450085114", "MX9X0NW0V")</f>
        <v>MX9X0NW0V</v>
      </c>
      <c r="B12370" t="s">
        <v>10</v>
      </c>
      <c r="C12370" t="s">
        <v>42</v>
      </c>
      <c r="D12370" t="str">
        <f>HYPERLINK("https://us2.cloudbeds.com/connect/10074733072513#/reservations/31720450085114?display=Kent%20Larson&amp;reservation_id=31720450085114&amp;guest_id=31720450085109", "Kent Larson")</f>
        <v>Kent Larson</v>
      </c>
      <c r="E12370" t="s">
        <v>11730</v>
      </c>
      <c r="F12370" t="s">
        <v>11044</v>
      </c>
      <c r="G12370">
        <v>318</v>
      </c>
      <c r="H12370">
        <v>345.68</v>
      </c>
      <c r="I12370">
        <v>345.67</v>
      </c>
      <c r="J12370">
        <v>0.01</v>
      </c>
    </row>
    <row r="12371" spans="1:10" x14ac:dyDescent="0.3">
      <c r="A12371" t="str">
        <f>HYPERLINK("https://us2.cloudbeds.com/connect/10074733072513#/reservations/31721106313442?display=MXA1Q2G6S&amp;reservation_id=31721106313442", "MXA1Q2G6S")</f>
        <v>MXA1Q2G6S</v>
      </c>
      <c r="B12371" t="s">
        <v>10</v>
      </c>
      <c r="C12371" t="s">
        <v>23</v>
      </c>
      <c r="D12371" t="str">
        <f>HYPERLINK("https://us2.cloudbeds.com/connect/10074733072513#/reservations/31721106313442?display=Todd%20Barber&amp;reservation_id=31721106313442&amp;guest_id=31721098449030", "Todd Barber")</f>
        <v>Todd Barber</v>
      </c>
      <c r="E12371" t="s">
        <v>11731</v>
      </c>
      <c r="F12371" t="s">
        <v>11600</v>
      </c>
      <c r="G12371">
        <v>102.58</v>
      </c>
      <c r="H12371">
        <v>111.51</v>
      </c>
      <c r="I12371">
        <v>111.5</v>
      </c>
      <c r="J12371">
        <v>0.01</v>
      </c>
    </row>
    <row r="12372" spans="1:10" x14ac:dyDescent="0.3">
      <c r="A12372" t="str">
        <f>HYPERLINK("https://us2.cloudbeds.com/connect/10074733072513#/reservations/31720468938931?display=MX9XGKJWZ&amp;reservation_id=31720468938931", "MX9XGKJWZ")</f>
        <v>MX9XGKJWZ</v>
      </c>
      <c r="B12372" t="s">
        <v>10</v>
      </c>
      <c r="C12372" t="s">
        <v>42</v>
      </c>
      <c r="D12372" t="str">
        <f>HYPERLINK("https://us2.cloudbeds.com/connect/10074733072513#/reservations/31720468938931?display=Traivs%20Magedanv&amp;reservation_id=31720468938931&amp;guest_id=31720459129044", "Traivs Magedanv")</f>
        <v>Traivs Magedanv</v>
      </c>
      <c r="E12372" t="s">
        <v>11732</v>
      </c>
      <c r="F12372" t="s">
        <v>11600</v>
      </c>
      <c r="G12372">
        <v>73</v>
      </c>
      <c r="H12372">
        <v>79.36</v>
      </c>
      <c r="I12372">
        <v>79.349999999999994</v>
      </c>
      <c r="J12372">
        <v>0.01</v>
      </c>
    </row>
    <row r="12373" spans="1:10" x14ac:dyDescent="0.3">
      <c r="A12373" t="str">
        <f>HYPERLINK("https://us2.cloudbeds.com/connect/10074733072513#/reservations/31721205117086?display=MXA4ACRWM&amp;reservation_id=31721205117086", "MXA4ACRWM")</f>
        <v>MXA4ACRWM</v>
      </c>
      <c r="B12373" t="s">
        <v>10</v>
      </c>
      <c r="C12373" t="s">
        <v>42</v>
      </c>
      <c r="D12373" t="str">
        <f>HYPERLINK("https://us2.cloudbeds.com/connect/10074733072513#/reservations/31721205117086?display=Pamela%20Rine&amp;reservation_id=31721205117086&amp;guest_id=31721199550660", "Pamela Rine")</f>
        <v>Pamela Rine</v>
      </c>
      <c r="E12373" t="s">
        <v>11733</v>
      </c>
      <c r="F12373" t="s">
        <v>11518</v>
      </c>
      <c r="G12373">
        <v>218</v>
      </c>
      <c r="H12373">
        <v>236.98</v>
      </c>
      <c r="I12373">
        <v>236.97</v>
      </c>
      <c r="J12373">
        <v>0.01</v>
      </c>
    </row>
    <row r="12374" spans="1:10" x14ac:dyDescent="0.3">
      <c r="A12374" t="str">
        <f>HYPERLINK("https://us2.cloudbeds.com/connect/10074733072513#/reservations/31721065332908?display=MXA0ZH4SG&amp;reservation_id=31721065332908", "MXA0ZH4SG")</f>
        <v>MXA0ZH4SG</v>
      </c>
      <c r="B12374" t="s">
        <v>10</v>
      </c>
      <c r="C12374" t="s">
        <v>23</v>
      </c>
      <c r="D12374" t="str">
        <f>HYPERLINK("https://us2.cloudbeds.com/connect/10074733072513#/reservations/31721065332908?display=Jadon%20Munson&amp;reservation_id=31721065332908&amp;guest_id=31720139063519", "Jadon Munson")</f>
        <v>Jadon Munson</v>
      </c>
      <c r="E12374" t="s">
        <v>11735</v>
      </c>
      <c r="F12374" t="s">
        <v>11600</v>
      </c>
      <c r="G12374">
        <v>139</v>
      </c>
      <c r="H12374">
        <v>151.1</v>
      </c>
      <c r="I12374">
        <v>151.09</v>
      </c>
      <c r="J12374">
        <v>0.01</v>
      </c>
    </row>
    <row r="12375" spans="1:10" x14ac:dyDescent="0.3">
      <c r="A12375" t="str">
        <f>HYPERLINK("https://us2.cloudbeds.com/connect/10074733072513#/reservations/31720139063524?display=MX9A2FB39&amp;reservation_id=31720139063524", "MX9A2FB39")</f>
        <v>MX9A2FB39</v>
      </c>
      <c r="B12375" t="s">
        <v>10</v>
      </c>
      <c r="C12375" t="s">
        <v>42</v>
      </c>
      <c r="D12375" t="str">
        <f>HYPERLINK("https://us2.cloudbeds.com/connect/10074733072513#/reservations/31720139063524?display=Jadon%20Munson&amp;reservation_id=31720139063524&amp;guest_id=31720139063519", "Jadon Munson")</f>
        <v>Jadon Munson</v>
      </c>
      <c r="E12375" t="s">
        <v>11735</v>
      </c>
      <c r="F12375" t="s">
        <v>11626</v>
      </c>
      <c r="G12375">
        <v>109</v>
      </c>
      <c r="H12375">
        <v>118.49</v>
      </c>
      <c r="I12375">
        <v>118.48</v>
      </c>
      <c r="J12375">
        <v>0.01</v>
      </c>
    </row>
    <row r="12376" spans="1:10" x14ac:dyDescent="0.3">
      <c r="A12376" t="str">
        <f>HYPERLINK("https://us2.cloudbeds.com/connect/10074733072513#/reservations/31715904995482?display=MX60T6503&amp;reservation_id=31715904995482", "MX60T6503")</f>
        <v>MX60T6503</v>
      </c>
      <c r="B12376" t="s">
        <v>10</v>
      </c>
      <c r="C12376" t="s">
        <v>23</v>
      </c>
      <c r="D12376" t="str">
        <f>HYPERLINK("https://us2.cloudbeds.com/connect/10074733072513#/reservations/31715904995482?display=Gary%20Lacompte&amp;reservation_id=31715904995482&amp;guest_id=31715904995480", "Gary Lacompte")</f>
        <v>Gary Lacompte</v>
      </c>
      <c r="E12376" t="s">
        <v>11737</v>
      </c>
      <c r="F12376" t="s">
        <v>10982</v>
      </c>
      <c r="G12376">
        <v>130.38</v>
      </c>
      <c r="H12376">
        <v>141.72999999999999</v>
      </c>
      <c r="I12376">
        <v>141.72</v>
      </c>
      <c r="J12376">
        <v>0.01</v>
      </c>
    </row>
    <row r="12377" spans="1:10" x14ac:dyDescent="0.3">
      <c r="A12377" t="str">
        <f>HYPERLINK("https://us2.cloudbeds.com/connect/10074733072513#/reservations/31721726996706?display=MXAHYEU9H&amp;reservation_id=31721726996706", "MXAHYEU9H")</f>
        <v>MXAHYEU9H</v>
      </c>
      <c r="B12377" t="s">
        <v>10</v>
      </c>
      <c r="C12377" t="s">
        <v>23</v>
      </c>
      <c r="D12377" t="str">
        <f>HYPERLINK("https://us2.cloudbeds.com/connect/10074733072513#/reservations/31721726996706?display=Robert%20West&amp;reservation_id=31721726996706&amp;guest_id=31721716760715", "Robert West")</f>
        <v>Robert West</v>
      </c>
      <c r="E12377" t="s">
        <v>11739</v>
      </c>
      <c r="F12377" t="s">
        <v>11623</v>
      </c>
      <c r="G12377">
        <v>278</v>
      </c>
      <c r="H12377">
        <v>302.2</v>
      </c>
      <c r="I12377">
        <v>302.19</v>
      </c>
      <c r="J12377">
        <v>0.01</v>
      </c>
    </row>
    <row r="12378" spans="1:10" x14ac:dyDescent="0.3">
      <c r="A12378" t="str">
        <f>HYPERLINK("https://us2.cloudbeds.com/connect/10074733072513#/reservations/31721118114002?display=MXA230SBJ&amp;reservation_id=31721118114002", "MXA230SBJ")</f>
        <v>MXA230SBJ</v>
      </c>
      <c r="B12378" t="s">
        <v>10</v>
      </c>
      <c r="C12378" t="s">
        <v>121</v>
      </c>
      <c r="D12378" t="str">
        <f>HYPERLINK("https://us2.cloudbeds.com/connect/10074733072513#/reservations/31721118114002?display=Cindy%20Krull&amp;reservation_id=31721118114002&amp;guest_id=31701286858899", "Cindy Krull")</f>
        <v>Cindy Krull</v>
      </c>
      <c r="E12378" t="s">
        <v>11681</v>
      </c>
      <c r="F12378" t="s">
        <v>11518</v>
      </c>
      <c r="G12378">
        <v>252</v>
      </c>
      <c r="H12378">
        <v>273.93</v>
      </c>
      <c r="I12378">
        <v>273.92</v>
      </c>
      <c r="J12378">
        <v>0.01</v>
      </c>
    </row>
    <row r="12379" spans="1:10" x14ac:dyDescent="0.3">
      <c r="A12379" t="str">
        <f>HYPERLINK("https://us2.cloudbeds.com/connect/10074733072513#/reservations/31721656901832?display=MXAFSBE0H&amp;reservation_id=31721656901832", "MXAFSBE0H")</f>
        <v>MXAFSBE0H</v>
      </c>
      <c r="B12379" t="s">
        <v>10</v>
      </c>
      <c r="C12379" t="s">
        <v>42</v>
      </c>
      <c r="D12379" t="str">
        <f>HYPERLINK("https://us2.cloudbeds.com/connect/10074733072513#/reservations/31721656901832?display=Curtis%20Pell&amp;reservation_id=31721656901832&amp;guest_id=31717014704361", "Curtis Pell")</f>
        <v>Curtis Pell</v>
      </c>
      <c r="E12379" t="s">
        <v>11740</v>
      </c>
      <c r="F12379" t="s">
        <v>11623</v>
      </c>
      <c r="G12379">
        <v>119</v>
      </c>
      <c r="H12379">
        <v>129.36000000000001</v>
      </c>
      <c r="I12379">
        <v>129.35</v>
      </c>
      <c r="J12379">
        <v>0.01</v>
      </c>
    </row>
    <row r="12380" spans="1:10" x14ac:dyDescent="0.3">
      <c r="A12380" t="str">
        <f>HYPERLINK("https://us2.cloudbeds.com/connect/10074733072513#/reservations/31703008850156?display=MHT1BQTKG&amp;reservation_id=31703008850156", "MHT1BQTKG")</f>
        <v>MHT1BQTKG</v>
      </c>
      <c r="B12380" t="s">
        <v>10</v>
      </c>
      <c r="C12380" t="s">
        <v>42</v>
      </c>
      <c r="D12380" t="str">
        <f>HYPERLINK("https://us2.cloudbeds.com/connect/10074733072513#/reservations/31703008850156?display=Joylnn%20Foster&amp;reservation_id=31703008850156&amp;guest_id=31701668106454", "Joylnn Foster")</f>
        <v>Joylnn Foster</v>
      </c>
      <c r="E12380" t="s">
        <v>11741</v>
      </c>
      <c r="F12380" t="s">
        <v>11742</v>
      </c>
      <c r="G12380">
        <v>318</v>
      </c>
      <c r="H12380">
        <v>345.68</v>
      </c>
      <c r="I12380">
        <v>345.67</v>
      </c>
      <c r="J12380">
        <v>0.01</v>
      </c>
    </row>
    <row r="12381" spans="1:10" x14ac:dyDescent="0.3">
      <c r="A12381" t="str">
        <f>HYPERLINK("https://us2.cloudbeds.com/connect/10074733072513#/reservations/31720119685276?display=MX99J43XY&amp;reservation_id=31720119685276", "MX99J43XY")</f>
        <v>MX99J43XY</v>
      </c>
      <c r="B12381" t="s">
        <v>10</v>
      </c>
      <c r="C12381" t="s">
        <v>42</v>
      </c>
      <c r="D12381" t="str">
        <f>HYPERLINK("https://us2.cloudbeds.com/connect/10074733072513#/reservations/31720119685276?display=Logan%20Stiening&amp;reservation_id=31720119685276&amp;guest_id=31694836805795", "Logan Stiening")</f>
        <v>Logan Stiening</v>
      </c>
      <c r="E12381" t="s">
        <v>8358</v>
      </c>
      <c r="F12381" t="s">
        <v>11626</v>
      </c>
      <c r="G12381">
        <v>89</v>
      </c>
      <c r="H12381">
        <v>96.75</v>
      </c>
      <c r="I12381">
        <v>96.74</v>
      </c>
      <c r="J12381">
        <v>0.01</v>
      </c>
    </row>
    <row r="12382" spans="1:10" x14ac:dyDescent="0.3">
      <c r="A12382" t="str">
        <f>HYPERLINK("https://us2.cloudbeds.com/connect/10074733072513#/reservations/31701668110545?display=MHS038RPE&amp;reservation_id=31701668110545", "MHS038RPE")</f>
        <v>MHS038RPE</v>
      </c>
      <c r="B12382" t="s">
        <v>10</v>
      </c>
      <c r="C12382" t="s">
        <v>42</v>
      </c>
      <c r="D12382" t="str">
        <f>HYPERLINK("https://us2.cloudbeds.com/connect/10074733072513#/reservations/31701668110545?display=Joylnn%20Foster&amp;reservation_id=31701668110545&amp;guest_id=31701668106454", "Joylnn Foster")</f>
        <v>Joylnn Foster</v>
      </c>
      <c r="E12382" t="s">
        <v>11741</v>
      </c>
      <c r="F12382" t="s">
        <v>11742</v>
      </c>
      <c r="G12382">
        <v>159</v>
      </c>
      <c r="H12382">
        <v>172.84</v>
      </c>
      <c r="I12382">
        <v>172.83</v>
      </c>
      <c r="J12382">
        <v>0.01</v>
      </c>
    </row>
    <row r="12383" spans="1:10" x14ac:dyDescent="0.3">
      <c r="A12383" t="str">
        <f>HYPERLINK("https://us2.cloudbeds.com/connect/10074733072513#/reservations/31719896875204?display=MX93T82V9&amp;reservation_id=31719896875204", "MX93T82V9")</f>
        <v>MX93T82V9</v>
      </c>
      <c r="B12383" t="s">
        <v>10</v>
      </c>
      <c r="C12383" t="s">
        <v>23</v>
      </c>
      <c r="D12383" t="str">
        <f>HYPERLINK("https://us2.cloudbeds.com/connect/10074733072513#/reservations/31719896875204?display=Rebecca%20West&amp;reservation_id=31719896875204&amp;guest_id=31719896871119", "Rebecca West")</f>
        <v>Rebecca West</v>
      </c>
      <c r="E12383" t="s">
        <v>11746</v>
      </c>
      <c r="F12383" t="s">
        <v>11623</v>
      </c>
      <c r="G12383">
        <v>87.82</v>
      </c>
      <c r="H12383">
        <v>95.47</v>
      </c>
      <c r="I12383">
        <v>95.46</v>
      </c>
      <c r="J12383">
        <v>0.01</v>
      </c>
    </row>
    <row r="12384" spans="1:10" x14ac:dyDescent="0.3">
      <c r="A12384" t="str">
        <f>HYPERLINK("https://us2.cloudbeds.com/connect/10074733072513#/reservations/31721142296733?display=MXA2NDPNK&amp;reservation_id=31721142296733", "MXA2NDPNK")</f>
        <v>MXA2NDPNK</v>
      </c>
      <c r="B12384" t="s">
        <v>10</v>
      </c>
      <c r="C12384" t="s">
        <v>23</v>
      </c>
      <c r="D12384" t="str">
        <f>HYPERLINK("https://us2.cloudbeds.com/connect/10074733072513#/reservations/31721142296733?display=Alan%20Baskerville&amp;reservation_id=31721142296733&amp;guest_id=31721142292653", "Alan Baskerville")</f>
        <v>Alan Baskerville</v>
      </c>
      <c r="E12384" t="s">
        <v>11749</v>
      </c>
      <c r="F12384" t="s">
        <v>11518</v>
      </c>
      <c r="G12384">
        <v>169</v>
      </c>
      <c r="H12384">
        <v>183.71</v>
      </c>
      <c r="I12384">
        <v>183.7</v>
      </c>
      <c r="J12384">
        <v>0.01</v>
      </c>
    </row>
    <row r="12385" spans="1:10" x14ac:dyDescent="0.3">
      <c r="A12385" t="str">
        <f>HYPERLINK("https://us2.cloudbeds.com/connect/10074733072513#/reservations/31718610817254?display=MX840QKR8&amp;reservation_id=31718610817254", "MX840QKR8")</f>
        <v>MX840QKR8</v>
      </c>
      <c r="B12385" t="s">
        <v>10</v>
      </c>
      <c r="C12385" t="s">
        <v>23</v>
      </c>
      <c r="D12385" t="str">
        <f>HYPERLINK("https://us2.cloudbeds.com/connect/10074733072513#/reservations/31718610817254?display=Sarah%20Gatica&amp;reservation_id=31718610817254&amp;guest_id=31718599438542", "Sarah Gatica")</f>
        <v>Sarah Gatica</v>
      </c>
      <c r="E12385" t="s">
        <v>11752</v>
      </c>
      <c r="F12385" t="s">
        <v>11657</v>
      </c>
      <c r="G12385">
        <v>109</v>
      </c>
      <c r="H12385">
        <v>118.49</v>
      </c>
      <c r="I12385">
        <v>118.48</v>
      </c>
      <c r="J12385">
        <v>0.01</v>
      </c>
    </row>
    <row r="12386" spans="1:10" x14ac:dyDescent="0.3">
      <c r="A12386" t="str">
        <f>HYPERLINK("https://us2.cloudbeds.com/connect/10074733072513#/reservations/31720352809098?display=MX9FHN40T&amp;reservation_id=31720352809098", "MX9FHN40T")</f>
        <v>MX9FHN40T</v>
      </c>
      <c r="B12386" t="s">
        <v>10</v>
      </c>
      <c r="C12386" t="s">
        <v>23</v>
      </c>
      <c r="D12386" t="str">
        <f>HYPERLINK("https://us2.cloudbeds.com/connect/10074733072513#/reservations/31720352809098?display=Pam%20Shaffner&amp;reservation_id=31720352809098&amp;guest_id=31720352809096", "Pam Shaffner")</f>
        <v>Pam Shaffner</v>
      </c>
      <c r="E12386" t="s">
        <v>11753</v>
      </c>
      <c r="F12386" t="s">
        <v>11044</v>
      </c>
      <c r="G12386">
        <v>189</v>
      </c>
      <c r="H12386">
        <v>205.45</v>
      </c>
      <c r="I12386">
        <v>205.44</v>
      </c>
      <c r="J12386">
        <v>0.01</v>
      </c>
    </row>
    <row r="12387" spans="1:10" x14ac:dyDescent="0.3">
      <c r="A12387" t="str">
        <f>HYPERLINK("https://us2.cloudbeds.com/connect/10074733072513#/reservations/31717148864662?display=MX6WM1Y9X&amp;reservation_id=31717148864662", "MX6WM1Y9X")</f>
        <v>MX6WM1Y9X</v>
      </c>
      <c r="B12387" t="s">
        <v>10</v>
      </c>
      <c r="C12387" t="s">
        <v>42</v>
      </c>
      <c r="D12387" t="str">
        <f>HYPERLINK("https://us2.cloudbeds.com/connect/10074733072513#/reservations/31717148864662?display=Dave%20Mc%20Candless&amp;reservation_id=31717148864662&amp;guest_id=31717148864658", "Dave Mc Candless")</f>
        <v>Dave Mc Candless</v>
      </c>
      <c r="E12387" t="s">
        <v>3497</v>
      </c>
      <c r="F12387" t="s">
        <v>11618</v>
      </c>
      <c r="G12387">
        <v>89</v>
      </c>
      <c r="H12387">
        <v>96.75</v>
      </c>
      <c r="I12387">
        <v>96.74</v>
      </c>
      <c r="J12387">
        <v>0.01</v>
      </c>
    </row>
    <row r="12388" spans="1:10" x14ac:dyDescent="0.3">
      <c r="A12388" t="str">
        <f>HYPERLINK("https://us2.cloudbeds.com/connect/10074733072513#/reservations/31722024653012?display=MXAP8EY7M&amp;reservation_id=31722024653012", "MXAP8EY7M")</f>
        <v>MXAP8EY7M</v>
      </c>
      <c r="B12388" t="s">
        <v>10</v>
      </c>
      <c r="C12388" t="s">
        <v>121</v>
      </c>
      <c r="D12388" t="str">
        <f>HYPERLINK("https://us2.cloudbeds.com/connect/10074733072513#/reservations/31722024653012?display=German%20Varela%20Recinos&amp;reservation_id=31722024653012&amp;guest_id=31720089227465", "German Varela Recinos")</f>
        <v>German Varela Recinos</v>
      </c>
      <c r="E12388" t="s">
        <v>11524</v>
      </c>
      <c r="F12388" t="s">
        <v>11044</v>
      </c>
      <c r="G12388">
        <v>159</v>
      </c>
      <c r="H12388">
        <v>172.84</v>
      </c>
      <c r="I12388">
        <v>172.83</v>
      </c>
      <c r="J12388">
        <v>0.01</v>
      </c>
    </row>
    <row r="12389" spans="1:10" x14ac:dyDescent="0.3">
      <c r="A12389" t="str">
        <f>HYPERLINK("https://us2.cloudbeds.com/connect/10074733072513#/reservations/31720888139926?display=MX9T73G76&amp;reservation_id=31720888139926", "MX9T73G76")</f>
        <v>MX9T73G76</v>
      </c>
      <c r="B12389" t="s">
        <v>10</v>
      </c>
      <c r="C12389" t="s">
        <v>42</v>
      </c>
      <c r="D12389" t="str">
        <f>HYPERLINK("https://us2.cloudbeds.com/connect/10074733072513#/reservations/31720888139926?display=Cassandra%20Stark&amp;reservation_id=31720888139926&amp;guest_id=31720888139924", "Cassandra Stark")</f>
        <v>Cassandra Stark</v>
      </c>
      <c r="E12389" t="s">
        <v>11755</v>
      </c>
      <c r="F12389" t="s">
        <v>11460</v>
      </c>
      <c r="G12389">
        <v>159</v>
      </c>
      <c r="H12389">
        <v>172.84</v>
      </c>
      <c r="I12389">
        <v>172.83</v>
      </c>
      <c r="J12389">
        <v>0.01</v>
      </c>
    </row>
    <row r="12390" spans="1:10" x14ac:dyDescent="0.3">
      <c r="A12390" t="str">
        <f>HYPERLINK("https://us2.cloudbeds.com/connect/10074733072513#/reservations/31719484596417?display=MX8QBJR6N&amp;reservation_id=31719484596417", "MX8QBJR6N")</f>
        <v>MX8QBJR6N</v>
      </c>
      <c r="B12390" t="s">
        <v>10</v>
      </c>
      <c r="C12390" t="s">
        <v>23</v>
      </c>
      <c r="D12390" t="str">
        <f>HYPERLINK("https://us2.cloudbeds.com/connect/10074733072513#/reservations/31719484596417?display=Eric%20Sorensen&amp;reservation_id=31719484596417&amp;guest_id=31719484592322", "Eric Sorensen")</f>
        <v>Eric Sorensen</v>
      </c>
      <c r="E12390" t="s">
        <v>11756</v>
      </c>
      <c r="F12390" t="s">
        <v>11561</v>
      </c>
      <c r="G12390">
        <v>496</v>
      </c>
      <c r="H12390">
        <v>539.16</v>
      </c>
      <c r="I12390">
        <v>539.15</v>
      </c>
      <c r="J12390">
        <v>0.01</v>
      </c>
    </row>
    <row r="12391" spans="1:10" x14ac:dyDescent="0.3">
      <c r="A12391" t="str">
        <f>HYPERLINK("https://us2.cloudbeds.com/connect/10074733072513#/reservations/31721935618193?display=MXAMWC3TS&amp;reservation_id=31721935618193", "MXAMWC3TS")</f>
        <v>MXAMWC3TS</v>
      </c>
      <c r="B12391" t="s">
        <v>10</v>
      </c>
      <c r="C12391" t="s">
        <v>121</v>
      </c>
      <c r="D12391" t="str">
        <f>HYPERLINK("https://us2.cloudbeds.com/connect/10074733072513#/reservations/31721935618193?display=Anahi%20Perez%20Lopez&amp;reservation_id=31721935618193&amp;guest_id=31721935614099", "Anahi Perez Lopez")</f>
        <v>Anahi Perez Lopez</v>
      </c>
      <c r="E12391" t="s">
        <v>11758</v>
      </c>
      <c r="F12391" t="s">
        <v>11044</v>
      </c>
      <c r="G12391">
        <v>159</v>
      </c>
      <c r="H12391">
        <v>172.84</v>
      </c>
      <c r="I12391">
        <v>172.83</v>
      </c>
      <c r="J12391">
        <v>0.01</v>
      </c>
    </row>
    <row r="12392" spans="1:10" x14ac:dyDescent="0.3">
      <c r="A12392" t="str">
        <f>HYPERLINK("https://us2.cloudbeds.com/connect/10074733072513#/reservations/31713124561100?display=MX3SRYFCP&amp;reservation_id=31713124561100", "MX3SRYFCP")</f>
        <v>MX3SRYFCP</v>
      </c>
      <c r="B12392" t="s">
        <v>10</v>
      </c>
      <c r="C12392" t="s">
        <v>42</v>
      </c>
      <c r="D12392" t="str">
        <f>HYPERLINK("https://us2.cloudbeds.com/connect/10074733072513#/reservations/31713124561100?display=Brett%20Anderson&amp;reservation_id=31713124561100&amp;guest_id=31713117049074", "Brett Anderson")</f>
        <v>Brett Anderson</v>
      </c>
      <c r="E12392" t="s">
        <v>11760</v>
      </c>
      <c r="F12392" t="s">
        <v>9834</v>
      </c>
      <c r="G12392">
        <v>318</v>
      </c>
      <c r="H12392">
        <v>345.68</v>
      </c>
      <c r="I12392">
        <v>345.67</v>
      </c>
      <c r="J12392">
        <v>0.01</v>
      </c>
    </row>
    <row r="12393" spans="1:10" x14ac:dyDescent="0.3">
      <c r="A12393" t="str">
        <f>HYPERLINK("https://us2.cloudbeds.com/connect/10074733072513#/reservations/31718326210689?display=MX7TZR13T&amp;reservation_id=31718326210689", "MX7TZR13T")</f>
        <v>MX7TZR13T</v>
      </c>
      <c r="B12393" t="s">
        <v>10</v>
      </c>
      <c r="C12393" t="s">
        <v>42</v>
      </c>
      <c r="D12393" t="str">
        <f>HYPERLINK("https://us2.cloudbeds.com/connect/10074733072513#/reservations/31718326210689?display=Kenneth%20Engel&amp;reservation_id=31718326210689&amp;guest_id=31684594897075", "Kenneth Engel")</f>
        <v>Kenneth Engel</v>
      </c>
      <c r="E12393" t="s">
        <v>11761</v>
      </c>
      <c r="F12393" t="s">
        <v>11618</v>
      </c>
      <c r="G12393">
        <v>218</v>
      </c>
      <c r="H12393">
        <v>236.98</v>
      </c>
      <c r="I12393">
        <v>236.97</v>
      </c>
      <c r="J12393">
        <v>0.01</v>
      </c>
    </row>
    <row r="12394" spans="1:10" x14ac:dyDescent="0.3">
      <c r="A12394" t="str">
        <f>HYPERLINK("https://us2.cloudbeds.com/connect/10074733072513#/reservations/31716784369814?display=MX6NBN194&amp;reservation_id=31716784369814", "MX6NBN194")</f>
        <v>MX6NBN194</v>
      </c>
      <c r="B12394" t="s">
        <v>10</v>
      </c>
      <c r="C12394" t="s">
        <v>23</v>
      </c>
      <c r="D12394" t="str">
        <f>HYPERLINK("https://us2.cloudbeds.com/connect/10074733072513#/reservations/31716784369814?display=Christian%20Neldeberg&amp;reservation_id=31716784369814&amp;guest_id=31716784369810", "Christian Neldeberg")</f>
        <v>Christian Neldeberg</v>
      </c>
      <c r="E12394" t="s">
        <v>11762</v>
      </c>
      <c r="F12394" t="s">
        <v>10827</v>
      </c>
      <c r="G12394">
        <v>169</v>
      </c>
      <c r="H12394">
        <v>183.71</v>
      </c>
      <c r="I12394">
        <v>183.7</v>
      </c>
      <c r="J12394">
        <v>0.01</v>
      </c>
    </row>
    <row r="12395" spans="1:10" x14ac:dyDescent="0.3">
      <c r="A12395" t="str">
        <f>HYPERLINK("https://us2.cloudbeds.com/connect/10074733072513#/reservations/31713955762407?display=MX4H2HSY5&amp;reservation_id=31713955762407", "MX4H2HSY5")</f>
        <v>MX4H2HSY5</v>
      </c>
      <c r="B12395" t="s">
        <v>10</v>
      </c>
      <c r="C12395" t="s">
        <v>42</v>
      </c>
      <c r="D12395" t="str">
        <f>HYPERLINK("https://us2.cloudbeds.com/connect/10074733072513#/reservations/31713955762407?display=Coleton%20Riehle&amp;reservation_id=31713955762407&amp;guest_id=31713946386575", "Coleton Riehle")</f>
        <v>Coleton Riehle</v>
      </c>
      <c r="E12395" t="s">
        <v>11763</v>
      </c>
      <c r="F12395" t="s">
        <v>10750</v>
      </c>
      <c r="G12395">
        <v>318</v>
      </c>
      <c r="H12395">
        <v>345.68</v>
      </c>
      <c r="I12395">
        <v>345.67</v>
      </c>
      <c r="J12395">
        <v>0.01</v>
      </c>
    </row>
    <row r="12396" spans="1:10" x14ac:dyDescent="0.3">
      <c r="A12396" t="str">
        <f>HYPERLINK("https://us2.cloudbeds.com/connect/10074733072513#/reservations/31717178925219?display=MX70ED43H&amp;reservation_id=31717178925219", "MX70ED43H")</f>
        <v>MX70ED43H</v>
      </c>
      <c r="B12396" t="s">
        <v>10</v>
      </c>
      <c r="C12396" t="s">
        <v>121</v>
      </c>
      <c r="D12396" t="str">
        <f>HYPERLINK("https://us2.cloudbeds.com/connect/10074733072513#/reservations/31717178925219?display=Douglas%20J%20Throener&amp;reservation_id=31717178925219&amp;guest_id=31717168697548", "Douglas J Throener")</f>
        <v>Douglas J Throener</v>
      </c>
      <c r="E12396" t="s">
        <v>11766</v>
      </c>
      <c r="F12396" t="s">
        <v>11618</v>
      </c>
      <c r="G12396">
        <v>109</v>
      </c>
      <c r="H12396">
        <v>118.49</v>
      </c>
      <c r="I12396">
        <v>118.48</v>
      </c>
      <c r="J12396">
        <v>0.01</v>
      </c>
    </row>
    <row r="12397" spans="1:10" x14ac:dyDescent="0.3">
      <c r="A12397" t="str">
        <f>HYPERLINK("https://us2.cloudbeds.com/connect/10074733072513#/reservations/31719086178467?display=MX8G5Y8GG&amp;reservation_id=31719086178467", "MX8G5Y8GG")</f>
        <v>MX8G5Y8GG</v>
      </c>
      <c r="B12397" t="s">
        <v>10</v>
      </c>
      <c r="C12397" t="s">
        <v>42</v>
      </c>
      <c r="D12397" t="str">
        <f>HYPERLINK("https://us2.cloudbeds.com/connect/10074733072513#/reservations/31719086178467?display=Elly%20Feldewerth&amp;reservation_id=31719086178467&amp;guest_id=31719086178456", "Elly Feldewerth")</f>
        <v>Elly Feldewerth</v>
      </c>
      <c r="E12397" t="s">
        <v>11767</v>
      </c>
      <c r="F12397" t="s">
        <v>11768</v>
      </c>
      <c r="G12397">
        <v>218</v>
      </c>
      <c r="H12397">
        <v>236.98</v>
      </c>
      <c r="I12397">
        <v>236.97</v>
      </c>
      <c r="J12397">
        <v>0.01</v>
      </c>
    </row>
    <row r="12398" spans="1:10" x14ac:dyDescent="0.3">
      <c r="A12398" t="str">
        <f>HYPERLINK("https://us2.cloudbeds.com/connect/10074733072513#/reservations/31715543908524?display=MX5ZYNCC2&amp;reservation_id=31715543908524", "MX5ZYNCC2")</f>
        <v>MX5ZYNCC2</v>
      </c>
      <c r="B12398" t="s">
        <v>10</v>
      </c>
      <c r="C12398" t="s">
        <v>23</v>
      </c>
      <c r="D12398" t="str">
        <f>HYPERLINK("https://us2.cloudbeds.com/connect/10074733072513#/reservations/31715543908524?display=Cindy%20Obrien&amp;reservation_id=31715543908524&amp;guest_id=31715532751003", "Cindy Obrien")</f>
        <v>Cindy Obrien</v>
      </c>
      <c r="E12398" t="s">
        <v>5216</v>
      </c>
      <c r="F12398" t="s">
        <v>10695</v>
      </c>
      <c r="G12398">
        <v>398</v>
      </c>
      <c r="H12398">
        <v>432.64</v>
      </c>
      <c r="I12398">
        <v>432.63</v>
      </c>
      <c r="J12398">
        <v>0.01</v>
      </c>
    </row>
    <row r="12399" spans="1:10" x14ac:dyDescent="0.3">
      <c r="A12399" t="str">
        <f>HYPERLINK("https://us2.cloudbeds.com/connect/10074733072513#/reservations/31718621241542?display=MX849JJEB&amp;reservation_id=31718621241542", "MX849JJEB")</f>
        <v>MX849JJEB</v>
      </c>
      <c r="B12399" t="s">
        <v>10</v>
      </c>
      <c r="C12399" t="s">
        <v>42</v>
      </c>
      <c r="D12399" t="str">
        <f>HYPERLINK("https://us2.cloudbeds.com/connect/10074733072513#/reservations/31718621241542?display=Kevin%20Cozac&amp;reservation_id=31718621241542&amp;guest_id=31718621237464", "Kevin Cozac")</f>
        <v>Kevin Cozac</v>
      </c>
      <c r="E12399" t="s">
        <v>11772</v>
      </c>
      <c r="F12399" t="s">
        <v>11657</v>
      </c>
      <c r="G12399">
        <v>109</v>
      </c>
      <c r="H12399">
        <v>118.49</v>
      </c>
      <c r="I12399">
        <v>118.48</v>
      </c>
      <c r="J12399">
        <v>0.01</v>
      </c>
    </row>
    <row r="12400" spans="1:10" x14ac:dyDescent="0.3">
      <c r="A12400" t="str">
        <f>HYPERLINK("https://us2.cloudbeds.com/connect/10074733072513#/reservations/31721285451936?display=MXA6C49C2&amp;reservation_id=31721285451936", "MXA6C49C2")</f>
        <v>MXA6C49C2</v>
      </c>
      <c r="B12400" t="s">
        <v>10</v>
      </c>
      <c r="C12400" t="s">
        <v>23</v>
      </c>
      <c r="D12400" t="str">
        <f>HYPERLINK("https://us2.cloudbeds.com/connect/10074733072513#/reservations/31721285451936?display=Elizabeth%20Bergen&amp;reservation_id=31721285451936&amp;guest_id=31721285447838", "Elizabeth Bergen")</f>
        <v>Elizabeth Bergen</v>
      </c>
      <c r="E12400" t="s">
        <v>11773</v>
      </c>
      <c r="F12400" t="s">
        <v>11460</v>
      </c>
      <c r="G12400">
        <v>278</v>
      </c>
      <c r="H12400">
        <v>302.2</v>
      </c>
      <c r="I12400">
        <v>302.19</v>
      </c>
      <c r="J12400">
        <v>0.01</v>
      </c>
    </row>
    <row r="12401" spans="1:10" x14ac:dyDescent="0.3">
      <c r="A12401" t="str">
        <f>HYPERLINK("https://us2.cloudbeds.com/connect/10074733072513#/reservations/31722998866062?display=MXBH4UXD8&amp;reservation_id=31722998866062", "MXBH4UXD8")</f>
        <v>MXBH4UXD8</v>
      </c>
      <c r="B12401" t="s">
        <v>10</v>
      </c>
      <c r="C12401" t="s">
        <v>42</v>
      </c>
      <c r="D12401" t="str">
        <f>HYPERLINK("https://us2.cloudbeds.com/connect/10074733072513#/reservations/31722998866062?display=Michael%20Macintosh&amp;reservation_id=31722998866062&amp;guest_id=31722992996532", "Michael Macintosh")</f>
        <v>Michael Macintosh</v>
      </c>
      <c r="E12401" t="s">
        <v>11774</v>
      </c>
      <c r="F12401" t="s">
        <v>11727</v>
      </c>
      <c r="G12401">
        <v>198</v>
      </c>
      <c r="H12401">
        <v>215.24</v>
      </c>
      <c r="I12401">
        <v>215.23</v>
      </c>
      <c r="J12401">
        <v>0.01</v>
      </c>
    </row>
    <row r="12402" spans="1:10" x14ac:dyDescent="0.3">
      <c r="A12402" t="str">
        <f>HYPERLINK("https://us2.cloudbeds.com/connect/10074733072513#/reservations/31720953290898?display=MX9UT1DY2&amp;reservation_id=31720953290898", "MX9UT1DY2")</f>
        <v>MX9UT1DY2</v>
      </c>
      <c r="B12402" t="s">
        <v>10</v>
      </c>
      <c r="C12402" t="s">
        <v>23</v>
      </c>
      <c r="D12402" t="str">
        <f>HYPERLINK("https://us2.cloudbeds.com/connect/10074733072513#/reservations/31720953290898?display=Mark%20J%20Luhr&amp;reservation_id=31720953290898&amp;guest_id=31720942485691", "Mark J Luhr")</f>
        <v>Mark J Luhr</v>
      </c>
      <c r="E12402" t="s">
        <v>11775</v>
      </c>
      <c r="F12402" t="s">
        <v>11561</v>
      </c>
      <c r="G12402">
        <v>97.74</v>
      </c>
      <c r="H12402">
        <v>106.25</v>
      </c>
      <c r="I12402">
        <v>106.24</v>
      </c>
      <c r="J12402">
        <v>0.01</v>
      </c>
    </row>
    <row r="12403" spans="1:10" x14ac:dyDescent="0.3">
      <c r="A12403" t="str">
        <f>HYPERLINK("https://us2.cloudbeds.com/connect/10074733072513#/reservations/31718599434449?display=MX83Z6T9P&amp;reservation_id=31718599434449", "MX83Z6T9P")</f>
        <v>MX83Z6T9P</v>
      </c>
      <c r="B12403" t="s">
        <v>10</v>
      </c>
      <c r="C12403" t="s">
        <v>23</v>
      </c>
      <c r="D12403" t="str">
        <f>HYPERLINK("https://us2.cloudbeds.com/connect/10074733072513#/reservations/31718599434449?display=Chad%20Heckathorn&amp;reservation_id=31718599434449&amp;guest_id=31718595494044", "Chad Heckathorn")</f>
        <v>Chad Heckathorn</v>
      </c>
      <c r="E12403" t="s">
        <v>11776</v>
      </c>
      <c r="F12403" t="s">
        <v>11657</v>
      </c>
      <c r="G12403">
        <v>139</v>
      </c>
      <c r="H12403">
        <v>151.1</v>
      </c>
      <c r="I12403">
        <v>151.09</v>
      </c>
      <c r="J12403">
        <v>0.01</v>
      </c>
    </row>
    <row r="12404" spans="1:10" x14ac:dyDescent="0.3">
      <c r="A12404" t="str">
        <f>HYPERLINK("https://us2.cloudbeds.com/connect/10074733072513#/reservations/31718619222144?display=MX847TD3N&amp;reservation_id=31718619222144", "MX847TD3N")</f>
        <v>MX847TD3N</v>
      </c>
      <c r="B12404" t="s">
        <v>10</v>
      </c>
      <c r="C12404" t="s">
        <v>42</v>
      </c>
      <c r="D12404" t="str">
        <f>HYPERLINK("https://us2.cloudbeds.com/connect/10074733072513#/reservations/31718619222144?display=Roger%20Goodwin&amp;reservation_id=31718619222144&amp;guest_id=31718610821347", "Roger Goodwin")</f>
        <v>Roger Goodwin</v>
      </c>
      <c r="E12404" t="s">
        <v>11777</v>
      </c>
      <c r="F12404" t="s">
        <v>11657</v>
      </c>
      <c r="G12404">
        <v>109</v>
      </c>
      <c r="H12404">
        <v>118.49</v>
      </c>
      <c r="I12404">
        <v>118.48</v>
      </c>
      <c r="J12404">
        <v>0.01</v>
      </c>
    </row>
    <row r="12405" spans="1:10" x14ac:dyDescent="0.3">
      <c r="A12405" t="str">
        <f>HYPERLINK("https://us2.cloudbeds.com/connect/10074733072513#/reservations/31715984973995?display=MX62UKM5D&amp;reservation_id=31715984973995", "MX62UKM5D")</f>
        <v>MX62UKM5D</v>
      </c>
      <c r="B12405" t="s">
        <v>10</v>
      </c>
      <c r="C12405" t="s">
        <v>42</v>
      </c>
      <c r="D12405" t="str">
        <f>HYPERLINK("https://us2.cloudbeds.com/connect/10074733072513#/reservations/31715984973995?display=Chad%20Sewick&amp;reservation_id=31715984973995&amp;guest_id=31715973943445", "Chad Sewick")</f>
        <v>Chad Sewick</v>
      </c>
      <c r="E12405" t="s">
        <v>11778</v>
      </c>
      <c r="F12405" t="s">
        <v>10982</v>
      </c>
      <c r="G12405">
        <v>149</v>
      </c>
      <c r="H12405">
        <v>161.97</v>
      </c>
      <c r="I12405">
        <v>161.96</v>
      </c>
      <c r="J12405">
        <v>0.01</v>
      </c>
    </row>
    <row r="12406" spans="1:10" x14ac:dyDescent="0.3">
      <c r="A12406" t="str">
        <f>HYPERLINK("https://us2.cloudbeds.com/connect/10074733072513#/reservations/31718349050057?display=MX7UB2XTV&amp;reservation_id=31718349050057", "MX7UB2XTV")</f>
        <v>MX7UB2XTV</v>
      </c>
      <c r="B12406" t="s">
        <v>10</v>
      </c>
      <c r="C12406" t="s">
        <v>42</v>
      </c>
      <c r="D12406" t="str">
        <f>HYPERLINK("https://us2.cloudbeds.com/connect/10074733072513#/reservations/31718349050057?display=Adam%20Hull&amp;reservation_id=31718349050057&amp;guest_id=31702235377882", "Adam Hull")</f>
        <v>Adam Hull</v>
      </c>
      <c r="E12406" t="s">
        <v>6474</v>
      </c>
      <c r="F12406" t="s">
        <v>11618</v>
      </c>
      <c r="G12406">
        <v>73</v>
      </c>
      <c r="H12406">
        <v>79.36</v>
      </c>
      <c r="I12406">
        <v>79.349999999999994</v>
      </c>
      <c r="J12406">
        <v>0.01</v>
      </c>
    </row>
    <row r="12407" spans="1:10" x14ac:dyDescent="0.3">
      <c r="A12407" t="str">
        <f>HYPERLINK("https://us2.cloudbeds.com/connect/10074733072513#/reservations/31717890199785?display=MX7XK5CQ8&amp;reservation_id=31717890199785", "MX7XK5CQ8")</f>
        <v>MX7XK5CQ8</v>
      </c>
      <c r="B12407" t="s">
        <v>10</v>
      </c>
      <c r="C12407" t="s">
        <v>42</v>
      </c>
      <c r="D12407" t="str">
        <f>HYPERLINK("https://us2.cloudbeds.com/connect/10074733072513#/reservations/31717890199785?display=Melinda%20Harmelink&amp;reservation_id=31717890199785&amp;guest_id=31717890199783", "Melinda Harmelink")</f>
        <v>Melinda Harmelink</v>
      </c>
      <c r="E12407" t="s">
        <v>11779</v>
      </c>
      <c r="F12407" t="s">
        <v>10982</v>
      </c>
      <c r="G12407">
        <v>149</v>
      </c>
      <c r="H12407">
        <v>161.97</v>
      </c>
      <c r="I12407">
        <v>161.96</v>
      </c>
      <c r="J12407">
        <v>0.01</v>
      </c>
    </row>
    <row r="12408" spans="1:10" x14ac:dyDescent="0.3">
      <c r="A12408" t="str">
        <f>HYPERLINK("https://us2.cloudbeds.com/connect/10074733072513#/reservations/31716412678365?display=MX6DS95QT&amp;reservation_id=31716412678365", "MX6DS95QT")</f>
        <v>MX6DS95QT</v>
      </c>
      <c r="B12408" t="s">
        <v>10</v>
      </c>
      <c r="C12408" t="s">
        <v>42</v>
      </c>
      <c r="D12408" t="str">
        <f>HYPERLINK("https://us2.cloudbeds.com/connect/10074733072513#/reservations/31716412678365?display=Glenda%20Roepke&amp;reservation_id=31716412678365&amp;guest_id=31716412678349", "Glenda Roepke")</f>
        <v>Glenda Roepke</v>
      </c>
      <c r="E12408" t="s">
        <v>11780</v>
      </c>
      <c r="F12408" t="s">
        <v>11573</v>
      </c>
      <c r="G12408">
        <v>278</v>
      </c>
      <c r="H12408">
        <v>302.2</v>
      </c>
      <c r="I12408">
        <v>302.19</v>
      </c>
      <c r="J12408">
        <v>0.01</v>
      </c>
    </row>
    <row r="12409" spans="1:10" x14ac:dyDescent="0.3">
      <c r="A12409" t="str">
        <f>HYPERLINK("https://us2.cloudbeds.com/connect/10074733072513#/reservations/31713272828129?display=MX3WKM72P&amp;reservation_id=31713272828129", "MX3WKM72P")</f>
        <v>MX3WKM72P</v>
      </c>
      <c r="B12409" t="s">
        <v>10</v>
      </c>
      <c r="C12409" t="s">
        <v>23</v>
      </c>
      <c r="D12409" t="str">
        <f>HYPERLINK("https://us2.cloudbeds.com/connect/10074733072513#/reservations/31713272828129?display=Noah%20Maska&amp;reservation_id=31713272828129&amp;guest_id=31713272824023", "Noah Maska")</f>
        <v>Noah Maska</v>
      </c>
      <c r="E12409" t="s">
        <v>11781</v>
      </c>
      <c r="F12409" t="s">
        <v>10449</v>
      </c>
      <c r="G12409">
        <v>259</v>
      </c>
      <c r="H12409">
        <v>281.54000000000002</v>
      </c>
      <c r="I12409">
        <v>281.52999999999997</v>
      </c>
      <c r="J12409">
        <v>0.01</v>
      </c>
    </row>
    <row r="12410" spans="1:10" x14ac:dyDescent="0.3">
      <c r="A12410" t="str">
        <f>HYPERLINK("https://us2.cloudbeds.com/connect/10074733072513#/reservations/31715050430613?display=MX5C1JKJW&amp;reservation_id=31715050430613", "MX5C1JKJW")</f>
        <v>MX5C1JKJW</v>
      </c>
      <c r="B12410" t="s">
        <v>10</v>
      </c>
      <c r="C12410" t="s">
        <v>42</v>
      </c>
      <c r="D12410" t="str">
        <f>HYPERLINK("https://us2.cloudbeds.com/connect/10074733072513#/reservations/31715050430613?display=Abby%20Jorgensen&amp;reservation_id=31715050430613&amp;guest_id=31715050430610", "Abby Jorgensen")</f>
        <v>Abby Jorgensen</v>
      </c>
      <c r="E12410" t="s">
        <v>11782</v>
      </c>
      <c r="F12410" t="s">
        <v>11027</v>
      </c>
      <c r="G12410">
        <v>378</v>
      </c>
      <c r="H12410">
        <v>410.9</v>
      </c>
      <c r="I12410">
        <v>410.89</v>
      </c>
      <c r="J12410">
        <v>0.01</v>
      </c>
    </row>
    <row r="12411" spans="1:10" x14ac:dyDescent="0.3">
      <c r="A12411" t="str">
        <f>HYPERLINK("https://us2.cloudbeds.com/connect/10074733072513#/reservations/31721633312973?display=MXAF8F0WK&amp;reservation_id=31721633312973", "MXAF8F0WK")</f>
        <v>MXAF8F0WK</v>
      </c>
      <c r="B12411" t="s">
        <v>10</v>
      </c>
      <c r="C12411" t="s">
        <v>42</v>
      </c>
      <c r="D12411" t="str">
        <f>HYPERLINK("https://us2.cloudbeds.com/connect/10074733072513#/reservations/31721633312973?display=James%20Vandertie&amp;reservation_id=31721633312973&amp;guest_id=31721627705506", "James Vandertie")</f>
        <v>James Vandertie</v>
      </c>
      <c r="E12411" t="s">
        <v>10635</v>
      </c>
      <c r="F12411" t="s">
        <v>11196</v>
      </c>
      <c r="G12411">
        <v>331.2</v>
      </c>
      <c r="H12411">
        <v>360.02</v>
      </c>
      <c r="I12411">
        <v>360.01</v>
      </c>
      <c r="J12411">
        <v>0.01</v>
      </c>
    </row>
    <row r="12412" spans="1:10" x14ac:dyDescent="0.3">
      <c r="A12412" t="str">
        <f>HYPERLINK("https://us2.cloudbeds.com/connect/10074733072513#/reservations/31717207314630?display=MX715B3BN&amp;reservation_id=31717207314630", "MX715B3BN")</f>
        <v>MX715B3BN</v>
      </c>
      <c r="B12412" t="s">
        <v>10</v>
      </c>
      <c r="C12412" t="s">
        <v>42</v>
      </c>
      <c r="D12412" t="str">
        <f>HYPERLINK("https://us2.cloudbeds.com/connect/10074733072513#/reservations/31717207314630?display=Justin%20Fortine&amp;reservation_id=31717207314630&amp;guest_id=31691961192660", "Justin Fortine")</f>
        <v>Justin Fortine</v>
      </c>
      <c r="E12412" t="s">
        <v>9173</v>
      </c>
      <c r="F12412" t="s">
        <v>11618</v>
      </c>
      <c r="G12412">
        <v>73</v>
      </c>
      <c r="H12412">
        <v>79.36</v>
      </c>
      <c r="I12412">
        <v>79.349999999999994</v>
      </c>
      <c r="J12412">
        <v>0.01</v>
      </c>
    </row>
    <row r="12413" spans="1:10" x14ac:dyDescent="0.3">
      <c r="A12413" t="str">
        <f>HYPERLINK("https://us2.cloudbeds.com/connect/10074733072513#/reservations/31713826738317?display=MX4DPZJ78&amp;reservation_id=31713826738317", "MX4DPZJ78")</f>
        <v>MX4DPZJ78</v>
      </c>
      <c r="B12413" t="s">
        <v>10</v>
      </c>
      <c r="C12413" t="s">
        <v>42</v>
      </c>
      <c r="D12413" t="str">
        <f>HYPERLINK("https://us2.cloudbeds.com/connect/10074733072513#/reservations/31713826738317?display=Gabe%20Martinson&amp;reservation_id=31713826738317&amp;guest_id=31713826734232", "Gabe Martinson")</f>
        <v>Gabe Martinson</v>
      </c>
      <c r="E12413" t="s">
        <v>11783</v>
      </c>
      <c r="F12413" t="s">
        <v>10250</v>
      </c>
      <c r="G12413">
        <v>318</v>
      </c>
      <c r="H12413">
        <v>345.68</v>
      </c>
      <c r="I12413">
        <v>345.67</v>
      </c>
      <c r="J12413">
        <v>0.01</v>
      </c>
    </row>
    <row r="12414" spans="1:10" x14ac:dyDescent="0.3">
      <c r="A12414" t="str">
        <f>HYPERLINK("https://us2.cloudbeds.com/connect/10074733072513#/reservations/31713469264097?display=MX44YAB24&amp;reservation_id=31713469264097", "MX44YAB24")</f>
        <v>MX44YAB24</v>
      </c>
      <c r="B12414" t="s">
        <v>10</v>
      </c>
      <c r="C12414" t="s">
        <v>42</v>
      </c>
      <c r="D12414" t="str">
        <f>HYPERLINK("https://us2.cloudbeds.com/connect/10074733072513#/reservations/31713469264097?display=Joyce%20Sestak&amp;reservation_id=31713469264097&amp;guest_id=31713458004177", "Joyce Sestak")</f>
        <v>Joyce Sestak</v>
      </c>
      <c r="E12414" t="s">
        <v>11784</v>
      </c>
      <c r="F12414" t="s">
        <v>9834</v>
      </c>
      <c r="G12414">
        <v>318</v>
      </c>
      <c r="H12414">
        <v>345.68</v>
      </c>
      <c r="I12414">
        <v>345.67</v>
      </c>
      <c r="J12414">
        <v>0.01</v>
      </c>
    </row>
    <row r="12415" spans="1:10" x14ac:dyDescent="0.3">
      <c r="A12415" t="str">
        <f>HYPERLINK("https://us2.cloudbeds.com/connect/10074733072513#/reservations/31723054813431?display=MXBXJ3CD2&amp;reservation_id=31723054813431", "MXBXJ3CD2")</f>
        <v>MXBXJ3CD2</v>
      </c>
      <c r="B12415" t="s">
        <v>10</v>
      </c>
      <c r="C12415" t="s">
        <v>42</v>
      </c>
      <c r="D12415" t="str">
        <f>HYPERLINK("https://us2.cloudbeds.com/connect/10074733072513#/reservations/31723054813431?display=Joe%20Lueck&amp;reservation_id=31723054813431&amp;guest_id=31711496093945", "Joe Lueck")</f>
        <v>Joe Lueck</v>
      </c>
      <c r="E12415" t="s">
        <v>11785</v>
      </c>
      <c r="F12415" t="s">
        <v>11727</v>
      </c>
      <c r="G12415">
        <v>109</v>
      </c>
      <c r="H12415">
        <v>118.49</v>
      </c>
      <c r="I12415">
        <v>118.48</v>
      </c>
      <c r="J12415">
        <v>0.01</v>
      </c>
    </row>
    <row r="12416" spans="1:10" x14ac:dyDescent="0.3">
      <c r="A12416" t="str">
        <f>HYPERLINK("https://us2.cloudbeds.com/connect/10074733072513#/reservations/31711888527564?display=MX2U8D0C2&amp;reservation_id=31711888527564", "MX2U8D0C2")</f>
        <v>MX2U8D0C2</v>
      </c>
      <c r="B12416" t="s">
        <v>10</v>
      </c>
      <c r="C12416" t="s">
        <v>23</v>
      </c>
      <c r="D12416" t="str">
        <f>HYPERLINK("https://us2.cloudbeds.com/connect/10074733072513#/reservations/31711888527564?display=Jonie%20Mcfarlend&amp;reservation_id=31711888527564&amp;guest_id=31711888527562", "Jonie Mcfarlend")</f>
        <v>Jonie Mcfarlend</v>
      </c>
      <c r="E12416" t="s">
        <v>11786</v>
      </c>
      <c r="F12416" t="s">
        <v>11721</v>
      </c>
      <c r="G12416">
        <v>218</v>
      </c>
      <c r="H12416">
        <v>236.98</v>
      </c>
      <c r="I12416">
        <v>236.97</v>
      </c>
      <c r="J12416">
        <v>0.01</v>
      </c>
    </row>
    <row r="12417" spans="1:10" x14ac:dyDescent="0.3">
      <c r="A12417" t="str">
        <f>HYPERLINK("https://us2.cloudbeds.com/connect/10074733072513#/reservations/31721349128420?display=MXA7WR5QG&amp;reservation_id=31721349128420", "MXA7WR5QG")</f>
        <v>MXA7WR5QG</v>
      </c>
      <c r="B12417" t="s">
        <v>10</v>
      </c>
      <c r="C12417" t="s">
        <v>42</v>
      </c>
      <c r="D12417" t="str">
        <f>HYPERLINK("https://us2.cloudbeds.com/connect/10074733072513#/reservations/31721349128420?display=Martha%20Devries&amp;reservation_id=31721349128420&amp;guest_id=31721349128408", "Martha Devries")</f>
        <v>Martha Devries</v>
      </c>
      <c r="E12417" t="s">
        <v>5839</v>
      </c>
      <c r="F12417" t="s">
        <v>11787</v>
      </c>
      <c r="G12417">
        <v>89</v>
      </c>
      <c r="H12417">
        <v>96.75</v>
      </c>
      <c r="I12417">
        <v>96.74</v>
      </c>
      <c r="J12417">
        <v>0.01</v>
      </c>
    </row>
    <row r="12418" spans="1:10" x14ac:dyDescent="0.3">
      <c r="A12418" t="str">
        <f>HYPERLINK("https://us2.cloudbeds.com/connect/10074733072513#/reservations/31715700867279?display=MX5SM1WEW&amp;reservation_id=31715700867279", "MX5SM1WEW")</f>
        <v>MX5SM1WEW</v>
      </c>
      <c r="B12418" t="s">
        <v>10</v>
      </c>
      <c r="C12418" t="s">
        <v>23</v>
      </c>
      <c r="D12418" t="str">
        <f>HYPERLINK("https://us2.cloudbeds.com/connect/10074733072513#/reservations/31715700867279?display=Alex%20Kleitz&amp;reservation_id=31715700867279&amp;guest_id=31715693772962", "Alex Kleitz")</f>
        <v>Alex Kleitz</v>
      </c>
      <c r="E12418" t="s">
        <v>11788</v>
      </c>
      <c r="F12418" t="s">
        <v>11485</v>
      </c>
      <c r="G12418">
        <v>169</v>
      </c>
      <c r="H12418">
        <v>183.71</v>
      </c>
      <c r="I12418">
        <v>183.7</v>
      </c>
      <c r="J12418">
        <v>0.01</v>
      </c>
    </row>
    <row r="12419" spans="1:10" x14ac:dyDescent="0.3">
      <c r="A12419" t="str">
        <f>HYPERLINK("https://us2.cloudbeds.com/connect/10074733072513#/reservations/31724962099400?display=MXD1ACDRJ&amp;reservation_id=31724962099400", "MXD1ACDRJ")</f>
        <v>MXD1ACDRJ</v>
      </c>
      <c r="B12419" t="s">
        <v>10</v>
      </c>
      <c r="C12419" t="s">
        <v>23</v>
      </c>
      <c r="D12419" t="str">
        <f>HYPERLINK("https://us2.cloudbeds.com/connect/10074733072513#/reservations/31724962099400?display=Angela%20Kreiman&amp;reservation_id=31724962099400&amp;guest_id=31724962095353", "Angela Kreiman")</f>
        <v>Angela Kreiman</v>
      </c>
      <c r="E12419" t="s">
        <v>11789</v>
      </c>
      <c r="F12419" t="s">
        <v>11546</v>
      </c>
      <c r="G12419">
        <v>139</v>
      </c>
      <c r="H12419">
        <v>151.1</v>
      </c>
      <c r="I12419">
        <v>151.09</v>
      </c>
      <c r="J12419">
        <v>0.01</v>
      </c>
    </row>
    <row r="12420" spans="1:10" x14ac:dyDescent="0.3">
      <c r="A12420" t="str">
        <f>HYPERLINK("https://us2.cloudbeds.com/connect/10074733072513#/reservations/31721364938959?display=MXA8D546Z&amp;reservation_id=31721364938959", "MXA8D546Z")</f>
        <v>MXA8D546Z</v>
      </c>
      <c r="B12420" t="s">
        <v>10</v>
      </c>
      <c r="C12420" t="s">
        <v>42</v>
      </c>
      <c r="D12420" t="str">
        <f>HYPERLINK("https://us2.cloudbeds.com/connect/10074733072513#/reservations/31721364938959?display=Robert%20Menzel&amp;reservation_id=31721364938959&amp;guest_id=17963378917529", "Robert Menzel")</f>
        <v>Robert Menzel</v>
      </c>
      <c r="E12420" t="s">
        <v>11790</v>
      </c>
      <c r="F12420" t="s">
        <v>11787</v>
      </c>
      <c r="G12420">
        <v>119</v>
      </c>
      <c r="H12420">
        <v>129.36000000000001</v>
      </c>
      <c r="I12420">
        <v>129.35</v>
      </c>
      <c r="J12420">
        <v>0.01</v>
      </c>
    </row>
    <row r="12421" spans="1:10" x14ac:dyDescent="0.3">
      <c r="A12421" t="str">
        <f>HYPERLINK("https://us2.cloudbeds.com/connect/10074733072513#/reservations/31719334658182?display=MX8MH5XSR&amp;reservation_id=31719334658182", "MX8MH5XSR")</f>
        <v>MX8MH5XSR</v>
      </c>
      <c r="B12421" t="s">
        <v>10</v>
      </c>
      <c r="C12421" t="s">
        <v>42</v>
      </c>
      <c r="D12421" t="str">
        <f>HYPERLINK("https://us2.cloudbeds.com/connect/10074733072513#/reservations/31719334658182?display=Kirk%20Brown&amp;reservation_id=31719334658182&amp;guest_id=31719334658180", "Kirk Brown")</f>
        <v>Kirk Brown</v>
      </c>
      <c r="E12421" t="s">
        <v>11792</v>
      </c>
      <c r="F12421" t="s">
        <v>11561</v>
      </c>
      <c r="G12421">
        <v>149</v>
      </c>
      <c r="H12421">
        <v>161.97</v>
      </c>
      <c r="I12421">
        <v>161.96</v>
      </c>
      <c r="J12421">
        <v>0.01</v>
      </c>
    </row>
    <row r="12422" spans="1:10" x14ac:dyDescent="0.3">
      <c r="A12422" t="str">
        <f>HYPERLINK("https://us2.cloudbeds.com/connect/10074733072513#/reservations/31719328714988?display=MX8MC56D1&amp;reservation_id=31719328714988", "MX8MC56D1")</f>
        <v>MX8MC56D1</v>
      </c>
      <c r="B12422" t="s">
        <v>10</v>
      </c>
      <c r="C12422" t="s">
        <v>23</v>
      </c>
      <c r="D12422" t="str">
        <f>HYPERLINK("https://us2.cloudbeds.com/connect/10074733072513#/reservations/31719328714988?display=Jesse%20Holte&amp;reservation_id=31719328714988&amp;guest_id=31688125575350", "Jesse Holte")</f>
        <v>Jesse Holte</v>
      </c>
      <c r="E12422" t="s">
        <v>8016</v>
      </c>
      <c r="F12422" t="s">
        <v>11561</v>
      </c>
      <c r="G12422">
        <v>169</v>
      </c>
      <c r="H12422">
        <v>183.71</v>
      </c>
      <c r="I12422">
        <v>183.7</v>
      </c>
      <c r="J12422">
        <v>0.01</v>
      </c>
    </row>
    <row r="12423" spans="1:10" x14ac:dyDescent="0.3">
      <c r="A12423" t="str">
        <f>HYPERLINK("https://us2.cloudbeds.com/connect/10074733072513#/reservations/31720953294995?display=MX9UT1HD7&amp;reservation_id=31720953294995", "MX9UT1HD7")</f>
        <v>MX9UT1HD7</v>
      </c>
      <c r="B12423" t="s">
        <v>10</v>
      </c>
      <c r="C12423" t="s">
        <v>42</v>
      </c>
      <c r="D12423" t="str">
        <f>HYPERLINK("https://us2.cloudbeds.com/connect/10074733072513#/reservations/31720953294995?display=Cameron%20Wyly&amp;reservation_id=31720953294995&amp;guest_id=31676340576486", "Cameron Wyly")</f>
        <v>Cameron Wyly</v>
      </c>
      <c r="E12423" t="s">
        <v>5570</v>
      </c>
      <c r="F12423" t="s">
        <v>11561</v>
      </c>
      <c r="G12423">
        <v>178</v>
      </c>
      <c r="H12423">
        <v>193.5</v>
      </c>
      <c r="I12423">
        <v>193.49</v>
      </c>
      <c r="J12423">
        <v>0.01</v>
      </c>
    </row>
    <row r="12424" spans="1:10" x14ac:dyDescent="0.3">
      <c r="A12424" t="str">
        <f>HYPERLINK("https://us2.cloudbeds.com/connect/10074733072513#/reservations/31718276493445?display=MX7SFTJ2Z&amp;reservation_id=31718276493445", "MX7SFTJ2Z")</f>
        <v>MX7SFTJ2Z</v>
      </c>
      <c r="B12424" t="s">
        <v>10</v>
      </c>
      <c r="C12424" t="s">
        <v>121</v>
      </c>
      <c r="D12424" t="str">
        <f>HYPERLINK("https://us2.cloudbeds.com/connect/10074733072513#/reservations/31718276493445?display=Kimberly%20Sanchez&amp;reservation_id=31718276493445&amp;guest_id=31714907074754", "Kimberly Sanchez")</f>
        <v>Kimberly Sanchez</v>
      </c>
      <c r="E12424" t="s">
        <v>11794</v>
      </c>
      <c r="F12424" t="s">
        <v>11727</v>
      </c>
      <c r="G12424">
        <v>73</v>
      </c>
      <c r="H12424">
        <v>79.36</v>
      </c>
      <c r="I12424">
        <v>79.349999999999994</v>
      </c>
      <c r="J12424">
        <v>0.01</v>
      </c>
    </row>
    <row r="12425" spans="1:10" x14ac:dyDescent="0.3">
      <c r="A12425" t="str">
        <f>HYPERLINK("https://us2.cloudbeds.com/connect/10074733072513#/reservations/31719044919453?display=MX8F3S5EB&amp;reservation_id=31719044919453", "MX8F3S5EB")</f>
        <v>MX8F3S5EB</v>
      </c>
      <c r="B12425" t="s">
        <v>10</v>
      </c>
      <c r="C12425" t="s">
        <v>42</v>
      </c>
      <c r="D12425" t="str">
        <f>HYPERLINK("https://us2.cloudbeds.com/connect/10074733072513#/reservations/31719044919453?display=Chad%20Fleer&amp;reservation_id=31719044919453&amp;guest_id=31719039115516", "Chad Fleer")</f>
        <v>Chad Fleer</v>
      </c>
      <c r="E12425" t="s">
        <v>9575</v>
      </c>
      <c r="F12425" t="s">
        <v>11691</v>
      </c>
      <c r="G12425">
        <v>109</v>
      </c>
      <c r="H12425">
        <v>118.49</v>
      </c>
      <c r="I12425">
        <v>118.48</v>
      </c>
      <c r="J12425">
        <v>0.01</v>
      </c>
    </row>
    <row r="12426" spans="1:10" x14ac:dyDescent="0.3">
      <c r="A12426" t="str">
        <f>HYPERLINK("https://us2.cloudbeds.com/connect/10074733072513#/reservations/31719320584338?display=MX8M59V7N&amp;reservation_id=31719320584338", "MX8M59V7N")</f>
        <v>MX8M59V7N</v>
      </c>
      <c r="B12426" t="s">
        <v>10</v>
      </c>
      <c r="C12426" t="s">
        <v>42</v>
      </c>
      <c r="D12426" t="str">
        <f>HYPERLINK("https://us2.cloudbeds.com/connect/10074733072513#/reservations/31719320584338?display=Connie%20Hohn&amp;reservation_id=31719320584338&amp;guest_id=31719316025528", "Connie Hohn")</f>
        <v>Connie Hohn</v>
      </c>
      <c r="E12426" t="s">
        <v>11798</v>
      </c>
      <c r="F12426" t="s">
        <v>11561</v>
      </c>
      <c r="G12426">
        <v>139</v>
      </c>
      <c r="H12426">
        <v>151.1</v>
      </c>
      <c r="I12426">
        <v>151.09</v>
      </c>
      <c r="J12426">
        <v>0.01</v>
      </c>
    </row>
    <row r="12427" spans="1:10" x14ac:dyDescent="0.3">
      <c r="A12427" t="str">
        <f>HYPERLINK("https://us2.cloudbeds.com/connect/10074733072513#/reservations/31722670514318?display=MXB8P1MYD&amp;reservation_id=31722670514318", "MXB8P1MYD")</f>
        <v>MXB8P1MYD</v>
      </c>
      <c r="B12427" t="s">
        <v>10</v>
      </c>
      <c r="C12427" t="s">
        <v>42</v>
      </c>
      <c r="D12427" t="str">
        <f>HYPERLINK("https://us2.cloudbeds.com/connect/10074733072513#/reservations/31722670514318?display=Alyssa%20Sauvageau&amp;reservation_id=31722670514318&amp;guest_id=31722670514313", "Alyssa Sauvageau")</f>
        <v>Alyssa Sauvageau</v>
      </c>
      <c r="E12427" t="s">
        <v>11799</v>
      </c>
      <c r="F12427" t="s">
        <v>11768</v>
      </c>
      <c r="G12427">
        <v>73</v>
      </c>
      <c r="H12427">
        <v>79.36</v>
      </c>
      <c r="I12427">
        <v>79.349999999999994</v>
      </c>
      <c r="J12427">
        <v>0.01</v>
      </c>
    </row>
    <row r="12428" spans="1:10" x14ac:dyDescent="0.3">
      <c r="A12428" t="str">
        <f>HYPERLINK("https://us2.cloudbeds.com/connect/10074733072513#/reservations/31719253192860?display=MX8KEFMDN&amp;reservation_id=31719253192860", "MX8KEFMDN")</f>
        <v>MX8KEFMDN</v>
      </c>
      <c r="B12428" t="s">
        <v>10</v>
      </c>
      <c r="C12428" t="s">
        <v>42</v>
      </c>
      <c r="D12428" t="str">
        <f>HYPERLINK("https://us2.cloudbeds.com/connect/10074733072513#/reservations/31719253192860?display=Julie%20Brunsvold&amp;reservation_id=31719253192860&amp;guest_id=31719253192849", "Julie Brunsvold")</f>
        <v>Julie Brunsvold</v>
      </c>
      <c r="E12428" t="s">
        <v>11801</v>
      </c>
      <c r="F12428" t="s">
        <v>11516</v>
      </c>
      <c r="G12428">
        <v>169</v>
      </c>
      <c r="H12428">
        <v>183.71</v>
      </c>
      <c r="I12428">
        <v>183.7</v>
      </c>
      <c r="J12428">
        <v>0.01</v>
      </c>
    </row>
    <row r="12429" spans="1:10" x14ac:dyDescent="0.3">
      <c r="A12429" t="str">
        <f>HYPERLINK("https://us2.cloudbeds.com/connect/10074733072513#/reservations/31718081974475?display=MX7NGSQEG&amp;reservation_id=31718081974475", "MX7NGSQEG")</f>
        <v>MX7NGSQEG</v>
      </c>
      <c r="B12429" t="s">
        <v>10</v>
      </c>
      <c r="C12429" t="s">
        <v>42</v>
      </c>
      <c r="D12429" t="str">
        <f>HYPERLINK("https://us2.cloudbeds.com/connect/10074733072513#/reservations/31718081974475?display=Dennis%20Stabe&amp;reservation_id=31718081974475&amp;guest_id=31718081970427", "Dennis Stabe")</f>
        <v>Dennis Stabe</v>
      </c>
      <c r="E12429" t="s">
        <v>11802</v>
      </c>
      <c r="F12429" t="s">
        <v>11573</v>
      </c>
      <c r="G12429">
        <v>139</v>
      </c>
      <c r="H12429">
        <v>151.1</v>
      </c>
      <c r="I12429">
        <v>151.09</v>
      </c>
      <c r="J12429">
        <v>0.01</v>
      </c>
    </row>
    <row r="12430" spans="1:10" x14ac:dyDescent="0.3">
      <c r="A12430" t="str">
        <f>HYPERLINK("https://us2.cloudbeds.com/connect/10074733072513#/reservations/31720973856959?display=MX9VDCMU1&amp;reservation_id=31720973856959", "MX9VDCMU1")</f>
        <v>MX9VDCMU1</v>
      </c>
      <c r="B12430" t="s">
        <v>10</v>
      </c>
      <c r="C12430" t="s">
        <v>42</v>
      </c>
      <c r="D12430" t="str">
        <f>HYPERLINK("https://us2.cloudbeds.com/connect/10074733072513#/reservations/31720973856959?display=Mavis%20Walton&amp;reservation_id=31720973856959&amp;guest_id=31720973856907", "Mavis Walton")</f>
        <v>Mavis Walton</v>
      </c>
      <c r="E12430" t="s">
        <v>11804</v>
      </c>
      <c r="F12430" t="s">
        <v>11561</v>
      </c>
      <c r="G12430">
        <v>139</v>
      </c>
      <c r="H12430">
        <v>151.1</v>
      </c>
      <c r="I12430">
        <v>151.09</v>
      </c>
      <c r="J12430">
        <v>0.01</v>
      </c>
    </row>
    <row r="12431" spans="1:10" x14ac:dyDescent="0.3">
      <c r="A12431" t="str">
        <f>HYPERLINK("https://us2.cloudbeds.com/connect/10074733072513#/reservations/31716898234571?display=MX6Q8NG9A&amp;reservation_id=31716898234571", "MX6Q8NG9A")</f>
        <v>MX6Q8NG9A</v>
      </c>
      <c r="B12431" t="s">
        <v>10</v>
      </c>
      <c r="C12431" t="s">
        <v>42</v>
      </c>
      <c r="D12431" t="str">
        <f>HYPERLINK("https://us2.cloudbeds.com/connect/10074733072513#/reservations/31716898234571?display=Dale%20Dorrell&amp;reservation_id=31716898234571&amp;guest_id=31716891357346", "Dale Dorrell")</f>
        <v>Dale Dorrell</v>
      </c>
      <c r="E12431" t="s">
        <v>11805</v>
      </c>
      <c r="F12431" t="s">
        <v>11691</v>
      </c>
      <c r="G12431">
        <v>218</v>
      </c>
      <c r="H12431">
        <v>236.98</v>
      </c>
      <c r="I12431">
        <v>236.97</v>
      </c>
      <c r="J12431">
        <v>0.01</v>
      </c>
    </row>
    <row r="12432" spans="1:10" x14ac:dyDescent="0.3">
      <c r="A12432" t="str">
        <f>HYPERLINK("https://us2.cloudbeds.com/connect/10074733072513#/reservations/31719358288024?display=MX8N433HY&amp;reservation_id=31719358288024", "MX8N433HY")</f>
        <v>MX8N433HY</v>
      </c>
      <c r="B12432" t="s">
        <v>10</v>
      </c>
      <c r="C12432" t="s">
        <v>42</v>
      </c>
      <c r="D12432" t="str">
        <f>HYPERLINK("https://us2.cloudbeds.com/connect/10074733072513#/reservations/31719358288024?display=Ian%20Jacobsen&amp;reservation_id=31719358288024&amp;guest_id=31719358283930", "Ian Jacobsen")</f>
        <v>Ian Jacobsen</v>
      </c>
      <c r="E12432" t="s">
        <v>11806</v>
      </c>
      <c r="F12432" t="s">
        <v>11561</v>
      </c>
      <c r="G12432">
        <v>298</v>
      </c>
      <c r="H12432">
        <v>323.94</v>
      </c>
      <c r="I12432">
        <v>323.93</v>
      </c>
      <c r="J12432">
        <v>0.01</v>
      </c>
    </row>
    <row r="12433" spans="1:10" x14ac:dyDescent="0.3">
      <c r="A12433" t="str">
        <f>HYPERLINK("https://us2.cloudbeds.com/connect/10074733072513#/reservations/31719563665609?display=MX8SC91BR&amp;reservation_id=31719563665609", "MX8SC91BR")</f>
        <v>MX8SC91BR</v>
      </c>
      <c r="B12433" t="s">
        <v>10</v>
      </c>
      <c r="C12433" t="s">
        <v>42</v>
      </c>
      <c r="D12433" t="str">
        <f>HYPERLINK("https://us2.cloudbeds.com/connect/10074733072513#/reservations/31719563665609?display=Krin%20Rykhus&amp;reservation_id=31719563665609&amp;guest_id=31719563661518", "Krin Rykhus")</f>
        <v>Krin Rykhus</v>
      </c>
      <c r="E12433" t="s">
        <v>11807</v>
      </c>
      <c r="F12433" t="s">
        <v>11561</v>
      </c>
      <c r="G12433">
        <v>139</v>
      </c>
      <c r="H12433">
        <v>151.1</v>
      </c>
      <c r="I12433">
        <v>151.09</v>
      </c>
      <c r="J12433">
        <v>0.01</v>
      </c>
    </row>
    <row r="12434" spans="1:10" x14ac:dyDescent="0.3">
      <c r="A12434" t="str">
        <f>HYPERLINK("https://us2.cloudbeds.com/connect/10074733072513#/reservations/31719352352903?display=MX8MW2VFG&amp;reservation_id=31719352352903", "MX8MW2VFG")</f>
        <v>MX8MW2VFG</v>
      </c>
      <c r="B12434" t="s">
        <v>10</v>
      </c>
      <c r="C12434" t="s">
        <v>23</v>
      </c>
      <c r="D12434" t="str">
        <f>HYPERLINK("https://us2.cloudbeds.com/connect/10074733072513#/reservations/31719352352903?display=Terrance%20Williams&amp;reservation_id=31719352352903&amp;guest_id=31719352352901", "Terrance Williams")</f>
        <v>Terrance Williams</v>
      </c>
      <c r="E12434" t="s">
        <v>11808</v>
      </c>
      <c r="F12434" t="s">
        <v>11561</v>
      </c>
      <c r="G12434">
        <v>159</v>
      </c>
      <c r="H12434">
        <v>172.84</v>
      </c>
      <c r="I12434">
        <v>172.83</v>
      </c>
      <c r="J12434">
        <v>0.01</v>
      </c>
    </row>
    <row r="12435" spans="1:10" x14ac:dyDescent="0.3">
      <c r="A12435" t="str">
        <f>HYPERLINK("https://us2.cloudbeds.com/connect/10074733072513#/reservations/31721015656617?display=MX9WFKREB&amp;reservation_id=31721015656617", "MX9WFKREB")</f>
        <v>MX9WFKREB</v>
      </c>
      <c r="B12435" t="s">
        <v>10</v>
      </c>
      <c r="C12435" t="s">
        <v>121</v>
      </c>
      <c r="D12435" t="str">
        <f>HYPERLINK("https://us2.cloudbeds.com/connect/10074733072513#/reservations/31721015656617?display=James%20Morales&amp;reservation_id=31721015656617&amp;guest_id=31721004146898", "James Morales")</f>
        <v>James Morales</v>
      </c>
      <c r="E12435" t="s">
        <v>11809</v>
      </c>
      <c r="F12435" t="s">
        <v>11691</v>
      </c>
      <c r="G12435">
        <v>109</v>
      </c>
      <c r="H12435">
        <v>118.49</v>
      </c>
      <c r="I12435">
        <v>118.48</v>
      </c>
      <c r="J12435">
        <v>0.01</v>
      </c>
    </row>
    <row r="12436" spans="1:10" x14ac:dyDescent="0.3">
      <c r="A12436" t="str">
        <f>HYPERLINK("https://us2.cloudbeds.com/connect/10074733072513#/reservations/31719572742303?display=MX8SJUK85&amp;reservation_id=31719572742303", "MX8SJUK85")</f>
        <v>MX8SJUK85</v>
      </c>
      <c r="B12436" t="s">
        <v>10</v>
      </c>
      <c r="C12436" t="s">
        <v>42</v>
      </c>
      <c r="D12436" t="str">
        <f>HYPERLINK("https://us2.cloudbeds.com/connect/10074733072513#/reservations/31719572742303?display=Ian%20Jacobsen&amp;reservation_id=31719572742303&amp;guest_id=31719358283930", "Ian Jacobsen")</f>
        <v>Ian Jacobsen</v>
      </c>
      <c r="E12436" t="s">
        <v>11806</v>
      </c>
      <c r="F12436" t="s">
        <v>11561</v>
      </c>
      <c r="G12436">
        <v>298</v>
      </c>
      <c r="H12436">
        <v>323.94</v>
      </c>
      <c r="I12436">
        <v>323.93</v>
      </c>
      <c r="J12436">
        <v>0.01</v>
      </c>
    </row>
    <row r="12437" spans="1:10" x14ac:dyDescent="0.3">
      <c r="A12437" t="str">
        <f>HYPERLINK("https://us2.cloudbeds.com/connect/10074733072513#/reservations/31715745833181?display=MX5TQW7F2&amp;reservation_id=31715745833181", "MX5TQW7F2")</f>
        <v>MX5TQW7F2</v>
      </c>
      <c r="B12437" t="s">
        <v>10</v>
      </c>
      <c r="C12437" t="s">
        <v>42</v>
      </c>
      <c r="D12437" t="str">
        <f>HYPERLINK("https://us2.cloudbeds.com/connect/10074733072513#/reservations/31715745833181?display=Courtney%20Larson&amp;reservation_id=31715745833181&amp;guest_id=31715745833176", "Courtney Larson")</f>
        <v>Courtney Larson</v>
      </c>
      <c r="E12437" t="s">
        <v>11810</v>
      </c>
      <c r="F12437" t="s">
        <v>10750</v>
      </c>
      <c r="G12437">
        <v>159</v>
      </c>
      <c r="H12437">
        <v>172.84</v>
      </c>
      <c r="I12437">
        <v>172.83</v>
      </c>
      <c r="J12437">
        <v>0.01</v>
      </c>
    </row>
    <row r="12438" spans="1:10" x14ac:dyDescent="0.3">
      <c r="A12438" t="str">
        <f>HYPERLINK("https://us2.cloudbeds.com/connect/10074733072513#/reservations/31721207234785?display=MXA4C5PKC&amp;reservation_id=31721207234785", "MXA4C5PKC")</f>
        <v>MXA4C5PKC</v>
      </c>
      <c r="B12438" t="s">
        <v>10</v>
      </c>
      <c r="C12438" t="s">
        <v>23</v>
      </c>
      <c r="D12438" t="str">
        <f>HYPERLINK("https://us2.cloudbeds.com/connect/10074733072513#/reservations/31721207234785?display=Breanna%20Miller&amp;reservation_id=31721207234785&amp;guest_id=31721207234782", "Breanna Miller")</f>
        <v>Breanna Miller</v>
      </c>
      <c r="E12438" t="s">
        <v>11811</v>
      </c>
      <c r="F12438" t="s">
        <v>11460</v>
      </c>
      <c r="G12438">
        <v>139</v>
      </c>
      <c r="H12438">
        <v>151.1</v>
      </c>
      <c r="I12438">
        <v>151.09</v>
      </c>
      <c r="J12438">
        <v>0.01</v>
      </c>
    </row>
    <row r="12439" spans="1:10" x14ac:dyDescent="0.3">
      <c r="A12439" t="str">
        <f>HYPERLINK("https://us2.cloudbeds.com/connect/10074733072513#/reservations/31721270091953?display=MXA5W5SN1&amp;reservation_id=31721270091953", "MXA5W5SN1")</f>
        <v>MXA5W5SN1</v>
      </c>
      <c r="B12439" t="s">
        <v>10</v>
      </c>
      <c r="C12439" t="s">
        <v>23</v>
      </c>
      <c r="D12439" t="str">
        <f>HYPERLINK("https://us2.cloudbeds.com/connect/10074733072513#/reservations/31721270091953?display=Amanda%20Bennett&amp;reservation_id=31721270091953&amp;guest_id=31721257677016", "Amanda Bennett")</f>
        <v>Amanda Bennett</v>
      </c>
      <c r="E12439" t="s">
        <v>11812</v>
      </c>
      <c r="F12439" t="s">
        <v>11460</v>
      </c>
      <c r="G12439">
        <v>102.58</v>
      </c>
      <c r="H12439">
        <v>111.51</v>
      </c>
      <c r="I12439">
        <v>111.5</v>
      </c>
      <c r="J12439">
        <v>0.01</v>
      </c>
    </row>
    <row r="12440" spans="1:10" x14ac:dyDescent="0.3">
      <c r="A12440" t="str">
        <f>HYPERLINK("https://us2.cloudbeds.com/connect/10074733072513#/reservations/31719307821281?display=MX8YRHQ8D&amp;reservation_id=31719307821281", "MX8YRHQ8D")</f>
        <v>MX8YRHQ8D</v>
      </c>
      <c r="B12440" t="s">
        <v>10</v>
      </c>
      <c r="C12440" t="s">
        <v>23</v>
      </c>
      <c r="D12440" t="str">
        <f>HYPERLINK("https://us2.cloudbeds.com/connect/10074733072513#/reservations/31719307821281?display=Meleah%20Thoreson&amp;reservation_id=31719307821281&amp;guest_id=31719307817187", "Meleah Thoreson")</f>
        <v>Meleah Thoreson</v>
      </c>
      <c r="E12440" t="s">
        <v>11813</v>
      </c>
      <c r="F12440" t="s">
        <v>11561</v>
      </c>
      <c r="G12440">
        <v>97.74</v>
      </c>
      <c r="H12440">
        <v>106.25</v>
      </c>
      <c r="I12440">
        <v>106.24</v>
      </c>
      <c r="J12440">
        <v>0.01</v>
      </c>
    </row>
    <row r="12441" spans="1:10" x14ac:dyDescent="0.3">
      <c r="A12441" t="str">
        <f>HYPERLINK("https://us2.cloudbeds.com/connect/10074733072513#/reservations/31718414758066?display=MX7W0FWRZ&amp;reservation_id=31718414758066", "MX7W0FWRZ")</f>
        <v>MX7W0FWRZ</v>
      </c>
      <c r="B12441" t="s">
        <v>10</v>
      </c>
      <c r="C12441" t="s">
        <v>23</v>
      </c>
      <c r="D12441" t="str">
        <f>HYPERLINK("https://us2.cloudbeds.com/connect/10074733072513#/reservations/31718414758066?display=Chad%20Patch&amp;reservation_id=31718414758066&amp;guest_id=31718414758061", "Chad Patch")</f>
        <v>Chad Patch</v>
      </c>
      <c r="E12441" t="s">
        <v>11814</v>
      </c>
      <c r="F12441" t="s">
        <v>11815</v>
      </c>
      <c r="G12441">
        <v>179</v>
      </c>
      <c r="H12441">
        <v>194.58</v>
      </c>
      <c r="I12441">
        <v>194.57</v>
      </c>
      <c r="J12441">
        <v>0.01</v>
      </c>
    </row>
    <row r="12442" spans="1:10" x14ac:dyDescent="0.3">
      <c r="A12442" t="str">
        <f>HYPERLINK("https://us2.cloudbeds.com/connect/10074733072513#/reservations/31719551340765?display=MX8S1T2PN&amp;reservation_id=31719551340765", "MX8S1T2PN")</f>
        <v>MX8S1T2PN</v>
      </c>
      <c r="B12442" t="s">
        <v>10</v>
      </c>
      <c r="C12442" t="s">
        <v>121</v>
      </c>
      <c r="D12442" t="str">
        <f>HYPERLINK("https://us2.cloudbeds.com/connect/10074733072513#/reservations/31719551340765?display=Jennifer%20Issendorf&amp;reservation_id=31719551340765&amp;guest_id=31719539122316", "Jennifer Issendorf")</f>
        <v>Jennifer Issendorf</v>
      </c>
      <c r="E12442" t="s">
        <v>11278</v>
      </c>
      <c r="F12442" t="s">
        <v>11561</v>
      </c>
      <c r="G12442">
        <v>139</v>
      </c>
      <c r="H12442">
        <v>151.1</v>
      </c>
      <c r="I12442">
        <v>151.09</v>
      </c>
      <c r="J12442">
        <v>0.01</v>
      </c>
    </row>
    <row r="12443" spans="1:10" x14ac:dyDescent="0.3">
      <c r="A12443" t="str">
        <f>HYPERLINK("https://us2.cloudbeds.com/connect/10074733072513#/reservations/31719510212853?display=MX8R06Y3A&amp;reservation_id=31719510212853", "MX8R06Y3A")</f>
        <v>MX8R06Y3A</v>
      </c>
      <c r="B12443" t="s">
        <v>10</v>
      </c>
      <c r="C12443" t="s">
        <v>121</v>
      </c>
      <c r="D12443" t="str">
        <f>HYPERLINK("https://us2.cloudbeds.com/connect/10074733072513#/reservations/31719510212853?display=Mathew%20O'Neil&amp;reservation_id=31719510212853&amp;guest_id=31719510212801", "Mathew O'Neil")</f>
        <v>Mathew O'Neil</v>
      </c>
      <c r="E12443" t="s">
        <v>11816</v>
      </c>
      <c r="F12443" t="s">
        <v>11561</v>
      </c>
      <c r="G12443">
        <v>139</v>
      </c>
      <c r="H12443">
        <v>151.1</v>
      </c>
      <c r="I12443">
        <v>151.09</v>
      </c>
      <c r="J12443">
        <v>0.01</v>
      </c>
    </row>
    <row r="12444" spans="1:10" x14ac:dyDescent="0.3">
      <c r="A12444" t="str">
        <f>HYPERLINK("https://us2.cloudbeds.com/connect/10074733072513#/reservations/31719022350528?display=MX8EASJQX&amp;reservation_id=31719022350528", "MX8EASJQX")</f>
        <v>MX8EASJQX</v>
      </c>
      <c r="B12444" t="s">
        <v>10</v>
      </c>
      <c r="C12444" t="s">
        <v>23</v>
      </c>
      <c r="D12444" t="str">
        <f>HYPERLINK("https://us2.cloudbeds.com/connect/10074733072513#/reservations/31719022350528?display=Nichole%20Jones&amp;reservation_id=31719022350528&amp;guest_id=31719014101143", "Nichole Jones")</f>
        <v>Nichole Jones</v>
      </c>
      <c r="E12444" t="s">
        <v>11817</v>
      </c>
      <c r="F12444" t="s">
        <v>11042</v>
      </c>
      <c r="G12444">
        <v>179</v>
      </c>
      <c r="H12444">
        <v>194.58</v>
      </c>
      <c r="I12444">
        <v>194.57</v>
      </c>
      <c r="J12444">
        <v>0.01</v>
      </c>
    </row>
    <row r="12445" spans="1:10" x14ac:dyDescent="0.3">
      <c r="A12445" t="str">
        <f>HYPERLINK("https://us2.cloudbeds.com/connect/10074733072513#/reservations/31719868612801?display=MX935DYAR&amp;reservation_id=31719868612801", "MX935DYAR")</f>
        <v>MX935DYAR</v>
      </c>
      <c r="B12445" t="s">
        <v>10</v>
      </c>
      <c r="C12445" t="s">
        <v>42</v>
      </c>
      <c r="D12445" t="str">
        <f>HYPERLINK("https://us2.cloudbeds.com/connect/10074733072513#/reservations/31719868612801?display=Zach%20Sinnen&amp;reservation_id=31719868612801&amp;guest_id=17963385467050", "Zach Sinnen")</f>
        <v>Zach Sinnen</v>
      </c>
      <c r="E12445" t="s">
        <v>11625</v>
      </c>
      <c r="F12445" t="s">
        <v>11678</v>
      </c>
      <c r="G12445">
        <v>336</v>
      </c>
      <c r="H12445">
        <v>365.24</v>
      </c>
      <c r="I12445">
        <v>365.23</v>
      </c>
      <c r="J12445">
        <v>0.01</v>
      </c>
    </row>
    <row r="12446" spans="1:10" x14ac:dyDescent="0.3">
      <c r="A12446" t="str">
        <f>HYPERLINK("https://us2.cloudbeds.com/connect/10074733072513#/reservations/31721222443191?display=MXA4ZWW35&amp;reservation_id=31721222443191", "MXA4ZWW35")</f>
        <v>MXA4ZWW35</v>
      </c>
      <c r="B12446" t="s">
        <v>10</v>
      </c>
      <c r="C12446" t="s">
        <v>42</v>
      </c>
      <c r="D12446" t="str">
        <f>HYPERLINK("https://us2.cloudbeds.com/connect/10074733072513#/reservations/31721222443191?display=Greg%20Schaefer&amp;reservation_id=31721222443191&amp;guest_id=31721207238875", "Greg Schaefer")</f>
        <v>Greg Schaefer</v>
      </c>
      <c r="E12446" t="s">
        <v>10097</v>
      </c>
      <c r="F12446" t="s">
        <v>11460</v>
      </c>
      <c r="G12446">
        <v>149</v>
      </c>
      <c r="H12446">
        <v>161.97</v>
      </c>
      <c r="I12446">
        <v>161.96</v>
      </c>
      <c r="J12446">
        <v>0.01</v>
      </c>
    </row>
    <row r="12447" spans="1:10" x14ac:dyDescent="0.3">
      <c r="A12447" t="str">
        <f>HYPERLINK("https://us2.cloudbeds.com/connect/10074733072513#/reservations/31715671904427?display=MX5RUY1KQ&amp;reservation_id=31715671904427", "MX5RUY1KQ")</f>
        <v>MX5RUY1KQ</v>
      </c>
      <c r="B12447" t="s">
        <v>10</v>
      </c>
      <c r="C12447" t="s">
        <v>23</v>
      </c>
      <c r="D12447" t="str">
        <f>HYPERLINK("https://us2.cloudbeds.com/connect/10074733072513#/reservations/31715671904427?display=Christopher%20Larson&amp;reservation_id=31715671904427&amp;guest_id=31715671904410", "Christopher Larson")</f>
        <v>Christopher Larson</v>
      </c>
      <c r="E12447" t="s">
        <v>11820</v>
      </c>
      <c r="F12447" t="s">
        <v>11485</v>
      </c>
      <c r="G12447">
        <v>139</v>
      </c>
      <c r="H12447">
        <v>151.1</v>
      </c>
      <c r="I12447">
        <v>151.09</v>
      </c>
      <c r="J12447">
        <v>0.01</v>
      </c>
    </row>
    <row r="12448" spans="1:10" x14ac:dyDescent="0.3">
      <c r="A12448" t="str">
        <f>HYPERLINK("https://us2.cloudbeds.com/connect/10074733072513#/reservations/31718044504216?display=MX7MX94G3&amp;reservation_id=31718044504216", "MX7MX94G3")</f>
        <v>MX7MX94G3</v>
      </c>
      <c r="B12448" t="s">
        <v>10</v>
      </c>
      <c r="C12448" t="s">
        <v>23</v>
      </c>
      <c r="D12448" t="str">
        <f>HYPERLINK("https://us2.cloudbeds.com/connect/10074733072513#/reservations/31718044504216?display=Jamie%20Clausen&amp;reservation_id=31718044504216&amp;guest_id=31718044504213", "Jamie Clausen")</f>
        <v>Jamie Clausen</v>
      </c>
      <c r="E12448" t="s">
        <v>9776</v>
      </c>
      <c r="F12448" t="s">
        <v>11821</v>
      </c>
      <c r="G12448">
        <v>139</v>
      </c>
      <c r="H12448">
        <v>151.1</v>
      </c>
      <c r="I12448">
        <v>151.09</v>
      </c>
      <c r="J12448">
        <v>0.01</v>
      </c>
    </row>
    <row r="12449" spans="1:10" x14ac:dyDescent="0.3">
      <c r="A12449" t="str">
        <f>HYPERLINK("https://us2.cloudbeds.com/connect/10074733072513#/reservations/31720231477436?display=MX9CECTBR&amp;reservation_id=31720231477436", "MX9CECTBR")</f>
        <v>MX9CECTBR</v>
      </c>
      <c r="B12449" t="s">
        <v>10</v>
      </c>
      <c r="C12449" t="s">
        <v>23</v>
      </c>
      <c r="D12449" t="str">
        <f>HYPERLINK("https://us2.cloudbeds.com/connect/10074733072513#/reservations/31720231477436?display=Amy%20Weber&amp;reservation_id=31720231477436&amp;guest_id=31720226554094", "Amy Weber")</f>
        <v>Amy Weber</v>
      </c>
      <c r="E12449" t="s">
        <v>11822</v>
      </c>
      <c r="F12449" t="s">
        <v>11696</v>
      </c>
      <c r="G12449">
        <v>318</v>
      </c>
      <c r="H12449">
        <v>345.68</v>
      </c>
      <c r="I12449">
        <v>345.67</v>
      </c>
      <c r="J12449">
        <v>0.01</v>
      </c>
    </row>
    <row r="12450" spans="1:10" x14ac:dyDescent="0.3">
      <c r="A12450" t="str">
        <f>HYPERLINK("https://us2.cloudbeds.com/connect/10074733072513#/reservations/31720733049031?display=MX9P8ASB3&amp;reservation_id=31720733049031", "MX9P8ASB3")</f>
        <v>MX9P8ASB3</v>
      </c>
      <c r="B12450" t="s">
        <v>10</v>
      </c>
      <c r="C12450" t="s">
        <v>42</v>
      </c>
      <c r="D12450" t="str">
        <f>HYPERLINK("https://us2.cloudbeds.com/connect/10074733072513#/reservations/31720733049031?display=Robert%20Haden&amp;reservation_id=31720733049031&amp;guest_id=31720717730013", "Robert Haden")</f>
        <v>Robert Haden</v>
      </c>
      <c r="E12450" t="s">
        <v>11823</v>
      </c>
      <c r="F12450" t="s">
        <v>11824</v>
      </c>
      <c r="G12450">
        <v>218</v>
      </c>
      <c r="H12450">
        <v>236.98</v>
      </c>
      <c r="I12450">
        <v>236.97</v>
      </c>
      <c r="J12450">
        <v>0.01</v>
      </c>
    </row>
    <row r="12451" spans="1:10" x14ac:dyDescent="0.3">
      <c r="A12451" t="str">
        <f>HYPERLINK("https://us2.cloudbeds.com/connect/10074733072513#/reservations/31712623755464?display=MX3G1BQPD&amp;reservation_id=31712623755464", "MX3G1BQPD")</f>
        <v>MX3G1BQPD</v>
      </c>
      <c r="B12451" t="s">
        <v>10</v>
      </c>
      <c r="C12451" t="s">
        <v>42</v>
      </c>
      <c r="D12451" t="str">
        <f>HYPERLINK("https://us2.cloudbeds.com/connect/10074733072513#/reservations/31712623755464?display=Matthew%20Mccranie&amp;reservation_id=31712623755464&amp;guest_id=31712623751379", "Matthew Mccranie")</f>
        <v>Matthew Mccranie</v>
      </c>
      <c r="E12451" t="s">
        <v>11825</v>
      </c>
      <c r="F12451" t="s">
        <v>11516</v>
      </c>
      <c r="G12451">
        <v>150</v>
      </c>
      <c r="H12451">
        <v>163.06</v>
      </c>
      <c r="I12451">
        <v>163.05000000000001</v>
      </c>
      <c r="J12451">
        <v>0.01</v>
      </c>
    </row>
    <row r="12452" spans="1:10" x14ac:dyDescent="0.3">
      <c r="A12452" t="str">
        <f>HYPERLINK("https://us2.cloudbeds.com/connect/10074733072513#/reservations/31712617124023?display=MX3FSP99Y&amp;reservation_id=31712617124023", "MX3FSP99Y")</f>
        <v>MX3FSP99Y</v>
      </c>
      <c r="B12452" t="s">
        <v>10</v>
      </c>
      <c r="C12452" t="s">
        <v>42</v>
      </c>
      <c r="D12452" t="str">
        <f>HYPERLINK("https://us2.cloudbeds.com/connect/10074733072513#/reservations/31712617124023?display=Robert%20Ingvalson&amp;reservation_id=31712617124023&amp;guest_id=31712617124017", "Robert Ingvalson")</f>
        <v>Robert Ingvalson</v>
      </c>
      <c r="E12452" t="s">
        <v>5044</v>
      </c>
      <c r="F12452" t="s">
        <v>11516</v>
      </c>
      <c r="G12452">
        <v>298</v>
      </c>
      <c r="H12452">
        <v>323.94</v>
      </c>
      <c r="I12452">
        <v>323.93</v>
      </c>
      <c r="J12452">
        <v>0.01</v>
      </c>
    </row>
    <row r="12453" spans="1:10" x14ac:dyDescent="0.3">
      <c r="A12453" t="str">
        <f>HYPERLINK("https://us2.cloudbeds.com/connect/10074733072513#/reservations/31720240095457?display=MX9CYYN20&amp;reservation_id=31720240095457", "MX9CYYN20")</f>
        <v>MX9CYYN20</v>
      </c>
      <c r="B12453" t="s">
        <v>10</v>
      </c>
      <c r="C12453" t="s">
        <v>23</v>
      </c>
      <c r="D12453" t="str">
        <f>HYPERLINK("https://us2.cloudbeds.com/connect/10074733072513#/reservations/31720240095457?display=Amy%20Weber&amp;reservation_id=31720240095457&amp;guest_id=31720240091364", "Amy Weber")</f>
        <v>Amy Weber</v>
      </c>
      <c r="E12453" t="s">
        <v>11822</v>
      </c>
      <c r="F12453" t="s">
        <v>11696</v>
      </c>
      <c r="G12453">
        <v>318</v>
      </c>
      <c r="H12453">
        <v>345.68</v>
      </c>
      <c r="I12453">
        <v>345.67</v>
      </c>
      <c r="J12453">
        <v>0.01</v>
      </c>
    </row>
    <row r="12454" spans="1:10" x14ac:dyDescent="0.3">
      <c r="A12454" t="str">
        <f>HYPERLINK("https://us2.cloudbeds.com/connect/10074733072513#/reservations/31720756285633?display=MX9PRUETX&amp;reservation_id=31720756285633", "MX9PRUETX")</f>
        <v>MX9PRUETX</v>
      </c>
      <c r="B12454" t="s">
        <v>10</v>
      </c>
      <c r="C12454" t="s">
        <v>42</v>
      </c>
      <c r="D12454" t="str">
        <f>HYPERLINK("https://us2.cloudbeds.com/connect/10074733072513#/reservations/31720756285633?display=Chase%20Anderson&amp;reservation_id=31720756285633&amp;guest_id=31720756281599", "Chase Anderson")</f>
        <v>Chase Anderson</v>
      </c>
      <c r="E12454" t="s">
        <v>11826</v>
      </c>
      <c r="F12454" t="s">
        <v>11824</v>
      </c>
      <c r="G12454">
        <v>149</v>
      </c>
      <c r="H12454">
        <v>161.97</v>
      </c>
      <c r="I12454">
        <v>161.96</v>
      </c>
      <c r="J12454">
        <v>0.01</v>
      </c>
    </row>
    <row r="12455" spans="1:10" x14ac:dyDescent="0.3">
      <c r="A12455" t="str">
        <f>HYPERLINK("https://us2.cloudbeds.com/connect/10074733072513#/reservations/31720710467719?display=MX9ZM9GGU&amp;reservation_id=31720710467719", "MX9ZM9GGU")</f>
        <v>MX9ZM9GGU</v>
      </c>
      <c r="B12455" t="s">
        <v>10</v>
      </c>
      <c r="C12455" t="s">
        <v>42</v>
      </c>
      <c r="D12455" t="str">
        <f>HYPERLINK("https://us2.cloudbeds.com/connect/10074733072513#/reservations/31720710467719?display=Laurie%20Curtis&amp;reservation_id=31720710467719&amp;guest_id=31713870606542", "Laurie Curtis")</f>
        <v>Laurie Curtis</v>
      </c>
      <c r="E12455" t="s">
        <v>892</v>
      </c>
      <c r="F12455" t="s">
        <v>11824</v>
      </c>
      <c r="G12455">
        <v>109</v>
      </c>
      <c r="H12455">
        <v>118.49</v>
      </c>
      <c r="I12455">
        <v>118.48</v>
      </c>
      <c r="J12455">
        <v>0.01</v>
      </c>
    </row>
    <row r="12456" spans="1:10" x14ac:dyDescent="0.3">
      <c r="A12456" t="str">
        <f>HYPERLINK("https://us2.cloudbeds.com/connect/10074733072513#/reservations/31712609476828?display=MX3FMAG2F&amp;reservation_id=31712609476828", "MX3FMAG2F")</f>
        <v>MX3FMAG2F</v>
      </c>
      <c r="B12456" t="s">
        <v>10</v>
      </c>
      <c r="C12456" t="s">
        <v>42</v>
      </c>
      <c r="D12456" t="str">
        <f>HYPERLINK("https://us2.cloudbeds.com/connect/10074733072513#/reservations/31712609476828?display=Tyler%20Cape&amp;reservation_id=31712609476828&amp;guest_id=31712604086402", "Tyler Cape")</f>
        <v>Tyler Cape</v>
      </c>
      <c r="E12456" t="s">
        <v>5044</v>
      </c>
      <c r="F12456" t="s">
        <v>11516</v>
      </c>
      <c r="G12456">
        <v>338</v>
      </c>
      <c r="H12456">
        <v>367.42</v>
      </c>
      <c r="I12456">
        <v>367.41</v>
      </c>
      <c r="J12456">
        <v>0.01</v>
      </c>
    </row>
    <row r="12457" spans="1:10" x14ac:dyDescent="0.3">
      <c r="A12457" t="str">
        <f>HYPERLINK("https://us2.cloudbeds.com/connect/10074733072513#/reservations/31721275932872?display=MXA643D8J&amp;reservation_id=31721275932872", "MXA643D8J")</f>
        <v>MXA643D8J</v>
      </c>
      <c r="B12457" t="s">
        <v>10</v>
      </c>
      <c r="C12457" t="s">
        <v>23</v>
      </c>
      <c r="D12457" t="str">
        <f>HYPERLINK("https://us2.cloudbeds.com/connect/10074733072513#/reservations/31721275932872?display=Casandra%20Layman&amp;reservation_id=31721275932872&amp;guest_id=31721275928777", "Casandra Layman")</f>
        <v>Casandra Layman</v>
      </c>
      <c r="E12457" t="s">
        <v>11827</v>
      </c>
      <c r="F12457" t="s">
        <v>11460</v>
      </c>
      <c r="G12457">
        <v>139</v>
      </c>
      <c r="H12457">
        <v>151.1</v>
      </c>
      <c r="I12457">
        <v>151.09</v>
      </c>
      <c r="J12457">
        <v>0.01</v>
      </c>
    </row>
    <row r="12458" spans="1:10" x14ac:dyDescent="0.3">
      <c r="A12458" t="str">
        <f>HYPERLINK("https://us2.cloudbeds.com/connect/10074733072513#/reservations/31720689320132?display=MX9Z4F17V&amp;reservation_id=31720689320132", "MX9Z4F17V")</f>
        <v>MX9Z4F17V</v>
      </c>
      <c r="B12458" t="s">
        <v>10</v>
      </c>
      <c r="C12458" t="s">
        <v>42</v>
      </c>
      <c r="D12458" t="str">
        <f>HYPERLINK("https://us2.cloudbeds.com/connect/10074733072513#/reservations/31720689320132?display=Angelo%20Poaletti&amp;reservation_id=31720689320132&amp;guest_id=31714136252568", "Angelo Poaletti")</f>
        <v>Angelo Poaletti</v>
      </c>
      <c r="E12458" t="s">
        <v>11828</v>
      </c>
      <c r="F12458" t="s">
        <v>11824</v>
      </c>
      <c r="G12458">
        <v>129</v>
      </c>
      <c r="H12458">
        <v>140.22999999999999</v>
      </c>
      <c r="I12458">
        <v>140.22</v>
      </c>
      <c r="J12458">
        <v>0.01</v>
      </c>
    </row>
    <row r="12459" spans="1:10" x14ac:dyDescent="0.3">
      <c r="A12459" t="str">
        <f>HYPERLINK("https://us2.cloudbeds.com/connect/10074733072513#/reservations/31712546763002?display=MX3E2ECKG&amp;reservation_id=31712546763002", "MX3E2ECKG")</f>
        <v>MX3E2ECKG</v>
      </c>
      <c r="B12459" t="s">
        <v>10</v>
      </c>
      <c r="C12459" t="s">
        <v>42</v>
      </c>
      <c r="D12459" t="str">
        <f>HYPERLINK("https://us2.cloudbeds.com/connect/10074733072513#/reservations/31712546763002?display=Nathan%20Dinger&amp;reservation_id=31712546763002&amp;guest_id=31673706823820", "Nathan Dinger")</f>
        <v>Nathan Dinger</v>
      </c>
      <c r="E12459" t="s">
        <v>5044</v>
      </c>
      <c r="F12459" t="s">
        <v>11707</v>
      </c>
      <c r="G12459">
        <v>467</v>
      </c>
      <c r="H12459">
        <v>507.64</v>
      </c>
      <c r="I12459">
        <v>507.63</v>
      </c>
      <c r="J12459">
        <v>0.01</v>
      </c>
    </row>
    <row r="12460" spans="1:10" x14ac:dyDescent="0.3">
      <c r="A12460" t="str">
        <f>HYPERLINK("https://us2.cloudbeds.com/connect/10074733072513#/reservations/31715714318552?display=MX5T0D9DA&amp;reservation_id=31715714318552", "MX5T0D9DA")</f>
        <v>MX5T0D9DA</v>
      </c>
      <c r="B12460" t="s">
        <v>10</v>
      </c>
      <c r="C12460" t="s">
        <v>42</v>
      </c>
      <c r="D12460" t="str">
        <f>HYPERLINK("https://us2.cloudbeds.com/connect/10074733072513#/reservations/31715714318552?display=Kevin%20St.%20John&amp;reservation_id=31715714318552&amp;guest_id=31715700871371", "Kevin St. John")</f>
        <v>Kevin St. John</v>
      </c>
      <c r="E12460" t="s">
        <v>11829</v>
      </c>
      <c r="F12460" t="s">
        <v>10750</v>
      </c>
      <c r="G12460">
        <v>159</v>
      </c>
      <c r="H12460">
        <v>172.84</v>
      </c>
      <c r="I12460">
        <v>172.83</v>
      </c>
      <c r="J12460">
        <v>0.01</v>
      </c>
    </row>
    <row r="12461" spans="1:10" x14ac:dyDescent="0.3">
      <c r="A12461" t="str">
        <f>HYPERLINK("https://us2.cloudbeds.com/connect/10074733072513#/reservations/31718071087232?display=MX7MVND1Q&amp;reservation_id=31718071087232", "MX7MVND1Q")</f>
        <v>MX7MVND1Q</v>
      </c>
      <c r="B12461" t="s">
        <v>10</v>
      </c>
      <c r="C12461" t="s">
        <v>42</v>
      </c>
      <c r="D12461" t="str">
        <f>HYPERLINK("https://us2.cloudbeds.com/connect/10074733072513#/reservations/31718071087232?display=Tim%20Arens&amp;reservation_id=31718071087232&amp;guest_id=31712093528300", "Tim Arens")</f>
        <v>Tim Arens</v>
      </c>
      <c r="E12461" t="s">
        <v>9473</v>
      </c>
      <c r="F12461" t="s">
        <v>11821</v>
      </c>
      <c r="G12461">
        <v>89</v>
      </c>
      <c r="H12461">
        <v>96.75</v>
      </c>
      <c r="I12461">
        <v>96.74</v>
      </c>
      <c r="J12461">
        <v>0.01</v>
      </c>
    </row>
    <row r="12462" spans="1:10" x14ac:dyDescent="0.3">
      <c r="A12462" t="str">
        <f>HYPERLINK("https://us2.cloudbeds.com/connect/10074733072513#/reservations/31721196945540?display=MXA43GF92&amp;reservation_id=31721196945540", "MXA43GF92")</f>
        <v>MXA43GF92</v>
      </c>
      <c r="B12462" t="s">
        <v>10</v>
      </c>
      <c r="C12462" t="s">
        <v>121</v>
      </c>
      <c r="D12462" t="str">
        <f>HYPERLINK("https://us2.cloudbeds.com/connect/10074733072513#/reservations/31721196945540?display=Joshua%20Baumert&amp;reservation_id=31721196945540&amp;guest_id=31721196941448", "Joshua Baumert")</f>
        <v>Joshua Baumert</v>
      </c>
      <c r="E12462" t="s">
        <v>11830</v>
      </c>
      <c r="F12462" t="s">
        <v>11460</v>
      </c>
      <c r="G12462">
        <v>139</v>
      </c>
      <c r="H12462">
        <v>151.1</v>
      </c>
      <c r="I12462">
        <v>151.09</v>
      </c>
      <c r="J12462">
        <v>0.01</v>
      </c>
    </row>
    <row r="12463" spans="1:10" x14ac:dyDescent="0.3">
      <c r="A12463" t="str">
        <f>HYPERLINK("https://us2.cloudbeds.com/connect/10074733072513#/reservations/31720756281541?display=MX9PRUB4X&amp;reservation_id=31720756281541", "MX9PRUB4X")</f>
        <v>MX9PRUB4X</v>
      </c>
      <c r="B12463" t="s">
        <v>10</v>
      </c>
      <c r="C12463" t="s">
        <v>42</v>
      </c>
      <c r="D12463" t="str">
        <f>HYPERLINK("https://us2.cloudbeds.com/connect/10074733072513#/reservations/31720756281541?display=Timothy%20Drong&amp;reservation_id=31720756281541&amp;guest_id=31720756281539", "Timothy Drong")</f>
        <v>Timothy Drong</v>
      </c>
      <c r="E12463" t="s">
        <v>11831</v>
      </c>
      <c r="F12463" t="s">
        <v>11824</v>
      </c>
      <c r="G12463">
        <v>109</v>
      </c>
      <c r="H12463">
        <v>118.49</v>
      </c>
      <c r="I12463">
        <v>118.48</v>
      </c>
      <c r="J12463">
        <v>0.01</v>
      </c>
    </row>
    <row r="12464" spans="1:10" x14ac:dyDescent="0.3">
      <c r="A12464" t="str">
        <f>HYPERLINK("https://us2.cloudbeds.com/connect/10074733072513#/reservations/31716657426639?display=MX6K3YYN8&amp;reservation_id=31716657426639", "MX6K3YYN8")</f>
        <v>MX6K3YYN8</v>
      </c>
      <c r="B12464" t="s">
        <v>10</v>
      </c>
      <c r="C12464" t="s">
        <v>42</v>
      </c>
      <c r="D12464" t="str">
        <f>HYPERLINK("https://us2.cloudbeds.com/connect/10074733072513#/reservations/31716657426639?display=Twila%20Kelderman&amp;reservation_id=31716657426639&amp;guest_id=31716657426628", "Twila Kelderman")</f>
        <v>Twila Kelderman</v>
      </c>
      <c r="E12464" t="s">
        <v>11832</v>
      </c>
      <c r="F12464" t="s">
        <v>11696</v>
      </c>
      <c r="G12464">
        <v>331.2</v>
      </c>
      <c r="H12464">
        <v>360.02</v>
      </c>
      <c r="I12464">
        <v>360.01</v>
      </c>
      <c r="J12464">
        <v>0.01</v>
      </c>
    </row>
    <row r="12465" spans="1:10" x14ac:dyDescent="0.3">
      <c r="A12465" t="str">
        <f>HYPERLINK("https://us2.cloudbeds.com/connect/10074733072513#/reservations/31712685281420?display=MX3HK7SE9&amp;reservation_id=31712685281420", "MX3HK7SE9")</f>
        <v>MX3HK7SE9</v>
      </c>
      <c r="B12465" t="s">
        <v>10</v>
      </c>
      <c r="C12465" t="s">
        <v>42</v>
      </c>
      <c r="D12465" t="str">
        <f>HYPERLINK("https://us2.cloudbeds.com/connect/10074733072513#/reservations/31712685281420?display=Jay%20Sayler&amp;reservation_id=31712685281420&amp;guest_id=31712685277334", "Jay Sayler")</f>
        <v>Jay Sayler</v>
      </c>
      <c r="E12465" t="s">
        <v>11833</v>
      </c>
      <c r="F12465" t="s">
        <v>8603</v>
      </c>
      <c r="G12465">
        <v>149</v>
      </c>
      <c r="H12465">
        <v>161.97</v>
      </c>
      <c r="I12465">
        <v>161.96</v>
      </c>
      <c r="J12465">
        <v>0.01</v>
      </c>
    </row>
    <row r="12466" spans="1:10" x14ac:dyDescent="0.3">
      <c r="A12466" t="str">
        <f>HYPERLINK("https://us2.cloudbeds.com/connect/10074733072513#/reservations/31720693055704?display=MX9Z7JWH3&amp;reservation_id=31720693055704", "MX9Z7JWH3")</f>
        <v>MX9Z7JWH3</v>
      </c>
      <c r="B12466" t="s">
        <v>10</v>
      </c>
      <c r="C12466" t="s">
        <v>42</v>
      </c>
      <c r="D12466" t="str">
        <f>HYPERLINK("https://us2.cloudbeds.com/connect/10074733072513#/reservations/31720693055704?display=Shannon%20Parrish&amp;reservation_id=31720693055704&amp;guest_id=31720693051613", "Shannon Parrish")</f>
        <v>Shannon Parrish</v>
      </c>
      <c r="E12466" t="s">
        <v>11834</v>
      </c>
      <c r="F12466" t="s">
        <v>11824</v>
      </c>
      <c r="G12466">
        <v>109</v>
      </c>
      <c r="H12466">
        <v>118.49</v>
      </c>
      <c r="I12466">
        <v>118.48</v>
      </c>
      <c r="J12466">
        <v>0.01</v>
      </c>
    </row>
    <row r="12467" spans="1:10" x14ac:dyDescent="0.3">
      <c r="A12467" t="str">
        <f>HYPERLINK("https://us2.cloudbeds.com/connect/10074733072513#/reservations/31722614661282?display=MXB7AVG95&amp;reservation_id=31722614661282", "MXB7AVG95")</f>
        <v>MXB7AVG95</v>
      </c>
      <c r="B12467" t="s">
        <v>10</v>
      </c>
      <c r="C12467" t="s">
        <v>23</v>
      </c>
      <c r="D12467" t="str">
        <f>HYPERLINK("https://us2.cloudbeds.com/connect/10074733072513#/reservations/31722614661282?display=Joshua%20Mccormick&amp;reservation_id=31722614661282&amp;guest_id=31722614661280", "Joshua Mccormick")</f>
        <v>Joshua Mccormick</v>
      </c>
      <c r="E12467" t="s">
        <v>11835</v>
      </c>
      <c r="F12467" t="s">
        <v>11680</v>
      </c>
      <c r="G12467">
        <v>109</v>
      </c>
      <c r="H12467">
        <v>118.49</v>
      </c>
      <c r="I12467">
        <v>118.48</v>
      </c>
      <c r="J12467">
        <v>0.01</v>
      </c>
    </row>
    <row r="12468" spans="1:10" x14ac:dyDescent="0.3">
      <c r="A12468" t="str">
        <f>HYPERLINK("https://us2.cloudbeds.com/connect/10074733072513#/reservations/31719004532944?display=MX8E2QBXZ&amp;reservation_id=31719004532944", "MX8E2QBXZ")</f>
        <v>MX8E2QBXZ</v>
      </c>
      <c r="B12468" t="s">
        <v>10</v>
      </c>
      <c r="C12468" t="s">
        <v>23</v>
      </c>
      <c r="D12468" t="str">
        <f>HYPERLINK("https://us2.cloudbeds.com/connect/10074733072513#/reservations/31719004532944?display=Michael%20Kinsley&amp;reservation_id=31719004532944&amp;guest_id=31719000137912", "Michael Kinsley")</f>
        <v>Michael Kinsley</v>
      </c>
      <c r="E12468" t="s">
        <v>11836</v>
      </c>
      <c r="F12468" t="s">
        <v>11821</v>
      </c>
      <c r="G12468">
        <v>109</v>
      </c>
      <c r="H12468">
        <v>118.49</v>
      </c>
      <c r="I12468">
        <v>118.48</v>
      </c>
      <c r="J12468">
        <v>0.01</v>
      </c>
    </row>
    <row r="12469" spans="1:10" x14ac:dyDescent="0.3">
      <c r="A12469" t="str">
        <f>HYPERLINK("https://us2.cloudbeds.com/connect/10074733072513#/reservations/31720772038809?display=MX9Q86QKH&amp;reservation_id=31720772038809", "MX9Q86QKH")</f>
        <v>MX9Q86QKH</v>
      </c>
      <c r="B12469" t="s">
        <v>10</v>
      </c>
      <c r="C12469" t="s">
        <v>42</v>
      </c>
      <c r="D12469" t="str">
        <f>HYPERLINK("https://us2.cloudbeds.com/connect/10074733072513#/reservations/31720772038809?display=Aron%20Wollman&amp;reservation_id=31720772038809&amp;guest_id=31720772038807", "Aron Wollman")</f>
        <v>Aron Wollman</v>
      </c>
      <c r="E12469" t="s">
        <v>11837</v>
      </c>
      <c r="F12469" t="s">
        <v>11824</v>
      </c>
      <c r="G12469">
        <v>109</v>
      </c>
      <c r="H12469">
        <v>118.49</v>
      </c>
      <c r="I12469">
        <v>118.48</v>
      </c>
      <c r="J12469">
        <v>0.01</v>
      </c>
    </row>
    <row r="12470" spans="1:10" x14ac:dyDescent="0.3">
      <c r="A12470" t="str">
        <f>HYPERLINK("https://us2.cloudbeds.com/connect/10074733072513#/reservations/31718986502300?display=MX8DKJKGJ&amp;reservation_id=31718986502300", "MX8DKJKGJ")</f>
        <v>MX8DKJKGJ</v>
      </c>
      <c r="B12470" t="s">
        <v>10</v>
      </c>
      <c r="C12470" t="s">
        <v>23</v>
      </c>
      <c r="D12470" t="str">
        <f>HYPERLINK("https://us2.cloudbeds.com/connect/10074733072513#/reservations/31718986502300?display=Joseph%20Mitchell&amp;reservation_id=31718986502300&amp;guest_id=31718981849334", "Joseph Mitchell")</f>
        <v>Joseph Mitchell</v>
      </c>
      <c r="E12470" t="s">
        <v>11838</v>
      </c>
      <c r="F12470" t="s">
        <v>11821</v>
      </c>
      <c r="G12470">
        <v>258</v>
      </c>
      <c r="H12470">
        <v>280.45999999999998</v>
      </c>
      <c r="I12470">
        <v>280.45</v>
      </c>
      <c r="J12470">
        <v>0.01</v>
      </c>
    </row>
    <row r="12471" spans="1:10" x14ac:dyDescent="0.3">
      <c r="A12471" t="str">
        <f>HYPERLINK("https://us2.cloudbeds.com/connect/10074733072513#/reservations/31719081885847?display=MX8G20QN3&amp;reservation_id=31719081885847", "MX8G20QN3")</f>
        <v>MX8G20QN3</v>
      </c>
      <c r="B12471" t="s">
        <v>10</v>
      </c>
      <c r="C12471" t="s">
        <v>42</v>
      </c>
      <c r="D12471" t="str">
        <f>HYPERLINK("https://us2.cloudbeds.com/connect/10074733072513#/reservations/31719081885847?display=Eric%20Muellenbach&amp;reservation_id=31719081885847&amp;guest_id=31719025246359", "Eric Muellenbach")</f>
        <v>Eric Muellenbach</v>
      </c>
      <c r="E12471" t="s">
        <v>11840</v>
      </c>
      <c r="F12471" t="s">
        <v>11821</v>
      </c>
      <c r="G12471">
        <v>109</v>
      </c>
      <c r="H12471">
        <v>118.49</v>
      </c>
      <c r="I12471">
        <v>118.48</v>
      </c>
      <c r="J12471">
        <v>0.01</v>
      </c>
    </row>
    <row r="12472" spans="1:10" x14ac:dyDescent="0.3">
      <c r="A12472" t="str">
        <f>HYPERLINK("https://us2.cloudbeds.com/connect/10074733072513#/reservations/31722614657185?display=MXB7AVCH0&amp;reservation_id=31722614657185", "MXB7AVCH0")</f>
        <v>MXB7AVCH0</v>
      </c>
      <c r="B12472" t="s">
        <v>10</v>
      </c>
      <c r="C12472" t="s">
        <v>23</v>
      </c>
      <c r="D12472" t="str">
        <f>HYPERLINK("https://us2.cloudbeds.com/connect/10074733072513#/reservations/31722614657185?display=Evan%20Hansen&amp;reservation_id=31722614657185&amp;guest_id=31722614657183", "Evan Hansen")</f>
        <v>Evan Hansen</v>
      </c>
      <c r="E12472" t="s">
        <v>11842</v>
      </c>
      <c r="F12472" t="s">
        <v>11680</v>
      </c>
      <c r="G12472">
        <v>238</v>
      </c>
      <c r="H12472">
        <v>258.72000000000003</v>
      </c>
      <c r="I12472">
        <v>258.70999999999998</v>
      </c>
      <c r="J12472">
        <v>0.01</v>
      </c>
    </row>
    <row r="12473" spans="1:10" x14ac:dyDescent="0.3">
      <c r="A12473" t="str">
        <f>HYPERLINK("https://us2.cloudbeds.com/connect/10074733072513#/reservations/31718986506402?display=MX8DKJZ8T&amp;reservation_id=31718986506402", "MX8DKJZ8T")</f>
        <v>MX8DKJZ8T</v>
      </c>
      <c r="B12473" t="s">
        <v>10</v>
      </c>
      <c r="C12473" t="s">
        <v>23</v>
      </c>
      <c r="D12473" t="str">
        <f>HYPERLINK("https://us2.cloudbeds.com/connect/10074733072513#/reservations/31718986506402?display=Todd%20Mickelson&amp;reservation_id=31718986506402&amp;guest_id=31718986506399", "Todd Mickelson")</f>
        <v>Todd Mickelson</v>
      </c>
      <c r="E12473" t="s">
        <v>11843</v>
      </c>
      <c r="F12473" t="s">
        <v>11821</v>
      </c>
      <c r="G12473">
        <v>109</v>
      </c>
      <c r="H12473">
        <v>118.49</v>
      </c>
      <c r="I12473">
        <v>118.48</v>
      </c>
      <c r="J12473">
        <v>0.01</v>
      </c>
    </row>
    <row r="12474" spans="1:10" x14ac:dyDescent="0.3">
      <c r="A12474" t="str">
        <f>HYPERLINK("https://us2.cloudbeds.com/connect/10074733072513#/reservations/31721610072280?display=MXAEYSAM6&amp;reservation_id=31721610072280", "MXAEYSAM6")</f>
        <v>MXAEYSAM6</v>
      </c>
      <c r="B12474" t="s">
        <v>10</v>
      </c>
      <c r="C12474" t="s">
        <v>42</v>
      </c>
      <c r="D12474" t="str">
        <f>HYPERLINK("https://us2.cloudbeds.com/connect/10074733072513#/reservations/31721610072280?display=Gary%20Hillman&amp;reservation_id=31721610072280&amp;guest_id=31721610072277", "Gary Hillman")</f>
        <v>Gary Hillman</v>
      </c>
      <c r="E12474" t="s">
        <v>10622</v>
      </c>
      <c r="F12474" t="s">
        <v>11844</v>
      </c>
      <c r="G12474">
        <v>258</v>
      </c>
      <c r="H12474">
        <v>280.45999999999998</v>
      </c>
      <c r="I12474">
        <v>280.45</v>
      </c>
      <c r="J12474">
        <v>0.01</v>
      </c>
    </row>
    <row r="12475" spans="1:10" x14ac:dyDescent="0.3">
      <c r="A12475" t="str">
        <f>HYPERLINK("https://us2.cloudbeds.com/connect/10074733072513#/reservations/31721341218959?display=MXA7Q52ZS&amp;reservation_id=31721341218959", "MXA7Q52ZS")</f>
        <v>MXA7Q52ZS</v>
      </c>
      <c r="B12475" t="s">
        <v>10</v>
      </c>
      <c r="C12475" t="s">
        <v>42</v>
      </c>
      <c r="D12475" t="str">
        <f>HYPERLINK("https://us2.cloudbeds.com/connect/10074733072513#/reservations/31721341218959?display=Troy%20Hofer&amp;reservation_id=31721341218959&amp;guest_id=31721341218949", "Troy Hofer")</f>
        <v>Troy Hofer</v>
      </c>
      <c r="E12475" t="s">
        <v>11845</v>
      </c>
      <c r="F12475" t="s">
        <v>11787</v>
      </c>
      <c r="G12475">
        <v>109</v>
      </c>
      <c r="H12475">
        <v>118.49</v>
      </c>
      <c r="I12475">
        <v>118.48</v>
      </c>
      <c r="J12475">
        <v>0.01</v>
      </c>
    </row>
    <row r="12476" spans="1:10" x14ac:dyDescent="0.3">
      <c r="A12476" t="str">
        <f>HYPERLINK("https://us2.cloudbeds.com/connect/10074733072513#/reservations/31721320820941?display=MXA78VFQ3&amp;reservation_id=31721320820941", "MXA78VFQ3")</f>
        <v>MXA78VFQ3</v>
      </c>
      <c r="B12476" t="s">
        <v>10</v>
      </c>
      <c r="C12476" t="s">
        <v>42</v>
      </c>
      <c r="D12476" t="str">
        <f>HYPERLINK("https://us2.cloudbeds.com/connect/10074733072513#/reservations/31721320820941?display=Shawn%20Shelley&amp;reservation_id=31721320820941&amp;guest_id=31721320820931", "Shawn Shelley")</f>
        <v>Shawn Shelley</v>
      </c>
      <c r="E12476" t="s">
        <v>11846</v>
      </c>
      <c r="F12476" t="s">
        <v>11787</v>
      </c>
      <c r="G12476">
        <v>109</v>
      </c>
      <c r="H12476">
        <v>118.49</v>
      </c>
      <c r="I12476">
        <v>118.48</v>
      </c>
      <c r="J12476">
        <v>0.01</v>
      </c>
    </row>
    <row r="12477" spans="1:10" x14ac:dyDescent="0.3">
      <c r="A12477" t="str">
        <f>HYPERLINK("https://us2.cloudbeds.com/connect/10074733072513#/reservations/31720595894520?display=MX9YZMAVQ&amp;reservation_id=31720595894520", "MX9YZMAVQ")</f>
        <v>MX9YZMAVQ</v>
      </c>
      <c r="B12477" t="s">
        <v>10</v>
      </c>
      <c r="C12477" t="s">
        <v>42</v>
      </c>
      <c r="D12477" t="str">
        <f>HYPERLINK("https://us2.cloudbeds.com/connect/10074733072513#/reservations/31720595894520?display=Colton%20Jungjohan&amp;reservation_id=31720595894520&amp;guest_id=31692468879562", "Colton Jungjohan")</f>
        <v>Colton Jungjohan</v>
      </c>
      <c r="E12477" t="s">
        <v>8246</v>
      </c>
      <c r="F12477" t="s">
        <v>11821</v>
      </c>
      <c r="G12477">
        <v>73</v>
      </c>
      <c r="H12477">
        <v>79.36</v>
      </c>
      <c r="I12477">
        <v>79.349999999999994</v>
      </c>
      <c r="J12477">
        <v>0.01</v>
      </c>
    </row>
    <row r="12478" spans="1:10" x14ac:dyDescent="0.3">
      <c r="A12478" t="str">
        <f>HYPERLINK("https://us2.cloudbeds.com/connect/10074733072513#/reservations/31714374922410?display=MX4RPWK7E&amp;reservation_id=31714374922410", "MX4RPWK7E")</f>
        <v>MX4RPWK7E</v>
      </c>
      <c r="B12478" t="s">
        <v>10</v>
      </c>
      <c r="C12478" t="s">
        <v>42</v>
      </c>
      <c r="D12478" t="str">
        <f>HYPERLINK("https://us2.cloudbeds.com/connect/10074733072513#/reservations/31714374922410?display=Daniel%20Peters&amp;reservation_id=31714374922410&amp;guest_id=31714374922405", "Daniel Peters")</f>
        <v>Daniel Peters</v>
      </c>
      <c r="E12478" t="s">
        <v>11848</v>
      </c>
      <c r="F12478" t="s">
        <v>10750</v>
      </c>
      <c r="G12478">
        <v>179</v>
      </c>
      <c r="H12478">
        <v>194.58</v>
      </c>
      <c r="I12478">
        <v>194.57</v>
      </c>
      <c r="J12478">
        <v>0.01</v>
      </c>
    </row>
    <row r="12479" spans="1:10" x14ac:dyDescent="0.3">
      <c r="A12479" t="str">
        <f>HYPERLINK("https://us2.cloudbeds.com/connect/10074733072513#/reservations/31714099802317?display=MX4KZWWMU&amp;reservation_id=31714099802317", "MX4KZWWMU")</f>
        <v>MX4KZWWMU</v>
      </c>
      <c r="B12479" t="s">
        <v>10</v>
      </c>
      <c r="C12479" t="s">
        <v>42</v>
      </c>
      <c r="D12479" t="str">
        <f>HYPERLINK("https://us2.cloudbeds.com/connect/10074733072513#/reservations/31714099802317?display=Dane%20Larson&amp;reservation_id=31714099802317&amp;guest_id=31714089910424", "Dane Larson")</f>
        <v>Dane Larson</v>
      </c>
      <c r="E12479" t="s">
        <v>11849</v>
      </c>
      <c r="F12479" t="s">
        <v>10750</v>
      </c>
      <c r="G12479">
        <v>338</v>
      </c>
      <c r="H12479">
        <v>367.42</v>
      </c>
      <c r="I12479">
        <v>367.41</v>
      </c>
      <c r="J12479">
        <v>0.01</v>
      </c>
    </row>
    <row r="12480" spans="1:10" x14ac:dyDescent="0.3">
      <c r="A12480" t="str">
        <f>HYPERLINK("https://us2.cloudbeds.com/connect/10074733072513#/reservations/31713943838941?display=MX4GPG2Y0&amp;reservation_id=31713943838941", "MX4GPG2Y0")</f>
        <v>MX4GPG2Y0</v>
      </c>
      <c r="B12480" t="s">
        <v>10</v>
      </c>
      <c r="C12480" t="s">
        <v>23</v>
      </c>
      <c r="D12480" t="str">
        <f>HYPERLINK("https://us2.cloudbeds.com/connect/10074733072513#/reservations/31713943838941?display=David%20Price&amp;reservation_id=31713943838941&amp;guest_id=31713943838939", "David Price")</f>
        <v>David Price</v>
      </c>
      <c r="E12480" t="s">
        <v>2293</v>
      </c>
      <c r="F12480" t="s">
        <v>11464</v>
      </c>
      <c r="G12480">
        <v>473.4</v>
      </c>
      <c r="H12480">
        <v>514.6</v>
      </c>
      <c r="I12480">
        <v>514.59</v>
      </c>
      <c r="J12480">
        <v>0.01</v>
      </c>
    </row>
    <row r="12481" spans="1:10" x14ac:dyDescent="0.3">
      <c r="A12481" t="str">
        <f>HYPERLINK("https://us2.cloudbeds.com/connect/10074733072513#/reservations/31701000650946?display=MHRG1EQ6W&amp;reservation_id=31701000650946", "MHRG1EQ6W")</f>
        <v>MHRG1EQ6W</v>
      </c>
      <c r="B12481" t="s">
        <v>10</v>
      </c>
      <c r="C12481" t="s">
        <v>42</v>
      </c>
      <c r="D12481" t="str">
        <f>HYPERLINK("https://us2.cloudbeds.com/connect/10074733072513#/reservations/31701000650946?display=Tonia%20Kvale&amp;reservation_id=31701000650946&amp;guest_id=31700991238315", "Tonia Kvale")</f>
        <v>Tonia Kvale</v>
      </c>
      <c r="E12481" t="s">
        <v>11850</v>
      </c>
      <c r="F12481" t="s">
        <v>11134</v>
      </c>
      <c r="G12481">
        <v>358</v>
      </c>
      <c r="H12481">
        <v>389.16</v>
      </c>
      <c r="I12481">
        <v>389.15</v>
      </c>
      <c r="J12481">
        <v>0.01</v>
      </c>
    </row>
    <row r="12482" spans="1:10" x14ac:dyDescent="0.3">
      <c r="A12482" t="str">
        <f>HYPERLINK("https://us2.cloudbeds.com/connect/10074733072513#/reservations/31701007253659?display=MHRG70HA6&amp;reservation_id=31701007253659", "MHRG70HA6")</f>
        <v>MHRG70HA6</v>
      </c>
      <c r="B12482" t="s">
        <v>10</v>
      </c>
      <c r="C12482" t="s">
        <v>42</v>
      </c>
      <c r="D12482" t="str">
        <f>HYPERLINK("https://us2.cloudbeds.com/connect/10074733072513#/reservations/31701007253659?display=Michelle%20Sanow&amp;reservation_id=31701007253659&amp;guest_id=31701000655043", "Michelle Sanow")</f>
        <v>Michelle Sanow</v>
      </c>
      <c r="E12482" t="s">
        <v>11851</v>
      </c>
      <c r="F12482" t="s">
        <v>11134</v>
      </c>
      <c r="G12482">
        <v>398</v>
      </c>
      <c r="H12482">
        <v>432.64</v>
      </c>
      <c r="I12482">
        <v>432.63</v>
      </c>
      <c r="J12482">
        <v>0.01</v>
      </c>
    </row>
    <row r="12483" spans="1:10" x14ac:dyDescent="0.3">
      <c r="A12483" t="str">
        <f>HYPERLINK("https://us2.cloudbeds.com/connect/10074733072513#/reservations/31700921315467?display=MHRE0X5HX&amp;reservation_id=31700921315467", "MHRE0X5HX")</f>
        <v>MHRE0X5HX</v>
      </c>
      <c r="B12483" t="s">
        <v>10</v>
      </c>
      <c r="C12483" t="s">
        <v>23</v>
      </c>
      <c r="D12483" t="str">
        <f>HYPERLINK("https://us2.cloudbeds.com/connect/10074733072513#/reservations/31700921315467?display=Diane%20Holte&amp;reservation_id=31700921315467&amp;guest_id=31700921315464", "Diane Holte")</f>
        <v>Diane Holte</v>
      </c>
      <c r="E12483" t="s">
        <v>11853</v>
      </c>
      <c r="F12483" t="s">
        <v>11134</v>
      </c>
      <c r="G12483">
        <v>298</v>
      </c>
      <c r="H12483">
        <v>323.94</v>
      </c>
      <c r="I12483">
        <v>323.93</v>
      </c>
      <c r="J12483">
        <v>0.01</v>
      </c>
    </row>
    <row r="12484" spans="1:10" x14ac:dyDescent="0.3">
      <c r="A12484" t="str">
        <f>HYPERLINK("https://us2.cloudbeds.com/connect/10074733072513#/reservations/31701814739184?display=MHS3RTWWH&amp;reservation_id=31701814739184", "MHS3RTWWH")</f>
        <v>MHS3RTWWH</v>
      </c>
      <c r="B12484" t="s">
        <v>10</v>
      </c>
      <c r="C12484" t="s">
        <v>42</v>
      </c>
      <c r="D12484" t="str">
        <f>HYPERLINK("https://us2.cloudbeds.com/connect/10074733072513#/reservations/31701814739184?display=Michelle%20Sanow&amp;reservation_id=31701814739184&amp;guest_id=31701000655043", "Michelle Sanow")</f>
        <v>Michelle Sanow</v>
      </c>
      <c r="E12484" t="s">
        <v>11851</v>
      </c>
      <c r="F12484" t="s">
        <v>11134</v>
      </c>
      <c r="G12484">
        <v>378</v>
      </c>
      <c r="H12484">
        <v>410.9</v>
      </c>
      <c r="I12484">
        <v>410.89</v>
      </c>
      <c r="J12484">
        <v>0.01</v>
      </c>
    </row>
    <row r="12485" spans="1:10" x14ac:dyDescent="0.3">
      <c r="A12485" t="str">
        <f>HYPERLINK("https://us2.cloudbeds.com/connect/10074733072513#/reservations/31718970331360?display=MX8D6VY53&amp;reservation_id=31718970331360", "MX8D6VY53")</f>
        <v>MX8D6VY53</v>
      </c>
      <c r="B12485" t="s">
        <v>10</v>
      </c>
      <c r="C12485" t="s">
        <v>42</v>
      </c>
      <c r="D12485" t="str">
        <f>HYPERLINK("https://us2.cloudbeds.com/connect/10074733072513#/reservations/31718970331360?display=Christy%20Bereghorst&amp;reservation_id=31718970331360&amp;guest_id=31718970327266", "Christy Bereghorst")</f>
        <v>Christy Bereghorst</v>
      </c>
      <c r="E12485" t="s">
        <v>11854</v>
      </c>
      <c r="F12485" t="s">
        <v>11821</v>
      </c>
      <c r="G12485">
        <v>139</v>
      </c>
      <c r="H12485">
        <v>151.1</v>
      </c>
      <c r="I12485">
        <v>151.09</v>
      </c>
      <c r="J12485">
        <v>0.01</v>
      </c>
    </row>
    <row r="12486" spans="1:10" x14ac:dyDescent="0.3">
      <c r="A12486" t="str">
        <f>HYPERLINK("https://us2.cloudbeds.com/connect/10074733072513#/reservations/31713218662624?display=MX3V7WWB3&amp;reservation_id=31713218662624", "MX3V7WWB3")</f>
        <v>MX3V7WWB3</v>
      </c>
      <c r="B12486" t="s">
        <v>10</v>
      </c>
      <c r="C12486" t="s">
        <v>42</v>
      </c>
      <c r="D12486" t="str">
        <f>HYPERLINK("https://us2.cloudbeds.com/connect/10074733072513#/reservations/31713218662624?display=James%20Smith&amp;reservation_id=31713218662624&amp;guest_id=31713218658528", "James Smith")</f>
        <v>James Smith</v>
      </c>
      <c r="E12486" t="s">
        <v>11855</v>
      </c>
      <c r="F12486" t="s">
        <v>11856</v>
      </c>
      <c r="G12486">
        <v>250</v>
      </c>
      <c r="H12486">
        <v>271.76</v>
      </c>
      <c r="I12486">
        <v>271.75</v>
      </c>
      <c r="J12486">
        <v>0.01</v>
      </c>
    </row>
    <row r="12487" spans="1:10" x14ac:dyDescent="0.3">
      <c r="A12487" t="str">
        <f>HYPERLINK("https://us2.cloudbeds.com/connect/10074733072513#/reservations/31718007865505?display=MX7YKCK44&amp;reservation_id=31718007865505", "MX7YKCK44")</f>
        <v>MX7YKCK44</v>
      </c>
      <c r="B12487" t="s">
        <v>10</v>
      </c>
      <c r="C12487" t="s">
        <v>42</v>
      </c>
      <c r="D12487" t="str">
        <f>HYPERLINK("https://us2.cloudbeds.com/connect/10074733072513#/reservations/31718007865505?display=James%20Whitcomb&amp;reservation_id=31718007865505&amp;guest_id=31718007861404", "James Whitcomb")</f>
        <v>James Whitcomb</v>
      </c>
      <c r="E12487" t="s">
        <v>11857</v>
      </c>
      <c r="F12487" t="s">
        <v>11680</v>
      </c>
      <c r="G12487">
        <v>73</v>
      </c>
      <c r="H12487">
        <v>79.36</v>
      </c>
      <c r="I12487">
        <v>79.349999999999994</v>
      </c>
      <c r="J12487">
        <v>0.01</v>
      </c>
    </row>
    <row r="12488" spans="1:10" x14ac:dyDescent="0.3">
      <c r="A12488" t="str">
        <f>HYPERLINK("https://us2.cloudbeds.com/connect/10074733072513#/reservations/31722586931395?display=MXB6KXSYX&amp;reservation_id=31722586931395", "MXB6KXSYX")</f>
        <v>MXB6KXSYX</v>
      </c>
      <c r="B12488" t="s">
        <v>10</v>
      </c>
      <c r="C12488" t="s">
        <v>121</v>
      </c>
      <c r="D12488" t="str">
        <f>HYPERLINK("https://us2.cloudbeds.com/connect/10074733072513#/reservations/31722586931395?display=Caleb%20Dockter&amp;reservation_id=31722586931395&amp;guest_id=31722586931393", "Caleb Dockter")</f>
        <v>Caleb Dockter</v>
      </c>
      <c r="E12488" t="s">
        <v>11583</v>
      </c>
      <c r="F12488" t="s">
        <v>11680</v>
      </c>
      <c r="G12488">
        <v>169</v>
      </c>
      <c r="H12488">
        <v>183.71</v>
      </c>
      <c r="I12488">
        <v>183.7</v>
      </c>
      <c r="J12488">
        <v>0.01</v>
      </c>
    </row>
    <row r="12489" spans="1:10" x14ac:dyDescent="0.3">
      <c r="A12489" t="str">
        <f>HYPERLINK("https://us2.cloudbeds.com/connect/10074733072513#/reservations/31711940862087?display=MX2VJH9PN&amp;reservation_id=31711940862087", "MX2VJH9PN")</f>
        <v>MX2VJH9PN</v>
      </c>
      <c r="B12489" t="s">
        <v>10</v>
      </c>
      <c r="C12489" t="s">
        <v>23</v>
      </c>
      <c r="D12489" t="str">
        <f>HYPERLINK("https://us2.cloudbeds.com/connect/10074733072513#/reservations/31711940862087?display=Moriah%20Callahan&amp;reservation_id=31711940862087&amp;guest_id=31711929467125", "Moriah Callahan")</f>
        <v>Moriah Callahan</v>
      </c>
      <c r="E12489" t="s">
        <v>11860</v>
      </c>
      <c r="F12489" t="s">
        <v>11721</v>
      </c>
      <c r="G12489">
        <v>218</v>
      </c>
      <c r="H12489">
        <v>236.98</v>
      </c>
      <c r="I12489">
        <v>236.97</v>
      </c>
      <c r="J12489">
        <v>0.01</v>
      </c>
    </row>
    <row r="12490" spans="1:10" x14ac:dyDescent="0.3">
      <c r="A12490" t="str">
        <f>HYPERLINK("https://us2.cloudbeds.com/connect/10074733072513#/reservations/31722576560350?display=MXB6BR96F&amp;reservation_id=31722576560350", "MXB6BR96F")</f>
        <v>MXB6BR96F</v>
      </c>
      <c r="B12490" t="s">
        <v>10</v>
      </c>
      <c r="C12490" t="s">
        <v>42</v>
      </c>
      <c r="D12490" t="str">
        <f>HYPERLINK("https://us2.cloudbeds.com/connect/10074733072513#/reservations/31722576560350?display=Liosdani%20Rojas&amp;reservation_id=31722576560350&amp;guest_id=31722576556269", "Liosdani Rojas")</f>
        <v>Liosdani Rojas</v>
      </c>
      <c r="E12490" t="s">
        <v>11861</v>
      </c>
      <c r="F12490" t="s">
        <v>11678</v>
      </c>
      <c r="G12490">
        <v>73</v>
      </c>
      <c r="H12490">
        <v>79.36</v>
      </c>
      <c r="I12490">
        <v>79.349999999999994</v>
      </c>
      <c r="J12490">
        <v>0.01</v>
      </c>
    </row>
    <row r="12491" spans="1:10" x14ac:dyDescent="0.3">
      <c r="A12491" t="str">
        <f>HYPERLINK("https://us2.cloudbeds.com/connect/10074733072513#/reservations/31721758085272?display=MXAXEM03B&amp;reservation_id=31721758085272", "MXAXEM03B")</f>
        <v>MXAXEM03B</v>
      </c>
      <c r="B12491" t="s">
        <v>10</v>
      </c>
      <c r="C12491" t="s">
        <v>42</v>
      </c>
      <c r="D12491" t="str">
        <f>HYPERLINK("https://us2.cloudbeds.com/connect/10074733072513#/reservations/31721758085272?display=Jennifer%20Hoffart&amp;reservation_id=31721758085272&amp;guest_id=31721045840033", "Jennifer Hoffart")</f>
        <v>Jennifer Hoffart</v>
      </c>
      <c r="E12491" t="s">
        <v>11285</v>
      </c>
      <c r="F12491" t="s">
        <v>11678</v>
      </c>
      <c r="G12491">
        <v>135</v>
      </c>
      <c r="H12491">
        <v>146.76</v>
      </c>
      <c r="I12491">
        <v>146.75</v>
      </c>
      <c r="J12491">
        <v>0.01</v>
      </c>
    </row>
    <row r="12492" spans="1:10" x14ac:dyDescent="0.3">
      <c r="A12492" t="str">
        <f>HYPERLINK("https://us2.cloudbeds.com/connect/10074733072513#/reservations/31713763139782?display=MX4C53SBU&amp;reservation_id=31713763139782", "MX4C53SBU")</f>
        <v>MX4C53SBU</v>
      </c>
      <c r="B12492" t="s">
        <v>10</v>
      </c>
      <c r="C12492" t="s">
        <v>42</v>
      </c>
      <c r="D12492" t="str">
        <f>HYPERLINK("https://us2.cloudbeds.com/connect/10074733072513#/reservations/31713763139782?display=Stacy%20Johnson&amp;reservation_id=31713763139782&amp;guest_id=31713763139779", "Stacy Johnson")</f>
        <v>Stacy Johnson</v>
      </c>
      <c r="E12492" t="s">
        <v>11864</v>
      </c>
      <c r="F12492" t="s">
        <v>11533</v>
      </c>
      <c r="G12492">
        <v>159</v>
      </c>
      <c r="H12492">
        <v>172.84</v>
      </c>
      <c r="I12492">
        <v>172.83</v>
      </c>
      <c r="J12492">
        <v>0.01</v>
      </c>
    </row>
    <row r="12493" spans="1:10" x14ac:dyDescent="0.3">
      <c r="A12493" t="str">
        <f>HYPERLINK("https://us2.cloudbeds.com/connect/10074733072513#/reservations/31713151037577?display=MX3TGW718&amp;reservation_id=31713151037577", "MX3TGW718")</f>
        <v>MX3TGW718</v>
      </c>
      <c r="B12493" t="s">
        <v>10</v>
      </c>
      <c r="C12493" t="s">
        <v>42</v>
      </c>
      <c r="D12493" t="str">
        <f>HYPERLINK("https://us2.cloudbeds.com/connect/10074733072513#/reservations/31713151037577?display=Karen%20Dokken&amp;reservation_id=31713151037577&amp;guest_id=31713143615727", "Karen Dokken")</f>
        <v>Karen Dokken</v>
      </c>
      <c r="E12493" t="s">
        <v>11865</v>
      </c>
      <c r="F12493" t="s">
        <v>11533</v>
      </c>
      <c r="G12493">
        <v>298</v>
      </c>
      <c r="H12493">
        <v>323.94</v>
      </c>
      <c r="I12493">
        <v>323.93</v>
      </c>
      <c r="J12493">
        <v>0.01</v>
      </c>
    </row>
    <row r="12494" spans="1:10" x14ac:dyDescent="0.3">
      <c r="A12494" t="str">
        <f>HYPERLINK("https://us2.cloudbeds.com/connect/10074733072513#/reservations/31718718496965?display=MX86PJW8Q&amp;reservation_id=31718718496965", "MX86PJW8Q")</f>
        <v>MX86PJW8Q</v>
      </c>
      <c r="B12494" t="s">
        <v>10</v>
      </c>
      <c r="C12494" t="s">
        <v>23</v>
      </c>
      <c r="D12494" t="str">
        <f>HYPERLINK("https://us2.cloudbeds.com/connect/10074733072513#/reservations/31718718496965?display=Jennifer%20Doolittle&amp;reservation_id=31718718496965&amp;guest_id=31718714015941", "Jennifer Doolittle")</f>
        <v>Jennifer Doolittle</v>
      </c>
      <c r="E12494" t="s">
        <v>11867</v>
      </c>
      <c r="F12494" t="s">
        <v>11675</v>
      </c>
      <c r="G12494">
        <v>218</v>
      </c>
      <c r="H12494">
        <v>236.98</v>
      </c>
      <c r="I12494">
        <v>236.97</v>
      </c>
      <c r="J12494">
        <v>0.01</v>
      </c>
    </row>
    <row r="12495" spans="1:10" x14ac:dyDescent="0.3">
      <c r="A12495" t="str">
        <f>HYPERLINK("https://us2.cloudbeds.com/connect/10074733072513#/reservations/31717402357901?display=MX764QFES&amp;reservation_id=31717402357901", "MX764QFES")</f>
        <v>MX764QFES</v>
      </c>
      <c r="B12495" t="s">
        <v>10</v>
      </c>
      <c r="C12495" t="s">
        <v>42</v>
      </c>
      <c r="D12495" t="str">
        <f>HYPERLINK("https://us2.cloudbeds.com/connect/10074733072513#/reservations/31717402357901?display=Alexander%20Ruble&amp;reservation_id=31717402357901&amp;guest_id=31695499837616", "Alexander Ruble")</f>
        <v>Alexander Ruble</v>
      </c>
      <c r="E12495" t="s">
        <v>8015</v>
      </c>
      <c r="F12495" t="s">
        <v>11868</v>
      </c>
      <c r="G12495">
        <v>119</v>
      </c>
      <c r="H12495">
        <v>129.36000000000001</v>
      </c>
      <c r="I12495">
        <v>129.35</v>
      </c>
      <c r="J12495">
        <v>0.01</v>
      </c>
    </row>
    <row r="12496" spans="1:10" x14ac:dyDescent="0.3">
      <c r="A12496" t="str">
        <f>HYPERLINK("https://us2.cloudbeds.com/connect/10074733072513#/reservations/31715961225379?display=MX62AJREC&amp;reservation_id=31715961225379", "MX62AJREC")</f>
        <v>MX62AJREC</v>
      </c>
      <c r="B12496" t="s">
        <v>10</v>
      </c>
      <c r="C12496" t="s">
        <v>23</v>
      </c>
      <c r="D12496" t="str">
        <f>HYPERLINK("https://us2.cloudbeds.com/connect/10074733072513#/reservations/31715961225379?display=Scott%20Berrier&amp;reservation_id=31715961225379&amp;guest_id=31715949478092", "Scott Berrier")</f>
        <v>Scott Berrier</v>
      </c>
      <c r="E12496" t="s">
        <v>11869</v>
      </c>
      <c r="F12496" t="s">
        <v>11748</v>
      </c>
      <c r="G12496">
        <v>298</v>
      </c>
      <c r="H12496">
        <v>323.94</v>
      </c>
      <c r="I12496">
        <v>323.93</v>
      </c>
      <c r="J12496">
        <v>0.01</v>
      </c>
    </row>
    <row r="12497" spans="1:10" x14ac:dyDescent="0.3">
      <c r="A12497" t="str">
        <f>HYPERLINK("https://us2.cloudbeds.com/connect/10074733072513#/reservations/31720202924183?display=MX9BNABYP&amp;reservation_id=31720202924183", "MX9BNABYP")</f>
        <v>MX9BNABYP</v>
      </c>
      <c r="B12497" t="s">
        <v>10</v>
      </c>
      <c r="C12497" t="s">
        <v>42</v>
      </c>
      <c r="D12497" t="str">
        <f>HYPERLINK("https://us2.cloudbeds.com/connect/10074733072513#/reservations/31720202924183?display=Tina%20Draayer&amp;reservation_id=31720202924183&amp;guest_id=31720194367690", "Tina Draayer")</f>
        <v>Tina Draayer</v>
      </c>
      <c r="E12497" t="s">
        <v>11870</v>
      </c>
      <c r="F12497" t="s">
        <v>11696</v>
      </c>
      <c r="G12497">
        <v>159</v>
      </c>
      <c r="H12497">
        <v>172.84</v>
      </c>
      <c r="I12497">
        <v>172.83</v>
      </c>
      <c r="J12497">
        <v>0.01</v>
      </c>
    </row>
    <row r="12498" spans="1:10" x14ac:dyDescent="0.3">
      <c r="A12498" t="str">
        <f>HYPERLINK("https://us2.cloudbeds.com/connect/10074733072513#/reservations/31713361465472?display=MX41TDXNV&amp;reservation_id=31713361465472", "MX41TDXNV")</f>
        <v>MX41TDXNV</v>
      </c>
      <c r="B12498" t="s">
        <v>10</v>
      </c>
      <c r="C12498" t="s">
        <v>42</v>
      </c>
      <c r="D12498" t="str">
        <f>HYPERLINK("https://us2.cloudbeds.com/connect/10074733072513#/reservations/31713361465472?display=Stacy%20Johnson&amp;reservation_id=31713361465472&amp;guest_id=31713361461378", "Stacy Johnson")</f>
        <v>Stacy Johnson</v>
      </c>
      <c r="E12498" t="s">
        <v>11865</v>
      </c>
      <c r="F12498" t="s">
        <v>11533</v>
      </c>
      <c r="G12498">
        <v>149</v>
      </c>
      <c r="H12498">
        <v>161.97</v>
      </c>
      <c r="I12498">
        <v>161.96</v>
      </c>
      <c r="J12498">
        <v>0.01</v>
      </c>
    </row>
    <row r="12499" spans="1:10" x14ac:dyDescent="0.3">
      <c r="A12499" t="str">
        <f>HYPERLINK("https://us2.cloudbeds.com/connect/10074733072513#/reservations/31717988683986?display=MX7Y46S7W&amp;reservation_id=31717988683986", "MX7Y46S7W")</f>
        <v>MX7Y46S7W</v>
      </c>
      <c r="B12499" t="s">
        <v>10</v>
      </c>
      <c r="C12499" t="s">
        <v>42</v>
      </c>
      <c r="D12499" t="str">
        <f>HYPERLINK("https://us2.cloudbeds.com/connect/10074733072513#/reservations/31717988683986?display=Courtney%20Brinks&amp;reservation_id=31717988683986&amp;guest_id=31717988683983", "Courtney Brinks")</f>
        <v>Courtney Brinks</v>
      </c>
      <c r="E12499" t="s">
        <v>11871</v>
      </c>
      <c r="F12499" t="s">
        <v>11051</v>
      </c>
      <c r="G12499">
        <v>149</v>
      </c>
      <c r="H12499">
        <v>161.97</v>
      </c>
      <c r="I12499">
        <v>161.96</v>
      </c>
      <c r="J12499">
        <v>0.01</v>
      </c>
    </row>
    <row r="12500" spans="1:10" x14ac:dyDescent="0.3">
      <c r="A12500" t="str">
        <f>HYPERLINK("https://us2.cloudbeds.com/connect/10074733072513#/reservations/31720166912202?display=MX9APV8QK&amp;reservation_id=31720166912202", "MX9APV8QK")</f>
        <v>MX9APV8QK</v>
      </c>
      <c r="B12500" t="s">
        <v>10</v>
      </c>
      <c r="C12500" t="s">
        <v>23</v>
      </c>
      <c r="D12500" t="str">
        <f>HYPERLINK("https://us2.cloudbeds.com/connect/10074733072513#/reservations/31720166912202?display=Cherrisse%20Crane&amp;reservation_id=31720166912202&amp;guest_id=31720166912196", "Cherrisse Crane")</f>
        <v>Cherrisse Crane</v>
      </c>
      <c r="E12500" t="s">
        <v>11876</v>
      </c>
      <c r="F12500" t="s">
        <v>11196</v>
      </c>
      <c r="G12500">
        <v>97.74</v>
      </c>
      <c r="H12500">
        <v>106.25</v>
      </c>
      <c r="I12500">
        <v>106.24</v>
      </c>
      <c r="J12500">
        <v>0.01</v>
      </c>
    </row>
    <row r="12501" spans="1:10" x14ac:dyDescent="0.3">
      <c r="A12501" t="str">
        <f>HYPERLINK("https://us2.cloudbeds.com/connect/10074733072513#/reservations/31700910362763?display=MHRDZACVD&amp;reservation_id=31700910362763", "MHRDZACVD")</f>
        <v>MHRDZACVD</v>
      </c>
      <c r="B12501" t="s">
        <v>10</v>
      </c>
      <c r="C12501" t="s">
        <v>42</v>
      </c>
      <c r="D12501" t="str">
        <f>HYPERLINK("https://us2.cloudbeds.com/connect/10074733072513#/reservations/31700910362763?display=Brenda%20Reedy&amp;reservation_id=31700910362763&amp;guest_id=31700901638396", "Brenda Reedy")</f>
        <v>Brenda Reedy</v>
      </c>
      <c r="E12501" t="s">
        <v>11877</v>
      </c>
      <c r="F12501" t="s">
        <v>11134</v>
      </c>
      <c r="G12501">
        <v>298</v>
      </c>
      <c r="H12501">
        <v>323.94</v>
      </c>
      <c r="I12501">
        <v>323.93</v>
      </c>
      <c r="J12501">
        <v>0.01</v>
      </c>
    </row>
    <row r="12502" spans="1:10" x14ac:dyDescent="0.3">
      <c r="A12502" t="str">
        <f>HYPERLINK("https://us2.cloudbeds.com/connect/10074733072513#/reservations/31721641697446?display=MXAFFHB7X&amp;reservation_id=31721641697446", "MXAFFHB7X")</f>
        <v>MXAFFHB7X</v>
      </c>
      <c r="B12502" t="s">
        <v>10</v>
      </c>
      <c r="C12502" t="s">
        <v>42</v>
      </c>
      <c r="D12502" t="str">
        <f>HYPERLINK("https://us2.cloudbeds.com/connect/10074733072513#/reservations/31721641697446?display=Sarah%20Foss&amp;reservation_id=31721641697446&amp;guest_id=31721641697442", "Sarah Foss")</f>
        <v>Sarah Foss</v>
      </c>
      <c r="E12502" t="s">
        <v>11879</v>
      </c>
      <c r="F12502" t="s">
        <v>11196</v>
      </c>
      <c r="G12502">
        <v>149</v>
      </c>
      <c r="H12502">
        <v>161.97</v>
      </c>
      <c r="I12502">
        <v>161.96</v>
      </c>
      <c r="J12502">
        <v>0.01</v>
      </c>
    </row>
    <row r="12503" spans="1:10" x14ac:dyDescent="0.3">
      <c r="A12503" t="str">
        <f>HYPERLINK("https://us2.cloudbeds.com/connect/10074733072513#/reservations/31714535977163?display=MX4VTQ6XG&amp;reservation_id=31714535977163", "MX4VTQ6XG")</f>
        <v>MX4VTQ6XG</v>
      </c>
      <c r="B12503" t="s">
        <v>10</v>
      </c>
      <c r="C12503" t="s">
        <v>23</v>
      </c>
      <c r="D12503" t="str">
        <f>HYPERLINK("https://us2.cloudbeds.com/connect/10074733072513#/reservations/31714535977163?display=Bob%20Decker&amp;reservation_id=31714535977163&amp;guest_id=31714535973071", "Bob Decker")</f>
        <v>Bob Decker</v>
      </c>
      <c r="E12503" t="s">
        <v>11880</v>
      </c>
      <c r="F12503" t="s">
        <v>8603</v>
      </c>
      <c r="G12503">
        <v>247.96</v>
      </c>
      <c r="H12503">
        <v>269.54000000000002</v>
      </c>
      <c r="I12503">
        <v>269.52999999999997</v>
      </c>
      <c r="J12503">
        <v>0.01</v>
      </c>
    </row>
    <row r="12504" spans="1:10" x14ac:dyDescent="0.3">
      <c r="A12504" t="str">
        <f>HYPERLINK("https://us2.cloudbeds.com/connect/10074733072513#/reservations/31717736599795?display=MX7EMY7W3&amp;reservation_id=31717736599795", "MX7EMY7W3")</f>
        <v>MX7EMY7W3</v>
      </c>
      <c r="B12504" t="s">
        <v>10</v>
      </c>
      <c r="C12504" t="s">
        <v>23</v>
      </c>
      <c r="D12504" t="str">
        <f>HYPERLINK("https://us2.cloudbeds.com/connect/10074733072513#/reservations/31717736599795?display=Melanie%20Garlitch&amp;reservation_id=31717736599795&amp;guest_id=31717728604377", "Melanie Garlitch")</f>
        <v>Melanie Garlitch</v>
      </c>
      <c r="E12504" t="s">
        <v>11881</v>
      </c>
      <c r="F12504" t="s">
        <v>11536</v>
      </c>
      <c r="G12504">
        <v>149</v>
      </c>
      <c r="H12504">
        <v>161.97</v>
      </c>
      <c r="I12504">
        <v>161.96</v>
      </c>
      <c r="J12504">
        <v>0.01</v>
      </c>
    </row>
    <row r="12505" spans="1:10" x14ac:dyDescent="0.3">
      <c r="A12505" t="str">
        <f>HYPERLINK("https://us2.cloudbeds.com/connect/10074733072513#/reservations/31711951806679?display=MX2VSZRU0&amp;reservation_id=31711951806679", "MX2VSZRU0")</f>
        <v>MX2VSZRU0</v>
      </c>
      <c r="B12505" t="s">
        <v>10</v>
      </c>
      <c r="C12505" t="s">
        <v>42</v>
      </c>
      <c r="D12505" t="str">
        <f>HYPERLINK("https://us2.cloudbeds.com/connect/10074733072513#/reservations/31711951806679?display=Joseph%20Schwartz&amp;reservation_id=31711951806679&amp;guest_id=31711951806674", "Joseph Schwartz")</f>
        <v>Joseph Schwartz</v>
      </c>
      <c r="E12505" t="s">
        <v>11882</v>
      </c>
      <c r="F12505" t="s">
        <v>11721</v>
      </c>
      <c r="G12505">
        <v>119</v>
      </c>
      <c r="H12505">
        <v>129.36000000000001</v>
      </c>
      <c r="I12505">
        <v>129.35</v>
      </c>
      <c r="J12505">
        <v>0.01</v>
      </c>
    </row>
    <row r="12506" spans="1:10" x14ac:dyDescent="0.3">
      <c r="A12506" t="str">
        <f>HYPERLINK("https://us2.cloudbeds.com/connect/10074733072513#/reservations/31718732177560?display=MX8744YQ8&amp;reservation_id=31718732177560", "MX8744YQ8")</f>
        <v>MX8744YQ8</v>
      </c>
      <c r="B12506" t="s">
        <v>10</v>
      </c>
      <c r="C12506" t="s">
        <v>42</v>
      </c>
      <c r="D12506" t="str">
        <f>HYPERLINK("https://us2.cloudbeds.com/connect/10074733072513#/reservations/31718732177560?display=Donald%20Hughes&amp;reservation_id=31718732177560&amp;guest_id=31718718501063", "Donald Hughes")</f>
        <v>Donald Hughes</v>
      </c>
      <c r="E12506" t="s">
        <v>11884</v>
      </c>
      <c r="F12506" t="s">
        <v>11196</v>
      </c>
      <c r="G12506">
        <v>149</v>
      </c>
      <c r="H12506">
        <v>161.97</v>
      </c>
      <c r="I12506">
        <v>161.96</v>
      </c>
      <c r="J12506">
        <v>0.01</v>
      </c>
    </row>
    <row r="12507" spans="1:10" x14ac:dyDescent="0.3">
      <c r="A12507" t="str">
        <f>HYPERLINK("https://us2.cloudbeds.com/connect/10074733072513#/reservations/31712776581322?display=MX3JV7DZ0&amp;reservation_id=31712776581322", "MX3JV7DZ0")</f>
        <v>MX3JV7DZ0</v>
      </c>
      <c r="B12507" t="s">
        <v>10</v>
      </c>
      <c r="C12507" t="s">
        <v>23</v>
      </c>
      <c r="D12507" t="str">
        <f>HYPERLINK("https://us2.cloudbeds.com/connect/10074733072513#/reservations/31712776581322?display=Robert%20Decker&amp;reservation_id=31712776581322&amp;guest_id=31712776577228", "Robert Decker")</f>
        <v>Robert Decker</v>
      </c>
      <c r="E12507" t="s">
        <v>11885</v>
      </c>
      <c r="F12507" t="s">
        <v>8603</v>
      </c>
      <c r="G12507">
        <v>247.96</v>
      </c>
      <c r="H12507">
        <v>269.54000000000002</v>
      </c>
      <c r="I12507">
        <v>269.52999999999997</v>
      </c>
      <c r="J12507">
        <v>0.01</v>
      </c>
    </row>
    <row r="12508" spans="1:10" x14ac:dyDescent="0.3">
      <c r="A12508" t="str">
        <f>HYPERLINK("https://us2.cloudbeds.com/connect/10074733072513#/reservations/31711352299687?display=MX2GX7MEF&amp;reservation_id=31711352299687", "MX2GX7MEF")</f>
        <v>MX2GX7MEF</v>
      </c>
      <c r="B12508" t="s">
        <v>10</v>
      </c>
      <c r="C12508" t="s">
        <v>42</v>
      </c>
      <c r="D12508" t="str">
        <f>HYPERLINK("https://us2.cloudbeds.com/connect/10074733072513#/reservations/31711352299687?display=Tom%20Williams&amp;reservation_id=31711352299687&amp;guest_id=31711352299682", "Tom Williams")</f>
        <v>Tom Williams</v>
      </c>
      <c r="E12508" t="s">
        <v>11886</v>
      </c>
      <c r="F12508" t="s">
        <v>8603</v>
      </c>
      <c r="G12508">
        <v>378</v>
      </c>
      <c r="H12508">
        <v>410.9</v>
      </c>
      <c r="I12508">
        <v>410.89</v>
      </c>
      <c r="J12508">
        <v>0.01</v>
      </c>
    </row>
    <row r="12509" spans="1:10" x14ac:dyDescent="0.3">
      <c r="A12509" t="str">
        <f>HYPERLINK("https://us2.cloudbeds.com/connect/10074733072513#/reservations/31716993810585?display=MX6SNA174&amp;reservation_id=31716993810585", "MX6SNA174")</f>
        <v>MX6SNA174</v>
      </c>
      <c r="B12509" t="s">
        <v>10</v>
      </c>
      <c r="C12509" t="s">
        <v>23</v>
      </c>
      <c r="D12509" t="str">
        <f>HYPERLINK("https://us2.cloudbeds.com/connect/10074733072513#/reservations/31716993810585?display=Donna%20Rossow&amp;reservation_id=31716993810585&amp;guest_id=31716979773581", "Donna Rossow")</f>
        <v>Donna Rossow</v>
      </c>
      <c r="E12509" t="s">
        <v>11887</v>
      </c>
      <c r="F12509" t="s">
        <v>11516</v>
      </c>
      <c r="G12509">
        <v>139</v>
      </c>
      <c r="H12509">
        <v>151.1</v>
      </c>
      <c r="I12509">
        <v>151.09</v>
      </c>
      <c r="J12509">
        <v>0.01</v>
      </c>
    </row>
    <row r="12510" spans="1:10" x14ac:dyDescent="0.3">
      <c r="A12510" t="str">
        <f>HYPERLINK("https://us2.cloudbeds.com/connect/10074733072513#/reservations/31714068971681?display=MX4JW02Z7&amp;reservation_id=31714068971681", "MX4JW02Z7")</f>
        <v>MX4JW02Z7</v>
      </c>
      <c r="B12510" t="s">
        <v>10</v>
      </c>
      <c r="C12510" t="s">
        <v>42</v>
      </c>
      <c r="D12510" t="str">
        <f>HYPERLINK("https://us2.cloudbeds.com/connect/10074733072513#/reservations/31714068971681?display=Molly%20Redpath&amp;reservation_id=31714068971681&amp;guest_id=31714068967597", "Molly Redpath")</f>
        <v>Molly Redpath</v>
      </c>
      <c r="E12510" t="s">
        <v>11889</v>
      </c>
      <c r="F12510" t="s">
        <v>11087</v>
      </c>
      <c r="G12510">
        <v>209</v>
      </c>
      <c r="H12510">
        <v>227.19</v>
      </c>
      <c r="I12510">
        <v>227.18</v>
      </c>
      <c r="J12510">
        <v>0.01</v>
      </c>
    </row>
    <row r="12511" spans="1:10" x14ac:dyDescent="0.3">
      <c r="A12511" t="str">
        <f>HYPERLINK("https://us2.cloudbeds.com/connect/10074733072513#/reservations/31719269904524?display=MX8KSXN9P&amp;reservation_id=31719269904524", "MX8KSXN9P")</f>
        <v>MX8KSXN9P</v>
      </c>
      <c r="B12511" t="s">
        <v>10</v>
      </c>
      <c r="C12511" t="s">
        <v>42</v>
      </c>
      <c r="D12511" t="str">
        <f>HYPERLINK("https://us2.cloudbeds.com/connect/10074733072513#/reservations/31719269904524?display=Carter%20Sergeant&amp;reservation_id=31719269904524&amp;guest_id=31719269904519", "Carter Sergeant")</f>
        <v>Carter Sergeant</v>
      </c>
      <c r="E12511" t="s">
        <v>11891</v>
      </c>
      <c r="F12511" t="s">
        <v>11516</v>
      </c>
      <c r="G12511">
        <v>278</v>
      </c>
      <c r="H12511">
        <v>302.2</v>
      </c>
      <c r="I12511">
        <v>302.19</v>
      </c>
      <c r="J12511">
        <v>0.01</v>
      </c>
    </row>
    <row r="12512" spans="1:10" x14ac:dyDescent="0.3">
      <c r="A12512" t="str">
        <f>HYPERLINK("https://us2.cloudbeds.com/connect/10074733072513#/reservations/31713894633620?display=MX4FGWSMM&amp;reservation_id=31713894633620", "MX4FGWSMM")</f>
        <v>MX4FGWSMM</v>
      </c>
      <c r="B12512" t="s">
        <v>10</v>
      </c>
      <c r="C12512" t="s">
        <v>23</v>
      </c>
      <c r="D12512" t="str">
        <f>HYPERLINK("https://us2.cloudbeds.com/connect/10074733072513#/reservations/31713894633620?display=Rebecca%20Botten&amp;reservation_id=31713894633620&amp;guest_id=31713890496696", "Rebecca Botten")</f>
        <v>Rebecca Botten</v>
      </c>
      <c r="E12512" t="s">
        <v>11892</v>
      </c>
      <c r="F12512" t="s">
        <v>11464</v>
      </c>
      <c r="G12512">
        <v>109</v>
      </c>
      <c r="H12512">
        <v>118.49</v>
      </c>
      <c r="I12512">
        <v>118.48</v>
      </c>
      <c r="J12512">
        <v>0.01</v>
      </c>
    </row>
    <row r="12513" spans="1:10" x14ac:dyDescent="0.3">
      <c r="A12513" t="str">
        <f>HYPERLINK("https://us2.cloudbeds.com/connect/10074733072513#/reservations/31720089227487?display=MX98QEXWB&amp;reservation_id=31720089227487", "MX98QEXWB")</f>
        <v>MX98QEXWB</v>
      </c>
      <c r="B12513" t="s">
        <v>10</v>
      </c>
      <c r="C12513" t="s">
        <v>42</v>
      </c>
      <c r="D12513" t="str">
        <f>HYPERLINK("https://us2.cloudbeds.com/connect/10074733072513#/reservations/31720089227487?display=German%20Varela%20Recinos&amp;reservation_id=31720089227487&amp;guest_id=31720089227465", "German Varela Recinos")</f>
        <v>German Varela Recinos</v>
      </c>
      <c r="E12513" t="s">
        <v>11524</v>
      </c>
      <c r="F12513" t="s">
        <v>11893</v>
      </c>
      <c r="G12513">
        <v>109</v>
      </c>
      <c r="H12513">
        <v>118.49</v>
      </c>
      <c r="I12513">
        <v>118.48</v>
      </c>
      <c r="J12513">
        <v>0.01</v>
      </c>
    </row>
    <row r="12514" spans="1:10" x14ac:dyDescent="0.3">
      <c r="A12514" t="str">
        <f>HYPERLINK("https://us2.cloudbeds.com/connect/10074733072513#/reservations/31715630248129?display=MX5QSGTZZ&amp;reservation_id=31715630248129", "MX5QSGTZZ")</f>
        <v>MX5QSGTZZ</v>
      </c>
      <c r="B12514" t="s">
        <v>10</v>
      </c>
      <c r="C12514" t="s">
        <v>23</v>
      </c>
      <c r="D12514" t="str">
        <f>HYPERLINK("https://us2.cloudbeds.com/connect/10074733072513#/reservations/31715630248129?display=Chris%20Ashburn&amp;reservation_id=31715630248129&amp;guest_id=31715616792736", "Chris Ashburn")</f>
        <v>Chris Ashburn</v>
      </c>
      <c r="E12514" t="s">
        <v>11895</v>
      </c>
      <c r="F12514" t="s">
        <v>11485</v>
      </c>
      <c r="G12514">
        <v>298</v>
      </c>
      <c r="H12514">
        <v>323.94</v>
      </c>
      <c r="I12514">
        <v>323.93</v>
      </c>
      <c r="J12514">
        <v>0.01</v>
      </c>
    </row>
    <row r="12515" spans="1:10" x14ac:dyDescent="0.3">
      <c r="A12515" t="str">
        <f>HYPERLINK("https://us2.cloudbeds.com/connect/10074733072513#/reservations/31717357404364?display=MX74WTXQF&amp;reservation_id=31717357404364", "MX74WTXQF")</f>
        <v>MX74WTXQF</v>
      </c>
      <c r="B12515" t="s">
        <v>10</v>
      </c>
      <c r="C12515" t="s">
        <v>42</v>
      </c>
      <c r="D12515" t="str">
        <f>HYPERLINK("https://us2.cloudbeds.com/connect/10074733072513#/reservations/31717357404364?display=Teresa%20Sobiech&amp;reservation_id=31717357404364&amp;guest_id=31686677266624", "Teresa Sobiech")</f>
        <v>Teresa Sobiech</v>
      </c>
      <c r="E12515" t="s">
        <v>7979</v>
      </c>
      <c r="F12515" t="s">
        <v>11868</v>
      </c>
      <c r="G12515">
        <v>252</v>
      </c>
      <c r="H12515">
        <v>273.93</v>
      </c>
      <c r="I12515">
        <v>273.92</v>
      </c>
      <c r="J12515">
        <v>0.01</v>
      </c>
    </row>
    <row r="12516" spans="1:10" x14ac:dyDescent="0.3">
      <c r="A12516" t="str">
        <f>HYPERLINK("https://us2.cloudbeds.com/connect/10074733072513#/reservations/31717350097076?display=MX74QZ7NG&amp;reservation_id=31717350097076", "MX74QZ7NG")</f>
        <v>MX74QZ7NG</v>
      </c>
      <c r="B12516" t="s">
        <v>10</v>
      </c>
      <c r="C12516" t="s">
        <v>42</v>
      </c>
      <c r="D12516" t="str">
        <f>HYPERLINK("https://us2.cloudbeds.com/connect/10074733072513#/reservations/31717350097076?display=Felipe%20Cortes&amp;reservation_id=31717350097076&amp;guest_id=31717350097061", "Felipe Cortes")</f>
        <v>Felipe Cortes</v>
      </c>
      <c r="E12516" t="s">
        <v>11896</v>
      </c>
      <c r="F12516" t="s">
        <v>11868</v>
      </c>
      <c r="G12516">
        <v>73</v>
      </c>
      <c r="H12516">
        <v>79.36</v>
      </c>
      <c r="I12516">
        <v>79.349999999999994</v>
      </c>
      <c r="J12516">
        <v>0.01</v>
      </c>
    </row>
    <row r="12517" spans="1:10" x14ac:dyDescent="0.3">
      <c r="A12517" t="str">
        <f>HYPERLINK("https://us2.cloudbeds.com/connect/10074733072513#/reservations/31715876028553?display=MX604P3EC&amp;reservation_id=31715876028553", "MX604P3EC")</f>
        <v>MX604P3EC</v>
      </c>
      <c r="B12517" t="s">
        <v>10</v>
      </c>
      <c r="C12517" t="s">
        <v>42</v>
      </c>
      <c r="D12517" t="str">
        <f>HYPERLINK("https://us2.cloudbeds.com/connect/10074733072513#/reservations/31715876028553?display=Carmhenn%20Henn&amp;reservation_id=31715876028553&amp;guest_id=31715876024459", "Carmhenn Henn")</f>
        <v>Carmhenn Henn</v>
      </c>
      <c r="E12517" t="s">
        <v>11899</v>
      </c>
      <c r="F12517" t="s">
        <v>11027</v>
      </c>
      <c r="G12517">
        <v>378</v>
      </c>
      <c r="H12517">
        <v>410.9</v>
      </c>
      <c r="I12517">
        <v>410.89</v>
      </c>
      <c r="J12517">
        <v>0.01</v>
      </c>
    </row>
    <row r="12518" spans="1:10" x14ac:dyDescent="0.3">
      <c r="A12518" t="str">
        <f>HYPERLINK("https://us2.cloudbeds.com/connect/10074733072513#/reservations/31713818546431?display=MX4DXRKR9&amp;reservation_id=31713818546431", "MX4DXRKR9")</f>
        <v>MX4DXRKR9</v>
      </c>
      <c r="B12518" t="s">
        <v>10</v>
      </c>
      <c r="C12518" t="s">
        <v>23</v>
      </c>
      <c r="D12518" t="str">
        <f>HYPERLINK("https://us2.cloudbeds.com/connect/10074733072513#/reservations/31713818546431?display=Nathan%20Wright&amp;reservation_id=31713818546431&amp;guest_id=31713818546371", "Nathan Wright")</f>
        <v>Nathan Wright</v>
      </c>
      <c r="E12518" t="s">
        <v>11900</v>
      </c>
      <c r="F12518" t="s">
        <v>10250</v>
      </c>
      <c r="G12518">
        <v>249</v>
      </c>
      <c r="H12518">
        <v>270.67</v>
      </c>
      <c r="I12518">
        <v>270.66000000000003</v>
      </c>
      <c r="J12518">
        <v>0.01</v>
      </c>
    </row>
    <row r="12519" spans="1:10" x14ac:dyDescent="0.3">
      <c r="A12519" t="str">
        <f>HYPERLINK("https://us2.cloudbeds.com/connect/10074733072513#/reservations/31720054526100?display=MX97U5VK5&amp;reservation_id=31720054526100", "MX97U5VK5")</f>
        <v>MX97U5VK5</v>
      </c>
      <c r="B12519" t="s">
        <v>10</v>
      </c>
      <c r="C12519" t="s">
        <v>121</v>
      </c>
      <c r="D12519" t="str">
        <f>HYPERLINK("https://us2.cloudbeds.com/connect/10074733072513#/reservations/31720054526100?display=Vyacheslav%20Vrublevskiy&amp;reservation_id=31720054526100&amp;guest_id=31720054526097", "Vyacheslav Vrublevskiy")</f>
        <v>Vyacheslav Vrublevskiy</v>
      </c>
      <c r="E12519" t="s">
        <v>11902</v>
      </c>
      <c r="F12519" t="s">
        <v>11893</v>
      </c>
      <c r="G12519">
        <v>109</v>
      </c>
      <c r="H12519">
        <v>118.49</v>
      </c>
      <c r="I12519">
        <v>118.48</v>
      </c>
      <c r="J12519">
        <v>0.01</v>
      </c>
    </row>
    <row r="12520" spans="1:10" x14ac:dyDescent="0.3">
      <c r="A12520" t="str">
        <f>HYPERLINK("https://us2.cloudbeds.com/connect/10074733072513#/reservations/31715575419095?display=MX5PF96MQ&amp;reservation_id=31715575419095", "MX5PF96MQ")</f>
        <v>MX5PF96MQ</v>
      </c>
      <c r="B12520" t="s">
        <v>10</v>
      </c>
      <c r="C12520" t="s">
        <v>42</v>
      </c>
      <c r="D12520" t="str">
        <f>HYPERLINK("https://us2.cloudbeds.com/connect/10074733072513#/reservations/31715575419095?display=Cheryl%20Cicio&amp;reservation_id=31715575419095&amp;guest_id=31715556987014", "Cheryl Cicio")</f>
        <v>Cheryl Cicio</v>
      </c>
      <c r="E12520" t="s">
        <v>11903</v>
      </c>
      <c r="F12520" t="s">
        <v>11904</v>
      </c>
      <c r="G12520">
        <v>322.2</v>
      </c>
      <c r="H12520">
        <v>350.24</v>
      </c>
      <c r="I12520">
        <v>350.23</v>
      </c>
      <c r="J12520">
        <v>0.01</v>
      </c>
    </row>
    <row r="12521" spans="1:10" x14ac:dyDescent="0.3">
      <c r="A12521" t="str">
        <f>HYPERLINK("https://us2.cloudbeds.com/connect/10074733072513#/reservations/31700859420894?display=MHRCEBSCE&amp;reservation_id=31700859420894", "MHRCEBSCE")</f>
        <v>MHRCEBSCE</v>
      </c>
      <c r="B12521" t="s">
        <v>10</v>
      </c>
      <c r="C12521" t="s">
        <v>42</v>
      </c>
      <c r="D12521" t="str">
        <f>HYPERLINK("https://us2.cloudbeds.com/connect/10074733072513#/reservations/31700859420894?display=Mark%20Sanow&amp;reservation_id=31700859420894&amp;guest_id=31700852686982", "Mark Sanow")</f>
        <v>Mark Sanow</v>
      </c>
      <c r="E12521" t="s">
        <v>11905</v>
      </c>
      <c r="F12521" t="s">
        <v>11134</v>
      </c>
      <c r="G12521">
        <v>418</v>
      </c>
      <c r="H12521">
        <v>454.38</v>
      </c>
      <c r="I12521">
        <v>454.37</v>
      </c>
      <c r="J12521">
        <v>0.01</v>
      </c>
    </row>
    <row r="12522" spans="1:10" x14ac:dyDescent="0.3">
      <c r="A12522" t="str">
        <f>HYPERLINK("https://us2.cloudbeds.com/connect/10074733072513#/reservations/31720982347969?display=MX9VKHVWC&amp;reservation_id=31720982347969", "MX9VKHVWC")</f>
        <v>MX9VKHVWC</v>
      </c>
      <c r="B12522" t="s">
        <v>10</v>
      </c>
      <c r="C12522" t="s">
        <v>42</v>
      </c>
      <c r="D12522" t="str">
        <f>HYPERLINK("https://us2.cloudbeds.com/connect/10074733072513#/reservations/31720982347969?display=Brandon%20Scherman&amp;reservation_id=31720982347969&amp;guest_id=31720961618083", "Brandon Scherman")</f>
        <v>Brandon Scherman</v>
      </c>
      <c r="E12522" t="s">
        <v>11906</v>
      </c>
      <c r="F12522" t="s">
        <v>11873</v>
      </c>
      <c r="G12522">
        <v>119</v>
      </c>
      <c r="H12522">
        <v>129.36000000000001</v>
      </c>
      <c r="I12522">
        <v>129.35</v>
      </c>
      <c r="J12522">
        <v>0.01</v>
      </c>
    </row>
    <row r="12523" spans="1:10" x14ac:dyDescent="0.3">
      <c r="A12523" t="str">
        <f>HYPERLINK("https://us2.cloudbeds.com/connect/10074733072513#/reservations/31720946487497?display=MX9UNA38D&amp;reservation_id=31720946487497", "MX9UNA38D")</f>
        <v>MX9UNA38D</v>
      </c>
      <c r="B12523" t="s">
        <v>10</v>
      </c>
      <c r="C12523" t="s">
        <v>42</v>
      </c>
      <c r="D12523" t="str">
        <f>HYPERLINK("https://us2.cloudbeds.com/connect/10074733072513#/reservations/31720946487497?display=Mahlaha%20Mapiloko&amp;reservation_id=31720946487497&amp;guest_id=30667313311984", "Mahlaha Mapiloko")</f>
        <v>Mahlaha Mapiloko</v>
      </c>
      <c r="E12523" t="s">
        <v>11615</v>
      </c>
      <c r="F12523" t="s">
        <v>11873</v>
      </c>
      <c r="G12523">
        <v>73</v>
      </c>
      <c r="H12523">
        <v>79.36</v>
      </c>
      <c r="I12523">
        <v>79.349999999999994</v>
      </c>
      <c r="J12523">
        <v>0.01</v>
      </c>
    </row>
    <row r="12524" spans="1:10" x14ac:dyDescent="0.3">
      <c r="A12524" t="str">
        <f>HYPERLINK("https://us2.cloudbeds.com/connect/10074733072513#/reservations/31717914247368?display=MX7J7EX1T&amp;reservation_id=31717914247368", "MX7J7EX1T")</f>
        <v>MX7J7EX1T</v>
      </c>
      <c r="B12524" t="s">
        <v>10</v>
      </c>
      <c r="C12524" t="s">
        <v>23</v>
      </c>
      <c r="D12524" t="str">
        <f>HYPERLINK("https://us2.cloudbeds.com/connect/10074733072513#/reservations/31717914247368?display=Heidi%20Schmit&amp;reservation_id=31717914247368&amp;guest_id=31717910610049", "Heidi Schmit")</f>
        <v>Heidi Schmit</v>
      </c>
      <c r="E12524" t="s">
        <v>11908</v>
      </c>
      <c r="F12524" t="s">
        <v>11051</v>
      </c>
      <c r="G12524">
        <v>179</v>
      </c>
      <c r="H12524">
        <v>194.58</v>
      </c>
      <c r="I12524">
        <v>194.57</v>
      </c>
      <c r="J12524">
        <v>0.01</v>
      </c>
    </row>
    <row r="12525" spans="1:10" x14ac:dyDescent="0.3">
      <c r="A12525" t="str">
        <f>HYPERLINK("https://us2.cloudbeds.com/connect/10074733072513#/reservations/31719782711471?display=MX90VWAD7&amp;reservation_id=31719782711471", "MX90VWAD7")</f>
        <v>MX90VWAD7</v>
      </c>
      <c r="B12525" t="s">
        <v>10</v>
      </c>
      <c r="C12525" t="s">
        <v>42</v>
      </c>
      <c r="D12525" t="str">
        <f>HYPERLINK("https://us2.cloudbeds.com/connect/10074733072513#/reservations/31719782711471?display=Mark%20Steigleder&amp;reservation_id=31719782711471&amp;guest_id=31700861939846", "Mark Steigleder")</f>
        <v>Mark Steigleder</v>
      </c>
      <c r="E12525" t="s">
        <v>8106</v>
      </c>
      <c r="F12525" t="s">
        <v>11873</v>
      </c>
      <c r="G12525">
        <v>178</v>
      </c>
      <c r="H12525">
        <v>193.5</v>
      </c>
      <c r="I12525">
        <v>193.49</v>
      </c>
      <c r="J12525">
        <v>0.01</v>
      </c>
    </row>
    <row r="12526" spans="1:10" x14ac:dyDescent="0.3">
      <c r="A12526" t="str">
        <f>HYPERLINK("https://us2.cloudbeds.com/connect/10074733072513#/reservations/31718816104590?display=MX898U1PK&amp;reservation_id=31718816104590", "MX898U1PK")</f>
        <v>MX898U1PK</v>
      </c>
      <c r="B12526" t="s">
        <v>10</v>
      </c>
      <c r="C12526" t="s">
        <v>42</v>
      </c>
      <c r="D12526" t="str">
        <f>HYPERLINK("https://us2.cloudbeds.com/connect/10074733072513#/reservations/31718816104590?display=Nicholas%20Leighton&amp;reservation_id=31718816104590&amp;guest_id=31718811058356", "Nicholas Leighton")</f>
        <v>Nicholas Leighton</v>
      </c>
      <c r="E12526" t="s">
        <v>11909</v>
      </c>
      <c r="F12526" t="s">
        <v>11868</v>
      </c>
      <c r="G12526">
        <v>109</v>
      </c>
      <c r="H12526">
        <v>118.49</v>
      </c>
      <c r="I12526">
        <v>118.48</v>
      </c>
      <c r="J12526">
        <v>0.01</v>
      </c>
    </row>
    <row r="12527" spans="1:10" x14ac:dyDescent="0.3">
      <c r="A12527" t="str">
        <f>HYPERLINK("https://us2.cloudbeds.com/connect/10074733072513#/reservations/31718802776285?display=MX88UM5ZJ&amp;reservation_id=31718802776285", "MX88UM5ZJ")</f>
        <v>MX88UM5ZJ</v>
      </c>
      <c r="B12527" t="s">
        <v>10</v>
      </c>
      <c r="C12527" t="s">
        <v>23</v>
      </c>
      <c r="D12527" t="str">
        <f>HYPERLINK("https://us2.cloudbeds.com/connect/10074733072513#/reservations/31718802776285?display=Jacob%20Lommen&amp;reservation_id=31718802776285&amp;guest_id=31718802772192", "Jacob Lommen")</f>
        <v>Jacob Lommen</v>
      </c>
      <c r="E12527" t="s">
        <v>11910</v>
      </c>
      <c r="F12527" t="s">
        <v>11868</v>
      </c>
      <c r="G12527">
        <v>102.58</v>
      </c>
      <c r="H12527">
        <v>111.51</v>
      </c>
      <c r="I12527">
        <v>111.5</v>
      </c>
      <c r="J12527">
        <v>0.01</v>
      </c>
    </row>
    <row r="12528" spans="1:10" x14ac:dyDescent="0.3">
      <c r="A12528" t="str">
        <f>HYPERLINK("https://us2.cloudbeds.com/connect/10074733072513#/reservations/31720911929501?display=MX9TR5FXD&amp;reservation_id=31720911929501", "MX9TR5FXD")</f>
        <v>MX9TR5FXD</v>
      </c>
      <c r="B12528" t="s">
        <v>10</v>
      </c>
      <c r="C12528" t="s">
        <v>23</v>
      </c>
      <c r="D12528" t="str">
        <f>HYPERLINK("https://us2.cloudbeds.com/connect/10074733072513#/reservations/31720911929501?display=Kaylee%20Tonniges&amp;reservation_id=31720911929501&amp;guest_id=31720911925400", "Kaylee Tonniges")</f>
        <v>Kaylee Tonniges</v>
      </c>
      <c r="E12528" t="s">
        <v>11911</v>
      </c>
      <c r="F12528" t="s">
        <v>11042</v>
      </c>
      <c r="G12528">
        <v>195.48</v>
      </c>
      <c r="H12528">
        <v>212.5</v>
      </c>
      <c r="I12528">
        <v>212.49</v>
      </c>
      <c r="J12528">
        <v>0.01</v>
      </c>
    </row>
    <row r="12529" spans="1:10" x14ac:dyDescent="0.3">
      <c r="A12529" t="str">
        <f>HYPERLINK("https://us2.cloudbeds.com/connect/10074733072513#/reservations/31718540230831?display=MX8279F5Z&amp;reservation_id=31718540230831", "MX8279F5Z")</f>
        <v>MX8279F5Z</v>
      </c>
      <c r="B12529" t="s">
        <v>10</v>
      </c>
      <c r="C12529" t="s">
        <v>23</v>
      </c>
      <c r="D12529" t="str">
        <f>HYPERLINK("https://us2.cloudbeds.com/connect/10074733072513#/reservations/31718540230831?display=Jennifer%20Aberle&amp;reservation_id=31718540230831&amp;guest_id=31718540230829", "Jennifer Aberle")</f>
        <v>Jennifer Aberle</v>
      </c>
      <c r="E12529" t="s">
        <v>11912</v>
      </c>
      <c r="F12529" t="s">
        <v>11485</v>
      </c>
      <c r="G12529">
        <v>205.16</v>
      </c>
      <c r="H12529">
        <v>223.02</v>
      </c>
      <c r="I12529">
        <v>223.01</v>
      </c>
      <c r="J12529">
        <v>0.01</v>
      </c>
    </row>
    <row r="12530" spans="1:10" x14ac:dyDescent="0.3">
      <c r="A12530" t="str">
        <f>HYPERLINK("https://us2.cloudbeds.com/connect/10074733072513#/reservations/31717303275770?display=MX73K8BV1&amp;reservation_id=31717303275770", "MX73K8BV1")</f>
        <v>MX73K8BV1</v>
      </c>
      <c r="B12530" t="s">
        <v>10</v>
      </c>
      <c r="C12530" t="s">
        <v>42</v>
      </c>
      <c r="D12530" t="str">
        <f>HYPERLINK("https://us2.cloudbeds.com/connect/10074733072513#/reservations/31717303275770?display=Irving%20Urbatsch&amp;reservation_id=31717303275770&amp;guest_id=31717285691551", "Irving Urbatsch")</f>
        <v>Irving Urbatsch</v>
      </c>
      <c r="E12530" t="s">
        <v>11913</v>
      </c>
      <c r="F12530" t="s">
        <v>11868</v>
      </c>
      <c r="G12530">
        <v>218</v>
      </c>
      <c r="H12530">
        <v>236.98</v>
      </c>
      <c r="I12530">
        <v>236.97</v>
      </c>
      <c r="J12530">
        <v>0.01</v>
      </c>
    </row>
    <row r="12531" spans="1:10" x14ac:dyDescent="0.3">
      <c r="A12531" t="str">
        <f>HYPERLINK("https://us2.cloudbeds.com/connect/10074733072513#/reservations/31720364634269?display=MX9FRM5PD&amp;reservation_id=31720364634269", "MX9FRM5PD")</f>
        <v>MX9FRM5PD</v>
      </c>
      <c r="B12531" t="s">
        <v>10</v>
      </c>
      <c r="C12531" t="s">
        <v>23</v>
      </c>
      <c r="D12531" t="str">
        <f>HYPERLINK("https://us2.cloudbeds.com/connect/10074733072513#/reservations/31720364634269?display=Olivia%20Hoffman&amp;reservation_id=31720364634269&amp;guest_id=31720364634265", "Olivia Hoffman")</f>
        <v>Olivia Hoffman</v>
      </c>
      <c r="E12531" t="s">
        <v>11914</v>
      </c>
      <c r="F12531" t="s">
        <v>11051</v>
      </c>
      <c r="G12531">
        <v>179</v>
      </c>
      <c r="H12531">
        <v>194.58</v>
      </c>
      <c r="I12531">
        <v>194.57</v>
      </c>
      <c r="J12531">
        <v>0.01</v>
      </c>
    </row>
    <row r="12532" spans="1:10" x14ac:dyDescent="0.3">
      <c r="A12532" t="str">
        <f>HYPERLINK("https://us2.cloudbeds.com/connect/10074733072513#/reservations/31713132048598?display=MX3T0VQVY&amp;reservation_id=31713132048598", "MX3T0VQVY")</f>
        <v>MX3T0VQVY</v>
      </c>
      <c r="B12532" t="s">
        <v>10</v>
      </c>
      <c r="C12532" t="s">
        <v>42</v>
      </c>
      <c r="D12532" t="str">
        <f>HYPERLINK("https://us2.cloudbeds.com/connect/10074733072513#/reservations/31713132048598?display=Cathy%20Robertson&amp;reservation_id=31713132048598&amp;guest_id=31713132044507", "Cathy Robertson")</f>
        <v>Cathy Robertson</v>
      </c>
      <c r="E12532" t="s">
        <v>11915</v>
      </c>
      <c r="F12532" t="s">
        <v>11533</v>
      </c>
      <c r="G12532">
        <v>149</v>
      </c>
      <c r="H12532">
        <v>161.97</v>
      </c>
      <c r="I12532">
        <v>161.96</v>
      </c>
      <c r="J12532">
        <v>0.01</v>
      </c>
    </row>
    <row r="12533" spans="1:10" x14ac:dyDescent="0.3">
      <c r="A12533" t="str">
        <f>HYPERLINK("https://us2.cloudbeds.com/connect/10074733072513#/reservations/31711948693756?display=MX2VQ47D0&amp;reservation_id=31711948693756", "MX2VQ47D0")</f>
        <v>MX2VQ47D0</v>
      </c>
      <c r="B12533" t="s">
        <v>10</v>
      </c>
      <c r="C12533" t="s">
        <v>23</v>
      </c>
      <c r="D12533" t="str">
        <f>HYPERLINK("https://us2.cloudbeds.com/connect/10074733072513#/reservations/31711948693756?display=Jayme%20Williams&amp;reservation_id=31711948693756&amp;guest_id=31711940866197", "Jayme Williams")</f>
        <v>Jayme Williams</v>
      </c>
      <c r="E12533" t="s">
        <v>11404</v>
      </c>
      <c r="F12533" t="s">
        <v>11721</v>
      </c>
      <c r="G12533">
        <v>109</v>
      </c>
      <c r="H12533">
        <v>118.49</v>
      </c>
      <c r="I12533">
        <v>118.48</v>
      </c>
      <c r="J12533">
        <v>0.01</v>
      </c>
    </row>
    <row r="12534" spans="1:10" x14ac:dyDescent="0.3">
      <c r="A12534" t="str">
        <f>HYPERLINK("https://us2.cloudbeds.com/connect/10074733072513#/reservations/31724983292052?display=MXD1S84G5&amp;reservation_id=31724983292052", "MXD1S84G5")</f>
        <v>MXD1S84G5</v>
      </c>
      <c r="B12534" t="s">
        <v>10</v>
      </c>
      <c r="C12534" t="s">
        <v>42</v>
      </c>
      <c r="D12534" t="str">
        <f>HYPERLINK("https://us2.cloudbeds.com/connect/10074733072513#/reservations/31724983292052?display=Kelly%20Smith&amp;reservation_id=31724983292052&amp;guest_id=31724983292041", "Kelly Smith")</f>
        <v>Kelly Smith</v>
      </c>
      <c r="E12534" t="s">
        <v>11922</v>
      </c>
      <c r="F12534" t="s">
        <v>11546</v>
      </c>
      <c r="G12534">
        <v>139</v>
      </c>
      <c r="H12534">
        <v>151.1</v>
      </c>
      <c r="I12534">
        <v>151.09</v>
      </c>
      <c r="J12534">
        <v>0.01</v>
      </c>
    </row>
    <row r="12535" spans="1:10" x14ac:dyDescent="0.3">
      <c r="A12535" t="str">
        <f>HYPERLINK("https://us2.cloudbeds.com/connect/10074733072513#/reservations/31719717630091?display=MX8WA3AT6&amp;reservation_id=31719717630091", "MX8WA3AT6")</f>
        <v>MX8WA3AT6</v>
      </c>
      <c r="B12535" t="s">
        <v>10</v>
      </c>
      <c r="C12535" t="s">
        <v>42</v>
      </c>
      <c r="D12535" t="str">
        <f>HYPERLINK("https://us2.cloudbeds.com/connect/10074733072513#/reservations/31719717630091?display=Patricia%20Haugen&amp;reservation_id=31719717630091&amp;guest_id=31719717630089", "Patricia Haugen")</f>
        <v>Patricia Haugen</v>
      </c>
      <c r="E12535" t="s">
        <v>11923</v>
      </c>
      <c r="F12535" t="s">
        <v>11721</v>
      </c>
      <c r="G12535">
        <v>109</v>
      </c>
      <c r="H12535">
        <v>118.49</v>
      </c>
      <c r="I12535">
        <v>118.48</v>
      </c>
      <c r="J12535">
        <v>0.01</v>
      </c>
    </row>
    <row r="12536" spans="1:10" x14ac:dyDescent="0.3">
      <c r="A12536" t="str">
        <f>HYPERLINK("https://us2.cloudbeds.com/connect/10074733072513#/reservations/31724944973978?display=MXD0SUT0D&amp;reservation_id=31724944973978", "MXD0SUT0D")</f>
        <v>MXD0SUT0D</v>
      </c>
      <c r="B12536" t="s">
        <v>10</v>
      </c>
      <c r="C12536" t="s">
        <v>42</v>
      </c>
      <c r="D12536" t="str">
        <f>HYPERLINK("https://us2.cloudbeds.com/connect/10074733072513#/reservations/31724944973978?display=Sandra%20Carrell&amp;reservation_id=31724944973978&amp;guest_id=31724944973973", "Sandra Carrell")</f>
        <v>Sandra Carrell</v>
      </c>
      <c r="E12536" t="s">
        <v>11720</v>
      </c>
      <c r="F12536" t="s">
        <v>11546</v>
      </c>
      <c r="G12536">
        <v>139</v>
      </c>
      <c r="H12536">
        <v>151.1</v>
      </c>
      <c r="I12536">
        <v>151.09</v>
      </c>
      <c r="J12536">
        <v>0.01</v>
      </c>
    </row>
    <row r="12537" spans="1:10" x14ac:dyDescent="0.3">
      <c r="A12537" t="str">
        <f>HYPERLINK("https://us2.cloudbeds.com/connect/10074733072513#/reservations/31717181919363?display=MX70GUEX5&amp;reservation_id=31717181919363", "MX70GUEX5")</f>
        <v>MX70GUEX5</v>
      </c>
      <c r="B12537" t="s">
        <v>10</v>
      </c>
      <c r="C12537" t="s">
        <v>23</v>
      </c>
      <c r="D12537" t="str">
        <f>HYPERLINK("https://us2.cloudbeds.com/connect/10074733072513#/reservations/31717181919363?display=Vickie%20Edwardson&amp;reservation_id=31717181919363&amp;guest_id=31717181915315", "Vickie Edwardson")</f>
        <v>Vickie Edwardson</v>
      </c>
      <c r="E12537" t="s">
        <v>11924</v>
      </c>
      <c r="F12537" t="s">
        <v>11354</v>
      </c>
      <c r="G12537">
        <v>338</v>
      </c>
      <c r="H12537">
        <v>367.42</v>
      </c>
      <c r="I12537">
        <v>367.41</v>
      </c>
      <c r="J12537">
        <v>0.01</v>
      </c>
    </row>
    <row r="12538" spans="1:10" x14ac:dyDescent="0.3">
      <c r="A12538" t="str">
        <f>HYPERLINK("https://us2.cloudbeds.com/connect/10074733072513#/reservations/31720399249653?display=MX9GNSD5D&amp;reservation_id=31720399249653", "MX9GNSD5D")</f>
        <v>MX9GNSD5D</v>
      </c>
      <c r="B12538" t="s">
        <v>10</v>
      </c>
      <c r="C12538" t="s">
        <v>23</v>
      </c>
      <c r="D12538" t="str">
        <f>HYPERLINK("https://us2.cloudbeds.com/connect/10074733072513#/reservations/31720399249653?display=Teresa%20Skjeie&amp;reservation_id=31720399249653&amp;guest_id=31720399249600", "Teresa Skjeie")</f>
        <v>Teresa Skjeie</v>
      </c>
      <c r="E12538" t="s">
        <v>11925</v>
      </c>
      <c r="F12538" t="s">
        <v>11051</v>
      </c>
      <c r="G12538">
        <v>159</v>
      </c>
      <c r="H12538">
        <v>172.84</v>
      </c>
      <c r="I12538">
        <v>172.83</v>
      </c>
      <c r="J12538">
        <v>0.01</v>
      </c>
    </row>
    <row r="12539" spans="1:10" x14ac:dyDescent="0.3">
      <c r="A12539" t="str">
        <f>HYPERLINK("https://us2.cloudbeds.com/connect/10074733072513#/reservations/31717366866155?display=MX757SSAD&amp;reservation_id=31717366866155", "MX757SSAD")</f>
        <v>MX757SSAD</v>
      </c>
      <c r="B12539" t="s">
        <v>10</v>
      </c>
      <c r="C12539" t="s">
        <v>23</v>
      </c>
      <c r="D12539" t="str">
        <f>HYPERLINK("https://us2.cloudbeds.com/connect/10074733072513#/reservations/31717366866155?display=Kyle%20Harding&amp;reservation_id=31717366866155&amp;guest_id=31717357404362", "Kyle Harding")</f>
        <v>Kyle Harding</v>
      </c>
      <c r="E12539" t="s">
        <v>11927</v>
      </c>
      <c r="F12539" t="s">
        <v>11928</v>
      </c>
      <c r="G12539">
        <v>97.74</v>
      </c>
      <c r="H12539">
        <v>106.25</v>
      </c>
      <c r="I12539">
        <v>106.24</v>
      </c>
      <c r="J12539">
        <v>0.01</v>
      </c>
    </row>
    <row r="12540" spans="1:10" x14ac:dyDescent="0.3">
      <c r="A12540" t="str">
        <f>HYPERLINK("https://us2.cloudbeds.com/connect/10074733072513#/reservations/31724937912505?display=MXD0MWCYC&amp;reservation_id=31724937912505", "MXD0MWCYC")</f>
        <v>MXD0MWCYC</v>
      </c>
      <c r="B12540" t="s">
        <v>10</v>
      </c>
      <c r="C12540" t="s">
        <v>23</v>
      </c>
      <c r="D12540" t="str">
        <f>HYPERLINK("https://us2.cloudbeds.com/connect/10074733072513#/reservations/31724937912505?display=Kendra%20Niemeyer&amp;reservation_id=31724937912505&amp;guest_id=31724937912451", "Kendra Niemeyer")</f>
        <v>Kendra Niemeyer</v>
      </c>
      <c r="E12540" t="s">
        <v>11930</v>
      </c>
      <c r="F12540" t="s">
        <v>11546</v>
      </c>
      <c r="G12540">
        <v>139</v>
      </c>
      <c r="H12540">
        <v>151.1</v>
      </c>
      <c r="I12540">
        <v>151.09</v>
      </c>
      <c r="J12540">
        <v>0.01</v>
      </c>
    </row>
    <row r="12541" spans="1:10" x14ac:dyDescent="0.3">
      <c r="A12541" t="str">
        <f>HYPERLINK("https://us2.cloudbeds.com/connect/10074733072513#/reservations/31719188095199?display=MX8XPJ7VA&amp;reservation_id=31719188095199", "MX8XPJ7VA")</f>
        <v>MX8XPJ7VA</v>
      </c>
      <c r="B12541" t="s">
        <v>10</v>
      </c>
      <c r="C12541" t="s">
        <v>42</v>
      </c>
      <c r="D12541" t="str">
        <f>HYPERLINK("https://us2.cloudbeds.com/connect/10074733072513#/reservations/31719188095199?display=Bergen%20Abram&amp;reservation_id=31719188095199&amp;guest_id=31719188095195", "Bergen Abram")</f>
        <v>Bergen Abram</v>
      </c>
      <c r="E12541" t="s">
        <v>11933</v>
      </c>
      <c r="F12541" t="s">
        <v>11546</v>
      </c>
      <c r="G12541">
        <v>139</v>
      </c>
      <c r="H12541">
        <v>151.1</v>
      </c>
      <c r="I12541">
        <v>151.09</v>
      </c>
      <c r="J12541">
        <v>0.01</v>
      </c>
    </row>
    <row r="12542" spans="1:10" x14ac:dyDescent="0.3">
      <c r="A12542" t="str">
        <f>HYPERLINK("https://us2.cloudbeds.com/connect/10074733072513#/reservations/31719158997185?display=MX8X11X0A&amp;reservation_id=31719158997185", "MX8X11X0A")</f>
        <v>MX8X11X0A</v>
      </c>
      <c r="B12542" t="s">
        <v>10</v>
      </c>
      <c r="C12542" t="s">
        <v>23</v>
      </c>
      <c r="D12542" t="str">
        <f>HYPERLINK("https://us2.cloudbeds.com/connect/10074733072513#/reservations/31719158997185?display=Anthony%20Hersch&amp;reservation_id=31719158997185&amp;guest_id=31719147065558", "Anthony Hersch")</f>
        <v>Anthony Hersch</v>
      </c>
      <c r="E12542" t="s">
        <v>11934</v>
      </c>
      <c r="F12542" t="s">
        <v>11485</v>
      </c>
      <c r="G12542">
        <v>149</v>
      </c>
      <c r="H12542">
        <v>161.97</v>
      </c>
      <c r="I12542">
        <v>161.96</v>
      </c>
      <c r="J12542">
        <v>0.01</v>
      </c>
    </row>
    <row r="12543" spans="1:10" x14ac:dyDescent="0.3">
      <c r="A12543" t="str">
        <f>HYPERLINK("https://us2.cloudbeds.com/connect/10074733072513#/reservations/31719147061468?display=MX8HNWDZU&amp;reservation_id=31719147061468", "MX8HNWDZU")</f>
        <v>MX8HNWDZU</v>
      </c>
      <c r="B12543" t="s">
        <v>10</v>
      </c>
      <c r="C12543" t="s">
        <v>23</v>
      </c>
      <c r="D12543" t="str">
        <f>HYPERLINK("https://us2.cloudbeds.com/connect/10074733072513#/reservations/31719147061468?display=Sarah%20Hersch&amp;reservation_id=31719147061468&amp;guest_id=31719147061466", "Sarah Hersch")</f>
        <v>Sarah Hersch</v>
      </c>
      <c r="E12543" t="s">
        <v>11934</v>
      </c>
      <c r="F12543" t="s">
        <v>11485</v>
      </c>
      <c r="G12543">
        <v>149</v>
      </c>
      <c r="H12543">
        <v>161.97</v>
      </c>
      <c r="I12543">
        <v>161.96</v>
      </c>
      <c r="J12543">
        <v>0.01</v>
      </c>
    </row>
    <row r="12544" spans="1:10" x14ac:dyDescent="0.3">
      <c r="A12544" t="str">
        <f>HYPERLINK("https://us2.cloudbeds.com/connect/10074733072513#/reservations/31725007192281?display=MXD2FD6EH&amp;reservation_id=31725007192281", "MXD2FD6EH")</f>
        <v>MXD2FD6EH</v>
      </c>
      <c r="B12544" t="s">
        <v>10</v>
      </c>
      <c r="C12544" t="s">
        <v>42</v>
      </c>
      <c r="D12544" t="str">
        <f>HYPERLINK("https://us2.cloudbeds.com/connect/10074733072513#/reservations/31725007192281?display=Dave%20Chambers&amp;reservation_id=31725007192281&amp;guest_id=31725007192276", "Dave Chambers")</f>
        <v>Dave Chambers</v>
      </c>
      <c r="E12544" t="s">
        <v>11935</v>
      </c>
      <c r="F12544" t="s">
        <v>11546</v>
      </c>
      <c r="G12544">
        <v>139</v>
      </c>
      <c r="H12544">
        <v>151.1</v>
      </c>
      <c r="I12544">
        <v>151.09</v>
      </c>
      <c r="J12544">
        <v>0.01</v>
      </c>
    </row>
    <row r="12545" spans="1:10" x14ac:dyDescent="0.3">
      <c r="A12545" t="str">
        <f>HYPERLINK("https://us2.cloudbeds.com/connect/10074733072513#/reservations/31724954226932?display=MXD13ZBZV&amp;reservation_id=31724954226932", "MXD13ZBZV")</f>
        <v>MXD13ZBZV</v>
      </c>
      <c r="B12545" t="s">
        <v>10</v>
      </c>
      <c r="C12545" t="s">
        <v>42</v>
      </c>
      <c r="D12545" t="str">
        <f>HYPERLINK("https://us2.cloudbeds.com/connect/10074733072513#/reservations/31724954226932?display=Michael%20Wagner&amp;reservation_id=31724954226932&amp;guest_id=31724954226927", "Michael Wagner")</f>
        <v>Michael Wagner</v>
      </c>
      <c r="E12545" t="s">
        <v>11936</v>
      </c>
      <c r="F12545" t="s">
        <v>11546</v>
      </c>
      <c r="G12545">
        <v>139</v>
      </c>
      <c r="H12545">
        <v>151.1</v>
      </c>
      <c r="I12545">
        <v>151.09</v>
      </c>
      <c r="J12545">
        <v>0.01</v>
      </c>
    </row>
    <row r="12546" spans="1:10" x14ac:dyDescent="0.3">
      <c r="A12546" t="str">
        <f>HYPERLINK("https://us2.cloudbeds.com/connect/10074733072513#/reservations/31715633975524?display=MX5QVYKH3&amp;reservation_id=31715633975524", "MX5QVYKH3")</f>
        <v>MX5QVYKH3</v>
      </c>
      <c r="B12546" t="s">
        <v>10</v>
      </c>
      <c r="C12546" t="s">
        <v>42</v>
      </c>
      <c r="D12546" t="str">
        <f>HYPERLINK("https://us2.cloudbeds.com/connect/10074733072513#/reservations/31715633975524?display=Jordan%20Fitch&amp;reservation_id=31715633975524&amp;guest_id=31711282266352", "Jordan Fitch")</f>
        <v>Jordan Fitch</v>
      </c>
      <c r="E12546" t="s">
        <v>7464</v>
      </c>
      <c r="F12546" t="s">
        <v>11485</v>
      </c>
      <c r="G12546">
        <v>139</v>
      </c>
      <c r="H12546">
        <v>151.1</v>
      </c>
      <c r="I12546">
        <v>151.09</v>
      </c>
      <c r="J12546">
        <v>0.01</v>
      </c>
    </row>
    <row r="12547" spans="1:10" x14ac:dyDescent="0.3">
      <c r="A12547" t="str">
        <f>HYPERLINK("https://us2.cloudbeds.com/connect/10074733072513#/reservations/31718550257823?display=MX82FZFMW&amp;reservation_id=31718550257823", "MX82FZFMW")</f>
        <v>MX82FZFMW</v>
      </c>
      <c r="B12547" t="s">
        <v>10</v>
      </c>
      <c r="C12547" t="s">
        <v>23</v>
      </c>
      <c r="D12547" t="str">
        <f>HYPERLINK("https://us2.cloudbeds.com/connect/10074733072513#/reservations/31718550257823?display=Peggy%20Edlin&amp;reservation_id=31718550257823&amp;guest_id=31718550257819", "Peggy Edlin")</f>
        <v>Peggy Edlin</v>
      </c>
      <c r="E12547" t="s">
        <v>10971</v>
      </c>
      <c r="F12547" t="s">
        <v>11485</v>
      </c>
      <c r="G12547">
        <v>139</v>
      </c>
      <c r="H12547">
        <v>151.1</v>
      </c>
      <c r="I12547">
        <v>151.09</v>
      </c>
      <c r="J12547">
        <v>0.01</v>
      </c>
    </row>
    <row r="12548" spans="1:10" x14ac:dyDescent="0.3">
      <c r="A12548" t="str">
        <f>HYPERLINK("https://us2.cloudbeds.com/connect/10074733072513#/reservations/31718642434199?display=MX84RFDRG&amp;reservation_id=31718642434199", "MX84RFDRG")</f>
        <v>MX84RFDRG</v>
      </c>
      <c r="B12548" t="s">
        <v>10</v>
      </c>
      <c r="C12548" t="s">
        <v>42</v>
      </c>
      <c r="D12548" t="str">
        <f>HYPERLINK("https://us2.cloudbeds.com/connect/10074733072513#/reservations/31718642434199?display=Josh%20Fischer&amp;reservation_id=31718642434199&amp;guest_id=31718642434197", "Josh Fischer")</f>
        <v>Josh Fischer</v>
      </c>
      <c r="E12548" t="s">
        <v>11939</v>
      </c>
      <c r="F12548" t="s">
        <v>11027</v>
      </c>
      <c r="G12548">
        <v>378</v>
      </c>
      <c r="H12548">
        <v>410.9</v>
      </c>
      <c r="I12548">
        <v>410.89</v>
      </c>
      <c r="J12548">
        <v>0.01</v>
      </c>
    </row>
    <row r="12549" spans="1:10" x14ac:dyDescent="0.3">
      <c r="A12549" t="str">
        <f>HYPERLINK("https://us2.cloudbeds.com/connect/10074733072513#/reservations/31718192509096?display=MX7QB2JFF&amp;reservation_id=31718192509096", "MX7QB2JFF")</f>
        <v>MX7QB2JFF</v>
      </c>
      <c r="B12549" t="s">
        <v>10</v>
      </c>
      <c r="C12549" t="s">
        <v>42</v>
      </c>
      <c r="D12549" t="str">
        <f>HYPERLINK("https://us2.cloudbeds.com/connect/10074733072513#/reservations/31718192509096?display=Trent%20Herman&amp;reservation_id=31718192509096&amp;guest_id=31702693081331", "Trent Herman")</f>
        <v>Trent Herman</v>
      </c>
      <c r="E12549" t="s">
        <v>9970</v>
      </c>
      <c r="F12549" t="s">
        <v>11717</v>
      </c>
      <c r="G12549">
        <v>89</v>
      </c>
      <c r="H12549">
        <v>96.75</v>
      </c>
      <c r="I12549">
        <v>96.74</v>
      </c>
      <c r="J12549">
        <v>0.01</v>
      </c>
    </row>
    <row r="12550" spans="1:10" x14ac:dyDescent="0.3">
      <c r="A12550" t="str">
        <f>HYPERLINK("https://us2.cloudbeds.com/connect/10074733072513#/reservations/31714683076781?display=MX52YRF8M&amp;reservation_id=31714683076781", "MX52YRF8M")</f>
        <v>MX52YRF8M</v>
      </c>
      <c r="B12550" t="s">
        <v>10</v>
      </c>
      <c r="C12550" t="s">
        <v>23</v>
      </c>
      <c r="D12550" t="str">
        <f>HYPERLINK("https://us2.cloudbeds.com/connect/10074733072513#/reservations/31714683076781?display=Joseph%20Chandler&amp;reservation_id=31714683076781&amp;guest_id=31714683076776", "Joseph Chandler")</f>
        <v>Joseph Chandler</v>
      </c>
      <c r="E12550" t="s">
        <v>11940</v>
      </c>
      <c r="F12550" t="s">
        <v>11941</v>
      </c>
      <c r="G12550">
        <v>338</v>
      </c>
      <c r="H12550">
        <v>367.42</v>
      </c>
      <c r="I12550">
        <v>367.41</v>
      </c>
      <c r="J12550">
        <v>0.01</v>
      </c>
    </row>
    <row r="12551" spans="1:10" x14ac:dyDescent="0.3">
      <c r="A12551" t="str">
        <f>HYPERLINK("https://us2.cloudbeds.com/connect/10074733072513#/reservations/31718506660055?display=MX81BWA0G&amp;reservation_id=31718506660055", "MX81BWA0G")</f>
        <v>MX81BWA0G</v>
      </c>
      <c r="B12551" t="s">
        <v>10</v>
      </c>
      <c r="C12551" t="s">
        <v>42</v>
      </c>
      <c r="D12551" t="str">
        <f>HYPERLINK("https://us2.cloudbeds.com/connect/10074733072513#/reservations/31718506660055?display=Philip%20Smithers&amp;reservation_id=31718506660055&amp;guest_id=31718506660053", "Philip Smithers")</f>
        <v>Philip Smithers</v>
      </c>
      <c r="E12551" t="s">
        <v>11942</v>
      </c>
      <c r="F12551" t="s">
        <v>11485</v>
      </c>
      <c r="G12551">
        <v>139</v>
      </c>
      <c r="H12551">
        <v>151.1</v>
      </c>
      <c r="I12551">
        <v>151.09</v>
      </c>
      <c r="J12551">
        <v>0.01</v>
      </c>
    </row>
    <row r="12552" spans="1:10" x14ac:dyDescent="0.3">
      <c r="A12552" t="str">
        <f>HYPERLINK("https://us2.cloudbeds.com/connect/10074733072513#/reservations/31715645018296?display=MX5R7VTQX&amp;reservation_id=31715645018296", "MX5R7VTQX")</f>
        <v>MX5R7VTQX</v>
      </c>
      <c r="B12552" t="s">
        <v>10</v>
      </c>
      <c r="C12552" t="s">
        <v>42</v>
      </c>
      <c r="D12552" t="str">
        <f>HYPERLINK("https://us2.cloudbeds.com/connect/10074733072513#/reservations/31715645018296?display=Kelly%20Doeden&amp;reservation_id=31715645018296&amp;guest_id=31715633979614", "Kelly Doeden")</f>
        <v>Kelly Doeden</v>
      </c>
      <c r="E12552" t="s">
        <v>11943</v>
      </c>
      <c r="F12552" t="s">
        <v>11485</v>
      </c>
      <c r="G12552">
        <v>159</v>
      </c>
      <c r="H12552">
        <v>172.84</v>
      </c>
      <c r="I12552">
        <v>172.83</v>
      </c>
      <c r="J12552">
        <v>0.01</v>
      </c>
    </row>
    <row r="12553" spans="1:10" x14ac:dyDescent="0.3">
      <c r="A12553" t="str">
        <f>HYPERLINK("https://us2.cloudbeds.com/connect/10074733072513#/reservations/31719102435458?display=MX8GJBKSJ&amp;reservation_id=31719102435458", "MX8GJBKSJ")</f>
        <v>MX8GJBKSJ</v>
      </c>
      <c r="B12553" t="s">
        <v>10</v>
      </c>
      <c r="C12553" t="s">
        <v>23</v>
      </c>
      <c r="D12553" t="str">
        <f>HYPERLINK("https://us2.cloudbeds.com/connect/10074733072513#/reservations/31719102435458?display=Jacob%20Lommen&amp;reservation_id=31719102435458&amp;guest_id=31719088300274", "Jacob Lommen")</f>
        <v>Jacob Lommen</v>
      </c>
      <c r="E12553" t="s">
        <v>11944</v>
      </c>
      <c r="F12553" t="s">
        <v>11945</v>
      </c>
      <c r="G12553">
        <v>102.58</v>
      </c>
      <c r="H12553">
        <v>111.51</v>
      </c>
      <c r="I12553">
        <v>111.5</v>
      </c>
      <c r="J12553">
        <v>0.01</v>
      </c>
    </row>
    <row r="12554" spans="1:10" x14ac:dyDescent="0.3">
      <c r="A12554" t="str">
        <f>HYPERLINK("https://us2.cloudbeds.com/connect/10074733072513#/reservations/31719125647571?display=MX8H5UHUV&amp;reservation_id=31719125647571", "MX8H5UHUV")</f>
        <v>MX8H5UHUV</v>
      </c>
      <c r="B12554" t="s">
        <v>10</v>
      </c>
      <c r="C12554" t="s">
        <v>23</v>
      </c>
      <c r="D12554" t="str">
        <f>HYPERLINK("https://us2.cloudbeds.com/connect/10074733072513#/reservations/31719125647571?display=Deborah%20Hengel&amp;reservation_id=31719125647571&amp;guest_id=31689893109910", "Deborah Hengel")</f>
        <v>Deborah Hengel</v>
      </c>
      <c r="E12554" t="s">
        <v>8323</v>
      </c>
      <c r="F12554" t="s">
        <v>11945</v>
      </c>
      <c r="G12554">
        <v>109</v>
      </c>
      <c r="H12554">
        <v>118.49</v>
      </c>
      <c r="I12554">
        <v>118.48</v>
      </c>
      <c r="J12554">
        <v>0.01</v>
      </c>
    </row>
    <row r="12555" spans="1:10" x14ac:dyDescent="0.3">
      <c r="A12555" t="str">
        <f>HYPERLINK("https://us2.cloudbeds.com/connect/10074733072513#/reservations/31721593450750?display=MXAE7RQXF&amp;reservation_id=31721593450750", "MXAE7RQXF")</f>
        <v>MXAE7RQXF</v>
      </c>
      <c r="B12555" t="s">
        <v>10</v>
      </c>
      <c r="C12555" t="s">
        <v>42</v>
      </c>
      <c r="D12555" t="str">
        <f>HYPERLINK("https://us2.cloudbeds.com/connect/10074733072513#/reservations/31721593450750?display=Janet%20Helen%20Ringstmeyer&amp;reservation_id=31721593450750&amp;guest_id=31681688494221", "Janet Helen Ringstmeyer")</f>
        <v>Janet Helen Ringstmeyer</v>
      </c>
      <c r="E12555" t="s">
        <v>3078</v>
      </c>
      <c r="F12555" t="s">
        <v>11947</v>
      </c>
      <c r="G12555">
        <v>109</v>
      </c>
      <c r="H12555">
        <v>118.49</v>
      </c>
      <c r="I12555">
        <v>118.48</v>
      </c>
      <c r="J12555">
        <v>0.01</v>
      </c>
    </row>
    <row r="12556" spans="1:10" x14ac:dyDescent="0.3">
      <c r="A12556" t="str">
        <f>HYPERLINK("https://us2.cloudbeds.com/connect/10074733072513#/reservations/31712873570458?display=MX3ME099Z&amp;reservation_id=31712873570458", "MX3ME099Z")</f>
        <v>MX3ME099Z</v>
      </c>
      <c r="B12556" t="s">
        <v>10</v>
      </c>
      <c r="C12556" t="s">
        <v>42</v>
      </c>
      <c r="D12556" t="str">
        <f>HYPERLINK("https://us2.cloudbeds.com/connect/10074733072513#/reservations/31712873570458?display=Chuck%20Ginter&amp;reservation_id=31712873570458&amp;guest_id=31712873570441", "Chuck Ginter")</f>
        <v>Chuck Ginter</v>
      </c>
      <c r="E12556" t="s">
        <v>11948</v>
      </c>
      <c r="F12556" t="s">
        <v>10250</v>
      </c>
      <c r="G12556">
        <v>139</v>
      </c>
      <c r="H12556">
        <v>151.1</v>
      </c>
      <c r="I12556">
        <v>151.09</v>
      </c>
      <c r="J12556">
        <v>0.01</v>
      </c>
    </row>
    <row r="12557" spans="1:10" x14ac:dyDescent="0.3">
      <c r="A12557" t="str">
        <f>HYPERLINK("https://us2.cloudbeds.com/connect/10074733072513#/reservations/31700963016905?display=MHRF2NXSG&amp;reservation_id=31700963016905", "MHRF2NXSG")</f>
        <v>MHRF2NXSG</v>
      </c>
      <c r="B12557" t="s">
        <v>10</v>
      </c>
      <c r="C12557" t="s">
        <v>42</v>
      </c>
      <c r="D12557" t="str">
        <f>HYPERLINK("https://us2.cloudbeds.com/connect/10074733072513#/reservations/31700963016905?display=Ethan%20Lubenow&amp;reservation_id=31700963016905&amp;guest_id=31700955898104", "Ethan Lubenow")</f>
        <v>Ethan Lubenow</v>
      </c>
      <c r="E12557" t="s">
        <v>11949</v>
      </c>
      <c r="F12557" t="s">
        <v>11134</v>
      </c>
      <c r="G12557">
        <v>179</v>
      </c>
      <c r="H12557">
        <v>194.58</v>
      </c>
      <c r="I12557">
        <v>194.57</v>
      </c>
      <c r="J12557">
        <v>0.01</v>
      </c>
    </row>
    <row r="12558" spans="1:10" x14ac:dyDescent="0.3">
      <c r="A12558" t="str">
        <f>HYPERLINK("https://us2.cloudbeds.com/connect/10074733072513#/reservations/31718259675377?display=MX7S1NJGA&amp;reservation_id=31718259675377", "MX7S1NJGA")</f>
        <v>MX7S1NJGA</v>
      </c>
      <c r="B12558" t="s">
        <v>10</v>
      </c>
      <c r="C12558" t="s">
        <v>121</v>
      </c>
      <c r="D12558" t="str">
        <f>HYPERLINK("https://us2.cloudbeds.com/connect/10074733072513#/reservations/31718259675377?display=Paul%20Larsen&amp;reservation_id=31718259675377&amp;guest_id=31718251286682", "Paul Larsen")</f>
        <v>Paul Larsen</v>
      </c>
      <c r="E12558" t="s">
        <v>11950</v>
      </c>
      <c r="F12558" t="s">
        <v>11945</v>
      </c>
      <c r="G12558">
        <v>109</v>
      </c>
      <c r="H12558">
        <v>118.49</v>
      </c>
      <c r="I12558">
        <v>118.48</v>
      </c>
      <c r="J12558">
        <v>0.01</v>
      </c>
    </row>
    <row r="12559" spans="1:10" x14ac:dyDescent="0.3">
      <c r="A12559" t="str">
        <f>HYPERLINK("https://us2.cloudbeds.com/connect/10074733072513#/reservations/31718263013509?display=MX7S4HFQR&amp;reservation_id=31718263013509", "MX7S4HFQR")</f>
        <v>MX7S4HFQR</v>
      </c>
      <c r="B12559" t="s">
        <v>10</v>
      </c>
      <c r="C12559" t="s">
        <v>42</v>
      </c>
      <c r="D12559" t="str">
        <f>HYPERLINK("https://us2.cloudbeds.com/connect/10074733072513#/reservations/31718263013509?display=Aaron%20Mattson&amp;reservation_id=31718263013509&amp;guest_id=31718263009418", "Aaron Mattson")</f>
        <v>Aaron Mattson</v>
      </c>
      <c r="E12559" t="s">
        <v>11951</v>
      </c>
      <c r="F12559" t="s">
        <v>11945</v>
      </c>
      <c r="G12559">
        <v>109</v>
      </c>
      <c r="H12559">
        <v>118.49</v>
      </c>
      <c r="I12559">
        <v>118.48</v>
      </c>
      <c r="J12559">
        <v>0.01</v>
      </c>
    </row>
    <row r="12560" spans="1:10" x14ac:dyDescent="0.3">
      <c r="A12560" t="str">
        <f>HYPERLINK("https://us2.cloudbeds.com/connect/10074733072513#/reservations/31719930994925?display=MX94P0H67&amp;reservation_id=31719930994925", "MX94P0H67")</f>
        <v>MX94P0H67</v>
      </c>
      <c r="B12560" t="s">
        <v>10</v>
      </c>
      <c r="C12560" t="s">
        <v>23</v>
      </c>
      <c r="D12560" t="str">
        <f>HYPERLINK("https://us2.cloudbeds.com/connect/10074733072513#/reservations/31719930994925?display=Erick%20Dabbs&amp;reservation_id=31719930994925&amp;guest_id=31694796468396", "Erick Dabbs")</f>
        <v>Erick Dabbs</v>
      </c>
      <c r="E12560" t="s">
        <v>8256</v>
      </c>
      <c r="F12560" t="s">
        <v>11684</v>
      </c>
      <c r="G12560">
        <v>109</v>
      </c>
      <c r="H12560">
        <v>118.49</v>
      </c>
      <c r="I12560">
        <v>118.48</v>
      </c>
      <c r="J12560">
        <v>0.01</v>
      </c>
    </row>
    <row r="12561" spans="1:10" x14ac:dyDescent="0.3">
      <c r="A12561" t="str">
        <f>HYPERLINK("https://us2.cloudbeds.com/connect/10074733072513#/reservations/31720774381698?display=MX9QA6015&amp;reservation_id=31720774381698", "MX9QA6015")</f>
        <v>MX9QA6015</v>
      </c>
      <c r="B12561" t="s">
        <v>10</v>
      </c>
      <c r="C12561" t="s">
        <v>42</v>
      </c>
      <c r="D12561" t="str">
        <f>HYPERLINK("https://us2.cloudbeds.com/connect/10074733072513#/reservations/31720774381698?display=Matthew%20Persinger&amp;reservation_id=31720774381698&amp;guest_id=31720763445488", "Matthew Persinger")</f>
        <v>Matthew Persinger</v>
      </c>
      <c r="E12561" t="s">
        <v>11954</v>
      </c>
      <c r="F12561" t="s">
        <v>11684</v>
      </c>
      <c r="G12561">
        <v>218</v>
      </c>
      <c r="H12561">
        <v>236.98</v>
      </c>
      <c r="I12561">
        <v>236.97</v>
      </c>
      <c r="J12561">
        <v>0.01</v>
      </c>
    </row>
    <row r="12562" spans="1:10" x14ac:dyDescent="0.3">
      <c r="A12562" t="str">
        <f>HYPERLINK("https://us2.cloudbeds.com/connect/10074733072513#/reservations/31721770496236?display=MXAXP4BP6&amp;reservation_id=31721770496236", "MXAXP4BP6")</f>
        <v>MXAXP4BP6</v>
      </c>
      <c r="B12562" t="s">
        <v>10</v>
      </c>
      <c r="C12562" t="s">
        <v>23</v>
      </c>
      <c r="D12562" t="str">
        <f>HYPERLINK("https://us2.cloudbeds.com/connect/10074733072513#/reservations/31721770496236?display=Joe%20Gubbels&amp;reservation_id=31721770496236&amp;guest_id=31721758101658", "Joe Gubbels")</f>
        <v>Joe Gubbels</v>
      </c>
      <c r="E12562" t="s">
        <v>11955</v>
      </c>
      <c r="F12562" t="s">
        <v>11956</v>
      </c>
      <c r="G12562">
        <v>109</v>
      </c>
      <c r="H12562">
        <v>118.49</v>
      </c>
      <c r="I12562">
        <v>118.48</v>
      </c>
      <c r="J12562">
        <v>0.01</v>
      </c>
    </row>
    <row r="12563" spans="1:10" x14ac:dyDescent="0.3">
      <c r="A12563" t="str">
        <f>HYPERLINK("https://us2.cloudbeds.com/connect/10074733072513#/reservations/31719088300276?display=MX8G7E9TZ&amp;reservation_id=31719088300276", "MX8G7E9TZ")</f>
        <v>MX8G7E9TZ</v>
      </c>
      <c r="B12563" t="s">
        <v>10</v>
      </c>
      <c r="C12563" t="s">
        <v>23</v>
      </c>
      <c r="D12563" t="str">
        <f>HYPERLINK("https://us2.cloudbeds.com/connect/10074733072513#/reservations/31719088300276?display=Ernest%20Guerra%20Jr&amp;reservation_id=31719088300276&amp;guest_id=31719088300273", "Ernest Guerra Jr")</f>
        <v>Ernest Guerra Jr</v>
      </c>
      <c r="E12563" t="s">
        <v>11957</v>
      </c>
      <c r="F12563" t="s">
        <v>11307</v>
      </c>
      <c r="G12563">
        <v>87.82</v>
      </c>
      <c r="H12563">
        <v>95.47</v>
      </c>
      <c r="I12563">
        <v>95.46</v>
      </c>
      <c r="J12563">
        <v>0.01</v>
      </c>
    </row>
    <row r="12564" spans="1:10" x14ac:dyDescent="0.3">
      <c r="A12564" t="str">
        <f>HYPERLINK("https://us2.cloudbeds.com/connect/10074733072513#/reservations/31715782344956?display=MX5UZP78G&amp;reservation_id=31715782344956", "MX5UZP78G")</f>
        <v>MX5UZP78G</v>
      </c>
      <c r="B12564" t="s">
        <v>10</v>
      </c>
      <c r="C12564" t="s">
        <v>42</v>
      </c>
      <c r="D12564" t="str">
        <f>HYPERLINK("https://us2.cloudbeds.com/connect/10074733072513#/reservations/31715782344956?display=Jill%20Allen&amp;reservation_id=31715782344956&amp;guest_id=31715782344954", "Jill Allen")</f>
        <v>Jill Allen</v>
      </c>
      <c r="E12564" t="s">
        <v>11958</v>
      </c>
      <c r="F12564" t="s">
        <v>10750</v>
      </c>
      <c r="G12564">
        <v>159</v>
      </c>
      <c r="H12564">
        <v>172.84</v>
      </c>
      <c r="I12564">
        <v>172.83</v>
      </c>
      <c r="J12564">
        <v>0.01</v>
      </c>
    </row>
    <row r="12565" spans="1:10" x14ac:dyDescent="0.3">
      <c r="A12565" t="str">
        <f>HYPERLINK("https://us2.cloudbeds.com/connect/10074733072513#/reservations/31714710446214?display=MX53BU1TE&amp;reservation_id=31714710446214", "MX53BU1TE")</f>
        <v>MX53BU1TE</v>
      </c>
      <c r="B12565" t="s">
        <v>10</v>
      </c>
      <c r="C12565" t="s">
        <v>42</v>
      </c>
      <c r="D12565" t="str">
        <f>HYPERLINK("https://us2.cloudbeds.com/connect/10074733072513#/reservations/31714710446214?display=Jordan%20Lentz&amp;reservation_id=31714710446214&amp;guest_id=31714710442171", "Jordan Lentz")</f>
        <v>Jordan Lentz</v>
      </c>
      <c r="E12565" t="s">
        <v>10577</v>
      </c>
      <c r="F12565" t="s">
        <v>11717</v>
      </c>
      <c r="G12565">
        <v>109</v>
      </c>
      <c r="H12565">
        <v>118.49</v>
      </c>
      <c r="I12565">
        <v>118.48</v>
      </c>
      <c r="J12565">
        <v>0.01</v>
      </c>
    </row>
    <row r="12566" spans="1:10" x14ac:dyDescent="0.3">
      <c r="A12566" t="str">
        <f>HYPERLINK("https://us2.cloudbeds.com/connect/10074733072513#/reservations/31717542129826?display=MX79NYRAZ&amp;reservation_id=31717542129826", "MX79NYRAZ")</f>
        <v>MX79NYRAZ</v>
      </c>
      <c r="B12566" t="s">
        <v>10</v>
      </c>
      <c r="C12566" t="s">
        <v>23</v>
      </c>
      <c r="D12566" t="str">
        <f>HYPERLINK("https://us2.cloudbeds.com/connect/10074733072513#/reservations/31717542129826?display=Scott%20Vetos&amp;reservation_id=31717542129826&amp;guest_id=31717542125741", "Scott Vetos")</f>
        <v>Scott Vetos</v>
      </c>
      <c r="E12566" t="s">
        <v>11959</v>
      </c>
      <c r="F12566" t="s">
        <v>11027</v>
      </c>
      <c r="G12566">
        <v>219</v>
      </c>
      <c r="H12566">
        <v>238.06</v>
      </c>
      <c r="I12566">
        <v>238.05</v>
      </c>
      <c r="J12566">
        <v>0.01</v>
      </c>
    </row>
    <row r="12567" spans="1:10" x14ac:dyDescent="0.3">
      <c r="A12567" t="str">
        <f>HYPERLINK("https://us2.cloudbeds.com/connect/10074733072513#/reservations/31713968140510?display=MX4HCWA46&amp;reservation_id=31713968140510", "MX4HCWA46")</f>
        <v>MX4HCWA46</v>
      </c>
      <c r="B12567" t="s">
        <v>10</v>
      </c>
      <c r="C12567" t="s">
        <v>23</v>
      </c>
      <c r="D12567" t="str">
        <f>HYPERLINK("https://us2.cloudbeds.com/connect/10074733072513#/reservations/31713968140510?display=Melissa%20Johnson&amp;reservation_id=31713968140510&amp;guest_id=31713958297733", "Melissa Johnson")</f>
        <v>Melissa Johnson</v>
      </c>
      <c r="E12567" t="s">
        <v>11960</v>
      </c>
      <c r="F12567" t="s">
        <v>11464</v>
      </c>
      <c r="G12567">
        <v>109</v>
      </c>
      <c r="H12567">
        <v>118.49</v>
      </c>
      <c r="I12567">
        <v>118.48</v>
      </c>
      <c r="J12567">
        <v>0.01</v>
      </c>
    </row>
    <row r="12568" spans="1:10" x14ac:dyDescent="0.3">
      <c r="A12568" t="str">
        <f>HYPERLINK("https://us2.cloudbeds.com/connect/10074733072513#/reservations/31720648237271?display=MX9N2QRUP&amp;reservation_id=31720648237271", "MX9N2QRUP")</f>
        <v>MX9N2QRUP</v>
      </c>
      <c r="B12568" t="s">
        <v>10</v>
      </c>
      <c r="C12568" t="s">
        <v>42</v>
      </c>
      <c r="D12568" t="str">
        <f>HYPERLINK("https://us2.cloudbeds.com/connect/10074733072513#/reservations/31720648237271?display=Cindy%20Krull&amp;reservation_id=31720648237271&amp;guest_id=31701286858899", "Cindy Krull")</f>
        <v>Cindy Krull</v>
      </c>
      <c r="E12568" t="s">
        <v>11681</v>
      </c>
      <c r="F12568" t="s">
        <v>11953</v>
      </c>
      <c r="G12568">
        <v>336</v>
      </c>
      <c r="H12568">
        <v>365.24</v>
      </c>
      <c r="I12568">
        <v>365.23</v>
      </c>
      <c r="J12568">
        <v>0.01</v>
      </c>
    </row>
    <row r="12569" spans="1:10" x14ac:dyDescent="0.3">
      <c r="A12569" t="str">
        <f>HYPERLINK("https://us2.cloudbeds.com/connect/10074733072513#/reservations/31718178861200?display=MX7PWXQVS&amp;reservation_id=31718178861200", "MX7PWXQVS")</f>
        <v>MX7PWXQVS</v>
      </c>
      <c r="B12569" t="s">
        <v>10</v>
      </c>
      <c r="C12569" t="s">
        <v>42</v>
      </c>
      <c r="D12569" t="str">
        <f>HYPERLINK("https://us2.cloudbeds.com/connect/10074733072513#/reservations/31718178861200?display=Conn%20Odoherty&amp;reservation_id=31718178861200&amp;guest_id=31718178857105", "Conn Odoherty")</f>
        <v>Conn Odoherty</v>
      </c>
      <c r="E12569" t="s">
        <v>11961</v>
      </c>
      <c r="F12569" t="s">
        <v>11717</v>
      </c>
      <c r="G12569">
        <v>109</v>
      </c>
      <c r="H12569">
        <v>118.49</v>
      </c>
      <c r="I12569">
        <v>118.48</v>
      </c>
      <c r="J12569">
        <v>0.01</v>
      </c>
    </row>
    <row r="12570" spans="1:10" x14ac:dyDescent="0.3">
      <c r="A12570" t="str">
        <f>HYPERLINK("https://us2.cloudbeds.com/connect/10074733072513#/reservations/31720692973788?display=MX9Z7HN9Q&amp;reservation_id=31720692973788", "MX9Z7HN9Q")</f>
        <v>MX9Z7HN9Q</v>
      </c>
      <c r="B12570" t="s">
        <v>10</v>
      </c>
      <c r="C12570" t="s">
        <v>23</v>
      </c>
      <c r="D12570" t="str">
        <f>HYPERLINK("https://us2.cloudbeds.com/connect/10074733072513#/reservations/31720692973788?display=Trinity%20Harig&amp;reservation_id=31720692973788&amp;guest_id=31720692973777", "Trinity Harig")</f>
        <v>Trinity Harig</v>
      </c>
      <c r="E12570" t="s">
        <v>11962</v>
      </c>
      <c r="F12570" t="s">
        <v>11684</v>
      </c>
      <c r="G12570">
        <v>139</v>
      </c>
      <c r="H12570">
        <v>151.1</v>
      </c>
      <c r="I12570">
        <v>151.09</v>
      </c>
      <c r="J12570">
        <v>0.01</v>
      </c>
    </row>
    <row r="12571" spans="1:10" x14ac:dyDescent="0.3">
      <c r="A12571" t="str">
        <f>HYPERLINK("https://us2.cloudbeds.com/connect/10074733072513#/reservations/31718841708683?display=MX89UGHB6&amp;reservation_id=31718841708683", "MX89UGHB6")</f>
        <v>MX89UGHB6</v>
      </c>
      <c r="B12571" t="s">
        <v>10</v>
      </c>
      <c r="C12571" t="s">
        <v>42</v>
      </c>
      <c r="D12571" t="str">
        <f>HYPERLINK("https://us2.cloudbeds.com/connect/10074733072513#/reservations/31718841708683?display=David%20Mccandless&amp;reservation_id=31718841708683&amp;guest_id=31718841704591", "David Mccandless")</f>
        <v>David Mccandless</v>
      </c>
      <c r="E12571" t="s">
        <v>5237</v>
      </c>
      <c r="F12571" t="s">
        <v>11956</v>
      </c>
      <c r="G12571">
        <v>89</v>
      </c>
      <c r="H12571">
        <v>96.75</v>
      </c>
      <c r="I12571">
        <v>96.74</v>
      </c>
      <c r="J12571">
        <v>0.01</v>
      </c>
    </row>
    <row r="12572" spans="1:10" x14ac:dyDescent="0.3">
      <c r="A12572" t="str">
        <f>HYPERLINK("https://us2.cloudbeds.com/connect/10074733072513#/reservations/31718857277671?display=MX8AAKZUZ&amp;reservation_id=31718857277671", "MX8AAKZUZ")</f>
        <v>MX8AAKZUZ</v>
      </c>
      <c r="B12572" t="s">
        <v>10</v>
      </c>
      <c r="C12572" t="s">
        <v>42</v>
      </c>
      <c r="D12572" t="str">
        <f>HYPERLINK("https://us2.cloudbeds.com/connect/10074733072513#/reservations/31718857277671?display=Dennis%20Roberts&amp;reservation_id=31718857277671&amp;guest_id=31718857277668", "Dennis Roberts")</f>
        <v>Dennis Roberts</v>
      </c>
      <c r="E12572" t="s">
        <v>11963</v>
      </c>
      <c r="F12572" t="s">
        <v>11956</v>
      </c>
      <c r="G12572">
        <v>89</v>
      </c>
      <c r="H12572">
        <v>96.75</v>
      </c>
      <c r="I12572">
        <v>96.74</v>
      </c>
      <c r="J12572">
        <v>0.01</v>
      </c>
    </row>
    <row r="12573" spans="1:10" x14ac:dyDescent="0.3">
      <c r="A12573" t="str">
        <f>HYPERLINK("https://us2.cloudbeds.com/connect/10074733072513#/reservations/31718443340001?display=MX7WZJASW&amp;reservation_id=31718443340001", "MX7WZJASW")</f>
        <v>MX7WZJASW</v>
      </c>
      <c r="B12573" t="s">
        <v>10</v>
      </c>
      <c r="C12573" t="s">
        <v>42</v>
      </c>
      <c r="D12573" t="str">
        <f>HYPERLINK("https://us2.cloudbeds.com/connect/10074733072513#/reservations/31718443340001?display=Brock%20Pashen&amp;reservation_id=31718443340001&amp;guest_id=31718443339999", "Brock Pashen")</f>
        <v>Brock Pashen</v>
      </c>
      <c r="E12573" t="s">
        <v>11964</v>
      </c>
      <c r="F12573" t="s">
        <v>11815</v>
      </c>
      <c r="G12573">
        <v>139</v>
      </c>
      <c r="H12573">
        <v>151.1</v>
      </c>
      <c r="I12573">
        <v>151.09</v>
      </c>
      <c r="J12573">
        <v>0.01</v>
      </c>
    </row>
    <row r="12574" spans="1:10" x14ac:dyDescent="0.3">
      <c r="A12574" t="str">
        <f>HYPERLINK("https://us2.cloudbeds.com/connect/10074733072513#/reservations/31720750096527?display=MX9PMN7JT&amp;reservation_id=31720750096527", "MX9PMN7JT")</f>
        <v>MX9PMN7JT</v>
      </c>
      <c r="B12574" t="s">
        <v>10</v>
      </c>
      <c r="C12574" t="s">
        <v>42</v>
      </c>
      <c r="D12574" t="str">
        <f>HYPERLINK("https://us2.cloudbeds.com/connect/10074733072513#/reservations/31720750096527?display=Sven%20Ericson&amp;reservation_id=31720750096527&amp;guest_id=31720750092427", "Sven Ericson")</f>
        <v>Sven Ericson</v>
      </c>
      <c r="E12574" t="s">
        <v>11965</v>
      </c>
      <c r="F12574" t="s">
        <v>11684</v>
      </c>
      <c r="G12574">
        <v>238</v>
      </c>
      <c r="H12574">
        <v>258.72000000000003</v>
      </c>
      <c r="I12574">
        <v>258.70999999999998</v>
      </c>
      <c r="J12574">
        <v>0.01</v>
      </c>
    </row>
    <row r="12575" spans="1:10" x14ac:dyDescent="0.3">
      <c r="A12575" t="str">
        <f>HYPERLINK("https://us2.cloudbeds.com/connect/10074733072513#/reservations/31714733068427?display=MX53UWX91&amp;reservation_id=31714733068427", "MX53UWX91")</f>
        <v>MX53UWX91</v>
      </c>
      <c r="B12575" t="s">
        <v>10</v>
      </c>
      <c r="C12575" t="s">
        <v>42</v>
      </c>
      <c r="D12575" t="str">
        <f>HYPERLINK("https://us2.cloudbeds.com/connect/10074733072513#/reservations/31714733068427?display=Brandi%20Haaven&amp;reservation_id=31714733068427&amp;guest_id=31714728849571", "Brandi Haaven")</f>
        <v>Brandi Haaven</v>
      </c>
      <c r="E12575" t="s">
        <v>8031</v>
      </c>
      <c r="F12575" t="s">
        <v>11717</v>
      </c>
      <c r="G12575">
        <v>109</v>
      </c>
      <c r="H12575">
        <v>118.49</v>
      </c>
      <c r="I12575">
        <v>118.48</v>
      </c>
      <c r="J12575">
        <v>0.01</v>
      </c>
    </row>
    <row r="12576" spans="1:10" x14ac:dyDescent="0.3">
      <c r="A12576" t="str">
        <f>HYPERLINK("https://us2.cloudbeds.com/connect/10074733072513#/reservations/31718718501065?display=MX86PK311&amp;reservation_id=31718718501065", "MX86PK311")</f>
        <v>MX86PK311</v>
      </c>
      <c r="B12576" t="s">
        <v>10</v>
      </c>
      <c r="C12576" t="s">
        <v>23</v>
      </c>
      <c r="D12576" t="str">
        <f>HYPERLINK("https://us2.cloudbeds.com/connect/10074733072513#/reservations/31718718501065?display=Roberta%20Hindberg&amp;reservation_id=31718718501065&amp;guest_id=31718718501060", "Roberta Hindberg")</f>
        <v>Roberta Hindberg</v>
      </c>
      <c r="E12576" t="s">
        <v>11966</v>
      </c>
      <c r="F12576" t="s">
        <v>11675</v>
      </c>
      <c r="G12576">
        <v>205.2</v>
      </c>
      <c r="H12576">
        <v>223.06</v>
      </c>
      <c r="I12576">
        <v>223.05</v>
      </c>
      <c r="J12576">
        <v>0.01</v>
      </c>
    </row>
    <row r="12577" spans="1:10" x14ac:dyDescent="0.3">
      <c r="A12577" t="str">
        <f>HYPERLINK("https://us2.cloudbeds.com/connect/10074733072513#/reservations/31717134844116?display=MX6WA7GJH&amp;reservation_id=31717134844116", "MX6WA7GJH")</f>
        <v>MX6WA7GJH</v>
      </c>
      <c r="B12577" t="s">
        <v>10</v>
      </c>
      <c r="C12577" t="s">
        <v>42</v>
      </c>
      <c r="D12577" t="str">
        <f>HYPERLINK("https://us2.cloudbeds.com/connect/10074733072513#/reservations/31717134844116?display=Arlan%20Swanson&amp;reservation_id=31717134844116&amp;guest_id=31717134844113", "Arlan Swanson")</f>
        <v>Arlan Swanson</v>
      </c>
      <c r="E12577" t="s">
        <v>11967</v>
      </c>
      <c r="F12577" t="s">
        <v>11928</v>
      </c>
      <c r="G12577">
        <v>282</v>
      </c>
      <c r="H12577">
        <v>306.54000000000002</v>
      </c>
      <c r="I12577">
        <v>306.52999999999997</v>
      </c>
      <c r="J12577">
        <v>0.01</v>
      </c>
    </row>
    <row r="12578" spans="1:10" x14ac:dyDescent="0.3">
      <c r="A12578" t="str">
        <f>HYPERLINK("https://us2.cloudbeds.com/connect/10074733072513#/reservations/31719988871408?display=MX967R0Y1&amp;reservation_id=31719988871408", "MX967R0Y1")</f>
        <v>MX967R0Y1</v>
      </c>
      <c r="B12578" t="s">
        <v>10</v>
      </c>
      <c r="C12578" t="s">
        <v>23</v>
      </c>
      <c r="D12578" t="str">
        <f>HYPERLINK("https://us2.cloudbeds.com/connect/10074733072513#/reservations/31719988871408?display=Todd%20Barber&amp;reservation_id=31719988871408&amp;guest_id=31719988871406", "Todd Barber")</f>
        <v>Todd Barber</v>
      </c>
      <c r="E12578" t="s">
        <v>11968</v>
      </c>
      <c r="F12578" t="s">
        <v>11684</v>
      </c>
      <c r="G12578">
        <v>87.82</v>
      </c>
      <c r="H12578">
        <v>95.47</v>
      </c>
      <c r="I12578">
        <v>95.46</v>
      </c>
      <c r="J12578">
        <v>0.01</v>
      </c>
    </row>
    <row r="12579" spans="1:10" x14ac:dyDescent="0.3">
      <c r="A12579" t="str">
        <f>HYPERLINK("https://us2.cloudbeds.com/connect/10074733072513#/reservations/31719999848581?display=MX96H2FMY&amp;reservation_id=31719999848581", "MX96H2FMY")</f>
        <v>MX96H2FMY</v>
      </c>
      <c r="B12579" t="s">
        <v>10</v>
      </c>
      <c r="C12579" t="s">
        <v>42</v>
      </c>
      <c r="D12579" t="str">
        <f>HYPERLINK("https://us2.cloudbeds.com/connect/10074733072513#/reservations/31719999848581?display=Rick%20Hurd&amp;reservation_id=31719999848581&amp;guest_id=31711649288374", "Rick Hurd")</f>
        <v>Rick Hurd</v>
      </c>
      <c r="E12579" t="s">
        <v>6824</v>
      </c>
      <c r="F12579" t="s">
        <v>11684</v>
      </c>
      <c r="G12579">
        <v>109</v>
      </c>
      <c r="H12579">
        <v>118.49</v>
      </c>
      <c r="I12579">
        <v>118.48</v>
      </c>
      <c r="J12579">
        <v>0.01</v>
      </c>
    </row>
    <row r="12580" spans="1:10" x14ac:dyDescent="0.3">
      <c r="A12580" t="str">
        <f>HYPERLINK("https://us2.cloudbeds.com/connect/10074733072513#/reservations/31720016302301?display=MX96UVAN7&amp;reservation_id=31720016302301", "MX96UVAN7")</f>
        <v>MX96UVAN7</v>
      </c>
      <c r="B12580" t="s">
        <v>10</v>
      </c>
      <c r="C12580" t="s">
        <v>23</v>
      </c>
      <c r="D12580" t="str">
        <f>HYPERLINK("https://us2.cloudbeds.com/connect/10074733072513#/reservations/31720016302301?display=Kary%20Peterson&amp;reservation_id=31720016302301&amp;guest_id=31720016302299", "Kary Peterson")</f>
        <v>Kary Peterson</v>
      </c>
      <c r="E12580" t="s">
        <v>7786</v>
      </c>
      <c r="F12580" t="s">
        <v>11684</v>
      </c>
      <c r="G12580">
        <v>109</v>
      </c>
      <c r="H12580">
        <v>118.49</v>
      </c>
      <c r="I12580">
        <v>118.48</v>
      </c>
      <c r="J12580">
        <v>0.01</v>
      </c>
    </row>
    <row r="12581" spans="1:10" x14ac:dyDescent="0.3">
      <c r="A12581" t="str">
        <f>HYPERLINK("https://us2.cloudbeds.com/connect/10074733072513#/reservations/31714648879282?display=MX51PWSJR&amp;reservation_id=31714648879282", "MX51PWSJR")</f>
        <v>MX51PWSJR</v>
      </c>
      <c r="B12581" t="s">
        <v>10</v>
      </c>
      <c r="C12581" t="s">
        <v>42</v>
      </c>
      <c r="D12581" t="str">
        <f>HYPERLINK("https://us2.cloudbeds.com/connect/10074733072513#/reservations/31714648879282?display=Sven%20Ericson&amp;reservation_id=31714648879282&amp;guest_id=31714648879279", "Sven Ericson")</f>
        <v>Sven Ericson</v>
      </c>
      <c r="E12581" t="s">
        <v>11965</v>
      </c>
      <c r="F12581" t="s">
        <v>11684</v>
      </c>
      <c r="G12581">
        <v>238</v>
      </c>
      <c r="H12581">
        <v>258.72000000000003</v>
      </c>
      <c r="I12581">
        <v>258.70999999999998</v>
      </c>
      <c r="J12581">
        <v>0.01</v>
      </c>
    </row>
    <row r="12582" spans="1:10" x14ac:dyDescent="0.3">
      <c r="A12582" t="str">
        <f>HYPERLINK("https://us2.cloudbeds.com/connect/10074733072513#/reservations/31714629685381?display=MX519QPBF&amp;reservation_id=31714629685381", "MX519QPBF")</f>
        <v>MX519QPBF</v>
      </c>
      <c r="B12582" t="s">
        <v>10</v>
      </c>
      <c r="C12582" t="s">
        <v>42</v>
      </c>
      <c r="D12582" t="str">
        <f>HYPERLINK("https://us2.cloudbeds.com/connect/10074733072513#/reservations/31714629685381?display=Michael%20Lowrey&amp;reservation_id=31714629685381&amp;guest_id=31713209274595", "Michael Lowrey")</f>
        <v>Michael Lowrey</v>
      </c>
      <c r="E12582" t="s">
        <v>11969</v>
      </c>
      <c r="F12582" t="s">
        <v>11684</v>
      </c>
      <c r="G12582">
        <v>119</v>
      </c>
      <c r="H12582">
        <v>129.36000000000001</v>
      </c>
      <c r="I12582">
        <v>129.35</v>
      </c>
      <c r="J12582">
        <v>0.01</v>
      </c>
    </row>
    <row r="12583" spans="1:10" x14ac:dyDescent="0.3">
      <c r="A12583" t="str">
        <f>HYPERLINK("https://us2.cloudbeds.com/connect/10074733072513#/reservations/31700852682888?display=MHRC8MC1E&amp;reservation_id=31700852682888", "MHRC8MC1E")</f>
        <v>MHRC8MC1E</v>
      </c>
      <c r="B12583" t="s">
        <v>10</v>
      </c>
      <c r="C12583" t="s">
        <v>23</v>
      </c>
      <c r="D12583" t="str">
        <f>HYPERLINK("https://us2.cloudbeds.com/connect/10074733072513#/reservations/31700852682888?display=Tracy%20Hanes&amp;reservation_id=31700852682888&amp;guest_id=31700844998832", "Tracy Hanes")</f>
        <v>Tracy Hanes</v>
      </c>
      <c r="E12583" t="s">
        <v>11971</v>
      </c>
      <c r="F12583" t="s">
        <v>11134</v>
      </c>
      <c r="G12583">
        <v>199</v>
      </c>
      <c r="H12583">
        <v>216.32</v>
      </c>
      <c r="I12583">
        <v>216.31</v>
      </c>
      <c r="J12583">
        <v>0.01</v>
      </c>
    </row>
    <row r="12584" spans="1:10" x14ac:dyDescent="0.3">
      <c r="A12584" t="str">
        <f>HYPERLINK("https://us2.cloudbeds.com/connect/10074733072513#/reservations/31720578785534?display=MX9YA887M&amp;reservation_id=31720578785534", "MX9YA887M")</f>
        <v>MX9YA887M</v>
      </c>
      <c r="B12584" t="s">
        <v>10</v>
      </c>
      <c r="C12584" t="s">
        <v>23</v>
      </c>
      <c r="D12584" t="str">
        <f>HYPERLINK("https://us2.cloudbeds.com/connect/10074733072513#/reservations/31720578785534?display=Terry%20James&amp;reservation_id=31720578785534&amp;guest_id=31720578785475", "Terry James")</f>
        <v>Terry James</v>
      </c>
      <c r="E12584" t="s">
        <v>11973</v>
      </c>
      <c r="F12584" t="s">
        <v>11953</v>
      </c>
      <c r="G12584">
        <v>109</v>
      </c>
      <c r="H12584">
        <v>118.49</v>
      </c>
      <c r="I12584">
        <v>118.48</v>
      </c>
      <c r="J12584">
        <v>0.01</v>
      </c>
    </row>
    <row r="12585" spans="1:10" x14ac:dyDescent="0.3">
      <c r="A12585" t="str">
        <f>HYPERLINK("https://us2.cloudbeds.com/connect/10074733072513#/reservations/31714292613312?display=MX4PMJ485&amp;reservation_id=31714292613312", "MX4PMJ485")</f>
        <v>MX4PMJ485</v>
      </c>
      <c r="B12585" t="s">
        <v>10</v>
      </c>
      <c r="C12585" t="s">
        <v>42</v>
      </c>
      <c r="D12585" t="str">
        <f>HYPERLINK("https://us2.cloudbeds.com/connect/10074733072513#/reservations/31714292613312?display=Todd%20Selvik&amp;reservation_id=31714292613312&amp;guest_id=31714292609274", "Todd Selvik")</f>
        <v>Todd Selvik</v>
      </c>
      <c r="E12585" t="s">
        <v>11975</v>
      </c>
      <c r="F12585" t="s">
        <v>10750</v>
      </c>
      <c r="G12585">
        <v>378</v>
      </c>
      <c r="H12585">
        <v>410.9</v>
      </c>
      <c r="I12585">
        <v>410.89</v>
      </c>
      <c r="J12585">
        <v>0.01</v>
      </c>
    </row>
    <row r="12586" spans="1:10" x14ac:dyDescent="0.3">
      <c r="A12586" t="str">
        <f>HYPERLINK("https://us2.cloudbeds.com/connect/10074733072513#/reservations/31717373653173?display=MX75DJNYK&amp;reservation_id=31717373653173", "MX75DJNYK")</f>
        <v>MX75DJNYK</v>
      </c>
      <c r="B12586" t="s">
        <v>10</v>
      </c>
      <c r="C12586" t="s">
        <v>23</v>
      </c>
      <c r="D12586" t="str">
        <f>HYPERLINK("https://us2.cloudbeds.com/connect/10074733072513#/reservations/31717373653173?display=Darren%20Seeman&amp;reservation_id=31717373653173&amp;guest_id=31717373653124", "Darren Seeman")</f>
        <v>Darren Seeman</v>
      </c>
      <c r="E12586" t="s">
        <v>11976</v>
      </c>
      <c r="F12586" t="s">
        <v>11928</v>
      </c>
      <c r="G12586">
        <v>109</v>
      </c>
      <c r="H12586">
        <v>118.49</v>
      </c>
      <c r="I12586">
        <v>118.48</v>
      </c>
      <c r="J12586">
        <v>0.01</v>
      </c>
    </row>
    <row r="12587" spans="1:10" x14ac:dyDescent="0.3">
      <c r="A12587" t="str">
        <f>HYPERLINK("https://us2.cloudbeds.com/connect/10074733072513#/reservations/31716783050992?display=MX6NAJB7R&amp;reservation_id=31716783050992", "MX6NAJB7R")</f>
        <v>MX6NAJB7R</v>
      </c>
      <c r="B12587" t="s">
        <v>10</v>
      </c>
      <c r="C12587" t="s">
        <v>23</v>
      </c>
      <c r="D12587" t="str">
        <f>HYPERLINK("https://us2.cloudbeds.com/connect/10074733072513#/reservations/31716783050992?display=Timothy%20Morgan&amp;reservation_id=31716783050992&amp;guest_id=31716770971811", "Timothy Morgan")</f>
        <v>Timothy Morgan</v>
      </c>
      <c r="E12587" t="s">
        <v>11977</v>
      </c>
      <c r="F12587" t="s">
        <v>10827</v>
      </c>
      <c r="G12587">
        <v>159</v>
      </c>
      <c r="H12587">
        <v>172.84</v>
      </c>
      <c r="I12587">
        <v>172.83</v>
      </c>
      <c r="J12587">
        <v>0.01</v>
      </c>
    </row>
    <row r="12588" spans="1:10" x14ac:dyDescent="0.3">
      <c r="A12588" t="str">
        <f>HYPERLINK("https://us2.cloudbeds.com/connect/10074733072513#/reservations/31720635121804?display=MX9MZZTBC&amp;reservation_id=31720635121804", "MX9MZZTBC")</f>
        <v>MX9MZZTBC</v>
      </c>
      <c r="B12588" t="s">
        <v>10</v>
      </c>
      <c r="C12588" t="s">
        <v>23</v>
      </c>
      <c r="D12588" t="str">
        <f>HYPERLINK("https://us2.cloudbeds.com/connect/10074733072513#/reservations/31720635121804?display=Jay%20Welk&amp;reservation_id=31720635121804&amp;guest_id=31720628785329", "Jay Welk")</f>
        <v>Jay Welk</v>
      </c>
      <c r="E12588" t="s">
        <v>11979</v>
      </c>
      <c r="F12588" t="s">
        <v>11953</v>
      </c>
      <c r="G12588">
        <v>238</v>
      </c>
      <c r="H12588">
        <v>258.72000000000003</v>
      </c>
      <c r="I12588">
        <v>258.70999999999998</v>
      </c>
      <c r="J12588">
        <v>0.01</v>
      </c>
    </row>
    <row r="12589" spans="1:10" x14ac:dyDescent="0.3">
      <c r="A12589" t="str">
        <f>HYPERLINK("https://us2.cloudbeds.com/connect/10074733072513#/reservations/31720562200723?display=MX9KT8ZRY&amp;reservation_id=31720562200723", "MX9KT8ZRY")</f>
        <v>MX9KT8ZRY</v>
      </c>
      <c r="B12589" t="s">
        <v>10</v>
      </c>
      <c r="C12589" t="s">
        <v>23</v>
      </c>
      <c r="D12589" t="str">
        <f>HYPERLINK("https://us2.cloudbeds.com/connect/10074733072513#/reservations/31720562200723?display=Sheryl%20Geyer&amp;reservation_id=31720562200723&amp;guest_id=31720555397305", "Sheryl Geyer")</f>
        <v>Sheryl Geyer</v>
      </c>
      <c r="E12589" t="s">
        <v>11980</v>
      </c>
      <c r="F12589" t="s">
        <v>11953</v>
      </c>
      <c r="G12589">
        <v>139</v>
      </c>
      <c r="H12589">
        <v>151.1</v>
      </c>
      <c r="I12589">
        <v>151.09</v>
      </c>
      <c r="J12589">
        <v>0.01</v>
      </c>
    </row>
    <row r="12590" spans="1:10" x14ac:dyDescent="0.3">
      <c r="A12590" t="str">
        <f>HYPERLINK("https://us2.cloudbeds.com/connect/10074733072513#/reservations/31718033469611?display=MX7M8W2N3&amp;reservation_id=31718033469611", "MX7M8W2N3")</f>
        <v>MX7M8W2N3</v>
      </c>
      <c r="B12590" t="s">
        <v>10</v>
      </c>
      <c r="C12590" t="s">
        <v>121</v>
      </c>
      <c r="D12590" t="str">
        <f>HYPERLINK("https://us2.cloudbeds.com/connect/10074733072513#/reservations/31718033469611?display=Jacalyn%20Wolfe&amp;reservation_id=31718033469611&amp;guest_id=31718025810066", "Jacalyn Wolfe")</f>
        <v>Jacalyn Wolfe</v>
      </c>
      <c r="E12590" t="s">
        <v>11981</v>
      </c>
      <c r="F12590" t="s">
        <v>11675</v>
      </c>
      <c r="G12590">
        <v>109</v>
      </c>
      <c r="H12590">
        <v>118.49</v>
      </c>
      <c r="I12590">
        <v>118.48</v>
      </c>
      <c r="J12590">
        <v>0.01</v>
      </c>
    </row>
    <row r="12591" spans="1:10" x14ac:dyDescent="0.3">
      <c r="A12591" t="str">
        <f>HYPERLINK("https://us2.cloudbeds.com/connect/10074733072513#/reservations/31714301583504?display=MX4PU4S1B&amp;reservation_id=31714301583504", "MX4PU4S1B")</f>
        <v>MX4PU4S1B</v>
      </c>
      <c r="B12591" t="s">
        <v>10</v>
      </c>
      <c r="C12591" t="s">
        <v>42</v>
      </c>
      <c r="D12591" t="str">
        <f>HYPERLINK("https://us2.cloudbeds.com/connect/10074733072513#/reservations/31714301583504?display=Ellie%20Sholing&amp;reservation_id=31714301583504&amp;guest_id=31714301579420", "Ellie Sholing")</f>
        <v>Ellie Sholing</v>
      </c>
      <c r="E12591" t="s">
        <v>11982</v>
      </c>
      <c r="F12591" t="s">
        <v>10750</v>
      </c>
      <c r="G12591">
        <v>318</v>
      </c>
      <c r="H12591">
        <v>345.68</v>
      </c>
      <c r="I12591">
        <v>345.67</v>
      </c>
      <c r="J12591">
        <v>0.01</v>
      </c>
    </row>
    <row r="12592" spans="1:10" x14ac:dyDescent="0.3">
      <c r="A12592" t="str">
        <f>HYPERLINK("https://us2.cloudbeds.com/connect/10074733072513#/reservations/31720459124937?display=MX9X8BH1W&amp;reservation_id=31720459124937", "MX9X8BH1W")</f>
        <v>MX9X8BH1W</v>
      </c>
      <c r="B12592" t="s">
        <v>10</v>
      </c>
      <c r="C12592" t="s">
        <v>23</v>
      </c>
      <c r="D12592" t="str">
        <f>HYPERLINK("https://us2.cloudbeds.com/connect/10074733072513#/reservations/31720459124937?display=Jessica%20Anne%20Peterson&amp;reservation_id=31720459124937&amp;guest_id=31720450085112", "Jessica Anne Peterson")</f>
        <v>Jessica Anne Peterson</v>
      </c>
      <c r="E12592" t="s">
        <v>11983</v>
      </c>
      <c r="F12592" t="s">
        <v>11953</v>
      </c>
      <c r="G12592">
        <v>102.58</v>
      </c>
      <c r="H12592">
        <v>111.51</v>
      </c>
      <c r="I12592">
        <v>111.5</v>
      </c>
      <c r="J12592">
        <v>0.01</v>
      </c>
    </row>
    <row r="12593" spans="1:10" x14ac:dyDescent="0.3">
      <c r="A12593" t="str">
        <f>HYPERLINK("https://us2.cloudbeds.com/connect/10074733072513#/reservations/31713255858343?display=MX3W6C063&amp;reservation_id=31713255858343", "MX3W6C063")</f>
        <v>MX3W6C063</v>
      </c>
      <c r="B12593" t="s">
        <v>10</v>
      </c>
      <c r="C12593" t="s">
        <v>42</v>
      </c>
      <c r="D12593" t="str">
        <f>HYPERLINK("https://us2.cloudbeds.com/connect/10074733072513#/reservations/31713255858343?display=Joe%20Lueck&amp;reservation_id=31713255858343&amp;guest_id=31711496093945", "Joe Lueck")</f>
        <v>Joe Lueck</v>
      </c>
      <c r="E12593" t="s">
        <v>11785</v>
      </c>
      <c r="F12593" t="s">
        <v>11953</v>
      </c>
      <c r="G12593">
        <v>109</v>
      </c>
      <c r="H12593">
        <v>118.49</v>
      </c>
      <c r="I12593">
        <v>118.48</v>
      </c>
      <c r="J12593">
        <v>0.01</v>
      </c>
    </row>
    <row r="12594" spans="1:10" x14ac:dyDescent="0.3">
      <c r="A12594" t="str">
        <f>HYPERLINK("https://us2.cloudbeds.com/connect/10074733072513#/reservations/31713169801426?display=MX3TWQBCZ&amp;reservation_id=31713169801426", "MX3TWQBCZ")</f>
        <v>MX3TWQBCZ</v>
      </c>
      <c r="B12594" t="s">
        <v>10</v>
      </c>
      <c r="C12594" t="s">
        <v>42</v>
      </c>
      <c r="D12594" t="str">
        <f>HYPERLINK("https://us2.cloudbeds.com/connect/10074733072513#/reservations/31713169801426?display=Toby%20Sharp&amp;reservation_id=31713169801426&amp;guest_id=31713169801422", "Toby Sharp")</f>
        <v>Toby Sharp</v>
      </c>
      <c r="E12594" t="s">
        <v>11985</v>
      </c>
      <c r="F12594" t="s">
        <v>11953</v>
      </c>
      <c r="G12594">
        <v>109</v>
      </c>
      <c r="H12594">
        <v>118.49</v>
      </c>
      <c r="I12594">
        <v>118.48</v>
      </c>
      <c r="J12594">
        <v>0.01</v>
      </c>
    </row>
    <row r="12595" spans="1:10" x14ac:dyDescent="0.3">
      <c r="A12595" t="str">
        <f>HYPERLINK("https://us2.cloudbeds.com/connect/10074733072513#/reservations/31719531401403?display=MX8RX27WK&amp;reservation_id=31719531401403", "MX8RX27WK")</f>
        <v>MX8RX27WK</v>
      </c>
      <c r="B12595" t="s">
        <v>10</v>
      </c>
      <c r="C12595" t="s">
        <v>23</v>
      </c>
      <c r="D12595" t="str">
        <f>HYPERLINK("https://us2.cloudbeds.com/connect/10074733072513#/reservations/31719531401403?display=Sara%20Albrecht&amp;reservation_id=31719531401403&amp;guest_id=31719531401397", "Sara Albrecht")</f>
        <v>Sara Albrecht</v>
      </c>
      <c r="E12595" t="s">
        <v>11986</v>
      </c>
      <c r="F12595" t="s">
        <v>9926</v>
      </c>
      <c r="G12595">
        <v>199</v>
      </c>
      <c r="H12595">
        <v>216.32</v>
      </c>
      <c r="I12595">
        <v>216.31</v>
      </c>
      <c r="J12595">
        <v>0.01</v>
      </c>
    </row>
    <row r="12596" spans="1:10" x14ac:dyDescent="0.3">
      <c r="A12596" t="str">
        <f>HYPERLINK("https://us2.cloudbeds.com/connect/10074733072513#/reservations/31720395145439?display=MX9GKD6CA&amp;reservation_id=31720395145439", "MX9GKD6CA")</f>
        <v>MX9GKD6CA</v>
      </c>
      <c r="B12596" t="s">
        <v>10</v>
      </c>
      <c r="C12596" t="s">
        <v>23</v>
      </c>
      <c r="D12596" t="str">
        <f>HYPERLINK("https://us2.cloudbeds.com/connect/10074733072513#/reservations/31720395145439?display=Jerald%20Mathis&amp;reservation_id=31720395145439&amp;guest_id=31720385138831", "Jerald Mathis")</f>
        <v>Jerald Mathis</v>
      </c>
      <c r="E12596" t="s">
        <v>11990</v>
      </c>
      <c r="F12596" t="s">
        <v>11051</v>
      </c>
      <c r="G12596">
        <v>219</v>
      </c>
      <c r="H12596">
        <v>238.06</v>
      </c>
      <c r="I12596">
        <v>238.05</v>
      </c>
      <c r="J12596">
        <v>0.01</v>
      </c>
    </row>
    <row r="12597" spans="1:10" x14ac:dyDescent="0.3">
      <c r="A12597" t="str">
        <f>HYPERLINK("https://us2.cloudbeds.com/connect/10074733072513#/reservations/31720618508507?display=MX9MAZJQ4&amp;reservation_id=31720618508507", "MX9MAZJQ4")</f>
        <v>MX9MAZJQ4</v>
      </c>
      <c r="B12597" t="s">
        <v>10</v>
      </c>
      <c r="C12597" t="s">
        <v>23</v>
      </c>
      <c r="D12597" t="str">
        <f>HYPERLINK("https://us2.cloudbeds.com/connect/10074733072513#/reservations/31720618508507?display=Alina%20Kapser&amp;reservation_id=31720618508507&amp;guest_id=31720618504413", "Alina Kapser")</f>
        <v>Alina Kapser</v>
      </c>
      <c r="E12597" t="s">
        <v>11991</v>
      </c>
      <c r="F12597" t="s">
        <v>11953</v>
      </c>
      <c r="G12597">
        <v>119</v>
      </c>
      <c r="H12597">
        <v>129.36000000000001</v>
      </c>
      <c r="I12597">
        <v>129.35</v>
      </c>
      <c r="J12597">
        <v>0.01</v>
      </c>
    </row>
    <row r="12598" spans="1:10" x14ac:dyDescent="0.3">
      <c r="A12598" t="str">
        <f>HYPERLINK("https://us2.cloudbeds.com/connect/10074733072513#/reservations/31718501359815?display=MX817GQV5&amp;reservation_id=31718501359815", "MX817GQV5")</f>
        <v>MX817GQV5</v>
      </c>
      <c r="B12598" t="s">
        <v>10</v>
      </c>
      <c r="C12598" t="s">
        <v>23</v>
      </c>
      <c r="D12598" t="str">
        <f>HYPERLINK("https://us2.cloudbeds.com/connect/10074733072513#/reservations/31718501359815?display=Ember%20Lynn%20Dale&amp;reservation_id=31718501359815&amp;guest_id=31718501359813", "Ember Lynn Dale")</f>
        <v>Ember Lynn Dale</v>
      </c>
      <c r="E12598" t="s">
        <v>11992</v>
      </c>
      <c r="F12598" t="s">
        <v>10982</v>
      </c>
      <c r="G12598">
        <v>209</v>
      </c>
      <c r="H12598">
        <v>227.19</v>
      </c>
      <c r="I12598">
        <v>227.18</v>
      </c>
      <c r="J12598">
        <v>0.01</v>
      </c>
    </row>
    <row r="12599" spans="1:10" x14ac:dyDescent="0.3">
      <c r="A12599" t="str">
        <f>HYPERLINK("https://us2.cloudbeds.com/connect/10074733072513#/reservations/31713283530882?display=MX3WTN14T&amp;reservation_id=31713283530882", "MX3WTN14T")</f>
        <v>MX3WTN14T</v>
      </c>
      <c r="B12599" t="s">
        <v>10</v>
      </c>
      <c r="C12599" t="s">
        <v>42</v>
      </c>
      <c r="D12599" t="str">
        <f>HYPERLINK("https://us2.cloudbeds.com/connect/10074733072513#/reservations/31713283530882?display=Brian%20Barthel&amp;reservation_id=31713283530882&amp;guest_id=31702630699221", "Brian Barthel")</f>
        <v>Brian Barthel</v>
      </c>
      <c r="E12599" t="s">
        <v>11993</v>
      </c>
      <c r="F12599" t="s">
        <v>11953</v>
      </c>
      <c r="G12599">
        <v>109</v>
      </c>
      <c r="H12599">
        <v>118.49</v>
      </c>
      <c r="I12599">
        <v>118.48</v>
      </c>
      <c r="J12599">
        <v>0.01</v>
      </c>
    </row>
    <row r="12600" spans="1:10" x14ac:dyDescent="0.3">
      <c r="A12600" t="str">
        <f>HYPERLINK("https://us2.cloudbeds.com/connect/10074733072513#/reservations/31718924189917?display=MX8C11MMX&amp;reservation_id=31718924189917", "MX8C11MMX")</f>
        <v>MX8C11MMX</v>
      </c>
      <c r="B12600" t="s">
        <v>10</v>
      </c>
      <c r="C12600" t="s">
        <v>42</v>
      </c>
      <c r="D12600" t="str">
        <f>HYPERLINK("https://us2.cloudbeds.com/connect/10074733072513#/reservations/31718924189917?display=Clarence%20Devney&amp;reservation_id=31718924189917&amp;guest_id=31689082441939", "Clarence Devney")</f>
        <v>Clarence Devney</v>
      </c>
      <c r="E12600" t="s">
        <v>7439</v>
      </c>
      <c r="F12600" t="s">
        <v>11956</v>
      </c>
      <c r="G12600">
        <v>89</v>
      </c>
      <c r="H12600">
        <v>96.75</v>
      </c>
      <c r="I12600">
        <v>96.74</v>
      </c>
      <c r="J12600">
        <v>0.01</v>
      </c>
    </row>
    <row r="12601" spans="1:10" x14ac:dyDescent="0.3">
      <c r="A12601" t="str">
        <f>HYPERLINK("https://us2.cloudbeds.com/connect/10074733072513#/reservations/31714387787966?display=MX4S3RKAP&amp;reservation_id=31714387787966", "MX4S3RKAP")</f>
        <v>MX4S3RKAP</v>
      </c>
      <c r="B12601" t="s">
        <v>10</v>
      </c>
      <c r="C12601" t="s">
        <v>42</v>
      </c>
      <c r="D12601" t="str">
        <f>HYPERLINK("https://us2.cloudbeds.com/connect/10074733072513#/reservations/31714387787966?display=Kathy%20Kneifl&amp;reservation_id=31714387787966&amp;guest_id=31714387787950", "Kathy Kneifl")</f>
        <v>Kathy Kneifl</v>
      </c>
      <c r="E12601" t="s">
        <v>11995</v>
      </c>
      <c r="F12601" t="s">
        <v>10750</v>
      </c>
      <c r="G12601">
        <v>209</v>
      </c>
      <c r="H12601">
        <v>227.19</v>
      </c>
      <c r="I12601">
        <v>227.18</v>
      </c>
      <c r="J12601">
        <v>0.01</v>
      </c>
    </row>
    <row r="12602" spans="1:10" x14ac:dyDescent="0.3">
      <c r="A12602" t="str">
        <f>HYPERLINK("https://us2.cloudbeds.com/connect/10074733072513#/reservations/31711689511106?display=MX2P5J2Q9&amp;reservation_id=31711689511106", "MX2P5J2Q9")</f>
        <v>MX2P5J2Q9</v>
      </c>
      <c r="B12602" t="s">
        <v>10</v>
      </c>
      <c r="C12602" t="s">
        <v>42</v>
      </c>
      <c r="D12602" t="str">
        <f>HYPERLINK("https://us2.cloudbeds.com/connect/10074733072513#/reservations/31711689511106?display=Mr%20&amp;%20Mrs%20Coats%20.&amp;reservation_id=31711689511106&amp;guest_id=31711678644367", "Mr &amp; Mrs Coats .")</f>
        <v>Mr &amp; Mrs Coats .</v>
      </c>
      <c r="E12602" t="s">
        <v>11997</v>
      </c>
      <c r="F12602" t="s">
        <v>11998</v>
      </c>
      <c r="G12602">
        <v>159</v>
      </c>
      <c r="H12602">
        <v>172.84</v>
      </c>
      <c r="I12602">
        <v>172.83</v>
      </c>
      <c r="J12602">
        <v>0.01</v>
      </c>
    </row>
    <row r="12603" spans="1:10" x14ac:dyDescent="0.3">
      <c r="A12603" t="str">
        <f>HYPERLINK("https://us2.cloudbeds.com/connect/10074733072513#/reservations/31713198858388?display=MX3UZ9TKZ&amp;reservation_id=31713198858388", "MX3UZ9TKZ")</f>
        <v>MX3UZ9TKZ</v>
      </c>
      <c r="B12603" t="s">
        <v>10</v>
      </c>
      <c r="C12603" t="s">
        <v>121</v>
      </c>
      <c r="D12603" t="str">
        <f>HYPERLINK("https://us2.cloudbeds.com/connect/10074733072513#/reservations/31713198858388?display=Glenn%20Frazier&amp;reservation_id=31713198858388&amp;guest_id=31713198858384", "Glenn Frazier")</f>
        <v>Glenn Frazier</v>
      </c>
      <c r="E12603" t="s">
        <v>11999</v>
      </c>
      <c r="F12603" t="s">
        <v>11953</v>
      </c>
      <c r="G12603">
        <v>109</v>
      </c>
      <c r="H12603">
        <v>118.49</v>
      </c>
      <c r="I12603">
        <v>118.48</v>
      </c>
      <c r="J12603">
        <v>0.01</v>
      </c>
    </row>
    <row r="12604" spans="1:10" x14ac:dyDescent="0.3">
      <c r="A12604" t="str">
        <f>HYPERLINK("https://us2.cloudbeds.com/connect/10074733072513#/reservations/31716171899026?display=MX67N84G9&amp;reservation_id=31716171899026", "MX67N84G9")</f>
        <v>MX67N84G9</v>
      </c>
      <c r="B12604" t="s">
        <v>10</v>
      </c>
      <c r="C12604" t="s">
        <v>42</v>
      </c>
      <c r="D12604" t="str">
        <f>HYPERLINK("https://us2.cloudbeds.com/connect/10074733072513#/reservations/31716171899026?display=Zach%20Sinnen&amp;reservation_id=31716171899026&amp;guest_id=17963385467050", "Zach Sinnen")</f>
        <v>Zach Sinnen</v>
      </c>
      <c r="E12604" t="s">
        <v>11625</v>
      </c>
      <c r="F12604" t="s">
        <v>12000</v>
      </c>
      <c r="G12604">
        <v>336</v>
      </c>
      <c r="H12604">
        <v>365.24</v>
      </c>
      <c r="I12604">
        <v>365.23</v>
      </c>
      <c r="J12604">
        <v>0.01</v>
      </c>
    </row>
    <row r="12605" spans="1:10" x14ac:dyDescent="0.3">
      <c r="A12605" t="str">
        <f>HYPERLINK("https://us2.cloudbeds.com/connect/10074733072513#/reservations/31721430478980?display=MXAA2DSSW&amp;reservation_id=31721430478980", "MXAA2DSSW")</f>
        <v>MXAA2DSSW</v>
      </c>
      <c r="B12605" t="s">
        <v>10</v>
      </c>
      <c r="C12605" t="s">
        <v>42</v>
      </c>
      <c r="D12605" t="str">
        <f>HYPERLINK("https://us2.cloudbeds.com/connect/10074733072513#/reservations/31721430478980?display=Brady%20Rothschadl&amp;reservation_id=31721430478980&amp;guest_id=31721430478976", "Brady Rothschadl")</f>
        <v>Brady Rothschadl</v>
      </c>
      <c r="E12605" t="s">
        <v>12002</v>
      </c>
      <c r="F12605" t="s">
        <v>11707</v>
      </c>
      <c r="G12605">
        <v>225</v>
      </c>
      <c r="H12605">
        <v>244.59</v>
      </c>
      <c r="I12605">
        <v>244.58</v>
      </c>
      <c r="J12605">
        <v>0.01</v>
      </c>
    </row>
    <row r="12606" spans="1:10" x14ac:dyDescent="0.3">
      <c r="A12606" t="str">
        <f>HYPERLINK("https://us2.cloudbeds.com/connect/10074733072513#/reservations/31716370579649?display=MX6CPPNM7&amp;reservation_id=31716370579649", "MX6CPPNM7")</f>
        <v>MX6CPPNM7</v>
      </c>
      <c r="B12606" t="s">
        <v>10</v>
      </c>
      <c r="C12606" t="s">
        <v>23</v>
      </c>
      <c r="D12606" t="str">
        <f>HYPERLINK("https://us2.cloudbeds.com/connect/10074733072513#/reservations/31716370579649?display=Melany%20Wellnitz&amp;reservation_id=31716370579649&amp;guest_id=31716362481824", "Melany Wellnitz")</f>
        <v>Melany Wellnitz</v>
      </c>
      <c r="E12606" t="s">
        <v>12006</v>
      </c>
      <c r="F12606" t="s">
        <v>11573</v>
      </c>
      <c r="G12606">
        <v>229</v>
      </c>
      <c r="H12606">
        <v>248.93</v>
      </c>
      <c r="I12606">
        <v>248.92</v>
      </c>
      <c r="J12606">
        <v>0.01</v>
      </c>
    </row>
    <row r="12607" spans="1:10" x14ac:dyDescent="0.3">
      <c r="A12607" t="str">
        <f>HYPERLINK("https://us2.cloudbeds.com/connect/10074733072513#/reservations/31720866599065?display=MX9SYV2QR&amp;reservation_id=31720866599065", "MX9SYV2QR")</f>
        <v>MX9SYV2QR</v>
      </c>
      <c r="B12607" t="s">
        <v>10</v>
      </c>
      <c r="C12607" t="s">
        <v>23</v>
      </c>
      <c r="D12607" t="str">
        <f>HYPERLINK("https://us2.cloudbeds.com/connect/10074733072513#/reservations/31720866599065?display=Jeff%20Hansen&amp;reservation_id=31720866599065&amp;guest_id=31720866594980", "Jeff Hansen")</f>
        <v>Jeff Hansen</v>
      </c>
      <c r="E12607" t="s">
        <v>12007</v>
      </c>
      <c r="F12607" t="s">
        <v>11042</v>
      </c>
      <c r="G12607">
        <v>97.74</v>
      </c>
      <c r="H12607">
        <v>106.25</v>
      </c>
      <c r="I12607">
        <v>106.24</v>
      </c>
      <c r="J12607">
        <v>0.01</v>
      </c>
    </row>
    <row r="12608" spans="1:10" x14ac:dyDescent="0.3">
      <c r="A12608" t="str">
        <f>HYPERLINK("https://us2.cloudbeds.com/connect/10074733072513#/reservations/31721653579926?display=MXAFPHWJN&amp;reservation_id=31721653579926", "MXAFPHWJN")</f>
        <v>MXAFPHWJN</v>
      </c>
      <c r="B12608" t="s">
        <v>10</v>
      </c>
      <c r="C12608" t="s">
        <v>42</v>
      </c>
      <c r="D12608" t="str">
        <f>HYPERLINK("https://us2.cloudbeds.com/connect/10074733072513#/reservations/31721653579926?display=Elaine%20Tufte&amp;reservation_id=31721653579926&amp;guest_id=31721653575832", "Elaine Tufte")</f>
        <v>Elaine Tufte</v>
      </c>
      <c r="E12608" t="s">
        <v>12010</v>
      </c>
      <c r="F12608" t="s">
        <v>11947</v>
      </c>
      <c r="G12608">
        <v>238</v>
      </c>
      <c r="H12608">
        <v>258.72000000000003</v>
      </c>
      <c r="I12608">
        <v>258.70999999999998</v>
      </c>
      <c r="J12608">
        <v>0.01</v>
      </c>
    </row>
    <row r="12609" spans="1:10" x14ac:dyDescent="0.3">
      <c r="A12609" t="str">
        <f>HYPERLINK("https://us2.cloudbeds.com/connect/10074733072513#/reservations/31713870610634?display=MX4ETZD0D&amp;reservation_id=31713870610634", "MX4ETZD0D")</f>
        <v>MX4ETZD0D</v>
      </c>
      <c r="B12609" t="s">
        <v>10</v>
      </c>
      <c r="C12609" t="s">
        <v>42</v>
      </c>
      <c r="D12609" t="str">
        <f>HYPERLINK("https://us2.cloudbeds.com/connect/10074733072513#/reservations/31713870610634?display=Laurie%20Curtis&amp;reservation_id=31713870610634&amp;guest_id=31713870606542", "Laurie Curtis")</f>
        <v>Laurie Curtis</v>
      </c>
      <c r="E12609" t="s">
        <v>892</v>
      </c>
      <c r="F12609" t="s">
        <v>11464</v>
      </c>
      <c r="G12609">
        <v>109</v>
      </c>
      <c r="H12609">
        <v>118.49</v>
      </c>
      <c r="I12609">
        <v>118.48</v>
      </c>
      <c r="J12609">
        <v>0.01</v>
      </c>
    </row>
    <row r="12610" spans="1:10" x14ac:dyDescent="0.3">
      <c r="A12610" t="str">
        <f>HYPERLINK("https://us2.cloudbeds.com/connect/10074733072513#/reservations/31718253863062?display=MX7RTQS6X&amp;reservation_id=31718253863062", "MX7RTQS6X")</f>
        <v>MX7RTQS6X</v>
      </c>
      <c r="B12610" t="s">
        <v>10</v>
      </c>
      <c r="C12610" t="s">
        <v>23</v>
      </c>
      <c r="D12610" t="str">
        <f>HYPERLINK("https://us2.cloudbeds.com/connect/10074733072513#/reservations/31718253863062?display=Angela%20Arends&amp;reservation_id=31718253863062&amp;guest_id=31718247887033", "Angela Arends")</f>
        <v>Angela Arends</v>
      </c>
      <c r="E12610" t="s">
        <v>4511</v>
      </c>
      <c r="F12610" t="s">
        <v>11042</v>
      </c>
      <c r="G12610">
        <v>149</v>
      </c>
      <c r="H12610">
        <v>161.97</v>
      </c>
      <c r="I12610">
        <v>161.96</v>
      </c>
      <c r="J12610">
        <v>0.01</v>
      </c>
    </row>
    <row r="12611" spans="1:10" x14ac:dyDescent="0.3">
      <c r="A12611" t="str">
        <f>HYPERLINK("https://us2.cloudbeds.com/connect/10074733072513#/reservations/31713908392156?display=MX4FSJNQ0&amp;reservation_id=31713908392156", "MX4FSJNQ0")</f>
        <v>MX4FSJNQ0</v>
      </c>
      <c r="B12611" t="s">
        <v>10</v>
      </c>
      <c r="C12611" t="s">
        <v>42</v>
      </c>
      <c r="D12611" t="str">
        <f>HYPERLINK("https://us2.cloudbeds.com/connect/10074733072513#/reservations/31713908392156?display=Dale%20Bauer&amp;reservation_id=31713908392156&amp;guest_id=31713894637710", "Dale Bauer")</f>
        <v>Dale Bauer</v>
      </c>
      <c r="E12611" t="s">
        <v>11818</v>
      </c>
      <c r="F12611" t="s">
        <v>11464</v>
      </c>
      <c r="G12611">
        <v>109</v>
      </c>
      <c r="H12611">
        <v>118.49</v>
      </c>
      <c r="I12611">
        <v>118.48</v>
      </c>
      <c r="J12611">
        <v>0.01</v>
      </c>
    </row>
    <row r="12612" spans="1:10" x14ac:dyDescent="0.3">
      <c r="A12612" t="str">
        <f>HYPERLINK("https://us2.cloudbeds.com/connect/10074733072513#/reservations/31713968144603?display=MX4HCWDT7&amp;reservation_id=31713968144603", "MX4HCWDT7")</f>
        <v>MX4HCWDT7</v>
      </c>
      <c r="B12612" t="s">
        <v>10</v>
      </c>
      <c r="C12612" t="s">
        <v>23</v>
      </c>
      <c r="D12612" t="str">
        <f>HYPERLINK("https://us2.cloudbeds.com/connect/10074733072513#/reservations/31713968144603?display=John%20Gliko&amp;reservation_id=31713968144603&amp;guest_id=31713968144601", "John Gliko")</f>
        <v>John Gliko</v>
      </c>
      <c r="E12612" t="s">
        <v>12012</v>
      </c>
      <c r="F12612" t="s">
        <v>11464</v>
      </c>
      <c r="G12612">
        <v>109</v>
      </c>
      <c r="H12612">
        <v>118.49</v>
      </c>
      <c r="I12612">
        <v>118.48</v>
      </c>
      <c r="J12612">
        <v>0.01</v>
      </c>
    </row>
    <row r="12613" spans="1:10" x14ac:dyDescent="0.3">
      <c r="A12613" t="str">
        <f>HYPERLINK("https://us2.cloudbeds.com/connect/10074733072513#/reservations/31719240413377?display=MX8K3MVYE&amp;reservation_id=31719240413377", "MX8K3MVYE")</f>
        <v>MX8K3MVYE</v>
      </c>
      <c r="B12613" t="s">
        <v>10</v>
      </c>
      <c r="C12613" t="s">
        <v>23</v>
      </c>
      <c r="D12613" t="str">
        <f>HYPERLINK("https://us2.cloudbeds.com/connect/10074733072513#/reservations/31719240413377?display=Logan%20Melberg&amp;reservation_id=31719240413377&amp;guest_id=31719240409283", "Logan Melberg")</f>
        <v>Logan Melberg</v>
      </c>
      <c r="E12613" t="s">
        <v>12015</v>
      </c>
      <c r="F12613" t="s">
        <v>11516</v>
      </c>
      <c r="G12613">
        <v>298</v>
      </c>
      <c r="H12613">
        <v>323.94</v>
      </c>
      <c r="I12613">
        <v>323.93</v>
      </c>
      <c r="J12613">
        <v>0.01</v>
      </c>
    </row>
    <row r="12614" spans="1:10" x14ac:dyDescent="0.3">
      <c r="A12614" t="str">
        <f>HYPERLINK("https://us2.cloudbeds.com/connect/10074733072513#/reservations/31715936424141?display=MX61MMN3N&amp;reservation_id=31715936424141", "MX61MMN3N")</f>
        <v>MX61MMN3N</v>
      </c>
      <c r="B12614" t="s">
        <v>10</v>
      </c>
      <c r="C12614" t="s">
        <v>23</v>
      </c>
      <c r="D12614" t="str">
        <f>HYPERLINK("https://us2.cloudbeds.com/connect/10074733072513#/reservations/31715936424141?display=Julieann%20White&amp;reservation_id=31715936424141&amp;guest_id=31715392016583", "Julieann White")</f>
        <v>Julieann White</v>
      </c>
      <c r="E12614" t="s">
        <v>12016</v>
      </c>
      <c r="F12614" t="s">
        <v>12017</v>
      </c>
      <c r="G12614">
        <v>418</v>
      </c>
      <c r="H12614">
        <v>454.38</v>
      </c>
      <c r="I12614">
        <v>454.37</v>
      </c>
      <c r="J12614">
        <v>0.01</v>
      </c>
    </row>
    <row r="12615" spans="1:10" x14ac:dyDescent="0.3">
      <c r="A12615" t="str">
        <f>HYPERLINK("https://us2.cloudbeds.com/connect/10074733072513#/reservations/31721783816432?display=MXAJ3C0BG&amp;reservation_id=31721783816432", "MXAJ3C0BG")</f>
        <v>MXAJ3C0BG</v>
      </c>
      <c r="B12615" t="s">
        <v>10</v>
      </c>
      <c r="C12615" t="s">
        <v>42</v>
      </c>
      <c r="D12615" t="str">
        <f>HYPERLINK("https://us2.cloudbeds.com/connect/10074733072513#/reservations/31721783816432?display=Jerry%20Talsma&amp;reservation_id=31721783816432&amp;guest_id=31692869128388", "Jerry Talsma")</f>
        <v>Jerry Talsma</v>
      </c>
      <c r="E12615" t="s">
        <v>12019</v>
      </c>
      <c r="F12615" t="s">
        <v>11956</v>
      </c>
      <c r="G12615">
        <v>109</v>
      </c>
      <c r="H12615">
        <v>118.49</v>
      </c>
      <c r="I12615">
        <v>118.48</v>
      </c>
      <c r="J12615">
        <v>0.01</v>
      </c>
    </row>
    <row r="12616" spans="1:10" x14ac:dyDescent="0.3">
      <c r="A12616" t="str">
        <f>HYPERLINK("https://us2.cloudbeds.com/connect/10074733072513#/reservations/31713449042105?display=MX4448KZG&amp;reservation_id=31713449042105", "MX4448KZG")</f>
        <v>MX4448KZG</v>
      </c>
      <c r="B12616" t="s">
        <v>10</v>
      </c>
      <c r="C12616" t="s">
        <v>42</v>
      </c>
      <c r="D12616" t="str">
        <f>HYPERLINK("https://us2.cloudbeds.com/connect/10074733072513#/reservations/31713449042105?display=Nancy%20Erickson&amp;reservation_id=31713449042105&amp;guest_id=31713440706784", "Nancy Erickson")</f>
        <v>Nancy Erickson</v>
      </c>
      <c r="E12616" t="s">
        <v>12020</v>
      </c>
      <c r="F12616" t="s">
        <v>11533</v>
      </c>
      <c r="G12616">
        <v>149</v>
      </c>
      <c r="H12616">
        <v>161.97</v>
      </c>
      <c r="I12616">
        <v>161.96</v>
      </c>
      <c r="J12616">
        <v>0.01</v>
      </c>
    </row>
    <row r="12617" spans="1:10" x14ac:dyDescent="0.3">
      <c r="A12617" t="str">
        <f>HYPERLINK("https://us2.cloudbeds.com/connect/10074733072513#/reservations/31718701859006?display=MX86BJ027&amp;reservation_id=31718701859006", "MX86BJ027")</f>
        <v>MX86BJ027</v>
      </c>
      <c r="B12617" t="s">
        <v>10</v>
      </c>
      <c r="C12617" t="s">
        <v>23</v>
      </c>
      <c r="D12617" t="str">
        <f>HYPERLINK("https://us2.cloudbeds.com/connect/10074733072513#/reservations/31718701859006?display=Mark%20Duffy&amp;reservation_id=31718701859006&amp;guest_id=31718701858947", "Mark Duffy")</f>
        <v>Mark Duffy</v>
      </c>
      <c r="E12617" t="s">
        <v>12021</v>
      </c>
      <c r="F12617" t="s">
        <v>11027</v>
      </c>
      <c r="G12617">
        <v>169</v>
      </c>
      <c r="H12617">
        <v>183.71</v>
      </c>
      <c r="I12617">
        <v>183.7</v>
      </c>
      <c r="J12617">
        <v>0.01</v>
      </c>
    </row>
    <row r="12618" spans="1:10" x14ac:dyDescent="0.3">
      <c r="A12618" t="str">
        <f>HYPERLINK("https://us2.cloudbeds.com/connect/10074733072513#/reservations/31715392016588?display=MX5KPKP04&amp;reservation_id=31715392016588", "MX5KPKP04")</f>
        <v>MX5KPKP04</v>
      </c>
      <c r="B12618" t="s">
        <v>10</v>
      </c>
      <c r="C12618" t="s">
        <v>23</v>
      </c>
      <c r="D12618" t="str">
        <f>HYPERLINK("https://us2.cloudbeds.com/connect/10074733072513#/reservations/31715392016588?display=Julieann%20White&amp;reservation_id=31715392016588&amp;guest_id=31715392016583", "Julieann White")</f>
        <v>Julieann White</v>
      </c>
      <c r="E12618" t="s">
        <v>12016</v>
      </c>
      <c r="F12618" t="s">
        <v>12017</v>
      </c>
      <c r="G12618">
        <v>209</v>
      </c>
      <c r="H12618">
        <v>227.19</v>
      </c>
      <c r="I12618">
        <v>227.18</v>
      </c>
      <c r="J12618">
        <v>0.01</v>
      </c>
    </row>
    <row r="12619" spans="1:10" x14ac:dyDescent="0.3">
      <c r="A12619" t="str">
        <f>HYPERLINK("https://us2.cloudbeds.com/connect/10074733072513#/reservations/31718686113924?display=MX85V9SPG&amp;reservation_id=31718686113924", "MX85V9SPG")</f>
        <v>MX85V9SPG</v>
      </c>
      <c r="B12619" t="s">
        <v>10</v>
      </c>
      <c r="C12619" t="s">
        <v>23</v>
      </c>
      <c r="D12619" t="str">
        <f>HYPERLINK("https://us2.cloudbeds.com/connect/10074733072513#/reservations/31718686113924?display=Alisha%20Gratzfeld&amp;reservation_id=31718686113924&amp;guest_id=31718675316914", "Alisha Gratzfeld")</f>
        <v>Alisha Gratzfeld</v>
      </c>
      <c r="E12619" t="s">
        <v>12022</v>
      </c>
      <c r="F12619" t="s">
        <v>11027</v>
      </c>
      <c r="G12619">
        <v>209</v>
      </c>
      <c r="H12619">
        <v>227.19</v>
      </c>
      <c r="I12619">
        <v>227.18</v>
      </c>
      <c r="J12619">
        <v>0.01</v>
      </c>
    </row>
    <row r="12620" spans="1:10" x14ac:dyDescent="0.3">
      <c r="A12620" t="str">
        <f>HYPERLINK("https://us2.cloudbeds.com/connect/10074733072513#/reservations/31716776067214?display=MX6N4N076&amp;reservation_id=31716776067214", "MX6N4N076")</f>
        <v>MX6N4N076</v>
      </c>
      <c r="B12620" t="s">
        <v>10</v>
      </c>
      <c r="C12620" t="s">
        <v>23</v>
      </c>
      <c r="D12620" t="str">
        <f>HYPERLINK("https://us2.cloudbeds.com/connect/10074733072513#/reservations/31716776067214?display=Cheri%20Underhill&amp;reservation_id=31716776067214&amp;guest_id=31679200899220", "Cheri Underhill")</f>
        <v>Cheri Underhill</v>
      </c>
      <c r="E12620" t="s">
        <v>5920</v>
      </c>
      <c r="F12620" t="s">
        <v>11504</v>
      </c>
      <c r="G12620">
        <v>209</v>
      </c>
      <c r="H12620">
        <v>227.19</v>
      </c>
      <c r="I12620">
        <v>227.18</v>
      </c>
      <c r="J12620">
        <v>0.01</v>
      </c>
    </row>
    <row r="12621" spans="1:10" x14ac:dyDescent="0.3">
      <c r="A12621" t="str">
        <f>HYPERLINK("https://us2.cloudbeds.com/connect/10074733072513#/reservations/31716141932795?display=MX66UW99M&amp;reservation_id=31716141932795", "MX66UW99M")</f>
        <v>MX66UW99M</v>
      </c>
      <c r="B12621" t="s">
        <v>10</v>
      </c>
      <c r="C12621" t="s">
        <v>42</v>
      </c>
      <c r="D12621" t="str">
        <f>HYPERLINK("https://us2.cloudbeds.com/connect/10074733072513#/reservations/31716141932795?display=Kristopher%20Evans&amp;reservation_id=31716141932795&amp;guest_id=31691101683910", "Kristopher Evans")</f>
        <v>Kristopher Evans</v>
      </c>
      <c r="E12621" t="s">
        <v>7990</v>
      </c>
      <c r="F12621" t="s">
        <v>12000</v>
      </c>
      <c r="G12621">
        <v>336</v>
      </c>
      <c r="H12621">
        <v>365.24</v>
      </c>
      <c r="I12621">
        <v>365.23</v>
      </c>
      <c r="J12621">
        <v>0.01</v>
      </c>
    </row>
    <row r="12622" spans="1:10" x14ac:dyDescent="0.3">
      <c r="A12622" t="str">
        <f>HYPERLINK("https://us2.cloudbeds.com/connect/10074733072513#/reservations/31716703002802?display=MX6Y92T32&amp;reservation_id=31716703002802", "MX6Y92T32")</f>
        <v>MX6Y92T32</v>
      </c>
      <c r="B12622" t="s">
        <v>10</v>
      </c>
      <c r="C12622" t="s">
        <v>23</v>
      </c>
      <c r="D12622" t="str">
        <f>HYPERLINK("https://us2.cloudbeds.com/connect/10074733072513#/reservations/31716703002802?display=Jennifer%20Gee&amp;reservation_id=31716703002802&amp;guest_id=31716703002752", "Jennifer Gee")</f>
        <v>Jennifer Gee</v>
      </c>
      <c r="E12622" t="s">
        <v>12026</v>
      </c>
      <c r="F12622" t="s">
        <v>10827</v>
      </c>
      <c r="G12622">
        <v>159</v>
      </c>
      <c r="H12622">
        <v>172.84</v>
      </c>
      <c r="I12622">
        <v>172.83</v>
      </c>
      <c r="J12622">
        <v>0.01</v>
      </c>
    </row>
    <row r="12623" spans="1:10" x14ac:dyDescent="0.3">
      <c r="A12623" t="str">
        <f>HYPERLINK("https://us2.cloudbeds.com/connect/10074733072513#/reservations/31721699479695?display=MXAGV874Q&amp;reservation_id=31721699479695", "MXAGV874Q")</f>
        <v>MXAGV874Q</v>
      </c>
      <c r="B12623" t="s">
        <v>10</v>
      </c>
      <c r="C12623" t="s">
        <v>42</v>
      </c>
      <c r="D12623" t="str">
        <f>HYPERLINK("https://us2.cloudbeds.com/connect/10074733072513#/reservations/31721699479695?display=Colton%20Jungjohan&amp;reservation_id=31721699479695&amp;guest_id=31692468879562", "Colton Jungjohan")</f>
        <v>Colton Jungjohan</v>
      </c>
      <c r="E12623" t="s">
        <v>8246</v>
      </c>
      <c r="F12623" t="s">
        <v>11947</v>
      </c>
      <c r="G12623">
        <v>73</v>
      </c>
      <c r="H12623">
        <v>79.36</v>
      </c>
      <c r="I12623">
        <v>79.349999999999994</v>
      </c>
      <c r="J12623">
        <v>0.01</v>
      </c>
    </row>
    <row r="12624" spans="1:10" x14ac:dyDescent="0.3">
      <c r="A12624" t="str">
        <f>HYPERLINK("https://us2.cloudbeds.com/connect/10074733072513#/reservations/31721716756622?display=MXAHCQW31&amp;reservation_id=31721716756622", "MXAHCQW31")</f>
        <v>MXAHCQW31</v>
      </c>
      <c r="B12624" t="s">
        <v>10</v>
      </c>
      <c r="C12624" t="s">
        <v>42</v>
      </c>
      <c r="D12624" t="str">
        <f>HYPERLINK("https://us2.cloudbeds.com/connect/10074733072513#/reservations/31721716756622?display=Chris%20Carolson&amp;reservation_id=31721716756622&amp;guest_id=31721709035688", "Chris Carolson")</f>
        <v>Chris Carolson</v>
      </c>
      <c r="E12624" t="s">
        <v>12027</v>
      </c>
      <c r="F12624" t="s">
        <v>11947</v>
      </c>
      <c r="G12624">
        <v>109</v>
      </c>
      <c r="H12624">
        <v>118.49</v>
      </c>
      <c r="I12624">
        <v>118.48</v>
      </c>
      <c r="J12624">
        <v>0.01</v>
      </c>
    </row>
    <row r="12625" spans="1:10" x14ac:dyDescent="0.3">
      <c r="A12625" t="str">
        <f>HYPERLINK("https://us2.cloudbeds.com/connect/10074733072513#/reservations/31721716760717?display=MXAHCR2S4&amp;reservation_id=31721716760717", "MXAHCR2S4")</f>
        <v>MXAHCR2S4</v>
      </c>
      <c r="B12625" t="s">
        <v>10</v>
      </c>
      <c r="C12625" t="s">
        <v>42</v>
      </c>
      <c r="D12625" t="str">
        <f>HYPERLINK("https://us2.cloudbeds.com/connect/10074733072513#/reservations/31721716760717?display=Eric%20Harrison&amp;reservation_id=31721716760717&amp;guest_id=31721716760712", "Eric Harrison")</f>
        <v>Eric Harrison</v>
      </c>
      <c r="E12625" t="s">
        <v>12028</v>
      </c>
      <c r="F12625" t="s">
        <v>11947</v>
      </c>
      <c r="G12625">
        <v>73</v>
      </c>
      <c r="H12625">
        <v>79.36</v>
      </c>
      <c r="I12625">
        <v>79.349999999999994</v>
      </c>
      <c r="J12625">
        <v>0.01</v>
      </c>
    </row>
    <row r="12626" spans="1:10" x14ac:dyDescent="0.3">
      <c r="A12626" t="str">
        <f>HYPERLINK("https://us2.cloudbeds.com/connect/10074733072513#/reservations/31721744306402?display=MXAX31JAS&amp;reservation_id=31721744306402", "MXAX31JAS")</f>
        <v>MXAX31JAS</v>
      </c>
      <c r="B12626" t="s">
        <v>10</v>
      </c>
      <c r="C12626" t="s">
        <v>42</v>
      </c>
      <c r="D12626" t="str">
        <f>HYPERLINK("https://us2.cloudbeds.com/connect/10074733072513#/reservations/31721744306402?display=Robert%20Hudson&amp;reservation_id=31721744306402&amp;guest_id=31719403065505", "Robert Hudson")</f>
        <v>Robert Hudson</v>
      </c>
      <c r="E12626" t="s">
        <v>11630</v>
      </c>
      <c r="F12626" t="s">
        <v>11947</v>
      </c>
      <c r="G12626">
        <v>109</v>
      </c>
      <c r="H12626">
        <v>118.49</v>
      </c>
      <c r="I12626">
        <v>118.48</v>
      </c>
      <c r="J12626">
        <v>0.01</v>
      </c>
    </row>
    <row r="12627" spans="1:10" x14ac:dyDescent="0.3">
      <c r="A12627" t="str">
        <f>HYPERLINK("https://us2.cloudbeds.com/connect/10074733072513#/reservations/31718118662385?display=MX7ZEQMWB&amp;reservation_id=31718118662385", "MX7ZEQMWB")</f>
        <v>MX7ZEQMWB</v>
      </c>
      <c r="B12627" t="s">
        <v>10</v>
      </c>
      <c r="C12627" t="s">
        <v>23</v>
      </c>
      <c r="D12627" t="str">
        <f>HYPERLINK("https://us2.cloudbeds.com/connect/10074733072513#/reservations/31718118662385?display=Robert%20Mcpheron&amp;reservation_id=31718118662385&amp;guest_id=31718118662380", "Robert Mcpheron")</f>
        <v>Robert Mcpheron</v>
      </c>
      <c r="E12627" t="s">
        <v>12029</v>
      </c>
      <c r="F12627" t="s">
        <v>11573</v>
      </c>
      <c r="G12627">
        <v>209</v>
      </c>
      <c r="H12627">
        <v>227.19</v>
      </c>
      <c r="I12627">
        <v>227.18</v>
      </c>
      <c r="J12627">
        <v>0.01</v>
      </c>
    </row>
    <row r="12628" spans="1:10" x14ac:dyDescent="0.3">
      <c r="A12628" t="str">
        <f>HYPERLINK("https://us2.cloudbeds.com/connect/10074733072513#/reservations/31715680489603?display=MX5S4SV5Y&amp;reservation_id=31715680489603", "MX5S4SV5Y")</f>
        <v>MX5S4SV5Y</v>
      </c>
      <c r="B12628" t="s">
        <v>10</v>
      </c>
      <c r="C12628" t="s">
        <v>42</v>
      </c>
      <c r="D12628" t="str">
        <f>HYPERLINK("https://us2.cloudbeds.com/connect/10074733072513#/reservations/31715680489603?display=Rena%20Bjerke&amp;reservation_id=31715680489603&amp;guest_id=31715671904425", "Rena Bjerke")</f>
        <v>Rena Bjerke</v>
      </c>
      <c r="E12628" t="s">
        <v>12030</v>
      </c>
      <c r="F12628" t="s">
        <v>11281</v>
      </c>
      <c r="G12628">
        <v>159</v>
      </c>
      <c r="H12628">
        <v>172.84</v>
      </c>
      <c r="I12628">
        <v>172.83</v>
      </c>
      <c r="J12628">
        <v>0.01</v>
      </c>
    </row>
    <row r="12629" spans="1:10" x14ac:dyDescent="0.3">
      <c r="A12629" t="str">
        <f>HYPERLINK("https://us2.cloudbeds.com/connect/10074733072513#/reservations/31716124573853?display=MX66GB814&amp;reservation_id=31716124573853", "MX66GB814")</f>
        <v>MX66GB814</v>
      </c>
      <c r="B12629" t="s">
        <v>10</v>
      </c>
      <c r="C12629" t="s">
        <v>23</v>
      </c>
      <c r="D12629" t="str">
        <f>HYPERLINK("https://us2.cloudbeds.com/connect/10074733072513#/reservations/31716124573853?display=Devon%20Ford&amp;reservation_id=31716124573853&amp;guest_id=31716124573851", "Devon Ford")</f>
        <v>Devon Ford</v>
      </c>
      <c r="E12629" t="s">
        <v>11740</v>
      </c>
      <c r="F12629" t="s">
        <v>12000</v>
      </c>
      <c r="G12629">
        <v>298</v>
      </c>
      <c r="H12629">
        <v>323.94</v>
      </c>
      <c r="I12629">
        <v>323.93</v>
      </c>
      <c r="J12629">
        <v>0.01</v>
      </c>
    </row>
    <row r="12630" spans="1:10" x14ac:dyDescent="0.3">
      <c r="A12630" t="str">
        <f>HYPERLINK("https://us2.cloudbeds.com/connect/10074733072513#/reservations/31718870761686?display=MX8AYWVV8&amp;reservation_id=31718870761686", "MX8AYWVV8")</f>
        <v>MX8AYWVV8</v>
      </c>
      <c r="B12630" t="s">
        <v>10</v>
      </c>
      <c r="C12630" t="s">
        <v>121</v>
      </c>
      <c r="D12630" t="str">
        <f>HYPERLINK("https://us2.cloudbeds.com/connect/10074733072513#/reservations/31718870761686?display=Chayse%20Anderson&amp;reservation_id=31718870761686&amp;guest_id=31718870757617", "Chayse Anderson")</f>
        <v>Chayse Anderson</v>
      </c>
      <c r="E12630" t="s">
        <v>12031</v>
      </c>
      <c r="F12630" t="s">
        <v>11956</v>
      </c>
      <c r="G12630">
        <v>139</v>
      </c>
      <c r="H12630">
        <v>151.1</v>
      </c>
      <c r="I12630">
        <v>151.09</v>
      </c>
      <c r="J12630">
        <v>0.01</v>
      </c>
    </row>
    <row r="12631" spans="1:10" x14ac:dyDescent="0.3">
      <c r="A12631" t="str">
        <f>HYPERLINK("https://us2.cloudbeds.com/connect/10074733072513#/reservations/31721272353008?display=MXA612PVS&amp;reservation_id=31721272353008", "MXA612PVS")</f>
        <v>MXA612PVS</v>
      </c>
      <c r="B12631" t="s">
        <v>10</v>
      </c>
      <c r="C12631" t="s">
        <v>42</v>
      </c>
      <c r="D12631" t="str">
        <f>HYPERLINK("https://us2.cloudbeds.com/connect/10074733072513#/reservations/31721272353008?display=Victoria%20Klinowski&amp;reservation_id=31721272353008&amp;guest_id=31721272353006", "Victoria Klinowski")</f>
        <v>Victoria Klinowski</v>
      </c>
      <c r="E12631" t="s">
        <v>12032</v>
      </c>
      <c r="F12631" t="s">
        <v>11594</v>
      </c>
      <c r="G12631">
        <v>119</v>
      </c>
      <c r="H12631">
        <v>129.36000000000001</v>
      </c>
      <c r="I12631">
        <v>129.35</v>
      </c>
      <c r="J12631">
        <v>0.01</v>
      </c>
    </row>
    <row r="12632" spans="1:10" x14ac:dyDescent="0.3">
      <c r="A12632" t="str">
        <f>HYPERLINK("https://us2.cloudbeds.com/connect/10074733072513#/reservations/31720079818981?display=MX98XGPD3&amp;reservation_id=31720079818981", "MX98XGPD3")</f>
        <v>MX98XGPD3</v>
      </c>
      <c r="B12632" t="s">
        <v>10</v>
      </c>
      <c r="C12632" t="s">
        <v>121</v>
      </c>
      <c r="D12632" t="str">
        <f>HYPERLINK("https://us2.cloudbeds.com/connect/10074733072513#/reservations/31720079818981?display=Matthew%20Grover&amp;reservation_id=31720079818981&amp;guest_id=31720079818972", "Matthew Grover")</f>
        <v>Matthew Grover</v>
      </c>
      <c r="E12632" t="s">
        <v>12033</v>
      </c>
      <c r="F12632" t="s">
        <v>11594</v>
      </c>
      <c r="G12632">
        <v>119</v>
      </c>
      <c r="H12632">
        <v>129.36000000000001</v>
      </c>
      <c r="I12632">
        <v>129.35</v>
      </c>
      <c r="J12632">
        <v>0.01</v>
      </c>
    </row>
    <row r="12633" spans="1:10" x14ac:dyDescent="0.3">
      <c r="A12633" t="str">
        <f>HYPERLINK("https://us2.cloudbeds.com/connect/10074733072513#/reservations/31715981025418?display=MX62R9Q9X&amp;reservation_id=31715981025418", "MX62R9Q9X")</f>
        <v>MX62R9Q9X</v>
      </c>
      <c r="B12633" t="s">
        <v>10</v>
      </c>
      <c r="C12633" t="s">
        <v>42</v>
      </c>
      <c r="D12633" t="str">
        <f>HYPERLINK("https://us2.cloudbeds.com/connect/10074733072513#/reservations/31715981025418?display=Karen%20Caraway&amp;reservation_id=31715981025418&amp;guest_id=31715981021353", "Karen Caraway")</f>
        <v>Karen Caraway</v>
      </c>
      <c r="E12633" t="s">
        <v>12034</v>
      </c>
      <c r="F12633" t="s">
        <v>9926</v>
      </c>
      <c r="G12633">
        <v>298</v>
      </c>
      <c r="H12633">
        <v>323.94</v>
      </c>
      <c r="I12633">
        <v>323.93</v>
      </c>
      <c r="J12633">
        <v>0.01</v>
      </c>
    </row>
    <row r="12634" spans="1:10" x14ac:dyDescent="0.3">
      <c r="A12634" t="str">
        <f>HYPERLINK("https://us2.cloudbeds.com/connect/10074733072513#/reservations/31717827567847?display=MX7H0BXHZ&amp;reservation_id=31717827567847", "MX7H0BXHZ")</f>
        <v>MX7H0BXHZ</v>
      </c>
      <c r="B12634" t="s">
        <v>10</v>
      </c>
      <c r="C12634" t="s">
        <v>23</v>
      </c>
      <c r="D12634" t="str">
        <f>HYPERLINK("https://us2.cloudbeds.com/connect/10074733072513#/reservations/31717827567847?display=Teri%20Todd&amp;reservation_id=31717827567847&amp;guest_id=31684708155593", "Teri Todd")</f>
        <v>Teri Todd</v>
      </c>
      <c r="E12634" t="s">
        <v>10873</v>
      </c>
      <c r="F12634" t="s">
        <v>11594</v>
      </c>
      <c r="G12634">
        <v>119</v>
      </c>
      <c r="H12634">
        <v>129.36000000000001</v>
      </c>
      <c r="I12634">
        <v>129.35</v>
      </c>
      <c r="J12634">
        <v>0.01</v>
      </c>
    </row>
    <row r="12635" spans="1:10" x14ac:dyDescent="0.3">
      <c r="A12635" t="str">
        <f>HYPERLINK("https://us2.cloudbeds.com/connect/10074733072513#/reservations/31720119681183?display=MX99J3WQK&amp;reservation_id=31720119681183", "MX99J3WQK")</f>
        <v>MX99J3WQK</v>
      </c>
      <c r="B12635" t="s">
        <v>10</v>
      </c>
      <c r="C12635" t="s">
        <v>42</v>
      </c>
      <c r="D12635" t="str">
        <f>HYPERLINK("https://us2.cloudbeds.com/connect/10074733072513#/reservations/31720119681183?display=Wayne%20Semerad&amp;reservation_id=31720119681183&amp;guest_id=31720111399112", "Wayne Semerad")</f>
        <v>Wayne Semerad</v>
      </c>
      <c r="E12635" t="s">
        <v>6636</v>
      </c>
      <c r="F12635" t="s">
        <v>11594</v>
      </c>
      <c r="G12635">
        <v>89</v>
      </c>
      <c r="H12635">
        <v>96.75</v>
      </c>
      <c r="I12635">
        <v>96.74</v>
      </c>
      <c r="J12635">
        <v>0.01</v>
      </c>
    </row>
    <row r="12636" spans="1:10" x14ac:dyDescent="0.3">
      <c r="A12636" t="str">
        <f>HYPERLINK("https://us2.cloudbeds.com/connect/10074733072513#/reservations/31721563115707?display=MXADF8MMZ&amp;reservation_id=31721563115707", "MXADF8MMZ")</f>
        <v>MXADF8MMZ</v>
      </c>
      <c r="B12636" t="s">
        <v>10</v>
      </c>
      <c r="C12636" t="s">
        <v>121</v>
      </c>
      <c r="D12636" t="str">
        <f>HYPERLINK("https://us2.cloudbeds.com/connect/10074733072513#/reservations/31721563115707?display=Fahim%20Fahimpor&amp;reservation_id=31721563115707&amp;guest_id=31721563115658", "Fahim Fahimpor")</f>
        <v>Fahim Fahimpor</v>
      </c>
      <c r="E12636" t="s">
        <v>12036</v>
      </c>
      <c r="F12636" t="s">
        <v>11947</v>
      </c>
      <c r="G12636">
        <v>109</v>
      </c>
      <c r="H12636">
        <v>118.49</v>
      </c>
      <c r="I12636">
        <v>118.48</v>
      </c>
      <c r="J12636">
        <v>0.01</v>
      </c>
    </row>
    <row r="12637" spans="1:10" x14ac:dyDescent="0.3">
      <c r="A12637" t="str">
        <f>HYPERLINK("https://us2.cloudbeds.com/connect/10074733072513#/reservations/31721289388256?display=MXA6FEQWG&amp;reservation_id=31721289388256", "MXA6FEQWG")</f>
        <v>MXA6FEQWG</v>
      </c>
      <c r="B12637" t="s">
        <v>10</v>
      </c>
      <c r="C12637" t="s">
        <v>23</v>
      </c>
      <c r="D12637" t="str">
        <f>HYPERLINK("https://us2.cloudbeds.com/connect/10074733072513#/reservations/31721289388256?display=Eglis%20Mingle&amp;reservation_id=31721289388256&amp;guest_id=31721289384175", "Eglis Mingle")</f>
        <v>Eglis Mingle</v>
      </c>
      <c r="E12637" t="s">
        <v>12039</v>
      </c>
      <c r="F12637" t="s">
        <v>11594</v>
      </c>
      <c r="G12637">
        <v>87.82</v>
      </c>
      <c r="H12637">
        <v>95.47</v>
      </c>
      <c r="I12637">
        <v>95.46</v>
      </c>
      <c r="J12637">
        <v>0.01</v>
      </c>
    </row>
    <row r="12638" spans="1:10" x14ac:dyDescent="0.3">
      <c r="A12638" t="str">
        <f>HYPERLINK("https://us2.cloudbeds.com/connect/10074733072513#/reservations/31716998824177?display=MX6SRHX26&amp;reservation_id=31716998824177", "MX6SRHX26")</f>
        <v>MX6SRHX26</v>
      </c>
      <c r="B12638" t="s">
        <v>10</v>
      </c>
      <c r="C12638" t="s">
        <v>42</v>
      </c>
      <c r="D12638" t="str">
        <f>HYPERLINK("https://us2.cloudbeds.com/connect/10074733072513#/reservations/31716998824177?display=Shelly%20Tracey&amp;reservation_id=31716998824177&amp;guest_id=31716998824128", "Shelly Tracey")</f>
        <v>Shelly Tracey</v>
      </c>
      <c r="E12638" t="s">
        <v>12040</v>
      </c>
      <c r="F12638" t="s">
        <v>11516</v>
      </c>
      <c r="G12638">
        <v>169</v>
      </c>
      <c r="H12638">
        <v>183.71</v>
      </c>
      <c r="I12638">
        <v>183.7</v>
      </c>
      <c r="J12638">
        <v>0.01</v>
      </c>
    </row>
    <row r="12639" spans="1:10" x14ac:dyDescent="0.3">
      <c r="A12639" t="str">
        <f>HYPERLINK("https://us2.cloudbeds.com/connect/10074733072513#/reservations/31716143120579?display=MX66VWB04&amp;reservation_id=31716143120579", "MX66VWB04")</f>
        <v>MX66VWB04</v>
      </c>
      <c r="B12639" t="s">
        <v>10</v>
      </c>
      <c r="C12639" t="s">
        <v>23</v>
      </c>
      <c r="D12639" t="str">
        <f>HYPERLINK("https://us2.cloudbeds.com/connect/10074733072513#/reservations/31716143120579?display=Holly%20Miller&amp;reservation_id=31716143120579&amp;guest_id=31702062145748", "Holly Miller")</f>
        <v>Holly Miller</v>
      </c>
      <c r="E12639" t="s">
        <v>12041</v>
      </c>
      <c r="F12639" t="s">
        <v>12000</v>
      </c>
      <c r="G12639">
        <v>87.82</v>
      </c>
      <c r="H12639">
        <v>95.47</v>
      </c>
      <c r="I12639">
        <v>95.46</v>
      </c>
      <c r="J12639">
        <v>0.01</v>
      </c>
    </row>
    <row r="12640" spans="1:10" x14ac:dyDescent="0.3">
      <c r="A12640" t="str">
        <f>HYPERLINK("https://us2.cloudbeds.com/connect/10074733072513#/reservations/31717786763480?display=MX7FVV3VP&amp;reservation_id=31717786763480", "MX7FVV3VP")</f>
        <v>MX7FVV3VP</v>
      </c>
      <c r="B12640" t="s">
        <v>10</v>
      </c>
      <c r="C12640" t="s">
        <v>42</v>
      </c>
      <c r="D12640" t="str">
        <f>HYPERLINK("https://us2.cloudbeds.com/connect/10074733072513#/reservations/31717786763480?display=Brota%20Smith&amp;reservation_id=31717786763480&amp;guest_id=31717786763475", "Brota Smith")</f>
        <v>Brota Smith</v>
      </c>
      <c r="E12640" t="s">
        <v>12042</v>
      </c>
      <c r="F12640" t="s">
        <v>12000</v>
      </c>
      <c r="G12640">
        <v>73</v>
      </c>
      <c r="H12640">
        <v>79.36</v>
      </c>
      <c r="I12640">
        <v>79.349999999999994</v>
      </c>
      <c r="J12640">
        <v>0.01</v>
      </c>
    </row>
    <row r="12641" spans="1:10" x14ac:dyDescent="0.3">
      <c r="A12641" t="str">
        <f>HYPERLINK("https://us2.cloudbeds.com/connect/10074733072513#/reservations/31713408540858?display=MX4333KGW&amp;reservation_id=31713408540858", "MX4333KGW")</f>
        <v>MX4333KGW</v>
      </c>
      <c r="B12641" t="s">
        <v>10</v>
      </c>
      <c r="C12641" t="s">
        <v>23</v>
      </c>
      <c r="D12641" t="str">
        <f>HYPERLINK("https://us2.cloudbeds.com/connect/10074733072513#/reservations/31713408540858?display=Gregory%20Leitheiser&amp;reservation_id=31713408540858&amp;guest_id=31713408540852", "Gregory Leitheiser")</f>
        <v>Gregory Leitheiser</v>
      </c>
      <c r="E12641" t="s">
        <v>12043</v>
      </c>
      <c r="F12641" t="s">
        <v>11533</v>
      </c>
      <c r="G12641">
        <v>378</v>
      </c>
      <c r="H12641">
        <v>410.9</v>
      </c>
      <c r="I12641">
        <v>410.89</v>
      </c>
      <c r="J12641">
        <v>0.01</v>
      </c>
    </row>
    <row r="12642" spans="1:10" x14ac:dyDescent="0.3">
      <c r="A12642" t="str">
        <f>HYPERLINK("https://us2.cloudbeds.com/connect/10074733072513#/reservations/31716115280068?display=MX668GKQ9&amp;reservation_id=31716115280068", "MX668GKQ9")</f>
        <v>MX668GKQ9</v>
      </c>
      <c r="B12642" t="s">
        <v>10</v>
      </c>
      <c r="C12642" t="s">
        <v>23</v>
      </c>
      <c r="D12642" t="str">
        <f>HYPERLINK("https://us2.cloudbeds.com/connect/10074733072513#/reservations/31716115280068?display=Valorie%20Hoffmann&amp;reservation_id=31716115280068&amp;guest_id=31716115280066", "Valorie Hoffmann")</f>
        <v>Valorie Hoffmann</v>
      </c>
      <c r="E12642" t="s">
        <v>12044</v>
      </c>
      <c r="F12642" t="s">
        <v>12000</v>
      </c>
      <c r="G12642">
        <v>87.82</v>
      </c>
      <c r="H12642">
        <v>95.47</v>
      </c>
      <c r="I12642">
        <v>95.46</v>
      </c>
      <c r="J12642">
        <v>0.01</v>
      </c>
    </row>
    <row r="12643" spans="1:10" x14ac:dyDescent="0.3">
      <c r="A12643" t="str">
        <f>HYPERLINK("https://us2.cloudbeds.com/connect/10074733072513#/reservations/31717737951367?display=MX7ENPS2Q&amp;reservation_id=31717737951367", "MX7ENPS2Q")</f>
        <v>MX7ENPS2Q</v>
      </c>
      <c r="B12643" t="s">
        <v>10</v>
      </c>
      <c r="C12643" t="s">
        <v>23</v>
      </c>
      <c r="D12643" t="str">
        <f>HYPERLINK("https://us2.cloudbeds.com/connect/10074733072513#/reservations/31717737951367?display=Cody%20Longsdorf&amp;reservation_id=31717737951367&amp;guest_id=31717726478551", "Cody Longsdorf")</f>
        <v>Cody Longsdorf</v>
      </c>
      <c r="E12643" t="s">
        <v>12045</v>
      </c>
      <c r="F12643" t="s">
        <v>12000</v>
      </c>
      <c r="G12643">
        <v>87.82</v>
      </c>
      <c r="H12643">
        <v>95.47</v>
      </c>
      <c r="I12643">
        <v>95.46</v>
      </c>
      <c r="J12643">
        <v>0.01</v>
      </c>
    </row>
    <row r="12644" spans="1:10" x14ac:dyDescent="0.3">
      <c r="A12644" t="str">
        <f>HYPERLINK("https://us2.cloudbeds.com/connect/10074733072513#/reservations/31701714419913?display=MHS19AFEK&amp;reservation_id=31701714419913", "MHS19AFEK")</f>
        <v>MHS19AFEK</v>
      </c>
      <c r="B12644" t="s">
        <v>10</v>
      </c>
      <c r="C12644" t="s">
        <v>42</v>
      </c>
      <c r="D12644" t="str">
        <f>HYPERLINK("https://us2.cloudbeds.com/connect/10074733072513#/reservations/31701714419913?display=Lou%20Dejong&amp;reservation_id=31701714419913&amp;guest_id=31701714419908", "Lou Dejong")</f>
        <v>Lou Dejong</v>
      </c>
      <c r="E12644" t="s">
        <v>12046</v>
      </c>
      <c r="F12644" t="s">
        <v>12047</v>
      </c>
      <c r="G12644">
        <v>318</v>
      </c>
      <c r="H12644">
        <v>345.68</v>
      </c>
      <c r="I12644">
        <v>345.67</v>
      </c>
      <c r="J12644">
        <v>0.01</v>
      </c>
    </row>
    <row r="12645" spans="1:10" x14ac:dyDescent="0.3">
      <c r="A12645" t="str">
        <f>HYPERLINK("https://us2.cloudbeds.com/connect/10074733072513#/reservations/31716593262834?display=MX6XFX6PH&amp;reservation_id=31716593262834", "MX6XFX6PH")</f>
        <v>MX6XFX6PH</v>
      </c>
      <c r="B12645" t="s">
        <v>10</v>
      </c>
      <c r="C12645" t="s">
        <v>23</v>
      </c>
      <c r="D12645" t="str">
        <f>HYPERLINK("https://us2.cloudbeds.com/connect/10074733072513#/reservations/31716593262834?display=Randy%20Braun&amp;reservation_id=31716593262834&amp;guest_id=31716584853653", "Randy Braun")</f>
        <v>Randy Braun</v>
      </c>
      <c r="E12645" t="s">
        <v>12049</v>
      </c>
      <c r="F12645" t="s">
        <v>11748</v>
      </c>
      <c r="G12645">
        <v>139</v>
      </c>
      <c r="H12645">
        <v>151.1</v>
      </c>
      <c r="I12645">
        <v>151.09</v>
      </c>
      <c r="J12645">
        <v>0.01</v>
      </c>
    </row>
    <row r="12646" spans="1:10" x14ac:dyDescent="0.3">
      <c r="A12646" t="str">
        <f>HYPERLINK("https://us2.cloudbeds.com/connect/10074733072513#/reservations/31713414824072?display=MX438DF7D&amp;reservation_id=31713414824072", "MX438DF7D")</f>
        <v>MX438DF7D</v>
      </c>
      <c r="B12646" t="s">
        <v>10</v>
      </c>
      <c r="C12646" t="s">
        <v>23</v>
      </c>
      <c r="D12646" t="str">
        <f>HYPERLINK("https://us2.cloudbeds.com/connect/10074733072513#/reservations/31713414824072?display=Robert%20Leitheiser&amp;reservation_id=31713414824072&amp;guest_id=31713414819991", "Robert Leitheiser")</f>
        <v>Robert Leitheiser</v>
      </c>
      <c r="E12646" t="s">
        <v>12051</v>
      </c>
      <c r="F12646" t="s">
        <v>11533</v>
      </c>
      <c r="G12646">
        <v>378</v>
      </c>
      <c r="H12646">
        <v>410.9</v>
      </c>
      <c r="I12646">
        <v>410.89</v>
      </c>
      <c r="J12646">
        <v>0.01</v>
      </c>
    </row>
    <row r="12647" spans="1:10" x14ac:dyDescent="0.3">
      <c r="A12647" t="str">
        <f>HYPERLINK("https://us2.cloudbeds.com/connect/10074733072513#/reservations/31716784373907?display=MX6NBN515&amp;reservation_id=31716784373907", "MX6NBN515")</f>
        <v>MX6NBN515</v>
      </c>
      <c r="B12647" t="s">
        <v>10</v>
      </c>
      <c r="C12647" t="s">
        <v>23</v>
      </c>
      <c r="D12647" t="str">
        <f>HYPERLINK("https://us2.cloudbeds.com/connect/10074733072513#/reservations/31716784373907?display=Jessica%20Michalski&amp;reservation_id=31716784373907&amp;guest_id=31716784373895", "Jessica Michalski")</f>
        <v>Jessica Michalski</v>
      </c>
      <c r="E12647" t="s">
        <v>12052</v>
      </c>
      <c r="F12647" t="s">
        <v>10695</v>
      </c>
      <c r="G12647">
        <v>149</v>
      </c>
      <c r="H12647">
        <v>161.97</v>
      </c>
      <c r="I12647">
        <v>161.96</v>
      </c>
      <c r="J12647">
        <v>0.01</v>
      </c>
    </row>
    <row r="12648" spans="1:10" x14ac:dyDescent="0.3">
      <c r="A12648" t="str">
        <f>HYPERLINK("https://us2.cloudbeds.com/connect/10074733072513#/reservations/31715351904402?display=MX5JZQJ1B&amp;reservation_id=31715351904402", "MX5JZQJ1B")</f>
        <v>MX5JZQJ1B</v>
      </c>
      <c r="B12648" t="s">
        <v>10</v>
      </c>
      <c r="C12648" t="s">
        <v>23</v>
      </c>
      <c r="D12648" t="str">
        <f>HYPERLINK("https://us2.cloudbeds.com/connect/10074733072513#/reservations/31715351904402?display=Robyn%20Kirby&amp;reservation_id=31715351904402&amp;guest_id=31715351904400", "Robyn Kirby")</f>
        <v>Robyn Kirby</v>
      </c>
      <c r="E12648" t="s">
        <v>12043</v>
      </c>
      <c r="F12648" t="s">
        <v>11694</v>
      </c>
      <c r="G12648">
        <v>189</v>
      </c>
      <c r="H12648">
        <v>205.45</v>
      </c>
      <c r="I12648">
        <v>205.44</v>
      </c>
      <c r="J12648">
        <v>0.01</v>
      </c>
    </row>
    <row r="12649" spans="1:10" x14ac:dyDescent="0.3">
      <c r="A12649" t="str">
        <f>HYPERLINK("https://us2.cloudbeds.com/connect/10074733072513#/reservations/31714756382892?display=MX54HYAAW&amp;reservation_id=31714756382892", "MX54HYAAW")</f>
        <v>MX54HYAAW</v>
      </c>
      <c r="B12649" t="s">
        <v>10</v>
      </c>
      <c r="C12649" t="s">
        <v>42</v>
      </c>
      <c r="D12649" t="str">
        <f>HYPERLINK("https://us2.cloudbeds.com/connect/10074733072513#/reservations/31714756382892?display=Kari%20Zafft&amp;reservation_id=31714756382892&amp;guest_id=31714756382880", "Kari Zafft")</f>
        <v>Kari Zafft</v>
      </c>
      <c r="E12649" t="s">
        <v>12053</v>
      </c>
      <c r="F12649" t="s">
        <v>10750</v>
      </c>
      <c r="G12649">
        <v>159</v>
      </c>
      <c r="H12649">
        <v>172.84</v>
      </c>
      <c r="I12649">
        <v>172.83</v>
      </c>
      <c r="J12649">
        <v>0.01</v>
      </c>
    </row>
    <row r="12650" spans="1:10" x14ac:dyDescent="0.3">
      <c r="A12650" t="str">
        <f>HYPERLINK("https://us2.cloudbeds.com/connect/10074733072513#/reservations/31719278559466?display=MX8Y2SHTZ&amp;reservation_id=31719278559466", "MX8Y2SHTZ")</f>
        <v>MX8Y2SHTZ</v>
      </c>
      <c r="B12650" t="s">
        <v>10</v>
      </c>
      <c r="C12650" t="s">
        <v>23</v>
      </c>
      <c r="D12650" t="str">
        <f>HYPERLINK("https://us2.cloudbeds.com/connect/10074733072513#/reservations/31719278559466?display=Juanita%20Fugaban&amp;reservation_id=31719278559466&amp;guest_id=31719278559461", "Juanita Fugaban")</f>
        <v>Juanita Fugaban</v>
      </c>
      <c r="E12650" t="s">
        <v>12054</v>
      </c>
      <c r="F12650" t="s">
        <v>11516</v>
      </c>
      <c r="G12650">
        <v>179</v>
      </c>
      <c r="H12650">
        <v>194.58</v>
      </c>
      <c r="I12650">
        <v>194.57</v>
      </c>
      <c r="J12650">
        <v>0.01</v>
      </c>
    </row>
    <row r="12651" spans="1:10" x14ac:dyDescent="0.3">
      <c r="A12651" t="str">
        <f>HYPERLINK("https://us2.cloudbeds.com/connect/10074733072513#/reservations/31702583091424?display=MHSNFQHJZ&amp;reservation_id=31702583091424", "MHSNFQHJZ")</f>
        <v>MHSNFQHJZ</v>
      </c>
      <c r="B12651" t="s">
        <v>10</v>
      </c>
      <c r="C12651" t="s">
        <v>42</v>
      </c>
      <c r="D12651" t="str">
        <f>HYPERLINK("https://us2.cloudbeds.com/connect/10074733072513#/reservations/31702583091424?display=Aaron%20Gross&amp;reservation_id=31702583091424&amp;guest_id=31702574317705", "Aaron Gross")</f>
        <v>Aaron Gross</v>
      </c>
      <c r="E12651" t="s">
        <v>12055</v>
      </c>
      <c r="F12651" t="s">
        <v>12056</v>
      </c>
      <c r="G12651">
        <v>318</v>
      </c>
      <c r="H12651">
        <v>345.68</v>
      </c>
      <c r="I12651">
        <v>345.67</v>
      </c>
      <c r="J12651">
        <v>0.01</v>
      </c>
    </row>
    <row r="12652" spans="1:10" x14ac:dyDescent="0.3">
      <c r="A12652" t="str">
        <f>HYPERLINK("https://us2.cloudbeds.com/connect/10074733072513#/reservations/31702001107148?display=MHS8K1VPJ&amp;reservation_id=31702001107148", "MHS8K1VPJ")</f>
        <v>MHS8K1VPJ</v>
      </c>
      <c r="B12652" t="s">
        <v>10</v>
      </c>
      <c r="C12652" t="s">
        <v>42</v>
      </c>
      <c r="D12652" t="str">
        <f>HYPERLINK("https://us2.cloudbeds.com/connect/10074733072513#/reservations/31702001107148?display=Mike%20Gross&amp;reservation_id=31702001107148&amp;guest_id=31701992833211", "Mike Gross")</f>
        <v>Mike Gross</v>
      </c>
      <c r="E12652" t="s">
        <v>12057</v>
      </c>
      <c r="F12652" t="s">
        <v>12056</v>
      </c>
      <c r="G12652">
        <v>358</v>
      </c>
      <c r="H12652">
        <v>389.16</v>
      </c>
      <c r="I12652">
        <v>389.15</v>
      </c>
      <c r="J12652">
        <v>0.01</v>
      </c>
    </row>
    <row r="12653" spans="1:10" x14ac:dyDescent="0.3">
      <c r="A12653" t="str">
        <f>HYPERLINK("https://us2.cloudbeds.com/connect/10074733072513#/reservations/31716155388063?display=MX679AMU2&amp;reservation_id=31716155388063", "MX679AMU2")</f>
        <v>MX679AMU2</v>
      </c>
      <c r="B12653" t="s">
        <v>10</v>
      </c>
      <c r="C12653" t="s">
        <v>42</v>
      </c>
      <c r="D12653" t="str">
        <f>HYPERLINK("https://us2.cloudbeds.com/connect/10074733072513#/reservations/31716155388063?display=Lenore%20Schlichting&amp;reservation_id=31716155388063&amp;guest_id=31716155388037", "Lenore Schlichting")</f>
        <v>Lenore Schlichting</v>
      </c>
      <c r="E12653" t="s">
        <v>12058</v>
      </c>
      <c r="F12653" t="s">
        <v>12000</v>
      </c>
      <c r="G12653">
        <v>109</v>
      </c>
      <c r="H12653">
        <v>118.49</v>
      </c>
      <c r="I12653">
        <v>118.48</v>
      </c>
      <c r="J12653">
        <v>0.01</v>
      </c>
    </row>
    <row r="12654" spans="1:10" x14ac:dyDescent="0.3">
      <c r="A12654" t="str">
        <f>HYPERLINK("https://us2.cloudbeds.com/connect/10074733072513#/reservations/31712533762192?display=MX3DZFKAX&amp;reservation_id=31712533762192", "MX3DZFKAX")</f>
        <v>MX3DZFKAX</v>
      </c>
      <c r="B12654" t="s">
        <v>10</v>
      </c>
      <c r="C12654" t="s">
        <v>23</v>
      </c>
      <c r="D12654" t="str">
        <f>HYPERLINK("https://us2.cloudbeds.com/connect/10074733072513#/reservations/31712533762192?display=Feliciano%20Ibarra%20Montante&amp;reservation_id=31712533762192&amp;guest_id=31712533762189", "Feliciano Ibarra Montante")</f>
        <v>Feliciano Ibarra Montante</v>
      </c>
      <c r="E12654" t="s">
        <v>12059</v>
      </c>
      <c r="F12654" t="s">
        <v>11707</v>
      </c>
      <c r="G12654">
        <v>238</v>
      </c>
      <c r="H12654">
        <v>258.72000000000003</v>
      </c>
      <c r="I12654">
        <v>258.70999999999998</v>
      </c>
      <c r="J12654">
        <v>0.01</v>
      </c>
    </row>
    <row r="12655" spans="1:10" x14ac:dyDescent="0.3">
      <c r="A12655" t="str">
        <f>HYPERLINK("https://us2.cloudbeds.com/connect/10074733072513#/reservations/31719588045054?display=MX8SWREBT&amp;reservation_id=31719588045054", "MX8SWREBT")</f>
        <v>MX8SWREBT</v>
      </c>
      <c r="B12655" t="s">
        <v>10</v>
      </c>
      <c r="C12655" t="s">
        <v>23</v>
      </c>
      <c r="D12655" t="str">
        <f>HYPERLINK("https://us2.cloudbeds.com/connect/10074733072513#/reservations/31719588045054?display=Victor%20Casiano%20Colon&amp;reservation_id=31719588045054&amp;guest_id=31719572742301", "Victor Casiano Colon")</f>
        <v>Victor Casiano Colon</v>
      </c>
      <c r="E12655" t="s">
        <v>12060</v>
      </c>
      <c r="F12655" t="s">
        <v>11063</v>
      </c>
      <c r="G12655">
        <v>218</v>
      </c>
      <c r="H12655">
        <v>236.98</v>
      </c>
      <c r="I12655">
        <v>236.97</v>
      </c>
      <c r="J12655">
        <v>0.01</v>
      </c>
    </row>
    <row r="12656" spans="1:10" x14ac:dyDescent="0.3">
      <c r="A12656" t="str">
        <f>HYPERLINK("https://us2.cloudbeds.com/connect/10074733072513#/reservations/31716736798886?display=MX6M4JA4S&amp;reservation_id=31716736798886", "MX6M4JA4S")</f>
        <v>MX6M4JA4S</v>
      </c>
      <c r="B12656" t="s">
        <v>10</v>
      </c>
      <c r="C12656" t="s">
        <v>42</v>
      </c>
      <c r="D12656" t="str">
        <f>HYPERLINK("https://us2.cloudbeds.com/connect/10074733072513#/reservations/31716736798886?display=Michelle%20Ganschow&amp;reservation_id=31716736798886&amp;guest_id=31716736798884", "Michelle Ganschow")</f>
        <v>Michelle Ganschow</v>
      </c>
      <c r="E12656" t="s">
        <v>1085</v>
      </c>
      <c r="F12656" t="s">
        <v>11504</v>
      </c>
      <c r="G12656">
        <v>179</v>
      </c>
      <c r="H12656">
        <v>194.58</v>
      </c>
      <c r="I12656">
        <v>194.57</v>
      </c>
      <c r="J12656">
        <v>0.01</v>
      </c>
    </row>
    <row r="12657" spans="1:10" x14ac:dyDescent="0.3">
      <c r="A12657" t="str">
        <f>HYPERLINK("https://us2.cloudbeds.com/connect/10074733072513#/reservations/31714701676751?display=MX534H144&amp;reservation_id=31714701676751", "MX534H144")</f>
        <v>MX534H144</v>
      </c>
      <c r="B12657" t="s">
        <v>10</v>
      </c>
      <c r="C12657" t="s">
        <v>23</v>
      </c>
      <c r="D12657" t="str">
        <f>HYPERLINK("https://us2.cloudbeds.com/connect/10074733072513#/reservations/31714701676751?display=Taylor%20Holm&amp;reservation_id=31714701676751&amp;guest_id=31714701676747", "Taylor Holm")</f>
        <v>Taylor Holm</v>
      </c>
      <c r="E12657" t="s">
        <v>12061</v>
      </c>
      <c r="F12657" t="s">
        <v>11281</v>
      </c>
      <c r="G12657">
        <v>189</v>
      </c>
      <c r="H12657">
        <v>205.45</v>
      </c>
      <c r="I12657">
        <v>205.44</v>
      </c>
      <c r="J12657">
        <v>0.01</v>
      </c>
    </row>
    <row r="12658" spans="1:10" x14ac:dyDescent="0.3">
      <c r="A12658" t="str">
        <f>HYPERLINK("https://us2.cloudbeds.com/connect/10074733072513#/reservations/31701658071173?display=MHRWRQFT1&amp;reservation_id=31701658071173", "MHRWRQFT1")</f>
        <v>MHRWRQFT1</v>
      </c>
      <c r="B12658" t="s">
        <v>10</v>
      </c>
      <c r="C12658" t="s">
        <v>42</v>
      </c>
      <c r="D12658" t="str">
        <f>HYPERLINK("https://us2.cloudbeds.com/connect/10074733072513#/reservations/31701658071173?display=Amy%20Zahn&amp;reservation_id=31701658071173&amp;guest_id=31701658071168", "Amy Zahn")</f>
        <v>Amy Zahn</v>
      </c>
      <c r="E12658" t="s">
        <v>12062</v>
      </c>
      <c r="F12658" t="s">
        <v>12047</v>
      </c>
      <c r="G12658">
        <v>318</v>
      </c>
      <c r="H12658">
        <v>345.68</v>
      </c>
      <c r="I12658">
        <v>345.67</v>
      </c>
      <c r="J12658">
        <v>0.01</v>
      </c>
    </row>
    <row r="12659" spans="1:10" x14ac:dyDescent="0.3">
      <c r="A12659" t="str">
        <f>HYPERLINK("https://us2.cloudbeds.com/connect/10074733072513#/reservations/31716909727900?display=MX6QXDAA0&amp;reservation_id=31716909727900", "MX6QXDAA0")</f>
        <v>MX6QXDAA0</v>
      </c>
      <c r="B12659" t="s">
        <v>10</v>
      </c>
      <c r="C12659" t="s">
        <v>121</v>
      </c>
      <c r="D12659" t="str">
        <f>HYPERLINK("https://us2.cloudbeds.com/connect/10074733072513#/reservations/31716909727900?display=Billy%20Joe%20Moore&amp;reservation_id=31716909727900&amp;guest_id=31716909727897", "Billy Joe Moore")</f>
        <v>Billy Joe Moore</v>
      </c>
      <c r="E12659" t="s">
        <v>12063</v>
      </c>
      <c r="F12659" t="s">
        <v>12000</v>
      </c>
      <c r="G12659">
        <v>109</v>
      </c>
      <c r="H12659">
        <v>118.49</v>
      </c>
      <c r="I12659">
        <v>118.48</v>
      </c>
      <c r="J12659">
        <v>0.01</v>
      </c>
    </row>
    <row r="12660" spans="1:10" x14ac:dyDescent="0.3">
      <c r="A12660" t="str">
        <f>HYPERLINK("https://us2.cloudbeds.com/connect/10074733072513#/reservations/31712939679885?display=MX3Z3ZSRN&amp;reservation_id=31712939679885", "MX3Z3ZSRN")</f>
        <v>MX3Z3ZSRN</v>
      </c>
      <c r="B12660" t="s">
        <v>10</v>
      </c>
      <c r="C12660" t="s">
        <v>23</v>
      </c>
      <c r="D12660" t="str">
        <f>HYPERLINK("https://us2.cloudbeds.com/connect/10074733072513#/reservations/31712939679885?display=Steven%20Blake&amp;reservation_id=31712939679885&amp;guest_id=31691395915917", "Steven Blake")</f>
        <v>Steven Blake</v>
      </c>
      <c r="E12660" t="s">
        <v>8697</v>
      </c>
      <c r="F12660" t="s">
        <v>11516</v>
      </c>
      <c r="G12660">
        <v>189</v>
      </c>
      <c r="H12660">
        <v>205.45</v>
      </c>
      <c r="I12660">
        <v>205.44</v>
      </c>
      <c r="J12660">
        <v>0.01</v>
      </c>
    </row>
    <row r="12661" spans="1:10" x14ac:dyDescent="0.3">
      <c r="A12661" t="str">
        <f>HYPERLINK("https://us2.cloudbeds.com/connect/10074733072513#/reservations/31716182978774?display=MX67WJEZ7&amp;reservation_id=31716182978774", "MX67WJEZ7")</f>
        <v>MX67WJEZ7</v>
      </c>
      <c r="B12661" t="s">
        <v>10</v>
      </c>
      <c r="C12661" t="s">
        <v>121</v>
      </c>
      <c r="D12661" t="str">
        <f>HYPERLINK("https://us2.cloudbeds.com/connect/10074733072513#/reservations/31716182978774?display=Domingo%20De%20La%20Paz%20Calvillo&amp;reservation_id=31716182978774&amp;guest_id=31716182974677", "Domingo De La Paz Calvillo")</f>
        <v>Domingo De La Paz Calvillo</v>
      </c>
      <c r="E12661" t="s">
        <v>12065</v>
      </c>
      <c r="F12661" t="s">
        <v>12000</v>
      </c>
      <c r="G12661">
        <v>109</v>
      </c>
      <c r="H12661">
        <v>118.49</v>
      </c>
      <c r="I12661">
        <v>118.48</v>
      </c>
      <c r="J12661">
        <v>0.01</v>
      </c>
    </row>
    <row r="12662" spans="1:10" x14ac:dyDescent="0.3">
      <c r="A12662" t="str">
        <f>HYPERLINK("https://us2.cloudbeds.com/connect/10074733072513#/reservations/31716554019019?display=MX6HFF670&amp;reservation_id=31716554019019", "MX6HFF670")</f>
        <v>MX6HFF670</v>
      </c>
      <c r="B12662" t="s">
        <v>10</v>
      </c>
      <c r="C12662" t="s">
        <v>23</v>
      </c>
      <c r="D12662" t="str">
        <f>HYPERLINK("https://us2.cloudbeds.com/connect/10074733072513#/reservations/31716554019019?display=Rebecca%20Klehr&amp;reservation_id=31716554019019&amp;guest_id=31716554019013", "Rebecca Klehr")</f>
        <v>Rebecca Klehr</v>
      </c>
      <c r="E12662" t="s">
        <v>4387</v>
      </c>
      <c r="F12662" t="s">
        <v>12068</v>
      </c>
      <c r="G12662">
        <v>109</v>
      </c>
      <c r="H12662">
        <v>118.49</v>
      </c>
      <c r="I12662">
        <v>118.48</v>
      </c>
      <c r="J12662">
        <v>0.01</v>
      </c>
    </row>
    <row r="12663" spans="1:10" x14ac:dyDescent="0.3">
      <c r="A12663" t="str">
        <f>HYPERLINK("https://us2.cloudbeds.com/connect/10074733072513#/reservations/31716635676889?display=MX6JXAEFU&amp;reservation_id=31716635676889", "MX6JXAEFU")</f>
        <v>MX6JXAEFU</v>
      </c>
      <c r="B12663" t="s">
        <v>10</v>
      </c>
      <c r="C12663" t="s">
        <v>23</v>
      </c>
      <c r="D12663" t="str">
        <f>HYPERLINK("https://us2.cloudbeds.com/connect/10074733072513#/reservations/31716635676889?display=Tim%20Tungett&amp;reservation_id=31716635676889&amp;guest_id=31716635672794", "Tim Tungett")</f>
        <v>Tim Tungett</v>
      </c>
      <c r="E12663" t="s">
        <v>12069</v>
      </c>
      <c r="F12663" t="s">
        <v>12014</v>
      </c>
      <c r="G12663">
        <v>139</v>
      </c>
      <c r="H12663">
        <v>151.1</v>
      </c>
      <c r="I12663">
        <v>151.09</v>
      </c>
      <c r="J12663">
        <v>0.01</v>
      </c>
    </row>
    <row r="12664" spans="1:10" x14ac:dyDescent="0.3">
      <c r="A12664" t="str">
        <f>HYPERLINK("https://us2.cloudbeds.com/connect/10074733072513#/reservations/31718108377230?display=MX7Z64GCW&amp;reservation_id=31718108377230", "MX7Z64GCW")</f>
        <v>MX7Z64GCW</v>
      </c>
      <c r="B12664" t="s">
        <v>10</v>
      </c>
      <c r="C12664" t="s">
        <v>23</v>
      </c>
      <c r="D12664" t="str">
        <f>HYPERLINK("https://us2.cloudbeds.com/connect/10074733072513#/reservations/31718108377230?display=Heidi%20Bunger&amp;reservation_id=31718108377230&amp;guest_id=31718108377225", "Heidi Bunger")</f>
        <v>Heidi Bunger</v>
      </c>
      <c r="E12664" t="s">
        <v>12070</v>
      </c>
      <c r="F12664" t="s">
        <v>11573</v>
      </c>
      <c r="G12664">
        <v>398</v>
      </c>
      <c r="H12664">
        <v>432.64</v>
      </c>
      <c r="I12664">
        <v>432.63</v>
      </c>
      <c r="J12664">
        <v>0.01</v>
      </c>
    </row>
    <row r="12665" spans="1:10" x14ac:dyDescent="0.3">
      <c r="A12665" t="str">
        <f>HYPERLINK("https://us2.cloudbeds.com/connect/10074733072513#/reservations/31720496693479?display=MX9J70U8Y&amp;reservation_id=31720496693479", "MX9J70U8Y")</f>
        <v>MX9J70U8Y</v>
      </c>
      <c r="B12665" t="s">
        <v>10</v>
      </c>
      <c r="C12665" t="s">
        <v>23</v>
      </c>
      <c r="D12665" t="str">
        <f>HYPERLINK("https://us2.cloudbeds.com/connect/10074733072513#/reservations/31720496693479?display=Keith%20Kapaun&amp;reservation_id=31720496693479&amp;guest_id=31720496693460", "Keith Kapaun")</f>
        <v>Keith Kapaun</v>
      </c>
      <c r="E12665" t="s">
        <v>12072</v>
      </c>
      <c r="F12665" t="s">
        <v>12073</v>
      </c>
      <c r="G12665">
        <v>119</v>
      </c>
      <c r="H12665">
        <v>129.36000000000001</v>
      </c>
      <c r="I12665">
        <v>129.35</v>
      </c>
      <c r="J12665">
        <v>0.01</v>
      </c>
    </row>
    <row r="12666" spans="1:10" x14ac:dyDescent="0.3">
      <c r="A12666" t="str">
        <f>HYPERLINK("https://us2.cloudbeds.com/connect/10074733072513#/reservations/31712567812240?display=MX3EK63J6&amp;reservation_id=31712567812240", "MX3EK63J6")</f>
        <v>MX3EK63J6</v>
      </c>
      <c r="B12666" t="s">
        <v>10</v>
      </c>
      <c r="C12666" t="s">
        <v>42</v>
      </c>
      <c r="D12666" t="str">
        <f>HYPERLINK("https://us2.cloudbeds.com/connect/10074733072513#/reservations/31712567812240?display=Lonny%20Hillerud&amp;reservation_id=31712567812240&amp;guest_id=31712567808135", "Lonny Hillerud")</f>
        <v>Lonny Hillerud</v>
      </c>
      <c r="E12666" t="s">
        <v>12074</v>
      </c>
      <c r="F12666" t="s">
        <v>11707</v>
      </c>
      <c r="G12666">
        <v>228</v>
      </c>
      <c r="H12666">
        <v>247.85</v>
      </c>
      <c r="I12666">
        <v>247.84</v>
      </c>
      <c r="J12666">
        <v>0.01</v>
      </c>
    </row>
    <row r="12667" spans="1:10" x14ac:dyDescent="0.3">
      <c r="A12667" t="str">
        <f>HYPERLINK("https://us2.cloudbeds.com/connect/10074733072513#/reservations/31712741818527?display=MX3J1U2VW&amp;reservation_id=31712741818527", "MX3J1U2VW")</f>
        <v>MX3J1U2VW</v>
      </c>
      <c r="B12667" t="s">
        <v>10</v>
      </c>
      <c r="C12667" t="s">
        <v>23</v>
      </c>
      <c r="D12667" t="str">
        <f>HYPERLINK("https://us2.cloudbeds.com/connect/10074733072513#/reservations/31712741818527?display=Tessa%20Curry&amp;reservation_id=31712741818527&amp;guest_id=31712732438718", "Tessa Curry")</f>
        <v>Tessa Curry</v>
      </c>
      <c r="E12667" t="s">
        <v>12075</v>
      </c>
      <c r="F12667" t="s">
        <v>11087</v>
      </c>
      <c r="G12667">
        <v>458</v>
      </c>
      <c r="H12667">
        <v>497.86</v>
      </c>
      <c r="I12667">
        <v>497.85</v>
      </c>
      <c r="J12667">
        <v>0.01</v>
      </c>
    </row>
    <row r="12668" spans="1:10" x14ac:dyDescent="0.3">
      <c r="A12668" t="str">
        <f>HYPERLINK("https://us2.cloudbeds.com/connect/10074733072513#/reservations/31717756817537?display=MX7F6MRCV&amp;reservation_id=31717756817537", "MX7F6MRCV")</f>
        <v>MX7F6MRCV</v>
      </c>
      <c r="B12668" t="s">
        <v>10</v>
      </c>
      <c r="C12668" t="s">
        <v>42</v>
      </c>
      <c r="D12668" t="str">
        <f>HYPERLINK("https://us2.cloudbeds.com/connect/10074733072513#/reservations/31717756817537?display=Steven%20Johnson&amp;reservation_id=31717756817537&amp;guest_id=31717756813501", "Steven Johnson")</f>
        <v>Steven Johnson</v>
      </c>
      <c r="E12668" t="s">
        <v>12076</v>
      </c>
      <c r="F12668" t="s">
        <v>11707</v>
      </c>
      <c r="G12668">
        <v>109</v>
      </c>
      <c r="H12668">
        <v>118.49</v>
      </c>
      <c r="I12668">
        <v>118.48</v>
      </c>
      <c r="J12668">
        <v>0.01</v>
      </c>
    </row>
    <row r="12669" spans="1:10" x14ac:dyDescent="0.3">
      <c r="A12669" t="str">
        <f>HYPERLINK("https://us2.cloudbeds.com/connect/10074733072513#/reservations/31712466739445?display=MX3C0VK37&amp;reservation_id=31712466739445", "MX3C0VK37")</f>
        <v>MX3C0VK37</v>
      </c>
      <c r="B12669" t="s">
        <v>10</v>
      </c>
      <c r="C12669" t="s">
        <v>23</v>
      </c>
      <c r="D12669" t="str">
        <f>HYPERLINK("https://us2.cloudbeds.com/connect/10074733072513#/reservations/31712466739445?display=Dean%20Nickel&amp;reservation_id=31712466739445&amp;guest_id=31712466739396", "Dean Nickel")</f>
        <v>Dean Nickel</v>
      </c>
      <c r="E12669" t="s">
        <v>12077</v>
      </c>
      <c r="F12669" t="s">
        <v>12078</v>
      </c>
      <c r="G12669">
        <v>247.96</v>
      </c>
      <c r="H12669">
        <v>269.54000000000002</v>
      </c>
      <c r="I12669">
        <v>269.52999999999997</v>
      </c>
      <c r="J12669">
        <v>0.01</v>
      </c>
    </row>
    <row r="12670" spans="1:10" x14ac:dyDescent="0.3">
      <c r="A12670" t="str">
        <f>HYPERLINK("https://us2.cloudbeds.com/connect/10074733072513#/reservations/31718425206984?display=MX7W99ZQK&amp;reservation_id=31718425206984", "MX7W99ZQK")</f>
        <v>MX7W99ZQK</v>
      </c>
      <c r="B12670" t="s">
        <v>10</v>
      </c>
      <c r="C12670" t="s">
        <v>23</v>
      </c>
      <c r="D12670" t="str">
        <f>HYPERLINK("https://us2.cloudbeds.com/connect/10074733072513#/reservations/31718425206984?display=Kenneth%20Wohlfarth&amp;reservation_id=31718425206984&amp;guest_id=31718425202888", "Kenneth Wohlfarth")</f>
        <v>Kenneth Wohlfarth</v>
      </c>
      <c r="E12670" t="s">
        <v>12079</v>
      </c>
      <c r="F12670" t="s">
        <v>11815</v>
      </c>
      <c r="G12670">
        <v>175.8</v>
      </c>
      <c r="H12670">
        <v>191.1</v>
      </c>
      <c r="I12670">
        <v>191.09</v>
      </c>
      <c r="J12670">
        <v>0.01</v>
      </c>
    </row>
    <row r="12671" spans="1:10" x14ac:dyDescent="0.3">
      <c r="A12671" t="str">
        <f>HYPERLINK("https://us2.cloudbeds.com/connect/10074733072513#/reservations/31717340733594?display=MX74XRMFJ&amp;reservation_id=31717340733594", "MX74XRMFJ")</f>
        <v>MX74XRMFJ</v>
      </c>
      <c r="B12671" t="s">
        <v>10</v>
      </c>
      <c r="C12671" t="s">
        <v>23</v>
      </c>
      <c r="D12671" t="str">
        <f>HYPERLINK("https://us2.cloudbeds.com/connect/10074733072513#/reservations/31717340733594?display=Charyl%20Winther&amp;reservation_id=31717340733594&amp;guest_id=31717340729501", "Charyl Winther")</f>
        <v>Charyl Winther</v>
      </c>
      <c r="E12671" t="s">
        <v>12081</v>
      </c>
      <c r="F12671" t="s">
        <v>11928</v>
      </c>
      <c r="G12671">
        <v>139</v>
      </c>
      <c r="H12671">
        <v>151.1</v>
      </c>
      <c r="I12671">
        <v>151.09</v>
      </c>
      <c r="J12671">
        <v>0.01</v>
      </c>
    </row>
    <row r="12672" spans="1:10" x14ac:dyDescent="0.3">
      <c r="A12672" t="str">
        <f>HYPERLINK("https://us2.cloudbeds.com/connect/10074733072513#/reservations/31717737955461?display=MX7ENPVRT&amp;reservation_id=31717737955461", "MX7ENPVRT")</f>
        <v>MX7ENPVRT</v>
      </c>
      <c r="B12672" t="s">
        <v>10</v>
      </c>
      <c r="C12672" t="s">
        <v>121</v>
      </c>
      <c r="D12672" t="str">
        <f>HYPERLINK("https://us2.cloudbeds.com/connect/10074733072513#/reservations/31717737955461?display=Robert%20Jackson&amp;reservation_id=31717737955461&amp;guest_id=31717737951414", "Robert Jackson")</f>
        <v>Robert Jackson</v>
      </c>
      <c r="E12672" t="s">
        <v>12082</v>
      </c>
      <c r="F12672" t="s">
        <v>11707</v>
      </c>
      <c r="G12672">
        <v>109</v>
      </c>
      <c r="H12672">
        <v>118.49</v>
      </c>
      <c r="I12672">
        <v>118.48</v>
      </c>
      <c r="J12672">
        <v>0.01</v>
      </c>
    </row>
    <row r="12673" spans="1:10" x14ac:dyDescent="0.3">
      <c r="A12673" t="str">
        <f>HYPERLINK("https://us2.cloudbeds.com/connect/10074733072513#/reservations/31721398481123?display=MXA98EG2V&amp;reservation_id=31721398481123", "MXA98EG2V")</f>
        <v>MXA98EG2V</v>
      </c>
      <c r="B12673" t="s">
        <v>10</v>
      </c>
      <c r="C12673" t="s">
        <v>121</v>
      </c>
      <c r="D12673" t="str">
        <f>HYPERLINK("https://us2.cloudbeds.com/connect/10074733072513#/reservations/31721398481123?display=Daniel%20Rathe&amp;reservation_id=31721398481123&amp;guest_id=31721398481120", "Daniel Rathe")</f>
        <v>Daniel Rathe</v>
      </c>
      <c r="E12673" t="s">
        <v>12083</v>
      </c>
      <c r="F12673" t="s">
        <v>11707</v>
      </c>
      <c r="G12673">
        <v>109</v>
      </c>
      <c r="H12673">
        <v>118.49</v>
      </c>
      <c r="I12673">
        <v>118.48</v>
      </c>
      <c r="J12673">
        <v>0.01</v>
      </c>
    </row>
    <row r="12674" spans="1:10" x14ac:dyDescent="0.3">
      <c r="A12674" t="str">
        <f>HYPERLINK("https://us2.cloudbeds.com/connect/10074733072513#/reservations/31719563661520?display=MX8SC8UJU&amp;reservation_id=31719563661520", "MX8SC8UJU")</f>
        <v>MX8SC8UJU</v>
      </c>
      <c r="B12674" t="s">
        <v>10</v>
      </c>
      <c r="C12674" t="s">
        <v>23</v>
      </c>
      <c r="D12674" t="str">
        <f>HYPERLINK("https://us2.cloudbeds.com/connect/10074733072513#/reservations/31719563661520?display=Ray%20Petersen&amp;reservation_id=31719563661520&amp;guest_id=31719563661515", "Ray Petersen")</f>
        <v>Ray Petersen</v>
      </c>
      <c r="E12674" t="s">
        <v>12084</v>
      </c>
      <c r="F12674" t="s">
        <v>11063</v>
      </c>
      <c r="G12674">
        <v>109</v>
      </c>
      <c r="H12674">
        <v>118.49</v>
      </c>
      <c r="I12674">
        <v>118.48</v>
      </c>
      <c r="J12674">
        <v>0.01</v>
      </c>
    </row>
    <row r="12675" spans="1:10" x14ac:dyDescent="0.3">
      <c r="A12675" t="str">
        <f>HYPERLINK("https://us2.cloudbeds.com/connect/10074733072513#/reservations/31717684842713?display=MX7DC00QM&amp;reservation_id=31717684842713", "MX7DC00QM")</f>
        <v>MX7DC00QM</v>
      </c>
      <c r="B12675" t="s">
        <v>10</v>
      </c>
      <c r="C12675" t="s">
        <v>23</v>
      </c>
      <c r="D12675" t="str">
        <f>HYPERLINK("https://us2.cloudbeds.com/connect/10074733072513#/reservations/31717684842713?display=Shane%20Powers&amp;reservation_id=31717684842713&amp;guest_id=31717679214781", "Shane Powers")</f>
        <v>Shane Powers</v>
      </c>
      <c r="E12675" t="s">
        <v>12085</v>
      </c>
      <c r="F12675" t="s">
        <v>11536</v>
      </c>
      <c r="G12675">
        <v>97.74</v>
      </c>
      <c r="H12675">
        <v>106.25</v>
      </c>
      <c r="I12675">
        <v>106.24</v>
      </c>
      <c r="J12675">
        <v>0.01</v>
      </c>
    </row>
    <row r="12676" spans="1:10" x14ac:dyDescent="0.3">
      <c r="A12676" t="str">
        <f>HYPERLINK("https://us2.cloudbeds.com/connect/10074733072513#/reservations/31721412886740?display=MXA9KJBCQ&amp;reservation_id=31721412886740", "MXA9KJBCQ")</f>
        <v>MXA9KJBCQ</v>
      </c>
      <c r="B12676" t="s">
        <v>10</v>
      </c>
      <c r="C12676" t="s">
        <v>42</v>
      </c>
      <c r="D12676" t="str">
        <f>HYPERLINK("https://us2.cloudbeds.com/connect/10074733072513#/reservations/31721412886740?display=Elier%20Medrano&amp;reservation_id=31721412886740&amp;guest_id=31721412886735", "Elier Medrano")</f>
        <v>Elier Medrano</v>
      </c>
      <c r="E12676" t="s">
        <v>12086</v>
      </c>
      <c r="F12676" t="s">
        <v>11707</v>
      </c>
      <c r="G12676">
        <v>109</v>
      </c>
      <c r="H12676">
        <v>118.49</v>
      </c>
      <c r="I12676">
        <v>118.48</v>
      </c>
      <c r="J12676">
        <v>0.01</v>
      </c>
    </row>
    <row r="12677" spans="1:10" x14ac:dyDescent="0.3">
      <c r="A12677" t="str">
        <f>HYPERLINK("https://us2.cloudbeds.com/connect/10074733072513#/reservations/31717694988424?display=MX7DKXBBF&amp;reservation_id=31717694988424", "MX7DKXBBF")</f>
        <v>MX7DKXBBF</v>
      </c>
      <c r="B12677" t="s">
        <v>10</v>
      </c>
      <c r="C12677" t="s">
        <v>23</v>
      </c>
      <c r="D12677" t="str">
        <f>HYPERLINK("https://us2.cloudbeds.com/connect/10074733072513#/reservations/31717694988424?display=Kyle%20Sanders&amp;reservation_id=31717694988424&amp;guest_id=31717685301419", "Kyle Sanders")</f>
        <v>Kyle Sanders</v>
      </c>
      <c r="E12677" t="s">
        <v>12088</v>
      </c>
      <c r="F12677" t="s">
        <v>12089</v>
      </c>
      <c r="G12677">
        <v>102.58</v>
      </c>
      <c r="H12677">
        <v>111.51</v>
      </c>
      <c r="I12677">
        <v>111.5</v>
      </c>
      <c r="J12677">
        <v>0.01</v>
      </c>
    </row>
    <row r="12678" spans="1:10" x14ac:dyDescent="0.3">
      <c r="A12678" t="str">
        <f>HYPERLINK("https://us2.cloudbeds.com/connect/10074733072513#/reservations/31712585687246?display=MX3F28GZ1&amp;reservation_id=31712585687246", "MX3F28GZ1")</f>
        <v>MX3F28GZ1</v>
      </c>
      <c r="B12678" t="s">
        <v>10</v>
      </c>
      <c r="C12678" t="s">
        <v>42</v>
      </c>
      <c r="D12678" t="str">
        <f>HYPERLINK("https://us2.cloudbeds.com/connect/10074733072513#/reservations/31712585687246?display=Tyler%20Geers&amp;reservation_id=31712585687246&amp;guest_id=31712577876211", "Tyler Geers")</f>
        <v>Tyler Geers</v>
      </c>
      <c r="E12678" t="s">
        <v>12091</v>
      </c>
      <c r="F12678" t="s">
        <v>11707</v>
      </c>
      <c r="G12678">
        <v>218</v>
      </c>
      <c r="H12678">
        <v>236.98</v>
      </c>
      <c r="I12678">
        <v>236.97</v>
      </c>
      <c r="J12678">
        <v>0.01</v>
      </c>
    </row>
    <row r="12679" spans="1:10" x14ac:dyDescent="0.3">
      <c r="A12679" t="str">
        <f>HYPERLINK("https://us2.cloudbeds.com/connect/10074733072513#/reservations/31715569102995?display=MX5P9VEPT&amp;reservation_id=31715569102995", "MX5P9VEPT")</f>
        <v>MX5P9VEPT</v>
      </c>
      <c r="B12679" t="s">
        <v>10</v>
      </c>
      <c r="C12679" t="s">
        <v>23</v>
      </c>
      <c r="D12679" t="str">
        <f>HYPERLINK("https://us2.cloudbeds.com/connect/10074733072513#/reservations/31715569102995?display=Andrea%20Helkenn&amp;reservation_id=31715569102995&amp;guest_id=31715569098894", "Andrea Helkenn")</f>
        <v>Andrea Helkenn</v>
      </c>
      <c r="E12679" t="s">
        <v>12092</v>
      </c>
      <c r="F12679" t="s">
        <v>10695</v>
      </c>
      <c r="G12679">
        <v>298</v>
      </c>
      <c r="H12679">
        <v>323.94</v>
      </c>
      <c r="I12679">
        <v>323.93</v>
      </c>
      <c r="J12679">
        <v>0.01</v>
      </c>
    </row>
    <row r="12680" spans="1:10" x14ac:dyDescent="0.3">
      <c r="A12680" t="str">
        <f>HYPERLINK("https://us2.cloudbeds.com/connect/10074733072513#/reservations/31715592237265?display=MX5PTF6CC&amp;reservation_id=31715592237265", "MX5PTF6CC")</f>
        <v>MX5PTF6CC</v>
      </c>
      <c r="B12680" t="s">
        <v>10</v>
      </c>
      <c r="C12680" t="s">
        <v>23</v>
      </c>
      <c r="D12680" t="str">
        <f>HYPERLINK("https://us2.cloudbeds.com/connect/10074733072513#/reservations/31715592237265?display=Andrea%20Helkenn&amp;reservation_id=31715592237265&amp;guest_id=31715584831734", "Andrea Helkenn")</f>
        <v>Andrea Helkenn</v>
      </c>
      <c r="E12680" t="s">
        <v>12092</v>
      </c>
      <c r="F12680" t="s">
        <v>10695</v>
      </c>
      <c r="G12680">
        <v>298</v>
      </c>
      <c r="H12680">
        <v>323.94</v>
      </c>
      <c r="I12680">
        <v>323.93</v>
      </c>
      <c r="J12680">
        <v>0.01</v>
      </c>
    </row>
    <row r="12681" spans="1:10" x14ac:dyDescent="0.3">
      <c r="A12681" t="str">
        <f>HYPERLINK("https://us2.cloudbeds.com/connect/10074733072513#/reservations/31718333796583?display=MX7TV741F&amp;reservation_id=31718333796583", "MX7TV741F")</f>
        <v>MX7TV741F</v>
      </c>
      <c r="B12681" t="s">
        <v>10</v>
      </c>
      <c r="C12681" t="s">
        <v>121</v>
      </c>
      <c r="D12681" t="str">
        <f>HYPERLINK("https://us2.cloudbeds.com/connect/10074733072513#/reservations/31718333796583?display=Kristopher%20Evans&amp;reservation_id=31718333796583&amp;guest_id=31691101683910", "Kristopher Evans")</f>
        <v>Kristopher Evans</v>
      </c>
      <c r="E12681" t="s">
        <v>7990</v>
      </c>
      <c r="F12681" t="s">
        <v>12068</v>
      </c>
      <c r="G12681">
        <v>336</v>
      </c>
      <c r="H12681">
        <v>365.24</v>
      </c>
      <c r="I12681">
        <v>365.23</v>
      </c>
      <c r="J12681">
        <v>0.01</v>
      </c>
    </row>
    <row r="12682" spans="1:10" x14ac:dyDescent="0.3">
      <c r="A12682" t="str">
        <f>HYPERLINK("https://us2.cloudbeds.com/connect/10074733072513#/reservations/31719424020686?display=MX8ZQH73G&amp;reservation_id=31719424020686", "MX8ZQH73G")</f>
        <v>MX8ZQH73G</v>
      </c>
      <c r="B12682" t="s">
        <v>10</v>
      </c>
      <c r="C12682" t="s">
        <v>23</v>
      </c>
      <c r="D12682" t="str">
        <f>HYPERLINK("https://us2.cloudbeds.com/connect/10074733072513#/reservations/31719424020686?display=Matt%20Weinzetl&amp;reservation_id=31719424020686&amp;guest_id=31719424016595", "Matt Weinzetl")</f>
        <v>Matt Weinzetl</v>
      </c>
      <c r="E12682" t="s">
        <v>12093</v>
      </c>
      <c r="F12682" t="s">
        <v>12089</v>
      </c>
      <c r="G12682">
        <v>109</v>
      </c>
      <c r="H12682">
        <v>118.49</v>
      </c>
      <c r="I12682">
        <v>118.48</v>
      </c>
      <c r="J12682">
        <v>0.01</v>
      </c>
    </row>
    <row r="12683" spans="1:10" x14ac:dyDescent="0.3">
      <c r="A12683" t="str">
        <f>HYPERLINK("https://us2.cloudbeds.com/connect/10074733072513#/reservations/31721390133379?display=MXA91D6J0&amp;reservation_id=31721390133379", "MXA91D6J0")</f>
        <v>MXA91D6J0</v>
      </c>
      <c r="B12683" t="s">
        <v>10</v>
      </c>
      <c r="C12683" t="s">
        <v>42</v>
      </c>
      <c r="D12683" t="str">
        <f>HYPERLINK("https://us2.cloudbeds.com/connect/10074733072513#/reservations/31721390133379?display=Douglas%20Stefanich&amp;reservation_id=31721390133379&amp;guest_id=31721381921014", "Douglas Stefanich")</f>
        <v>Douglas Stefanich</v>
      </c>
      <c r="E12683" t="s">
        <v>12094</v>
      </c>
      <c r="F12683" t="s">
        <v>11707</v>
      </c>
      <c r="G12683">
        <v>109</v>
      </c>
      <c r="H12683">
        <v>118.49</v>
      </c>
      <c r="I12683">
        <v>118.48</v>
      </c>
      <c r="J12683">
        <v>0.01</v>
      </c>
    </row>
    <row r="12684" spans="1:10" x14ac:dyDescent="0.3">
      <c r="A12684" t="str">
        <f>HYPERLINK("https://us2.cloudbeds.com/connect/10074733072513#/reservations/31721398477030?display=MXA98ECAU&amp;reservation_id=31721398477030", "MXA98ECAU")</f>
        <v>MXA98ECAU</v>
      </c>
      <c r="B12684" t="s">
        <v>10</v>
      </c>
      <c r="C12684" t="s">
        <v>121</v>
      </c>
      <c r="D12684" t="str">
        <f>HYPERLINK("https://us2.cloudbeds.com/connect/10074733072513#/reservations/31721398477030?display=Logan%20Willeck&amp;reservation_id=31721398477030&amp;guest_id=31721390137483", "Logan Willeck")</f>
        <v>Logan Willeck</v>
      </c>
      <c r="E12684" t="s">
        <v>12095</v>
      </c>
      <c r="F12684" t="s">
        <v>11707</v>
      </c>
      <c r="G12684">
        <v>109</v>
      </c>
      <c r="H12684">
        <v>118.49</v>
      </c>
      <c r="I12684">
        <v>118.48</v>
      </c>
      <c r="J12684">
        <v>0.01</v>
      </c>
    </row>
    <row r="12685" spans="1:10" x14ac:dyDescent="0.3">
      <c r="A12685" t="str">
        <f>HYPERLINK("https://us2.cloudbeds.com/connect/10074733072513#/reservations/31716477501656?display=MX6FGUWB1&amp;reservation_id=31716477501656", "MX6FGUWB1")</f>
        <v>MX6FGUWB1</v>
      </c>
      <c r="B12685" t="s">
        <v>10</v>
      </c>
      <c r="C12685" t="s">
        <v>42</v>
      </c>
      <c r="D12685" t="str">
        <f>HYPERLINK("https://us2.cloudbeds.com/connect/10074733072513#/reservations/31716477501656?display=Cindy%20Krull&amp;reservation_id=31716477501656&amp;guest_id=31716477501637", "Cindy Krull")</f>
        <v>Cindy Krull</v>
      </c>
      <c r="E12685" t="s">
        <v>11386</v>
      </c>
      <c r="F12685" t="s">
        <v>12096</v>
      </c>
      <c r="G12685">
        <v>252</v>
      </c>
      <c r="H12685">
        <v>273.93</v>
      </c>
      <c r="I12685">
        <v>273.92</v>
      </c>
      <c r="J12685">
        <v>0.01</v>
      </c>
    </row>
    <row r="12686" spans="1:10" x14ac:dyDescent="0.3">
      <c r="A12686" t="str">
        <f>HYPERLINK("https://us2.cloudbeds.com/connect/10074733072513#/reservations/31716447830211?display=MX6EZUARB&amp;reservation_id=31716447830211", "MX6EZUARB")</f>
        <v>MX6EZUARB</v>
      </c>
      <c r="B12686" t="s">
        <v>10</v>
      </c>
      <c r="C12686" t="s">
        <v>42</v>
      </c>
      <c r="D12686" t="str">
        <f>HYPERLINK("https://us2.cloudbeds.com/connect/10074733072513#/reservations/31716447830211?display=Sam%20Voight&amp;reservation_id=31716447830211&amp;guest_id=31716437385367", "Sam Voight")</f>
        <v>Sam Voight</v>
      </c>
      <c r="E12686" t="s">
        <v>12097</v>
      </c>
      <c r="F12686" t="s">
        <v>12068</v>
      </c>
      <c r="G12686">
        <v>149</v>
      </c>
      <c r="H12686">
        <v>161.97</v>
      </c>
      <c r="I12686">
        <v>161.96</v>
      </c>
      <c r="J12686">
        <v>0.01</v>
      </c>
    </row>
    <row r="12687" spans="1:10" x14ac:dyDescent="0.3">
      <c r="A12687" t="str">
        <f>HYPERLINK("https://us2.cloudbeds.com/connect/10074733072513#/reservations/31715115557116?display=MX5DNGSXC&amp;reservation_id=31715115557116", "MX5DNGSXC")</f>
        <v>MX5DNGSXC</v>
      </c>
      <c r="B12687" t="s">
        <v>10</v>
      </c>
      <c r="C12687" t="s">
        <v>23</v>
      </c>
      <c r="D12687" t="str">
        <f>HYPERLINK("https://us2.cloudbeds.com/connect/10074733072513#/reservations/31715115557116?display=Dean%20Walston&amp;reservation_id=31715115557116&amp;guest_id=30671050412191", "Dean Walston")</f>
        <v>Dean Walston</v>
      </c>
      <c r="E12687" t="s">
        <v>12098</v>
      </c>
      <c r="F12687" t="s">
        <v>12099</v>
      </c>
      <c r="G12687">
        <v>199</v>
      </c>
      <c r="H12687">
        <v>216.32</v>
      </c>
      <c r="I12687">
        <v>216.31</v>
      </c>
      <c r="J12687">
        <v>0.01</v>
      </c>
    </row>
    <row r="12688" spans="1:10" x14ac:dyDescent="0.3">
      <c r="A12688" t="str">
        <f>HYPERLINK("https://us2.cloudbeds.com/connect/10074733072513#/reservations/31719572738211?display=MX8SJUGG5&amp;reservation_id=31719572738211", "MX8SJUGG5")</f>
        <v>MX8SJUGG5</v>
      </c>
      <c r="B12688" t="s">
        <v>10</v>
      </c>
      <c r="C12688" t="s">
        <v>23</v>
      </c>
      <c r="D12688" t="str">
        <f>HYPERLINK("https://us2.cloudbeds.com/connect/10074733072513#/reservations/31719572738211?display=Mark%20Evans&amp;reservation_id=31719572738211&amp;guest_id=31719572738207", "Mark Evans")</f>
        <v>Mark Evans</v>
      </c>
      <c r="E12688" t="s">
        <v>12102</v>
      </c>
      <c r="F12688" t="s">
        <v>11063</v>
      </c>
      <c r="G12688">
        <v>109</v>
      </c>
      <c r="H12688">
        <v>118.49</v>
      </c>
      <c r="I12688">
        <v>118.48</v>
      </c>
      <c r="J12688">
        <v>0.01</v>
      </c>
    </row>
    <row r="12689" spans="1:10" x14ac:dyDescent="0.3">
      <c r="A12689" t="str">
        <f>HYPERLINK("https://us2.cloudbeds.com/connect/10074733072513#/reservations/31717670412541?display=MX7CWRFVZ&amp;reservation_id=31717670412541", "MX7CWRFVZ")</f>
        <v>MX7CWRFVZ</v>
      </c>
      <c r="B12689" t="s">
        <v>10</v>
      </c>
      <c r="C12689" t="s">
        <v>121</v>
      </c>
      <c r="D12689" t="str">
        <f>HYPERLINK("https://us2.cloudbeds.com/connect/10074733072513#/reservations/31717670412541?display=Mark%20Brekke&amp;reservation_id=31717670412541&amp;guest_id=31717652795548", "Mark Brekke")</f>
        <v>Mark Brekke</v>
      </c>
      <c r="E12689" t="s">
        <v>12103</v>
      </c>
      <c r="F12689" t="s">
        <v>12089</v>
      </c>
      <c r="G12689">
        <v>79</v>
      </c>
      <c r="H12689">
        <v>85.88</v>
      </c>
      <c r="I12689">
        <v>85.87</v>
      </c>
      <c r="J12689">
        <v>0.01</v>
      </c>
    </row>
    <row r="12690" spans="1:10" x14ac:dyDescent="0.3">
      <c r="A12690" t="str">
        <f>HYPERLINK("https://us2.cloudbeds.com/connect/10074733072513#/reservations/31719408689384?display=MX8ZDJJPX&amp;reservation_id=31719408689384", "MX8ZDJJPX")</f>
        <v>MX8ZDJJPX</v>
      </c>
      <c r="B12690" t="s">
        <v>10</v>
      </c>
      <c r="C12690" t="s">
        <v>121</v>
      </c>
      <c r="D12690" t="str">
        <f>HYPERLINK("https://us2.cloudbeds.com/connect/10074733072513#/reservations/31719408689384?display=Ethan%20Weston&amp;reservation_id=31719408689384&amp;guest_id=31719398318218", "Ethan Weston")</f>
        <v>Ethan Weston</v>
      </c>
      <c r="E12690" t="s">
        <v>12104</v>
      </c>
      <c r="F12690" t="s">
        <v>11063</v>
      </c>
      <c r="G12690">
        <v>129</v>
      </c>
      <c r="H12690">
        <v>140.22999999999999</v>
      </c>
      <c r="I12690">
        <v>140.22</v>
      </c>
      <c r="J12690">
        <v>0.01</v>
      </c>
    </row>
    <row r="12691" spans="1:10" x14ac:dyDescent="0.3">
      <c r="A12691" t="str">
        <f>HYPERLINK("https://us2.cloudbeds.com/connect/10074733072513#/reservations/31714868945096?display=MX57DXH7S&amp;reservation_id=31714868945096", "MX57DXH7S")</f>
        <v>MX57DXH7S</v>
      </c>
      <c r="B12691" t="s">
        <v>10</v>
      </c>
      <c r="C12691" t="s">
        <v>23</v>
      </c>
      <c r="D12691" t="str">
        <f>HYPERLINK("https://us2.cloudbeds.com/connect/10074733072513#/reservations/31714868945096?display=Malinda%20Brandt&amp;reservation_id=31714868945096&amp;guest_id=31714868941005", "Malinda Brandt")</f>
        <v>Malinda Brandt</v>
      </c>
      <c r="E12691" t="s">
        <v>12105</v>
      </c>
      <c r="F12691" t="s">
        <v>12106</v>
      </c>
      <c r="G12691">
        <v>199</v>
      </c>
      <c r="H12691">
        <v>216.32</v>
      </c>
      <c r="I12691">
        <v>216.31</v>
      </c>
      <c r="J12691">
        <v>0.01</v>
      </c>
    </row>
    <row r="12692" spans="1:10" x14ac:dyDescent="0.3">
      <c r="A12692" t="str">
        <f>HYPERLINK("https://us2.cloudbeds.com/connect/10074733072513#/reservations/31719499964587?display=MX8QZXFCR&amp;reservation_id=31719499964587", "MX8QZXFCR")</f>
        <v>MX8QZXFCR</v>
      </c>
      <c r="B12692" t="s">
        <v>10</v>
      </c>
      <c r="C12692" t="s">
        <v>121</v>
      </c>
      <c r="D12692" t="str">
        <f>HYPERLINK("https://us2.cloudbeds.com/connect/10074733072513#/reservations/31719499964587?display=Evelyn%20Ramirez&amp;reservation_id=31719499964587&amp;guest_id=31719499964558", "Evelyn Ramirez")</f>
        <v>Evelyn Ramirez</v>
      </c>
      <c r="E12692" t="s">
        <v>12110</v>
      </c>
      <c r="F12692" t="s">
        <v>11063</v>
      </c>
      <c r="G12692">
        <v>109</v>
      </c>
      <c r="H12692">
        <v>118.49</v>
      </c>
      <c r="I12692">
        <v>118.48</v>
      </c>
      <c r="J12692">
        <v>0.01</v>
      </c>
    </row>
    <row r="12693" spans="1:10" x14ac:dyDescent="0.3">
      <c r="A12693" t="str">
        <f>HYPERLINK("https://us2.cloudbeds.com/connect/10074733072513#/reservations/31701820313747?display=MHS3WK3VM&amp;reservation_id=31701820313747", "MHS3WK3VM")</f>
        <v>MHS3WK3VM</v>
      </c>
      <c r="B12693" t="s">
        <v>10</v>
      </c>
      <c r="C12693" t="s">
        <v>42</v>
      </c>
      <c r="D12693" t="str">
        <f>HYPERLINK("https://us2.cloudbeds.com/connect/10074733072513#/reservations/31701820313747?display=Mathew%20Juberien&amp;reservation_id=31701820313747&amp;guest_id=31701820313743", "Mathew Juberien")</f>
        <v>Mathew Juberien</v>
      </c>
      <c r="E12693" t="s">
        <v>12114</v>
      </c>
      <c r="F12693" t="s">
        <v>11134</v>
      </c>
      <c r="G12693">
        <v>179</v>
      </c>
      <c r="H12693">
        <v>194.58</v>
      </c>
      <c r="I12693">
        <v>194.57</v>
      </c>
      <c r="J12693">
        <v>0.01</v>
      </c>
    </row>
    <row r="12694" spans="1:10" x14ac:dyDescent="0.3">
      <c r="A12694" t="str">
        <f>HYPERLINK("https://us2.cloudbeds.com/connect/10074733072513#/reservations/31716462199019?display=MX6F415AP&amp;reservation_id=31716462199019", "MX6F415AP")</f>
        <v>MX6F415AP</v>
      </c>
      <c r="B12694" t="s">
        <v>10</v>
      </c>
      <c r="C12694" t="s">
        <v>42</v>
      </c>
      <c r="D12694" t="str">
        <f>HYPERLINK("https://us2.cloudbeds.com/connect/10074733072513#/reservations/31716462199019?display=Ben%20Reece&amp;reservation_id=31716462199019&amp;guest_id=31716462199015", "Ben Reece")</f>
        <v>Ben Reece</v>
      </c>
      <c r="E12694" t="s">
        <v>11064</v>
      </c>
      <c r="F12694" t="s">
        <v>12068</v>
      </c>
      <c r="G12694">
        <v>73</v>
      </c>
      <c r="H12694">
        <v>79.36</v>
      </c>
      <c r="I12694">
        <v>79.349999999999994</v>
      </c>
      <c r="J12694">
        <v>0.01</v>
      </c>
    </row>
    <row r="12695" spans="1:10" x14ac:dyDescent="0.3">
      <c r="A12695" t="str">
        <f>HYPERLINK("https://us2.cloudbeds.com/connect/10074733072513#/reservations/31716453208216?display=MX6ETEWA6&amp;reservation_id=31716453208216", "MX6ETEWA6")</f>
        <v>MX6ETEWA6</v>
      </c>
      <c r="B12695" t="s">
        <v>10</v>
      </c>
      <c r="C12695" t="s">
        <v>42</v>
      </c>
      <c r="D12695" t="str">
        <f>HYPERLINK("https://us2.cloudbeds.com/connect/10074733072513#/reservations/31716453208216?display=Melinda%20Bornterger&amp;reservation_id=31716453208216&amp;guest_id=31716453208211", "Melinda Bornterger")</f>
        <v>Melinda Bornterger</v>
      </c>
      <c r="E12695" t="s">
        <v>12115</v>
      </c>
      <c r="F12695" t="s">
        <v>12068</v>
      </c>
      <c r="G12695">
        <v>109</v>
      </c>
      <c r="H12695">
        <v>118.49</v>
      </c>
      <c r="I12695">
        <v>118.48</v>
      </c>
      <c r="J12695">
        <v>0.01</v>
      </c>
    </row>
    <row r="12696" spans="1:10" x14ac:dyDescent="0.3">
      <c r="A12696" t="str">
        <f>HYPERLINK("https://us2.cloudbeds.com/connect/10074733072513#/reservations/31716470182079?display=MX6FAP9VM&amp;reservation_id=31716470182079", "MX6FAP9VM")</f>
        <v>MX6FAP9VM</v>
      </c>
      <c r="B12696" t="s">
        <v>10</v>
      </c>
      <c r="C12696" t="s">
        <v>42</v>
      </c>
      <c r="D12696" t="str">
        <f>HYPERLINK("https://us2.cloudbeds.com/connect/10074733072513#/reservations/31716470182079?display=Rory%20Beyer&amp;reservation_id=31716470182079&amp;guest_id=31716470182074", "Rory Beyer")</f>
        <v>Rory Beyer</v>
      </c>
      <c r="E12696" t="s">
        <v>12116</v>
      </c>
      <c r="F12696" t="s">
        <v>12068</v>
      </c>
      <c r="G12696">
        <v>109</v>
      </c>
      <c r="H12696">
        <v>118.49</v>
      </c>
      <c r="I12696">
        <v>118.48</v>
      </c>
      <c r="J12696">
        <v>0.01</v>
      </c>
    </row>
    <row r="12697" spans="1:10" x14ac:dyDescent="0.3">
      <c r="A12697" t="str">
        <f>HYPERLINK("https://us2.cloudbeds.com/connect/10074733072513#/reservations/31719020306581?display=MX8EG392Z&amp;reservation_id=31719020306581", "MX8EG392Z")</f>
        <v>MX8EG392Z</v>
      </c>
      <c r="B12697" t="s">
        <v>10</v>
      </c>
      <c r="C12697" t="s">
        <v>42</v>
      </c>
      <c r="D12697" t="str">
        <f>HYPERLINK("https://us2.cloudbeds.com/connect/10074733072513#/reservations/31719020306581?display=Debera%20Finzen&amp;reservation_id=31719020306581&amp;guest_id=31719013478588", "Debera Finzen")</f>
        <v>Debera Finzen</v>
      </c>
      <c r="E12697" t="s">
        <v>12117</v>
      </c>
      <c r="F12697" t="s">
        <v>9926</v>
      </c>
      <c r="G12697">
        <v>179</v>
      </c>
      <c r="H12697">
        <v>194.58</v>
      </c>
      <c r="I12697">
        <v>194.57</v>
      </c>
      <c r="J12697">
        <v>0.01</v>
      </c>
    </row>
    <row r="12698" spans="1:10" x14ac:dyDescent="0.3">
      <c r="A12698" t="str">
        <f>HYPERLINK("https://us2.cloudbeds.com/connect/10074733072513#/reservations/31716965703916?display=MX6RWJUJU&amp;reservation_id=31716965703916", "MX6RWJUJU")</f>
        <v>MX6RWJUJU</v>
      </c>
      <c r="B12698" t="s">
        <v>10</v>
      </c>
      <c r="C12698" t="s">
        <v>23</v>
      </c>
      <c r="D12698" t="str">
        <f>HYPERLINK("https://us2.cloudbeds.com/connect/10074733072513#/reservations/31716965703916?display=Scott%20Larson&amp;reservation_id=31716965703916&amp;guest_id=31716965703911", "Scott Larson")</f>
        <v>Scott Larson</v>
      </c>
      <c r="E12698" t="s">
        <v>12118</v>
      </c>
      <c r="F12698" t="s">
        <v>12119</v>
      </c>
      <c r="G12698">
        <v>218</v>
      </c>
      <c r="H12698">
        <v>236.98</v>
      </c>
      <c r="I12698">
        <v>236.97</v>
      </c>
      <c r="J12698">
        <v>0.01</v>
      </c>
    </row>
    <row r="12699" spans="1:10" x14ac:dyDescent="0.3">
      <c r="A12699" t="str">
        <f>HYPERLINK("https://us2.cloudbeds.com/connect/10074733072513#/reservations/31716048957678?display=MX64XJ3MT&amp;reservation_id=31716048957678", "MX64XJ3MT")</f>
        <v>MX64XJ3MT</v>
      </c>
      <c r="B12699" t="s">
        <v>10</v>
      </c>
      <c r="C12699" t="s">
        <v>23</v>
      </c>
      <c r="D12699" t="str">
        <f>HYPERLINK("https://us2.cloudbeds.com/connect/10074733072513#/reservations/31716048957678?display=Jim%20Heier&amp;reservation_id=31716048957678&amp;guest_id=31716048957653", "Jim Heier")</f>
        <v>Jim Heier</v>
      </c>
      <c r="E12699" t="s">
        <v>12120</v>
      </c>
      <c r="F12699" t="s">
        <v>11748</v>
      </c>
      <c r="G12699">
        <v>139</v>
      </c>
      <c r="H12699">
        <v>151.1</v>
      </c>
      <c r="I12699">
        <v>151.09</v>
      </c>
      <c r="J12699">
        <v>0.01</v>
      </c>
    </row>
    <row r="12700" spans="1:10" x14ac:dyDescent="0.3">
      <c r="A12700" t="str">
        <f>HYPERLINK("https://us2.cloudbeds.com/connect/10074733072513#/reservations/31717043159235?display=MX6TVU7PQ&amp;reservation_id=31717043159235", "MX6TVU7PQ")</f>
        <v>MX6TVU7PQ</v>
      </c>
      <c r="B12700" t="s">
        <v>10</v>
      </c>
      <c r="C12700" t="s">
        <v>42</v>
      </c>
      <c r="D12700" t="str">
        <f>HYPERLINK("https://us2.cloudbeds.com/connect/10074733072513#/reservations/31717043159235?display=Gene%20Westerbuhr&amp;reservation_id=31717043159235&amp;guest_id=31717043159232", "Gene Westerbuhr")</f>
        <v>Gene Westerbuhr</v>
      </c>
      <c r="E12700" t="s">
        <v>11352</v>
      </c>
      <c r="F12700" t="s">
        <v>11771</v>
      </c>
      <c r="G12700">
        <v>89</v>
      </c>
      <c r="H12700">
        <v>96.75</v>
      </c>
      <c r="I12700">
        <v>96.74</v>
      </c>
      <c r="J12700">
        <v>0.01</v>
      </c>
    </row>
    <row r="12701" spans="1:10" x14ac:dyDescent="0.3">
      <c r="A12701" t="str">
        <f>HYPERLINK("https://us2.cloudbeds.com/connect/10074733072513#/reservations/31718354702478?display=MX7UFRSCE&amp;reservation_id=31718354702478", "MX7UFRSCE")</f>
        <v>MX7UFRSCE</v>
      </c>
      <c r="B12701" t="s">
        <v>10</v>
      </c>
      <c r="C12701" t="s">
        <v>23</v>
      </c>
      <c r="D12701" t="str">
        <f>HYPERLINK("https://us2.cloudbeds.com/connect/10074733072513#/reservations/31718354702478?display=Jim%20Schoenfelder&amp;reservation_id=31718354702478&amp;guest_id=31718354702474", "Jim Schoenfelder")</f>
        <v>Jim Schoenfelder</v>
      </c>
      <c r="E12701" t="s">
        <v>12122</v>
      </c>
      <c r="F12701" t="s">
        <v>9926</v>
      </c>
      <c r="G12701">
        <v>110.86</v>
      </c>
      <c r="H12701">
        <v>120.51</v>
      </c>
      <c r="I12701">
        <v>120.5</v>
      </c>
      <c r="J12701">
        <v>0.01</v>
      </c>
    </row>
    <row r="12702" spans="1:10" x14ac:dyDescent="0.3">
      <c r="A12702" t="str">
        <f>HYPERLINK("https://us2.cloudbeds.com/connect/10074733072513#/reservations/31719547437294?display=MX8RVJFAN&amp;reservation_id=31719547437294", "MX8RVJFAN")</f>
        <v>MX8RVJFAN</v>
      </c>
      <c r="B12702" t="s">
        <v>10</v>
      </c>
      <c r="C12702" t="s">
        <v>42</v>
      </c>
      <c r="D12702" t="str">
        <f>HYPERLINK("https://us2.cloudbeds.com/connect/10074733072513#/reservations/31719547437294?display=Randy%20Lamer&amp;reservation_id=31719547437294&amp;guest_id=31719547437278", "Randy Lamer")</f>
        <v>Randy Lamer</v>
      </c>
      <c r="E12702" t="s">
        <v>12123</v>
      </c>
      <c r="F12702" t="s">
        <v>9926</v>
      </c>
      <c r="G12702">
        <v>298</v>
      </c>
      <c r="H12702">
        <v>323.94</v>
      </c>
      <c r="I12702">
        <v>323.93</v>
      </c>
      <c r="J12702">
        <v>0.01</v>
      </c>
    </row>
    <row r="12703" spans="1:10" x14ac:dyDescent="0.3">
      <c r="A12703" t="str">
        <f>HYPERLINK("https://us2.cloudbeds.com/connect/10074733072513#/reservations/31719061696687?display=MX8FX00HC&amp;reservation_id=31719061696687", "MX8FX00HC")</f>
        <v>MX8FX00HC</v>
      </c>
      <c r="B12703" t="s">
        <v>10</v>
      </c>
      <c r="C12703" t="s">
        <v>42</v>
      </c>
      <c r="D12703" t="str">
        <f>HYPERLINK("https://us2.cloudbeds.com/connect/10074733072513#/reservations/31719061696687?display=Jeremy%20Deboer&amp;reservation_id=31719061696687&amp;guest_id=31719061696685", "Jeremy Deboer")</f>
        <v>Jeremy Deboer</v>
      </c>
      <c r="E12703" t="s">
        <v>12124</v>
      </c>
      <c r="F12703" t="s">
        <v>11815</v>
      </c>
      <c r="G12703">
        <v>169</v>
      </c>
      <c r="H12703">
        <v>183.71</v>
      </c>
      <c r="I12703">
        <v>183.7</v>
      </c>
      <c r="J12703">
        <v>0.01</v>
      </c>
    </row>
    <row r="12704" spans="1:10" x14ac:dyDescent="0.3">
      <c r="A12704" t="str">
        <f>HYPERLINK("https://us2.cloudbeds.com/connect/10074733072513#/reservations/31719044923545?display=MX8F3S96B&amp;reservation_id=31719044923545", "MX8F3S96B")</f>
        <v>MX8F3S96B</v>
      </c>
      <c r="B12704" t="s">
        <v>10</v>
      </c>
      <c r="C12704" t="s">
        <v>42</v>
      </c>
      <c r="D12704" t="str">
        <f>HYPERLINK("https://us2.cloudbeds.com/connect/10074733072513#/reservations/31719044923545?display=Mary%20Allen%20Merges&amp;reservation_id=31719044923545&amp;guest_id=31719044923541", "Mary Allen Merges")</f>
        <v>Mary Allen Merges</v>
      </c>
      <c r="E12704" t="s">
        <v>12125</v>
      </c>
      <c r="F12704" t="s">
        <v>11815</v>
      </c>
      <c r="G12704">
        <v>139</v>
      </c>
      <c r="H12704">
        <v>151.1</v>
      </c>
      <c r="I12704">
        <v>151.09</v>
      </c>
      <c r="J12704">
        <v>0.01</v>
      </c>
    </row>
    <row r="12705" spans="1:10" x14ac:dyDescent="0.3">
      <c r="A12705" t="str">
        <f>HYPERLINK("https://us2.cloudbeds.com/connect/10074733072513#/reservations/31719030046954?display=MX8EZAADX&amp;reservation_id=31719030046954", "MX8EZAADX")</f>
        <v>MX8EZAADX</v>
      </c>
      <c r="B12705" t="s">
        <v>10</v>
      </c>
      <c r="C12705" t="s">
        <v>23</v>
      </c>
      <c r="D12705" t="str">
        <f>HYPERLINK("https://us2.cloudbeds.com/connect/10074733072513#/reservations/31719030046954?display=Shawna%20Hanson&amp;reservation_id=31719030046954&amp;guest_id=31719020310672", "Shawna Hanson")</f>
        <v>Shawna Hanson</v>
      </c>
      <c r="E12705" t="s">
        <v>12126</v>
      </c>
      <c r="F12705" t="s">
        <v>11815</v>
      </c>
      <c r="G12705">
        <v>149</v>
      </c>
      <c r="H12705">
        <v>161.97</v>
      </c>
      <c r="I12705">
        <v>161.96</v>
      </c>
      <c r="J12705">
        <v>0.01</v>
      </c>
    </row>
    <row r="12706" spans="1:10" x14ac:dyDescent="0.3">
      <c r="A12706" t="str">
        <f>HYPERLINK("https://us2.cloudbeds.com/connect/10074733072513#/reservations/31716639047899?display=MX6JY57WZ&amp;reservation_id=31716639047899", "MX6JY57WZ")</f>
        <v>MX6JY57WZ</v>
      </c>
      <c r="B12706" t="s">
        <v>10</v>
      </c>
      <c r="C12706" t="s">
        <v>42</v>
      </c>
      <c r="D12706" t="str">
        <f>HYPERLINK("https://us2.cloudbeds.com/connect/10074733072513#/reservations/31716639047899?display=Seth%20Kieffer&amp;reservation_id=31716639047899&amp;guest_id=31715182837906", "Seth Kieffer")</f>
        <v>Seth Kieffer</v>
      </c>
      <c r="E12706" t="s">
        <v>12127</v>
      </c>
      <c r="F12706" t="s">
        <v>12068</v>
      </c>
      <c r="G12706">
        <v>73</v>
      </c>
      <c r="H12706">
        <v>79.36</v>
      </c>
      <c r="I12706">
        <v>79.349999999999994</v>
      </c>
      <c r="J12706">
        <v>0.01</v>
      </c>
    </row>
    <row r="12707" spans="1:10" x14ac:dyDescent="0.3">
      <c r="A12707" t="str">
        <f>HYPERLINK("https://us2.cloudbeds.com/connect/10074733072513#/reservations/31716620599522?display=MX6J5JTB0&amp;reservation_id=31716620599522", "MX6J5JTB0")</f>
        <v>MX6J5JTB0</v>
      </c>
      <c r="B12707" t="s">
        <v>10</v>
      </c>
      <c r="C12707" t="s">
        <v>121</v>
      </c>
      <c r="D12707" t="str">
        <f>HYPERLINK("https://us2.cloudbeds.com/connect/10074733072513#/reservations/31716620599522?display=Lee%20Moir&amp;reservation_id=31716620599522&amp;guest_id=31715176562942", "Lee Moir")</f>
        <v>Lee Moir</v>
      </c>
      <c r="E12707" t="s">
        <v>12128</v>
      </c>
      <c r="F12707" t="s">
        <v>12068</v>
      </c>
      <c r="G12707">
        <v>109</v>
      </c>
      <c r="H12707">
        <v>118.49</v>
      </c>
      <c r="I12707">
        <v>118.48</v>
      </c>
      <c r="J12707">
        <v>0.01</v>
      </c>
    </row>
    <row r="12708" spans="1:10" x14ac:dyDescent="0.3">
      <c r="A12708" t="str">
        <f>HYPERLINK("https://us2.cloudbeds.com/connect/10074733072513#/reservations/31714542215354?display=MX4W21PUJ&amp;reservation_id=31714542215354", "MX4W21PUJ")</f>
        <v>MX4W21PUJ</v>
      </c>
      <c r="B12708" t="s">
        <v>10</v>
      </c>
      <c r="C12708" t="s">
        <v>23</v>
      </c>
      <c r="D12708" t="str">
        <f>HYPERLINK("https://us2.cloudbeds.com/connect/10074733072513#/reservations/31714542215354?display=Angie%20Troske&amp;reservation_id=31714542215354&amp;guest_id=31714542215341", "Angie Troske")</f>
        <v>Angie Troske</v>
      </c>
      <c r="E12708" t="s">
        <v>12129</v>
      </c>
      <c r="F12708" t="s">
        <v>11573</v>
      </c>
      <c r="G12708">
        <v>398</v>
      </c>
      <c r="H12708">
        <v>432.64</v>
      </c>
      <c r="I12708">
        <v>432.63</v>
      </c>
      <c r="J12708">
        <v>0.01</v>
      </c>
    </row>
    <row r="12709" spans="1:10" x14ac:dyDescent="0.3">
      <c r="A12709" t="str">
        <f>HYPERLINK("https://us2.cloudbeds.com/connect/10074733072513#/reservations/31715506249941?display=MX5NMVFFT&amp;reservation_id=31715506249941", "MX5NMVFFT")</f>
        <v>MX5NMVFFT</v>
      </c>
      <c r="B12709" t="s">
        <v>10</v>
      </c>
      <c r="C12709" t="s">
        <v>23</v>
      </c>
      <c r="D12709" t="str">
        <f>HYPERLINK("https://us2.cloudbeds.com/connect/10074733072513#/reservations/31715506249941?display=Michael%20Wilson&amp;reservation_id=31715506249941&amp;guest_id=31715506249924", "Michael Wilson")</f>
        <v>Michael Wilson</v>
      </c>
      <c r="E12709" t="s">
        <v>12130</v>
      </c>
      <c r="F12709" t="s">
        <v>10695</v>
      </c>
      <c r="G12709">
        <v>149</v>
      </c>
      <c r="H12709">
        <v>161.97</v>
      </c>
      <c r="I12709">
        <v>161.96</v>
      </c>
      <c r="J12709">
        <v>0.01</v>
      </c>
    </row>
    <row r="12710" spans="1:10" x14ac:dyDescent="0.3">
      <c r="A12710" t="str">
        <f>HYPERLINK("https://us2.cloudbeds.com/connect/10074733072513#/reservations/31715945611438?display=MX61UEBXY&amp;reservation_id=31715945611438", "MX61UEBXY")</f>
        <v>MX61UEBXY</v>
      </c>
      <c r="B12710" t="s">
        <v>10</v>
      </c>
      <c r="C12710" t="s">
        <v>23</v>
      </c>
      <c r="D12710" t="str">
        <f>HYPERLINK("https://us2.cloudbeds.com/connect/10074733072513#/reservations/31715945611438?display=Sheri%20Shockman&amp;reservation_id=31715945611438&amp;guest_id=31715945611420", "Sheri Shockman")</f>
        <v>Sheri Shockman</v>
      </c>
      <c r="E12710" t="s">
        <v>12132</v>
      </c>
      <c r="F12710" t="s">
        <v>9926</v>
      </c>
      <c r="G12710">
        <v>159</v>
      </c>
      <c r="H12710">
        <v>172.84</v>
      </c>
      <c r="I12710">
        <v>172.83</v>
      </c>
      <c r="J12710">
        <v>0.01</v>
      </c>
    </row>
    <row r="12711" spans="1:10" x14ac:dyDescent="0.3">
      <c r="A12711" t="str">
        <f>HYPERLINK("https://us2.cloudbeds.com/connect/10074733072513#/reservations/31717043155138?display=MX6TVU40Y&amp;reservation_id=31717043155138", "MX6TVU40Y")</f>
        <v>MX6TVU40Y</v>
      </c>
      <c r="B12711" t="s">
        <v>10</v>
      </c>
      <c r="C12711" t="s">
        <v>23</v>
      </c>
      <c r="D12711" t="str">
        <f>HYPERLINK("https://us2.cloudbeds.com/connect/10074733072513#/reservations/31717043155138?display=Rachelle%20Berthelette&amp;reservation_id=31717043155138&amp;guest_id=31717034287274", "Rachelle Berthelette")</f>
        <v>Rachelle Berthelette</v>
      </c>
      <c r="E12711" t="s">
        <v>12133</v>
      </c>
      <c r="F12711" t="s">
        <v>11771</v>
      </c>
      <c r="G12711">
        <v>109</v>
      </c>
      <c r="H12711">
        <v>118.49</v>
      </c>
      <c r="I12711">
        <v>118.48</v>
      </c>
      <c r="J12711">
        <v>0.01</v>
      </c>
    </row>
    <row r="12712" spans="1:10" x14ac:dyDescent="0.3">
      <c r="A12712" t="str">
        <f>HYPERLINK("https://us2.cloudbeds.com/connect/10074733072513#/reservations/31716428066953?display=MX6E88CZZ&amp;reservation_id=31716428066953", "MX6E88CZZ")</f>
        <v>MX6E88CZZ</v>
      </c>
      <c r="B12712" t="s">
        <v>10</v>
      </c>
      <c r="C12712" t="s">
        <v>42</v>
      </c>
      <c r="D12712" t="str">
        <f>HYPERLINK("https://us2.cloudbeds.com/connect/10074733072513#/reservations/31716428066953?display=Erika%20Lagoon&amp;reservation_id=31716428066953&amp;guest_id=31716428066947", "Erika Lagoon")</f>
        <v>Erika Lagoon</v>
      </c>
      <c r="E12712" t="s">
        <v>12134</v>
      </c>
      <c r="F12712" t="s">
        <v>12014</v>
      </c>
      <c r="G12712">
        <v>109</v>
      </c>
      <c r="H12712">
        <v>118.49</v>
      </c>
      <c r="I12712">
        <v>118.48</v>
      </c>
      <c r="J12712">
        <v>0.01</v>
      </c>
    </row>
    <row r="12713" spans="1:10" x14ac:dyDescent="0.3">
      <c r="A12713" t="str">
        <f>HYPERLINK("https://us2.cloudbeds.com/connect/10074733072513#/reservations/31717325078770?display=MX745Y220&amp;reservation_id=31717325078770", "MX745Y220")</f>
        <v>MX745Y220</v>
      </c>
      <c r="B12713" t="s">
        <v>10</v>
      </c>
      <c r="C12713" t="s">
        <v>23</v>
      </c>
      <c r="D12713" t="str">
        <f>HYPERLINK("https://us2.cloudbeds.com/connect/10074733072513#/reservations/31717325078770?display=Roland%20Dyck&amp;reservation_id=31717325078770&amp;guest_id=31717311459480", "Roland Dyck")</f>
        <v>Roland Dyck</v>
      </c>
      <c r="E12713" t="s">
        <v>12135</v>
      </c>
      <c r="F12713" t="s">
        <v>11928</v>
      </c>
      <c r="G12713">
        <v>109</v>
      </c>
      <c r="H12713">
        <v>118.49</v>
      </c>
      <c r="I12713">
        <v>118.48</v>
      </c>
      <c r="J12713">
        <v>0.01</v>
      </c>
    </row>
    <row r="12714" spans="1:10" x14ac:dyDescent="0.3">
      <c r="A12714" t="str">
        <f>HYPERLINK("https://us2.cloudbeds.com/connect/10074733072513#/reservations/31711323410577?display=MX2FQSQAT&amp;reservation_id=31711323410577", "MX2FQSQAT")</f>
        <v>MX2FQSQAT</v>
      </c>
      <c r="B12714" t="s">
        <v>10</v>
      </c>
      <c r="C12714" t="s">
        <v>42</v>
      </c>
      <c r="D12714" t="str">
        <f>HYPERLINK("https://us2.cloudbeds.com/connect/10074733072513#/reservations/31711323410577?display=Lana%20Loken&amp;reservation_id=31711323410577&amp;guest_id=31711323410575", "Lana Loken")</f>
        <v>Lana Loken</v>
      </c>
      <c r="E12714" t="s">
        <v>12136</v>
      </c>
      <c r="F12714" t="s">
        <v>12137</v>
      </c>
      <c r="G12714">
        <v>318</v>
      </c>
      <c r="H12714">
        <v>345.68</v>
      </c>
      <c r="I12714">
        <v>345.67</v>
      </c>
      <c r="J12714">
        <v>0.01</v>
      </c>
    </row>
    <row r="12715" spans="1:10" x14ac:dyDescent="0.3">
      <c r="A12715" t="str">
        <f>HYPERLINK("https://us2.cloudbeds.com/connect/10074733072513#/reservations/31716008534238?display=MX63HG8U4&amp;reservation_id=31716008534238", "MX63HG8U4")</f>
        <v>MX63HG8U4</v>
      </c>
      <c r="B12715" t="s">
        <v>10</v>
      </c>
      <c r="C12715" t="s">
        <v>23</v>
      </c>
      <c r="D12715" t="str">
        <f>HYPERLINK("https://us2.cloudbeds.com/connect/10074733072513#/reservations/31716008534238?display=Ryan%20Baumgart&amp;reservation_id=31716008534238&amp;guest_id=31716008530139", "Ryan Baumgart")</f>
        <v>Ryan Baumgart</v>
      </c>
      <c r="E12715" t="s">
        <v>12139</v>
      </c>
      <c r="F12715" t="s">
        <v>11748</v>
      </c>
      <c r="G12715">
        <v>102.58</v>
      </c>
      <c r="H12715">
        <v>111.51</v>
      </c>
      <c r="I12715">
        <v>111.5</v>
      </c>
      <c r="J12715">
        <v>0.01</v>
      </c>
    </row>
    <row r="12716" spans="1:10" x14ac:dyDescent="0.3">
      <c r="A12716" t="str">
        <f>HYPERLINK("https://us2.cloudbeds.com/connect/10074733072513#/reservations/31714387787905?display=MX4S3RK8U&amp;reservation_id=31714387787905", "MX4S3RK8U")</f>
        <v>MX4S3RK8U</v>
      </c>
      <c r="B12716" t="s">
        <v>10</v>
      </c>
      <c r="C12716" t="s">
        <v>23</v>
      </c>
      <c r="D12716" t="str">
        <f>HYPERLINK("https://us2.cloudbeds.com/connect/10074733072513#/reservations/31714387787905?display=Brenda%20Albers&amp;reservation_id=31714387787905&amp;guest_id=31714374922408", "Brenda Albers")</f>
        <v>Brenda Albers</v>
      </c>
      <c r="E12716" t="s">
        <v>12140</v>
      </c>
      <c r="F12716" t="s">
        <v>12141</v>
      </c>
      <c r="G12716">
        <v>119</v>
      </c>
      <c r="H12716">
        <v>129.36000000000001</v>
      </c>
      <c r="I12716">
        <v>129.35</v>
      </c>
      <c r="J12716">
        <v>0.01</v>
      </c>
    </row>
    <row r="12717" spans="1:10" x14ac:dyDescent="0.3">
      <c r="A12717" t="str">
        <f>HYPERLINK("https://us2.cloudbeds.com/connect/10074733072513#/reservations/31716858159345?display=MX6P7UB8H&amp;reservation_id=31716858159345", "MX6P7UB8H")</f>
        <v>MX6P7UB8H</v>
      </c>
      <c r="B12717" t="s">
        <v>10</v>
      </c>
      <c r="C12717" t="s">
        <v>42</v>
      </c>
      <c r="D12717" t="str">
        <f>HYPERLINK("https://us2.cloudbeds.com/connect/10074733072513#/reservations/31716858159345?display=Cyro%20New%20Age&amp;reservation_id=31716858159345&amp;guest_id=31716858159342", "Cyro New Age")</f>
        <v>Cyro New Age</v>
      </c>
      <c r="E12717" t="s">
        <v>3038</v>
      </c>
      <c r="F12717" t="s">
        <v>12014</v>
      </c>
      <c r="G12717">
        <v>336</v>
      </c>
      <c r="H12717">
        <v>365.24</v>
      </c>
      <c r="I12717">
        <v>365.23</v>
      </c>
      <c r="J12717">
        <v>0.01</v>
      </c>
    </row>
    <row r="12718" spans="1:10" x14ac:dyDescent="0.3">
      <c r="A12718" t="str">
        <f>HYPERLINK("https://us2.cloudbeds.com/connect/10074733072513#/reservations/31717618233536?display=MX7BYRDYJ&amp;reservation_id=31717618233536", "MX7BYRDYJ")</f>
        <v>MX7BYRDYJ</v>
      </c>
      <c r="B12718" t="s">
        <v>10</v>
      </c>
      <c r="C12718" t="s">
        <v>42</v>
      </c>
      <c r="D12718" t="str">
        <f>HYPERLINK("https://us2.cloudbeds.com/connect/10074733072513#/reservations/31717618233536?display=Terry%20Munson&amp;reservation_id=31717618233536&amp;guest_id=31717618229499", "Terry Munson")</f>
        <v>Terry Munson</v>
      </c>
      <c r="E12718" t="s">
        <v>12142</v>
      </c>
      <c r="F12718" t="s">
        <v>12119</v>
      </c>
      <c r="G12718">
        <v>109</v>
      </c>
      <c r="H12718">
        <v>118.49</v>
      </c>
      <c r="I12718">
        <v>118.48</v>
      </c>
      <c r="J12718">
        <v>0.01</v>
      </c>
    </row>
    <row r="12719" spans="1:10" x14ac:dyDescent="0.3">
      <c r="A12719" t="str">
        <f>HYPERLINK("https://us2.cloudbeds.com/connect/10074733072513#/reservations/31716490440853?display=MX6FRS11U&amp;reservation_id=31716490440853", "MX6FRS11U")</f>
        <v>MX6FRS11U</v>
      </c>
      <c r="B12719" t="s">
        <v>10</v>
      </c>
      <c r="C12719" t="s">
        <v>42</v>
      </c>
      <c r="D12719" t="str">
        <f>HYPERLINK("https://us2.cloudbeds.com/connect/10074733072513#/reservations/31716490440853?display=Brianna%20Kolb&amp;reservation_id=31716490440853&amp;guest_id=31716480225534", "Brianna Kolb")</f>
        <v>Brianna Kolb</v>
      </c>
      <c r="E12719" t="s">
        <v>12143</v>
      </c>
      <c r="F12719" t="s">
        <v>12144</v>
      </c>
      <c r="G12719">
        <v>218</v>
      </c>
      <c r="H12719">
        <v>236.98</v>
      </c>
      <c r="I12719">
        <v>236.97</v>
      </c>
      <c r="J12719">
        <v>0.01</v>
      </c>
    </row>
    <row r="12720" spans="1:10" x14ac:dyDescent="0.3">
      <c r="A12720" t="str">
        <f>HYPERLINK("https://us2.cloudbeds.com/connect/10074733072513#/reservations/31714480787698?display=MX4UG8FHF&amp;reservation_id=31714480787698", "MX4UG8FHF")</f>
        <v>MX4UG8FHF</v>
      </c>
      <c r="B12720" t="s">
        <v>10</v>
      </c>
      <c r="C12720" t="s">
        <v>42</v>
      </c>
      <c r="D12720" t="str">
        <f>HYPERLINK("https://us2.cloudbeds.com/connect/10074733072513#/reservations/31714480787698?display=Sara%20Stensaas&amp;reservation_id=31714480787698&amp;guest_id=31714480787681", "Sara Stensaas")</f>
        <v>Sara Stensaas</v>
      </c>
      <c r="E12720" t="s">
        <v>12145</v>
      </c>
      <c r="F12720" t="s">
        <v>10449</v>
      </c>
      <c r="G12720">
        <v>159</v>
      </c>
      <c r="H12720">
        <v>172.84</v>
      </c>
      <c r="I12720">
        <v>172.83</v>
      </c>
      <c r="J12720">
        <v>0.01</v>
      </c>
    </row>
    <row r="12721" spans="1:10" x14ac:dyDescent="0.3">
      <c r="A12721" t="str">
        <f>HYPERLINK("https://us2.cloudbeds.com/connect/10074733072513#/reservations/31714765041793?display=MX54ZV8XU&amp;reservation_id=31714765041793", "MX54ZV8XU")</f>
        <v>MX54ZV8XU</v>
      </c>
      <c r="B12721" t="s">
        <v>10</v>
      </c>
      <c r="C12721" t="s">
        <v>42</v>
      </c>
      <c r="D12721" t="str">
        <f>HYPERLINK("https://us2.cloudbeds.com/connect/10074733072513#/reservations/31714765041793?display=Claire%20Dietz&amp;reservation_id=31714765041793&amp;guest_id=31714765037746", "Claire Dietz")</f>
        <v>Claire Dietz</v>
      </c>
      <c r="E12721" t="s">
        <v>12147</v>
      </c>
      <c r="F12721" t="s">
        <v>10750</v>
      </c>
      <c r="G12721">
        <v>169</v>
      </c>
      <c r="H12721">
        <v>183.71</v>
      </c>
      <c r="I12721">
        <v>183.7</v>
      </c>
      <c r="J12721">
        <v>0.01</v>
      </c>
    </row>
    <row r="12722" spans="1:10" x14ac:dyDescent="0.3">
      <c r="A12722" t="str">
        <f>HYPERLINK("https://us2.cloudbeds.com/connect/10074733072513#/reservations/31717024559249?display=MX6TG7YTS&amp;reservation_id=31717024559249", "MX6TG7YTS")</f>
        <v>MX6TG7YTS</v>
      </c>
      <c r="B12722" t="s">
        <v>10</v>
      </c>
      <c r="C12722" t="s">
        <v>42</v>
      </c>
      <c r="D12722" t="str">
        <f>HYPERLINK("https://us2.cloudbeds.com/connect/10074733072513#/reservations/31717024559249?display=Daryl%20Petrzilka&amp;reservation_id=31717024559249&amp;guest_id=31717024559247", "Daryl Petrzilka")</f>
        <v>Daryl Petrzilka</v>
      </c>
      <c r="E12722" t="s">
        <v>12148</v>
      </c>
      <c r="F12722" t="s">
        <v>12119</v>
      </c>
      <c r="G12722">
        <v>89</v>
      </c>
      <c r="H12722">
        <v>96.75</v>
      </c>
      <c r="I12722">
        <v>96.74</v>
      </c>
      <c r="J12722">
        <v>0.01</v>
      </c>
    </row>
    <row r="12723" spans="1:10" x14ac:dyDescent="0.3">
      <c r="A12723" t="str">
        <f>HYPERLINK("https://us2.cloudbeds.com/connect/10074733072513#/reservations/31716094836871?display=MX65Z8PBF&amp;reservation_id=31716094836871", "MX65Z8PBF")</f>
        <v>MX65Z8PBF</v>
      </c>
      <c r="B12723" t="s">
        <v>10</v>
      </c>
      <c r="C12723" t="s">
        <v>42</v>
      </c>
      <c r="D12723" t="str">
        <f>HYPERLINK("https://us2.cloudbeds.com/connect/10074733072513#/reservations/31716094836871?display=Joyce%20Bolin&amp;reservation_id=31716094836871&amp;guest_id=31716094832769", "Joyce Bolin")</f>
        <v>Joyce Bolin</v>
      </c>
      <c r="E12723" t="s">
        <v>12149</v>
      </c>
      <c r="F12723" t="s">
        <v>11748</v>
      </c>
      <c r="G12723">
        <v>358</v>
      </c>
      <c r="H12723">
        <v>389.16</v>
      </c>
      <c r="I12723">
        <v>389.15</v>
      </c>
      <c r="J12723">
        <v>0.01</v>
      </c>
    </row>
    <row r="12724" spans="1:10" x14ac:dyDescent="0.3">
      <c r="A12724" t="str">
        <f>HYPERLINK("https://us2.cloudbeds.com/connect/10074733072513#/reservations/31718011838600?display=MX7YNZ5GV&amp;reservation_id=31718011838600", "MX7YNZ5GV")</f>
        <v>MX7YNZ5GV</v>
      </c>
      <c r="B12724" t="s">
        <v>10</v>
      </c>
      <c r="C12724" t="s">
        <v>42</v>
      </c>
      <c r="D12724" t="str">
        <f>HYPERLINK("https://us2.cloudbeds.com/connect/10074733072513#/reservations/31718011838600?display=Karen%20Jamison&amp;reservation_id=31718011838600&amp;guest_id=31718011838596", "Karen Jamison")</f>
        <v>Karen Jamison</v>
      </c>
      <c r="E12724" t="s">
        <v>12151</v>
      </c>
      <c r="F12724" t="s">
        <v>11573</v>
      </c>
      <c r="G12724">
        <v>278</v>
      </c>
      <c r="H12724">
        <v>302.2</v>
      </c>
      <c r="I12724">
        <v>302.19</v>
      </c>
      <c r="J12724">
        <v>0.01</v>
      </c>
    </row>
    <row r="12725" spans="1:10" x14ac:dyDescent="0.3">
      <c r="A12725" t="str">
        <f>HYPERLINK("https://us2.cloudbeds.com/connect/10074733072513#/reservations/31717573296282?display=MX7AGV2YQ&amp;reservation_id=31717573296282", "MX7AGV2YQ")</f>
        <v>MX7AGV2YQ</v>
      </c>
      <c r="B12725" t="s">
        <v>10</v>
      </c>
      <c r="C12725" t="s">
        <v>42</v>
      </c>
      <c r="D12725" t="str">
        <f>HYPERLINK("https://us2.cloudbeds.com/connect/10074733072513#/reservations/31717573296282?display=Colton%20Jungjohan&amp;reservation_id=31717573296282&amp;guest_id=31692468879562", "Colton Jungjohan")</f>
        <v>Colton Jungjohan</v>
      </c>
      <c r="E12725" t="s">
        <v>8246</v>
      </c>
      <c r="F12725" t="s">
        <v>12144</v>
      </c>
      <c r="G12725">
        <v>73</v>
      </c>
      <c r="H12725">
        <v>79.36</v>
      </c>
      <c r="I12725">
        <v>79.349999999999994</v>
      </c>
      <c r="J12725">
        <v>0.01</v>
      </c>
    </row>
    <row r="12726" spans="1:10" x14ac:dyDescent="0.3">
      <c r="A12726" t="str">
        <f>HYPERLINK("https://us2.cloudbeds.com/connect/10074733072513#/reservations/31715065417868?display=MX5CE7M06&amp;reservation_id=31715065417868", "MX5CE7M06")</f>
        <v>MX5CE7M06</v>
      </c>
      <c r="B12726" t="s">
        <v>10</v>
      </c>
      <c r="C12726" t="s">
        <v>23</v>
      </c>
      <c r="D12726" t="str">
        <f>HYPERLINK("https://us2.cloudbeds.com/connect/10074733072513#/reservations/31715065417868?display=Theresa%20Koran&amp;reservation_id=31715065417868&amp;guest_id=31715065417865", "Theresa Koran")</f>
        <v>Theresa Koran</v>
      </c>
      <c r="E12726" t="s">
        <v>12152</v>
      </c>
      <c r="F12726" t="s">
        <v>11027</v>
      </c>
      <c r="G12726">
        <v>229</v>
      </c>
      <c r="H12726">
        <v>248.93</v>
      </c>
      <c r="I12726">
        <v>248.92</v>
      </c>
      <c r="J12726">
        <v>0.01</v>
      </c>
    </row>
    <row r="12727" spans="1:10" x14ac:dyDescent="0.3">
      <c r="A12727" t="str">
        <f>HYPERLINK("https://us2.cloudbeds.com/connect/10074733072513#/reservations/31716505350284?display=MX6G7DTWS&amp;reservation_id=31716505350284", "MX6G7DTWS")</f>
        <v>MX6G7DTWS</v>
      </c>
      <c r="B12727" t="s">
        <v>10</v>
      </c>
      <c r="C12727" t="s">
        <v>42</v>
      </c>
      <c r="D12727" t="str">
        <f>HYPERLINK("https://us2.cloudbeds.com/connect/10074733072513#/reservations/31716505350284?display=Jim%20Miller&amp;reservation_id=31716505350284&amp;guest_id=31716505346190", "Jim Miller")</f>
        <v>Jim Miller</v>
      </c>
      <c r="E12727" t="s">
        <v>12153</v>
      </c>
      <c r="F12727" t="s">
        <v>12144</v>
      </c>
      <c r="G12727">
        <v>238</v>
      </c>
      <c r="H12727">
        <v>258.72000000000003</v>
      </c>
      <c r="I12727">
        <v>258.70999999999998</v>
      </c>
      <c r="J12727">
        <v>0.01</v>
      </c>
    </row>
    <row r="12728" spans="1:10" x14ac:dyDescent="0.3">
      <c r="A12728" t="str">
        <f>HYPERLINK("https://us2.cloudbeds.com/connect/10074733072513#/reservations/31717357400265?display=MX74WTF18&amp;reservation_id=31717357400265", "MX74WTF18")</f>
        <v>MX74WTF18</v>
      </c>
      <c r="B12728" t="s">
        <v>10</v>
      </c>
      <c r="C12728" t="s">
        <v>23</v>
      </c>
      <c r="D12728" t="str">
        <f>HYPERLINK("https://us2.cloudbeds.com/connect/10074733072513#/reservations/31717357400265?display=Lubin%20Blay&amp;reservation_id=31717357400265&amp;guest_id=31717350097074", "Lubin Blay")</f>
        <v>Lubin Blay</v>
      </c>
      <c r="E12728" t="s">
        <v>12154</v>
      </c>
      <c r="F12728" t="s">
        <v>11928</v>
      </c>
      <c r="G12728">
        <v>218</v>
      </c>
      <c r="H12728">
        <v>236.98</v>
      </c>
      <c r="I12728">
        <v>236.97</v>
      </c>
      <c r="J12728">
        <v>0.01</v>
      </c>
    </row>
    <row r="12729" spans="1:10" x14ac:dyDescent="0.3">
      <c r="A12729" t="str">
        <f>HYPERLINK("https://us2.cloudbeds.com/connect/10074733072513#/reservations/31716380545261?display=MX6D160RF&amp;reservation_id=31716380545261", "MX6D160RF")</f>
        <v>MX6D160RF</v>
      </c>
      <c r="B12729" t="s">
        <v>10</v>
      </c>
      <c r="C12729" t="s">
        <v>23</v>
      </c>
      <c r="D12729" t="str">
        <f>HYPERLINK("https://us2.cloudbeds.com/connect/10074733072513#/reservations/31716380545261?display=Lori%20Reimers&amp;reservation_id=31716380545261&amp;guest_id=31716380545257", "Lori Reimers")</f>
        <v>Lori Reimers</v>
      </c>
      <c r="E12729" t="s">
        <v>12156</v>
      </c>
      <c r="F12729" t="s">
        <v>11573</v>
      </c>
      <c r="G12729">
        <v>378</v>
      </c>
      <c r="H12729">
        <v>410.9</v>
      </c>
      <c r="I12729">
        <v>410.89</v>
      </c>
      <c r="J12729">
        <v>0.01</v>
      </c>
    </row>
    <row r="12730" spans="1:10" x14ac:dyDescent="0.3">
      <c r="A12730" t="str">
        <f>HYPERLINK("https://us2.cloudbeds.com/connect/10074733072513#/reservations/31717652791455?display=MX7CHW4WD&amp;reservation_id=31717652791455", "MX7CHW4WD")</f>
        <v>MX7CHW4WD</v>
      </c>
      <c r="B12730" t="s">
        <v>10</v>
      </c>
      <c r="C12730" t="s">
        <v>42</v>
      </c>
      <c r="D12730" t="str">
        <f>HYPERLINK("https://us2.cloudbeds.com/connect/10074733072513#/reservations/31717652791455?display=Adam%20Hull&amp;reservation_id=31717652791455&amp;guest_id=31702235377882", "Adam Hull")</f>
        <v>Adam Hull</v>
      </c>
      <c r="E12730" t="s">
        <v>6474</v>
      </c>
      <c r="F12730" t="s">
        <v>12119</v>
      </c>
      <c r="G12730">
        <v>73</v>
      </c>
      <c r="H12730">
        <v>79.36</v>
      </c>
      <c r="I12730">
        <v>79.349999999999994</v>
      </c>
      <c r="J12730">
        <v>0.01</v>
      </c>
    </row>
    <row r="12731" spans="1:10" x14ac:dyDescent="0.3">
      <c r="A12731" t="str">
        <f>HYPERLINK("https://us2.cloudbeds.com/connect/10074733072513#/reservations/31717643264205?display=MX7C9V1BT&amp;reservation_id=31717643264205", "MX7C9V1BT")</f>
        <v>MX7C9V1BT</v>
      </c>
      <c r="B12731" t="s">
        <v>10</v>
      </c>
      <c r="C12731" t="s">
        <v>42</v>
      </c>
      <c r="D12731" t="str">
        <f>HYPERLINK("https://us2.cloudbeds.com/connect/10074733072513#/reservations/31717643264205?display=Lynn%20Keiser&amp;reservation_id=31717643264205&amp;guest_id=31717637030046", "Lynn Keiser")</f>
        <v>Lynn Keiser</v>
      </c>
      <c r="E12731" t="s">
        <v>12157</v>
      </c>
      <c r="F12731" t="s">
        <v>12119</v>
      </c>
      <c r="G12731">
        <v>109</v>
      </c>
      <c r="H12731">
        <v>118.49</v>
      </c>
      <c r="I12731">
        <v>118.48</v>
      </c>
      <c r="J12731">
        <v>0.01</v>
      </c>
    </row>
    <row r="12732" spans="1:10" x14ac:dyDescent="0.3">
      <c r="A12732" t="str">
        <f>HYPERLINK("https://us2.cloudbeds.com/connect/10074733072513#/reservations/31713855975634?display=MX4EHD52X&amp;reservation_id=31713855975634", "MX4EHD52X")</f>
        <v>MX4EHD52X</v>
      </c>
      <c r="B12732" t="s">
        <v>10</v>
      </c>
      <c r="C12732" t="s">
        <v>23</v>
      </c>
      <c r="D12732" t="str">
        <f>HYPERLINK("https://us2.cloudbeds.com/connect/10074733072513#/reservations/31713855975634?display=Burak%20Ozturk&amp;reservation_id=31713855975634&amp;guest_id=31713855971582", "Burak Ozturk")</f>
        <v>Burak Ozturk</v>
      </c>
      <c r="E12732" t="s">
        <v>12159</v>
      </c>
      <c r="F12732" t="s">
        <v>12014</v>
      </c>
      <c r="G12732">
        <v>205.2</v>
      </c>
      <c r="H12732">
        <v>223.06</v>
      </c>
      <c r="I12732">
        <v>223.05</v>
      </c>
      <c r="J12732">
        <v>0.01</v>
      </c>
    </row>
    <row r="12733" spans="1:10" x14ac:dyDescent="0.3">
      <c r="A12733" t="str">
        <f>HYPERLINK("https://us2.cloudbeds.com/connect/10074733072513#/reservations/31717244113040?display=MX723C2C1&amp;reservation_id=31717244113040", "MX723C2C1")</f>
        <v>MX723C2C1</v>
      </c>
      <c r="B12733" t="s">
        <v>10</v>
      </c>
      <c r="C12733" t="s">
        <v>42</v>
      </c>
      <c r="D12733" t="str">
        <f>HYPERLINK("https://us2.cloudbeds.com/connect/10074733072513#/reservations/31717244113040?display=Teresa%20Troyer&amp;reservation_id=31717244113040&amp;guest_id=31717232238830", "Teresa Troyer")</f>
        <v>Teresa Troyer</v>
      </c>
      <c r="E12733" t="s">
        <v>12160</v>
      </c>
      <c r="F12733" t="s">
        <v>11536</v>
      </c>
      <c r="G12733">
        <v>149</v>
      </c>
      <c r="H12733">
        <v>161.97</v>
      </c>
      <c r="I12733">
        <v>161.96</v>
      </c>
      <c r="J12733">
        <v>0.01</v>
      </c>
    </row>
    <row r="12734" spans="1:10" x14ac:dyDescent="0.3">
      <c r="A12734" t="str">
        <f>HYPERLINK("https://us2.cloudbeds.com/connect/10074733072513#/reservations/31717597425887?display=MX7B49H7V&amp;reservation_id=31717597425887", "MX7B49H7V")</f>
        <v>MX7B49H7V</v>
      </c>
      <c r="B12734" t="s">
        <v>10</v>
      </c>
      <c r="C12734" t="s">
        <v>42</v>
      </c>
      <c r="D12734" t="str">
        <f>HYPERLINK("https://us2.cloudbeds.com/connect/10074733072513#/reservations/31717597425887?display=Jim%20Miller&amp;reservation_id=31717597425887&amp;guest_id=31716505346190", "Jim Miller")</f>
        <v>Jim Miller</v>
      </c>
      <c r="E12734" t="s">
        <v>12153</v>
      </c>
      <c r="F12734" t="s">
        <v>12144</v>
      </c>
      <c r="G12734">
        <v>238</v>
      </c>
      <c r="H12734">
        <v>258.72000000000003</v>
      </c>
      <c r="I12734">
        <v>258.70999999999998</v>
      </c>
      <c r="J12734">
        <v>0.01</v>
      </c>
    </row>
    <row r="12735" spans="1:10" x14ac:dyDescent="0.3">
      <c r="A12735" t="str">
        <f>HYPERLINK("https://us2.cloudbeds.com/connect/10074733072513#/reservations/31716317733086?display=MX6BE7627&amp;reservation_id=31716317733086", "MX6BE7627")</f>
        <v>MX6BE7627</v>
      </c>
      <c r="B12735" t="s">
        <v>10</v>
      </c>
      <c r="C12735" t="s">
        <v>23</v>
      </c>
      <c r="D12735" t="str">
        <f>HYPERLINK("https://us2.cloudbeds.com/connect/10074733072513#/reservations/31716317733086?display=Amy%20Mechaelsen&amp;reservation_id=31716317733086&amp;guest_id=31716317733074", "Amy Mechaelsen")</f>
        <v>Amy Mechaelsen</v>
      </c>
      <c r="E12735" t="s">
        <v>12162</v>
      </c>
      <c r="F12735" t="s">
        <v>11938</v>
      </c>
      <c r="G12735">
        <v>169</v>
      </c>
      <c r="H12735">
        <v>183.71</v>
      </c>
      <c r="I12735">
        <v>183.7</v>
      </c>
      <c r="J12735">
        <v>0.01</v>
      </c>
    </row>
    <row r="12736" spans="1:10" x14ac:dyDescent="0.3">
      <c r="A12736" t="str">
        <f>HYPERLINK("https://us2.cloudbeds.com/connect/10074733072513#/reservations/31716302319841?display=MX6B179G6&amp;reservation_id=31716302319841", "MX6B179G6")</f>
        <v>MX6B179G6</v>
      </c>
      <c r="B12736" t="s">
        <v>10</v>
      </c>
      <c r="C12736" t="s">
        <v>23</v>
      </c>
      <c r="D12736" t="str">
        <f>HYPERLINK("https://us2.cloudbeds.com/connect/10074733072513#/reservations/31716302319841?display=Steve%20Legrand&amp;reservation_id=31716302319841&amp;guest_id=31716302315757", "Steve Legrand")</f>
        <v>Steve Legrand</v>
      </c>
      <c r="E12736" t="s">
        <v>12163</v>
      </c>
      <c r="F12736" t="s">
        <v>11863</v>
      </c>
      <c r="G12736">
        <v>109</v>
      </c>
      <c r="H12736">
        <v>118.49</v>
      </c>
      <c r="I12736">
        <v>118.48</v>
      </c>
      <c r="J12736">
        <v>0.01</v>
      </c>
    </row>
    <row r="12737" spans="1:10" x14ac:dyDescent="0.3">
      <c r="A12737" t="str">
        <f>HYPERLINK("https://us2.cloudbeds.com/connect/10074733072513#/reservations/31720106057966?display=MX997KTVS&amp;reservation_id=31720106057966", "MX997KTVS")</f>
        <v>MX997KTVS</v>
      </c>
      <c r="B12737" t="s">
        <v>10</v>
      </c>
      <c r="C12737" t="s">
        <v>23</v>
      </c>
      <c r="D12737" t="str">
        <f>HYPERLINK("https://us2.cloudbeds.com/connect/10074733072513#/reservations/31720106057966?display=Debra%20Weidner&amp;reservation_id=31720106057966&amp;guest_id=31720106057923", "Debra Weidner")</f>
        <v>Debra Weidner</v>
      </c>
      <c r="E12737" t="s">
        <v>12164</v>
      </c>
      <c r="F12737" t="s">
        <v>12165</v>
      </c>
      <c r="G12737">
        <v>87.82</v>
      </c>
      <c r="H12737">
        <v>95.47</v>
      </c>
      <c r="I12737">
        <v>95.46</v>
      </c>
      <c r="J12737">
        <v>0.01</v>
      </c>
    </row>
    <row r="12738" spans="1:10" x14ac:dyDescent="0.3">
      <c r="A12738" t="str">
        <f>HYPERLINK("https://us2.cloudbeds.com/connect/10074733072513#/reservations/31716461932747?display=MX6F3QZQU&amp;reservation_id=31716461932747", "MX6F3QZQU")</f>
        <v>MX6F3QZQU</v>
      </c>
      <c r="B12738" t="s">
        <v>10</v>
      </c>
      <c r="C12738" t="s">
        <v>23</v>
      </c>
      <c r="D12738" t="str">
        <f>HYPERLINK("https://us2.cloudbeds.com/connect/10074733072513#/reservations/31716461932747?display=Chris%20Carlson&amp;reservation_id=31716461932747&amp;guest_id=17963378045072", "Chris Carlson")</f>
        <v>Chris Carlson</v>
      </c>
      <c r="E12738" t="s">
        <v>10442</v>
      </c>
      <c r="F12738" t="s">
        <v>12014</v>
      </c>
      <c r="G12738">
        <v>129</v>
      </c>
      <c r="H12738">
        <v>140.22999999999999</v>
      </c>
      <c r="I12738">
        <v>140.22</v>
      </c>
      <c r="J12738">
        <v>0.01</v>
      </c>
    </row>
    <row r="12739" spans="1:10" x14ac:dyDescent="0.3">
      <c r="A12739" t="str">
        <f>HYPERLINK("https://us2.cloudbeds.com/connect/10074733072513#/reservations/31716525535413?display=MX6GZEJFE&amp;reservation_id=31716525535413", "MX6GZEJFE")</f>
        <v>MX6GZEJFE</v>
      </c>
      <c r="B12739" t="s">
        <v>10</v>
      </c>
      <c r="C12739" t="s">
        <v>42</v>
      </c>
      <c r="D12739" t="str">
        <f>HYPERLINK("https://us2.cloudbeds.com/connect/10074733072513#/reservations/31716525535413?display=Donnie%20Shannon&amp;reservation_id=31716525535413&amp;guest_id=31716525535364", "Donnie Shannon")</f>
        <v>Donnie Shannon</v>
      </c>
      <c r="E12739" t="s">
        <v>10929</v>
      </c>
      <c r="F12739" t="s">
        <v>12144</v>
      </c>
      <c r="G12739">
        <v>73</v>
      </c>
      <c r="H12739">
        <v>79.36</v>
      </c>
      <c r="I12739">
        <v>79.349999999999994</v>
      </c>
      <c r="J12739">
        <v>0.01</v>
      </c>
    </row>
    <row r="12740" spans="1:10" x14ac:dyDescent="0.3">
      <c r="A12740" t="str">
        <f>HYPERLINK("https://us2.cloudbeds.com/connect/10074733072513#/reservations/31718223024267?display=MX7R3QNZK&amp;reservation_id=31718223024267", "MX7R3QNZK")</f>
        <v>MX7R3QNZK</v>
      </c>
      <c r="B12740" t="s">
        <v>10</v>
      </c>
      <c r="C12740" t="s">
        <v>23</v>
      </c>
      <c r="D12740" t="str">
        <f>HYPERLINK("https://us2.cloudbeds.com/connect/10074733072513#/reservations/31718223024267?display=Priscilla%20Nath&amp;reservation_id=31718223024267&amp;guest_id=31718223024264", "Priscilla Nath")</f>
        <v>Priscilla Nath</v>
      </c>
      <c r="E12740" t="s">
        <v>12168</v>
      </c>
      <c r="F12740" t="s">
        <v>12169</v>
      </c>
      <c r="G12740">
        <v>109</v>
      </c>
      <c r="H12740">
        <v>118.49</v>
      </c>
      <c r="I12740">
        <v>118.48</v>
      </c>
      <c r="J12740">
        <v>0.01</v>
      </c>
    </row>
    <row r="12741" spans="1:10" x14ac:dyDescent="0.3">
      <c r="A12741" t="str">
        <f>HYPERLINK("https://us2.cloudbeds.com/connect/10074733072513#/reservations/31701784047835?display=MHS320VUY&amp;reservation_id=31701784047835", "MHS320VUY")</f>
        <v>MHS320VUY</v>
      </c>
      <c r="B12741" t="s">
        <v>10</v>
      </c>
      <c r="C12741" t="s">
        <v>42</v>
      </c>
      <c r="D12741" t="str">
        <f>HYPERLINK("https://us2.cloudbeds.com/connect/10074733072513#/reservations/31701784047835?display=Aja%20Heitkamp&amp;reservation_id=31701784047835&amp;guest_id=31701784047831", "Aja Heitkamp")</f>
        <v>Aja Heitkamp</v>
      </c>
      <c r="E12741" t="s">
        <v>12170</v>
      </c>
      <c r="F12741" t="s">
        <v>11742</v>
      </c>
      <c r="G12741">
        <v>318</v>
      </c>
      <c r="H12741">
        <v>345.68</v>
      </c>
      <c r="I12741">
        <v>345.67</v>
      </c>
      <c r="J12741">
        <v>0.01</v>
      </c>
    </row>
    <row r="12742" spans="1:10" x14ac:dyDescent="0.3">
      <c r="A12742" t="str">
        <f>HYPERLINK("https://us2.cloudbeds.com/connect/10074733072513#/reservations/31717597429984?display=MX7B49Y03&amp;reservation_id=31717597429984", "MX7B49Y03")</f>
        <v>MX7B49Y03</v>
      </c>
      <c r="B12742" t="s">
        <v>10</v>
      </c>
      <c r="C12742" t="s">
        <v>42</v>
      </c>
      <c r="D12742" t="str">
        <f>HYPERLINK("https://us2.cloudbeds.com/connect/10074733072513#/reservations/31717597429984?display=Jonathan%20Nesladek&amp;reservation_id=31717597429984&amp;guest_id=31717597425885", "Jonathan Nesladek")</f>
        <v>Jonathan Nesladek</v>
      </c>
      <c r="E12742" t="s">
        <v>12171</v>
      </c>
      <c r="F12742" t="s">
        <v>12172</v>
      </c>
      <c r="G12742">
        <v>150</v>
      </c>
      <c r="H12742">
        <v>163.06</v>
      </c>
      <c r="I12742">
        <v>163.05000000000001</v>
      </c>
      <c r="J12742">
        <v>0.01</v>
      </c>
    </row>
    <row r="12743" spans="1:10" x14ac:dyDescent="0.3">
      <c r="A12743" t="str">
        <f>HYPERLINK("https://us2.cloudbeds.com/connect/10074733072513#/reservations/31715074334944?display=MX5CYZQAY&amp;reservation_id=31715074334944", "MX5CYZQAY")</f>
        <v>MX5CYZQAY</v>
      </c>
      <c r="B12743" t="s">
        <v>10</v>
      </c>
      <c r="C12743" t="s">
        <v>42</v>
      </c>
      <c r="D12743" t="str">
        <f>HYPERLINK("https://us2.cloudbeds.com/connect/10074733072513#/reservations/31715074334944?display=Cathy%20Lawyer&amp;reservation_id=31715074334944&amp;guest_id=31715074334939", "Cathy Lawyer")</f>
        <v>Cathy Lawyer</v>
      </c>
      <c r="E12743" t="s">
        <v>12173</v>
      </c>
      <c r="F12743" t="s">
        <v>11027</v>
      </c>
      <c r="G12743">
        <v>209</v>
      </c>
      <c r="H12743">
        <v>227.19</v>
      </c>
      <c r="I12743">
        <v>227.18</v>
      </c>
      <c r="J12743">
        <v>0.01</v>
      </c>
    </row>
    <row r="12744" spans="1:10" x14ac:dyDescent="0.3">
      <c r="A12744" t="str">
        <f>HYPERLINK("https://us2.cloudbeds.com/connect/10074733072513#/reservations/31720482861199?display=MX9XSC0EY&amp;reservation_id=31720482861199", "MX9XSC0EY")</f>
        <v>MX9XSC0EY</v>
      </c>
      <c r="B12744" t="s">
        <v>10</v>
      </c>
      <c r="C12744" t="s">
        <v>23</v>
      </c>
      <c r="D12744" t="str">
        <f>HYPERLINK("https://us2.cloudbeds.com/connect/10074733072513#/reservations/31720482861199?display=Jon%20Johnson&amp;reservation_id=31720482861199&amp;guest_id=31720482861196", "Jon Johnson")</f>
        <v>Jon Johnson</v>
      </c>
      <c r="E12744" t="s">
        <v>12174</v>
      </c>
      <c r="F12744" t="s">
        <v>12073</v>
      </c>
      <c r="G12744">
        <v>119</v>
      </c>
      <c r="H12744">
        <v>129.36000000000001</v>
      </c>
      <c r="I12744">
        <v>129.35</v>
      </c>
      <c r="J12744">
        <v>0.01</v>
      </c>
    </row>
    <row r="12745" spans="1:10" x14ac:dyDescent="0.3">
      <c r="A12745" t="str">
        <f>HYPERLINK("https://us2.cloudbeds.com/connect/10074733072513#/reservations/31718152929411?display=MX7PAN7G2&amp;reservation_id=31718152929411", "MX7PAN7G2")</f>
        <v>MX7PAN7G2</v>
      </c>
      <c r="B12745" t="s">
        <v>10</v>
      </c>
      <c r="C12745" t="s">
        <v>23</v>
      </c>
      <c r="D12745" t="str">
        <f>HYPERLINK("https://us2.cloudbeds.com/connect/10074733072513#/reservations/31718152929411?display=Cynthia%20Brockman&amp;reservation_id=31718152929411&amp;guest_id=31718152925364", "Cynthia Brockman")</f>
        <v>Cynthia Brockman</v>
      </c>
      <c r="E12745" t="s">
        <v>7821</v>
      </c>
      <c r="F12745" t="s">
        <v>11863</v>
      </c>
      <c r="G12745">
        <v>218</v>
      </c>
      <c r="H12745">
        <v>236.98</v>
      </c>
      <c r="I12745">
        <v>236.97</v>
      </c>
      <c r="J12745">
        <v>0.01</v>
      </c>
    </row>
    <row r="12746" spans="1:10" x14ac:dyDescent="0.3">
      <c r="A12746" t="str">
        <f>HYPERLINK("https://us2.cloudbeds.com/connect/10074733072513#/reservations/31713763139839?display=MX4C53SDY&amp;reservation_id=31713763139839", "MX4C53SDY")</f>
        <v>MX4C53SDY</v>
      </c>
      <c r="B12746" t="s">
        <v>10</v>
      </c>
      <c r="C12746" t="s">
        <v>23</v>
      </c>
      <c r="D12746" t="str">
        <f>HYPERLINK("https://us2.cloudbeds.com/connect/10074733072513#/reservations/31713763139839?display=Victor%20Casiano%20Colon&amp;reservation_id=31713763139839&amp;guest_id=31713763139780", "Victor Casiano Colon")</f>
        <v>Victor Casiano Colon</v>
      </c>
      <c r="E12746" t="s">
        <v>12060</v>
      </c>
      <c r="F12746" t="s">
        <v>12038</v>
      </c>
      <c r="G12746">
        <v>119</v>
      </c>
      <c r="H12746">
        <v>129.36000000000001</v>
      </c>
      <c r="I12746">
        <v>129.35</v>
      </c>
      <c r="J12746">
        <v>0.01</v>
      </c>
    </row>
    <row r="12747" spans="1:10" x14ac:dyDescent="0.3">
      <c r="A12747" t="str">
        <f>HYPERLINK("https://us2.cloudbeds.com/connect/10074733072513#/reservations/31718179758281?display=MX7Q0APZ4&amp;reservation_id=31718179758281", "MX7Q0APZ4")</f>
        <v>MX7Q0APZ4</v>
      </c>
      <c r="B12747" t="s">
        <v>10</v>
      </c>
      <c r="C12747" t="s">
        <v>23</v>
      </c>
      <c r="D12747" t="str">
        <f>HYPERLINK("https://us2.cloudbeds.com/connect/10074733072513#/reservations/31718179758281?display=Brittany%20Mcclelland&amp;reservation_id=31718179758281&amp;guest_id=31718179754188", "Brittany Mcclelland")</f>
        <v>Brittany Mcclelland</v>
      </c>
      <c r="E12747" t="s">
        <v>12176</v>
      </c>
      <c r="F12747" t="s">
        <v>12169</v>
      </c>
      <c r="G12747">
        <v>109</v>
      </c>
      <c r="H12747">
        <v>118.49</v>
      </c>
      <c r="I12747">
        <v>118.48</v>
      </c>
      <c r="J12747">
        <v>0.01</v>
      </c>
    </row>
    <row r="12748" spans="1:10" x14ac:dyDescent="0.3">
      <c r="A12748" t="str">
        <f>HYPERLINK("https://us2.cloudbeds.com/connect/10074733072513#/reservations/31718206189712?display=MX7QMK90J&amp;reservation_id=31718206189712", "MX7QMK90J")</f>
        <v>MX7QMK90J</v>
      </c>
      <c r="B12748" t="s">
        <v>10</v>
      </c>
      <c r="C12748" t="s">
        <v>23</v>
      </c>
      <c r="D12748" t="str">
        <f>HYPERLINK("https://us2.cloudbeds.com/connect/10074733072513#/reservations/31718206189712?display=Brandi%20Hansen&amp;reservation_id=31718206189712&amp;guest_id=31718201032928", "Brandi Hansen")</f>
        <v>Brandi Hansen</v>
      </c>
      <c r="E12748" t="s">
        <v>12178</v>
      </c>
      <c r="F12748" t="s">
        <v>12169</v>
      </c>
      <c r="G12748">
        <v>109</v>
      </c>
      <c r="H12748">
        <v>118.49</v>
      </c>
      <c r="I12748">
        <v>118.48</v>
      </c>
      <c r="J12748">
        <v>0.01</v>
      </c>
    </row>
    <row r="12749" spans="1:10" x14ac:dyDescent="0.3">
      <c r="A12749" t="str">
        <f>HYPERLINK("https://us2.cloudbeds.com/connect/10074733072513#/reservations/31715315667144?display=MX5XR87AJ&amp;reservation_id=31715315667144", "MX5XR87AJ")</f>
        <v>MX5XR87AJ</v>
      </c>
      <c r="B12749" t="s">
        <v>10</v>
      </c>
      <c r="C12749" t="s">
        <v>23</v>
      </c>
      <c r="D12749" t="str">
        <f>HYPERLINK("https://us2.cloudbeds.com/connect/10074733072513#/reservations/31715315667144?display=Jenny%20Eichten&amp;reservation_id=31715315667144&amp;guest_id=31715309408446", "Jenny Eichten")</f>
        <v>Jenny Eichten</v>
      </c>
      <c r="E12749" t="s">
        <v>12179</v>
      </c>
      <c r="F12749" t="s">
        <v>11307</v>
      </c>
      <c r="G12749">
        <v>217</v>
      </c>
      <c r="H12749">
        <v>235.89</v>
      </c>
      <c r="I12749">
        <v>235.88</v>
      </c>
      <c r="J12749">
        <v>0.01</v>
      </c>
    </row>
    <row r="12750" spans="1:10" x14ac:dyDescent="0.3">
      <c r="A12750" t="str">
        <f>HYPERLINK("https://us2.cloudbeds.com/connect/10074733072513#/reservations/31719358283932?display=MX8N42WPY&amp;reservation_id=31719358283932", "MX8N42WPY")</f>
        <v>MX8N42WPY</v>
      </c>
      <c r="B12750" t="s">
        <v>10</v>
      </c>
      <c r="C12750" t="s">
        <v>42</v>
      </c>
      <c r="D12750" t="str">
        <f>HYPERLINK("https://us2.cloudbeds.com/connect/10074733072513#/reservations/31719358283932?display=Austin%20Anderson&amp;reservation_id=31719358283932&amp;guest_id=31719358283929", "Austin Anderson")</f>
        <v>Austin Anderson</v>
      </c>
      <c r="E12750" t="s">
        <v>12181</v>
      </c>
      <c r="F12750" t="s">
        <v>12169</v>
      </c>
      <c r="G12750">
        <v>109</v>
      </c>
      <c r="H12750">
        <v>118.49</v>
      </c>
      <c r="I12750">
        <v>118.48</v>
      </c>
      <c r="J12750">
        <v>0.01</v>
      </c>
    </row>
    <row r="12751" spans="1:10" x14ac:dyDescent="0.3">
      <c r="A12751" t="str">
        <f>HYPERLINK("https://us2.cloudbeds.com/connect/10074733072513#/reservations/31720903889088?display=MX9TKCKXB&amp;reservation_id=31720903889088", "MX9TKCKXB")</f>
        <v>MX9TKCKXB</v>
      </c>
      <c r="B12751" t="s">
        <v>10</v>
      </c>
      <c r="C12751" t="s">
        <v>42</v>
      </c>
      <c r="D12751" t="str">
        <f>HYPERLINK("https://us2.cloudbeds.com/connect/10074733072513#/reservations/31720903889088?display=Dean%20Dejong&amp;reservation_id=31720903889088&amp;guest_id=31720903884997", "Dean Dejong")</f>
        <v>Dean Dejong</v>
      </c>
      <c r="E12751" t="s">
        <v>12183</v>
      </c>
      <c r="F12751" t="s">
        <v>11042</v>
      </c>
      <c r="G12751">
        <v>149</v>
      </c>
      <c r="H12751">
        <v>161.97</v>
      </c>
      <c r="I12751">
        <v>161.96</v>
      </c>
      <c r="J12751">
        <v>0.01</v>
      </c>
    </row>
    <row r="12752" spans="1:10" x14ac:dyDescent="0.3">
      <c r="A12752" t="str">
        <f>HYPERLINK("https://us2.cloudbeds.com/connect/10074733072513#/reservations/31719374966932?display=MX8NX57B3&amp;reservation_id=31719374966932", "MX8NX57B3")</f>
        <v>MX8NX57B3</v>
      </c>
      <c r="B12752" t="s">
        <v>10</v>
      </c>
      <c r="C12752" t="s">
        <v>121</v>
      </c>
      <c r="D12752" t="str">
        <f>HYPERLINK("https://us2.cloudbeds.com/connect/10074733072513#/reservations/31719374966932?display=Jane%20Conway&amp;reservation_id=31719374966932&amp;guest_id=31719374966927", "Jane Conway")</f>
        <v>Jane Conway</v>
      </c>
      <c r="E12752" t="s">
        <v>12184</v>
      </c>
      <c r="F12752" t="s">
        <v>11748</v>
      </c>
      <c r="G12752">
        <v>298</v>
      </c>
      <c r="H12752">
        <v>323.94</v>
      </c>
      <c r="I12752">
        <v>323.93</v>
      </c>
      <c r="J12752">
        <v>0.01</v>
      </c>
    </row>
    <row r="12753" spans="1:10" x14ac:dyDescent="0.3">
      <c r="A12753" t="str">
        <f>HYPERLINK("https://us2.cloudbeds.com/connect/10074733072513#/reservations/31719372771564?display=MX8NGA4CQ&amp;reservation_id=31719372771564", "MX8NGA4CQ")</f>
        <v>MX8NGA4CQ</v>
      </c>
      <c r="B12753" t="s">
        <v>10</v>
      </c>
      <c r="C12753" t="s">
        <v>42</v>
      </c>
      <c r="D12753" t="str">
        <f>HYPERLINK("https://us2.cloudbeds.com/connect/10074733072513#/reservations/31719372771564?display=Ayden%20Alber&amp;reservation_id=31719372771564&amp;guest_id=31719358288022", "Ayden Alber")</f>
        <v>Ayden Alber</v>
      </c>
      <c r="E12753" t="s">
        <v>12181</v>
      </c>
      <c r="F12753" t="s">
        <v>12169</v>
      </c>
      <c r="G12753">
        <v>109</v>
      </c>
      <c r="H12753">
        <v>118.49</v>
      </c>
      <c r="I12753">
        <v>118.48</v>
      </c>
      <c r="J12753">
        <v>0.01</v>
      </c>
    </row>
    <row r="12754" spans="1:10" x14ac:dyDescent="0.3">
      <c r="A12754" t="str">
        <f>HYPERLINK("https://us2.cloudbeds.com/connect/10074733072513#/reservations/31716548329616?display=MX6HAYSPS&amp;reservation_id=31716548329616", "MX6HAYSPS")</f>
        <v>MX6HAYSPS</v>
      </c>
      <c r="B12754" t="s">
        <v>10</v>
      </c>
      <c r="C12754" t="s">
        <v>42</v>
      </c>
      <c r="D12754" t="str">
        <f>HYPERLINK("https://us2.cloudbeds.com/connect/10074733072513#/reservations/31716548329616?display=Nancy%20Welch&amp;reservation_id=31716548329616&amp;guest_id=31716538413300", "Nancy Welch")</f>
        <v>Nancy Welch</v>
      </c>
      <c r="E12754" t="s">
        <v>12185</v>
      </c>
      <c r="F12754" t="s">
        <v>11748</v>
      </c>
      <c r="G12754">
        <v>298</v>
      </c>
      <c r="H12754">
        <v>323.94</v>
      </c>
      <c r="I12754">
        <v>323.93</v>
      </c>
      <c r="J12754">
        <v>0.01</v>
      </c>
    </row>
    <row r="12755" spans="1:10" x14ac:dyDescent="0.3">
      <c r="A12755" t="str">
        <f>HYPERLINK("https://us2.cloudbeds.com/connect/10074733072513#/reservations/31718901706984?display=MX8BF326X&amp;reservation_id=31718901706984", "MX8BF326X")</f>
        <v>MX8BF326X</v>
      </c>
      <c r="B12755" t="s">
        <v>10</v>
      </c>
      <c r="C12755" t="s">
        <v>23</v>
      </c>
      <c r="D12755" t="str">
        <f>HYPERLINK("https://us2.cloudbeds.com/connect/10074733072513#/reservations/31718901706984?display=Kris%20Manthe&amp;reservation_id=31718901706984&amp;guest_id=31718890057873", "Kris Manthe")</f>
        <v>Kris Manthe</v>
      </c>
      <c r="E12755" t="s">
        <v>12186</v>
      </c>
      <c r="F12755" t="s">
        <v>12038</v>
      </c>
      <c r="G12755">
        <v>87.82</v>
      </c>
      <c r="H12755">
        <v>95.47</v>
      </c>
      <c r="I12755">
        <v>95.46</v>
      </c>
      <c r="J12755">
        <v>0.01</v>
      </c>
    </row>
    <row r="12756" spans="1:10" x14ac:dyDescent="0.3">
      <c r="A12756" t="str">
        <f>HYPERLINK("https://us2.cloudbeds.com/connect/10074733072513#/reservations/31719352352947?display=MX8MW2VGQ&amp;reservation_id=31719352352947", "MX8MW2VGQ")</f>
        <v>MX8MW2VGQ</v>
      </c>
      <c r="B12756" t="s">
        <v>10</v>
      </c>
      <c r="C12756" t="s">
        <v>42</v>
      </c>
      <c r="D12756" t="str">
        <f>HYPERLINK("https://us2.cloudbeds.com/connect/10074733072513#/reservations/31719352352947?display=Pyler%20Everson&amp;reservation_id=31719352352947&amp;guest_id=31719352352900", "Pyler Everson")</f>
        <v>Pyler Everson</v>
      </c>
      <c r="E12756" t="s">
        <v>12181</v>
      </c>
      <c r="F12756" t="s">
        <v>12169</v>
      </c>
      <c r="G12756">
        <v>109</v>
      </c>
      <c r="H12756">
        <v>118.49</v>
      </c>
      <c r="I12756">
        <v>118.48</v>
      </c>
      <c r="J12756">
        <v>0.01</v>
      </c>
    </row>
    <row r="12757" spans="1:10" x14ac:dyDescent="0.3">
      <c r="A12757" t="str">
        <f>HYPERLINK("https://us2.cloudbeds.com/connect/10074733072513#/reservations/31715905609859?display=MX60TN85J&amp;reservation_id=31715905609859", "MX60TN85J")</f>
        <v>MX60TN85J</v>
      </c>
      <c r="B12757" t="s">
        <v>10</v>
      </c>
      <c r="C12757" t="s">
        <v>23</v>
      </c>
      <c r="D12757" t="str">
        <f>HYPERLINK("https://us2.cloudbeds.com/connect/10074733072513#/reservations/31715905609859?display=Morgan%20Mehlhaf&amp;reservation_id=31715905609859&amp;guest_id=31715905609856", "Morgan Mehlhaf")</f>
        <v>Morgan Mehlhaf</v>
      </c>
      <c r="E12757" t="s">
        <v>12187</v>
      </c>
      <c r="F12757" t="s">
        <v>12017</v>
      </c>
      <c r="G12757">
        <v>418</v>
      </c>
      <c r="H12757">
        <v>454.38</v>
      </c>
      <c r="I12757">
        <v>454.37</v>
      </c>
      <c r="J12757">
        <v>0.01</v>
      </c>
    </row>
    <row r="12758" spans="1:10" x14ac:dyDescent="0.3">
      <c r="A12758" t="str">
        <f>HYPERLINK("https://us2.cloudbeds.com/connect/10074733072513#/reservations/31717698904196?display=MX7DNSA37&amp;reservation_id=31717698904196", "MX7DNSA37")</f>
        <v>MX7DNSA37</v>
      </c>
      <c r="B12758" t="s">
        <v>10</v>
      </c>
      <c r="C12758" t="s">
        <v>121</v>
      </c>
      <c r="D12758" t="str">
        <f>HYPERLINK("https://us2.cloudbeds.com/connect/10074733072513#/reservations/31717698904196?display=Trent%20Rus&amp;reservation_id=31717698904196&amp;guest_id=31717698900104", "Trent Rus")</f>
        <v>Trent Rus</v>
      </c>
      <c r="E12758" t="s">
        <v>12190</v>
      </c>
      <c r="F12758" t="s">
        <v>11748</v>
      </c>
      <c r="G12758">
        <v>149</v>
      </c>
      <c r="H12758">
        <v>161.97</v>
      </c>
      <c r="I12758">
        <v>161.96</v>
      </c>
      <c r="J12758">
        <v>0.01</v>
      </c>
    </row>
    <row r="12759" spans="1:10" x14ac:dyDescent="0.3">
      <c r="A12759" t="str">
        <f>HYPERLINK("https://us2.cloudbeds.com/connect/10074733072513#/reservations/31717721215178?display=MX7E9M4MJ&amp;reservation_id=31717721215178", "MX7E9M4MJ")</f>
        <v>MX7E9M4MJ</v>
      </c>
      <c r="B12759" t="s">
        <v>10</v>
      </c>
      <c r="C12759" t="s">
        <v>121</v>
      </c>
      <c r="D12759" t="str">
        <f>HYPERLINK("https://us2.cloudbeds.com/connect/10074733072513#/reservations/31717721215178?display=Cutler%20Petersen&amp;reservation_id=31717721215178&amp;guest_id=31717716742300", "Cutler Petersen")</f>
        <v>Cutler Petersen</v>
      </c>
      <c r="E12759" t="s">
        <v>12192</v>
      </c>
      <c r="F12759" t="s">
        <v>11536</v>
      </c>
      <c r="G12759">
        <v>149</v>
      </c>
      <c r="H12759">
        <v>161.97</v>
      </c>
      <c r="I12759">
        <v>161.96</v>
      </c>
      <c r="J12759">
        <v>0.01</v>
      </c>
    </row>
    <row r="12760" spans="1:10" x14ac:dyDescent="0.3">
      <c r="A12760" t="str">
        <f>HYPERLINK("https://us2.cloudbeds.com/connect/10074733072513#/reservations/31718129856654?display=MX7ZZ86CK&amp;reservation_id=31718129856654", "MX7ZZ86CK")</f>
        <v>MX7ZZ86CK</v>
      </c>
      <c r="B12760" t="s">
        <v>10</v>
      </c>
      <c r="C12760" t="s">
        <v>23</v>
      </c>
      <c r="D12760" t="str">
        <f>HYPERLINK("https://us2.cloudbeds.com/connect/10074733072513#/reservations/31718129856654?display=Patty%20Zeigler&amp;reservation_id=31718129856654&amp;guest_id=31718129856643", "Patty Zeigler")</f>
        <v>Patty Zeigler</v>
      </c>
      <c r="E12760" t="s">
        <v>12193</v>
      </c>
      <c r="F12760" t="s">
        <v>11863</v>
      </c>
      <c r="G12760">
        <v>109</v>
      </c>
      <c r="H12760">
        <v>118.49</v>
      </c>
      <c r="I12760">
        <v>118.48</v>
      </c>
      <c r="J12760">
        <v>0.01</v>
      </c>
    </row>
    <row r="12761" spans="1:10" x14ac:dyDescent="0.3">
      <c r="A12761" t="str">
        <f>HYPERLINK("https://us2.cloudbeds.com/connect/10074733072513#/reservations/31718040776902?display=MX7MF4DQ6&amp;reservation_id=31718040776902", "MX7MF4DQ6")</f>
        <v>MX7MF4DQ6</v>
      </c>
      <c r="B12761" t="s">
        <v>10</v>
      </c>
      <c r="C12761" t="s">
        <v>42</v>
      </c>
      <c r="D12761" t="str">
        <f>HYPERLINK("https://us2.cloudbeds.com/connect/10074733072513#/reservations/31718040776902?display=Jamie%20Campbell&amp;reservation_id=31718040776902&amp;guest_id=31718040772822", "Jamie Campbell")</f>
        <v>Jamie Campbell</v>
      </c>
      <c r="E12761" t="s">
        <v>9477</v>
      </c>
      <c r="F12761" t="s">
        <v>11573</v>
      </c>
      <c r="G12761">
        <v>318</v>
      </c>
      <c r="H12761">
        <v>345.68</v>
      </c>
      <c r="I12761">
        <v>345.67</v>
      </c>
      <c r="J12761">
        <v>0.01</v>
      </c>
    </row>
    <row r="12762" spans="1:10" x14ac:dyDescent="0.3">
      <c r="A12762" t="str">
        <f>HYPERLINK("https://us2.cloudbeds.com/connect/10074733072513#/reservations/31715730133190?display=MX5TDZBXP&amp;reservation_id=31715730133190", "MX5TDZBXP")</f>
        <v>MX5TDZBXP</v>
      </c>
      <c r="B12762" t="s">
        <v>10</v>
      </c>
      <c r="C12762" t="s">
        <v>23</v>
      </c>
      <c r="D12762" t="str">
        <f>HYPERLINK("https://us2.cloudbeds.com/connect/10074733072513#/reservations/31715730133190?display=Lynette%20Terjesen&amp;reservation_id=31715730133190&amp;guest_id=31715712757920", "Lynette Terjesen")</f>
        <v>Lynette Terjesen</v>
      </c>
      <c r="E12762" t="s">
        <v>12194</v>
      </c>
      <c r="F12762" t="s">
        <v>12195</v>
      </c>
      <c r="G12762">
        <v>328</v>
      </c>
      <c r="H12762">
        <v>356.55</v>
      </c>
      <c r="I12762">
        <v>356.54</v>
      </c>
      <c r="J12762">
        <v>0.01</v>
      </c>
    </row>
    <row r="12763" spans="1:10" x14ac:dyDescent="0.3">
      <c r="A12763" t="str">
        <f>HYPERLINK("https://us2.cloudbeds.com/connect/10074733072513#/reservations/31716428923092?display=MX6E8W6UB&amp;reservation_id=31716428923092", "MX6E8W6UB")</f>
        <v>MX6E8W6UB</v>
      </c>
      <c r="B12763" t="s">
        <v>10</v>
      </c>
      <c r="C12763" t="s">
        <v>42</v>
      </c>
      <c r="D12763" t="str">
        <f>HYPERLINK("https://us2.cloudbeds.com/connect/10074733072513#/reservations/31716428923092?display=Steve%20Langel&amp;reservation_id=31716428923092&amp;guest_id=31716428923089", "Steve Langel")</f>
        <v>Steve Langel</v>
      </c>
      <c r="E12763" t="s">
        <v>12197</v>
      </c>
      <c r="F12763" t="s">
        <v>11573</v>
      </c>
      <c r="G12763">
        <v>159</v>
      </c>
      <c r="H12763">
        <v>172.84</v>
      </c>
      <c r="I12763">
        <v>172.83</v>
      </c>
      <c r="J12763">
        <v>0.01</v>
      </c>
    </row>
    <row r="12764" spans="1:10" x14ac:dyDescent="0.3">
      <c r="A12764" t="str">
        <f>HYPERLINK("https://us2.cloudbeds.com/connect/10074733072513#/reservations/31713086378152?display=MX3RSEVWZ&amp;reservation_id=31713086378152", "MX3RSEVWZ")</f>
        <v>MX3RSEVWZ</v>
      </c>
      <c r="B12764" t="s">
        <v>10</v>
      </c>
      <c r="C12764" t="s">
        <v>42</v>
      </c>
      <c r="D12764" t="str">
        <f>HYPERLINK("https://us2.cloudbeds.com/connect/10074733072513#/reservations/31713086378152?display=Heather%20Brost&amp;reservation_id=31713086378152&amp;guest_id=31713086378150", "Heather Brost")</f>
        <v>Heather Brost</v>
      </c>
      <c r="E12764" t="s">
        <v>12199</v>
      </c>
      <c r="F12764" t="s">
        <v>9834</v>
      </c>
      <c r="G12764">
        <v>169</v>
      </c>
      <c r="H12764">
        <v>183.71</v>
      </c>
      <c r="I12764">
        <v>183.7</v>
      </c>
      <c r="J12764">
        <v>0.01</v>
      </c>
    </row>
    <row r="12765" spans="1:10" x14ac:dyDescent="0.3">
      <c r="A12765" t="str">
        <f>HYPERLINK("https://us2.cloudbeds.com/connect/10074733072513#/reservations/31718190284962?display=MX7Q96N3F&amp;reservation_id=31718190284962", "MX7Q96N3F")</f>
        <v>MX7Q96N3F</v>
      </c>
      <c r="B12765" t="s">
        <v>10</v>
      </c>
      <c r="C12765" t="s">
        <v>23</v>
      </c>
      <c r="D12765" t="str">
        <f>HYPERLINK("https://us2.cloudbeds.com/connect/10074733072513#/reservations/31718190284962?display=Rhiannon%20Lunghi&amp;reservation_id=31718190284962&amp;guest_id=31718190284947", "Rhiannon Lunghi")</f>
        <v>Rhiannon Lunghi</v>
      </c>
      <c r="E12765" t="s">
        <v>12200</v>
      </c>
      <c r="F12765" t="s">
        <v>11863</v>
      </c>
      <c r="G12765">
        <v>119</v>
      </c>
      <c r="H12765">
        <v>129.36000000000001</v>
      </c>
      <c r="I12765">
        <v>129.35</v>
      </c>
      <c r="J12765">
        <v>0.01</v>
      </c>
    </row>
    <row r="12766" spans="1:10" x14ac:dyDescent="0.3">
      <c r="A12766" t="str">
        <f>HYPERLINK("https://us2.cloudbeds.com/connect/10074733072513#/reservations/31716905533694?display=MX6QESJSS&amp;reservation_id=31716905533694", "MX6QESJSS")</f>
        <v>MX6QESJSS</v>
      </c>
      <c r="B12766" t="s">
        <v>10</v>
      </c>
      <c r="C12766" t="s">
        <v>23</v>
      </c>
      <c r="D12766" t="str">
        <f>HYPERLINK("https://us2.cloudbeds.com/connect/10074733072513#/reservations/31716905533694?display=Matt%20Hoenk&amp;reservation_id=31716905533694&amp;guest_id=31716890919059", "Matt Hoenk")</f>
        <v>Matt Hoenk</v>
      </c>
      <c r="E12766" t="s">
        <v>12201</v>
      </c>
      <c r="F12766" t="s">
        <v>10695</v>
      </c>
      <c r="G12766">
        <v>97.74</v>
      </c>
      <c r="H12766">
        <v>106.25</v>
      </c>
      <c r="I12766">
        <v>106.24</v>
      </c>
      <c r="J12766">
        <v>0.01</v>
      </c>
    </row>
    <row r="12767" spans="1:10" x14ac:dyDescent="0.3">
      <c r="A12767" t="str">
        <f>HYPERLINK("https://us2.cloudbeds.com/connect/10074733072513#/reservations/31718179754190?display=MX7Q0AYW5&amp;reservation_id=31718179754190", "MX7Q0AYW5")</f>
        <v>MX7Q0AYW5</v>
      </c>
      <c r="B12767" t="s">
        <v>10</v>
      </c>
      <c r="C12767" t="s">
        <v>42</v>
      </c>
      <c r="D12767" t="str">
        <f>HYPERLINK("https://us2.cloudbeds.com/connect/10074733072513#/reservations/31718179754190?display=Keith%20Oppold&amp;reservation_id=31718179754190&amp;guest_id=31718174580962", "Keith Oppold")</f>
        <v>Keith Oppold</v>
      </c>
      <c r="E12767" t="s">
        <v>12202</v>
      </c>
      <c r="F12767" t="s">
        <v>11863</v>
      </c>
      <c r="G12767">
        <v>109</v>
      </c>
      <c r="H12767">
        <v>118.49</v>
      </c>
      <c r="I12767">
        <v>118.48</v>
      </c>
      <c r="J12767">
        <v>0.01</v>
      </c>
    </row>
    <row r="12768" spans="1:10" x14ac:dyDescent="0.3">
      <c r="A12768" t="str">
        <f>HYPERLINK("https://us2.cloudbeds.com/connect/10074733072513#/reservations/31713616834712?display=MX48DZN8V&amp;reservation_id=31713616834712", "MX48DZN8V")</f>
        <v>MX48DZN8V</v>
      </c>
      <c r="B12768" t="s">
        <v>10</v>
      </c>
      <c r="C12768" t="s">
        <v>42</v>
      </c>
      <c r="D12768" t="str">
        <f>HYPERLINK("https://us2.cloudbeds.com/connect/10074733072513#/reservations/31713616834712?display=Laura%20Anderson&amp;reservation_id=31713616834712&amp;guest_id=30678110650572", "Laura Anderson")</f>
        <v>Laura Anderson</v>
      </c>
      <c r="E12768" t="s">
        <v>12203</v>
      </c>
      <c r="F12768" t="s">
        <v>11919</v>
      </c>
      <c r="G12768">
        <v>189</v>
      </c>
      <c r="H12768">
        <v>205.45</v>
      </c>
      <c r="I12768">
        <v>205.44</v>
      </c>
      <c r="J12768">
        <v>0.01</v>
      </c>
    </row>
    <row r="12769" spans="1:10" x14ac:dyDescent="0.3">
      <c r="A12769" t="str">
        <f>HYPERLINK("https://us2.cloudbeds.com/connect/10074733072513#/reservations/31716248133841?display=MX69YHFU6&amp;reservation_id=31716248133841", "MX69YHFU6")</f>
        <v>MX69YHFU6</v>
      </c>
      <c r="B12769" t="s">
        <v>10</v>
      </c>
      <c r="C12769" t="s">
        <v>42</v>
      </c>
      <c r="D12769" t="str">
        <f>HYPERLINK("https://us2.cloudbeds.com/connect/10074733072513#/reservations/31716248133841?display=Dave%20Mccandless&amp;reservation_id=31716248133841&amp;guest_id=31677327991015", "Dave Mccandless")</f>
        <v>Dave Mccandless</v>
      </c>
      <c r="E12769" t="s">
        <v>6185</v>
      </c>
      <c r="F12769" t="s">
        <v>12204</v>
      </c>
      <c r="G12769">
        <v>89</v>
      </c>
      <c r="H12769">
        <v>96.75</v>
      </c>
      <c r="I12769">
        <v>96.74</v>
      </c>
      <c r="J12769">
        <v>0.01</v>
      </c>
    </row>
    <row r="12770" spans="1:10" x14ac:dyDescent="0.3">
      <c r="A12770" t="str">
        <f>HYPERLINK("https://us2.cloudbeds.com/connect/10074733072513#/reservations/31718139334885?display=MX7ZW7UWZ&amp;reservation_id=31718139334885", "MX7ZW7UWZ")</f>
        <v>MX7ZW7UWZ</v>
      </c>
      <c r="B12770" t="s">
        <v>10</v>
      </c>
      <c r="C12770" t="s">
        <v>42</v>
      </c>
      <c r="D12770" t="str">
        <f>HYPERLINK("https://us2.cloudbeds.com/connect/10074733072513#/reservations/31718139334885?display=Rocky%20Forman&amp;reservation_id=31718139334885&amp;guest_id=31718139334870", "Rocky Forman")</f>
        <v>Rocky Forman</v>
      </c>
      <c r="E12770" t="s">
        <v>12206</v>
      </c>
      <c r="F12770" t="s">
        <v>11863</v>
      </c>
      <c r="G12770">
        <v>218</v>
      </c>
      <c r="H12770">
        <v>236.98</v>
      </c>
      <c r="I12770">
        <v>236.97</v>
      </c>
      <c r="J12770">
        <v>0.01</v>
      </c>
    </row>
    <row r="12771" spans="1:10" x14ac:dyDescent="0.3">
      <c r="A12771" t="str">
        <f>HYPERLINK("https://us2.cloudbeds.com/connect/10074733072513#/reservations/31712712233209?display=MX3X9VRX6&amp;reservation_id=31712712233209", "MX3X9VRX6")</f>
        <v>MX3X9VRX6</v>
      </c>
      <c r="B12771" t="s">
        <v>10</v>
      </c>
      <c r="C12771" t="s">
        <v>42</v>
      </c>
      <c r="D12771" t="str">
        <f>HYPERLINK("https://us2.cloudbeds.com/connect/10074733072513#/reservations/31712712233209?display=Tana%20Clark&amp;reservation_id=31712712233209&amp;guest_id=31712712233197", "Tana Clark")</f>
        <v>Tana Clark</v>
      </c>
      <c r="E12771" t="s">
        <v>11865</v>
      </c>
      <c r="F12771" t="s">
        <v>11533</v>
      </c>
      <c r="G12771">
        <v>298</v>
      </c>
      <c r="H12771">
        <v>323.94</v>
      </c>
      <c r="I12771">
        <v>323.93</v>
      </c>
      <c r="J12771">
        <v>0.01</v>
      </c>
    </row>
    <row r="12772" spans="1:10" x14ac:dyDescent="0.3">
      <c r="A12772" t="str">
        <f>HYPERLINK("https://us2.cloudbeds.com/connect/10074733072513#/reservations/31712218771661?display=MX35MSHQV&amp;reservation_id=31712218771661", "MX35MSHQV")</f>
        <v>MX35MSHQV</v>
      </c>
      <c r="B12772" t="s">
        <v>10</v>
      </c>
      <c r="C12772" t="s">
        <v>42</v>
      </c>
      <c r="D12772" t="str">
        <f>HYPERLINK("https://us2.cloudbeds.com/connect/10074733072513#/reservations/31712218771661?display=Andy%20Bohlen&amp;reservation_id=31712218771661&amp;guest_id=31712218771656", "Andy Bohlen")</f>
        <v>Andy Bohlen</v>
      </c>
      <c r="E12772" t="s">
        <v>12207</v>
      </c>
      <c r="F12772" t="s">
        <v>11371</v>
      </c>
      <c r="G12772">
        <v>318</v>
      </c>
      <c r="H12772">
        <v>345.68</v>
      </c>
      <c r="I12772">
        <v>345.67</v>
      </c>
      <c r="J12772">
        <v>0.01</v>
      </c>
    </row>
    <row r="12773" spans="1:10" x14ac:dyDescent="0.3">
      <c r="A12773" t="str">
        <f>HYPERLINK("https://us2.cloudbeds.com/connect/10074733072513#/reservations/31714655469712?display=MX51VX8DR&amp;reservation_id=31714655469712", "MX51VX8DR")</f>
        <v>MX51VX8DR</v>
      </c>
      <c r="B12773" t="s">
        <v>10</v>
      </c>
      <c r="C12773" t="s">
        <v>42</v>
      </c>
      <c r="D12773" t="str">
        <f>HYPERLINK("https://us2.cloudbeds.com/connect/10074733072513#/reservations/31714655469712?display=Ranie%20Gross&amp;reservation_id=31714655469712&amp;guest_id=31714642043059", "Ranie Gross")</f>
        <v>Ranie Gross</v>
      </c>
      <c r="E12773" t="s">
        <v>12208</v>
      </c>
      <c r="F12773" t="s">
        <v>11281</v>
      </c>
      <c r="G12773">
        <v>398</v>
      </c>
      <c r="H12773">
        <v>432.64</v>
      </c>
      <c r="I12773">
        <v>432.63</v>
      </c>
      <c r="J12773">
        <v>0.01</v>
      </c>
    </row>
    <row r="12774" spans="1:10" x14ac:dyDescent="0.3">
      <c r="A12774" t="str">
        <f>HYPERLINK("https://us2.cloudbeds.com/connect/10074733072513#/reservations/31716257964195?display=MX69TR0SN&amp;reservation_id=31716257964195", "MX69TR0SN")</f>
        <v>MX69TR0SN</v>
      </c>
      <c r="B12774" t="s">
        <v>10</v>
      </c>
      <c r="C12774" t="s">
        <v>42</v>
      </c>
      <c r="D12774" t="str">
        <f>HYPERLINK("https://us2.cloudbeds.com/connect/10074733072513#/reservations/31716257964195?display=David%20Scott%20Stewart&amp;reservation_id=31716257964195&amp;guest_id=31716248137942", "David Scott Stewart")</f>
        <v>David Scott Stewart</v>
      </c>
      <c r="E12774" t="s">
        <v>12210</v>
      </c>
      <c r="F12774" t="s">
        <v>12204</v>
      </c>
      <c r="G12774">
        <v>73</v>
      </c>
      <c r="H12774">
        <v>79.36</v>
      </c>
      <c r="I12774">
        <v>79.349999999999994</v>
      </c>
      <c r="J12774">
        <v>0.01</v>
      </c>
    </row>
    <row r="12775" spans="1:10" x14ac:dyDescent="0.3">
      <c r="A12775" t="str">
        <f>HYPERLINK("https://us2.cloudbeds.com/connect/10074733072513#/reservations/31714496802979?display=MX4UTP3V0&amp;reservation_id=31714496802979", "MX4UTP3V0")</f>
        <v>MX4UTP3V0</v>
      </c>
      <c r="B12775" t="s">
        <v>10</v>
      </c>
      <c r="C12775" t="s">
        <v>23</v>
      </c>
      <c r="D12775" t="str">
        <f>HYPERLINK("https://us2.cloudbeds.com/connect/10074733072513#/reservations/31714496802979?display=Ann%20Pedersen&amp;reservation_id=31714496802979&amp;guest_id=31714488365257", "Ann Pedersen")</f>
        <v>Ann Pedersen</v>
      </c>
      <c r="E12775" t="s">
        <v>12211</v>
      </c>
      <c r="F12775" t="s">
        <v>11281</v>
      </c>
      <c r="G12775">
        <v>209</v>
      </c>
      <c r="H12775">
        <v>227.19</v>
      </c>
      <c r="I12775">
        <v>227.18</v>
      </c>
      <c r="J12775">
        <v>0.01</v>
      </c>
    </row>
    <row r="12776" spans="1:10" x14ac:dyDescent="0.3">
      <c r="A12776" t="str">
        <f>HYPERLINK("https://us2.cloudbeds.com/connect/10074733072513#/reservations/31717088346366?display=MX6V40KUQ&amp;reservation_id=31717088346366", "MX6V40KUQ")</f>
        <v>MX6V40KUQ</v>
      </c>
      <c r="B12776" t="s">
        <v>10</v>
      </c>
      <c r="C12776" t="s">
        <v>42</v>
      </c>
      <c r="D12776" t="str">
        <f>HYPERLINK("https://us2.cloudbeds.com/connect/10074733072513#/reservations/31717088346366?display=Keven%20Morehart&amp;reservation_id=31717088346366&amp;guest_id=31717088346307", "Keven Morehart")</f>
        <v>Keven Morehart</v>
      </c>
      <c r="E12776" t="s">
        <v>12212</v>
      </c>
      <c r="F12776" t="s">
        <v>11307</v>
      </c>
      <c r="G12776">
        <v>149</v>
      </c>
      <c r="H12776">
        <v>161.97</v>
      </c>
      <c r="I12776">
        <v>161.96</v>
      </c>
      <c r="J12776">
        <v>0.01</v>
      </c>
    </row>
    <row r="12777" spans="1:10" x14ac:dyDescent="0.3">
      <c r="A12777" t="str">
        <f>HYPERLINK("https://us2.cloudbeds.com/connect/10074733072513#/reservations/31714240692461?display=MX4ZBQFD6&amp;reservation_id=31714240692461", "MX4ZBQFD6")</f>
        <v>MX4ZBQFD6</v>
      </c>
      <c r="B12777" t="s">
        <v>10</v>
      </c>
      <c r="C12777" t="s">
        <v>42</v>
      </c>
      <c r="D12777" t="str">
        <f>HYPERLINK("https://us2.cloudbeds.com/connect/10074733072513#/reservations/31714240692461?display=Kristy%20Borer&amp;reservation_id=31714240692461&amp;guest_id=31714240692456", "Kristy Borer")</f>
        <v>Kristy Borer</v>
      </c>
      <c r="E12777" t="s">
        <v>12214</v>
      </c>
      <c r="F12777" t="s">
        <v>12215</v>
      </c>
      <c r="G12777">
        <v>150</v>
      </c>
      <c r="H12777">
        <v>163.06</v>
      </c>
      <c r="I12777">
        <v>163.05000000000001</v>
      </c>
      <c r="J12777">
        <v>0.01</v>
      </c>
    </row>
    <row r="12778" spans="1:10" x14ac:dyDescent="0.3">
      <c r="A12778" t="str">
        <f>HYPERLINK("https://us2.cloudbeds.com/connect/10074733072513#/reservations/31715176562881?display=MX5F8VEHU&amp;reservation_id=31715176562881", "MX5F8VEHU")</f>
        <v>MX5F8VEHU</v>
      </c>
      <c r="B12778" t="s">
        <v>10</v>
      </c>
      <c r="C12778" t="s">
        <v>42</v>
      </c>
      <c r="D12778" t="str">
        <f>HYPERLINK("https://us2.cloudbeds.com/connect/10074733072513#/reservations/31715176562881?display=Brook%20Hanks&amp;reservation_id=31715176562881&amp;guest_id=31715167129770", "Brook Hanks")</f>
        <v>Brook Hanks</v>
      </c>
      <c r="E12778" t="s">
        <v>12217</v>
      </c>
      <c r="F12778" t="s">
        <v>11307</v>
      </c>
      <c r="G12778">
        <v>129</v>
      </c>
      <c r="H12778">
        <v>140.22999999999999</v>
      </c>
      <c r="I12778">
        <v>140.22</v>
      </c>
      <c r="J12778">
        <v>0.01</v>
      </c>
    </row>
    <row r="12779" spans="1:10" x14ac:dyDescent="0.3">
      <c r="A12779" t="str">
        <f>HYPERLINK("https://us2.cloudbeds.com/connect/10074733072513#/reservations/31715267551360?display=MX5HAUS7Q&amp;reservation_id=31715267551360", "MX5HAUS7Q")</f>
        <v>MX5HAUS7Q</v>
      </c>
      <c r="B12779" t="s">
        <v>10</v>
      </c>
      <c r="C12779" t="s">
        <v>23</v>
      </c>
      <c r="D12779" t="str">
        <f>HYPERLINK("https://us2.cloudbeds.com/connect/10074733072513#/reservations/31715267551360?display=Jim%20Porter&amp;reservation_id=31715267551360&amp;guest_id=31715257180384", "Jim Porter")</f>
        <v>Jim Porter</v>
      </c>
      <c r="E12779" t="s">
        <v>12218</v>
      </c>
      <c r="F12779" t="s">
        <v>11307</v>
      </c>
      <c r="G12779">
        <v>102.58</v>
      </c>
      <c r="H12779">
        <v>111.51</v>
      </c>
      <c r="I12779">
        <v>111.5</v>
      </c>
      <c r="J12779">
        <v>0.01</v>
      </c>
    </row>
    <row r="12780" spans="1:10" x14ac:dyDescent="0.3">
      <c r="A12780" t="str">
        <f>HYPERLINK("https://us2.cloudbeds.com/connect/10074733072513#/reservations/31711327359179?display=MX2FU6M7G&amp;reservation_id=31711327359179", "MX2FU6M7G")</f>
        <v>MX2FU6M7G</v>
      </c>
      <c r="B12780" t="s">
        <v>10</v>
      </c>
      <c r="C12780" t="s">
        <v>42</v>
      </c>
      <c r="D12780" t="str">
        <f>HYPERLINK("https://us2.cloudbeds.com/connect/10074733072513#/reservations/31711327359179?display=Aaron%20Spangenberg&amp;reservation_id=31711327359179&amp;guest_id=31711327359176", "Aaron Spangenberg")</f>
        <v>Aaron Spangenberg</v>
      </c>
      <c r="E12780" t="s">
        <v>5312</v>
      </c>
      <c r="F12780" t="s">
        <v>11699</v>
      </c>
      <c r="G12780">
        <v>478</v>
      </c>
      <c r="H12780">
        <v>519.6</v>
      </c>
      <c r="I12780">
        <v>519.59</v>
      </c>
      <c r="J12780">
        <v>0.01</v>
      </c>
    </row>
    <row r="12781" spans="1:10" x14ac:dyDescent="0.3">
      <c r="A12781" t="str">
        <f>HYPERLINK("https://us2.cloudbeds.com/connect/10074733072513#/reservations/31715080843507?display=MX5CR7TVR&amp;reservation_id=31715080843507", "MX5CR7TVR")</f>
        <v>MX5CR7TVR</v>
      </c>
      <c r="B12781" t="s">
        <v>10</v>
      </c>
      <c r="C12781" t="s">
        <v>23</v>
      </c>
      <c r="D12781" t="str">
        <f>HYPERLINK("https://us2.cloudbeds.com/connect/10074733072513#/reservations/31715080843507?display=Katelynn%20Spangenberg&amp;reservation_id=31715080843507&amp;guest_id=31715080843458", "Katelynn Spangenberg")</f>
        <v>Katelynn Spangenberg</v>
      </c>
      <c r="E12781" t="s">
        <v>12219</v>
      </c>
      <c r="F12781" t="s">
        <v>11699</v>
      </c>
      <c r="G12781">
        <v>189</v>
      </c>
      <c r="H12781">
        <v>205.45</v>
      </c>
      <c r="I12781">
        <v>205.44</v>
      </c>
      <c r="J12781">
        <v>0.01</v>
      </c>
    </row>
    <row r="12782" spans="1:10" x14ac:dyDescent="0.3">
      <c r="A12782" t="str">
        <f>HYPERLINK("https://us2.cloudbeds.com/connect/10074733072513#/reservations/31718709670041?display=MX86X5BZ8&amp;reservation_id=31718709670041", "MX86X5BZ8")</f>
        <v>MX86X5BZ8</v>
      </c>
      <c r="B12782" t="s">
        <v>10</v>
      </c>
      <c r="C12782" t="s">
        <v>42</v>
      </c>
      <c r="D12782" t="str">
        <f>HYPERLINK("https://us2.cloudbeds.com/connect/10074733072513#/reservations/31718709670041?display=Vernon%20Gollobit&amp;reservation_id=31718709670041&amp;guest_id=31718480806050", "Vernon Gollobit")</f>
        <v>Vernon Gollobit</v>
      </c>
      <c r="E12782" t="s">
        <v>12220</v>
      </c>
      <c r="F12782" t="s">
        <v>12172</v>
      </c>
      <c r="G12782">
        <v>285.60000000000002</v>
      </c>
      <c r="H12782">
        <v>310.45999999999998</v>
      </c>
      <c r="I12782">
        <v>310.45</v>
      </c>
      <c r="J12782">
        <v>0.01</v>
      </c>
    </row>
    <row r="12783" spans="1:10" x14ac:dyDescent="0.3">
      <c r="A12783" t="str">
        <f>HYPERLINK("https://us2.cloudbeds.com/connect/10074733072513#/reservations/31711006015695?display=MX27N7QW5&amp;reservation_id=31711006015695", "MX27N7QW5")</f>
        <v>MX27N7QW5</v>
      </c>
      <c r="B12783" t="s">
        <v>10</v>
      </c>
      <c r="C12783" t="s">
        <v>42</v>
      </c>
      <c r="D12783" t="str">
        <f>HYPERLINK("https://us2.cloudbeds.com/connect/10074733072513#/reservations/31711006015695?display=Carrie%20Wilson&amp;reservation_id=31711006015695&amp;guest_id=31711006015690", "Carrie Wilson")</f>
        <v>Carrie Wilson</v>
      </c>
      <c r="E12783" t="s">
        <v>12221</v>
      </c>
      <c r="F12783" t="s">
        <v>10330</v>
      </c>
      <c r="G12783">
        <v>159</v>
      </c>
      <c r="H12783">
        <v>172.84</v>
      </c>
      <c r="I12783">
        <v>172.83</v>
      </c>
      <c r="J12783">
        <v>0.01</v>
      </c>
    </row>
    <row r="12784" spans="1:10" x14ac:dyDescent="0.3">
      <c r="A12784" t="str">
        <f>HYPERLINK("https://us2.cloudbeds.com/connect/10074733072513#/reservations/31713057394900?display=MX3R40FEC&amp;reservation_id=31713057394900", "MX3R40FEC")</f>
        <v>MX3R40FEC</v>
      </c>
      <c r="B12784" t="s">
        <v>10</v>
      </c>
      <c r="C12784" t="s">
        <v>42</v>
      </c>
      <c r="D12784" t="str">
        <f>HYPERLINK("https://us2.cloudbeds.com/connect/10074733072513#/reservations/31713057394900?display=Ramon%20Clemente&amp;reservation_id=31713057394900&amp;guest_id=31713005879432", "Ramon Clemente")</f>
        <v>Ramon Clemente</v>
      </c>
      <c r="E12784" t="s">
        <v>12222</v>
      </c>
      <c r="F12784" t="s">
        <v>12223</v>
      </c>
      <c r="G12784">
        <v>378</v>
      </c>
      <c r="H12784">
        <v>410.9</v>
      </c>
      <c r="I12784">
        <v>410.89</v>
      </c>
      <c r="J12784">
        <v>0.01</v>
      </c>
    </row>
    <row r="12785" spans="1:10" x14ac:dyDescent="0.3">
      <c r="A12785" t="str">
        <f>HYPERLINK("https://us2.cloudbeds.com/connect/10074733072513#/reservations/31717392683261?display=MX75TY8FV&amp;reservation_id=31717392683261", "MX75TY8FV")</f>
        <v>MX75TY8FV</v>
      </c>
      <c r="B12785" t="s">
        <v>10</v>
      </c>
      <c r="C12785" t="s">
        <v>23</v>
      </c>
      <c r="D12785" t="str">
        <f>HYPERLINK("https://us2.cloudbeds.com/connect/10074733072513#/reservations/31717392683261?display=Todd%20Barber&amp;reservation_id=31717392683261&amp;guest_id=31717392683257", "Todd Barber")</f>
        <v>Todd Barber</v>
      </c>
      <c r="E12785" t="s">
        <v>12224</v>
      </c>
      <c r="F12785" t="s">
        <v>11928</v>
      </c>
      <c r="G12785">
        <v>102.58</v>
      </c>
      <c r="H12785">
        <v>111.51</v>
      </c>
      <c r="I12785">
        <v>111.5</v>
      </c>
      <c r="J12785">
        <v>0.01</v>
      </c>
    </row>
    <row r="12786" spans="1:10" x14ac:dyDescent="0.3">
      <c r="A12786" t="str">
        <f>HYPERLINK("https://us2.cloudbeds.com/connect/10074733072513#/reservations/31716829110525?display=MX6ZGE0G8&amp;reservation_id=31716829110525", "MX6ZGE0G8")</f>
        <v>MX6ZGE0G8</v>
      </c>
      <c r="B12786" t="s">
        <v>10</v>
      </c>
      <c r="C12786" t="s">
        <v>23</v>
      </c>
      <c r="D12786" t="str">
        <f>HYPERLINK("https://us2.cloudbeds.com/connect/10074733072513#/reservations/31716829110525?display=Michael%20Calvert&amp;reservation_id=31716829110525&amp;guest_id=31716829110465", "Michael Calvert")</f>
        <v>Michael Calvert</v>
      </c>
      <c r="E12786" t="s">
        <v>12225</v>
      </c>
      <c r="F12786" t="s">
        <v>10695</v>
      </c>
      <c r="G12786">
        <v>247.96</v>
      </c>
      <c r="H12786">
        <v>269.54000000000002</v>
      </c>
      <c r="I12786">
        <v>269.52999999999997</v>
      </c>
      <c r="J12786">
        <v>0.01</v>
      </c>
    </row>
    <row r="12787" spans="1:10" x14ac:dyDescent="0.3">
      <c r="A12787" t="str">
        <f>HYPERLINK("https://us2.cloudbeds.com/connect/10074733072513#/reservations/31713019830508?display=MX3Q5B61F&amp;reservation_id=31713019830508", "MX3Q5B61F")</f>
        <v>MX3Q5B61F</v>
      </c>
      <c r="B12787" t="s">
        <v>10</v>
      </c>
      <c r="C12787" t="s">
        <v>42</v>
      </c>
      <c r="D12787" t="str">
        <f>HYPERLINK("https://us2.cloudbeds.com/connect/10074733072513#/reservations/31713019830508?display=Ramon%20Clemente&amp;reservation_id=31713019830508&amp;guest_id=31713005879432", "Ramon Clemente")</f>
        <v>Ramon Clemente</v>
      </c>
      <c r="E12787" t="s">
        <v>12222</v>
      </c>
      <c r="F12787" t="s">
        <v>12223</v>
      </c>
      <c r="G12787">
        <v>378</v>
      </c>
      <c r="H12787">
        <v>410.9</v>
      </c>
      <c r="I12787">
        <v>410.89</v>
      </c>
      <c r="J12787">
        <v>0.01</v>
      </c>
    </row>
    <row r="12788" spans="1:10" x14ac:dyDescent="0.3">
      <c r="A12788" t="str">
        <f>HYPERLINK("https://us2.cloudbeds.com/connect/10074733072513#/reservations/31716393017486?display=MX6DBN2ZM&amp;reservation_id=31716393017486", "MX6DBN2ZM")</f>
        <v>MX6DBN2ZM</v>
      </c>
      <c r="B12788" t="s">
        <v>10</v>
      </c>
      <c r="C12788" t="s">
        <v>42</v>
      </c>
      <c r="D12788" t="str">
        <f>HYPERLINK("https://us2.cloudbeds.com/connect/10074733072513#/reservations/31716393017486?display=Jane%20Rokusek&amp;reservation_id=31716393017486&amp;guest_id=31716325941423", "Jane Rokusek")</f>
        <v>Jane Rokusek</v>
      </c>
      <c r="E12788" t="s">
        <v>12226</v>
      </c>
      <c r="F12788" t="s">
        <v>11938</v>
      </c>
      <c r="G12788">
        <v>278</v>
      </c>
      <c r="H12788">
        <v>302.2</v>
      </c>
      <c r="I12788">
        <v>302.19</v>
      </c>
      <c r="J12788">
        <v>0.01</v>
      </c>
    </row>
    <row r="12789" spans="1:10" x14ac:dyDescent="0.3">
      <c r="A12789" t="str">
        <f>HYPERLINK("https://us2.cloudbeds.com/connect/10074733072513#/reservations/31716325941428?display=MX6BY4JXS&amp;reservation_id=31716325941428", "MX6BY4JXS")</f>
        <v>MX6BY4JXS</v>
      </c>
      <c r="B12789" t="s">
        <v>10</v>
      </c>
      <c r="C12789" t="s">
        <v>42</v>
      </c>
      <c r="D12789" t="str">
        <f>HYPERLINK("https://us2.cloudbeds.com/connect/10074733072513#/reservations/31716325941428?display=Jane%20Rokusek&amp;reservation_id=31716325941428&amp;guest_id=31716325941423", "Jane Rokusek")</f>
        <v>Jane Rokusek</v>
      </c>
      <c r="E12789" t="s">
        <v>12226</v>
      </c>
      <c r="F12789" t="s">
        <v>11938</v>
      </c>
      <c r="G12789">
        <v>278</v>
      </c>
      <c r="H12789">
        <v>302.2</v>
      </c>
      <c r="I12789">
        <v>302.19</v>
      </c>
      <c r="J12789">
        <v>0.01</v>
      </c>
    </row>
    <row r="12790" spans="1:10" x14ac:dyDescent="0.3">
      <c r="A12790" t="str">
        <f>HYPERLINK("https://us2.cloudbeds.com/connect/10074733072513#/reservations/31716293120138?display=MX6AQF9YA&amp;reservation_id=31716293120138", "MX6AQF9YA")</f>
        <v>MX6AQF9YA</v>
      </c>
      <c r="B12790" t="s">
        <v>10</v>
      </c>
      <c r="C12790" t="s">
        <v>42</v>
      </c>
      <c r="D12790" t="str">
        <f>HYPERLINK("https://us2.cloudbeds.com/connect/10074733072513#/reservations/31716293120138?display=Donnie%20Shannon&amp;reservation_id=31716293120138&amp;guest_id=31716293116057", "Donnie Shannon")</f>
        <v>Donnie Shannon</v>
      </c>
      <c r="E12790" t="s">
        <v>10929</v>
      </c>
      <c r="F12790" t="s">
        <v>12204</v>
      </c>
      <c r="G12790">
        <v>73</v>
      </c>
      <c r="H12790">
        <v>79.36</v>
      </c>
      <c r="I12790">
        <v>79.349999999999994</v>
      </c>
      <c r="J12790">
        <v>0.01</v>
      </c>
    </row>
    <row r="12791" spans="1:10" x14ac:dyDescent="0.3">
      <c r="A12791" t="str">
        <f>HYPERLINK("https://us2.cloudbeds.com/connect/10074733072513#/reservations/31715953848517?display=MX624CXF3&amp;reservation_id=31715953848517", "MX624CXF3")</f>
        <v>MX624CXF3</v>
      </c>
      <c r="B12791" t="s">
        <v>10</v>
      </c>
      <c r="C12791" t="s">
        <v>23</v>
      </c>
      <c r="D12791" t="str">
        <f>HYPERLINK("https://us2.cloudbeds.com/connect/10074733072513#/reservations/31715953848517?display=David%20Logan&amp;reservation_id=31715953848517&amp;guest_id=31715953844421", "David Logan")</f>
        <v>David Logan</v>
      </c>
      <c r="E12791" t="s">
        <v>12227</v>
      </c>
      <c r="F12791" t="s">
        <v>12109</v>
      </c>
      <c r="G12791">
        <v>229</v>
      </c>
      <c r="H12791">
        <v>248.93</v>
      </c>
      <c r="I12791">
        <v>248.92</v>
      </c>
      <c r="J12791">
        <v>0.01</v>
      </c>
    </row>
    <row r="12792" spans="1:10" x14ac:dyDescent="0.3">
      <c r="A12792" t="str">
        <f>HYPERLINK("https://us2.cloudbeds.com/connect/10074733072513#/reservations/31717332996231?display=MX74CACF2&amp;reservation_id=31717332996231", "MX74CACF2")</f>
        <v>MX74CACF2</v>
      </c>
      <c r="B12792" t="s">
        <v>10</v>
      </c>
      <c r="C12792" t="s">
        <v>42</v>
      </c>
      <c r="D12792" t="str">
        <f>HYPERLINK("https://us2.cloudbeds.com/connect/10074733072513#/reservations/31717332996231?display=Marvin%20Nakonechny&amp;reservation_id=31717332996231&amp;guest_id=31717332992183", "Marvin Nakonechny")</f>
        <v>Marvin Nakonechny</v>
      </c>
      <c r="E12792" t="s">
        <v>12229</v>
      </c>
      <c r="F12792" t="s">
        <v>11928</v>
      </c>
      <c r="G12792">
        <v>129</v>
      </c>
      <c r="H12792">
        <v>140.22999999999999</v>
      </c>
      <c r="I12792">
        <v>140.22</v>
      </c>
      <c r="J12792">
        <v>0.01</v>
      </c>
    </row>
    <row r="12793" spans="1:10" x14ac:dyDescent="0.3">
      <c r="A12793" t="str">
        <f>HYPERLINK("https://us2.cloudbeds.com/connect/10074733072513#/reservations/31716736802977?display=MX6M4JDTR&amp;reservation_id=31716736802977", "MX6M4JDTR")</f>
        <v>MX6M4JDTR</v>
      </c>
      <c r="B12793" t="s">
        <v>10</v>
      </c>
      <c r="C12793" t="s">
        <v>42</v>
      </c>
      <c r="D12793" t="str">
        <f>HYPERLINK("https://us2.cloudbeds.com/connect/10074733072513#/reservations/31716736802977?display=Alex%20Friest&amp;reservation_id=31716736802977&amp;guest_id=31714274951327", "Alex Friest")</f>
        <v>Alex Friest</v>
      </c>
      <c r="E12793" t="s">
        <v>12166</v>
      </c>
      <c r="F12793" t="s">
        <v>11504</v>
      </c>
      <c r="G12793">
        <v>963</v>
      </c>
      <c r="H12793">
        <v>1046.79</v>
      </c>
      <c r="I12793">
        <v>1046.78</v>
      </c>
      <c r="J12793">
        <v>0.01</v>
      </c>
    </row>
    <row r="12794" spans="1:10" x14ac:dyDescent="0.3">
      <c r="A12794" t="str">
        <f>HYPERLINK("https://us2.cloudbeds.com/connect/10074733072513#/reservations/31714624884904?display=MX515P66F&amp;reservation_id=31714624884904", "MX515P66F")</f>
        <v>MX515P66F</v>
      </c>
      <c r="B12794" t="s">
        <v>10</v>
      </c>
      <c r="C12794" t="s">
        <v>23</v>
      </c>
      <c r="D12794" t="str">
        <f>HYPERLINK("https://us2.cloudbeds.com/connect/10074733072513#/reservations/31714624884904?display=Brian%20Ehler&amp;reservation_id=31714624884904&amp;guest_id=31714624884898", "Brian Ehler")</f>
        <v>Brian Ehler</v>
      </c>
      <c r="E12794" t="s">
        <v>12232</v>
      </c>
      <c r="F12794" t="s">
        <v>12233</v>
      </c>
      <c r="G12794">
        <v>278</v>
      </c>
      <c r="H12794">
        <v>302.2</v>
      </c>
      <c r="I12794">
        <v>302.19</v>
      </c>
      <c r="J12794">
        <v>0.01</v>
      </c>
    </row>
    <row r="12795" spans="1:10" x14ac:dyDescent="0.3">
      <c r="A12795" t="str">
        <f>HYPERLINK("https://us2.cloudbeds.com/connect/10074733072513#/reservations/31717095633044?display=MX6VA5D37&amp;reservation_id=31717095633044", "MX6VA5D37")</f>
        <v>MX6VA5D37</v>
      </c>
      <c r="B12795" t="s">
        <v>10</v>
      </c>
      <c r="C12795" t="s">
        <v>42</v>
      </c>
      <c r="D12795" t="str">
        <f>HYPERLINK("https://us2.cloudbeds.com/connect/10074733072513#/reservations/31717095633044?display=Grace%20Aust&amp;reservation_id=31717095633044&amp;guest_id=31717095628951", "Grace Aust")</f>
        <v>Grace Aust</v>
      </c>
      <c r="E12795" t="s">
        <v>12234</v>
      </c>
      <c r="F12795" t="s">
        <v>11307</v>
      </c>
      <c r="G12795">
        <v>109</v>
      </c>
      <c r="H12795">
        <v>118.49</v>
      </c>
      <c r="I12795">
        <v>118.48</v>
      </c>
      <c r="J12795">
        <v>0.01</v>
      </c>
    </row>
    <row r="12796" spans="1:10" x14ac:dyDescent="0.3">
      <c r="A12796" t="str">
        <f>HYPERLINK("https://us2.cloudbeds.com/connect/10074733072513#/reservations/31715276599527?display=MX5HRA3XE&amp;reservation_id=31715276599527", "MX5HRA3XE")</f>
        <v>MX5HRA3XE</v>
      </c>
      <c r="B12796" t="s">
        <v>10</v>
      </c>
      <c r="C12796" t="s">
        <v>42</v>
      </c>
      <c r="D12796" t="str">
        <f>HYPERLINK("https://us2.cloudbeds.com/connect/10074733072513#/reservations/31715276599527?display=David%20Stewart&amp;reservation_id=31715276599527&amp;guest_id=31715261149328", "David Stewart")</f>
        <v>David Stewart</v>
      </c>
      <c r="E12796" t="s">
        <v>12236</v>
      </c>
      <c r="F12796" t="s">
        <v>11307</v>
      </c>
      <c r="G12796">
        <v>73</v>
      </c>
      <c r="H12796">
        <v>79.36</v>
      </c>
      <c r="I12796">
        <v>79.349999999999994</v>
      </c>
      <c r="J12796">
        <v>0.01</v>
      </c>
    </row>
    <row r="12797" spans="1:10" x14ac:dyDescent="0.3">
      <c r="A12797" t="str">
        <f>HYPERLINK("https://us2.cloudbeds.com/connect/10074733072513#/reservations/31719025250459?display=MX8EK8RU7&amp;reservation_id=31719025250459", "MX8EK8RU7")</f>
        <v>MX8EK8RU7</v>
      </c>
      <c r="B12797" t="s">
        <v>10</v>
      </c>
      <c r="C12797" t="s">
        <v>23</v>
      </c>
      <c r="D12797" t="str">
        <f>HYPERLINK("https://us2.cloudbeds.com/connect/10074733072513#/reservations/31719025250459?display=Marcy%20Kuper&amp;reservation_id=31719025250459&amp;guest_id=31719025250457", "Marcy Kuper")</f>
        <v>Marcy Kuper</v>
      </c>
      <c r="E12797" t="s">
        <v>12238</v>
      </c>
      <c r="F12797" t="s">
        <v>11042</v>
      </c>
      <c r="G12797">
        <v>159</v>
      </c>
      <c r="H12797">
        <v>172.84</v>
      </c>
      <c r="I12797">
        <v>172.83</v>
      </c>
      <c r="J12797">
        <v>0.01</v>
      </c>
    </row>
    <row r="12798" spans="1:10" x14ac:dyDescent="0.3">
      <c r="A12798" t="str">
        <f>HYPERLINK("https://us2.cloudbeds.com/connect/10074733072513#/reservations/31715182833814?display=MX5FE7UW6&amp;reservation_id=31715182833814", "MX5FE7UW6")</f>
        <v>MX5FE7UW6</v>
      </c>
      <c r="B12798" t="s">
        <v>10</v>
      </c>
      <c r="C12798" t="s">
        <v>121</v>
      </c>
      <c r="D12798" t="str">
        <f>HYPERLINK("https://us2.cloudbeds.com/connect/10074733072513#/reservations/31715182833814?display=Lee%20Moir&amp;reservation_id=31715182833814&amp;guest_id=31715176562942", "Lee Moir")</f>
        <v>Lee Moir</v>
      </c>
      <c r="E12798" t="s">
        <v>12128</v>
      </c>
      <c r="F12798" t="s">
        <v>11307</v>
      </c>
      <c r="G12798">
        <v>119</v>
      </c>
      <c r="H12798">
        <v>129.36000000000001</v>
      </c>
      <c r="I12798">
        <v>129.35</v>
      </c>
      <c r="J12798">
        <v>0.01</v>
      </c>
    </row>
    <row r="12799" spans="1:10" x14ac:dyDescent="0.3">
      <c r="A12799" t="str">
        <f>HYPERLINK("https://us2.cloudbeds.com/connect/10074733072513#/reservations/31720814641311?display=MX9RB49CE&amp;reservation_id=31720814641311", "MX9RB49CE")</f>
        <v>MX9RB49CE</v>
      </c>
      <c r="B12799" t="s">
        <v>10</v>
      </c>
      <c r="C12799" t="s">
        <v>42</v>
      </c>
      <c r="D12799" t="str">
        <f>HYPERLINK("https://us2.cloudbeds.com/connect/10074733072513#/reservations/31720814641311?display=Steven%20Kletschka&amp;reservation_id=31720814641311&amp;guest_id=31720796102863", "Steven Kletschka")</f>
        <v>Steven Kletschka</v>
      </c>
      <c r="E12799" t="s">
        <v>12241</v>
      </c>
      <c r="F12799" t="s">
        <v>10695</v>
      </c>
      <c r="G12799">
        <v>189</v>
      </c>
      <c r="H12799">
        <v>205.45</v>
      </c>
      <c r="I12799">
        <v>205.44</v>
      </c>
      <c r="J12799">
        <v>0.01</v>
      </c>
    </row>
    <row r="12800" spans="1:10" x14ac:dyDescent="0.3">
      <c r="A12800" t="str">
        <f>HYPERLINK("https://us2.cloudbeds.com/connect/10074733072513#/reservations/31714362507505?display=MX4RFH4V6&amp;reservation_id=31714362507505", "MX4RFH4V6")</f>
        <v>MX4RFH4V6</v>
      </c>
      <c r="B12800" t="s">
        <v>10</v>
      </c>
      <c r="C12800" t="s">
        <v>23</v>
      </c>
      <c r="D12800" t="str">
        <f>HYPERLINK("https://us2.cloudbeds.com/connect/10074733072513#/reservations/31714362507505?display=Raymond%20Yorek&amp;reservation_id=31714362507505&amp;guest_id=31714352087194", "Raymond Yorek")</f>
        <v>Raymond Yorek</v>
      </c>
      <c r="E12800" t="s">
        <v>12242</v>
      </c>
      <c r="F12800" t="s">
        <v>12141</v>
      </c>
      <c r="G12800">
        <v>119</v>
      </c>
      <c r="H12800">
        <v>129.36000000000001</v>
      </c>
      <c r="I12800">
        <v>129.35</v>
      </c>
      <c r="J12800">
        <v>0.01</v>
      </c>
    </row>
    <row r="12801" spans="1:10" x14ac:dyDescent="0.3">
      <c r="A12801" t="str">
        <f>HYPERLINK("https://us2.cloudbeds.com/connect/10074733072513#/reservations/31714770198741?display=MX54T9P22&amp;reservation_id=31714770198741", "MX54T9P22")</f>
        <v>MX54T9P22</v>
      </c>
      <c r="B12801" t="s">
        <v>10</v>
      </c>
      <c r="C12801" t="s">
        <v>42</v>
      </c>
      <c r="D12801" t="str">
        <f>HYPERLINK("https://us2.cloudbeds.com/connect/10074733072513#/reservations/31714770198741?display=Nathan%20Holm&amp;reservation_id=31714770198741&amp;guest_id=31714770198726", "Nathan Holm")</f>
        <v>Nathan Holm</v>
      </c>
      <c r="E12801" t="s">
        <v>12243</v>
      </c>
      <c r="F12801" t="s">
        <v>10750</v>
      </c>
      <c r="G12801">
        <v>169</v>
      </c>
      <c r="H12801">
        <v>183.71</v>
      </c>
      <c r="I12801">
        <v>183.7</v>
      </c>
      <c r="J12801">
        <v>0.01</v>
      </c>
    </row>
    <row r="12802" spans="1:10" x14ac:dyDescent="0.3">
      <c r="A12802" t="str">
        <f>HYPERLINK("https://us2.cloudbeds.com/connect/10074733072513#/reservations/31714604077193?display=MX50Y760P&amp;reservation_id=31714604077193", "MX50Y760P")</f>
        <v>MX50Y760P</v>
      </c>
      <c r="B12802" t="s">
        <v>10</v>
      </c>
      <c r="C12802" t="s">
        <v>23</v>
      </c>
      <c r="D12802" t="str">
        <f>HYPERLINK("https://us2.cloudbeds.com/connect/10074733072513#/reservations/31714604077193?display=Abby%20Metzger&amp;reservation_id=31714604077193&amp;guest_id=31714604073100", "Abby Metzger")</f>
        <v>Abby Metzger</v>
      </c>
      <c r="E12802" t="s">
        <v>8111</v>
      </c>
      <c r="F12802" t="s">
        <v>12233</v>
      </c>
      <c r="G12802">
        <v>169</v>
      </c>
      <c r="H12802">
        <v>183.71</v>
      </c>
      <c r="I12802">
        <v>183.7</v>
      </c>
      <c r="J12802">
        <v>0.01</v>
      </c>
    </row>
    <row r="12803" spans="1:10" x14ac:dyDescent="0.3">
      <c r="A12803" t="str">
        <f>HYPERLINK("https://us2.cloudbeds.com/connect/10074733072513#/reservations/31717829812428?display=MX7H280MB&amp;reservation_id=31717829812428", "MX7H280MB")</f>
        <v>MX7H280MB</v>
      </c>
      <c r="B12803" t="s">
        <v>10</v>
      </c>
      <c r="C12803" t="s">
        <v>42</v>
      </c>
      <c r="D12803" t="str">
        <f>HYPERLINK("https://us2.cloudbeds.com/connect/10074733072513#/reservations/31717829812428?display=Megan%20Martin&amp;reservation_id=31717829812428&amp;guest_id=31717829812425", "Megan Martin")</f>
        <v>Megan Martin</v>
      </c>
      <c r="E12803" t="s">
        <v>12245</v>
      </c>
      <c r="F12803" t="s">
        <v>12246</v>
      </c>
      <c r="G12803">
        <v>109</v>
      </c>
      <c r="H12803">
        <v>118.49</v>
      </c>
      <c r="I12803">
        <v>118.48</v>
      </c>
      <c r="J12803">
        <v>0.01</v>
      </c>
    </row>
    <row r="12804" spans="1:10" x14ac:dyDescent="0.3">
      <c r="A12804" t="str">
        <f>HYPERLINK("https://us2.cloudbeds.com/connect/10074733072513#/reservations/31714509160656?display=MX4V75WM2&amp;reservation_id=31714509160656", "MX4V75WM2")</f>
        <v>MX4V75WM2</v>
      </c>
      <c r="B12804" t="s">
        <v>10</v>
      </c>
      <c r="C12804" t="s">
        <v>23</v>
      </c>
      <c r="D12804" t="str">
        <f>HYPERLINK("https://us2.cloudbeds.com/connect/10074733072513#/reservations/31714509160656?display=Holly%20Smith&amp;reservation_id=31714509160656&amp;guest_id=31714502467766", "Holly Smith")</f>
        <v>Holly Smith</v>
      </c>
      <c r="E12804" t="s">
        <v>8832</v>
      </c>
      <c r="F12804" t="s">
        <v>10695</v>
      </c>
      <c r="G12804">
        <v>179</v>
      </c>
      <c r="H12804">
        <v>194.58</v>
      </c>
      <c r="I12804">
        <v>194.57</v>
      </c>
      <c r="J12804">
        <v>0.01</v>
      </c>
    </row>
    <row r="12805" spans="1:10" x14ac:dyDescent="0.3">
      <c r="A12805" t="str">
        <f>HYPERLINK("https://us2.cloudbeds.com/connect/10074733072513#/reservations/31714517291235?display=MX4VE17P8&amp;reservation_id=31714517291235", "MX4VE17P8")</f>
        <v>MX4VE17P8</v>
      </c>
      <c r="B12805" t="s">
        <v>10</v>
      </c>
      <c r="C12805" t="s">
        <v>42</v>
      </c>
      <c r="D12805" t="str">
        <f>HYPERLINK("https://us2.cloudbeds.com/connect/10074733072513#/reservations/31714517291235?display=Kathryn%20Roebke&amp;reservation_id=31714517291235&amp;guest_id=31714509164747", "Kathryn Roebke")</f>
        <v>Kathryn Roebke</v>
      </c>
      <c r="E12805" t="s">
        <v>12247</v>
      </c>
      <c r="F12805" t="s">
        <v>10695</v>
      </c>
      <c r="G12805">
        <v>179</v>
      </c>
      <c r="H12805">
        <v>194.58</v>
      </c>
      <c r="I12805">
        <v>194.57</v>
      </c>
      <c r="J12805">
        <v>0.01</v>
      </c>
    </row>
    <row r="12806" spans="1:10" x14ac:dyDescent="0.3">
      <c r="A12806" t="str">
        <f>HYPERLINK("https://us2.cloudbeds.com/connect/10074733072513#/reservations/31715532746911?display=MX5ZC9PVB&amp;reservation_id=31715532746911", "MX5ZC9PVB")</f>
        <v>MX5ZC9PVB</v>
      </c>
      <c r="B12806" t="s">
        <v>10</v>
      </c>
      <c r="C12806" t="s">
        <v>23</v>
      </c>
      <c r="D12806" t="str">
        <f>HYPERLINK("https://us2.cloudbeds.com/connect/10074733072513#/reservations/31715532746911?display=Karen%20Hodge&amp;reservation_id=31715532746911&amp;guest_id=31715520356487", "Karen Hodge")</f>
        <v>Karen Hodge</v>
      </c>
      <c r="E12806" t="s">
        <v>12249</v>
      </c>
      <c r="F12806" t="s">
        <v>10695</v>
      </c>
      <c r="G12806">
        <v>159</v>
      </c>
      <c r="H12806">
        <v>172.84</v>
      </c>
      <c r="I12806">
        <v>172.83</v>
      </c>
      <c r="J12806">
        <v>0.01</v>
      </c>
    </row>
    <row r="12807" spans="1:10" x14ac:dyDescent="0.3">
      <c r="A12807" t="str">
        <f>HYPERLINK("https://us2.cloudbeds.com/connect/10074733072513#/reservations/31718326210746?display=MX7TZR15F&amp;reservation_id=31718326210746", "MX7TZR15F")</f>
        <v>MX7TZR15F</v>
      </c>
      <c r="B12807" t="s">
        <v>10</v>
      </c>
      <c r="C12807" t="s">
        <v>121</v>
      </c>
      <c r="D12807" t="str">
        <f>HYPERLINK("https://us2.cloudbeds.com/connect/10074733072513#/reservations/31718326210746?display=Mason%20Hanson&amp;reservation_id=31718326210746&amp;guest_id=31718316003555", "Mason Hanson")</f>
        <v>Mason Hanson</v>
      </c>
      <c r="E12807" t="s">
        <v>12250</v>
      </c>
      <c r="F12807" t="s">
        <v>10695</v>
      </c>
      <c r="G12807">
        <v>159</v>
      </c>
      <c r="H12807">
        <v>172.84</v>
      </c>
      <c r="I12807">
        <v>172.83</v>
      </c>
      <c r="J12807">
        <v>0.01</v>
      </c>
    </row>
    <row r="12808" spans="1:10" x14ac:dyDescent="0.3">
      <c r="A12808" t="str">
        <f>HYPERLINK("https://us2.cloudbeds.com/connect/10074733072513#/reservations/31716868092155?display=MX6PG9Z9P&amp;reservation_id=31716868092155", "MX6PG9Z9P")</f>
        <v>MX6PG9Z9P</v>
      </c>
      <c r="B12808" t="s">
        <v>10</v>
      </c>
      <c r="C12808" t="s">
        <v>42</v>
      </c>
      <c r="D12808" t="str">
        <f>HYPERLINK("https://us2.cloudbeds.com/connect/10074733072513#/reservations/31716868092155?display=Robert%20Willenburg&amp;reservation_id=31716868092155&amp;guest_id=31674472927440", "Robert Willenburg")</f>
        <v>Robert Willenburg</v>
      </c>
      <c r="E12808" t="s">
        <v>12251</v>
      </c>
      <c r="F12808" t="s">
        <v>10695</v>
      </c>
      <c r="G12808">
        <v>159</v>
      </c>
      <c r="H12808">
        <v>172.84</v>
      </c>
      <c r="I12808">
        <v>172.83</v>
      </c>
      <c r="J12808">
        <v>0.01</v>
      </c>
    </row>
    <row r="12809" spans="1:10" x14ac:dyDescent="0.3">
      <c r="A12809" t="str">
        <f>HYPERLINK("https://us2.cloudbeds.com/connect/10074733072513#/reservations/31714584105157?display=MX504CE7H&amp;reservation_id=31714584105157", "MX504CE7H")</f>
        <v>MX504CE7H</v>
      </c>
      <c r="B12809" t="s">
        <v>10</v>
      </c>
      <c r="C12809" t="s">
        <v>23</v>
      </c>
      <c r="D12809" t="str">
        <f>HYPERLINK("https://us2.cloudbeds.com/connect/10074733072513#/reservations/31714584105157?display=Kim%20Konrad&amp;reservation_id=31714584105157&amp;guest_id=31714584101064", "Kim Konrad")</f>
        <v>Kim Konrad</v>
      </c>
      <c r="E12809" t="s">
        <v>12252</v>
      </c>
      <c r="F12809" t="s">
        <v>11573</v>
      </c>
      <c r="G12809">
        <v>398</v>
      </c>
      <c r="H12809">
        <v>432.64</v>
      </c>
      <c r="I12809">
        <v>432.63</v>
      </c>
      <c r="J12809">
        <v>0.01</v>
      </c>
    </row>
    <row r="12810" spans="1:10" x14ac:dyDescent="0.3">
      <c r="A12810" t="str">
        <f>HYPERLINK("https://us2.cloudbeds.com/connect/10074733072513#/reservations/31714393530519?display=MX4S8MDXH&amp;reservation_id=31714393530519", "MX4S8MDXH")</f>
        <v>MX4S8MDXH</v>
      </c>
      <c r="B12810" t="s">
        <v>10</v>
      </c>
      <c r="C12810" t="s">
        <v>42</v>
      </c>
      <c r="D12810" t="str">
        <f>HYPERLINK("https://us2.cloudbeds.com/connect/10074733072513#/reservations/31714393530519?display=Yurii%20Vadiuk&amp;reservation_id=31714393530519&amp;guest_id=31714387787964", "Yurii Vadiuk")</f>
        <v>Yurii Vadiuk</v>
      </c>
      <c r="E12810" t="s">
        <v>12254</v>
      </c>
      <c r="F12810" t="s">
        <v>12141</v>
      </c>
      <c r="G12810">
        <v>149</v>
      </c>
      <c r="H12810">
        <v>161.97</v>
      </c>
      <c r="I12810">
        <v>161.96</v>
      </c>
      <c r="J12810">
        <v>0.01</v>
      </c>
    </row>
    <row r="12811" spans="1:10" x14ac:dyDescent="0.3">
      <c r="A12811" t="str">
        <f>HYPERLINK("https://us2.cloudbeds.com/connect/10074733072513#/reservations/31714814730439?display=MX560RUBF&amp;reservation_id=31714814730439", "MX560RUBF")</f>
        <v>MX560RUBF</v>
      </c>
      <c r="B12811" t="s">
        <v>10</v>
      </c>
      <c r="C12811" t="s">
        <v>23</v>
      </c>
      <c r="D12811" t="str">
        <f>HYPERLINK("https://us2.cloudbeds.com/connect/10074733072513#/reservations/31714814730439?display=Stephen%20Zeller&amp;reservation_id=31714814730439&amp;guest_id=31714805092528", "Stephen Zeller")</f>
        <v>Stephen Zeller</v>
      </c>
      <c r="E12811" t="s">
        <v>12255</v>
      </c>
      <c r="F12811" t="s">
        <v>12240</v>
      </c>
      <c r="G12811">
        <v>139</v>
      </c>
      <c r="H12811">
        <v>151.1</v>
      </c>
      <c r="I12811">
        <v>151.09</v>
      </c>
      <c r="J12811">
        <v>0.01</v>
      </c>
    </row>
    <row r="12812" spans="1:10" x14ac:dyDescent="0.3">
      <c r="A12812" t="str">
        <f>HYPERLINK("https://us2.cloudbeds.com/connect/10074733072513#/reservations/31717637025968?display=MX7C4MEVD&amp;reservation_id=31717637025968", "MX7C4MEVD")</f>
        <v>MX7C4MEVD</v>
      </c>
      <c r="B12812" t="s">
        <v>10</v>
      </c>
      <c r="C12812" t="s">
        <v>42</v>
      </c>
      <c r="D12812" t="str">
        <f>HYPERLINK("https://us2.cloudbeds.com/connect/10074733072513#/reservations/31717637025968?display=James%20Braun&amp;reservation_id=31717637025968&amp;guest_id=30667431293087", "James Braun")</f>
        <v>James Braun</v>
      </c>
      <c r="E12812" t="s">
        <v>2763</v>
      </c>
      <c r="F12812" t="s">
        <v>12172</v>
      </c>
      <c r="G12812">
        <v>254.1</v>
      </c>
      <c r="H12812">
        <v>276.22000000000003</v>
      </c>
      <c r="I12812">
        <v>276.20999999999998</v>
      </c>
      <c r="J12812">
        <v>0.01</v>
      </c>
    </row>
    <row r="12813" spans="1:10" x14ac:dyDescent="0.3">
      <c r="A12813" t="str">
        <f>HYPERLINK("https://us2.cloudbeds.com/connect/10074733072513#/reservations/31714157662403?display=MX4M7Q12S&amp;reservation_id=31714157662403", "MX4M7Q12S")</f>
        <v>MX4M7Q12S</v>
      </c>
      <c r="B12813" t="s">
        <v>10</v>
      </c>
      <c r="C12813" t="s">
        <v>23</v>
      </c>
      <c r="D12813" t="str">
        <f>HYPERLINK("https://us2.cloudbeds.com/connect/10074733072513#/reservations/31714157662403?display=Anita%20Miller&amp;reservation_id=31714157662403&amp;guest_id=31714146930901", "Anita Miller")</f>
        <v>Anita Miller</v>
      </c>
      <c r="E12813" t="s">
        <v>12256</v>
      </c>
      <c r="F12813" t="s">
        <v>10750</v>
      </c>
      <c r="G12813">
        <v>209</v>
      </c>
      <c r="H12813">
        <v>227.19</v>
      </c>
      <c r="I12813">
        <v>227.18</v>
      </c>
      <c r="J12813">
        <v>0.01</v>
      </c>
    </row>
    <row r="12814" spans="1:10" x14ac:dyDescent="0.3">
      <c r="A12814" t="str">
        <f>HYPERLINK("https://us2.cloudbeds.com/connect/10074733072513#/reservations/31714580451568?display=MX5019P7N&amp;reservation_id=31714580451568", "MX5019P7N")</f>
        <v>MX5019P7N</v>
      </c>
      <c r="B12814" t="s">
        <v>10</v>
      </c>
      <c r="C12814" t="s">
        <v>42</v>
      </c>
      <c r="D12814" t="str">
        <f>HYPERLINK("https://us2.cloudbeds.com/connect/10074733072513#/reservations/31714580451568?display=Kylie%20Petty&amp;reservation_id=31714580451568&amp;guest_id=31714572038296", "Kylie Petty")</f>
        <v>Kylie Petty</v>
      </c>
      <c r="E12814" t="s">
        <v>12257</v>
      </c>
      <c r="F12814" t="s">
        <v>11573</v>
      </c>
      <c r="G12814">
        <v>209</v>
      </c>
      <c r="H12814">
        <v>227.19</v>
      </c>
      <c r="I12814">
        <v>227.18</v>
      </c>
      <c r="J12814">
        <v>0.01</v>
      </c>
    </row>
    <row r="12815" spans="1:10" x14ac:dyDescent="0.3">
      <c r="A12815" t="str">
        <f>HYPERLINK("https://us2.cloudbeds.com/connect/10074733072513#/reservations/31713728716984?display=MX4B92WQQ&amp;reservation_id=31713728716984", "MX4B92WQQ")</f>
        <v>MX4B92WQQ</v>
      </c>
      <c r="B12815" t="s">
        <v>10</v>
      </c>
      <c r="C12815" t="s">
        <v>42</v>
      </c>
      <c r="D12815" t="str">
        <f>HYPERLINK("https://us2.cloudbeds.com/connect/10074733072513#/reservations/31713728716984?display=Bill%20Clark&amp;reservation_id=31713728716984&amp;guest_id=31713728716931", "Bill Clark")</f>
        <v>Bill Clark</v>
      </c>
      <c r="E12815" t="s">
        <v>12258</v>
      </c>
      <c r="F12815" t="s">
        <v>11533</v>
      </c>
      <c r="G12815">
        <v>318</v>
      </c>
      <c r="H12815">
        <v>345.68</v>
      </c>
      <c r="I12815">
        <v>345.67</v>
      </c>
      <c r="J12815">
        <v>0.01</v>
      </c>
    </row>
    <row r="12816" spans="1:10" x14ac:dyDescent="0.3">
      <c r="A12816" t="str">
        <f>HYPERLINK("https://us2.cloudbeds.com/connect/10074733072513#/reservations/31712302522568?display=MX37RG127&amp;reservation_id=31712302522568", "MX37RG127")</f>
        <v>MX37RG127</v>
      </c>
      <c r="B12816" t="s">
        <v>10</v>
      </c>
      <c r="C12816" t="s">
        <v>42</v>
      </c>
      <c r="D12816" t="str">
        <f>HYPERLINK("https://us2.cloudbeds.com/connect/10074733072513#/reservations/31712302522568?display=Lloyd%20Knutson&amp;reservation_id=31712302522568&amp;guest_id=31712302522564", "Lloyd Knutson")</f>
        <v>Lloyd Knutson</v>
      </c>
      <c r="E12816" t="s">
        <v>12259</v>
      </c>
      <c r="F12816" t="s">
        <v>11371</v>
      </c>
      <c r="G12816">
        <v>318</v>
      </c>
      <c r="H12816">
        <v>345.68</v>
      </c>
      <c r="I12816">
        <v>345.67</v>
      </c>
      <c r="J12816">
        <v>0.01</v>
      </c>
    </row>
    <row r="12817" spans="1:10" x14ac:dyDescent="0.3">
      <c r="A12817" t="str">
        <f>HYPERLINK("https://us2.cloudbeds.com/connect/10074733072513#/reservations/31717162795247?display=MX700Q9CG&amp;reservation_id=31717162795247", "MX700Q9CG")</f>
        <v>MX700Q9CG</v>
      </c>
      <c r="B12817" t="s">
        <v>10</v>
      </c>
      <c r="C12817" t="s">
        <v>42</v>
      </c>
      <c r="D12817" t="str">
        <f>HYPERLINK("https://us2.cloudbeds.com/connect/10074733072513#/reservations/31717162795247?display=Eric%20Chryst&amp;reservation_id=31717162795247&amp;guest_id=31717162795201", "Eric Chryst")</f>
        <v>Eric Chryst</v>
      </c>
      <c r="E12817" t="s">
        <v>12260</v>
      </c>
      <c r="F12817" t="s">
        <v>12261</v>
      </c>
      <c r="G12817">
        <v>252</v>
      </c>
      <c r="H12817">
        <v>273.93</v>
      </c>
      <c r="I12817">
        <v>273.92</v>
      </c>
      <c r="J12817">
        <v>0.01</v>
      </c>
    </row>
    <row r="12818" spans="1:10" x14ac:dyDescent="0.3">
      <c r="A12818" t="str">
        <f>HYPERLINK("https://us2.cloudbeds.com/connect/10074733072513#/reservations/31717148860560?display=MX6WM1HH8&amp;reservation_id=31717148860560", "MX6WM1HH8")</f>
        <v>MX6WM1HH8</v>
      </c>
      <c r="B12818" t="s">
        <v>10</v>
      </c>
      <c r="C12818" t="s">
        <v>42</v>
      </c>
      <c r="D12818" t="str">
        <f>HYPERLINK("https://us2.cloudbeds.com/connect/10074733072513#/reservations/31717148860560?display=Le%20Roy%20Nelson&amp;reservation_id=31717148860560&amp;guest_id=31717148860554", "Le Roy Nelson")</f>
        <v>Le Roy Nelson</v>
      </c>
      <c r="E12818" t="s">
        <v>12262</v>
      </c>
      <c r="F12818" t="s">
        <v>12261</v>
      </c>
      <c r="G12818">
        <v>252</v>
      </c>
      <c r="H12818">
        <v>273.93</v>
      </c>
      <c r="I12818">
        <v>273.92</v>
      </c>
      <c r="J12818">
        <v>0.01</v>
      </c>
    </row>
    <row r="12819" spans="1:10" x14ac:dyDescent="0.3">
      <c r="A12819" t="str">
        <f>HYPERLINK("https://us2.cloudbeds.com/connect/10074733072513#/reservations/31712995225812?display=MX3PHJH6J&amp;reservation_id=31712995225812", "MX3PHJH6J")</f>
        <v>MX3PHJH6J</v>
      </c>
      <c r="B12819" t="s">
        <v>10</v>
      </c>
      <c r="C12819" t="s">
        <v>42</v>
      </c>
      <c r="D12819" t="str">
        <f>HYPERLINK("https://us2.cloudbeds.com/connect/10074733072513#/reservations/31712995225812?display=Aaron%20Paulson&amp;reservation_id=31712995225812&amp;guest_id=31712995221730", "Aaron Paulson")</f>
        <v>Aaron Paulson</v>
      </c>
      <c r="E12819" t="s">
        <v>12263</v>
      </c>
      <c r="F12819" t="s">
        <v>12261</v>
      </c>
      <c r="G12819">
        <v>252</v>
      </c>
      <c r="H12819">
        <v>273.93</v>
      </c>
      <c r="I12819">
        <v>273.92</v>
      </c>
      <c r="J12819">
        <v>0.01</v>
      </c>
    </row>
    <row r="12820" spans="1:10" x14ac:dyDescent="0.3">
      <c r="A12820" t="str">
        <f>HYPERLINK("https://us2.cloudbeds.com/connect/10074733072513#/reservations/31712971567313?display=MX3ZUY67D&amp;reservation_id=31712971567313", "MX3ZUY67D")</f>
        <v>MX3ZUY67D</v>
      </c>
      <c r="B12820" t="s">
        <v>10</v>
      </c>
      <c r="C12820" t="s">
        <v>42</v>
      </c>
      <c r="D12820" t="str">
        <f>HYPERLINK("https://us2.cloudbeds.com/connect/10074733072513#/reservations/31712971567313?display=Karina%20Bald-Eagle&amp;reservation_id=31712971567313&amp;guest_id=31712955863172", "Karina Bald-Eagle")</f>
        <v>Karina Bald-Eagle</v>
      </c>
      <c r="E12820" t="s">
        <v>12264</v>
      </c>
      <c r="F12820" t="s">
        <v>12261</v>
      </c>
      <c r="G12820">
        <v>150</v>
      </c>
      <c r="H12820">
        <v>163.06</v>
      </c>
      <c r="I12820">
        <v>163.05000000000001</v>
      </c>
      <c r="J12820">
        <v>0.01</v>
      </c>
    </row>
    <row r="12821" spans="1:10" x14ac:dyDescent="0.3">
      <c r="A12821" t="str">
        <f>HYPERLINK("https://us2.cloudbeds.com/connect/10074733072513#/reservations/31718083068050?display=MX7NHQ7Y4&amp;reservation_id=31718083068050", "MX7NHQ7Y4")</f>
        <v>MX7NHQ7Y4</v>
      </c>
      <c r="B12821" t="s">
        <v>10</v>
      </c>
      <c r="C12821" t="s">
        <v>23</v>
      </c>
      <c r="D12821" t="str">
        <f>HYPERLINK("https://us2.cloudbeds.com/connect/10074733072513#/reservations/31718083068050?display=Harold%20Yungbluth&amp;reservation_id=31718083068050&amp;guest_id=31718071091329", "Harold Yungbluth")</f>
        <v>Harold Yungbluth</v>
      </c>
      <c r="E12821" t="s">
        <v>12265</v>
      </c>
      <c r="F12821" t="s">
        <v>10527</v>
      </c>
      <c r="G12821">
        <v>102.58</v>
      </c>
      <c r="H12821">
        <v>111.51</v>
      </c>
      <c r="I12821">
        <v>111.5</v>
      </c>
      <c r="J12821">
        <v>0.01</v>
      </c>
    </row>
    <row r="12822" spans="1:10" x14ac:dyDescent="0.3">
      <c r="A12822" t="str">
        <f>HYPERLINK("https://us2.cloudbeds.com/connect/10074733072513#/reservations/31720082632895?display=MX98KT2B7&amp;reservation_id=31720082632895", "MX98KT2B7")</f>
        <v>MX98KT2B7</v>
      </c>
      <c r="B12822" t="s">
        <v>10</v>
      </c>
      <c r="C12822" t="s">
        <v>42</v>
      </c>
      <c r="D12822" t="str">
        <f>HYPERLINK("https://us2.cloudbeds.com/connect/10074733072513#/reservations/31720082632895?display=Paul%20Stevenson&amp;reservation_id=31720082632895&amp;guest_id=31679659221242", "Paul Stevenson")</f>
        <v>Paul Stevenson</v>
      </c>
      <c r="E12822" t="s">
        <v>6445</v>
      </c>
      <c r="F12822" t="s">
        <v>12165</v>
      </c>
      <c r="G12822">
        <v>252</v>
      </c>
      <c r="H12822">
        <v>273.93</v>
      </c>
      <c r="I12822">
        <v>273.92</v>
      </c>
      <c r="J12822">
        <v>0.01</v>
      </c>
    </row>
    <row r="12823" spans="1:10" x14ac:dyDescent="0.3">
      <c r="A12823" t="str">
        <f>HYPERLINK("https://us2.cloudbeds.com/connect/10074733072513#/reservations/31715685662935?display=MX5S97TN9&amp;reservation_id=31715685662935", "MX5S97TN9")</f>
        <v>MX5S97TN9</v>
      </c>
      <c r="B12823" t="s">
        <v>10</v>
      </c>
      <c r="C12823" t="s">
        <v>42</v>
      </c>
      <c r="D12823" t="str">
        <f>HYPERLINK("https://us2.cloudbeds.com/connect/10074733072513#/reservations/31715685662935?display=Amanda%20Bjerke&amp;reservation_id=31715685662935&amp;guest_id=31715680489661", "Amanda Bjerke")</f>
        <v>Amanda Bjerke</v>
      </c>
      <c r="E12823" t="s">
        <v>12267</v>
      </c>
      <c r="F12823" t="s">
        <v>11281</v>
      </c>
      <c r="G12823">
        <v>169</v>
      </c>
      <c r="H12823">
        <v>183.71</v>
      </c>
      <c r="I12823">
        <v>183.7</v>
      </c>
      <c r="J12823">
        <v>0.01</v>
      </c>
    </row>
    <row r="12824" spans="1:10" x14ac:dyDescent="0.3">
      <c r="A12824" t="str">
        <f>HYPERLINK("https://us2.cloudbeds.com/connect/10074733072513#/reservations/31718642438299?display=MX84RFHJZ&amp;reservation_id=31718642438299", "MX84RFHJZ")</f>
        <v>MX84RFHJZ</v>
      </c>
      <c r="B12824" t="s">
        <v>10</v>
      </c>
      <c r="C12824" t="s">
        <v>23</v>
      </c>
      <c r="D12824" t="str">
        <f>HYPERLINK("https://us2.cloudbeds.com/connect/10074733072513#/reservations/31718642438299?display=Joseph%20Fox&amp;reservation_id=31718642438299&amp;guest_id=31718642438294", "Joseph Fox")</f>
        <v>Joseph Fox</v>
      </c>
      <c r="E12824" t="s">
        <v>12268</v>
      </c>
      <c r="F12824" t="s">
        <v>12073</v>
      </c>
      <c r="G12824">
        <v>97.74</v>
      </c>
      <c r="H12824">
        <v>106.25</v>
      </c>
      <c r="I12824">
        <v>106.24</v>
      </c>
      <c r="J12824">
        <v>0.01</v>
      </c>
    </row>
    <row r="12825" spans="1:10" x14ac:dyDescent="0.3">
      <c r="A12825" t="str">
        <f>HYPERLINK("https://us2.cloudbeds.com/connect/10074733072513#/reservations/31718719963380?display=MX86QRPRK&amp;reservation_id=31718719963380", "MX86QRPRK")</f>
        <v>MX86QRPRK</v>
      </c>
      <c r="B12825" t="s">
        <v>10</v>
      </c>
      <c r="C12825" t="s">
        <v>23</v>
      </c>
      <c r="D12825" t="str">
        <f>HYPERLINK("https://us2.cloudbeds.com/connect/10074733072513#/reservations/31718719963380?display=Chris%20Carlson&amp;reservation_id=31718719963380&amp;guest_id=31718719963375", "Chris Carlson")</f>
        <v>Chris Carlson</v>
      </c>
      <c r="E12825" t="s">
        <v>10442</v>
      </c>
      <c r="F12825" t="s">
        <v>12172</v>
      </c>
      <c r="G12825">
        <v>159</v>
      </c>
      <c r="H12825">
        <v>172.84</v>
      </c>
      <c r="I12825">
        <v>172.83</v>
      </c>
      <c r="J12825">
        <v>0.01</v>
      </c>
    </row>
    <row r="12826" spans="1:10" x14ac:dyDescent="0.3">
      <c r="A12826" t="str">
        <f>HYPERLINK("https://us2.cloudbeds.com/connect/10074733072513#/reservations/31718701858949?display=MX86BJ00G&amp;reservation_id=31718701858949", "MX86BJ00G")</f>
        <v>MX86BJ00G</v>
      </c>
      <c r="B12826" t="s">
        <v>10</v>
      </c>
      <c r="C12826" t="s">
        <v>42</v>
      </c>
      <c r="D12826" t="str">
        <f>HYPERLINK("https://us2.cloudbeds.com/connect/10074733072513#/reservations/31718701858949?display=Allen%20Finnie&amp;reservation_id=31718701858949&amp;guest_id=31718701858944", "Allen Finnie")</f>
        <v>Allen Finnie</v>
      </c>
      <c r="E12826" t="s">
        <v>12269</v>
      </c>
      <c r="F12826" t="s">
        <v>12172</v>
      </c>
      <c r="G12826">
        <v>119</v>
      </c>
      <c r="H12826">
        <v>129.36000000000001</v>
      </c>
      <c r="I12826">
        <v>129.35</v>
      </c>
      <c r="J12826">
        <v>0.01</v>
      </c>
    </row>
    <row r="12827" spans="1:10" x14ac:dyDescent="0.3">
      <c r="A12827" t="str">
        <f>HYPERLINK("https://us2.cloudbeds.com/connect/10074733072513#/reservations/31718639816853?display=MX84P8JCW&amp;reservation_id=31718639816853", "MX84P8JCW")</f>
        <v>MX84P8JCW</v>
      </c>
      <c r="B12827" t="s">
        <v>10</v>
      </c>
      <c r="C12827" t="s">
        <v>23</v>
      </c>
      <c r="D12827" t="str">
        <f>HYPERLINK("https://us2.cloudbeds.com/connect/10074733072513#/reservations/31718639816853?display=Ty%20Hamar&amp;reservation_id=31718639816853&amp;guest_id=31718625939711", "Ty Hamar")</f>
        <v>Ty Hamar</v>
      </c>
      <c r="E12827" t="s">
        <v>12272</v>
      </c>
      <c r="F12827" t="s">
        <v>11027</v>
      </c>
      <c r="G12827">
        <v>239</v>
      </c>
      <c r="H12827">
        <v>259.8</v>
      </c>
      <c r="I12827">
        <v>259.79000000000002</v>
      </c>
      <c r="J12827">
        <v>0.01</v>
      </c>
    </row>
    <row r="12828" spans="1:10" x14ac:dyDescent="0.3">
      <c r="A12828" t="str">
        <f>HYPERLINK("https://us2.cloudbeds.com/connect/10074733072513#/reservations/31712880021697?display=MX3MJEQ9R&amp;reservation_id=31712880021697", "MX3MJEQ9R")</f>
        <v>MX3MJEQ9R</v>
      </c>
      <c r="B12828" t="s">
        <v>10</v>
      </c>
      <c r="C12828" t="s">
        <v>42</v>
      </c>
      <c r="D12828" t="str">
        <f>HYPERLINK("https://us2.cloudbeds.com/connect/10074733072513#/reservations/31712880021697?display=Cole%20Snydle&amp;reservation_id=31712880021697&amp;guest_id=31712872452263", "Cole Snydle")</f>
        <v>Cole Snydle</v>
      </c>
      <c r="E12828" t="s">
        <v>12281</v>
      </c>
      <c r="F12828" t="s">
        <v>9834</v>
      </c>
      <c r="G12828">
        <v>169</v>
      </c>
      <c r="H12828">
        <v>183.71</v>
      </c>
      <c r="I12828">
        <v>183.7</v>
      </c>
      <c r="J12828">
        <v>0.01</v>
      </c>
    </row>
    <row r="12829" spans="1:10" x14ac:dyDescent="0.3">
      <c r="A12829" t="str">
        <f>HYPERLINK("https://us2.cloudbeds.com/connect/10074733072513#/reservations/31712067510468?display=MX31RAFYE&amp;reservation_id=31712067510468", "MX31RAFYE")</f>
        <v>MX31RAFYE</v>
      </c>
      <c r="B12829" t="s">
        <v>10</v>
      </c>
      <c r="C12829" t="s">
        <v>42</v>
      </c>
      <c r="D12829" t="str">
        <f>HYPERLINK("https://us2.cloudbeds.com/connect/10074733072513#/reservations/31712067510468?display=Bryan%20Schaust&amp;reservation_id=31712067510468&amp;guest_id=31712067510464", "Bryan Schaust")</f>
        <v>Bryan Schaust</v>
      </c>
      <c r="E12829" t="s">
        <v>11625</v>
      </c>
      <c r="F12829" t="s">
        <v>12261</v>
      </c>
      <c r="G12829">
        <v>252</v>
      </c>
      <c r="H12829">
        <v>273.93</v>
      </c>
      <c r="I12829">
        <v>273.92</v>
      </c>
      <c r="J12829">
        <v>0.01</v>
      </c>
    </row>
    <row r="12830" spans="1:10" x14ac:dyDescent="0.3">
      <c r="A12830" t="str">
        <f>HYPERLINK("https://us2.cloudbeds.com/connect/10074733072513#/reservations/31713005879437?display=MX3PQXW4Z&amp;reservation_id=31713005879437", "MX3PQXW4Z")</f>
        <v>MX3PQXW4Z</v>
      </c>
      <c r="B12830" t="s">
        <v>10</v>
      </c>
      <c r="C12830" t="s">
        <v>42</v>
      </c>
      <c r="D12830" t="str">
        <f>HYPERLINK("https://us2.cloudbeds.com/connect/10074733072513#/reservations/31713005879437?display=Zack%20Sinnen&amp;reservation_id=31713005879437&amp;guest_id=31713005879435", "Zack Sinnen")</f>
        <v>Zack Sinnen</v>
      </c>
      <c r="E12830" t="s">
        <v>11625</v>
      </c>
      <c r="F12830" t="s">
        <v>12261</v>
      </c>
      <c r="G12830">
        <v>252</v>
      </c>
      <c r="H12830">
        <v>273.93</v>
      </c>
      <c r="I12830">
        <v>273.92</v>
      </c>
      <c r="J12830">
        <v>0.01</v>
      </c>
    </row>
    <row r="12831" spans="1:10" x14ac:dyDescent="0.3">
      <c r="A12831" t="str">
        <f>HYPERLINK("https://us2.cloudbeds.com/connect/10074733072513#/reservations/31712760270984?display=MX3JHFXCB&amp;reservation_id=31712760270984", "MX3JHFXCB")</f>
        <v>MX3JHFXCB</v>
      </c>
      <c r="B12831" t="s">
        <v>10</v>
      </c>
      <c r="C12831" t="s">
        <v>42</v>
      </c>
      <c r="D12831" t="str">
        <f>HYPERLINK("https://us2.cloudbeds.com/connect/10074733072513#/reservations/31712760270984?display=Judith%20Dokken&amp;reservation_id=31712760270984&amp;guest_id=31712751931644", "Judith Dokken")</f>
        <v>Judith Dokken</v>
      </c>
      <c r="E12831" t="s">
        <v>12282</v>
      </c>
      <c r="F12831" t="s">
        <v>11533</v>
      </c>
      <c r="G12831">
        <v>437</v>
      </c>
      <c r="H12831">
        <v>475.03</v>
      </c>
      <c r="I12831">
        <v>475.02</v>
      </c>
      <c r="J12831">
        <v>0.01</v>
      </c>
    </row>
    <row r="12832" spans="1:10" x14ac:dyDescent="0.3">
      <c r="A12832" t="str">
        <f>HYPERLINK("https://us2.cloudbeds.com/connect/10074733072513#/reservations/31717267493091?display=MX72N2YYE&amp;reservation_id=31717267493091", "MX72N2YYE")</f>
        <v>MX72N2YYE</v>
      </c>
      <c r="B12832" t="s">
        <v>10</v>
      </c>
      <c r="C12832" t="s">
        <v>23</v>
      </c>
      <c r="D12832" t="str">
        <f>HYPERLINK("https://us2.cloudbeds.com/connect/10074733072513#/reservations/31717267493091?display=Moriah%20Salts&amp;reservation_id=31717267493091&amp;guest_id=31717267493089", "Moriah Salts")</f>
        <v>Moriah Salts</v>
      </c>
      <c r="E12832" t="s">
        <v>12283</v>
      </c>
      <c r="F12832" t="s">
        <v>11027</v>
      </c>
      <c r="G12832">
        <v>249</v>
      </c>
      <c r="H12832">
        <v>270.67</v>
      </c>
      <c r="I12832">
        <v>270.66000000000003</v>
      </c>
      <c r="J12832">
        <v>0.01</v>
      </c>
    </row>
    <row r="12833" spans="1:10" x14ac:dyDescent="0.3">
      <c r="A12833" t="str">
        <f>HYPERLINK("https://us2.cloudbeds.com/connect/10074733072513#/reservations/31713090207901?display=MX3RVMHZZ&amp;reservation_id=31713090207901", "MX3RVMHZZ")</f>
        <v>MX3RVMHZZ</v>
      </c>
      <c r="B12833" t="s">
        <v>10</v>
      </c>
      <c r="C12833" t="s">
        <v>23</v>
      </c>
      <c r="D12833" t="str">
        <f>HYPERLINK("https://us2.cloudbeds.com/connect/10074733072513#/reservations/31713090207901?display=Tyler%20Decker&amp;reservation_id=31713090207901&amp;guest_id=31713083064518", "Tyler Decker")</f>
        <v>Tyler Decker</v>
      </c>
      <c r="E12833" t="s">
        <v>12284</v>
      </c>
      <c r="F12833" t="s">
        <v>11533</v>
      </c>
      <c r="G12833">
        <v>249</v>
      </c>
      <c r="H12833">
        <v>270.67</v>
      </c>
      <c r="I12833">
        <v>270.66000000000003</v>
      </c>
      <c r="J12833">
        <v>0.01</v>
      </c>
    </row>
    <row r="12834" spans="1:10" x14ac:dyDescent="0.3">
      <c r="A12834" t="str">
        <f>HYPERLINK("https://us2.cloudbeds.com/connect/10074733072513#/reservations/31715118117056?display=MX5DPYWJ4&amp;reservation_id=31715118117056", "MX5DPYWJ4")</f>
        <v>MX5DPYWJ4</v>
      </c>
      <c r="B12834" t="s">
        <v>10</v>
      </c>
      <c r="C12834" t="s">
        <v>23</v>
      </c>
      <c r="D12834" t="str">
        <f>HYPERLINK("https://us2.cloudbeds.com/connect/10074733072513#/reservations/31715118117056?display=Bobby%20Klumper&amp;reservation_id=31715118117056&amp;guest_id=31700873121989", "Bobby Klumper")</f>
        <v>Bobby Klumper</v>
      </c>
      <c r="E12834" t="s">
        <v>12285</v>
      </c>
      <c r="F12834" t="s">
        <v>11699</v>
      </c>
      <c r="G12834">
        <v>219</v>
      </c>
      <c r="H12834">
        <v>238.06</v>
      </c>
      <c r="I12834">
        <v>238.05</v>
      </c>
      <c r="J12834">
        <v>0.01</v>
      </c>
    </row>
    <row r="12835" spans="1:10" x14ac:dyDescent="0.3">
      <c r="A12835" t="str">
        <f>HYPERLINK("https://us2.cloudbeds.com/connect/10074733072513#/reservations/31716717916369?display=MX6YYYSRC&amp;reservation_id=31716717916369", "MX6YYYSRC")</f>
        <v>MX6YYYSRC</v>
      </c>
      <c r="B12835" t="s">
        <v>10</v>
      </c>
      <c r="C12835" t="s">
        <v>23</v>
      </c>
      <c r="D12835" t="str">
        <f>HYPERLINK("https://us2.cloudbeds.com/connect/10074733072513#/reservations/31716717916369?display=Kael%20Ruhnke&amp;reservation_id=31716717916369&amp;guest_id=31716717916367", "Kael Ruhnke")</f>
        <v>Kael Ruhnke</v>
      </c>
      <c r="E12835" t="s">
        <v>12286</v>
      </c>
      <c r="F12835" t="s">
        <v>11504</v>
      </c>
      <c r="G12835">
        <v>229</v>
      </c>
      <c r="H12835">
        <v>248.93</v>
      </c>
      <c r="I12835">
        <v>248.92</v>
      </c>
      <c r="J12835">
        <v>0.01</v>
      </c>
    </row>
    <row r="12836" spans="1:10" x14ac:dyDescent="0.3">
      <c r="A12836" t="str">
        <f>HYPERLINK("https://us2.cloudbeds.com/connect/10074733072513#/reservations/31718899613914?display=MX8BDAR61&amp;reservation_id=31718899613914", "MX8BDAR61")</f>
        <v>MX8BDAR61</v>
      </c>
      <c r="B12836" t="s">
        <v>10</v>
      </c>
      <c r="C12836" t="s">
        <v>42</v>
      </c>
      <c r="D12836" t="str">
        <f>HYPERLINK("https://us2.cloudbeds.com/connect/10074733072513#/reservations/31718899613914?display=Richelle%20Tanner&amp;reservation_id=31718899613914&amp;guest_id=17963392856284", "Richelle Tanner")</f>
        <v>Richelle Tanner</v>
      </c>
      <c r="E12836" t="s">
        <v>5130</v>
      </c>
      <c r="F12836" t="s">
        <v>10527</v>
      </c>
      <c r="G12836">
        <v>159</v>
      </c>
      <c r="H12836">
        <v>172.84</v>
      </c>
      <c r="I12836">
        <v>172.83</v>
      </c>
      <c r="J12836">
        <v>0.01</v>
      </c>
    </row>
    <row r="12837" spans="1:10" x14ac:dyDescent="0.3">
      <c r="A12837" t="str">
        <f>HYPERLINK("https://us2.cloudbeds.com/connect/10074733072513#/reservations/31720089231582?display=MX98QEMZE&amp;reservation_id=31720089231582", "MX98QEMZE")</f>
        <v>MX98QEMZE</v>
      </c>
      <c r="B12837" t="s">
        <v>10</v>
      </c>
      <c r="C12837" t="s">
        <v>42</v>
      </c>
      <c r="D12837" t="str">
        <f>HYPERLINK("https://us2.cloudbeds.com/connect/10074733072513#/reservations/31720089231582?display=Eric%20Dailey&amp;reservation_id=31720089231582&amp;guest_id=31720089231572", "Eric Dailey")</f>
        <v>Eric Dailey</v>
      </c>
      <c r="E12837" t="s">
        <v>12287</v>
      </c>
      <c r="F12837" t="s">
        <v>12165</v>
      </c>
      <c r="G12837">
        <v>129</v>
      </c>
      <c r="H12837">
        <v>140.22999999999999</v>
      </c>
      <c r="I12837">
        <v>140.22</v>
      </c>
      <c r="J12837">
        <v>0.01</v>
      </c>
    </row>
    <row r="12838" spans="1:10" x14ac:dyDescent="0.3">
      <c r="A12838" t="str">
        <f>HYPERLINK("https://us2.cloudbeds.com/connect/10074733072513#/reservations/31716354953436?display=MX6CCJTHJ&amp;reservation_id=31716354953436", "MX6CCJTHJ")</f>
        <v>MX6CCJTHJ</v>
      </c>
      <c r="B12838" t="s">
        <v>10</v>
      </c>
      <c r="C12838" t="s">
        <v>42</v>
      </c>
      <c r="D12838" t="str">
        <f>HYPERLINK("https://us2.cloudbeds.com/connect/10074733072513#/reservations/31716354953436?display=Angelo%20Poaletti&amp;reservation_id=31716354953436&amp;guest_id=31714136252568", "Angelo Poaletti")</f>
        <v>Angelo Poaletti</v>
      </c>
      <c r="E12838" t="s">
        <v>11828</v>
      </c>
      <c r="F12838" t="s">
        <v>12165</v>
      </c>
      <c r="G12838">
        <v>149</v>
      </c>
      <c r="H12838">
        <v>161.97</v>
      </c>
      <c r="I12838">
        <v>161.96</v>
      </c>
      <c r="J12838">
        <v>0.01</v>
      </c>
    </row>
    <row r="12839" spans="1:10" x14ac:dyDescent="0.3">
      <c r="A12839" t="str">
        <f>HYPERLINK("https://us2.cloudbeds.com/connect/10074733072513#/reservations/31720436474052?display=MX9HM87BH&amp;reservation_id=31720436474052", "MX9HM87BH")</f>
        <v>MX9HM87BH</v>
      </c>
      <c r="B12839" t="s">
        <v>10</v>
      </c>
      <c r="C12839" t="s">
        <v>42</v>
      </c>
      <c r="D12839" t="str">
        <f>HYPERLINK("https://us2.cloudbeds.com/connect/10074733072513#/reservations/31720436474052?display=Rodriguez%20Wilson&amp;reservation_id=31720436474052&amp;guest_id=31720436469961", "Rodriguez Wilson")</f>
        <v>Rodriguez Wilson</v>
      </c>
      <c r="E12839" t="s">
        <v>12288</v>
      </c>
      <c r="F12839" t="s">
        <v>12165</v>
      </c>
      <c r="G12839">
        <v>129</v>
      </c>
      <c r="H12839">
        <v>140.22999999999999</v>
      </c>
      <c r="I12839">
        <v>140.22</v>
      </c>
      <c r="J12839">
        <v>0.01</v>
      </c>
    </row>
    <row r="12840" spans="1:10" x14ac:dyDescent="0.3">
      <c r="A12840" t="str">
        <f>HYPERLINK("https://us2.cloudbeds.com/connect/10074733072513#/reservations/31720414372016?display=MX9H3K6KS&amp;reservation_id=31720414372016", "MX9H3K6KS")</f>
        <v>MX9H3K6KS</v>
      </c>
      <c r="B12840" t="s">
        <v>10</v>
      </c>
      <c r="C12840" t="s">
        <v>42</v>
      </c>
      <c r="D12840" t="str">
        <f>HYPERLINK("https://us2.cloudbeds.com/connect/10074733072513#/reservations/31720414372016?display=Njansarora%20David&amp;reservation_id=31720414372016&amp;guest_id=31720414372014", "Njansarora David")</f>
        <v>Njansarora David</v>
      </c>
      <c r="E12840" t="s">
        <v>12289</v>
      </c>
      <c r="F12840" t="s">
        <v>12165</v>
      </c>
      <c r="G12840">
        <v>129</v>
      </c>
      <c r="H12840">
        <v>140.22999999999999</v>
      </c>
      <c r="I12840">
        <v>140.22</v>
      </c>
      <c r="J12840">
        <v>0.01</v>
      </c>
    </row>
    <row r="12841" spans="1:10" x14ac:dyDescent="0.3">
      <c r="A12841" t="str">
        <f>HYPERLINK("https://us2.cloudbeds.com/connect/10074733072513#/reservations/31717947027651?display=MX7K22NAQ&amp;reservation_id=31717947027651", "MX7K22NAQ")</f>
        <v>MX7K22NAQ</v>
      </c>
      <c r="B12841" t="s">
        <v>10</v>
      </c>
      <c r="C12841" t="s">
        <v>42</v>
      </c>
      <c r="D12841" t="str">
        <f>HYPERLINK("https://us2.cloudbeds.com/connect/10074733072513#/reservations/31717947027651?display=Scott%20Schneckloth&amp;reservation_id=31717947027651&amp;guest_id=31717936804022", "Scott Schneckloth")</f>
        <v>Scott Schneckloth</v>
      </c>
      <c r="E12841" t="s">
        <v>12290</v>
      </c>
      <c r="F12841" t="s">
        <v>12240</v>
      </c>
      <c r="G12841">
        <v>139</v>
      </c>
      <c r="H12841">
        <v>151.1</v>
      </c>
      <c r="I12841">
        <v>151.09</v>
      </c>
      <c r="J12841">
        <v>0.01</v>
      </c>
    </row>
    <row r="12842" spans="1:10" x14ac:dyDescent="0.3">
      <c r="A12842" t="str">
        <f>HYPERLINK("https://us2.cloudbeds.com/connect/10074733072513#/reservations/31714283987199?display=MX4PFA6QW&amp;reservation_id=31714283987199", "MX4PFA6QW")</f>
        <v>MX4PFA6QW</v>
      </c>
      <c r="B12842" t="s">
        <v>10</v>
      </c>
      <c r="C12842" t="s">
        <v>42</v>
      </c>
      <c r="D12842" t="str">
        <f>HYPERLINK("https://us2.cloudbeds.com/connect/10074733072513#/reservations/31714283987199?display=Emily%20Wilson&amp;reservation_id=31714283987199&amp;guest_id=31714283987197", "Emily Wilson")</f>
        <v>Emily Wilson</v>
      </c>
      <c r="E12842" t="s">
        <v>12291</v>
      </c>
      <c r="F12842" t="s">
        <v>10250</v>
      </c>
      <c r="G12842">
        <v>278</v>
      </c>
      <c r="H12842">
        <v>302.2</v>
      </c>
      <c r="I12842">
        <v>302.19</v>
      </c>
      <c r="J12842">
        <v>0.01</v>
      </c>
    </row>
    <row r="12843" spans="1:10" x14ac:dyDescent="0.3">
      <c r="A12843" t="str">
        <f>HYPERLINK("https://us2.cloudbeds.com/connect/10074733072513#/reservations/31716302315759?display=MX6B175ZG&amp;reservation_id=31716302315759", "MX6B175ZG")</f>
        <v>MX6B175ZG</v>
      </c>
      <c r="B12843" t="s">
        <v>10</v>
      </c>
      <c r="C12843" t="s">
        <v>23</v>
      </c>
      <c r="D12843" t="str">
        <f>HYPERLINK("https://us2.cloudbeds.com/connect/10074733072513#/reservations/31716302315759?display=Dagem%20Werede&amp;reservation_id=31716302315759&amp;guest_id=31716302315756", "Dagem Werede")</f>
        <v>Dagem Werede</v>
      </c>
      <c r="E12843" t="s">
        <v>12292</v>
      </c>
      <c r="F12843" t="s">
        <v>12099</v>
      </c>
      <c r="G12843">
        <v>219</v>
      </c>
      <c r="H12843">
        <v>238.06</v>
      </c>
      <c r="I12843">
        <v>238.05</v>
      </c>
      <c r="J12843">
        <v>0.01</v>
      </c>
    </row>
    <row r="12844" spans="1:10" x14ac:dyDescent="0.3">
      <c r="A12844" t="str">
        <f>HYPERLINK("https://us2.cloudbeds.com/connect/10074733072513#/reservations/31716620578981?display=MX6J5JAFX&amp;reservation_id=31716620578981", "MX6J5JAFX")</f>
        <v>MX6J5JAFX</v>
      </c>
      <c r="B12844" t="s">
        <v>10</v>
      </c>
      <c r="C12844" t="s">
        <v>42</v>
      </c>
      <c r="D12844" t="str">
        <f>HYPERLINK("https://us2.cloudbeds.com/connect/10074733072513#/reservations/31716620578981?display=Nicole%20Labenne&amp;reservation_id=31716620578981&amp;guest_id=31716620578979", "Nicole Labenne")</f>
        <v>Nicole Labenne</v>
      </c>
      <c r="E12844" t="s">
        <v>12066</v>
      </c>
      <c r="F12844" t="s">
        <v>12246</v>
      </c>
      <c r="G12844">
        <v>109</v>
      </c>
      <c r="H12844">
        <v>118.49</v>
      </c>
      <c r="I12844">
        <v>118.48</v>
      </c>
      <c r="J12844">
        <v>0.01</v>
      </c>
    </row>
    <row r="12845" spans="1:10" x14ac:dyDescent="0.3">
      <c r="A12845" t="str">
        <f>HYPERLINK("https://us2.cloudbeds.com/connect/10074733072513#/reservations/31716288745663?display=MX6AMPXMF&amp;reservation_id=31716288745663", "MX6AMPXMF")</f>
        <v>MX6AMPXMF</v>
      </c>
      <c r="B12845" t="s">
        <v>10</v>
      </c>
      <c r="C12845" t="s">
        <v>23</v>
      </c>
      <c r="D12845" t="str">
        <f>HYPERLINK("https://us2.cloudbeds.com/connect/10074733072513#/reservations/31716288745663?display=Jessica%20Luzong&amp;reservation_id=31716288745663&amp;guest_id=31716278321373", "Jessica Luzong")</f>
        <v>Jessica Luzong</v>
      </c>
      <c r="E12845" t="s">
        <v>12293</v>
      </c>
      <c r="F12845" t="s">
        <v>12099</v>
      </c>
      <c r="G12845">
        <v>169</v>
      </c>
      <c r="H12845">
        <v>183.71</v>
      </c>
      <c r="I12845">
        <v>183.7</v>
      </c>
      <c r="J12845">
        <v>0.01</v>
      </c>
    </row>
    <row r="12846" spans="1:10" x14ac:dyDescent="0.3">
      <c r="A12846" t="str">
        <f>HYPERLINK("https://us2.cloudbeds.com/connect/10074733072513#/reservations/31716386320544?display=MX6D61Z41&amp;reservation_id=31716386320544", "MX6D61Z41")</f>
        <v>MX6D61Z41</v>
      </c>
      <c r="B12846" t="s">
        <v>10</v>
      </c>
      <c r="C12846" t="s">
        <v>42</v>
      </c>
      <c r="D12846" t="str">
        <f>HYPERLINK("https://us2.cloudbeds.com/connect/10074733072513#/reservations/31716386320544?display=Brian%20Barthel&amp;reservation_id=31716386320544&amp;guest_id=31702630699221", "Brian Barthel")</f>
        <v>Brian Barthel</v>
      </c>
      <c r="E12846" t="s">
        <v>11993</v>
      </c>
      <c r="F12846" t="s">
        <v>12165</v>
      </c>
      <c r="G12846">
        <v>149</v>
      </c>
      <c r="H12846">
        <v>161.97</v>
      </c>
      <c r="I12846">
        <v>161.96</v>
      </c>
      <c r="J12846">
        <v>0.01</v>
      </c>
    </row>
    <row r="12847" spans="1:10" x14ac:dyDescent="0.3">
      <c r="A12847" t="str">
        <f>HYPERLINK("https://us2.cloudbeds.com/connect/10074733072513#/reservations/31718123340019?display=MX7ZXZSAR&amp;reservation_id=31718123340019", "MX7ZXZSAR")</f>
        <v>MX7ZXZSAR</v>
      </c>
      <c r="B12847" t="s">
        <v>10</v>
      </c>
      <c r="C12847" t="s">
        <v>42</v>
      </c>
      <c r="D12847" t="str">
        <f>HYPERLINK("https://us2.cloudbeds.com/connect/10074733072513#/reservations/31718123340019?display=Kari%20Untalan&amp;reservation_id=31718123340019&amp;guest_id=31718123340001", "Kari Untalan")</f>
        <v>Kari Untalan</v>
      </c>
      <c r="E12847" t="s">
        <v>12294</v>
      </c>
      <c r="F12847" t="s">
        <v>11573</v>
      </c>
      <c r="G12847">
        <v>239</v>
      </c>
      <c r="H12847">
        <v>259.8</v>
      </c>
      <c r="I12847">
        <v>259.79000000000002</v>
      </c>
      <c r="J12847">
        <v>0.01</v>
      </c>
    </row>
    <row r="12848" spans="1:10" x14ac:dyDescent="0.3">
      <c r="A12848" t="str">
        <f>HYPERLINK("https://us2.cloudbeds.com/connect/10074733072513#/reservations/31716344266959?display=MX6C3JHDW&amp;reservation_id=31716344266959", "MX6C3JHDW")</f>
        <v>MX6C3JHDW</v>
      </c>
      <c r="B12848" t="s">
        <v>10</v>
      </c>
      <c r="C12848" t="s">
        <v>42</v>
      </c>
      <c r="D12848" t="str">
        <f>HYPERLINK("https://us2.cloudbeds.com/connect/10074733072513#/reservations/31716344266959?display=Jacob%20Pannoh&amp;reservation_id=31716344266959&amp;guest_id=31716335673599", "Jacob Pannoh")</f>
        <v>Jacob Pannoh</v>
      </c>
      <c r="E12848" t="s">
        <v>12295</v>
      </c>
      <c r="F12848" t="s">
        <v>11504</v>
      </c>
      <c r="G12848">
        <v>199</v>
      </c>
      <c r="H12848">
        <v>216.32</v>
      </c>
      <c r="I12848">
        <v>216.31</v>
      </c>
      <c r="J12848">
        <v>0.01</v>
      </c>
    </row>
    <row r="12849" spans="1:10" x14ac:dyDescent="0.3">
      <c r="A12849" t="str">
        <f>HYPERLINK("https://us2.cloudbeds.com/connect/10074733072513#/reservations/31720478388404?display=MX9XZJX6D&amp;reservation_id=31720478388404", "MX9XZJX6D")</f>
        <v>MX9XZJX6D</v>
      </c>
      <c r="B12849" t="s">
        <v>10</v>
      </c>
      <c r="C12849" t="s">
        <v>121</v>
      </c>
      <c r="D12849" t="str">
        <f>HYPERLINK("https://us2.cloudbeds.com/connect/10074733072513#/reservations/31720478388404?display=Elizabeth%20Ravenscroft&amp;reservation_id=31720478388404&amp;guest_id=31720468263131", "Elizabeth Ravenscroft")</f>
        <v>Elizabeth Ravenscroft</v>
      </c>
      <c r="E12849" t="s">
        <v>12296</v>
      </c>
      <c r="F12849" t="s">
        <v>12165</v>
      </c>
      <c r="G12849">
        <v>159</v>
      </c>
      <c r="H12849">
        <v>172.84</v>
      </c>
      <c r="I12849">
        <v>172.83</v>
      </c>
      <c r="J12849">
        <v>0.01</v>
      </c>
    </row>
    <row r="12850" spans="1:10" x14ac:dyDescent="0.3">
      <c r="A12850" t="str">
        <f>HYPERLINK("https://us2.cloudbeds.com/connect/10074733072513#/reservations/31712370634949?display=MX39XUBSP&amp;reservation_id=31712370634949", "MX39XUBSP")</f>
        <v>MX39XUBSP</v>
      </c>
      <c r="B12850" t="s">
        <v>10</v>
      </c>
      <c r="C12850" t="s">
        <v>42</v>
      </c>
      <c r="D12850" t="str">
        <f>HYPERLINK("https://us2.cloudbeds.com/connect/10074733072513#/reservations/31712370634949?display=Frederick%20Scharmota&amp;reservation_id=31712370634949&amp;guest_id=31712370630895", "Frederick Scharmota")</f>
        <v>Frederick Scharmota</v>
      </c>
      <c r="E12850" t="s">
        <v>12297</v>
      </c>
      <c r="F12850" t="s">
        <v>11371</v>
      </c>
      <c r="G12850">
        <v>318</v>
      </c>
      <c r="H12850">
        <v>345.68</v>
      </c>
      <c r="I12850">
        <v>345.67</v>
      </c>
      <c r="J12850">
        <v>0.01</v>
      </c>
    </row>
    <row r="12851" spans="1:10" x14ac:dyDescent="0.3">
      <c r="A12851" t="str">
        <f>HYPERLINK("https://us2.cloudbeds.com/connect/10074733072513#/reservations/31716789047462?display=MX6NFY6Y1&amp;reservation_id=31716789047462", "MX6NFY6Y1")</f>
        <v>MX6NFY6Y1</v>
      </c>
      <c r="B12851" t="s">
        <v>10</v>
      </c>
      <c r="C12851" t="s">
        <v>42</v>
      </c>
      <c r="D12851" t="str">
        <f>HYPERLINK("https://us2.cloudbeds.com/connect/10074733072513#/reservations/31716789047462?display=Russell%20Hohn&amp;reservation_id=31716789047462&amp;guest_id=31716789047460", "Russell Hohn")</f>
        <v>Russell Hohn</v>
      </c>
      <c r="E12851" t="s">
        <v>12298</v>
      </c>
      <c r="F12851" t="s">
        <v>11504</v>
      </c>
      <c r="G12851">
        <v>219</v>
      </c>
      <c r="H12851">
        <v>238.06</v>
      </c>
      <c r="I12851">
        <v>238.05</v>
      </c>
      <c r="J12851">
        <v>0.01</v>
      </c>
    </row>
    <row r="12852" spans="1:10" x14ac:dyDescent="0.3">
      <c r="A12852" t="str">
        <f>HYPERLINK("https://us2.cloudbeds.com/connect/10074733072513#/reservations/31715912405214?display=MX612EB5E&amp;reservation_id=31715912405214", "MX612EB5E")</f>
        <v>MX612EB5E</v>
      </c>
      <c r="B12852" t="s">
        <v>10</v>
      </c>
      <c r="C12852" t="s">
        <v>23</v>
      </c>
      <c r="D12852" t="str">
        <f>HYPERLINK("https://us2.cloudbeds.com/connect/10074733072513#/reservations/31715912405214?display=Christopher%20Cramer&amp;reservation_id=31715912405214&amp;guest_id=31715912405211", "Christopher Cramer")</f>
        <v>Christopher Cramer</v>
      </c>
      <c r="E12852" t="s">
        <v>12299</v>
      </c>
      <c r="F12852" t="s">
        <v>12017</v>
      </c>
      <c r="G12852">
        <v>378</v>
      </c>
      <c r="H12852">
        <v>410.9</v>
      </c>
      <c r="I12852">
        <v>410.89</v>
      </c>
      <c r="J12852">
        <v>0.01</v>
      </c>
    </row>
    <row r="12853" spans="1:10" x14ac:dyDescent="0.3">
      <c r="A12853" t="str">
        <f>HYPERLINK("https://us2.cloudbeds.com/connect/10074733072513#/reservations/31712218767561?display=MX35MSE1N&amp;reservation_id=31712218767561", "MX35MSE1N")</f>
        <v>MX35MSE1N</v>
      </c>
      <c r="B12853" t="s">
        <v>10</v>
      </c>
      <c r="C12853" t="s">
        <v>42</v>
      </c>
      <c r="D12853" t="str">
        <f>HYPERLINK("https://us2.cloudbeds.com/connect/10074733072513#/reservations/31712218767561?display=Juliana%20Belmont&amp;reservation_id=31712218767561&amp;guest_id=31712208519390", "Juliana Belmont")</f>
        <v>Juliana Belmont</v>
      </c>
      <c r="E12853" t="s">
        <v>12300</v>
      </c>
      <c r="F12853" t="s">
        <v>11371</v>
      </c>
      <c r="G12853">
        <v>458</v>
      </c>
      <c r="H12853">
        <v>497.86</v>
      </c>
      <c r="I12853">
        <v>497.85</v>
      </c>
      <c r="J12853">
        <v>0.01</v>
      </c>
    </row>
    <row r="12854" spans="1:10" x14ac:dyDescent="0.3">
      <c r="A12854" t="str">
        <f>HYPERLINK("https://us2.cloudbeds.com/connect/10074733072513#/reservations/31711619100895?display=MX2NC6QVX&amp;reservation_id=31711619100895", "MX2NC6QVX")</f>
        <v>MX2NC6QVX</v>
      </c>
      <c r="B12854" t="s">
        <v>10</v>
      </c>
      <c r="C12854" t="s">
        <v>42</v>
      </c>
      <c r="D12854" t="str">
        <f>HYPERLINK("https://us2.cloudbeds.com/connect/10074733072513#/reservations/31711619100895?display=Joleen%20Pederson&amp;reservation_id=31711619100895&amp;guest_id=31711619100884", "Joleen Pederson")</f>
        <v>Joleen Pederson</v>
      </c>
      <c r="E12854" t="s">
        <v>12301</v>
      </c>
      <c r="F12854" t="s">
        <v>11371</v>
      </c>
      <c r="G12854">
        <v>458</v>
      </c>
      <c r="H12854">
        <v>497.86</v>
      </c>
      <c r="I12854">
        <v>497.85</v>
      </c>
      <c r="J12854">
        <v>0.01</v>
      </c>
    </row>
    <row r="12855" spans="1:10" x14ac:dyDescent="0.3">
      <c r="A12855" t="str">
        <f>HYPERLINK("https://us2.cloudbeds.com/connect/10074733072513#/reservations/31716881121412?display=MX6PR99NZ&amp;reservation_id=31716881121412", "MX6PR99NZ")</f>
        <v>MX6PR99NZ</v>
      </c>
      <c r="B12855" t="s">
        <v>10</v>
      </c>
      <c r="C12855" t="s">
        <v>42</v>
      </c>
      <c r="D12855" t="str">
        <f>HYPERLINK("https://us2.cloudbeds.com/connect/10074733072513#/reservations/31716881121412?display=Kim%20Eddy&amp;reservation_id=31716881121412&amp;guest_id=31716881121409", "Kim Eddy")</f>
        <v>Kim Eddy</v>
      </c>
      <c r="E12855" t="s">
        <v>12302</v>
      </c>
      <c r="F12855" t="s">
        <v>12303</v>
      </c>
      <c r="G12855">
        <v>376</v>
      </c>
      <c r="H12855">
        <v>408.72</v>
      </c>
      <c r="I12855">
        <v>408.71</v>
      </c>
      <c r="J12855">
        <v>0.01</v>
      </c>
    </row>
    <row r="12856" spans="1:10" x14ac:dyDescent="0.3">
      <c r="A12856" t="str">
        <f>HYPERLINK("https://us2.cloudbeds.com/connect/10074733072513#/reservations/31717937053839?display=MX7JQM5Y2&amp;reservation_id=31717937053839", "MX7JQM5Y2")</f>
        <v>MX7JQM5Y2</v>
      </c>
      <c r="B12856" t="s">
        <v>10</v>
      </c>
      <c r="C12856" t="s">
        <v>42</v>
      </c>
      <c r="D12856" t="str">
        <f>HYPERLINK("https://us2.cloudbeds.com/connect/10074733072513#/reservations/31717937053839?display=Kirt%20Lambrecht&amp;reservation_id=31717937053839&amp;guest_id=31717937049790", "Kirt Lambrecht")</f>
        <v>Kirt Lambrecht</v>
      </c>
      <c r="E12856" t="s">
        <v>12307</v>
      </c>
      <c r="F12856" t="s">
        <v>12099</v>
      </c>
      <c r="G12856">
        <v>209</v>
      </c>
      <c r="H12856">
        <v>227.19</v>
      </c>
      <c r="I12856">
        <v>227.18</v>
      </c>
      <c r="J12856">
        <v>0.01</v>
      </c>
    </row>
    <row r="12857" spans="1:10" x14ac:dyDescent="0.3">
      <c r="A12857" t="str">
        <f>HYPERLINK("https://us2.cloudbeds.com/connect/10074733072513#/reservations/31712455282938?display=MX3BZ9QTB&amp;reservation_id=31712455282938", "MX3BZ9QTB")</f>
        <v>MX3BZ9QTB</v>
      </c>
      <c r="B12857" t="s">
        <v>10</v>
      </c>
      <c r="C12857" t="s">
        <v>42</v>
      </c>
      <c r="D12857" t="str">
        <f>HYPERLINK("https://us2.cloudbeds.com/connect/10074733072513#/reservations/31712455282938?display=Monica%20Ellwanger&amp;reservation_id=31712455282938&amp;guest_id=31712455282936", "Monica Ellwanger")</f>
        <v>Monica Ellwanger</v>
      </c>
      <c r="E12857" t="s">
        <v>12309</v>
      </c>
      <c r="F12857" t="s">
        <v>12215</v>
      </c>
      <c r="G12857">
        <v>178</v>
      </c>
      <c r="H12857">
        <v>193.5</v>
      </c>
      <c r="I12857">
        <v>193.49</v>
      </c>
      <c r="J12857">
        <v>0.01</v>
      </c>
    </row>
    <row r="12858" spans="1:10" x14ac:dyDescent="0.3">
      <c r="A12858" t="str">
        <f>HYPERLINK("https://us2.cloudbeds.com/connect/10074733072513#/reservations/31718891434118?display=MX8B6E6TJ&amp;reservation_id=31718891434118", "MX8B6E6TJ")</f>
        <v>MX8B6E6TJ</v>
      </c>
      <c r="B12858" t="s">
        <v>10</v>
      </c>
      <c r="C12858" t="s">
        <v>42</v>
      </c>
      <c r="D12858" t="str">
        <f>HYPERLINK("https://us2.cloudbeds.com/connect/10074733072513#/reservations/31718891434118?display=Douglas%20Welte&amp;reservation_id=31718891434118&amp;guest_id=31714046316710", "Douglas Welte")</f>
        <v>Douglas Welte</v>
      </c>
      <c r="E12858" t="s">
        <v>2536</v>
      </c>
      <c r="F12858" t="s">
        <v>12233</v>
      </c>
      <c r="G12858">
        <v>73</v>
      </c>
      <c r="H12858">
        <v>79.36</v>
      </c>
      <c r="I12858">
        <v>79.349999999999994</v>
      </c>
      <c r="J12858">
        <v>0.01</v>
      </c>
    </row>
    <row r="12859" spans="1:10" x14ac:dyDescent="0.3">
      <c r="A12859" t="str">
        <f>HYPERLINK("https://us2.cloudbeds.com/connect/10074733072513#/reservations/31715767447784?display=MX5UC6MJ1&amp;reservation_id=31715767447784", "MX5UC6MJ1")</f>
        <v>MX5UC6MJ1</v>
      </c>
      <c r="B12859" t="s">
        <v>10</v>
      </c>
      <c r="C12859" t="s">
        <v>42</v>
      </c>
      <c r="D12859" t="str">
        <f>HYPERLINK("https://us2.cloudbeds.com/connect/10074733072513#/reservations/31715767447784?display=Mark%20Wernstrom&amp;reservation_id=31715767447784&amp;guest_id=31715767447779", "Mark Wernstrom")</f>
        <v>Mark Wernstrom</v>
      </c>
      <c r="E12859" t="s">
        <v>12310</v>
      </c>
      <c r="F12859" t="s">
        <v>10750</v>
      </c>
      <c r="G12859">
        <v>159</v>
      </c>
      <c r="H12859">
        <v>172.84</v>
      </c>
      <c r="I12859">
        <v>172.83</v>
      </c>
      <c r="J12859">
        <v>0.01</v>
      </c>
    </row>
    <row r="12860" spans="1:10" x14ac:dyDescent="0.3">
      <c r="A12860" t="str">
        <f>HYPERLINK("https://us2.cloudbeds.com/connect/10074733072513#/reservations/31714067202293?display=MX4JUGRVD&amp;reservation_id=31714067202293", "MX4JUGRVD")</f>
        <v>MX4JUGRVD</v>
      </c>
      <c r="B12860" t="s">
        <v>10</v>
      </c>
      <c r="C12860" t="s">
        <v>23</v>
      </c>
      <c r="D12860" t="str">
        <f>HYPERLINK("https://us2.cloudbeds.com/connect/10074733072513#/reservations/31714067202293?display=Royce%20Peterson&amp;reservation_id=31714067202293&amp;guest_id=31714053587165", "Royce Peterson")</f>
        <v>Royce Peterson</v>
      </c>
      <c r="E12860" t="s">
        <v>12312</v>
      </c>
      <c r="F12860" t="s">
        <v>12313</v>
      </c>
      <c r="G12860">
        <v>179</v>
      </c>
      <c r="H12860">
        <v>194.58</v>
      </c>
      <c r="I12860">
        <v>194.57</v>
      </c>
      <c r="J12860">
        <v>0.01</v>
      </c>
    </row>
    <row r="12861" spans="1:10" x14ac:dyDescent="0.3">
      <c r="A12861" t="str">
        <f>HYPERLINK("https://us2.cloudbeds.com/connect/10074733072513#/reservations/31718930989223?display=MX8C6PTA4&amp;reservation_id=31718930989223", "MX8C6PTA4")</f>
        <v>MX8C6PTA4</v>
      </c>
      <c r="B12861" t="s">
        <v>10</v>
      </c>
      <c r="C12861" t="s">
        <v>23</v>
      </c>
      <c r="D12861" t="str">
        <f>HYPERLINK("https://us2.cloudbeds.com/connect/10074733072513#/reservations/31718930989223?display=Kory%20Foss&amp;reservation_id=31718930989223&amp;guest_id=31718930989218", "Kory Foss")</f>
        <v>Kory Foss</v>
      </c>
      <c r="E12861" t="s">
        <v>12314</v>
      </c>
      <c r="F12861" t="s">
        <v>12303</v>
      </c>
      <c r="G12861">
        <v>139</v>
      </c>
      <c r="H12861">
        <v>151.1</v>
      </c>
      <c r="I12861">
        <v>151.09</v>
      </c>
      <c r="J12861">
        <v>0.01</v>
      </c>
    </row>
    <row r="12862" spans="1:10" x14ac:dyDescent="0.3">
      <c r="A12862" t="str">
        <f>HYPERLINK("https://us2.cloudbeds.com/connect/10074733072513#/reservations/31715104342179?display=MX5DE1Q5Q&amp;reservation_id=31715104342179", "MX5DE1Q5Q")</f>
        <v>MX5DE1Q5Q</v>
      </c>
      <c r="B12862" t="s">
        <v>10</v>
      </c>
      <c r="C12862" t="s">
        <v>23</v>
      </c>
      <c r="D12862" t="str">
        <f>HYPERLINK("https://us2.cloudbeds.com/connect/10074733072513#/reservations/31715104342179?display=Dylan%20Robertson&amp;reservation_id=31715104342179&amp;guest_id=31715104342176", "Dylan Robertson")</f>
        <v>Dylan Robertson</v>
      </c>
      <c r="E12862" t="s">
        <v>12315</v>
      </c>
      <c r="F12862" t="s">
        <v>12099</v>
      </c>
      <c r="G12862">
        <v>298</v>
      </c>
      <c r="H12862">
        <v>323.94</v>
      </c>
      <c r="I12862">
        <v>323.93</v>
      </c>
      <c r="J12862">
        <v>0.01</v>
      </c>
    </row>
    <row r="12863" spans="1:10" x14ac:dyDescent="0.3">
      <c r="A12863" t="str">
        <f>HYPERLINK("https://us2.cloudbeds.com/connect/10074733072513#/reservations/31715058876611?display=MX5C8NYBA&amp;reservation_id=31715058876611", "MX5C8NYBA")</f>
        <v>MX5C8NYBA</v>
      </c>
      <c r="B12863" t="s">
        <v>10</v>
      </c>
      <c r="C12863" t="s">
        <v>23</v>
      </c>
      <c r="D12863" t="str">
        <f>HYPERLINK("https://us2.cloudbeds.com/connect/10074733072513#/reservations/31715058876611?display=Jon%20Nowak&amp;reservation_id=31715058876611&amp;guest_id=31715052728540", "Jon Nowak")</f>
        <v>Jon Nowak</v>
      </c>
      <c r="E12863" t="s">
        <v>12316</v>
      </c>
      <c r="F12863" t="s">
        <v>12313</v>
      </c>
      <c r="G12863">
        <v>169</v>
      </c>
      <c r="H12863">
        <v>183.71</v>
      </c>
      <c r="I12863">
        <v>183.7</v>
      </c>
      <c r="J12863">
        <v>0.01</v>
      </c>
    </row>
    <row r="12864" spans="1:10" x14ac:dyDescent="0.3">
      <c r="A12864" t="str">
        <f>HYPERLINK("https://us2.cloudbeds.com/connect/10074733072513#/reservations/31712122290324?display=MX337GQX2&amp;reservation_id=31712122290324", "MX337GQX2")</f>
        <v>MX337GQX2</v>
      </c>
      <c r="B12864" t="s">
        <v>10</v>
      </c>
      <c r="C12864" t="s">
        <v>42</v>
      </c>
      <c r="D12864" t="str">
        <f>HYPERLINK("https://us2.cloudbeds.com/connect/10074733072513#/reservations/31712122290324?display=Nicholas%20Parker&amp;reservation_id=31712122290324&amp;guest_id=31712122290314", "Nicholas Parker")</f>
        <v>Nicholas Parker</v>
      </c>
      <c r="E12864" t="s">
        <v>11625</v>
      </c>
      <c r="F12864" t="s">
        <v>12261</v>
      </c>
      <c r="G12864">
        <v>252</v>
      </c>
      <c r="H12864">
        <v>273.93</v>
      </c>
      <c r="I12864">
        <v>273.92</v>
      </c>
      <c r="J12864">
        <v>0.01</v>
      </c>
    </row>
    <row r="12865" spans="1:10" x14ac:dyDescent="0.3">
      <c r="A12865" t="str">
        <f>HYPERLINK("https://us2.cloudbeds.com/connect/10074733072513#/reservations/31718951801064?display=MX8CZB08W&amp;reservation_id=31718951801064", "MX8CZB08W")</f>
        <v>MX8CZB08W</v>
      </c>
      <c r="B12865" t="s">
        <v>10</v>
      </c>
      <c r="C12865" t="s">
        <v>121</v>
      </c>
      <c r="D12865" t="str">
        <f>HYPERLINK("https://us2.cloudbeds.com/connect/10074733072513#/reservations/31718951801064?display=Brent%20Gerry&amp;reservation_id=31718951801064&amp;guest_id=31718941745357", "Brent Gerry")</f>
        <v>Brent Gerry</v>
      </c>
      <c r="E12865" t="s">
        <v>12317</v>
      </c>
      <c r="F12865" t="s">
        <v>10527</v>
      </c>
      <c r="G12865">
        <v>149</v>
      </c>
      <c r="H12865">
        <v>161.97</v>
      </c>
      <c r="I12865">
        <v>161.96</v>
      </c>
      <c r="J12865">
        <v>0.01</v>
      </c>
    </row>
    <row r="12866" spans="1:10" x14ac:dyDescent="0.3">
      <c r="A12866" t="str">
        <f>HYPERLINK("https://us2.cloudbeds.com/connect/10074733072513#/reservations/31716170514632?display=MX67M2K7V&amp;reservation_id=31716170514632", "MX67M2K7V")</f>
        <v>MX67M2K7V</v>
      </c>
      <c r="B12866" t="s">
        <v>10</v>
      </c>
      <c r="C12866" t="s">
        <v>23</v>
      </c>
      <c r="D12866" t="str">
        <f>HYPERLINK("https://us2.cloudbeds.com/connect/10074733072513#/reservations/31716170514632?display=James%20Greenwood&amp;reservation_id=31716170514632&amp;guest_id=31716170514626", "James Greenwood")</f>
        <v>James Greenwood</v>
      </c>
      <c r="E12866" t="s">
        <v>12318</v>
      </c>
      <c r="F12866" t="s">
        <v>12109</v>
      </c>
      <c r="G12866">
        <v>199</v>
      </c>
      <c r="H12866">
        <v>216.32</v>
      </c>
      <c r="I12866">
        <v>216.31</v>
      </c>
      <c r="J12866">
        <v>0.01</v>
      </c>
    </row>
    <row r="12867" spans="1:10" x14ac:dyDescent="0.3">
      <c r="A12867" t="str">
        <f>HYPERLINK("https://us2.cloudbeds.com/connect/10074733072513#/reservations/31714600481013?display=MX50X63ZK&amp;reservation_id=31714600481013", "MX50X63ZK")</f>
        <v>MX50X63ZK</v>
      </c>
      <c r="B12867" t="s">
        <v>10</v>
      </c>
      <c r="C12867" t="s">
        <v>42</v>
      </c>
      <c r="D12867" t="str">
        <f>HYPERLINK("https://us2.cloudbeds.com/connect/10074733072513#/reservations/31714600481013?display=Mark%20Steigleder&amp;reservation_id=31714600481013&amp;guest_id=31700861939846", "Mark Steigleder")</f>
        <v>Mark Steigleder</v>
      </c>
      <c r="E12867" t="s">
        <v>8106</v>
      </c>
      <c r="F12867" t="s">
        <v>12233</v>
      </c>
      <c r="G12867">
        <v>89</v>
      </c>
      <c r="H12867">
        <v>96.75</v>
      </c>
      <c r="I12867">
        <v>96.74</v>
      </c>
      <c r="J12867">
        <v>0.01</v>
      </c>
    </row>
    <row r="12868" spans="1:10" x14ac:dyDescent="0.3">
      <c r="A12868" t="str">
        <f>HYPERLINK("https://us2.cloudbeds.com/connect/10074733072513#/reservations/31712130613473?display=MX33EHDFN&amp;reservation_id=31712130613473", "MX33EHDFN")</f>
        <v>MX33EHDFN</v>
      </c>
      <c r="B12868" t="s">
        <v>10</v>
      </c>
      <c r="C12868" t="s">
        <v>42</v>
      </c>
      <c r="D12868" t="str">
        <f>HYPERLINK("https://us2.cloudbeds.com/connect/10074733072513#/reservations/31712130613473?display=Jason%20Derby&amp;reservation_id=31712130613473&amp;guest_id=31712130609392", "Jason Derby")</f>
        <v>Jason Derby</v>
      </c>
      <c r="E12868" t="s">
        <v>10037</v>
      </c>
      <c r="F12868" t="s">
        <v>12261</v>
      </c>
      <c r="G12868">
        <v>252</v>
      </c>
      <c r="H12868">
        <v>273.93</v>
      </c>
      <c r="I12868">
        <v>273.92</v>
      </c>
      <c r="J12868">
        <v>0.01</v>
      </c>
    </row>
    <row r="12869" spans="1:10" x14ac:dyDescent="0.3">
      <c r="A12869" t="str">
        <f>HYPERLINK("https://us2.cloudbeds.com/connect/10074733072513#/reservations/31716632752383?display=MX6JFS1WH&amp;reservation_id=31716632752383", "MX6JFS1WH")</f>
        <v>MX6JFS1WH</v>
      </c>
      <c r="B12869" t="s">
        <v>10</v>
      </c>
      <c r="C12869" t="s">
        <v>42</v>
      </c>
      <c r="D12869" t="str">
        <f>HYPERLINK("https://us2.cloudbeds.com/connect/10074733072513#/reservations/31716632752383?display=Beau%20Haugen&amp;reservation_id=31716632752383&amp;guest_id=31716620583074", "Beau Haugen")</f>
        <v>Beau Haugen</v>
      </c>
      <c r="E12869" t="s">
        <v>12320</v>
      </c>
      <c r="F12869" t="s">
        <v>12246</v>
      </c>
      <c r="G12869">
        <v>109</v>
      </c>
      <c r="H12869">
        <v>118.49</v>
      </c>
      <c r="I12869">
        <v>118.48</v>
      </c>
      <c r="J12869">
        <v>0.01</v>
      </c>
    </row>
    <row r="12870" spans="1:10" x14ac:dyDescent="0.3">
      <c r="A12870" t="str">
        <f>HYPERLINK("https://us2.cloudbeds.com/connect/10074733072513#/reservations/31714595160230?display=MX50DN1QP&amp;reservation_id=31714595160230", "MX50DN1QP")</f>
        <v>MX50DN1QP</v>
      </c>
      <c r="B12870" t="s">
        <v>10</v>
      </c>
      <c r="C12870" t="s">
        <v>23</v>
      </c>
      <c r="D12870" t="str">
        <f>HYPERLINK("https://us2.cloudbeds.com/connect/10074733072513#/reservations/31714595160230?display=Ryan%20Hansen&amp;reservation_id=31714595160230&amp;guest_id=31681699446979", "Ryan Hansen")</f>
        <v>Ryan Hansen</v>
      </c>
      <c r="E12870" t="s">
        <v>5603</v>
      </c>
      <c r="F12870" t="s">
        <v>11628</v>
      </c>
      <c r="G12870">
        <v>278</v>
      </c>
      <c r="H12870">
        <v>302.2</v>
      </c>
      <c r="I12870">
        <v>302.19</v>
      </c>
      <c r="J12870">
        <v>0.01</v>
      </c>
    </row>
    <row r="12871" spans="1:10" x14ac:dyDescent="0.3">
      <c r="A12871" t="str">
        <f>HYPERLINK("https://us2.cloudbeds.com/connect/10074733072513#/reservations/31712464986323?display=MX3BWFR8A&amp;reservation_id=31712464986323", "MX3BWFR8A")</f>
        <v>MX3BWFR8A</v>
      </c>
      <c r="B12871" t="s">
        <v>10</v>
      </c>
      <c r="C12871" t="s">
        <v>42</v>
      </c>
      <c r="D12871" t="str">
        <f>HYPERLINK("https://us2.cloudbeds.com/connect/10074733072513#/reservations/31712464986323?display=Teresa%20Neuman&amp;reservation_id=31712464986323&amp;guest_id=31712464986321", "Teresa Neuman")</f>
        <v>Teresa Neuman</v>
      </c>
      <c r="E12871" t="s">
        <v>12322</v>
      </c>
      <c r="F12871" t="s">
        <v>12215</v>
      </c>
      <c r="G12871">
        <v>318</v>
      </c>
      <c r="H12871">
        <v>345.68</v>
      </c>
      <c r="I12871">
        <v>345.67</v>
      </c>
      <c r="J12871">
        <v>0.01</v>
      </c>
    </row>
    <row r="12872" spans="1:10" x14ac:dyDescent="0.3">
      <c r="A12872" t="str">
        <f>HYPERLINK("https://us2.cloudbeds.com/connect/10074733072513#/reservations/31715477639341?display=MX5MVRB40&amp;reservation_id=31715477639341", "MX5MVRB40")</f>
        <v>MX5MVRB40</v>
      </c>
      <c r="B12872" t="s">
        <v>10</v>
      </c>
      <c r="C12872" t="s">
        <v>23</v>
      </c>
      <c r="D12872" t="str">
        <f>HYPERLINK("https://us2.cloudbeds.com/connect/10074733072513#/reservations/31715477639341?display=Danny%20Koester&amp;reservation_id=31715477639341&amp;guest_id=31715469926611", "Danny Koester")</f>
        <v>Danny Koester</v>
      </c>
      <c r="E12872" t="s">
        <v>12324</v>
      </c>
      <c r="F12872" t="s">
        <v>12274</v>
      </c>
      <c r="G12872">
        <v>109</v>
      </c>
      <c r="H12872">
        <v>118.49</v>
      </c>
      <c r="I12872">
        <v>118.48</v>
      </c>
      <c r="J12872">
        <v>0.01</v>
      </c>
    </row>
    <row r="12873" spans="1:10" x14ac:dyDescent="0.3">
      <c r="A12873" t="str">
        <f>HYPERLINK("https://us2.cloudbeds.com/connect/10074733072513#/reservations/31702523121833?display=MHSYV7Q3D&amp;reservation_id=31702523121833", "MHSYV7Q3D")</f>
        <v>MHSYV7Q3D</v>
      </c>
      <c r="B12873" t="s">
        <v>10</v>
      </c>
      <c r="C12873" t="s">
        <v>42</v>
      </c>
      <c r="D12873" t="str">
        <f>HYPERLINK("https://us2.cloudbeds.com/connect/10074733072513#/reservations/31702523121833?display=Jean%20Barry&amp;reservation_id=31702523121833&amp;guest_id=31702523121831", "Jean Barry")</f>
        <v>Jean Barry</v>
      </c>
      <c r="E12873" t="s">
        <v>12325</v>
      </c>
      <c r="F12873" t="s">
        <v>12326</v>
      </c>
      <c r="G12873">
        <v>209</v>
      </c>
      <c r="H12873">
        <v>227.19</v>
      </c>
      <c r="I12873">
        <v>227.18</v>
      </c>
      <c r="J12873">
        <v>0.01</v>
      </c>
    </row>
    <row r="12874" spans="1:10" x14ac:dyDescent="0.3">
      <c r="A12874" t="str">
        <f>HYPERLINK("https://us2.cloudbeds.com/connect/10074733072513#/reservations/31714572038298?display=MX4WR6YX5&amp;reservation_id=31714572038298", "MX4WR6YX5")</f>
        <v>MX4WR6YX5</v>
      </c>
      <c r="B12874" t="s">
        <v>10</v>
      </c>
      <c r="C12874" t="s">
        <v>42</v>
      </c>
      <c r="D12874" t="str">
        <f>HYPERLINK("https://us2.cloudbeds.com/connect/10074733072513#/reservations/31714572038298?display=Donald%20Black&amp;reservation_id=31714572038298&amp;guest_id=31714572038293", "Donald Black")</f>
        <v>Donald Black</v>
      </c>
      <c r="E12874" t="s">
        <v>12329</v>
      </c>
      <c r="F12874" t="s">
        <v>12274</v>
      </c>
      <c r="G12874">
        <v>109</v>
      </c>
      <c r="H12874">
        <v>118.49</v>
      </c>
      <c r="I12874">
        <v>118.48</v>
      </c>
      <c r="J12874">
        <v>0.01</v>
      </c>
    </row>
    <row r="12875" spans="1:10" x14ac:dyDescent="0.3">
      <c r="A12875" t="str">
        <f>HYPERLINK("https://us2.cloudbeds.com/connect/10074733072513#/reservations/31716259299467?display=MX69UV60E&amp;reservation_id=31716259299467", "MX69UV60E")</f>
        <v>MX69UV60E</v>
      </c>
      <c r="B12875" t="s">
        <v>10</v>
      </c>
      <c r="C12875" t="s">
        <v>42</v>
      </c>
      <c r="D12875" t="str">
        <f>HYPERLINK("https://us2.cloudbeds.com/connect/10074733072513#/reservations/31716259299467?display=James%20Stigler&amp;reservation_id=31716259299467&amp;guest_id=31716259299461", "James Stigler")</f>
        <v>James Stigler</v>
      </c>
      <c r="E12875" t="s">
        <v>12330</v>
      </c>
      <c r="F12875" t="s">
        <v>12099</v>
      </c>
      <c r="G12875">
        <v>473.4</v>
      </c>
      <c r="H12875">
        <v>514.6</v>
      </c>
      <c r="I12875">
        <v>514.59</v>
      </c>
      <c r="J12875">
        <v>0.01</v>
      </c>
    </row>
    <row r="12876" spans="1:10" x14ac:dyDescent="0.3">
      <c r="A12876" t="str">
        <f>HYPERLINK("https://us2.cloudbeds.com/connect/10074733072513#/reservations/31714584101066?display=MX504CAFJ&amp;reservation_id=31714584101066", "MX504CAFJ")</f>
        <v>MX504CAFJ</v>
      </c>
      <c r="B12876" t="s">
        <v>10</v>
      </c>
      <c r="C12876" t="s">
        <v>42</v>
      </c>
      <c r="D12876" t="str">
        <f>HYPERLINK("https://us2.cloudbeds.com/connect/10074733072513#/reservations/31714584101066?display=Jason%20Geier&amp;reservation_id=31714584101066&amp;guest_id=31714580455650", "Jason Geier")</f>
        <v>Jason Geier</v>
      </c>
      <c r="E12876" t="s">
        <v>12329</v>
      </c>
      <c r="F12876" t="s">
        <v>12274</v>
      </c>
      <c r="G12876">
        <v>109</v>
      </c>
      <c r="H12876">
        <v>118.49</v>
      </c>
      <c r="I12876">
        <v>118.48</v>
      </c>
      <c r="J12876">
        <v>0.01</v>
      </c>
    </row>
    <row r="12877" spans="1:10" x14ac:dyDescent="0.3">
      <c r="A12877" t="str">
        <f>HYPERLINK("https://us2.cloudbeds.com/connect/10074733072513#/reservations/31711658774687?display=MX2ZCYQBM&amp;reservation_id=31711658774687", "MX2ZCYQBM")</f>
        <v>MX2ZCYQBM</v>
      </c>
      <c r="B12877" t="s">
        <v>10</v>
      </c>
      <c r="C12877" t="s">
        <v>42</v>
      </c>
      <c r="D12877" t="str">
        <f>HYPERLINK("https://us2.cloudbeds.com/connect/10074733072513#/reservations/31711658774687?display=Allan%20Probst&amp;reservation_id=31711658774687&amp;guest_id=31711658774675", "Allan Probst")</f>
        <v>Allan Probst</v>
      </c>
      <c r="E12877" t="s">
        <v>12332</v>
      </c>
      <c r="F12877" t="s">
        <v>12333</v>
      </c>
      <c r="G12877">
        <v>504</v>
      </c>
      <c r="H12877">
        <v>547.86</v>
      </c>
      <c r="I12877">
        <v>547.85</v>
      </c>
      <c r="J12877">
        <v>0.01</v>
      </c>
    </row>
    <row r="12878" spans="1:10" x14ac:dyDescent="0.3">
      <c r="A12878" t="str">
        <f>HYPERLINK("https://us2.cloudbeds.com/connect/10074733072513#/reservations/31716248137944?display=MX69YHJMH&amp;reservation_id=31716248137944", "MX69YHJMH")</f>
        <v>MX69YHJMH</v>
      </c>
      <c r="B12878" t="s">
        <v>10</v>
      </c>
      <c r="C12878" t="s">
        <v>23</v>
      </c>
      <c r="D12878" t="str">
        <f>HYPERLINK("https://us2.cloudbeds.com/connect/10074733072513#/reservations/31716248137944?display=Jenna%20Williams&amp;reservation_id=31716248137944&amp;guest_id=31716248137941", "Jenna Williams")</f>
        <v>Jenna Williams</v>
      </c>
      <c r="E12878" t="s">
        <v>12334</v>
      </c>
      <c r="F12878" t="s">
        <v>12099</v>
      </c>
      <c r="G12878">
        <v>189</v>
      </c>
      <c r="H12878">
        <v>205.45</v>
      </c>
      <c r="I12878">
        <v>205.44</v>
      </c>
      <c r="J12878">
        <v>0.01</v>
      </c>
    </row>
    <row r="12879" spans="1:10" x14ac:dyDescent="0.3">
      <c r="A12879" t="str">
        <f>HYPERLINK("https://us2.cloudbeds.com/connect/10074733072513#/reservations/31702621143225?display=MHSZETCXJ&amp;reservation_id=31702621143225", "MHSZETCXJ")</f>
        <v>MHSZETCXJ</v>
      </c>
      <c r="B12879" t="s">
        <v>10</v>
      </c>
      <c r="C12879" t="s">
        <v>42</v>
      </c>
      <c r="D12879" t="str">
        <f>HYPERLINK("https://us2.cloudbeds.com/connect/10074733072513#/reservations/31702621143225?display=Mary%20Hubert&amp;reservation_id=31702621143225&amp;guest_id=31702621143172", "Mary Hubert")</f>
        <v>Mary Hubert</v>
      </c>
      <c r="E12879" t="s">
        <v>12335</v>
      </c>
      <c r="F12879" t="s">
        <v>12326</v>
      </c>
      <c r="G12879">
        <v>199</v>
      </c>
      <c r="H12879">
        <v>216.32</v>
      </c>
      <c r="I12879">
        <v>216.31</v>
      </c>
      <c r="J12879">
        <v>0.01</v>
      </c>
    </row>
    <row r="12880" spans="1:10" x14ac:dyDescent="0.3">
      <c r="A12880" t="str">
        <f>HYPERLINK("https://us2.cloudbeds.com/connect/10074733072513#/reservations/31712919892182?display=MX3NK28AB&amp;reservation_id=31712919892182", "MX3NK28AB")</f>
        <v>MX3NK28AB</v>
      </c>
      <c r="B12880" t="s">
        <v>10</v>
      </c>
      <c r="C12880" t="s">
        <v>23</v>
      </c>
      <c r="D12880" t="str">
        <f>HYPERLINK("https://us2.cloudbeds.com/connect/10074733072513#/reservations/31712919892182?display=John%20Nelson&amp;reservation_id=31712919892182&amp;guest_id=31712919892177", "John Nelson")</f>
        <v>John Nelson</v>
      </c>
      <c r="E12880" t="s">
        <v>1153</v>
      </c>
      <c r="F12880" t="s">
        <v>12261</v>
      </c>
      <c r="G12880">
        <v>169</v>
      </c>
      <c r="H12880">
        <v>183.71</v>
      </c>
      <c r="I12880">
        <v>183.7</v>
      </c>
      <c r="J12880">
        <v>0.01</v>
      </c>
    </row>
    <row r="12881" spans="1:10" x14ac:dyDescent="0.3">
      <c r="A12881" t="str">
        <f>HYPERLINK("https://us2.cloudbeds.com/connect/10074733072513#/reservations/31715491438818?display=MX5NAFAQW&amp;reservation_id=31715491438818", "MX5NAFAQW")</f>
        <v>MX5NAFAQW</v>
      </c>
      <c r="B12881" t="s">
        <v>10</v>
      </c>
      <c r="C12881" t="s">
        <v>121</v>
      </c>
      <c r="D12881" t="str">
        <f>HYPERLINK("https://us2.cloudbeds.com/connect/10074733072513#/reservations/31715491438818?display=Gilberto%20Maldonado&amp;reservation_id=31715491438818&amp;guest_id=31715491438798", "Gilberto Maldonado")</f>
        <v>Gilberto Maldonado</v>
      </c>
      <c r="E12881" t="s">
        <v>12336</v>
      </c>
      <c r="F12881" t="s">
        <v>12274</v>
      </c>
      <c r="G12881">
        <v>109</v>
      </c>
      <c r="H12881">
        <v>118.49</v>
      </c>
      <c r="I12881">
        <v>118.48</v>
      </c>
      <c r="J12881">
        <v>0.01</v>
      </c>
    </row>
    <row r="12882" spans="1:10" x14ac:dyDescent="0.3">
      <c r="A12882" t="str">
        <f>HYPERLINK("https://us2.cloudbeds.com/connect/10074733072513#/reservations/31714559385796?display=MX4WGHJ30&amp;reservation_id=31714559385796", "MX4WGHJ30")</f>
        <v>MX4WGHJ30</v>
      </c>
      <c r="B12882" t="s">
        <v>10</v>
      </c>
      <c r="C12882" t="s">
        <v>42</v>
      </c>
      <c r="D12882" t="str">
        <f>HYPERLINK("https://us2.cloudbeds.com/connect/10074733072513#/reservations/31714559385796?display=Chelsie%20Bothun&amp;reservation_id=31714559385796&amp;guest_id=31714548650201", "Chelsie Bothun")</f>
        <v>Chelsie Bothun</v>
      </c>
      <c r="E12882" t="s">
        <v>11686</v>
      </c>
      <c r="F12882" t="s">
        <v>8603</v>
      </c>
      <c r="G12882">
        <v>378</v>
      </c>
      <c r="H12882">
        <v>410.9</v>
      </c>
      <c r="I12882">
        <v>410.89</v>
      </c>
      <c r="J12882">
        <v>0.01</v>
      </c>
    </row>
    <row r="12883" spans="1:10" x14ac:dyDescent="0.3">
      <c r="A12883" t="str">
        <f>HYPERLINK("https://us2.cloudbeds.com/connect/10074733072513#/reservations/31716937199832?display=MX6R8XP1Q&amp;reservation_id=31716937199832", "MX6R8XP1Q")</f>
        <v>MX6R8XP1Q</v>
      </c>
      <c r="B12883" t="s">
        <v>10</v>
      </c>
      <c r="C12883" t="s">
        <v>42</v>
      </c>
      <c r="D12883" t="str">
        <f>HYPERLINK("https://us2.cloudbeds.com/connect/10074733072513#/reservations/31716937199832?display=Kate%20Losse&amp;reservation_id=31716937199832&amp;guest_id=31714229452938", "Kate Losse")</f>
        <v>Kate Losse</v>
      </c>
      <c r="E12883" t="s">
        <v>12339</v>
      </c>
      <c r="F12883" t="s">
        <v>12340</v>
      </c>
      <c r="G12883">
        <v>109</v>
      </c>
      <c r="H12883">
        <v>118.49</v>
      </c>
      <c r="I12883">
        <v>118.48</v>
      </c>
      <c r="J12883">
        <v>0.01</v>
      </c>
    </row>
    <row r="12884" spans="1:10" x14ac:dyDescent="0.3">
      <c r="A12884" t="str">
        <f>HYPERLINK("https://us2.cloudbeds.com/connect/10074733072513#/reservations/31710941450393?display=MX261Q6BS&amp;reservation_id=31710941450393", "MX261Q6BS")</f>
        <v>MX261Q6BS</v>
      </c>
      <c r="B12884" t="s">
        <v>10</v>
      </c>
      <c r="C12884" t="s">
        <v>42</v>
      </c>
      <c r="D12884" t="str">
        <f>HYPERLINK("https://us2.cloudbeds.com/connect/10074733072513#/reservations/31710941450393?display=Randy%20Koefod&amp;reservation_id=31710941450393&amp;guest_id=31710941446300", "Randy Koefod")</f>
        <v>Randy Koefod</v>
      </c>
      <c r="E12884" t="s">
        <v>12341</v>
      </c>
      <c r="F12884" t="s">
        <v>10330</v>
      </c>
      <c r="G12884">
        <v>318</v>
      </c>
      <c r="H12884">
        <v>345.68</v>
      </c>
      <c r="I12884">
        <v>345.67</v>
      </c>
      <c r="J12884">
        <v>0.01</v>
      </c>
    </row>
    <row r="12885" spans="1:10" x14ac:dyDescent="0.3">
      <c r="A12885" t="str">
        <f>HYPERLINK("https://us2.cloudbeds.com/connect/10074733072513#/reservations/31702630703315?display=MHSZMVDBA&amp;reservation_id=31702630703315", "MHSZMVDBA")</f>
        <v>MHSZMVDBA</v>
      </c>
      <c r="B12885" t="s">
        <v>10</v>
      </c>
      <c r="C12885" t="s">
        <v>42</v>
      </c>
      <c r="D12885" t="str">
        <f>HYPERLINK("https://us2.cloudbeds.com/connect/10074733072513#/reservations/31702630703315?display=Kiki%20Hubert&amp;reservation_id=31702630703315&amp;guest_id=31702630699224", "Kiki Hubert")</f>
        <v>Kiki Hubert</v>
      </c>
      <c r="E12885" t="s">
        <v>12342</v>
      </c>
      <c r="F12885" t="s">
        <v>12326</v>
      </c>
      <c r="G12885">
        <v>209</v>
      </c>
      <c r="H12885">
        <v>227.19</v>
      </c>
      <c r="I12885">
        <v>227.18</v>
      </c>
      <c r="J12885">
        <v>0.01</v>
      </c>
    </row>
    <row r="12886" spans="1:10" x14ac:dyDescent="0.3">
      <c r="A12886" t="str">
        <f>HYPERLINK("https://us2.cloudbeds.com/connect/10074733072513#/reservations/31710954676473?display=MX26CV7H5&amp;reservation_id=31710954676473", "MX26CV7H5")</f>
        <v>MX26CV7H5</v>
      </c>
      <c r="B12886" t="s">
        <v>10</v>
      </c>
      <c r="C12886" t="s">
        <v>42</v>
      </c>
      <c r="D12886" t="str">
        <f>HYPERLINK("https://us2.cloudbeds.com/connect/10074733072513#/reservations/31710954676473?display=Randy%20Koefod&amp;reservation_id=31710954676473&amp;guest_id=31710954676470", "Randy Koefod")</f>
        <v>Randy Koefod</v>
      </c>
      <c r="E12886" t="s">
        <v>12221</v>
      </c>
      <c r="F12886" t="s">
        <v>10330</v>
      </c>
      <c r="G12886">
        <v>318</v>
      </c>
      <c r="H12886">
        <v>345.68</v>
      </c>
      <c r="I12886">
        <v>345.67</v>
      </c>
      <c r="J12886">
        <v>0.01</v>
      </c>
    </row>
    <row r="12887" spans="1:10" x14ac:dyDescent="0.3">
      <c r="A12887" t="str">
        <f>HYPERLINK("https://us2.cloudbeds.com/connect/10074733072513#/reservations/31717223944387?display=MX71JBS0Z&amp;reservation_id=31717223944387", "MX71JBS0Z")</f>
        <v>MX71JBS0Z</v>
      </c>
      <c r="B12887" t="s">
        <v>10</v>
      </c>
      <c r="C12887" t="s">
        <v>121</v>
      </c>
      <c r="D12887" t="str">
        <f>HYPERLINK("https://us2.cloudbeds.com/connect/10074733072513#/reservations/31717223944387?display=Travis%20Hulstein&amp;reservation_id=31717223944387&amp;guest_id=31693922099367", "Travis Hulstein")</f>
        <v>Travis Hulstein</v>
      </c>
      <c r="E12887" t="s">
        <v>9082</v>
      </c>
      <c r="F12887" t="s">
        <v>12261</v>
      </c>
      <c r="G12887">
        <v>169</v>
      </c>
      <c r="H12887">
        <v>183.71</v>
      </c>
      <c r="I12887">
        <v>183.7</v>
      </c>
      <c r="J12887">
        <v>0.01</v>
      </c>
    </row>
    <row r="12888" spans="1:10" x14ac:dyDescent="0.3">
      <c r="A12888" t="str">
        <f>HYPERLINK("https://us2.cloudbeds.com/connect/10074733072513#/reservations/31716858163424?display=MX6P7UF04&amp;reservation_id=31716858163424", "MX6P7UF04")</f>
        <v>MX6P7UF04</v>
      </c>
      <c r="B12888" t="s">
        <v>10</v>
      </c>
      <c r="C12888" t="s">
        <v>23</v>
      </c>
      <c r="D12888" t="str">
        <f>HYPERLINK("https://us2.cloudbeds.com/connect/10074733072513#/reservations/31716858163424?display=Casey%20Doud&amp;reservation_id=31716858163424&amp;guest_id=31716858159343", "Casey Doud")</f>
        <v>Casey Doud</v>
      </c>
      <c r="E12888" t="s">
        <v>12346</v>
      </c>
      <c r="F12888" t="s">
        <v>12303</v>
      </c>
      <c r="G12888">
        <v>129</v>
      </c>
      <c r="H12888">
        <v>140.22999999999999</v>
      </c>
      <c r="I12888">
        <v>140.22</v>
      </c>
      <c r="J12888">
        <v>0.01</v>
      </c>
    </row>
    <row r="12889" spans="1:10" x14ac:dyDescent="0.3">
      <c r="A12889" t="str">
        <f>HYPERLINK("https://us2.cloudbeds.com/connect/10074733072513#/reservations/31718890057875?display=MX8B58U48&amp;reservation_id=31718890057875", "MX8B58U48")</f>
        <v>MX8B58U48</v>
      </c>
      <c r="B12889" t="s">
        <v>10</v>
      </c>
      <c r="C12889" t="s">
        <v>23</v>
      </c>
      <c r="D12889" t="str">
        <f>HYPERLINK("https://us2.cloudbeds.com/connect/10074733072513#/reservations/31718890057875?display=Marc%20Alewelt&amp;reservation_id=31718890057875&amp;guest_id=31718890057872", "Marc Alewelt")</f>
        <v>Marc Alewelt</v>
      </c>
      <c r="E12889" t="s">
        <v>12347</v>
      </c>
      <c r="F12889" t="s">
        <v>12303</v>
      </c>
      <c r="G12889">
        <v>109</v>
      </c>
      <c r="H12889">
        <v>118.49</v>
      </c>
      <c r="I12889">
        <v>118.48</v>
      </c>
      <c r="J12889">
        <v>0.01</v>
      </c>
    </row>
    <row r="12890" spans="1:10" x14ac:dyDescent="0.3">
      <c r="A12890" t="str">
        <f>HYPERLINK("https://us2.cloudbeds.com/connect/10074733072513#/reservations/31717168697550?display=MX705PHA5&amp;reservation_id=31717168697550", "MX705PHA5")</f>
        <v>MX705PHA5</v>
      </c>
      <c r="B12890" t="s">
        <v>10</v>
      </c>
      <c r="C12890" t="s">
        <v>121</v>
      </c>
      <c r="D12890" t="str">
        <f>HYPERLINK("https://us2.cloudbeds.com/connect/10074733072513#/reservations/31717168697550?display=Kayla%20Schnellbach&amp;reservation_id=31717168697550&amp;guest_id=31717168697545", "Kayla Schnellbach")</f>
        <v>Kayla Schnellbach</v>
      </c>
      <c r="E12890" t="s">
        <v>12353</v>
      </c>
      <c r="F12890" t="s">
        <v>12261</v>
      </c>
      <c r="G12890">
        <v>169</v>
      </c>
      <c r="H12890">
        <v>183.71</v>
      </c>
      <c r="I12890">
        <v>183.7</v>
      </c>
      <c r="J12890">
        <v>0.01</v>
      </c>
    </row>
    <row r="12891" spans="1:10" x14ac:dyDescent="0.3">
      <c r="A12891" t="str">
        <f>HYPERLINK("https://us2.cloudbeds.com/connect/10074733072513#/reservations/31715130310909?display=MX5E2VDJ0&amp;reservation_id=31715130310909", "MX5E2VDJ0")</f>
        <v>MX5E2VDJ0</v>
      </c>
      <c r="B12891" t="s">
        <v>10</v>
      </c>
      <c r="C12891" t="s">
        <v>23</v>
      </c>
      <c r="D12891" t="str">
        <f>HYPERLINK("https://us2.cloudbeds.com/connect/10074733072513#/reservations/31715130310909?display=Christopher%20Browning&amp;reservation_id=31715130310909&amp;guest_id=31715130310905", "Christopher Browning")</f>
        <v>Christopher Browning</v>
      </c>
      <c r="E12891" t="s">
        <v>12355</v>
      </c>
      <c r="F12891" t="s">
        <v>11699</v>
      </c>
      <c r="G12891">
        <v>209</v>
      </c>
      <c r="H12891">
        <v>227.19</v>
      </c>
      <c r="I12891">
        <v>227.18</v>
      </c>
      <c r="J12891">
        <v>0.01</v>
      </c>
    </row>
    <row r="12892" spans="1:10" x14ac:dyDescent="0.3">
      <c r="A12892" t="str">
        <f>HYPERLINK("https://us2.cloudbeds.com/connect/10074733072513#/reservations/31715148763324?display=MX5EXGSV3&amp;reservation_id=31715148763324", "MX5EXGSV3")</f>
        <v>MX5EXGSV3</v>
      </c>
      <c r="B12892" t="s">
        <v>10</v>
      </c>
      <c r="C12892" t="s">
        <v>42</v>
      </c>
      <c r="D12892" t="str">
        <f>HYPERLINK("https://us2.cloudbeds.com/connect/10074733072513#/reservations/31715148763324?display=Mark%20Humbert&amp;reservation_id=31715148763324&amp;guest_id=31712391299312", "Mark Humbert")</f>
        <v>Mark Humbert</v>
      </c>
      <c r="E12892" t="s">
        <v>4586</v>
      </c>
      <c r="F12892" t="s">
        <v>12340</v>
      </c>
      <c r="G12892">
        <v>139</v>
      </c>
      <c r="H12892">
        <v>151.1</v>
      </c>
      <c r="I12892">
        <v>151.09</v>
      </c>
      <c r="J12892">
        <v>0.01</v>
      </c>
    </row>
    <row r="12893" spans="1:10" x14ac:dyDescent="0.3">
      <c r="A12893" t="str">
        <f>HYPERLINK("https://us2.cloudbeds.com/connect/10074733072513#/reservations/31712501194979?display=MX3CU0CNA&amp;reservation_id=31712501194979", "MX3CU0CNA")</f>
        <v>MX3CU0CNA</v>
      </c>
      <c r="B12893" t="s">
        <v>10</v>
      </c>
      <c r="C12893" t="s">
        <v>23</v>
      </c>
      <c r="D12893" t="str">
        <f>HYPERLINK("https://us2.cloudbeds.com/connect/10074733072513#/reservations/31712501194979?display=John%20Heinke&amp;reservation_id=31712501194979&amp;guest_id=31712501190885", "John Heinke")</f>
        <v>John Heinke</v>
      </c>
      <c r="E12893" t="s">
        <v>12359</v>
      </c>
      <c r="F12893" t="s">
        <v>11713</v>
      </c>
      <c r="G12893">
        <v>139</v>
      </c>
      <c r="H12893">
        <v>151.1</v>
      </c>
      <c r="I12893">
        <v>151.09</v>
      </c>
      <c r="J12893">
        <v>0.01</v>
      </c>
    </row>
    <row r="12894" spans="1:10" x14ac:dyDescent="0.3">
      <c r="A12894" t="str">
        <f>HYPERLINK("https://us2.cloudbeds.com/connect/10074733072513#/reservations/31714713485546?display=MX53EFKRD&amp;reservation_id=31714713485546", "MX53EFKRD")</f>
        <v>MX53EFKRD</v>
      </c>
      <c r="B12894" t="s">
        <v>10</v>
      </c>
      <c r="C12894" t="s">
        <v>23</v>
      </c>
      <c r="D12894" t="str">
        <f>HYPERLINK("https://us2.cloudbeds.com/connect/10074733072513#/reservations/31714713485546?display=Thyra%20Knapp&amp;reservation_id=31714713485546&amp;guest_id=31714701680841", "Thyra Knapp")</f>
        <v>Thyra Knapp</v>
      </c>
      <c r="E12894" t="s">
        <v>12361</v>
      </c>
      <c r="F12894" t="s">
        <v>11281</v>
      </c>
      <c r="G12894">
        <v>378</v>
      </c>
      <c r="H12894">
        <v>410.9</v>
      </c>
      <c r="I12894">
        <v>410.89</v>
      </c>
      <c r="J12894">
        <v>0.01</v>
      </c>
    </row>
    <row r="12895" spans="1:10" x14ac:dyDescent="0.3">
      <c r="A12895" t="str">
        <f>HYPERLINK("https://us2.cloudbeds.com/connect/10074733072513#/reservations/31716150263937?display=MX67503XH&amp;reservation_id=31716150263937", "MX67503XH")</f>
        <v>MX67503XH</v>
      </c>
      <c r="B12895" t="s">
        <v>10</v>
      </c>
      <c r="C12895" t="s">
        <v>23</v>
      </c>
      <c r="D12895" t="str">
        <f>HYPERLINK("https://us2.cloudbeds.com/connect/10074733072513#/reservations/31716150263937?display=Jenni%20Darlow&amp;reservation_id=31716150263937&amp;guest_id=31716150259852", "Jenni Darlow")</f>
        <v>Jenni Darlow</v>
      </c>
      <c r="E12895" t="s">
        <v>12362</v>
      </c>
      <c r="F12895" t="s">
        <v>12109</v>
      </c>
      <c r="G12895">
        <v>209</v>
      </c>
      <c r="H12895">
        <v>227.19</v>
      </c>
      <c r="I12895">
        <v>227.18</v>
      </c>
      <c r="J12895">
        <v>0.01</v>
      </c>
    </row>
    <row r="12896" spans="1:10" x14ac:dyDescent="0.3">
      <c r="A12896" t="str">
        <f>HYPERLINK("https://us2.cloudbeds.com/connect/10074733072513#/reservations/31713438265567?display=MX43S5ZUZ&amp;reservation_id=31713438265567", "MX43S5ZUZ")</f>
        <v>MX43S5ZUZ</v>
      </c>
      <c r="B12896" t="s">
        <v>10</v>
      </c>
      <c r="C12896" t="s">
        <v>23</v>
      </c>
      <c r="D12896" t="str">
        <f>HYPERLINK("https://us2.cloudbeds.com/connect/10074733072513#/reservations/31713438265567?display=Greg%20Vester&amp;reservation_id=31713438265567&amp;guest_id=31713438265542", "Greg Vester")</f>
        <v>Greg Vester</v>
      </c>
      <c r="E12896" t="s">
        <v>10598</v>
      </c>
      <c r="F12896" t="s">
        <v>12363</v>
      </c>
      <c r="G12896">
        <v>109</v>
      </c>
      <c r="H12896">
        <v>118.49</v>
      </c>
      <c r="I12896">
        <v>118.48</v>
      </c>
      <c r="J12896">
        <v>0.01</v>
      </c>
    </row>
    <row r="12897" spans="1:10" x14ac:dyDescent="0.3">
      <c r="A12897" t="str">
        <f>HYPERLINK("https://us2.cloudbeds.com/connect/10074733072513#/reservations/31718864175299?display=MX8AGEMRP&amp;reservation_id=31718864175299", "MX8AGEMRP")</f>
        <v>MX8AGEMRP</v>
      </c>
      <c r="B12897" t="s">
        <v>10</v>
      </c>
      <c r="C12897" t="s">
        <v>42</v>
      </c>
      <c r="D12897" t="str">
        <f>HYPERLINK("https://us2.cloudbeds.com/connect/10074733072513#/reservations/31718864175299?display=Justin%20Fortin&amp;reservation_id=31718864175299&amp;guest_id=31718854344930", "Justin Fortin")</f>
        <v>Justin Fortin</v>
      </c>
      <c r="E12897" t="s">
        <v>9260</v>
      </c>
      <c r="F12897" t="s">
        <v>12303</v>
      </c>
      <c r="G12897">
        <v>73</v>
      </c>
      <c r="H12897">
        <v>79.36</v>
      </c>
      <c r="I12897">
        <v>79.349999999999994</v>
      </c>
      <c r="J12897">
        <v>0.01</v>
      </c>
    </row>
    <row r="12898" spans="1:10" x14ac:dyDescent="0.3">
      <c r="A12898" t="str">
        <f>HYPERLINK("https://us2.cloudbeds.com/connect/10074733072513#/reservations/31716867092629?display=MX6PFEUF3&amp;reservation_id=31716867092629", "MX6PFEUF3")</f>
        <v>MX6PFEUF3</v>
      </c>
      <c r="B12898" t="s">
        <v>10</v>
      </c>
      <c r="C12898" t="s">
        <v>42</v>
      </c>
      <c r="D12898" t="str">
        <f>HYPERLINK("https://us2.cloudbeds.com/connect/10074733072513#/reservations/31716867092629?display=Stephanie%20Kunkel&amp;reservation_id=31716867092629&amp;guest_id=31716867092624", "Stephanie Kunkel")</f>
        <v>Stephanie Kunkel</v>
      </c>
      <c r="E12898" t="s">
        <v>12364</v>
      </c>
      <c r="F12898" t="s">
        <v>12303</v>
      </c>
      <c r="G12898">
        <v>73</v>
      </c>
      <c r="H12898">
        <v>79.36</v>
      </c>
      <c r="I12898">
        <v>79.349999999999994</v>
      </c>
      <c r="J12898">
        <v>0.01</v>
      </c>
    </row>
    <row r="12899" spans="1:10" x14ac:dyDescent="0.3">
      <c r="A12899" t="str">
        <f>HYPERLINK("https://us2.cloudbeds.com/connect/10074733072513#/reservations/31716817826005?display=MX6Z6U073&amp;reservation_id=31716817826005", "MX6Z6U073")</f>
        <v>MX6Z6U073</v>
      </c>
      <c r="B12899" t="s">
        <v>10</v>
      </c>
      <c r="C12899" t="s">
        <v>42</v>
      </c>
      <c r="D12899" t="str">
        <f>HYPERLINK("https://us2.cloudbeds.com/connect/10074733072513#/reservations/31716817826005?display=Noe%20Sanchez-Murillo&amp;reservation_id=31716817826005&amp;guest_id=31716817826003", "Noe Sanchez-Murillo")</f>
        <v>Noe Sanchez-Murillo</v>
      </c>
      <c r="E12899" t="s">
        <v>12365</v>
      </c>
      <c r="F12899" t="s">
        <v>12303</v>
      </c>
      <c r="G12899">
        <v>109</v>
      </c>
      <c r="H12899">
        <v>118.49</v>
      </c>
      <c r="I12899">
        <v>118.48</v>
      </c>
      <c r="J12899">
        <v>0.01</v>
      </c>
    </row>
    <row r="12900" spans="1:10" x14ac:dyDescent="0.3">
      <c r="A12900" t="str">
        <f>HYPERLINK("https://us2.cloudbeds.com/connect/10074733072513#/reservations/31715440824466?display=MX5M0PTWZ&amp;reservation_id=31715440824466", "MX5M0PTWZ")</f>
        <v>MX5M0PTWZ</v>
      </c>
      <c r="B12900" t="s">
        <v>10</v>
      </c>
      <c r="C12900" t="s">
        <v>42</v>
      </c>
      <c r="D12900" t="str">
        <f>HYPERLINK("https://us2.cloudbeds.com/connect/10074733072513#/reservations/31715440824466?display=Dan%20Perseke&amp;reservation_id=31715440824466&amp;guest_id=31715433828535", "Dan Perseke")</f>
        <v>Dan Perseke</v>
      </c>
      <c r="E12900" t="s">
        <v>10360</v>
      </c>
      <c r="F12900" t="s">
        <v>12345</v>
      </c>
      <c r="G12900">
        <v>336</v>
      </c>
      <c r="H12900">
        <v>365.24</v>
      </c>
      <c r="I12900">
        <v>365.23</v>
      </c>
      <c r="J12900">
        <v>0.01</v>
      </c>
    </row>
    <row r="12901" spans="1:10" x14ac:dyDescent="0.3">
      <c r="A12901" t="str">
        <f>HYPERLINK("https://us2.cloudbeds.com/connect/10074733072513#/reservations/31715998748868?display=MX6397W8Q&amp;reservation_id=31715998748868", "MX6397W8Q")</f>
        <v>MX6397W8Q</v>
      </c>
      <c r="B12901" t="s">
        <v>10</v>
      </c>
      <c r="C12901" t="s">
        <v>23</v>
      </c>
      <c r="D12901" t="str">
        <f>HYPERLINK("https://us2.cloudbeds.com/connect/10074733072513#/reservations/31715998748868?display=Richard%20Mailly&amp;reservation_id=31715998748868&amp;guest_id=31715998744831", "Richard Mailly")</f>
        <v>Richard Mailly</v>
      </c>
      <c r="E12901" t="s">
        <v>12366</v>
      </c>
      <c r="F12901" t="s">
        <v>12109</v>
      </c>
      <c r="G12901">
        <v>249</v>
      </c>
      <c r="H12901">
        <v>270.67</v>
      </c>
      <c r="I12901">
        <v>270.66000000000003</v>
      </c>
      <c r="J12901">
        <v>0.01</v>
      </c>
    </row>
    <row r="12902" spans="1:10" x14ac:dyDescent="0.3">
      <c r="A12902" t="str">
        <f>HYPERLINK("https://us2.cloudbeds.com/connect/10074733072513#/reservations/31715104346261?display=MX5DE1TUG&amp;reservation_id=31715104346261", "MX5DE1TUG")</f>
        <v>MX5DE1TUG</v>
      </c>
      <c r="B12902" t="s">
        <v>10</v>
      </c>
      <c r="C12902" t="s">
        <v>23</v>
      </c>
      <c r="D12902" t="str">
        <f>HYPERLINK("https://us2.cloudbeds.com/connect/10074733072513#/reservations/31715104346261?display=Ben%20Zhang&amp;reservation_id=31715104346261&amp;guest_id=31715104342177", "Ben Zhang")</f>
        <v>Ben Zhang</v>
      </c>
      <c r="E12902" t="s">
        <v>12367</v>
      </c>
      <c r="F12902" t="s">
        <v>12109</v>
      </c>
      <c r="G12902">
        <v>183.76</v>
      </c>
      <c r="H12902">
        <v>199.76</v>
      </c>
      <c r="I12902">
        <v>199.75</v>
      </c>
      <c r="J12902">
        <v>0.01</v>
      </c>
    </row>
    <row r="12903" spans="1:10" x14ac:dyDescent="0.3">
      <c r="A12903" t="str">
        <f>HYPERLINK("https://us2.cloudbeds.com/connect/10074733072513#/reservations/31715864408276?display=MX5WRVZRP&amp;reservation_id=31715864408276", "MX5WRVZRP")</f>
        <v>MX5WRVZRP</v>
      </c>
      <c r="B12903" t="s">
        <v>10</v>
      </c>
      <c r="C12903" t="s">
        <v>42</v>
      </c>
      <c r="D12903" t="str">
        <f>HYPERLINK("https://us2.cloudbeds.com/connect/10074733072513#/reservations/31715864408276?display=Hannah%20Kirsch&amp;reservation_id=31715864408276&amp;guest_id=31715856302263", "Hannah Kirsch")</f>
        <v>Hannah Kirsch</v>
      </c>
      <c r="E12903" t="s">
        <v>12368</v>
      </c>
      <c r="F12903" t="s">
        <v>11027</v>
      </c>
      <c r="G12903">
        <v>209</v>
      </c>
      <c r="H12903">
        <v>227.19</v>
      </c>
      <c r="I12903">
        <v>227.18</v>
      </c>
      <c r="J12903">
        <v>0.01</v>
      </c>
    </row>
    <row r="12904" spans="1:10" x14ac:dyDescent="0.3">
      <c r="A12904" t="str">
        <f>HYPERLINK("https://us2.cloudbeds.com/connect/10074733072513#/reservations/31715125416075?display=MX5DVR6PN&amp;reservation_id=31715125416075", "MX5DVR6PN")</f>
        <v>MX5DVR6PN</v>
      </c>
      <c r="B12904" t="s">
        <v>10</v>
      </c>
      <c r="C12904" t="s">
        <v>23</v>
      </c>
      <c r="D12904" t="str">
        <f>HYPERLINK("https://us2.cloudbeds.com/connect/10074733072513#/reservations/31715125416075?display=Ben%20Zhang&amp;reservation_id=31715125416075&amp;guest_id=31715115557114", "Ben Zhang")</f>
        <v>Ben Zhang</v>
      </c>
      <c r="E12904" t="s">
        <v>12369</v>
      </c>
      <c r="F12904" t="s">
        <v>12109</v>
      </c>
      <c r="G12904">
        <v>169</v>
      </c>
      <c r="H12904">
        <v>183.71</v>
      </c>
      <c r="I12904">
        <v>183.7</v>
      </c>
      <c r="J12904">
        <v>0.01</v>
      </c>
    </row>
    <row r="12905" spans="1:10" x14ac:dyDescent="0.3">
      <c r="A12905" t="str">
        <f>HYPERLINK("https://us2.cloudbeds.com/connect/10074733072513#/reservations/31717170868457?display=MX707JUQ7&amp;reservation_id=31717170868457", "MX707JUQ7")</f>
        <v>MX707JUQ7</v>
      </c>
      <c r="B12905" t="s">
        <v>10</v>
      </c>
      <c r="C12905" t="s">
        <v>42</v>
      </c>
      <c r="D12905" t="str">
        <f>HYPERLINK("https://us2.cloudbeds.com/connect/10074733072513#/reservations/31717170868457?display=Jimmy%20James&amp;reservation_id=31717170868457&amp;guest_id=31717170868440", "Jimmy James")</f>
        <v>Jimmy James</v>
      </c>
      <c r="E12905" t="s">
        <v>12372</v>
      </c>
      <c r="F12905" t="s">
        <v>11354</v>
      </c>
      <c r="G12905">
        <v>109</v>
      </c>
      <c r="H12905">
        <v>118.49</v>
      </c>
      <c r="I12905">
        <v>118.48</v>
      </c>
      <c r="J12905">
        <v>0.01</v>
      </c>
    </row>
    <row r="12906" spans="1:10" x14ac:dyDescent="0.3">
      <c r="A12906" t="str">
        <f>HYPERLINK("https://us2.cloudbeds.com/connect/10074733072513#/reservations/31717215224009?display=MX71C06AS&amp;reservation_id=31717215224009", "MX71C06AS")</f>
        <v>MX71C06AS</v>
      </c>
      <c r="B12906" t="s">
        <v>10</v>
      </c>
      <c r="C12906" t="s">
        <v>121</v>
      </c>
      <c r="D12906" t="str">
        <f>HYPERLINK("https://us2.cloudbeds.com/connect/10074733072513#/reservations/31717215224009?display=Chizoba%20Nnamuchi&amp;reservation_id=31717215224009&amp;guest_id=31717215219929", "Chizoba Nnamuchi")</f>
        <v>Chizoba Nnamuchi</v>
      </c>
      <c r="E12906" t="s">
        <v>12373</v>
      </c>
      <c r="F12906" t="s">
        <v>11354</v>
      </c>
      <c r="G12906">
        <v>109</v>
      </c>
      <c r="H12906">
        <v>118.49</v>
      </c>
      <c r="I12906">
        <v>118.48</v>
      </c>
      <c r="J12906">
        <v>0.01</v>
      </c>
    </row>
    <row r="12907" spans="1:10" x14ac:dyDescent="0.3">
      <c r="A12907" t="str">
        <f>HYPERLINK("https://us2.cloudbeds.com/connect/10074733072513#/reservations/31716662022366?display=MX6K7HHRN&amp;reservation_id=31716662022366", "MX6K7HHRN")</f>
        <v>MX6K7HHRN</v>
      </c>
      <c r="B12907" t="s">
        <v>10</v>
      </c>
      <c r="C12907" t="s">
        <v>23</v>
      </c>
      <c r="D12907" t="str">
        <f>HYPERLINK("https://us2.cloudbeds.com/connect/10074733072513#/reservations/31716662022366?display=Stephen%20Gretzinger&amp;reservation_id=31716662022366&amp;guest_id=31716662018272", "Stephen Gretzinger")</f>
        <v>Stephen Gretzinger</v>
      </c>
      <c r="E12907" t="s">
        <v>12374</v>
      </c>
      <c r="F12907" t="s">
        <v>11354</v>
      </c>
      <c r="G12907">
        <v>149</v>
      </c>
      <c r="H12907">
        <v>161.97</v>
      </c>
      <c r="I12907">
        <v>161.96</v>
      </c>
      <c r="J12907">
        <v>0.01</v>
      </c>
    </row>
    <row r="12908" spans="1:10" x14ac:dyDescent="0.3">
      <c r="A12908" t="str">
        <f>HYPERLINK("https://us2.cloudbeds.com/connect/10074733072513#/reservations/31715452907765?display=MX5MAW4PA&amp;reservation_id=31715452907765", "MX5MAW4PA")</f>
        <v>MX5MAW4PA</v>
      </c>
      <c r="B12908" t="s">
        <v>10</v>
      </c>
      <c r="C12908" t="s">
        <v>42</v>
      </c>
      <c r="D12908" t="str">
        <f>HYPERLINK("https://us2.cloudbeds.com/connect/10074733072513#/reservations/31715452907765?display=Leroy%20Nelson&amp;reservation_id=31715452907765&amp;guest_id=31715452907760", "Leroy Nelson")</f>
        <v>Leroy Nelson</v>
      </c>
      <c r="E12908" t="s">
        <v>12262</v>
      </c>
      <c r="F12908" t="s">
        <v>12345</v>
      </c>
      <c r="G12908">
        <v>336</v>
      </c>
      <c r="H12908">
        <v>365.24</v>
      </c>
      <c r="I12908">
        <v>365.23</v>
      </c>
      <c r="J12908">
        <v>0.01</v>
      </c>
    </row>
    <row r="12909" spans="1:10" x14ac:dyDescent="0.3">
      <c r="A12909" t="str">
        <f>HYPERLINK("https://us2.cloudbeds.com/connect/10074733072513#/reservations/31717852987531?display=MX7HYPTP6&amp;reservation_id=31717852987531", "MX7HYPTP6")</f>
        <v>MX7HYPTP6</v>
      </c>
      <c r="B12909" t="s">
        <v>10</v>
      </c>
      <c r="C12909" t="s">
        <v>23</v>
      </c>
      <c r="D12909" t="str">
        <f>HYPERLINK("https://us2.cloudbeds.com/connect/10074733072513#/reservations/31717852987531?display=Aaron%20Peterson&amp;reservation_id=31717852987531&amp;guest_id=31717852987528", "Aaron Peterson")</f>
        <v>Aaron Peterson</v>
      </c>
      <c r="E12909" t="s">
        <v>12376</v>
      </c>
      <c r="F12909" t="s">
        <v>12246</v>
      </c>
      <c r="G12909">
        <v>109</v>
      </c>
      <c r="H12909">
        <v>118.49</v>
      </c>
      <c r="I12909">
        <v>118.48</v>
      </c>
      <c r="J12909">
        <v>0.01</v>
      </c>
    </row>
    <row r="12910" spans="1:10" x14ac:dyDescent="0.3">
      <c r="A12910" t="str">
        <f>HYPERLINK("https://us2.cloudbeds.com/connect/10074733072513#/reservations/31716648050862?display=MX6JSZP5Q&amp;reservation_id=31716648050862", "MX6JSZP5Q")</f>
        <v>MX6JSZP5Q</v>
      </c>
      <c r="B12910" t="s">
        <v>10</v>
      </c>
      <c r="C12910" t="s">
        <v>121</v>
      </c>
      <c r="D12910" t="str">
        <f>HYPERLINK("https://us2.cloudbeds.com/connect/10074733072513#/reservations/31716648050862?display=Micheal%20Pryor&amp;reservation_id=31716648050862&amp;guest_id=31716635676887", "Micheal Pryor")</f>
        <v>Micheal Pryor</v>
      </c>
      <c r="E12910" t="s">
        <v>12377</v>
      </c>
      <c r="F12910" t="s">
        <v>11354</v>
      </c>
      <c r="G12910">
        <v>109</v>
      </c>
      <c r="H12910">
        <v>118.49</v>
      </c>
      <c r="I12910">
        <v>118.48</v>
      </c>
      <c r="J12910">
        <v>0.01</v>
      </c>
    </row>
    <row r="12911" spans="1:10" x14ac:dyDescent="0.3">
      <c r="A12911" t="str">
        <f>HYPERLINK("https://us2.cloudbeds.com/connect/10074733072513#/reservations/31714856956038?display=MX573EU02&amp;reservation_id=31714856956038", "MX573EU02")</f>
        <v>MX573EU02</v>
      </c>
      <c r="B12911" t="s">
        <v>10</v>
      </c>
      <c r="C12911" t="s">
        <v>42</v>
      </c>
      <c r="D12911" t="str">
        <f>HYPERLINK("https://us2.cloudbeds.com/connect/10074733072513#/reservations/31714856956038?display=Sharon%20Mcdonald&amp;reservation_id=31714856956038&amp;guest_id=31714856956035", "Sharon Mcdonald")</f>
        <v>Sharon Mcdonald</v>
      </c>
      <c r="E12911" t="s">
        <v>12378</v>
      </c>
      <c r="F12911" t="s">
        <v>12240</v>
      </c>
      <c r="G12911">
        <v>316.10000000000002</v>
      </c>
      <c r="H12911">
        <v>343.61</v>
      </c>
      <c r="I12911">
        <v>343.6</v>
      </c>
      <c r="J12911">
        <v>0.01</v>
      </c>
    </row>
    <row r="12912" spans="1:10" x14ac:dyDescent="0.3">
      <c r="A12912" t="str">
        <f>HYPERLINK("https://us2.cloudbeds.com/connect/10074733072513#/reservations/31713100816599?display=MX3S7KZEE&amp;reservation_id=31713100816599", "MX3S7KZEE")</f>
        <v>MX3S7KZEE</v>
      </c>
      <c r="B12912" t="s">
        <v>10</v>
      </c>
      <c r="C12912" t="s">
        <v>23</v>
      </c>
      <c r="D12912" t="str">
        <f>HYPERLINK("https://us2.cloudbeds.com/connect/10074733072513#/reservations/31713100816599?display=Lisa%20Heida&amp;reservation_id=31713100816599&amp;guest_id=31713100812492", "Lisa Heida")</f>
        <v>Lisa Heida</v>
      </c>
      <c r="E12912" t="s">
        <v>12379</v>
      </c>
      <c r="F12912" t="s">
        <v>11533</v>
      </c>
      <c r="G12912">
        <v>438</v>
      </c>
      <c r="H12912">
        <v>476.12</v>
      </c>
      <c r="I12912">
        <v>476.11</v>
      </c>
      <c r="J12912">
        <v>0.01</v>
      </c>
    </row>
    <row r="12913" spans="1:10" x14ac:dyDescent="0.3">
      <c r="A12913" t="str">
        <f>HYPERLINK("https://us2.cloudbeds.com/connect/10074733072513#/reservations/31717189308565?display=MX70N51SC&amp;reservation_id=31717189308565", "MX70N51SC")</f>
        <v>MX70N51SC</v>
      </c>
      <c r="B12913" t="s">
        <v>10</v>
      </c>
      <c r="C12913" t="s">
        <v>121</v>
      </c>
      <c r="D12913" t="str">
        <f>HYPERLINK("https://us2.cloudbeds.com/connect/10074733072513#/reservations/31717189308565?display=Shannon%20Bileski&amp;reservation_id=31717189308565&amp;guest_id=31717189304479", "Shannon Bileski")</f>
        <v>Shannon Bileski</v>
      </c>
      <c r="E12913" t="s">
        <v>12380</v>
      </c>
      <c r="F12913" t="s">
        <v>12246</v>
      </c>
      <c r="G12913">
        <v>109</v>
      </c>
      <c r="H12913">
        <v>118.49</v>
      </c>
      <c r="I12913">
        <v>118.48</v>
      </c>
      <c r="J12913">
        <v>0.01</v>
      </c>
    </row>
    <row r="12914" spans="1:10" x14ac:dyDescent="0.3">
      <c r="A12914" t="str">
        <f>HYPERLINK("https://us2.cloudbeds.com/connect/10074733072513#/reservations/31716427497641?display=MX6E7PHVS&amp;reservation_id=31716427497641", "MX6E7PHVS")</f>
        <v>MX6E7PHVS</v>
      </c>
      <c r="B12914" t="s">
        <v>10</v>
      </c>
      <c r="C12914" t="s">
        <v>23</v>
      </c>
      <c r="D12914" t="str">
        <f>HYPERLINK("https://us2.cloudbeds.com/connect/10074733072513#/reservations/31716427497641?display=Ryan%20Johnson&amp;reservation_id=31716427497641&amp;guest_id=31689624715474", "Ryan Johnson")</f>
        <v>Ryan Johnson</v>
      </c>
      <c r="E12914" t="s">
        <v>7374</v>
      </c>
      <c r="F12914" t="s">
        <v>12246</v>
      </c>
      <c r="G12914">
        <v>109</v>
      </c>
      <c r="H12914">
        <v>118.49</v>
      </c>
      <c r="I12914">
        <v>118.48</v>
      </c>
      <c r="J12914">
        <v>0.01</v>
      </c>
    </row>
    <row r="12915" spans="1:10" x14ac:dyDescent="0.3">
      <c r="A12915" t="str">
        <f>HYPERLINK("https://us2.cloudbeds.com/connect/10074733072513#/reservations/31713048400031?display=MX3QTE5MJ&amp;reservation_id=31713048400031", "MX3QTE5MJ")</f>
        <v>MX3QTE5MJ</v>
      </c>
      <c r="B12915" t="s">
        <v>10</v>
      </c>
      <c r="C12915" t="s">
        <v>42</v>
      </c>
      <c r="D12915" t="str">
        <f>HYPERLINK("https://us2.cloudbeds.com/connect/10074733072513#/reservations/31713048400031?display=Debbie%20Thunstedt&amp;reservation_id=31713048400031&amp;guest_id=31713039081669", "Debbie Thunstedt")</f>
        <v>Debbie Thunstedt</v>
      </c>
      <c r="E12915" t="s">
        <v>12381</v>
      </c>
      <c r="F12915" t="s">
        <v>11533</v>
      </c>
      <c r="G12915">
        <v>169</v>
      </c>
      <c r="H12915">
        <v>183.71</v>
      </c>
      <c r="I12915">
        <v>183.7</v>
      </c>
      <c r="J12915">
        <v>0.01</v>
      </c>
    </row>
    <row r="12916" spans="1:10" x14ac:dyDescent="0.3">
      <c r="A12916" t="str">
        <f>HYPERLINK("https://us2.cloudbeds.com/connect/10074733072513#/reservations/31714121568402?display=MX4YABYU8&amp;reservation_id=31714121568402", "MX4YABYU8")</f>
        <v>MX4YABYU8</v>
      </c>
      <c r="B12916" t="s">
        <v>10</v>
      </c>
      <c r="C12916" t="s">
        <v>42</v>
      </c>
      <c r="D12916" t="str">
        <f>HYPERLINK("https://us2.cloudbeds.com/connect/10074733072513#/reservations/31714121568402?display=Jeffrey%20Moffatt&amp;reservation_id=31714121568402&amp;guest_id=31714121564321", "Jeffrey Moffatt")</f>
        <v>Jeffrey Moffatt</v>
      </c>
      <c r="E12916" t="s">
        <v>12382</v>
      </c>
      <c r="F12916" t="s">
        <v>10750</v>
      </c>
      <c r="G12916">
        <v>209</v>
      </c>
      <c r="H12916">
        <v>227.19</v>
      </c>
      <c r="I12916">
        <v>227.18</v>
      </c>
      <c r="J12916">
        <v>0.01</v>
      </c>
    </row>
    <row r="12917" spans="1:10" x14ac:dyDescent="0.3">
      <c r="A12917" t="str">
        <f>HYPERLINK("https://us2.cloudbeds.com/connect/10074733072513#/reservations/31711345381568?display=MX2G4E3NT&amp;reservation_id=31711345381568", "MX2G4E3NT")</f>
        <v>MX2G4E3NT</v>
      </c>
      <c r="B12917" t="s">
        <v>10</v>
      </c>
      <c r="C12917" t="s">
        <v>42</v>
      </c>
      <c r="D12917" t="str">
        <f>HYPERLINK("https://us2.cloudbeds.com/connect/10074733072513#/reservations/31711345381568?display=Craig%20Lerum&amp;reservation_id=31711345381568&amp;guest_id=31711335923879", "Craig Lerum")</f>
        <v>Craig Lerum</v>
      </c>
      <c r="E12917" t="s">
        <v>12383</v>
      </c>
      <c r="F12917" t="s">
        <v>11699</v>
      </c>
      <c r="G12917">
        <v>149</v>
      </c>
      <c r="H12917">
        <v>161.97</v>
      </c>
      <c r="I12917">
        <v>161.96</v>
      </c>
      <c r="J12917">
        <v>0.01</v>
      </c>
    </row>
    <row r="12918" spans="1:10" x14ac:dyDescent="0.3">
      <c r="A12918" t="str">
        <f>HYPERLINK("https://us2.cloudbeds.com/connect/10074733072513#/reservations/31717852983424?display=MX7H996A1&amp;reservation_id=31717852983424", "MX7H996A1")</f>
        <v>MX7H996A1</v>
      </c>
      <c r="B12918" t="s">
        <v>10</v>
      </c>
      <c r="C12918" t="s">
        <v>42</v>
      </c>
      <c r="D12918" t="str">
        <f>HYPERLINK("https://us2.cloudbeds.com/connect/10074733072513#/reservations/31717852983424?display=James%20Peters&amp;reservation_id=31717852983424&amp;guest_id=31717838151840", "James Peters")</f>
        <v>James Peters</v>
      </c>
      <c r="E12918" t="s">
        <v>12384</v>
      </c>
      <c r="F12918" t="s">
        <v>12246</v>
      </c>
      <c r="G12918">
        <v>218</v>
      </c>
      <c r="H12918">
        <v>236.98</v>
      </c>
      <c r="I12918">
        <v>236.97</v>
      </c>
      <c r="J12918">
        <v>0.01</v>
      </c>
    </row>
    <row r="12919" spans="1:10" x14ac:dyDescent="0.3">
      <c r="A12919" t="str">
        <f>HYPERLINK("https://us2.cloudbeds.com/connect/10074733072513#/reservations/31716453212305?display=MX6ETF323&amp;reservation_id=31716453212305", "MX6ETF323")</f>
        <v>MX6ETF323</v>
      </c>
      <c r="B12919" t="s">
        <v>10</v>
      </c>
      <c r="C12919" t="s">
        <v>42</v>
      </c>
      <c r="D12919" t="str">
        <f>HYPERLINK("https://us2.cloudbeds.com/connect/10074733072513#/reservations/31716453212305?display=Travis%20Vandyke&amp;reservation_id=31716453212305&amp;guest_id=31716453208214", "Travis Vandyke")</f>
        <v>Travis Vandyke</v>
      </c>
      <c r="E12919" t="s">
        <v>12385</v>
      </c>
      <c r="F12919" t="s">
        <v>12246</v>
      </c>
      <c r="G12919">
        <v>109</v>
      </c>
      <c r="H12919">
        <v>118.49</v>
      </c>
      <c r="I12919">
        <v>118.48</v>
      </c>
      <c r="J12919">
        <v>0.01</v>
      </c>
    </row>
    <row r="12920" spans="1:10" x14ac:dyDescent="0.3">
      <c r="A12920" t="str">
        <f>HYPERLINK("https://us2.cloudbeds.com/connect/10074733072513#/reservations/31713628831945?display=MX48NSX0F&amp;reservation_id=31713628831945", "MX48NSX0F")</f>
        <v>MX48NSX0F</v>
      </c>
      <c r="B12920" t="s">
        <v>10</v>
      </c>
      <c r="C12920" t="s">
        <v>42</v>
      </c>
      <c r="D12920" t="str">
        <f>HYPERLINK("https://us2.cloudbeds.com/connect/10074733072513#/reservations/31713628831945?display=Leslie%20Bachmann&amp;reservation_id=31713628831945&amp;guest_id=31713628831941", "Leslie Bachmann")</f>
        <v>Leslie Bachmann</v>
      </c>
      <c r="E12920" t="s">
        <v>12386</v>
      </c>
      <c r="F12920" t="s">
        <v>11919</v>
      </c>
      <c r="G12920">
        <v>109</v>
      </c>
      <c r="H12920">
        <v>118.49</v>
      </c>
      <c r="I12920">
        <v>118.48</v>
      </c>
      <c r="J12920">
        <v>0.01</v>
      </c>
    </row>
    <row r="12921" spans="1:10" x14ac:dyDescent="0.3">
      <c r="A12921" t="str">
        <f>HYPERLINK("https://us2.cloudbeds.com/connect/10074733072513#/reservations/31715832008884?display=MX5W0Y6AV&amp;reservation_id=31715832008884", "MX5W0Y6AV")</f>
        <v>MX5W0Y6AV</v>
      </c>
      <c r="B12921" t="s">
        <v>10</v>
      </c>
      <c r="C12921" t="s">
        <v>23</v>
      </c>
      <c r="D12921" t="str">
        <f>HYPERLINK("https://us2.cloudbeds.com/connect/10074733072513#/reservations/31715832008884?display=Alexis%20Hullinger&amp;reservation_id=31715832008884&amp;guest_id=31715832008832", "Alexis Hullinger")</f>
        <v>Alexis Hullinger</v>
      </c>
      <c r="E12921" t="s">
        <v>12388</v>
      </c>
      <c r="F12921" t="s">
        <v>12017</v>
      </c>
      <c r="G12921">
        <v>199</v>
      </c>
      <c r="H12921">
        <v>216.32</v>
      </c>
      <c r="I12921">
        <v>216.31</v>
      </c>
      <c r="J12921">
        <v>0.01</v>
      </c>
    </row>
    <row r="12922" spans="1:10" x14ac:dyDescent="0.3">
      <c r="A12922" t="str">
        <f>HYPERLINK("https://us2.cloudbeds.com/connect/10074733072513#/reservations/31715521736853?display=MX5Z30DN8&amp;reservation_id=31715521736853", "MX5Z30DN8")</f>
        <v>MX5Z30DN8</v>
      </c>
      <c r="B12922" t="s">
        <v>10</v>
      </c>
      <c r="C12922" t="s">
        <v>42</v>
      </c>
      <c r="D12922" t="str">
        <f>HYPERLINK("https://us2.cloudbeds.com/connect/10074733072513#/reservations/31715521736853?display=Will%20Nilson&amp;reservation_id=31715521736853&amp;guest_id=31715521736847", "Will Nilson")</f>
        <v>Will Nilson</v>
      </c>
      <c r="E12922" t="s">
        <v>12390</v>
      </c>
      <c r="F12922" t="s">
        <v>12345</v>
      </c>
      <c r="G12922">
        <v>250</v>
      </c>
      <c r="H12922">
        <v>271.76</v>
      </c>
      <c r="I12922">
        <v>271.75</v>
      </c>
      <c r="J12922">
        <v>0.01</v>
      </c>
    </row>
    <row r="12923" spans="1:10" x14ac:dyDescent="0.3">
      <c r="A12923" t="str">
        <f>HYPERLINK("https://us2.cloudbeds.com/connect/10074733072513#/reservations/31715392012489?display=MX5KPKY7U&amp;reservation_id=31715392012489", "MX5KPKY7U")</f>
        <v>MX5KPKY7U</v>
      </c>
      <c r="B12923" t="s">
        <v>10</v>
      </c>
      <c r="C12923" t="s">
        <v>23</v>
      </c>
      <c r="D12923" t="str">
        <f>HYPERLINK("https://us2.cloudbeds.com/connect/10074733072513#/reservations/31715392012489?display=Joel%20Bommersbach&amp;reservation_id=31715392012489&amp;guest_id=31715392012483", "Joel Bommersbach")</f>
        <v>Joel Bommersbach</v>
      </c>
      <c r="E12923" t="s">
        <v>12391</v>
      </c>
      <c r="F12923" t="s">
        <v>12345</v>
      </c>
      <c r="G12923">
        <v>258</v>
      </c>
      <c r="H12923">
        <v>280.45999999999998</v>
      </c>
      <c r="I12923">
        <v>280.45</v>
      </c>
      <c r="J12923">
        <v>0.01</v>
      </c>
    </row>
    <row r="12924" spans="1:10" x14ac:dyDescent="0.3">
      <c r="A12924" t="str">
        <f>HYPERLINK("https://us2.cloudbeds.com/connect/10074733072513#/reservations/31714719166598?display=MX53J8NJG&amp;reservation_id=31714719166598", "MX53J8NJG")</f>
        <v>MX53J8NJG</v>
      </c>
      <c r="B12924" t="s">
        <v>10</v>
      </c>
      <c r="C12924" t="s">
        <v>23</v>
      </c>
      <c r="D12924" t="str">
        <f>HYPERLINK("https://us2.cloudbeds.com/connect/10074733072513#/reservations/31714719166598?display=Tad%20Dorsey&amp;reservation_id=31714719166598&amp;guest_id=31714719162505", "Tad Dorsey")</f>
        <v>Tad Dorsey</v>
      </c>
      <c r="E12924" t="s">
        <v>12392</v>
      </c>
      <c r="F12924" t="s">
        <v>11281</v>
      </c>
      <c r="G12924">
        <v>247.96</v>
      </c>
      <c r="H12924">
        <v>269.54000000000002</v>
      </c>
      <c r="I12924">
        <v>269.52999999999997</v>
      </c>
      <c r="J12924">
        <v>0.01</v>
      </c>
    </row>
    <row r="12925" spans="1:10" x14ac:dyDescent="0.3">
      <c r="A12925" t="str">
        <f>HYPERLINK("https://us2.cloudbeds.com/connect/10074733072513#/reservations/31714785947779?display=MX559XWWY&amp;reservation_id=31714785947779", "MX559XWWY")</f>
        <v>MX559XWWY</v>
      </c>
      <c r="B12925" t="s">
        <v>10</v>
      </c>
      <c r="C12925" t="s">
        <v>23</v>
      </c>
      <c r="D12925" t="str">
        <f>HYPERLINK("https://us2.cloudbeds.com/connect/10074733072513#/reservations/31714785947779?display=Justin%20Alexander&amp;reservation_id=31714785947779&amp;guest_id=31714785943683", "Justin Alexander")</f>
        <v>Justin Alexander</v>
      </c>
      <c r="E12925" t="s">
        <v>12393</v>
      </c>
      <c r="F12925" t="s">
        <v>12240</v>
      </c>
      <c r="G12925">
        <v>139</v>
      </c>
      <c r="H12925">
        <v>151.1</v>
      </c>
      <c r="I12925">
        <v>151.09</v>
      </c>
      <c r="J12925">
        <v>0.01</v>
      </c>
    </row>
    <row r="12926" spans="1:10" x14ac:dyDescent="0.3">
      <c r="A12926" t="str">
        <f>HYPERLINK("https://us2.cloudbeds.com/connect/10074733072513#/reservations/31714838040713?display=MX56KGXXD&amp;reservation_id=31714838040713", "MX56KGXXD")</f>
        <v>MX56KGXXD</v>
      </c>
      <c r="B12926" t="s">
        <v>10</v>
      </c>
      <c r="C12926" t="s">
        <v>23</v>
      </c>
      <c r="D12926" t="str">
        <f>HYPERLINK("https://us2.cloudbeds.com/connect/10074733072513#/reservations/31714838040713?display=Savannah%20De%20Valk&amp;reservation_id=31714838040713&amp;guest_id=31714838036616", "Savannah De Valk")</f>
        <v>Savannah De Valk</v>
      </c>
      <c r="E12926" t="s">
        <v>12394</v>
      </c>
      <c r="F12926" t="s">
        <v>12240</v>
      </c>
      <c r="G12926">
        <v>129</v>
      </c>
      <c r="H12926">
        <v>140.22999999999999</v>
      </c>
      <c r="I12926">
        <v>140.22</v>
      </c>
      <c r="J12926">
        <v>0.01</v>
      </c>
    </row>
    <row r="12927" spans="1:10" x14ac:dyDescent="0.3">
      <c r="A12927" t="str">
        <f>HYPERLINK("https://us2.cloudbeds.com/connect/10074733072513#/reservations/31712732442752?display=MX3XR02ZD&amp;reservation_id=31712732442752", "MX3XR02ZD")</f>
        <v>MX3XR02ZD</v>
      </c>
      <c r="B12927" t="s">
        <v>10</v>
      </c>
      <c r="C12927" t="s">
        <v>42</v>
      </c>
      <c r="D12927" t="str">
        <f>HYPERLINK("https://us2.cloudbeds.com/connect/10074733072513#/reservations/31712732442752?display=Mary%20Rosheim&amp;reservation_id=31712732442752&amp;guest_id=31702015262916", "Mary Rosheim")</f>
        <v>Mary Rosheim</v>
      </c>
      <c r="E12927" t="s">
        <v>12395</v>
      </c>
      <c r="F12927" t="s">
        <v>11533</v>
      </c>
      <c r="G12927">
        <v>298</v>
      </c>
      <c r="H12927">
        <v>323.94</v>
      </c>
      <c r="I12927">
        <v>323.93</v>
      </c>
      <c r="J12927">
        <v>0.01</v>
      </c>
    </row>
    <row r="12928" spans="1:10" x14ac:dyDescent="0.3">
      <c r="A12928" t="str">
        <f>HYPERLINK("https://us2.cloudbeds.com/connect/10074733072513#/reservations/31713576304848?display=MX47CXTP8&amp;reservation_id=31713576304848", "MX47CXTP8")</f>
        <v>MX47CXTP8</v>
      </c>
      <c r="B12928" t="s">
        <v>10</v>
      </c>
      <c r="C12928" t="s">
        <v>23</v>
      </c>
      <c r="D12928" t="str">
        <f>HYPERLINK("https://us2.cloudbeds.com/connect/10074733072513#/reservations/31713576304848?display=Russ%20Chenoweth&amp;reservation_id=31713576304848&amp;guest_id=31713576300767", "Russ Chenoweth")</f>
        <v>Russ Chenoweth</v>
      </c>
      <c r="E12928" t="s">
        <v>12396</v>
      </c>
      <c r="F12928" t="s">
        <v>11919</v>
      </c>
      <c r="G12928">
        <v>149</v>
      </c>
      <c r="H12928">
        <v>161.97</v>
      </c>
      <c r="I12928">
        <v>161.96</v>
      </c>
      <c r="J12928">
        <v>0.01</v>
      </c>
    </row>
    <row r="12929" spans="1:10" x14ac:dyDescent="0.3">
      <c r="A12929" t="str">
        <f>HYPERLINK("https://us2.cloudbeds.com/connect/10074733072513#/reservations/31717986705573?display=MX7Y2HQH2&amp;reservation_id=31717986705573", "MX7Y2HQH2")</f>
        <v>MX7Y2HQH2</v>
      </c>
      <c r="B12929" t="s">
        <v>10</v>
      </c>
      <c r="C12929" t="s">
        <v>42</v>
      </c>
      <c r="D12929" t="str">
        <f>HYPERLINK("https://us2.cloudbeds.com/connect/10074733072513#/reservations/31717986705573?display=Nicholas%20Shepard&amp;reservation_id=31717986705573&amp;guest_id=31717975953624", "Nicholas Shepard")</f>
        <v>Nicholas Shepard</v>
      </c>
      <c r="E12929" t="s">
        <v>12397</v>
      </c>
      <c r="F12929" t="s">
        <v>12240</v>
      </c>
      <c r="G12929">
        <v>159</v>
      </c>
      <c r="H12929">
        <v>172.84</v>
      </c>
      <c r="I12929">
        <v>172.83</v>
      </c>
      <c r="J12929">
        <v>0.01</v>
      </c>
    </row>
    <row r="12930" spans="1:10" x14ac:dyDescent="0.3">
      <c r="A12930" t="str">
        <f>HYPERLINK("https://us2.cloudbeds.com/connect/10074733072513#/reservations/31715601125553?display=MX5Q3VH8E&amp;reservation_id=31715601125553", "MX5Q3VH8E")</f>
        <v>MX5Q3VH8E</v>
      </c>
      <c r="B12930" t="s">
        <v>10</v>
      </c>
      <c r="C12930" t="s">
        <v>42</v>
      </c>
      <c r="D12930" t="str">
        <f>HYPERLINK("https://us2.cloudbeds.com/connect/10074733072513#/reservations/31715601125553?display=Matthew%20Graves&amp;reservation_id=31715601125553&amp;guest_id=31692846903426", "Matthew Graves")</f>
        <v>Matthew Graves</v>
      </c>
      <c r="E12930" t="s">
        <v>8916</v>
      </c>
      <c r="F12930" t="s">
        <v>12345</v>
      </c>
      <c r="G12930">
        <v>159</v>
      </c>
      <c r="H12930">
        <v>172.84</v>
      </c>
      <c r="I12930">
        <v>172.83</v>
      </c>
      <c r="J12930">
        <v>0.01</v>
      </c>
    </row>
    <row r="12931" spans="1:10" x14ac:dyDescent="0.3">
      <c r="A12931" t="str">
        <f>HYPERLINK("https://us2.cloudbeds.com/connect/10074733072513#/reservations/31715389870236?display=MX5KNR125&amp;reservation_id=31715389870236", "MX5KNR125")</f>
        <v>MX5KNR125</v>
      </c>
      <c r="B12931" t="s">
        <v>10</v>
      </c>
      <c r="C12931" t="s">
        <v>121</v>
      </c>
      <c r="D12931" t="str">
        <f>HYPERLINK("https://us2.cloudbeds.com/connect/10074733072513#/reservations/31715389870236?display=Andrew%20Lenz&amp;reservation_id=31715389870236&amp;guest_id=31715377066128", "Andrew Lenz")</f>
        <v>Andrew Lenz</v>
      </c>
      <c r="E12931" t="s">
        <v>12398</v>
      </c>
      <c r="F12931" t="s">
        <v>12345</v>
      </c>
      <c r="G12931">
        <v>149</v>
      </c>
      <c r="H12931">
        <v>161.97</v>
      </c>
      <c r="I12931">
        <v>161.96</v>
      </c>
      <c r="J12931">
        <v>0.01</v>
      </c>
    </row>
    <row r="12932" spans="1:10" x14ac:dyDescent="0.3">
      <c r="A12932" t="str">
        <f>HYPERLINK("https://us2.cloudbeds.com/connect/10074733072513#/reservations/31714794352856?display=MX55GYT4V&amp;reservation_id=31714794352856", "MX55GYT4V")</f>
        <v>MX55GYT4V</v>
      </c>
      <c r="B12932" t="s">
        <v>10</v>
      </c>
      <c r="C12932" t="s">
        <v>23</v>
      </c>
      <c r="D12932" t="str">
        <f>HYPERLINK("https://us2.cloudbeds.com/connect/10074733072513#/reservations/31714794352856?display=Joseph%20Delozier&amp;reservation_id=31714794352856&amp;guest_id=31714794348765", "Joseph Delozier")</f>
        <v>Joseph Delozier</v>
      </c>
      <c r="E12932" t="s">
        <v>12400</v>
      </c>
      <c r="F12932" t="s">
        <v>12240</v>
      </c>
      <c r="G12932">
        <v>139</v>
      </c>
      <c r="H12932">
        <v>151.1</v>
      </c>
      <c r="I12932">
        <v>151.09</v>
      </c>
      <c r="J12932">
        <v>0.01</v>
      </c>
    </row>
    <row r="12933" spans="1:10" x14ac:dyDescent="0.3">
      <c r="A12933" t="str">
        <f>HYPERLINK("https://us2.cloudbeds.com/connect/10074733072513#/reservations/31714444275849?display=MX4TXFFYQ&amp;reservation_id=31714444275849", "MX4TXFFYQ")</f>
        <v>MX4TXFFYQ</v>
      </c>
      <c r="B12933" t="s">
        <v>10</v>
      </c>
      <c r="C12933" t="s">
        <v>42</v>
      </c>
      <c r="D12933" t="str">
        <f>HYPERLINK("https://us2.cloudbeds.com/connect/10074733072513#/reservations/31714444275849?display=Eyvonne%20Hoese&amp;reservation_id=31714444275849&amp;guest_id=31714444275844", "Eyvonne Hoese")</f>
        <v>Eyvonne Hoese</v>
      </c>
      <c r="E12933" t="s">
        <v>12401</v>
      </c>
      <c r="F12933" t="s">
        <v>11281</v>
      </c>
      <c r="G12933">
        <v>239</v>
      </c>
      <c r="H12933">
        <v>259.8</v>
      </c>
      <c r="I12933">
        <v>259.79000000000002</v>
      </c>
      <c r="J12933">
        <v>0.01</v>
      </c>
    </row>
    <row r="12934" spans="1:10" x14ac:dyDescent="0.3">
      <c r="A12934" t="str">
        <f>HYPERLINK("https://us2.cloudbeds.com/connect/10074733072513#/reservations/31716770967705?display=MX6N0D3FK&amp;reservation_id=31716770967705", "MX6N0D3FK")</f>
        <v>MX6N0D3FK</v>
      </c>
      <c r="B12934" t="s">
        <v>10</v>
      </c>
      <c r="C12934" t="s">
        <v>23</v>
      </c>
      <c r="D12934" t="str">
        <f>HYPERLINK("https://us2.cloudbeds.com/connect/10074733072513#/reservations/31716770967705?display=Daniel%20O'Hearn&amp;reservation_id=31716770967705&amp;guest_id=31716761252041", "Daniel O'Hearn")</f>
        <v>Daniel O'Hearn</v>
      </c>
      <c r="E12934" t="s">
        <v>12402</v>
      </c>
      <c r="F12934" t="s">
        <v>9758</v>
      </c>
      <c r="G12934">
        <v>139</v>
      </c>
      <c r="H12934">
        <v>151.1</v>
      </c>
      <c r="I12934">
        <v>151.09</v>
      </c>
      <c r="J12934">
        <v>0.01</v>
      </c>
    </row>
    <row r="12935" spans="1:10" x14ac:dyDescent="0.3">
      <c r="A12935" t="str">
        <f>HYPERLINK("https://us2.cloudbeds.com/connect/10074733072513#/reservations/31715639455966?display=MX5R39423&amp;reservation_id=31715639455966", "MX5R39423")</f>
        <v>MX5R39423</v>
      </c>
      <c r="B12935" t="s">
        <v>10</v>
      </c>
      <c r="C12935" t="s">
        <v>42</v>
      </c>
      <c r="D12935" t="str">
        <f>HYPERLINK("https://us2.cloudbeds.com/connect/10074733072513#/reservations/31715639455966?display=Ricky%20Reinicke&amp;reservation_id=31715639455966&amp;guest_id=31715629797521", "Ricky Reinicke")</f>
        <v>Ricky Reinicke</v>
      </c>
      <c r="E12935" t="s">
        <v>9566</v>
      </c>
      <c r="F12935" t="s">
        <v>12345</v>
      </c>
      <c r="G12935">
        <v>159</v>
      </c>
      <c r="H12935">
        <v>172.84</v>
      </c>
      <c r="I12935">
        <v>172.83</v>
      </c>
      <c r="J12935">
        <v>0.01</v>
      </c>
    </row>
    <row r="12936" spans="1:10" x14ac:dyDescent="0.3">
      <c r="A12936" t="str">
        <f>HYPERLINK("https://us2.cloudbeds.com/connect/10074733072513#/reservations/31715868504276?display=MX5WVDZ2W&amp;reservation_id=31715868504276", "MX5WVDZ2W")</f>
        <v>MX5WVDZ2W</v>
      </c>
      <c r="B12936" t="s">
        <v>10</v>
      </c>
      <c r="C12936" t="s">
        <v>23</v>
      </c>
      <c r="D12936" t="str">
        <f>HYPERLINK("https://us2.cloudbeds.com/connect/10074733072513#/reservations/31715868504276?display=Tina%20Draayer&amp;reservation_id=31715868504276&amp;guest_id=31715859521731", "Tina Draayer")</f>
        <v>Tina Draayer</v>
      </c>
      <c r="E12936" t="s">
        <v>12405</v>
      </c>
      <c r="F12936" t="s">
        <v>12017</v>
      </c>
      <c r="G12936">
        <v>189</v>
      </c>
      <c r="H12936">
        <v>205.45</v>
      </c>
      <c r="I12936">
        <v>205.44</v>
      </c>
      <c r="J12936">
        <v>0.01</v>
      </c>
    </row>
    <row r="12937" spans="1:10" x14ac:dyDescent="0.3">
      <c r="A12937" t="str">
        <f>HYPERLINK("https://us2.cloudbeds.com/connect/10074733072513#/reservations/31717307904182?display=MX73Z552U&amp;reservation_id=31717307904182", "MX73Z552U")</f>
        <v>MX73Z552U</v>
      </c>
      <c r="B12937" t="s">
        <v>10</v>
      </c>
      <c r="C12937" t="s">
        <v>42</v>
      </c>
      <c r="D12937" t="str">
        <f>HYPERLINK("https://us2.cloudbeds.com/connect/10074733072513#/reservations/31717307904182?display=Scott%20Bolie&amp;reservation_id=31717307904182&amp;guest_id=31717307904129", "Scott Bolie")</f>
        <v>Scott Bolie</v>
      </c>
      <c r="E12937" t="s">
        <v>12406</v>
      </c>
      <c r="F12937" t="s">
        <v>12407</v>
      </c>
      <c r="G12937">
        <v>189</v>
      </c>
      <c r="H12937">
        <v>205.45</v>
      </c>
      <c r="I12937">
        <v>205.44</v>
      </c>
      <c r="J12937">
        <v>0.01</v>
      </c>
    </row>
    <row r="12938" spans="1:10" x14ac:dyDescent="0.3">
      <c r="A12938" t="str">
        <f>HYPERLINK("https://us2.cloudbeds.com/connect/10074733072513#/reservations/31713616830605?display=MX48DZJGF&amp;reservation_id=31713616830605", "MX48DZJGF")</f>
        <v>MX48DZJGF</v>
      </c>
      <c r="B12938" t="s">
        <v>10</v>
      </c>
      <c r="C12938" t="s">
        <v>42</v>
      </c>
      <c r="D12938" t="str">
        <f>HYPERLINK("https://us2.cloudbeds.com/connect/10074733072513#/reservations/31713616830605?display=Paige%20Brown&amp;reservation_id=31713616830605&amp;guest_id=31713597902978", "Paige Brown")</f>
        <v>Paige Brown</v>
      </c>
      <c r="E12938" t="s">
        <v>12408</v>
      </c>
      <c r="F12938" t="s">
        <v>11919</v>
      </c>
      <c r="G12938">
        <v>149</v>
      </c>
      <c r="H12938">
        <v>161.97</v>
      </c>
      <c r="I12938">
        <v>161.96</v>
      </c>
      <c r="J12938">
        <v>0.01</v>
      </c>
    </row>
    <row r="12939" spans="1:10" x14ac:dyDescent="0.3">
      <c r="A12939" t="str">
        <f>HYPERLINK("https://us2.cloudbeds.com/connect/10074733072513#/reservations/31712352080095?display=MX39391EF&amp;reservation_id=31712352080095", "MX39391EF")</f>
        <v>MX39391EF</v>
      </c>
      <c r="B12939" t="s">
        <v>10</v>
      </c>
      <c r="C12939" t="s">
        <v>23</v>
      </c>
      <c r="D12939" t="str">
        <f>HYPERLINK("https://us2.cloudbeds.com/connect/10074733072513#/reservations/31712352080095?display=Gina%20Koenig&amp;reservation_id=31712352080095&amp;guest_id=31712337445010", "Gina Koenig")</f>
        <v>Gina Koenig</v>
      </c>
      <c r="E12939" t="s">
        <v>12409</v>
      </c>
      <c r="F12939" t="s">
        <v>11371</v>
      </c>
      <c r="G12939">
        <v>219</v>
      </c>
      <c r="H12939">
        <v>238.06</v>
      </c>
      <c r="I12939">
        <v>238.05</v>
      </c>
      <c r="J12939">
        <v>0.01</v>
      </c>
    </row>
    <row r="12940" spans="1:10" x14ac:dyDescent="0.3">
      <c r="A12940" t="str">
        <f>HYPERLINK("https://us2.cloudbeds.com/connect/10074733072513#/reservations/31715077697696?display=MX5CZJC87&amp;reservation_id=31715077697696", "MX5CZJC87")</f>
        <v>MX5CZJC87</v>
      </c>
      <c r="B12940" t="s">
        <v>10</v>
      </c>
      <c r="C12940" t="s">
        <v>42</v>
      </c>
      <c r="D12940" t="str">
        <f>HYPERLINK("https://us2.cloudbeds.com/connect/10074733072513#/reservations/31715077697696?display=Jeff%20Fiegen&amp;reservation_id=31715077697696&amp;guest_id=31715068760211", "Jeff Fiegen")</f>
        <v>Jeff Fiegen</v>
      </c>
      <c r="E12940" t="s">
        <v>12411</v>
      </c>
      <c r="F12940" t="s">
        <v>11699</v>
      </c>
      <c r="G12940">
        <v>189</v>
      </c>
      <c r="H12940">
        <v>205.45</v>
      </c>
      <c r="I12940">
        <v>205.44</v>
      </c>
      <c r="J12940">
        <v>0.01</v>
      </c>
    </row>
    <row r="12941" spans="1:10" x14ac:dyDescent="0.3">
      <c r="A12941" t="str">
        <f>HYPERLINK("https://us2.cloudbeds.com/connect/10074733072513#/reservations/31716473471138?display=MX6FDHR74&amp;reservation_id=31716473471138", "MX6FDHR74")</f>
        <v>MX6FDHR74</v>
      </c>
      <c r="B12941" t="s">
        <v>10</v>
      </c>
      <c r="C12941" t="s">
        <v>23</v>
      </c>
      <c r="D12941" t="str">
        <f>HYPERLINK("https://us2.cloudbeds.com/connect/10074733072513#/reservations/31716473471138?display=Gina%20Koenig&amp;reservation_id=31716473471138&amp;guest_id=31712337445010", "Gina Koenig")</f>
        <v>Gina Koenig</v>
      </c>
      <c r="E12941" t="s">
        <v>12409</v>
      </c>
      <c r="F12941" t="s">
        <v>12407</v>
      </c>
      <c r="G12941">
        <v>398</v>
      </c>
      <c r="H12941">
        <v>432.64</v>
      </c>
      <c r="I12941">
        <v>432.63</v>
      </c>
      <c r="J12941">
        <v>0.01</v>
      </c>
    </row>
    <row r="12942" spans="1:10" x14ac:dyDescent="0.3">
      <c r="A12942" t="str">
        <f>HYPERLINK("https://us2.cloudbeds.com/connect/10074733072513#/reservations/31712354267278?display=MX3953TSZ&amp;reservation_id=31712354267278", "MX3953TSZ")</f>
        <v>MX3953TSZ</v>
      </c>
      <c r="B12942" t="s">
        <v>10</v>
      </c>
      <c r="C12942" t="s">
        <v>23</v>
      </c>
      <c r="D12942" t="str">
        <f>HYPERLINK("https://us2.cloudbeds.com/connect/10074733072513#/reservations/31712354267278?display=Jody%20Schindler&amp;reservation_id=31712354267278&amp;guest_id=31712354267273", "Jody Schindler")</f>
        <v>Jody Schindler</v>
      </c>
      <c r="E12942" t="s">
        <v>9570</v>
      </c>
      <c r="F12942" t="s">
        <v>11371</v>
      </c>
      <c r="G12942">
        <v>209</v>
      </c>
      <c r="H12942">
        <v>227.19</v>
      </c>
      <c r="I12942">
        <v>227.18</v>
      </c>
      <c r="J12942">
        <v>0.01</v>
      </c>
    </row>
    <row r="12943" spans="1:10" x14ac:dyDescent="0.3">
      <c r="A12943" t="str">
        <f>HYPERLINK("https://us2.cloudbeds.com/connect/10074733072513#/reservations/31716480229568?display=MX6FJ7PJS&amp;reservation_id=31716480229568", "MX6FJ7PJS")</f>
        <v>MX6FJ7PJS</v>
      </c>
      <c r="B12943" t="s">
        <v>10</v>
      </c>
      <c r="C12943" t="s">
        <v>23</v>
      </c>
      <c r="D12943" t="str">
        <f>HYPERLINK("https://us2.cloudbeds.com/connect/10074733072513#/reservations/31716480229568?display=Jody%20Schindler&amp;reservation_id=31716480229568&amp;guest_id=31712354267273", "Jody Schindler")</f>
        <v>Jody Schindler</v>
      </c>
      <c r="E12943" t="s">
        <v>9570</v>
      </c>
      <c r="F12943" t="s">
        <v>12407</v>
      </c>
      <c r="G12943">
        <v>189</v>
      </c>
      <c r="H12943">
        <v>205.45</v>
      </c>
      <c r="I12943">
        <v>205.44</v>
      </c>
      <c r="J12943">
        <v>0.01</v>
      </c>
    </row>
    <row r="12944" spans="1:10" x14ac:dyDescent="0.3">
      <c r="A12944" t="str">
        <f>HYPERLINK("https://us2.cloudbeds.com/connect/10074733072513#/reservations/31717103620333?display=MX6VGTYK9&amp;reservation_id=31717103620333", "MX6VGTYK9")</f>
        <v>MX6VGTYK9</v>
      </c>
      <c r="B12944" t="s">
        <v>10</v>
      </c>
      <c r="C12944" t="s">
        <v>23</v>
      </c>
      <c r="D12944" t="str">
        <f>HYPERLINK("https://us2.cloudbeds.com/connect/10074733072513#/reservations/31717103620333?display=Alisa%20Sadler&amp;reservation_id=31717103620333&amp;guest_id=31717103620318", "Alisa Sadler")</f>
        <v>Alisa Sadler</v>
      </c>
      <c r="E12944" t="s">
        <v>12412</v>
      </c>
      <c r="F12944" t="s">
        <v>12340</v>
      </c>
      <c r="G12944">
        <v>411.3</v>
      </c>
      <c r="H12944">
        <v>447.09</v>
      </c>
      <c r="I12944">
        <v>447.08</v>
      </c>
      <c r="J12944">
        <v>0.01</v>
      </c>
    </row>
    <row r="12945" spans="1:10" x14ac:dyDescent="0.3">
      <c r="A12945" t="str">
        <f>HYPERLINK("https://us2.cloudbeds.com/connect/10074733072513#/reservations/31717806846188?display=MX7GFSVCM&amp;reservation_id=31717806846188", "MX7GFSVCM")</f>
        <v>MX7GFSVCM</v>
      </c>
      <c r="B12945" t="s">
        <v>10</v>
      </c>
      <c r="C12945" t="s">
        <v>23</v>
      </c>
      <c r="D12945" t="str">
        <f>HYPERLINK("https://us2.cloudbeds.com/connect/10074733072513#/reservations/31717806846188?display=Jennifer%20Diller&amp;reservation_id=31717806846188&amp;guest_id=31717790175379", "Jennifer Diller")</f>
        <v>Jennifer Diller</v>
      </c>
      <c r="E12945" t="s">
        <v>12413</v>
      </c>
      <c r="F12945" t="s">
        <v>11919</v>
      </c>
      <c r="G12945">
        <v>149</v>
      </c>
      <c r="H12945">
        <v>161.97</v>
      </c>
      <c r="I12945">
        <v>161.96</v>
      </c>
      <c r="J12945">
        <v>0.01</v>
      </c>
    </row>
    <row r="12946" spans="1:10" x14ac:dyDescent="0.3">
      <c r="A12946" t="str">
        <f>HYPERLINK("https://us2.cloudbeds.com/connect/10074733072513#/reservations/31717879914636?display=MX7XBG672&amp;reservation_id=31717879914636", "MX7XBG672")</f>
        <v>MX7XBG672</v>
      </c>
      <c r="B12946" t="s">
        <v>10</v>
      </c>
      <c r="C12946" t="s">
        <v>42</v>
      </c>
      <c r="D12946" t="str">
        <f>HYPERLINK("https://us2.cloudbeds.com/connect/10074733072513#/reservations/31717879914636?display=Brandt%20Hedquist&amp;reservation_id=31717879914636&amp;guest_id=31717879910544", "Brandt Hedquist")</f>
        <v>Brandt Hedquist</v>
      </c>
      <c r="E12946" t="s">
        <v>12414</v>
      </c>
      <c r="F12946" t="s">
        <v>12345</v>
      </c>
      <c r="G12946">
        <v>169</v>
      </c>
      <c r="H12946">
        <v>183.71</v>
      </c>
      <c r="I12946">
        <v>183.7</v>
      </c>
      <c r="J12946">
        <v>0.01</v>
      </c>
    </row>
    <row r="12947" spans="1:10" x14ac:dyDescent="0.3">
      <c r="A12947" t="str">
        <f>HYPERLINK("https://us2.cloudbeds.com/connect/10074733072513#/reservations/31712422584502?display=MX3ATNUPY&amp;reservation_id=31712422584502", "MX3ATNUPY")</f>
        <v>MX3ATNUPY</v>
      </c>
      <c r="B12947" t="s">
        <v>10</v>
      </c>
      <c r="C12947" t="s">
        <v>23</v>
      </c>
      <c r="D12947" t="str">
        <f>HYPERLINK("https://us2.cloudbeds.com/connect/10074733072513#/reservations/31712422584502?display=Candice%20Hoke&amp;reservation_id=31712422584502&amp;guest_id=31712422584453", "Candice Hoke")</f>
        <v>Candice Hoke</v>
      </c>
      <c r="E12947" t="s">
        <v>9546</v>
      </c>
      <c r="F12947" t="s">
        <v>11371</v>
      </c>
      <c r="G12947">
        <v>209</v>
      </c>
      <c r="H12947">
        <v>227.19</v>
      </c>
      <c r="I12947">
        <v>227.18</v>
      </c>
      <c r="J12947">
        <v>0.01</v>
      </c>
    </row>
    <row r="12948" spans="1:10" x14ac:dyDescent="0.3">
      <c r="A12948" t="str">
        <f>HYPERLINK("https://us2.cloudbeds.com/connect/10074733072513#/reservations/31714249810119?display=MX4ZJG5TT&amp;reservation_id=31714249810119", "MX4ZJG5TT")</f>
        <v>MX4ZJG5TT</v>
      </c>
      <c r="B12948" t="s">
        <v>10</v>
      </c>
      <c r="C12948" t="s">
        <v>23</v>
      </c>
      <c r="D12948" t="str">
        <f>HYPERLINK("https://us2.cloudbeds.com/connect/10074733072513#/reservations/31714249810119?display=Amy%20Stegmiller&amp;reservation_id=31714249810119&amp;guest_id=31714249806024", "Amy Stegmiller")</f>
        <v>Amy Stegmiller</v>
      </c>
      <c r="E12948" t="s">
        <v>12416</v>
      </c>
      <c r="F12948" t="s">
        <v>12215</v>
      </c>
      <c r="G12948">
        <v>278</v>
      </c>
      <c r="H12948">
        <v>302.2</v>
      </c>
      <c r="I12948">
        <v>302.19</v>
      </c>
      <c r="J12948">
        <v>0.01</v>
      </c>
    </row>
    <row r="12949" spans="1:10" x14ac:dyDescent="0.3">
      <c r="A12949" t="str">
        <f>HYPERLINK("https://us2.cloudbeds.com/connect/10074733072513#/reservations/31712401273010?display=MX3ABZTWS&amp;reservation_id=31712401273010", "MX3ABZTWS")</f>
        <v>MX3ABZTWS</v>
      </c>
      <c r="B12949" t="s">
        <v>10</v>
      </c>
      <c r="C12949" t="s">
        <v>42</v>
      </c>
      <c r="D12949" t="str">
        <f>HYPERLINK("https://us2.cloudbeds.com/connect/10074733072513#/reservations/31712401273010?display=Timm%20Gilkison&amp;reservation_id=31712401273010&amp;guest_id=31712393007312", "Timm Gilkison")</f>
        <v>Timm Gilkison</v>
      </c>
      <c r="E12949" t="s">
        <v>12417</v>
      </c>
      <c r="F12949" t="s">
        <v>11371</v>
      </c>
      <c r="G12949">
        <v>318</v>
      </c>
      <c r="H12949">
        <v>345.68</v>
      </c>
      <c r="I12949">
        <v>345.67</v>
      </c>
      <c r="J12949">
        <v>0.01</v>
      </c>
    </row>
    <row r="12950" spans="1:10" x14ac:dyDescent="0.3">
      <c r="A12950" t="str">
        <f>HYPERLINK("https://us2.cloudbeds.com/connect/10074733072513#/reservations/31715847745713?display=MX5WDU31K&amp;reservation_id=31715847745713", "MX5WDU31K")</f>
        <v>MX5WDU31K</v>
      </c>
      <c r="B12950" t="s">
        <v>10</v>
      </c>
      <c r="C12950" t="s">
        <v>42</v>
      </c>
      <c r="D12950" t="str">
        <f>HYPERLINK("https://us2.cloudbeds.com/connect/10074733072513#/reservations/31715847745713?display=Tayia%20Montana&amp;reservation_id=31715847745713&amp;guest_id=31715847745709", "Tayia Montana")</f>
        <v>Tayia Montana</v>
      </c>
      <c r="E12950" t="s">
        <v>12418</v>
      </c>
      <c r="F12950" t="s">
        <v>12109</v>
      </c>
      <c r="G12950">
        <v>189</v>
      </c>
      <c r="H12950">
        <v>205.45</v>
      </c>
      <c r="I12950">
        <v>205.44</v>
      </c>
      <c r="J12950">
        <v>0.01</v>
      </c>
    </row>
    <row r="12951" spans="1:10" x14ac:dyDescent="0.3">
      <c r="A12951" t="str">
        <f>HYPERLINK("https://us2.cloudbeds.com/connect/10074733072513#/reservations/31713567559870?display=MX4756XFT&amp;reservation_id=31713567559870", "MX4756XFT")</f>
        <v>MX4756XFT</v>
      </c>
      <c r="B12951" t="s">
        <v>10</v>
      </c>
      <c r="C12951" t="s">
        <v>121</v>
      </c>
      <c r="D12951" t="str">
        <f>HYPERLINK("https://us2.cloudbeds.com/connect/10074733072513#/reservations/31713567559870?display=Stephanie%20Myers&amp;reservation_id=31713567559870&amp;guest_id=31713567559820", "Stephanie Myers")</f>
        <v>Stephanie Myers</v>
      </c>
      <c r="E12951" t="s">
        <v>12420</v>
      </c>
      <c r="F12951" t="s">
        <v>11919</v>
      </c>
      <c r="G12951">
        <v>179</v>
      </c>
      <c r="H12951">
        <v>194.58</v>
      </c>
      <c r="I12951">
        <v>194.57</v>
      </c>
      <c r="J12951">
        <v>0.01</v>
      </c>
    </row>
    <row r="12952" spans="1:10" x14ac:dyDescent="0.3">
      <c r="A12952" t="str">
        <f>HYPERLINK("https://us2.cloudbeds.com/connect/10074733072513#/reservations/31717771858085?display=MX7FJCBZ4&amp;reservation_id=31717771858085", "MX7FJCBZ4")</f>
        <v>MX7FJCBZ4</v>
      </c>
      <c r="B12952" t="s">
        <v>10</v>
      </c>
      <c r="C12952" t="s">
        <v>121</v>
      </c>
      <c r="D12952" t="str">
        <f>HYPERLINK("https://us2.cloudbeds.com/connect/10074733072513#/reservations/31717771858085?display=Derek%20Keeling&amp;reservation_id=31717771858085&amp;guest_id=31717762998476", "Derek Keeling")</f>
        <v>Derek Keeling</v>
      </c>
      <c r="E12952" t="s">
        <v>12421</v>
      </c>
      <c r="F12952" t="s">
        <v>11919</v>
      </c>
      <c r="G12952">
        <v>189</v>
      </c>
      <c r="H12952">
        <v>205.45</v>
      </c>
      <c r="I12952">
        <v>205.44</v>
      </c>
      <c r="J12952">
        <v>0.01</v>
      </c>
    </row>
    <row r="12953" spans="1:10" x14ac:dyDescent="0.3">
      <c r="A12953" t="str">
        <f>HYPERLINK("https://us2.cloudbeds.com/connect/10074733072513#/reservations/31717875376363?display=MX7X7YTRY&amp;reservation_id=31717875376363", "MX7X7YTRY")</f>
        <v>MX7X7YTRY</v>
      </c>
      <c r="B12953" t="s">
        <v>10</v>
      </c>
      <c r="C12953" t="s">
        <v>121</v>
      </c>
      <c r="D12953" t="str">
        <f>HYPERLINK("https://us2.cloudbeds.com/connect/10074733072513#/reservations/31717875376363?display=Kirby%20Reynolds&amp;reservation_id=31717875376363&amp;guest_id=31717865472222", "Kirby Reynolds")</f>
        <v>Kirby Reynolds</v>
      </c>
      <c r="E12953" t="s">
        <v>12422</v>
      </c>
      <c r="F12953" t="s">
        <v>11919</v>
      </c>
      <c r="G12953">
        <v>189</v>
      </c>
      <c r="H12953">
        <v>205.45</v>
      </c>
      <c r="I12953">
        <v>205.44</v>
      </c>
      <c r="J12953">
        <v>0.01</v>
      </c>
    </row>
    <row r="12954" spans="1:10" x14ac:dyDescent="0.3">
      <c r="A12954" t="str">
        <f>HYPERLINK("https://us2.cloudbeds.com/connect/10074733072513#/reservations/31713564844199?display=MX472TWZS&amp;reservation_id=31713564844199", "MX472TWZS")</f>
        <v>MX472TWZS</v>
      </c>
      <c r="B12954" t="s">
        <v>10</v>
      </c>
      <c r="C12954" t="s">
        <v>23</v>
      </c>
      <c r="D12954" t="str">
        <f>HYPERLINK("https://us2.cloudbeds.com/connect/10074733072513#/reservations/31713564844199?display=Kimberly%20Ann%20Walton&amp;reservation_id=31713564844199&amp;guest_id=31713554563290", "Kimberly Ann Walton")</f>
        <v>Kimberly Ann Walton</v>
      </c>
      <c r="E12954" t="s">
        <v>12423</v>
      </c>
      <c r="F12954" t="s">
        <v>11919</v>
      </c>
      <c r="G12954">
        <v>169</v>
      </c>
      <c r="H12954">
        <v>183.71</v>
      </c>
      <c r="I12954">
        <v>183.7</v>
      </c>
      <c r="J12954">
        <v>0.01</v>
      </c>
    </row>
    <row r="12955" spans="1:10" x14ac:dyDescent="0.3">
      <c r="A12955" t="str">
        <f>HYPERLINK("https://us2.cloudbeds.com/connect/10074733072513#/reservations/31715121602714?display=MX5DSK32A&amp;reservation_id=31715121602714", "MX5DSK32A")</f>
        <v>MX5DSK32A</v>
      </c>
      <c r="B12955" t="s">
        <v>10</v>
      </c>
      <c r="C12955" t="s">
        <v>23</v>
      </c>
      <c r="D12955" t="str">
        <f>HYPERLINK("https://us2.cloudbeds.com/connect/10074733072513#/reservations/31715121602714?display=Dylan%20Kloehn&amp;reservation_id=31715121602714&amp;guest_id=31715121602710", "Dylan Kloehn")</f>
        <v>Dylan Kloehn</v>
      </c>
      <c r="E12955" t="s">
        <v>12424</v>
      </c>
      <c r="F12955" t="s">
        <v>11699</v>
      </c>
      <c r="G12955">
        <v>189</v>
      </c>
      <c r="H12955">
        <v>205.45</v>
      </c>
      <c r="I12955">
        <v>205.44</v>
      </c>
      <c r="J12955">
        <v>0.01</v>
      </c>
    </row>
    <row r="12956" spans="1:10" x14ac:dyDescent="0.3">
      <c r="A12956" t="str">
        <f>HYPERLINK("https://us2.cloudbeds.com/connect/10074733072513#/reservations/31715824894171?display=MX5VRY72Y&amp;reservation_id=31715824894171", "MX5VRY72Y")</f>
        <v>MX5VRY72Y</v>
      </c>
      <c r="B12956" t="s">
        <v>10</v>
      </c>
      <c r="C12956" t="s">
        <v>42</v>
      </c>
      <c r="D12956" t="str">
        <f>HYPERLINK("https://us2.cloudbeds.com/connect/10074733072513#/reservations/31715824894171?display=Dale%20Juranek&amp;reservation_id=31715824894171&amp;guest_id=31715808268491", "Dale Juranek")</f>
        <v>Dale Juranek</v>
      </c>
      <c r="E12956" t="s">
        <v>12425</v>
      </c>
      <c r="F12956" t="s">
        <v>11699</v>
      </c>
      <c r="G12956">
        <v>189</v>
      </c>
      <c r="H12956">
        <v>205.45</v>
      </c>
      <c r="I12956">
        <v>205.44</v>
      </c>
      <c r="J12956">
        <v>0.01</v>
      </c>
    </row>
    <row r="12957" spans="1:10" x14ac:dyDescent="0.3">
      <c r="A12957" t="str">
        <f>HYPERLINK("https://us2.cloudbeds.com/connect/10074733072513#/reservations/31714334728365?display=MX4QP3532&amp;reservation_id=31714334728365", "MX4QP3532")</f>
        <v>MX4QP3532</v>
      </c>
      <c r="B12957" t="s">
        <v>10</v>
      </c>
      <c r="C12957" t="s">
        <v>42</v>
      </c>
      <c r="D12957" t="str">
        <f>HYPERLINK("https://us2.cloudbeds.com/connect/10074733072513#/reservations/31714334728365?display=Kristen%20Erickson&amp;reservation_id=31714334728365&amp;guest_id=31714324701332", "Kristen Erickson")</f>
        <v>Kristen Erickson</v>
      </c>
      <c r="E12957" t="s">
        <v>12427</v>
      </c>
      <c r="F12957" t="s">
        <v>10750</v>
      </c>
      <c r="G12957">
        <v>358</v>
      </c>
      <c r="H12957">
        <v>389.16</v>
      </c>
      <c r="I12957">
        <v>389.15</v>
      </c>
      <c r="J12957">
        <v>0.01</v>
      </c>
    </row>
    <row r="12958" spans="1:10" x14ac:dyDescent="0.3">
      <c r="A12958" t="str">
        <f>HYPERLINK("https://us2.cloudbeds.com/connect/10074733072513#/reservations/31713168269495?display=MX3TVGNYJ&amp;reservation_id=31713168269495", "MX3TVGNYJ")</f>
        <v>MX3TVGNYJ</v>
      </c>
      <c r="B12958" t="s">
        <v>10</v>
      </c>
      <c r="C12958" t="s">
        <v>23</v>
      </c>
      <c r="D12958" t="str">
        <f>HYPERLINK("https://us2.cloudbeds.com/connect/10074733072513#/reservations/31713168269495?display=Robert%20Long&amp;reservation_id=31713168269495&amp;guest_id=31713168269477", "Robert Long")</f>
        <v>Robert Long</v>
      </c>
      <c r="E12958" t="s">
        <v>12428</v>
      </c>
      <c r="F12958" t="s">
        <v>12429</v>
      </c>
      <c r="G12958">
        <v>542.29999999999995</v>
      </c>
      <c r="H12958">
        <v>589.49</v>
      </c>
      <c r="I12958">
        <v>589.48</v>
      </c>
      <c r="J12958">
        <v>0.01</v>
      </c>
    </row>
    <row r="12959" spans="1:10" x14ac:dyDescent="0.3">
      <c r="A12959" t="str">
        <f>HYPERLINK("https://us2.cloudbeds.com/connect/10074733072513#/reservations/31711376670851?display=MX2H5PRRJ&amp;reservation_id=31711376670851", "MX2H5PRRJ")</f>
        <v>MX2H5PRRJ</v>
      </c>
      <c r="B12959" t="s">
        <v>10</v>
      </c>
      <c r="C12959" t="s">
        <v>42</v>
      </c>
      <c r="D12959" t="str">
        <f>HYPERLINK("https://us2.cloudbeds.com/connect/10074733072513#/reservations/31711376670851?display=Linda%20Laib&amp;reservation_id=31711376670851&amp;guest_id=31711376670849", "Linda Laib")</f>
        <v>Linda Laib</v>
      </c>
      <c r="E12959" t="s">
        <v>12430</v>
      </c>
      <c r="F12959" t="s">
        <v>11699</v>
      </c>
      <c r="G12959">
        <v>189</v>
      </c>
      <c r="H12959">
        <v>205.45</v>
      </c>
      <c r="I12959">
        <v>205.44</v>
      </c>
      <c r="J12959">
        <v>0.01</v>
      </c>
    </row>
    <row r="12960" spans="1:10" x14ac:dyDescent="0.3">
      <c r="A12960" t="str">
        <f>HYPERLINK("https://us2.cloudbeds.com/connect/10074733072513#/reservations/31715410120928?display=MX5Y7THZG&amp;reservation_id=31715410120928", "MX5Y7THZG")</f>
        <v>MX5Y7THZG</v>
      </c>
      <c r="B12960" t="s">
        <v>10</v>
      </c>
      <c r="C12960" t="s">
        <v>23</v>
      </c>
      <c r="D12960" t="str">
        <f>HYPERLINK("https://us2.cloudbeds.com/connect/10074733072513#/reservations/31715410120928?display=Cody%20Howard&amp;reservation_id=31715410120928&amp;guest_id=31715397980293", "Cody Howard")</f>
        <v>Cody Howard</v>
      </c>
      <c r="E12960" t="s">
        <v>12431</v>
      </c>
      <c r="F12960" t="s">
        <v>11938</v>
      </c>
      <c r="G12960">
        <v>102.58</v>
      </c>
      <c r="H12960">
        <v>111.51</v>
      </c>
      <c r="I12960">
        <v>111.5</v>
      </c>
      <c r="J12960">
        <v>0.01</v>
      </c>
    </row>
    <row r="12961" spans="1:10" x14ac:dyDescent="0.3">
      <c r="A12961" t="str">
        <f>HYPERLINK("https://us2.cloudbeds.com/connect/10074733072513#/reservations/31702594756756?display=MHSNPY4XY&amp;reservation_id=31702594756756", "MHSNPY4XY")</f>
        <v>MHSNPY4XY</v>
      </c>
      <c r="B12961" t="s">
        <v>10</v>
      </c>
      <c r="C12961" t="s">
        <v>42</v>
      </c>
      <c r="D12961" t="str">
        <f>HYPERLINK("https://us2.cloudbeds.com/connect/10074733072513#/reservations/31702594756756?display=Kim%20Gregg&amp;reservation_id=31702594756756&amp;guest_id=31702594756751", "Kim Gregg")</f>
        <v>Kim Gregg</v>
      </c>
      <c r="E12961" t="s">
        <v>12432</v>
      </c>
      <c r="F12961" t="s">
        <v>12056</v>
      </c>
      <c r="G12961">
        <v>159</v>
      </c>
      <c r="H12961">
        <v>172.84</v>
      </c>
      <c r="I12961">
        <v>172.83</v>
      </c>
      <c r="J12961">
        <v>0.01</v>
      </c>
    </row>
    <row r="12962" spans="1:10" x14ac:dyDescent="0.3">
      <c r="A12962" t="str">
        <f>HYPERLINK("https://us2.cloudbeds.com/connect/10074733072513#/reservations/31714783273096?display=MX557AXTY&amp;reservation_id=31714783273096", "MX557AXTY")</f>
        <v>MX557AXTY</v>
      </c>
      <c r="B12962" t="s">
        <v>10</v>
      </c>
      <c r="C12962" t="s">
        <v>42</v>
      </c>
      <c r="D12962" t="str">
        <f>HYPERLINK("https://us2.cloudbeds.com/connect/10074733072513#/reservations/31714783273096?display=Dennise%20Anderson&amp;reservation_id=31714783273096&amp;guest_id=31714778144939", "Dennise Anderson")</f>
        <v>Dennise Anderson</v>
      </c>
      <c r="E12962" t="s">
        <v>12434</v>
      </c>
      <c r="F12962" t="s">
        <v>10750</v>
      </c>
      <c r="G12962">
        <v>209</v>
      </c>
      <c r="H12962">
        <v>227.19</v>
      </c>
      <c r="I12962">
        <v>227.18</v>
      </c>
      <c r="J12962">
        <v>0.01</v>
      </c>
    </row>
    <row r="12963" spans="1:10" x14ac:dyDescent="0.3">
      <c r="A12963" t="str">
        <f>HYPERLINK("https://us2.cloudbeds.com/connect/10074733072513#/reservations/31715397976203?display=MX5KUYJXH&amp;reservation_id=31715397976203", "MX5KUYJXH")</f>
        <v>MX5KUYJXH</v>
      </c>
      <c r="B12963" t="s">
        <v>10</v>
      </c>
      <c r="C12963" t="s">
        <v>42</v>
      </c>
      <c r="D12963" t="str">
        <f>HYPERLINK("https://us2.cloudbeds.com/connect/10074733072513#/reservations/31715397976203?display=Nancy%20Miles&amp;reservation_id=31715397976203&amp;guest_id=31715397976198", "Nancy Miles")</f>
        <v>Nancy Miles</v>
      </c>
      <c r="E12963" t="s">
        <v>12435</v>
      </c>
      <c r="F12963" t="s">
        <v>11938</v>
      </c>
      <c r="G12963">
        <v>139</v>
      </c>
      <c r="H12963">
        <v>151.1</v>
      </c>
      <c r="I12963">
        <v>151.09</v>
      </c>
      <c r="J12963">
        <v>0.01</v>
      </c>
    </row>
    <row r="12964" spans="1:10" x14ac:dyDescent="0.3">
      <c r="A12964" t="str">
        <f>HYPERLINK("https://us2.cloudbeds.com/connect/10074733072513#/reservations/31714886807773?display=MX57SKJ23&amp;reservation_id=31714886807773", "MX57SKJ23")</f>
        <v>MX57SKJ23</v>
      </c>
      <c r="B12964" t="s">
        <v>10</v>
      </c>
      <c r="C12964" t="s">
        <v>23</v>
      </c>
      <c r="D12964" t="str">
        <f>HYPERLINK("https://us2.cloudbeds.com/connect/10074733072513#/reservations/31714886807773?display=Bartholomew%20Heyn&amp;reservation_id=31714886807773&amp;guest_id=31714886807769", "Bartholomew Heyn")</f>
        <v>Bartholomew Heyn</v>
      </c>
      <c r="E12964" t="s">
        <v>12437</v>
      </c>
      <c r="F12964" t="s">
        <v>12276</v>
      </c>
      <c r="G12964">
        <v>102.58</v>
      </c>
      <c r="H12964">
        <v>111.51</v>
      </c>
      <c r="I12964">
        <v>111.5</v>
      </c>
      <c r="J12964">
        <v>0.01</v>
      </c>
    </row>
    <row r="12965" spans="1:10" x14ac:dyDescent="0.3">
      <c r="A12965" t="str">
        <f>HYPERLINK("https://us2.cloudbeds.com/connect/10074733072513#/reservations/31711304405127?display=MX2FARV45&amp;reservation_id=31711304405127", "MX2FARV45")</f>
        <v>MX2FARV45</v>
      </c>
      <c r="B12965" t="s">
        <v>10</v>
      </c>
      <c r="C12965" t="s">
        <v>42</v>
      </c>
      <c r="D12965" t="str">
        <f>HYPERLINK("https://us2.cloudbeds.com/connect/10074733072513#/reservations/31711304405127?display=Willy%20De%20La%20Cruz&amp;reservation_id=31711304405127&amp;guest_id=31711293931676", "Willy De La Cruz")</f>
        <v>Willy De La Cruz</v>
      </c>
      <c r="E12965" t="s">
        <v>12439</v>
      </c>
      <c r="F12965" t="s">
        <v>11938</v>
      </c>
      <c r="G12965">
        <v>139</v>
      </c>
      <c r="H12965">
        <v>151.1</v>
      </c>
      <c r="I12965">
        <v>151.09</v>
      </c>
      <c r="J12965">
        <v>0.01</v>
      </c>
    </row>
    <row r="12966" spans="1:10" x14ac:dyDescent="0.3">
      <c r="A12966" t="str">
        <f>HYPERLINK("https://us2.cloudbeds.com/connect/10074733072513#/reservations/31715261145237?display=MX5HE929K&amp;reservation_id=31715261145237", "MX5HE929K")</f>
        <v>MX5HE929K</v>
      </c>
      <c r="B12966" t="s">
        <v>10</v>
      </c>
      <c r="C12966" t="s">
        <v>23</v>
      </c>
      <c r="D12966" t="str">
        <f>HYPERLINK("https://us2.cloudbeds.com/connect/10074733072513#/reservations/31715261145237?display=Samuel%20Anderson&amp;reservation_id=31715261145237&amp;guest_id=31715251671290", "Samuel Anderson")</f>
        <v>Samuel Anderson</v>
      </c>
      <c r="E12966" t="s">
        <v>12440</v>
      </c>
      <c r="F12966" t="s">
        <v>11694</v>
      </c>
      <c r="G12966">
        <v>209</v>
      </c>
      <c r="H12966">
        <v>227.19</v>
      </c>
      <c r="I12966">
        <v>227.18</v>
      </c>
      <c r="J12966">
        <v>0.01</v>
      </c>
    </row>
    <row r="12967" spans="1:10" x14ac:dyDescent="0.3">
      <c r="A12967" t="str">
        <f>HYPERLINK("https://us2.cloudbeds.com/connect/10074733072513#/reservations/31715355177124?display=MX5JRXY9Z&amp;reservation_id=31715355177124", "MX5JRXY9Z")</f>
        <v>MX5JRXY9Z</v>
      </c>
      <c r="B12967" t="s">
        <v>10</v>
      </c>
      <c r="C12967" t="s">
        <v>23</v>
      </c>
      <c r="D12967" t="str">
        <f>HYPERLINK("https://us2.cloudbeds.com/connect/10074733072513#/reservations/31715355177124?display=Christpher%20Sands&amp;reservation_id=31715355177124&amp;guest_id=31715355177121", "Christpher Sands")</f>
        <v>Christpher Sands</v>
      </c>
      <c r="E12967" t="s">
        <v>12441</v>
      </c>
      <c r="F12967" t="s">
        <v>12442</v>
      </c>
      <c r="G12967">
        <v>149</v>
      </c>
      <c r="H12967">
        <v>161.97</v>
      </c>
      <c r="I12967">
        <v>161.96</v>
      </c>
      <c r="J12967">
        <v>0.01</v>
      </c>
    </row>
    <row r="12968" spans="1:10" x14ac:dyDescent="0.3">
      <c r="A12968" t="str">
        <f>HYPERLINK("https://us2.cloudbeds.com/connect/10074733072513#/reservations/31715364237504?display=MX5K26YGH&amp;reservation_id=31715364237504", "MX5K26YGH")</f>
        <v>MX5K26YGH</v>
      </c>
      <c r="B12968" t="s">
        <v>10</v>
      </c>
      <c r="C12968" t="s">
        <v>42</v>
      </c>
      <c r="D12968" t="str">
        <f>HYPERLINK("https://us2.cloudbeds.com/connect/10074733072513#/reservations/31715364237504?display=Michael%20Lofton&amp;reservation_id=31715364237504&amp;guest_id=31715364233466", "Michael Lofton")</f>
        <v>Michael Lofton</v>
      </c>
      <c r="E12968" t="s">
        <v>12443</v>
      </c>
      <c r="F12968" t="s">
        <v>12442</v>
      </c>
      <c r="G12968">
        <v>139</v>
      </c>
      <c r="H12968">
        <v>151.1</v>
      </c>
      <c r="I12968">
        <v>151.09</v>
      </c>
      <c r="J12968">
        <v>0.01</v>
      </c>
    </row>
    <row r="12969" spans="1:10" x14ac:dyDescent="0.3">
      <c r="A12969" t="str">
        <f>HYPERLINK("https://us2.cloudbeds.com/connect/10074733072513#/reservations/31715379437743?display=MX5KF0Z60&amp;reservation_id=31715379437743", "MX5KF0Z60")</f>
        <v>MX5KF0Z60</v>
      </c>
      <c r="B12969" t="s">
        <v>10</v>
      </c>
      <c r="C12969" t="s">
        <v>23</v>
      </c>
      <c r="D12969" t="str">
        <f>HYPERLINK("https://us2.cloudbeds.com/connect/10074733072513#/reservations/31715379437743?display=Kaitlynn%20Mcelvain&amp;reservation_id=31715379437743&amp;guest_id=31715379437738", "Kaitlynn Mcelvain")</f>
        <v>Kaitlynn Mcelvain</v>
      </c>
      <c r="E12969" t="s">
        <v>12444</v>
      </c>
      <c r="F12969" t="s">
        <v>12442</v>
      </c>
      <c r="G12969">
        <v>169</v>
      </c>
      <c r="H12969">
        <v>183.71</v>
      </c>
      <c r="I12969">
        <v>183.7</v>
      </c>
      <c r="J12969">
        <v>0.01</v>
      </c>
    </row>
    <row r="12970" spans="1:10" x14ac:dyDescent="0.3">
      <c r="A12970" t="str">
        <f>HYPERLINK("https://us2.cloudbeds.com/connect/10074733072513#/reservations/31714884608180?display=MX57QPC7P&amp;reservation_id=31714884608180", "MX57QPC7P")</f>
        <v>MX57QPC7P</v>
      </c>
      <c r="B12970" t="s">
        <v>10</v>
      </c>
      <c r="C12970" t="s">
        <v>23</v>
      </c>
      <c r="D12970" t="str">
        <f>HYPERLINK("https://us2.cloudbeds.com/connect/10074733072513#/reservations/31714884608180?display=Laura%20Lee&amp;reservation_id=31714884608180&amp;guest_id=31714870849763", "Laura Lee")</f>
        <v>Laura Lee</v>
      </c>
      <c r="E12970" t="s">
        <v>12445</v>
      </c>
      <c r="F12970" t="s">
        <v>12276</v>
      </c>
      <c r="G12970">
        <v>139</v>
      </c>
      <c r="H12970">
        <v>151.1</v>
      </c>
      <c r="I12970">
        <v>151.09</v>
      </c>
      <c r="J12970">
        <v>0.01</v>
      </c>
    </row>
    <row r="12971" spans="1:10" x14ac:dyDescent="0.3">
      <c r="A12971" t="str">
        <f>HYPERLINK("https://us2.cloudbeds.com/connect/10074733072513#/reservations/31715182837908?display=MX5FE81Z8&amp;reservation_id=31715182837908", "MX5FE81Z8")</f>
        <v>MX5FE81Z8</v>
      </c>
      <c r="B12971" t="s">
        <v>10</v>
      </c>
      <c r="C12971" t="s">
        <v>42</v>
      </c>
      <c r="D12971" t="str">
        <f>HYPERLINK("https://us2.cloudbeds.com/connect/10074733072513#/reservations/31715182837908?display=Jayme%20Stienblock&amp;reservation_id=31715182837908&amp;guest_id=31691730342114", "Jayme Stienblock")</f>
        <v>Jayme Stienblock</v>
      </c>
      <c r="E12971" t="s">
        <v>4220</v>
      </c>
      <c r="F12971" t="s">
        <v>12340</v>
      </c>
      <c r="G12971">
        <v>89</v>
      </c>
      <c r="H12971">
        <v>96.75</v>
      </c>
      <c r="I12971">
        <v>96.74</v>
      </c>
      <c r="J12971">
        <v>0.01</v>
      </c>
    </row>
    <row r="12972" spans="1:10" x14ac:dyDescent="0.3">
      <c r="A12972" t="str">
        <f>HYPERLINK("https://us2.cloudbeds.com/connect/10074733072513#/reservations/31714849099915?display=MX56TR9UZ&amp;reservation_id=31714849099915", "MX56TR9UZ")</f>
        <v>MX56TR9UZ</v>
      </c>
      <c r="B12972" t="s">
        <v>10</v>
      </c>
      <c r="C12972" t="s">
        <v>23</v>
      </c>
      <c r="D12972" t="str">
        <f>HYPERLINK("https://us2.cloudbeds.com/connect/10074733072513#/reservations/31714849099915?display=Teri%20Todd&amp;reservation_id=31714849099915&amp;guest_id=31684708155593", "Teri Todd")</f>
        <v>Teri Todd</v>
      </c>
      <c r="E12972" t="s">
        <v>10873</v>
      </c>
      <c r="F12972" t="s">
        <v>12276</v>
      </c>
      <c r="G12972">
        <v>109</v>
      </c>
      <c r="H12972">
        <v>118.49</v>
      </c>
      <c r="I12972">
        <v>118.48</v>
      </c>
      <c r="J12972">
        <v>0.01</v>
      </c>
    </row>
    <row r="12973" spans="1:10" x14ac:dyDescent="0.3">
      <c r="A12973" t="str">
        <f>HYPERLINK("https://us2.cloudbeds.com/connect/10074733072513#/reservations/31714884645112?display=MX57QQD4U&amp;reservation_id=31714884645112", "MX57QQD4U")</f>
        <v>MX57QQD4U</v>
      </c>
      <c r="B12973" t="s">
        <v>10</v>
      </c>
      <c r="C12973" t="s">
        <v>42</v>
      </c>
      <c r="D12973" t="str">
        <f>HYPERLINK("https://us2.cloudbeds.com/connect/10074733072513#/reservations/31714884645112?display=Mark%20Steigleder&amp;reservation_id=31714884645112&amp;guest_id=31700861939846", "Mark Steigleder")</f>
        <v>Mark Steigleder</v>
      </c>
      <c r="E12973" t="s">
        <v>8106</v>
      </c>
      <c r="F12973" t="s">
        <v>12276</v>
      </c>
      <c r="G12973">
        <v>89</v>
      </c>
      <c r="H12973">
        <v>96.75</v>
      </c>
      <c r="I12973">
        <v>96.74</v>
      </c>
      <c r="J12973">
        <v>0.01</v>
      </c>
    </row>
    <row r="12974" spans="1:10" x14ac:dyDescent="0.3">
      <c r="A12974" t="str">
        <f>HYPERLINK("https://us2.cloudbeds.com/connect/10074733072513#/reservations/31716243300504?display=MX69HEWJE&amp;reservation_id=31716243300504", "MX69HEWJE")</f>
        <v>MX69HEWJE</v>
      </c>
      <c r="B12974" t="s">
        <v>10</v>
      </c>
      <c r="C12974" t="s">
        <v>23</v>
      </c>
      <c r="D12974" t="str">
        <f>HYPERLINK("https://us2.cloudbeds.com/connect/10074733072513#/reservations/31716243300504?display=Elizabeth%20Padilla&amp;reservation_id=31716243300504&amp;guest_id=31716243300501", "Elizabeth Padilla")</f>
        <v>Elizabeth Padilla</v>
      </c>
      <c r="E12974" t="s">
        <v>12450</v>
      </c>
      <c r="F12974" t="s">
        <v>12017</v>
      </c>
      <c r="G12974">
        <v>378</v>
      </c>
      <c r="H12974">
        <v>410.9</v>
      </c>
      <c r="I12974">
        <v>410.89</v>
      </c>
      <c r="J12974">
        <v>0.01</v>
      </c>
    </row>
    <row r="12975" spans="1:10" x14ac:dyDescent="0.3">
      <c r="A12975" t="str">
        <f>HYPERLINK("https://us2.cloudbeds.com/connect/10074733072513#/reservations/31715419873473?display=MX5YG3U85&amp;reservation_id=31715419873473", "MX5YG3U85")</f>
        <v>MX5YG3U85</v>
      </c>
      <c r="B12975" t="s">
        <v>10</v>
      </c>
      <c r="C12975" t="s">
        <v>23</v>
      </c>
      <c r="D12975" t="str">
        <f>HYPERLINK("https://us2.cloudbeds.com/connect/10074733072513#/reservations/31715419873473?display=Adam%20Cotton&amp;reservation_id=31715419873473&amp;guest_id=31715409322144", "Adam Cotton")</f>
        <v>Adam Cotton</v>
      </c>
      <c r="E12975" t="s">
        <v>12451</v>
      </c>
      <c r="F12975" t="s">
        <v>12017</v>
      </c>
      <c r="G12975">
        <v>318</v>
      </c>
      <c r="H12975">
        <v>345.68</v>
      </c>
      <c r="I12975">
        <v>345.67</v>
      </c>
      <c r="J12975">
        <v>0.01</v>
      </c>
    </row>
    <row r="12976" spans="1:10" x14ac:dyDescent="0.3">
      <c r="A12976" t="str">
        <f>HYPERLINK("https://us2.cloudbeds.com/connect/10074733072513#/reservations/31715440828570?display=MX5M0Q0P3&amp;reservation_id=31715440828570", "MX5M0Q0P3")</f>
        <v>MX5M0Q0P3</v>
      </c>
      <c r="B12976" t="s">
        <v>10</v>
      </c>
      <c r="C12976" t="s">
        <v>23</v>
      </c>
      <c r="D12976" t="str">
        <f>HYPERLINK("https://us2.cloudbeds.com/connect/10074733072513#/reservations/31715440828570?display=Amber%20Stowman&amp;reservation_id=31715440828570&amp;guest_id=31715440824464", "Amber Stowman")</f>
        <v>Amber Stowman</v>
      </c>
      <c r="E12976" t="s">
        <v>12452</v>
      </c>
      <c r="F12976" t="s">
        <v>12017</v>
      </c>
      <c r="G12976">
        <v>159</v>
      </c>
      <c r="H12976">
        <v>172.84</v>
      </c>
      <c r="I12976">
        <v>172.83</v>
      </c>
      <c r="J12976">
        <v>0.01</v>
      </c>
    </row>
    <row r="12977" spans="1:10" x14ac:dyDescent="0.3">
      <c r="A12977" t="str">
        <f>HYPERLINK("https://us2.cloudbeds.com/connect/10074733072513#/reservations/31714665443562?display=MX526VQ4N&amp;reservation_id=31714665443562", "MX526VQ4N")</f>
        <v>MX526VQ4N</v>
      </c>
      <c r="B12977" t="s">
        <v>10</v>
      </c>
      <c r="C12977" t="s">
        <v>23</v>
      </c>
      <c r="D12977" t="str">
        <f>HYPERLINK("https://us2.cloudbeds.com/connect/10074733072513#/reservations/31714665443562?display=Robert%20Schuneman&amp;reservation_id=31714665443562&amp;guest_id=31714655473810", "Robert Schuneman")</f>
        <v>Robert Schuneman</v>
      </c>
      <c r="E12977" t="s">
        <v>12453</v>
      </c>
      <c r="F12977" t="s">
        <v>11281</v>
      </c>
      <c r="G12977">
        <v>219</v>
      </c>
      <c r="H12977">
        <v>238.06</v>
      </c>
      <c r="I12977">
        <v>238.05</v>
      </c>
      <c r="J12977">
        <v>0.01</v>
      </c>
    </row>
    <row r="12978" spans="1:10" x14ac:dyDescent="0.3">
      <c r="A12978" t="str">
        <f>HYPERLINK("https://us2.cloudbeds.com/connect/10074733072513#/reservations/31711015706787?display=MX27VDG1K&amp;reservation_id=31711015706787", "MX27VDG1K")</f>
        <v>MX27VDG1K</v>
      </c>
      <c r="B12978" t="s">
        <v>10</v>
      </c>
      <c r="C12978" t="s">
        <v>42</v>
      </c>
      <c r="D12978" t="str">
        <f>HYPERLINK("https://us2.cloudbeds.com/connect/10074733072513#/reservations/31711015706787?display=Jennifer%20Evavold&amp;reservation_id=31711015706787&amp;guest_id=31711015706772", "Jennifer Evavold")</f>
        <v>Jennifer Evavold</v>
      </c>
      <c r="E12978" t="s">
        <v>12221</v>
      </c>
      <c r="F12978" t="s">
        <v>10330</v>
      </c>
      <c r="G12978">
        <v>159</v>
      </c>
      <c r="H12978">
        <v>172.84</v>
      </c>
      <c r="I12978">
        <v>172.83</v>
      </c>
      <c r="J12978">
        <v>0.01</v>
      </c>
    </row>
    <row r="12979" spans="1:10" x14ac:dyDescent="0.3">
      <c r="A12979" t="str">
        <f>HYPERLINK("https://us2.cloudbeds.com/connect/10074733072513#/reservations/31714020008084?display=MX4XNNJZS&amp;reservation_id=31714020008084", "MX4XNNJZS")</f>
        <v>MX4XNNJZS</v>
      </c>
      <c r="B12979" t="s">
        <v>10</v>
      </c>
      <c r="C12979" t="s">
        <v>23</v>
      </c>
      <c r="D12979" t="str">
        <f>HYPERLINK("https://us2.cloudbeds.com/connect/10074733072513#/reservations/31714020008084?display=Jessica%20Golburg&amp;reservation_id=31714020008084&amp;guest_id=31714020003975", "Jessica Golburg")</f>
        <v>Jessica Golburg</v>
      </c>
      <c r="E12979" t="s">
        <v>12454</v>
      </c>
      <c r="F12979" t="s">
        <v>11087</v>
      </c>
      <c r="G12979">
        <v>189</v>
      </c>
      <c r="H12979">
        <v>205.45</v>
      </c>
      <c r="I12979">
        <v>205.44</v>
      </c>
      <c r="J12979">
        <v>0.01</v>
      </c>
    </row>
    <row r="12980" spans="1:10" x14ac:dyDescent="0.3">
      <c r="A12980" t="str">
        <f>HYPERLINK("https://us2.cloudbeds.com/connect/10074733072513#/reservations/31714904715433?display=MX58ANT6E&amp;reservation_id=31714904715433", "MX58ANT6E")</f>
        <v>MX58ANT6E</v>
      </c>
      <c r="B12980" t="s">
        <v>10</v>
      </c>
      <c r="C12980" t="s">
        <v>42</v>
      </c>
      <c r="D12980" t="str">
        <f>HYPERLINK("https://us2.cloudbeds.com/connect/10074733072513#/reservations/31714904715433?display=Cameron%20Vosmek&amp;reservation_id=31714904715433&amp;guest_id=31714886811865", "Cameron Vosmek")</f>
        <v>Cameron Vosmek</v>
      </c>
      <c r="E12980" t="s">
        <v>12455</v>
      </c>
      <c r="F12980" t="s">
        <v>12276</v>
      </c>
      <c r="G12980">
        <v>73</v>
      </c>
      <c r="H12980">
        <v>79.36</v>
      </c>
      <c r="I12980">
        <v>79.349999999999994</v>
      </c>
      <c r="J12980">
        <v>0.01</v>
      </c>
    </row>
    <row r="12981" spans="1:10" x14ac:dyDescent="0.3">
      <c r="A12981" t="str">
        <f>HYPERLINK("https://us2.cloudbeds.com/connect/10074733072513#/reservations/31715068756107?display=MX5CH1XDW&amp;reservation_id=31715068756107", "MX5CH1XDW")</f>
        <v>MX5CH1XDW</v>
      </c>
      <c r="B12981" t="s">
        <v>10</v>
      </c>
      <c r="C12981" t="s">
        <v>23</v>
      </c>
      <c r="D12981" t="str">
        <f>HYPERLINK("https://us2.cloudbeds.com/connect/10074733072513#/reservations/31715068756107?display=Michelle%20Shaffer&amp;reservation_id=31715068756107&amp;guest_id=31715058876670", "Michelle Shaffer")</f>
        <v>Michelle Shaffer</v>
      </c>
      <c r="E12981" t="s">
        <v>12456</v>
      </c>
      <c r="F12981" t="s">
        <v>12313</v>
      </c>
      <c r="G12981">
        <v>102.58</v>
      </c>
      <c r="H12981">
        <v>111.51</v>
      </c>
      <c r="I12981">
        <v>111.5</v>
      </c>
      <c r="J12981">
        <v>0.01</v>
      </c>
    </row>
    <row r="12982" spans="1:10" x14ac:dyDescent="0.3">
      <c r="A12982" t="str">
        <f>HYPERLINK("https://us2.cloudbeds.com/connect/10074733072513#/reservations/31711323406477?display=MX2FQSMXY&amp;reservation_id=31711323406477", "MX2FQSMXY")</f>
        <v>MX2FQSMXY</v>
      </c>
      <c r="B12982" t="s">
        <v>10</v>
      </c>
      <c r="C12982" t="s">
        <v>42</v>
      </c>
      <c r="D12982" t="str">
        <f>HYPERLINK("https://us2.cloudbeds.com/connect/10074733072513#/reservations/31711323406477?display=Jennifer%20Bietz&amp;reservation_id=31711323406477&amp;guest_id=31711312982252", "Jennifer Bietz")</f>
        <v>Jennifer Bietz</v>
      </c>
      <c r="E12982" t="s">
        <v>12457</v>
      </c>
      <c r="F12982" t="s">
        <v>12137</v>
      </c>
      <c r="G12982">
        <v>378</v>
      </c>
      <c r="H12982">
        <v>410.9</v>
      </c>
      <c r="I12982">
        <v>410.89</v>
      </c>
      <c r="J12982">
        <v>0.01</v>
      </c>
    </row>
    <row r="12983" spans="1:10" x14ac:dyDescent="0.3">
      <c r="A12983" t="str">
        <f>HYPERLINK("https://us2.cloudbeds.com/connect/10074733072513#/reservations/31712776577230?display=MX3JV79W0&amp;reservation_id=31712776577230", "MX3JV79W0")</f>
        <v>MX3JV79W0</v>
      </c>
      <c r="B12983" t="s">
        <v>10</v>
      </c>
      <c r="C12983" t="s">
        <v>42</v>
      </c>
      <c r="D12983" t="str">
        <f>HYPERLINK("https://us2.cloudbeds.com/connect/10074733072513#/reservations/31712776577230?display=Mary%20Beth%20Herrboldt&amp;reservation_id=31712776577230&amp;guest_id=31712769556706", "Mary Beth Herrboldt")</f>
        <v>Mary Beth Herrboldt</v>
      </c>
      <c r="E12983" t="s">
        <v>12458</v>
      </c>
      <c r="F12983" t="s">
        <v>12137</v>
      </c>
      <c r="G12983">
        <v>189</v>
      </c>
      <c r="H12983">
        <v>205.45</v>
      </c>
      <c r="I12983">
        <v>205.44</v>
      </c>
      <c r="J12983">
        <v>0.01</v>
      </c>
    </row>
    <row r="12984" spans="1:10" x14ac:dyDescent="0.3">
      <c r="A12984" t="str">
        <f>HYPERLINK("https://us2.cloudbeds.com/connect/10074733072513#/reservations/31714907574527?display=MX58D4EKM&amp;reservation_id=31714907574527", "MX58D4EKM")</f>
        <v>MX58D4EKM</v>
      </c>
      <c r="B12984" t="s">
        <v>10</v>
      </c>
      <c r="C12984" t="s">
        <v>42</v>
      </c>
      <c r="D12984" t="str">
        <f>HYPERLINK("https://us2.cloudbeds.com/connect/10074733072513#/reservations/31714907574527?display=Stephanie%20Kunkel&amp;reservation_id=31714907574527&amp;guest_id=31714907574525", "Stephanie Kunkel")</f>
        <v>Stephanie Kunkel</v>
      </c>
      <c r="E12984" t="s">
        <v>12364</v>
      </c>
      <c r="F12984" t="s">
        <v>12276</v>
      </c>
      <c r="G12984">
        <v>73</v>
      </c>
      <c r="H12984">
        <v>79.36</v>
      </c>
      <c r="I12984">
        <v>79.349999999999994</v>
      </c>
      <c r="J12984">
        <v>0.01</v>
      </c>
    </row>
    <row r="12985" spans="1:10" x14ac:dyDescent="0.3">
      <c r="A12985" t="str">
        <f>HYPERLINK("https://us2.cloudbeds.com/connect/10074733072513#/reservations/31714907070661?display=MX58CNDV0&amp;reservation_id=31714907070661", "MX58CNDV0")</f>
        <v>MX58CNDV0</v>
      </c>
      <c r="B12985" t="s">
        <v>10</v>
      </c>
      <c r="C12985" t="s">
        <v>42</v>
      </c>
      <c r="D12985" t="str">
        <f>HYPERLINK("https://us2.cloudbeds.com/connect/10074733072513#/reservations/31714907070661?display=Brayden%20Thurman&amp;reservation_id=31714907070661&amp;guest_id=31714901610703", "Brayden Thurman")</f>
        <v>Brayden Thurman</v>
      </c>
      <c r="E12985" t="s">
        <v>12459</v>
      </c>
      <c r="F12985" t="s">
        <v>12276</v>
      </c>
      <c r="G12985">
        <v>139</v>
      </c>
      <c r="H12985">
        <v>151.1</v>
      </c>
      <c r="I12985">
        <v>151.09</v>
      </c>
      <c r="J12985">
        <v>0.01</v>
      </c>
    </row>
    <row r="12986" spans="1:10" x14ac:dyDescent="0.3">
      <c r="A12986" t="str">
        <f>HYPERLINK("https://us2.cloudbeds.com/connect/10074733072513#/reservations/31715787657369?display=MX5UT81GN&amp;reservation_id=31715787657369", "MX5UT81GN")</f>
        <v>MX5UT81GN</v>
      </c>
      <c r="B12986" t="s">
        <v>10</v>
      </c>
      <c r="C12986" t="s">
        <v>23</v>
      </c>
      <c r="D12986" t="str">
        <f>HYPERLINK("https://us2.cloudbeds.com/connect/10074733072513#/reservations/31715787657369?display=Cameron%20Magura&amp;reservation_id=31715787657369&amp;guest_id=31715787653267", "Cameron Magura")</f>
        <v>Cameron Magura</v>
      </c>
      <c r="E12986" t="s">
        <v>12460</v>
      </c>
      <c r="F12986" t="s">
        <v>12215</v>
      </c>
      <c r="G12986">
        <v>139</v>
      </c>
      <c r="H12986">
        <v>151.1</v>
      </c>
      <c r="I12986">
        <v>151.09</v>
      </c>
      <c r="J12986">
        <v>0.01</v>
      </c>
    </row>
    <row r="12987" spans="1:10" x14ac:dyDescent="0.3">
      <c r="A12987" t="str">
        <f>HYPERLINK("https://us2.cloudbeds.com/connect/10074733072513#/reservations/31716279951550?display=MX6AFBS96&amp;reservation_id=31716279951550", "MX6AFBS96")</f>
        <v>MX6AFBS96</v>
      </c>
      <c r="B12987" t="s">
        <v>10</v>
      </c>
      <c r="C12987" t="s">
        <v>23</v>
      </c>
      <c r="D12987" t="str">
        <f>HYPERLINK("https://us2.cloudbeds.com/connect/10074733072513#/reservations/31716279951550?display=Andrea%20Hernandez&amp;reservation_id=31716279951550&amp;guest_id=31716279951547", "Andrea Hernandez")</f>
        <v>Andrea Hernandez</v>
      </c>
      <c r="E12987" t="s">
        <v>12461</v>
      </c>
      <c r="F12987" t="s">
        <v>12017</v>
      </c>
      <c r="G12987">
        <v>159</v>
      </c>
      <c r="H12987">
        <v>172.84</v>
      </c>
      <c r="I12987">
        <v>172.83</v>
      </c>
      <c r="J12987">
        <v>0.01</v>
      </c>
    </row>
    <row r="12988" spans="1:10" x14ac:dyDescent="0.3">
      <c r="A12988" t="str">
        <f>HYPERLINK("https://us2.cloudbeds.com/connect/10074733072513#/reservations/31715886088419?display=MX60D814Q&amp;reservation_id=31715886088419", "MX60D814Q")</f>
        <v>MX60D814Q</v>
      </c>
      <c r="B12988" t="s">
        <v>10</v>
      </c>
      <c r="C12988" t="s">
        <v>23</v>
      </c>
      <c r="D12988" t="str">
        <f>HYPERLINK("https://us2.cloudbeds.com/connect/10074733072513#/reservations/31715886088419?display=Kimberly%20Mcdaniel&amp;reservation_id=31715886088419&amp;guest_id=31715876028551", "Kimberly Mcdaniel")</f>
        <v>Kimberly Mcdaniel</v>
      </c>
      <c r="E12988" t="s">
        <v>12462</v>
      </c>
      <c r="F12988" t="s">
        <v>12407</v>
      </c>
      <c r="G12988">
        <v>331.2</v>
      </c>
      <c r="H12988">
        <v>360.02</v>
      </c>
      <c r="I12988">
        <v>360.01</v>
      </c>
      <c r="J12988">
        <v>0.01</v>
      </c>
    </row>
    <row r="12989" spans="1:10" x14ac:dyDescent="0.3">
      <c r="A12989" t="str">
        <f>HYPERLINK("https://us2.cloudbeds.com/connect/10074733072513#/reservations/31715693768885?display=MX5SG2F64&amp;reservation_id=31715693768885", "MX5SG2F64")</f>
        <v>MX5SG2F64</v>
      </c>
      <c r="B12989" t="s">
        <v>10</v>
      </c>
      <c r="C12989" t="s">
        <v>42</v>
      </c>
      <c r="D12989" t="str">
        <f>HYPERLINK("https://us2.cloudbeds.com/connect/10074733072513#/reservations/31715693768885?display=Cari%20Even&amp;reservation_id=31715693768885&amp;guest_id=31715685667025", "Cari Even")</f>
        <v>Cari Even</v>
      </c>
      <c r="E12989" t="s">
        <v>12463</v>
      </c>
      <c r="F12989" t="s">
        <v>11281</v>
      </c>
      <c r="G12989">
        <v>189</v>
      </c>
      <c r="H12989">
        <v>205.45</v>
      </c>
      <c r="I12989">
        <v>205.44</v>
      </c>
      <c r="J12989">
        <v>0.01</v>
      </c>
    </row>
    <row r="12990" spans="1:10" x14ac:dyDescent="0.3">
      <c r="A12990" t="str">
        <f>HYPERLINK("https://us2.cloudbeds.com/connect/10074733072513#/reservations/31714415706307?display=MX4SRCG03&amp;reservation_id=31714415706307", "MX4SRCG03")</f>
        <v>MX4SRCG03</v>
      </c>
      <c r="B12990" t="s">
        <v>10</v>
      </c>
      <c r="C12990" t="s">
        <v>23</v>
      </c>
      <c r="D12990" t="str">
        <f>HYPERLINK("https://us2.cloudbeds.com/connect/10074733072513#/reservations/31714415706307?display=Katherine%20Schulte&amp;reservation_id=31714415706307&amp;guest_id=31714415702213", "Katherine Schulte")</f>
        <v>Katherine Schulte</v>
      </c>
      <c r="E12990" t="s">
        <v>12464</v>
      </c>
      <c r="F12990" t="s">
        <v>11281</v>
      </c>
      <c r="G12990">
        <v>169</v>
      </c>
      <c r="H12990">
        <v>183.71</v>
      </c>
      <c r="I12990">
        <v>183.7</v>
      </c>
      <c r="J12990">
        <v>0.01</v>
      </c>
    </row>
    <row r="12991" spans="1:10" x14ac:dyDescent="0.3">
      <c r="A12991" t="str">
        <f>HYPERLINK("https://us2.cloudbeds.com/connect/10074733072513#/reservations/31713756913820?display=MX4BWSK7D&amp;reservation_id=31713756913820", "MX4BWSK7D")</f>
        <v>MX4BWSK7D</v>
      </c>
      <c r="B12991" t="s">
        <v>10</v>
      </c>
      <c r="C12991" t="s">
        <v>42</v>
      </c>
      <c r="D12991" t="str">
        <f>HYPERLINK("https://us2.cloudbeds.com/connect/10074733072513#/reservations/31713756913820?display=Keith%20Anderson&amp;reservation_id=31713756913820&amp;guest_id=17963406844038", "Keith Anderson")</f>
        <v>Keith Anderson</v>
      </c>
      <c r="E12991" t="s">
        <v>8040</v>
      </c>
      <c r="F12991" t="s">
        <v>12352</v>
      </c>
      <c r="G12991">
        <v>336</v>
      </c>
      <c r="H12991">
        <v>365.24</v>
      </c>
      <c r="I12991">
        <v>365.23</v>
      </c>
      <c r="J12991">
        <v>0.01</v>
      </c>
    </row>
    <row r="12992" spans="1:10" x14ac:dyDescent="0.3">
      <c r="A12992" t="str">
        <f>HYPERLINK("https://us2.cloudbeds.com/connect/10074733072513#/reservations/31717365751979?display=MX756US6G&amp;reservation_id=31717365751979", "MX756US6G")</f>
        <v>MX756US6G</v>
      </c>
      <c r="B12992" t="s">
        <v>10</v>
      </c>
      <c r="C12992" t="s">
        <v>42</v>
      </c>
      <c r="D12992" t="str">
        <f>HYPERLINK("https://us2.cloudbeds.com/connect/10074733072513#/reservations/31717365751979?display=Greg%20Brusven&amp;reservation_id=31717365751979&amp;guest_id=17963408818374", "Greg Brusven")</f>
        <v>Greg Brusven</v>
      </c>
      <c r="E12992" t="s">
        <v>2398</v>
      </c>
      <c r="F12992" t="s">
        <v>12465</v>
      </c>
      <c r="G12992">
        <v>149</v>
      </c>
      <c r="H12992">
        <v>161.97</v>
      </c>
      <c r="I12992">
        <v>161.96</v>
      </c>
      <c r="J12992">
        <v>0.01</v>
      </c>
    </row>
    <row r="12993" spans="1:10" x14ac:dyDescent="0.3">
      <c r="A12993" t="str">
        <f>HYPERLINK("https://us2.cloudbeds.com/connect/10074733072513#/reservations/31715198013594?display=MX5FR1B5H&amp;reservation_id=31715198013594", "MX5FR1B5H")</f>
        <v>MX5FR1B5H</v>
      </c>
      <c r="B12993" t="s">
        <v>10</v>
      </c>
      <c r="C12993" t="s">
        <v>23</v>
      </c>
      <c r="D12993" t="str">
        <f>HYPERLINK("https://us2.cloudbeds.com/connect/10074733072513#/reservations/31715198013594?display=Brandon%20Harland&amp;reservation_id=31715198013594&amp;guest_id=31715175825600", "Brandon Harland")</f>
        <v>Brandon Harland</v>
      </c>
      <c r="E12993" t="s">
        <v>12466</v>
      </c>
      <c r="F12993" t="s">
        <v>12467</v>
      </c>
      <c r="G12993">
        <v>278</v>
      </c>
      <c r="H12993">
        <v>302.2</v>
      </c>
      <c r="I12993">
        <v>302.19</v>
      </c>
      <c r="J12993">
        <v>0.01</v>
      </c>
    </row>
    <row r="12994" spans="1:10" x14ac:dyDescent="0.3">
      <c r="A12994" t="str">
        <f>HYPERLINK("https://us2.cloudbeds.com/connect/10074733072513#/reservations/31717611765910?display=MX7BGCXA3&amp;reservation_id=31717611765910", "MX7BGCXA3")</f>
        <v>MX7BGCXA3</v>
      </c>
      <c r="B12994" t="s">
        <v>10</v>
      </c>
      <c r="C12994" t="s">
        <v>42</v>
      </c>
      <c r="D12994" t="str">
        <f>HYPERLINK("https://us2.cloudbeds.com/connect/10074733072513#/reservations/31717611765910?display=Karissa%20Rutherford&amp;reservation_id=31717611765910&amp;guest_id=31717611765905", "Karissa Rutherford")</f>
        <v>Karissa Rutherford</v>
      </c>
      <c r="E12994" t="s">
        <v>12468</v>
      </c>
      <c r="F12994" t="s">
        <v>12469</v>
      </c>
      <c r="G12994">
        <v>109</v>
      </c>
      <c r="H12994">
        <v>118.49</v>
      </c>
      <c r="I12994">
        <v>118.48</v>
      </c>
      <c r="J12994">
        <v>0.01</v>
      </c>
    </row>
    <row r="12995" spans="1:10" x14ac:dyDescent="0.3">
      <c r="A12995" t="str">
        <f>HYPERLINK("https://us2.cloudbeds.com/connect/10074733072513#/reservations/31717790171286?display=MX7G1QV8K&amp;reservation_id=31717790171286", "MX7G1QV8K")</f>
        <v>MX7G1QV8K</v>
      </c>
      <c r="B12995" t="s">
        <v>10</v>
      </c>
      <c r="C12995" t="s">
        <v>23</v>
      </c>
      <c r="D12995" t="str">
        <f>HYPERLINK("https://us2.cloudbeds.com/connect/10074733072513#/reservations/31717790171286?display=Joel%20Bommersbach&amp;reservation_id=31717790171286&amp;guest_id=31717790171284", "Joel Bommersbach")</f>
        <v>Joel Bommersbach</v>
      </c>
      <c r="E12995" t="s">
        <v>12471</v>
      </c>
      <c r="F12995" t="s">
        <v>12469</v>
      </c>
      <c r="G12995">
        <v>109</v>
      </c>
      <c r="H12995">
        <v>118.49</v>
      </c>
      <c r="I12995">
        <v>118.48</v>
      </c>
      <c r="J12995">
        <v>0.01</v>
      </c>
    </row>
    <row r="12996" spans="1:10" x14ac:dyDescent="0.3">
      <c r="A12996" t="str">
        <f>HYPERLINK("https://us2.cloudbeds.com/connect/10074733072513#/reservations/31714915696793?display=MX58JWF2V&amp;reservation_id=31714915696793", "MX58JWF2V")</f>
        <v>MX58JWF2V</v>
      </c>
      <c r="B12996" t="s">
        <v>10</v>
      </c>
      <c r="C12996" t="s">
        <v>42</v>
      </c>
      <c r="D12996" t="str">
        <f>HYPERLINK("https://us2.cloudbeds.com/connect/10074733072513#/reservations/31714915696793?display=Kimberly%20Sanchez&amp;reservation_id=31714915696793&amp;guest_id=31714907074754", "Kimberly Sanchez")</f>
        <v>Kimberly Sanchez</v>
      </c>
      <c r="E12996" t="s">
        <v>11794</v>
      </c>
      <c r="F12996" t="s">
        <v>12276</v>
      </c>
      <c r="G12996">
        <v>73</v>
      </c>
      <c r="H12996">
        <v>79.36</v>
      </c>
      <c r="I12996">
        <v>79.349999999999994</v>
      </c>
      <c r="J12996">
        <v>0.01</v>
      </c>
    </row>
    <row r="12997" spans="1:10" x14ac:dyDescent="0.3">
      <c r="A12997" t="str">
        <f>HYPERLINK("https://us2.cloudbeds.com/connect/10074733072513#/reservations/31714858787040?display=MX574WSBW&amp;reservation_id=31714858787040", "MX574WSBW")</f>
        <v>MX574WSBW</v>
      </c>
      <c r="B12997" t="s">
        <v>10</v>
      </c>
      <c r="C12997" t="s">
        <v>42</v>
      </c>
      <c r="D12997" t="str">
        <f>HYPERLINK("https://us2.cloudbeds.com/connect/10074733072513#/reservations/31714858787040?display=Jordan%20Baker&amp;reservation_id=31714858787040&amp;guest_id=31714858787035", "Jordan Baker")</f>
        <v>Jordan Baker</v>
      </c>
      <c r="E12997" t="s">
        <v>12473</v>
      </c>
      <c r="F12997" t="s">
        <v>12276</v>
      </c>
      <c r="G12997">
        <v>109</v>
      </c>
      <c r="H12997">
        <v>118.49</v>
      </c>
      <c r="I12997">
        <v>118.48</v>
      </c>
      <c r="J12997">
        <v>0.01</v>
      </c>
    </row>
    <row r="12998" spans="1:10" x14ac:dyDescent="0.3">
      <c r="A12998" t="str">
        <f>HYPERLINK("https://us2.cloudbeds.com/connect/10074733072513#/reservations/31714868941007?display=MX57DXDFV&amp;reservation_id=31714868941007", "MX57DXDFV")</f>
        <v>MX57DXDFV</v>
      </c>
      <c r="B12998" t="s">
        <v>10</v>
      </c>
      <c r="C12998" t="s">
        <v>42</v>
      </c>
      <c r="D12998" t="str">
        <f>HYPERLINK("https://us2.cloudbeds.com/connect/10074733072513#/reservations/31714868941007?display=Amanda%20Becker&amp;reservation_id=31714868941007&amp;guest_id=31714096169090", "Amanda Becker")</f>
        <v>Amanda Becker</v>
      </c>
      <c r="E12998" t="s">
        <v>12474</v>
      </c>
      <c r="F12998" t="s">
        <v>12276</v>
      </c>
      <c r="G12998">
        <v>109</v>
      </c>
      <c r="H12998">
        <v>118.49</v>
      </c>
      <c r="I12998">
        <v>118.48</v>
      </c>
      <c r="J12998">
        <v>0.01</v>
      </c>
    </row>
    <row r="12999" spans="1:10" x14ac:dyDescent="0.3">
      <c r="A12999" t="str">
        <f>HYPERLINK("https://us2.cloudbeds.com/connect/10074733072513#/reservations/31717771862176?display=MX7FJCFG3&amp;reservation_id=31717771862176", "MX7FJCFG3")</f>
        <v>MX7FJCFG3</v>
      </c>
      <c r="B12999" t="s">
        <v>10</v>
      </c>
      <c r="C12999" t="s">
        <v>121</v>
      </c>
      <c r="D12999" t="str">
        <f>HYPERLINK("https://us2.cloudbeds.com/connect/10074733072513#/reservations/31717771862176?display=Travis%20Hulstein&amp;reservation_id=31717771862176&amp;guest_id=31693922099367", "Travis Hulstein")</f>
        <v>Travis Hulstein</v>
      </c>
      <c r="E12999" t="s">
        <v>9082</v>
      </c>
      <c r="F12999" t="s">
        <v>12469</v>
      </c>
      <c r="G12999">
        <v>109</v>
      </c>
      <c r="H12999">
        <v>118.49</v>
      </c>
      <c r="I12999">
        <v>118.48</v>
      </c>
      <c r="J12999">
        <v>0.01</v>
      </c>
    </row>
    <row r="13000" spans="1:10" x14ac:dyDescent="0.3">
      <c r="A13000" t="str">
        <f>HYPERLINK("https://us2.cloudbeds.com/connect/10074733072513#/reservations/31717762998478?display=MX7FBTR66&amp;reservation_id=31717762998478", "MX7FBTR66")</f>
        <v>MX7FBTR66</v>
      </c>
      <c r="B13000" t="s">
        <v>10</v>
      </c>
      <c r="C13000" t="s">
        <v>42</v>
      </c>
      <c r="D13000" t="str">
        <f>HYPERLINK("https://us2.cloudbeds.com/connect/10074733072513#/reservations/31717762998478?display=Vance%20Mettlen&amp;reservation_id=31717762998478&amp;guest_id=31717762998473", "Vance Mettlen")</f>
        <v>Vance Mettlen</v>
      </c>
      <c r="E13000" t="s">
        <v>12476</v>
      </c>
      <c r="F13000" t="s">
        <v>12469</v>
      </c>
      <c r="G13000">
        <v>129</v>
      </c>
      <c r="H13000">
        <v>140.22999999999999</v>
      </c>
      <c r="I13000">
        <v>140.22</v>
      </c>
      <c r="J13000">
        <v>0.01</v>
      </c>
    </row>
    <row r="13001" spans="1:10" x14ac:dyDescent="0.3">
      <c r="A13001" t="str">
        <f>HYPERLINK("https://us2.cloudbeds.com/connect/10074733072513#/reservations/31717593559253?display=MX7B10UK7&amp;reservation_id=31717593559253", "MX7B10UK7")</f>
        <v>MX7B10UK7</v>
      </c>
      <c r="B13001" t="s">
        <v>10</v>
      </c>
      <c r="C13001" t="s">
        <v>42</v>
      </c>
      <c r="D13001" t="str">
        <f>HYPERLINK("https://us2.cloudbeds.com/connect/10074733072513#/reservations/31717593559253?display=Charles%20Potter&amp;reservation_id=31717593559253&amp;guest_id=31717593559251", "Charles Potter")</f>
        <v>Charles Potter</v>
      </c>
      <c r="E13001" t="s">
        <v>12477</v>
      </c>
      <c r="F13001" t="s">
        <v>12478</v>
      </c>
      <c r="G13001">
        <v>64.5</v>
      </c>
      <c r="H13001">
        <v>70.12</v>
      </c>
      <c r="I13001">
        <v>70.11</v>
      </c>
      <c r="J13001">
        <v>0.01</v>
      </c>
    </row>
    <row r="13002" spans="1:10" x14ac:dyDescent="0.3">
      <c r="A13002" t="str">
        <f>HYPERLINK("https://us2.cloudbeds.com/connect/10074733072513#/reservations/31713796001971?display=MX4CWR9RR&amp;reservation_id=31713796001971", "MX4CWR9RR")</f>
        <v>MX4CWR9RR</v>
      </c>
      <c r="B13002" t="s">
        <v>10</v>
      </c>
      <c r="C13002" t="s">
        <v>42</v>
      </c>
      <c r="D13002" t="str">
        <f>HYPERLINK("https://us2.cloudbeds.com/connect/10074733072513#/reservations/31713796001971?display=Amy%20Vanderpol&amp;reservation_id=31713796001971&amp;guest_id=31713796001968", "Amy Vanderpol")</f>
        <v>Amy Vanderpol</v>
      </c>
      <c r="E13002" t="s">
        <v>12480</v>
      </c>
      <c r="F13002" t="s">
        <v>11533</v>
      </c>
      <c r="G13002">
        <v>149</v>
      </c>
      <c r="H13002">
        <v>161.97</v>
      </c>
      <c r="I13002">
        <v>161.96</v>
      </c>
      <c r="J13002">
        <v>0.01</v>
      </c>
    </row>
    <row r="13003" spans="1:10" x14ac:dyDescent="0.3">
      <c r="A13003" t="str">
        <f>HYPERLINK("https://us2.cloudbeds.com/connect/10074733072513#/reservations/31717428683002?display=MX76R0036&amp;reservation_id=31717428683002", "MX76R0036")</f>
        <v>MX76R0036</v>
      </c>
      <c r="B13003" t="s">
        <v>10</v>
      </c>
      <c r="C13003" t="s">
        <v>121</v>
      </c>
      <c r="D13003" t="str">
        <f>HYPERLINK("https://us2.cloudbeds.com/connect/10074733072513#/reservations/31717428683002?display=Justin%20Kettwig&amp;reservation_id=31717428683002&amp;guest_id=31717428682996", "Justin Kettwig")</f>
        <v>Justin Kettwig</v>
      </c>
      <c r="E13003" t="s">
        <v>7480</v>
      </c>
      <c r="F13003" t="s">
        <v>12478</v>
      </c>
      <c r="G13003">
        <v>109</v>
      </c>
      <c r="H13003">
        <v>118.49</v>
      </c>
      <c r="I13003">
        <v>118.48</v>
      </c>
      <c r="J13003">
        <v>0.01</v>
      </c>
    </row>
    <row r="13004" spans="1:10" x14ac:dyDescent="0.3">
      <c r="A13004" t="str">
        <f>HYPERLINK("https://us2.cloudbeds.com/connect/10074733072513#/reservations/31715231592580?display=MX5GMBNSX&amp;reservation_id=31715231592580", "MX5GMBNSX")</f>
        <v>MX5GMBNSX</v>
      </c>
      <c r="B13004" t="s">
        <v>10</v>
      </c>
      <c r="C13004" t="s">
        <v>23</v>
      </c>
      <c r="D13004" t="str">
        <f>HYPERLINK("https://us2.cloudbeds.com/connect/10074733072513#/reservations/31715231592580?display=Kathy%20Kirkeby&amp;reservation_id=31715231592580&amp;guest_id=31715231588495", "Kathy Kirkeby")</f>
        <v>Kathy Kirkeby</v>
      </c>
      <c r="E13004" t="s">
        <v>12483</v>
      </c>
      <c r="F13004" t="s">
        <v>12467</v>
      </c>
      <c r="G13004">
        <v>102.58</v>
      </c>
      <c r="H13004">
        <v>111.51</v>
      </c>
      <c r="I13004">
        <v>111.5</v>
      </c>
      <c r="J13004">
        <v>0.01</v>
      </c>
    </row>
    <row r="13005" spans="1:10" x14ac:dyDescent="0.3">
      <c r="A13005" t="str">
        <f>HYPERLINK("https://us2.cloudbeds.com/connect/10074733072513#/reservations/31715839344835?display=MX5W6RAZX&amp;reservation_id=31715839344835", "MX5W6RAZX")</f>
        <v>MX5W6RAZX</v>
      </c>
      <c r="B13005" t="s">
        <v>10</v>
      </c>
      <c r="C13005" t="s">
        <v>42</v>
      </c>
      <c r="D13005" t="str">
        <f>HYPERLINK("https://us2.cloudbeds.com/connect/10074733072513#/reservations/31715839344835?display=Kellen%20Johnson&amp;reservation_id=31715839344835&amp;guest_id=31715831181467", "Kellen Johnson")</f>
        <v>Kellen Johnson</v>
      </c>
      <c r="E13005" t="s">
        <v>12484</v>
      </c>
      <c r="F13005" t="s">
        <v>11281</v>
      </c>
      <c r="G13005">
        <v>179</v>
      </c>
      <c r="H13005">
        <v>194.58</v>
      </c>
      <c r="I13005">
        <v>194.57</v>
      </c>
      <c r="J13005">
        <v>0.01</v>
      </c>
    </row>
    <row r="13006" spans="1:10" x14ac:dyDescent="0.3">
      <c r="A13006" t="str">
        <f>HYPERLINK("https://us2.cloudbeds.com/connect/10074733072513#/reservations/31712193777902?display=MX351Q1NA&amp;reservation_id=31712193777902", "MX351Q1NA")</f>
        <v>MX351Q1NA</v>
      </c>
      <c r="B13006" t="s">
        <v>10</v>
      </c>
      <c r="C13006" t="s">
        <v>42</v>
      </c>
      <c r="D13006" t="str">
        <f>HYPERLINK("https://us2.cloudbeds.com/connect/10074733072513#/reservations/31712193777902?display=Kathryn%20Fuhrer&amp;reservation_id=31712193777902&amp;guest_id=31712193777899", "Kathryn Fuhrer")</f>
        <v>Kathryn Fuhrer</v>
      </c>
      <c r="E13006" t="s">
        <v>12485</v>
      </c>
      <c r="F13006" t="s">
        <v>12137</v>
      </c>
      <c r="G13006">
        <v>318</v>
      </c>
      <c r="H13006">
        <v>345.68</v>
      </c>
      <c r="I13006">
        <v>345.67</v>
      </c>
      <c r="J13006">
        <v>0.01</v>
      </c>
    </row>
    <row r="13007" spans="1:10" x14ac:dyDescent="0.3">
      <c r="A13007" t="str">
        <f>HYPERLINK("https://us2.cloudbeds.com/connect/10074733072513#/reservations/31717313687708?display=MX73T12VA&amp;reservation_id=31717313687708", "MX73T12VA")</f>
        <v>MX73T12VA</v>
      </c>
      <c r="B13007" t="s">
        <v>10</v>
      </c>
      <c r="C13007" t="s">
        <v>42</v>
      </c>
      <c r="D13007" t="str">
        <f>HYPERLINK("https://us2.cloudbeds.com/connect/10074733072513#/reservations/31717313687708?display=Gene%20Westerbuhr&amp;reservation_id=31717313687708&amp;guest_id=31702436380876", "Gene Westerbuhr")</f>
        <v>Gene Westerbuhr</v>
      </c>
      <c r="E13007" t="s">
        <v>11352</v>
      </c>
      <c r="F13007" t="s">
        <v>12407</v>
      </c>
      <c r="G13007">
        <v>89</v>
      </c>
      <c r="H13007">
        <v>96.75</v>
      </c>
      <c r="I13007">
        <v>96.74</v>
      </c>
      <c r="J13007">
        <v>0.01</v>
      </c>
    </row>
    <row r="13008" spans="1:10" x14ac:dyDescent="0.3">
      <c r="A13008" t="str">
        <f>HYPERLINK("https://us2.cloudbeds.com/connect/10074733072513#/reservations/31717570261246?display=MX7AECKM0&amp;reservation_id=31717570261246", "MX7AECKM0")</f>
        <v>MX7AECKM0</v>
      </c>
      <c r="B13008" t="s">
        <v>10</v>
      </c>
      <c r="C13008" t="s">
        <v>42</v>
      </c>
      <c r="D13008" t="str">
        <f>HYPERLINK("https://us2.cloudbeds.com/connect/10074733072513#/reservations/31717570261246?display=Jake%20Wolf&amp;reservation_id=31717570261246&amp;guest_id=31717549760674", "Jake Wolf")</f>
        <v>Jake Wolf</v>
      </c>
      <c r="E13008" t="s">
        <v>12486</v>
      </c>
      <c r="F13008" t="s">
        <v>12371</v>
      </c>
      <c r="G13008">
        <v>198</v>
      </c>
      <c r="H13008">
        <v>215.24</v>
      </c>
      <c r="I13008">
        <v>215.23</v>
      </c>
      <c r="J13008">
        <v>0.01</v>
      </c>
    </row>
    <row r="13009" spans="1:10" x14ac:dyDescent="0.3">
      <c r="A13009" t="str">
        <f>HYPERLINK("https://us2.cloudbeds.com/connect/10074733072513#/reservations/31717420314790?display=MX76JV4Q0&amp;reservation_id=31717420314790", "MX76JV4Q0")</f>
        <v>MX76JV4Q0</v>
      </c>
      <c r="B13009" t="s">
        <v>10</v>
      </c>
      <c r="C13009" t="s">
        <v>121</v>
      </c>
      <c r="D13009" t="str">
        <f>HYPERLINK("https://us2.cloudbeds.com/connect/10074733072513#/reservations/31717420314790?display=Juan%20Gonzales%20Hernandez&amp;reservation_id=31717420314790&amp;guest_id=31717420314787", "Juan Gonzales Hernandez")</f>
        <v>Juan Gonzales Hernandez</v>
      </c>
      <c r="E13009" t="s">
        <v>12487</v>
      </c>
      <c r="F13009" t="s">
        <v>12465</v>
      </c>
      <c r="G13009">
        <v>109</v>
      </c>
      <c r="H13009">
        <v>118.49</v>
      </c>
      <c r="I13009">
        <v>118.48</v>
      </c>
      <c r="J13009">
        <v>0.01</v>
      </c>
    </row>
    <row r="13010" spans="1:10" x14ac:dyDescent="0.3">
      <c r="A13010" t="str">
        <f>HYPERLINK("https://us2.cloudbeds.com/connect/10074733072513#/reservations/31700783055048?display=MHRAFVSKT&amp;reservation_id=31700783055048", "MHRAFVSKT")</f>
        <v>MHRAFVSKT</v>
      </c>
      <c r="B13010" t="s">
        <v>10</v>
      </c>
      <c r="C13010" t="s">
        <v>42</v>
      </c>
      <c r="D13010" t="str">
        <f>HYPERLINK("https://us2.cloudbeds.com/connect/10074733072513#/reservations/31700783055048?display=Rhonda%20Greenfield&amp;reservation_id=31700783055048&amp;guest_id=31700767879392", "Rhonda Greenfield")</f>
        <v>Rhonda Greenfield</v>
      </c>
      <c r="E13010" t="s">
        <v>12488</v>
      </c>
      <c r="F13010" t="s">
        <v>11134</v>
      </c>
      <c r="G13010">
        <v>358</v>
      </c>
      <c r="H13010">
        <v>389.16</v>
      </c>
      <c r="I13010">
        <v>389.15</v>
      </c>
      <c r="J13010">
        <v>0.01</v>
      </c>
    </row>
    <row r="13011" spans="1:10" x14ac:dyDescent="0.3">
      <c r="A13011" t="str">
        <f>HYPERLINK("https://us2.cloudbeds.com/connect/10074733072513#/reservations/31717402636446?display=MX765177K&amp;reservation_id=31717402636446", "MX765177K")</f>
        <v>MX765177K</v>
      </c>
      <c r="B13011" t="s">
        <v>10</v>
      </c>
      <c r="C13011" t="s">
        <v>23</v>
      </c>
      <c r="D13011" t="str">
        <f>HYPERLINK("https://us2.cloudbeds.com/connect/10074733072513#/reservations/31717402636446?display=Justin%20Lisko&amp;reservation_id=31717402636446&amp;guest_id=31717402636443", "Justin Lisko")</f>
        <v>Justin Lisko</v>
      </c>
      <c r="E13011" t="s">
        <v>12489</v>
      </c>
      <c r="F13011" t="s">
        <v>12478</v>
      </c>
      <c r="G13011">
        <v>102.58</v>
      </c>
      <c r="H13011">
        <v>111.51</v>
      </c>
      <c r="I13011">
        <v>111.5</v>
      </c>
      <c r="J13011">
        <v>0.01</v>
      </c>
    </row>
    <row r="13012" spans="1:10" x14ac:dyDescent="0.3">
      <c r="A13012" t="str">
        <f>HYPERLINK("https://us2.cloudbeds.com/connect/10074733072513#/reservations/31717392642186?display=MX75TK3P8&amp;reservation_id=31717392642186", "MX75TK3P8")</f>
        <v>MX75TK3P8</v>
      </c>
      <c r="B13012" t="s">
        <v>10</v>
      </c>
      <c r="C13012" t="s">
        <v>23</v>
      </c>
      <c r="D13012" t="str">
        <f>HYPERLINK("https://us2.cloudbeds.com/connect/10074733072513#/reservations/31717392642186?display=Richard%20Carroll&amp;reservation_id=31717392642186&amp;guest_id=31717392642184", "Richard Carroll")</f>
        <v>Richard Carroll</v>
      </c>
      <c r="E13012" t="s">
        <v>12491</v>
      </c>
      <c r="F13012" t="s">
        <v>12478</v>
      </c>
      <c r="G13012">
        <v>109</v>
      </c>
      <c r="H13012">
        <v>118.49</v>
      </c>
      <c r="I13012">
        <v>118.48</v>
      </c>
      <c r="J13012">
        <v>0.01</v>
      </c>
    </row>
    <row r="13013" spans="1:10" x14ac:dyDescent="0.3">
      <c r="A13013" t="str">
        <f>HYPERLINK("https://us2.cloudbeds.com/connect/10074733072513#/reservations/31716203208855?display=MX68GYCFW&amp;reservation_id=31716203208855", "MX68GYCFW")</f>
        <v>MX68GYCFW</v>
      </c>
      <c r="B13013" t="s">
        <v>10</v>
      </c>
      <c r="C13013" t="s">
        <v>23</v>
      </c>
      <c r="D13013" t="str">
        <f>HYPERLINK("https://us2.cloudbeds.com/connect/10074733072513#/reservations/31716203208855?display=Scott%20Te%20Grootenhuis&amp;reservation_id=31716203208855&amp;guest_id=31716203204761", "Scott Te Grootenhuis")</f>
        <v>Scott Te Grootenhuis</v>
      </c>
      <c r="E13013" t="s">
        <v>12492</v>
      </c>
      <c r="F13013" t="s">
        <v>12017</v>
      </c>
      <c r="G13013">
        <v>189</v>
      </c>
      <c r="H13013">
        <v>205.45</v>
      </c>
      <c r="I13013">
        <v>205.44</v>
      </c>
      <c r="J13013">
        <v>0.01</v>
      </c>
    </row>
    <row r="13014" spans="1:10" x14ac:dyDescent="0.3">
      <c r="A13014" t="str">
        <f>HYPERLINK("https://us2.cloudbeds.com/connect/10074733072513#/reservations/31710886051970?display=MX24Y2YEP&amp;reservation_id=31710886051970", "MX24Y2YEP")</f>
        <v>MX24Y2YEP</v>
      </c>
      <c r="B13014" t="s">
        <v>10</v>
      </c>
      <c r="C13014" t="s">
        <v>42</v>
      </c>
      <c r="D13014" t="str">
        <f>HYPERLINK("https://us2.cloudbeds.com/connect/10074733072513#/reservations/31710886051970?display=John%20Jorgenson&amp;reservation_id=31710886051970&amp;guest_id=31710886047933", "John Jorgenson")</f>
        <v>John Jorgenson</v>
      </c>
      <c r="E13014" t="s">
        <v>12494</v>
      </c>
      <c r="F13014" t="s">
        <v>10330</v>
      </c>
      <c r="G13014">
        <v>159</v>
      </c>
      <c r="H13014">
        <v>172.84</v>
      </c>
      <c r="I13014">
        <v>172.83</v>
      </c>
      <c r="J13014">
        <v>0.01</v>
      </c>
    </row>
    <row r="13015" spans="1:10" x14ac:dyDescent="0.3">
      <c r="A13015" t="str">
        <f>HYPERLINK("https://us2.cloudbeds.com/connect/10074733072513#/reservations/31717248368838?display=MX726VGBK&amp;reservation_id=31717248368838", "MX726VGBK")</f>
        <v>MX726VGBK</v>
      </c>
      <c r="B13015" t="s">
        <v>10</v>
      </c>
      <c r="C13015" t="s">
        <v>23</v>
      </c>
      <c r="D13015" t="str">
        <f>HYPERLINK("https://us2.cloudbeds.com/connect/10074733072513#/reservations/31717248368838?display=Patrick%20Doll&amp;reservation_id=31717248368838&amp;guest_id=31717248364747", "Patrick Doll")</f>
        <v>Patrick Doll</v>
      </c>
      <c r="E13015" t="s">
        <v>12495</v>
      </c>
      <c r="F13015" t="s">
        <v>12407</v>
      </c>
      <c r="G13015">
        <v>189</v>
      </c>
      <c r="H13015">
        <v>205.45</v>
      </c>
      <c r="I13015">
        <v>205.44</v>
      </c>
      <c r="J13015">
        <v>0.01</v>
      </c>
    </row>
    <row r="13016" spans="1:10" x14ac:dyDescent="0.3">
      <c r="A13016" t="str">
        <f>HYPERLINK("https://us2.cloudbeds.com/connect/10074733072513#/reservations/31714294706335?display=MX4PZBFU9&amp;reservation_id=31714294706335", "MX4PZBFU9")</f>
        <v>MX4PZBFU9</v>
      </c>
      <c r="B13016" t="s">
        <v>10</v>
      </c>
      <c r="C13016" t="s">
        <v>42</v>
      </c>
      <c r="D13016" t="str">
        <f>HYPERLINK("https://us2.cloudbeds.com/connect/10074733072513#/reservations/31714294706335?display=Alex%20Slichter&amp;reservation_id=31714294706335&amp;guest_id=31714294706330", "Alex Slichter")</f>
        <v>Alex Slichter</v>
      </c>
      <c r="E13016" t="s">
        <v>12496</v>
      </c>
      <c r="F13016" t="s">
        <v>12497</v>
      </c>
      <c r="G13016">
        <v>178</v>
      </c>
      <c r="H13016">
        <v>193.5</v>
      </c>
      <c r="I13016">
        <v>193.49</v>
      </c>
      <c r="J13016">
        <v>0.01</v>
      </c>
    </row>
    <row r="13017" spans="1:10" x14ac:dyDescent="0.3">
      <c r="A13017" t="str">
        <f>HYPERLINK("https://us2.cloudbeds.com/connect/10074733072513#/reservations/31711025647863?display=MX286Q3MB&amp;reservation_id=31711025647863", "MX286Q3MB")</f>
        <v>MX286Q3MB</v>
      </c>
      <c r="B13017" t="s">
        <v>10</v>
      </c>
      <c r="C13017" t="s">
        <v>42</v>
      </c>
      <c r="D13017" t="str">
        <f>HYPERLINK("https://us2.cloudbeds.com/connect/10074733072513#/reservations/31711025647863?display=Dalyce%20Leabo&amp;reservation_id=31711025647863&amp;guest_id=31711025647848", "Dalyce Leabo")</f>
        <v>Dalyce Leabo</v>
      </c>
      <c r="E13017" t="s">
        <v>12498</v>
      </c>
      <c r="F13017" t="s">
        <v>10330</v>
      </c>
      <c r="G13017">
        <v>159</v>
      </c>
      <c r="H13017">
        <v>172.84</v>
      </c>
      <c r="I13017">
        <v>172.83</v>
      </c>
      <c r="J13017">
        <v>0.01</v>
      </c>
    </row>
    <row r="13018" spans="1:10" x14ac:dyDescent="0.3">
      <c r="A13018" t="str">
        <f>HYPERLINK("https://us2.cloudbeds.com/connect/10074733072513#/reservations/31717106057439?display=MX6VXVFHW&amp;reservation_id=31717106057439", "MX6VXVFHW")</f>
        <v>MX6VXVFHW</v>
      </c>
      <c r="B13018" t="s">
        <v>10</v>
      </c>
      <c r="C13018" t="s">
        <v>23</v>
      </c>
      <c r="D13018" t="str">
        <f>HYPERLINK("https://us2.cloudbeds.com/connect/10074733072513#/reservations/31717106057439?display=Jonathan%20May&amp;reservation_id=31717106057439&amp;guest_id=31717092389006", "Jonathan May")</f>
        <v>Jonathan May</v>
      </c>
      <c r="E13018" t="s">
        <v>12499</v>
      </c>
      <c r="F13018" t="s">
        <v>12467</v>
      </c>
      <c r="G13018">
        <v>139</v>
      </c>
      <c r="H13018">
        <v>151.1</v>
      </c>
      <c r="I13018">
        <v>151.09</v>
      </c>
      <c r="J13018">
        <v>0.01</v>
      </c>
    </row>
    <row r="13019" spans="1:10" x14ac:dyDescent="0.3">
      <c r="A13019" t="str">
        <f>HYPERLINK("https://us2.cloudbeds.com/connect/10074733072513#/reservations/31712733180041?display=MX3XRKNFM&amp;reservation_id=31712733180041", "MX3XRKNFM")</f>
        <v>MX3XRKNFM</v>
      </c>
      <c r="B13019" t="s">
        <v>10</v>
      </c>
      <c r="C13019" t="s">
        <v>23</v>
      </c>
      <c r="D13019" t="str">
        <f>HYPERLINK("https://us2.cloudbeds.com/connect/10074733072513#/reservations/31712733180041?display=Brianna%20Nichols&amp;reservation_id=31712733180041&amp;guest_id=31712733180039", "Brianna Nichols")</f>
        <v>Brianna Nichols</v>
      </c>
      <c r="E13019" t="s">
        <v>12500</v>
      </c>
      <c r="F13019" t="s">
        <v>8603</v>
      </c>
      <c r="G13019">
        <v>378</v>
      </c>
      <c r="H13019">
        <v>410.9</v>
      </c>
      <c r="I13019">
        <v>410.89</v>
      </c>
      <c r="J13019">
        <v>0.01</v>
      </c>
    </row>
    <row r="13020" spans="1:10" x14ac:dyDescent="0.3">
      <c r="A13020" t="str">
        <f>HYPERLINK("https://us2.cloudbeds.com/connect/10074733072513#/reservations/31715476721875?display=MX5MV1QY0&amp;reservation_id=31715476721875", "MX5MV1QY0")</f>
        <v>MX5MV1QY0</v>
      </c>
      <c r="B13020" t="s">
        <v>10</v>
      </c>
      <c r="C13020" t="s">
        <v>42</v>
      </c>
      <c r="D13020" t="str">
        <f>HYPERLINK("https://us2.cloudbeds.com/connect/10074733072513#/reservations/31715476721875?display=Joseph%20Haman&amp;reservation_id=31715476721875&amp;guest_id=31715476721873", "Joseph Haman")</f>
        <v>Joseph Haman</v>
      </c>
      <c r="E13020" t="s">
        <v>12501</v>
      </c>
      <c r="F13020" t="s">
        <v>12017</v>
      </c>
      <c r="G13020">
        <v>189</v>
      </c>
      <c r="H13020">
        <v>205.45</v>
      </c>
      <c r="I13020">
        <v>205.44</v>
      </c>
      <c r="J13020">
        <v>0.01</v>
      </c>
    </row>
    <row r="13021" spans="1:10" x14ac:dyDescent="0.3">
      <c r="A13021" t="str">
        <f>HYPERLINK("https://us2.cloudbeds.com/connect/10074733072513#/reservations/31717378003162?display=MX75H8P4F&amp;reservation_id=31717378003162", "MX75H8P4F")</f>
        <v>MX75H8P4F</v>
      </c>
      <c r="B13021" t="s">
        <v>10</v>
      </c>
      <c r="C13021" t="s">
        <v>42</v>
      </c>
      <c r="D13021" t="str">
        <f>HYPERLINK("https://us2.cloudbeds.com/connect/10074733072513#/reservations/31717378003162?display=Brian%20Finch&amp;reservation_id=31717378003162&amp;guest_id=31717377999065", "Brian Finch")</f>
        <v>Brian Finch</v>
      </c>
      <c r="E13021" t="s">
        <v>12502</v>
      </c>
      <c r="F13021" t="s">
        <v>12465</v>
      </c>
      <c r="G13021">
        <v>159</v>
      </c>
      <c r="H13021">
        <v>172.84</v>
      </c>
      <c r="I13021">
        <v>172.83</v>
      </c>
      <c r="J13021">
        <v>0.01</v>
      </c>
    </row>
    <row r="13022" spans="1:10" x14ac:dyDescent="0.3">
      <c r="A13022" t="str">
        <f>HYPERLINK("https://us2.cloudbeds.com/connect/10074733072513#/reservations/31714327208130?display=MX4QXZTF5&amp;reservation_id=31714327208130", "MX4QXZTF5")</f>
        <v>MX4QXZTF5</v>
      </c>
      <c r="B13022" t="s">
        <v>10</v>
      </c>
      <c r="C13022" t="s">
        <v>42</v>
      </c>
      <c r="D13022" t="str">
        <f>HYPERLINK("https://us2.cloudbeds.com/connect/10074733072513#/reservations/31714327208130?display=Albert%20Starsl&amp;reservation_id=31714327208130&amp;guest_id=31714327204094", "Albert Starsl")</f>
        <v>Albert Starsl</v>
      </c>
      <c r="E13022" t="s">
        <v>12504</v>
      </c>
      <c r="F13022" t="s">
        <v>12017</v>
      </c>
      <c r="G13022">
        <v>189</v>
      </c>
      <c r="H13022">
        <v>205.45</v>
      </c>
      <c r="I13022">
        <v>205.44</v>
      </c>
      <c r="J13022">
        <v>0.01</v>
      </c>
    </row>
    <row r="13023" spans="1:10" x14ac:dyDescent="0.3">
      <c r="A13023" t="str">
        <f>HYPERLINK("https://us2.cloudbeds.com/connect/10074733072513#/reservations/31713379811469?display=MX42BT62E&amp;reservation_id=31713379811469", "MX42BT62E")</f>
        <v>MX42BT62E</v>
      </c>
      <c r="B13023" t="s">
        <v>10</v>
      </c>
      <c r="C13023" t="s">
        <v>23</v>
      </c>
      <c r="D13023" t="str">
        <f>HYPERLINK("https://us2.cloudbeds.com/connect/10074733072513#/reservations/31713379811469?display=Melissa%20Otto&amp;reservation_id=31713379811469&amp;guest_id=31713379807372", "Melissa Otto")</f>
        <v>Melissa Otto</v>
      </c>
      <c r="E13023" t="s">
        <v>12505</v>
      </c>
      <c r="F13023" t="s">
        <v>8603</v>
      </c>
      <c r="G13023">
        <v>378</v>
      </c>
      <c r="H13023">
        <v>410.9</v>
      </c>
      <c r="I13023">
        <v>410.89</v>
      </c>
      <c r="J13023">
        <v>0.01</v>
      </c>
    </row>
    <row r="13024" spans="1:10" x14ac:dyDescent="0.3">
      <c r="A13024" t="str">
        <f>HYPERLINK("https://us2.cloudbeds.com/connect/10074733072513#/reservations/31716490444953?display=MX6FRS4R5&amp;reservation_id=31716490444953", "MX6FRS4R5")</f>
        <v>MX6FRS4R5</v>
      </c>
      <c r="B13024" t="s">
        <v>10</v>
      </c>
      <c r="C13024" t="s">
        <v>23</v>
      </c>
      <c r="D13024" t="str">
        <f>HYPERLINK("https://us2.cloudbeds.com/connect/10074733072513#/reservations/31716490444953?display=Thomas%20Bruske&amp;reservation_id=31716490444953&amp;guest_id=31716490444938", "Thomas Bruske")</f>
        <v>Thomas Bruske</v>
      </c>
      <c r="E13024" t="s">
        <v>12506</v>
      </c>
      <c r="F13024" t="s">
        <v>12407</v>
      </c>
      <c r="G13024">
        <v>313.2</v>
      </c>
      <c r="H13024">
        <v>340.46</v>
      </c>
      <c r="I13024">
        <v>340.45</v>
      </c>
      <c r="J13024">
        <v>0.01</v>
      </c>
    </row>
    <row r="13025" spans="1:10" x14ac:dyDescent="0.3">
      <c r="A13025" t="str">
        <f>HYPERLINK("https://us2.cloudbeds.com/connect/10074733072513#/reservations/31715859517632?display=MX5WDU6QB&amp;reservation_id=31715859517632", "MX5WDU6QB")</f>
        <v>MX5WDU6QB</v>
      </c>
      <c r="B13025" t="s">
        <v>10</v>
      </c>
      <c r="C13025" t="s">
        <v>121</v>
      </c>
      <c r="D13025" t="str">
        <f>HYPERLINK("https://us2.cloudbeds.com/connect/10074733072513#/reservations/31715859517632?display=Stacy%20Baas&amp;reservation_id=31715859517632&amp;guest_id=31681756233885", "Stacy Baas")</f>
        <v>Stacy Baas</v>
      </c>
      <c r="E13025" t="s">
        <v>7116</v>
      </c>
      <c r="F13025" t="s">
        <v>12017</v>
      </c>
      <c r="G13025">
        <v>189</v>
      </c>
      <c r="H13025">
        <v>205.45</v>
      </c>
      <c r="I13025">
        <v>205.44</v>
      </c>
      <c r="J13025">
        <v>0.01</v>
      </c>
    </row>
    <row r="13026" spans="1:10" x14ac:dyDescent="0.3">
      <c r="A13026" t="str">
        <f>HYPERLINK("https://us2.cloudbeds.com/connect/10074733072513#/reservations/31714196500629?display=MX4N7HP6Q&amp;reservation_id=31714196500629", "MX4N7HP6Q")</f>
        <v>MX4N7HP6Q</v>
      </c>
      <c r="B13026" t="s">
        <v>10</v>
      </c>
      <c r="C13026" t="s">
        <v>23</v>
      </c>
      <c r="D13026" t="str">
        <f>HYPERLINK("https://us2.cloudbeds.com/connect/10074733072513#/reservations/31714196500629?display=Michelle%20Allen&amp;reservation_id=31714196500629&amp;guest_id=31714196496548", "Michelle Allen")</f>
        <v>Michelle Allen</v>
      </c>
      <c r="E13026" t="s">
        <v>12507</v>
      </c>
      <c r="F13026" t="s">
        <v>12215</v>
      </c>
      <c r="G13026">
        <v>139</v>
      </c>
      <c r="H13026">
        <v>151.1</v>
      </c>
      <c r="I13026">
        <v>151.09</v>
      </c>
      <c r="J13026">
        <v>0.01</v>
      </c>
    </row>
    <row r="13027" spans="1:10" x14ac:dyDescent="0.3">
      <c r="A13027" t="str">
        <f>HYPERLINK("https://us2.cloudbeds.com/connect/10074733072513#/reservations/31715422691552?display=MX5YXGB0G&amp;reservation_id=31715422691552", "MX5YXGB0G")</f>
        <v>MX5YXGB0G</v>
      </c>
      <c r="B13027" t="s">
        <v>10</v>
      </c>
      <c r="C13027" t="s">
        <v>42</v>
      </c>
      <c r="D13027" t="str">
        <f>HYPERLINK("https://us2.cloudbeds.com/connect/10074733072513#/reservations/31715422691552?display=Jesus%20Del%20Valle&amp;reservation_id=31715422691552&amp;guest_id=31715422691547", "Jesus Del Valle")</f>
        <v>Jesus Del Valle</v>
      </c>
      <c r="E13027" t="s">
        <v>12508</v>
      </c>
      <c r="F13027" t="s">
        <v>12017</v>
      </c>
      <c r="G13027">
        <v>189</v>
      </c>
      <c r="H13027">
        <v>205.45</v>
      </c>
      <c r="I13027">
        <v>205.44</v>
      </c>
      <c r="J13027">
        <v>0.01</v>
      </c>
    </row>
    <row r="13028" spans="1:10" x14ac:dyDescent="0.3">
      <c r="A13028" t="str">
        <f>HYPERLINK("https://us2.cloudbeds.com/connect/10074733072513#/reservations/31711404990619?display=MX2HTYT4C&amp;reservation_id=31711404990619", "MX2HTYT4C")</f>
        <v>MX2HTYT4C</v>
      </c>
      <c r="B13028" t="s">
        <v>10</v>
      </c>
      <c r="C13028" t="s">
        <v>42</v>
      </c>
      <c r="D13028" t="str">
        <f>HYPERLINK("https://us2.cloudbeds.com/connect/10074733072513#/reservations/31711404990619?display=Tina%20Koletvky&amp;reservation_id=31711404990619&amp;guest_id=31711404990606", "Tina Koletvky")</f>
        <v>Tina Koletvky</v>
      </c>
      <c r="E13028" t="s">
        <v>12509</v>
      </c>
      <c r="F13028" t="s">
        <v>12137</v>
      </c>
      <c r="G13028">
        <v>458</v>
      </c>
      <c r="H13028">
        <v>497.86</v>
      </c>
      <c r="I13028">
        <v>497.85</v>
      </c>
      <c r="J13028">
        <v>0.01</v>
      </c>
    </row>
    <row r="13029" spans="1:10" x14ac:dyDescent="0.3">
      <c r="A13029" t="str">
        <f>HYPERLINK("https://us2.cloudbeds.com/connect/10074733072513#/reservations/31714304188664?display=MX4PWBB9J&amp;reservation_id=31714304188664", "MX4PWBB9J")</f>
        <v>MX4PWBB9J</v>
      </c>
      <c r="B13029" t="s">
        <v>10</v>
      </c>
      <c r="C13029" t="s">
        <v>42</v>
      </c>
      <c r="D13029" t="str">
        <f>HYPERLINK("https://us2.cloudbeds.com/connect/10074733072513#/reservations/31714304188664?display=Jason%20Matten&amp;reservation_id=31714304188664&amp;guest_id=31714304188659", "Jason Matten")</f>
        <v>Jason Matten</v>
      </c>
      <c r="E13029" t="s">
        <v>12510</v>
      </c>
      <c r="F13029" t="s">
        <v>12497</v>
      </c>
      <c r="G13029">
        <v>139</v>
      </c>
      <c r="H13029">
        <v>151.1</v>
      </c>
      <c r="I13029">
        <v>151.09</v>
      </c>
      <c r="J13029">
        <v>0.01</v>
      </c>
    </row>
    <row r="13030" spans="1:10" x14ac:dyDescent="0.3">
      <c r="A13030" t="str">
        <f>HYPERLINK("https://us2.cloudbeds.com/connect/10074733072513#/reservations/31715461042334?display=MX5MHRGHD&amp;reservation_id=31715461042334", "MX5MHRGHD")</f>
        <v>MX5MHRGHD</v>
      </c>
      <c r="B13030" t="s">
        <v>10</v>
      </c>
      <c r="C13030" t="s">
        <v>121</v>
      </c>
      <c r="D13030" t="str">
        <f>HYPERLINK("https://us2.cloudbeds.com/connect/10074733072513#/reservations/31715461042334?display=Noel%20Vega%20Mijangos&amp;reservation_id=31715461042334&amp;guest_id=31715461042329", "Noel Vega Mijangos")</f>
        <v>Noel Vega Mijangos</v>
      </c>
      <c r="E13030" t="s">
        <v>12511</v>
      </c>
      <c r="F13030" t="s">
        <v>12497</v>
      </c>
      <c r="G13030">
        <v>159</v>
      </c>
      <c r="H13030">
        <v>172.84</v>
      </c>
      <c r="I13030">
        <v>172.83</v>
      </c>
      <c r="J13030">
        <v>0.01</v>
      </c>
    </row>
    <row r="13031" spans="1:10" x14ac:dyDescent="0.3">
      <c r="A13031" t="str">
        <f>HYPERLINK("https://us2.cloudbeds.com/connect/10074733072513#/reservations/31700971937948?display=MHRFA7QR4&amp;reservation_id=31700971937948", "MHRFA7QR4")</f>
        <v>MHRFA7QR4</v>
      </c>
      <c r="B13031" t="s">
        <v>10</v>
      </c>
      <c r="C13031" t="s">
        <v>42</v>
      </c>
      <c r="D13031" t="str">
        <f>HYPERLINK("https://us2.cloudbeds.com/connect/10074733072513#/reservations/31700971937948?display=Andrew%20Dejong&amp;reservation_id=31700971937948&amp;guest_id=31700963021003", "Andrew Dejong")</f>
        <v>Andrew Dejong</v>
      </c>
      <c r="E13031" t="s">
        <v>12512</v>
      </c>
      <c r="F13031" t="s">
        <v>11134</v>
      </c>
      <c r="G13031">
        <v>179</v>
      </c>
      <c r="H13031">
        <v>194.58</v>
      </c>
      <c r="I13031">
        <v>194.57</v>
      </c>
      <c r="J13031">
        <v>0.01</v>
      </c>
    </row>
    <row r="13032" spans="1:10" x14ac:dyDescent="0.3">
      <c r="A13032" t="str">
        <f>HYPERLINK("https://us2.cloudbeds.com/connect/10074733072513#/reservations/31714311176333?display=MX4Q57PT4&amp;reservation_id=31714311176333", "MX4Q57PT4")</f>
        <v>MX4Q57PT4</v>
      </c>
      <c r="B13032" t="s">
        <v>10</v>
      </c>
      <c r="C13032" t="s">
        <v>42</v>
      </c>
      <c r="D13032" t="str">
        <f>HYPERLINK("https://us2.cloudbeds.com/connect/10074733072513#/reservations/31714311176333?display=Leslie%20Mclenehan&amp;reservation_id=31714311176333&amp;guest_id=31714311176327", "Leslie Mclenehan")</f>
        <v>Leslie Mclenehan</v>
      </c>
      <c r="E13032" t="s">
        <v>12514</v>
      </c>
      <c r="F13032" t="s">
        <v>12497</v>
      </c>
      <c r="G13032">
        <v>139</v>
      </c>
      <c r="H13032">
        <v>151.1</v>
      </c>
      <c r="I13032">
        <v>151.09</v>
      </c>
      <c r="J13032">
        <v>0.01</v>
      </c>
    </row>
    <row r="13033" spans="1:10" x14ac:dyDescent="0.3">
      <c r="A13033" t="str">
        <f>HYPERLINK("https://us2.cloudbeds.com/connect/10074733072513#/reservations/31717467848875?display=MX77R0S2R&amp;reservation_id=31717467848875", "MX77R0S2R")</f>
        <v>MX77R0S2R</v>
      </c>
      <c r="B13033" t="s">
        <v>10</v>
      </c>
      <c r="C13033" t="s">
        <v>42</v>
      </c>
      <c r="D13033" t="str">
        <f>HYPERLINK("https://us2.cloudbeds.com/connect/10074733072513#/reservations/31717467848875?display=Brage%20Pfaff%20Abt%20Flooring&amp;reservation_id=31717467848875&amp;guest_id=31717454667934", "Brage Pfaff Abt Flooring")</f>
        <v>Brage Pfaff Abt Flooring</v>
      </c>
      <c r="E13033" t="s">
        <v>12515</v>
      </c>
      <c r="F13033" t="s">
        <v>12371</v>
      </c>
      <c r="G13033">
        <v>178</v>
      </c>
      <c r="H13033">
        <v>193.5</v>
      </c>
      <c r="I13033">
        <v>193.49</v>
      </c>
      <c r="J13033">
        <v>0.01</v>
      </c>
    </row>
    <row r="13034" spans="1:10" x14ac:dyDescent="0.3">
      <c r="A13034" t="str">
        <f>HYPERLINK("https://us2.cloudbeds.com/connect/10074733072513#/reservations/31715251671292?display=MX5H69EKC&amp;reservation_id=31715251671292", "MX5H69EKC")</f>
        <v>MX5H69EKC</v>
      </c>
      <c r="B13034" t="s">
        <v>10</v>
      </c>
      <c r="C13034" t="s">
        <v>42</v>
      </c>
      <c r="D13034" t="str">
        <f>HYPERLINK("https://us2.cloudbeds.com/connect/10074733072513#/reservations/31715251671292?display=Angela%20Johnson&amp;reservation_id=31715251671292&amp;guest_id=31715251671289", "Angela Johnson")</f>
        <v>Angela Johnson</v>
      </c>
      <c r="E13034" t="s">
        <v>12516</v>
      </c>
      <c r="F13034" t="s">
        <v>12467</v>
      </c>
      <c r="G13034">
        <v>139</v>
      </c>
      <c r="H13034">
        <v>151.1</v>
      </c>
      <c r="I13034">
        <v>151.09</v>
      </c>
      <c r="J13034">
        <v>0.01</v>
      </c>
    </row>
    <row r="13035" spans="1:10" x14ac:dyDescent="0.3">
      <c r="A13035" t="str">
        <f>HYPERLINK("https://us2.cloudbeds.com/connect/10074733072513#/reservations/31713958297735?display=MX4H4MDP9&amp;reservation_id=31713958297735", "MX4H4MDP9")</f>
        <v>MX4H4MDP9</v>
      </c>
      <c r="B13035" t="s">
        <v>10</v>
      </c>
      <c r="C13035" t="s">
        <v>23</v>
      </c>
      <c r="D13035" t="str">
        <f>HYPERLINK("https://us2.cloudbeds.com/connect/10074733072513#/reservations/31713958297735?display=Sarah%20Lund&amp;reservation_id=31713958297735&amp;guest_id=31713958297730", "Sarah Lund")</f>
        <v>Sarah Lund</v>
      </c>
      <c r="E13035" t="s">
        <v>12517</v>
      </c>
      <c r="F13035" t="s">
        <v>9758</v>
      </c>
      <c r="G13035">
        <v>139</v>
      </c>
      <c r="H13035">
        <v>151.1</v>
      </c>
      <c r="I13035">
        <v>151.09</v>
      </c>
      <c r="J13035">
        <v>0.01</v>
      </c>
    </row>
    <row r="13036" spans="1:10" x14ac:dyDescent="0.3">
      <c r="A13036" t="str">
        <f>HYPERLINK("https://us2.cloudbeds.com/connect/10074733072513#/reservations/31713995542705?display=MX4X32QRZ&amp;reservation_id=31713995542705", "MX4X32QRZ")</f>
        <v>MX4X32QRZ</v>
      </c>
      <c r="B13036" t="s">
        <v>10</v>
      </c>
      <c r="C13036" t="s">
        <v>42</v>
      </c>
      <c r="D13036" t="str">
        <f>HYPERLINK("https://us2.cloudbeds.com/connect/10074733072513#/reservations/31713995542705?display=Robert%20Grandgenett&amp;reservation_id=31713995542705&amp;guest_id=31713981321367", "Robert Grandgenett")</f>
        <v>Robert Grandgenett</v>
      </c>
      <c r="E13036" t="s">
        <v>12519</v>
      </c>
      <c r="F13036" t="s">
        <v>9758</v>
      </c>
      <c r="G13036">
        <v>278</v>
      </c>
      <c r="H13036">
        <v>302.2</v>
      </c>
      <c r="I13036">
        <v>302.19</v>
      </c>
      <c r="J13036">
        <v>0.01</v>
      </c>
    </row>
    <row r="13037" spans="1:10" x14ac:dyDescent="0.3">
      <c r="A13037" t="str">
        <f>HYPERLINK("https://us2.cloudbeds.com/connect/10074733072513#/reservations/31717418295490?display=MX76X7VH3&amp;reservation_id=31717418295490", "MX76X7VH3")</f>
        <v>MX76X7VH3</v>
      </c>
      <c r="B13037" t="s">
        <v>10</v>
      </c>
      <c r="C13037" t="s">
        <v>23</v>
      </c>
      <c r="D13037" t="str">
        <f>HYPERLINK("https://us2.cloudbeds.com/connect/10074733072513#/reservations/31717418295490?display=Kathleen%20Meyer&amp;reservation_id=31717418295490&amp;guest_id=31717418291452", "Kathleen Meyer")</f>
        <v>Kathleen Meyer</v>
      </c>
      <c r="E13037" t="s">
        <v>12521</v>
      </c>
      <c r="F13037" t="s">
        <v>12522</v>
      </c>
      <c r="G13037">
        <v>573.29999999999995</v>
      </c>
      <c r="H13037">
        <v>623.19000000000005</v>
      </c>
      <c r="I13037">
        <v>623.17999999999995</v>
      </c>
      <c r="J13037">
        <v>0.01</v>
      </c>
    </row>
    <row r="13038" spans="1:10" x14ac:dyDescent="0.3">
      <c r="A13038" t="str">
        <f>HYPERLINK("https://us2.cloudbeds.com/connect/10074733072513#/reservations/31712413343875?display=MX3AYUQBY&amp;reservation_id=31712413343875", "MX3AYUQBY")</f>
        <v>MX3AYUQBY</v>
      </c>
      <c r="B13038" t="s">
        <v>10</v>
      </c>
      <c r="C13038" t="s">
        <v>42</v>
      </c>
      <c r="D13038" t="str">
        <f>HYPERLINK("https://us2.cloudbeds.com/connect/10074733072513#/reservations/31712413343875?display=Jermey%20Otkin&amp;reservation_id=31712413343875&amp;guest_id=31712407011477", "Jermey Otkin")</f>
        <v>Jermey Otkin</v>
      </c>
      <c r="E13038" t="s">
        <v>12523</v>
      </c>
      <c r="F13038" t="s">
        <v>10449</v>
      </c>
      <c r="G13038">
        <v>159</v>
      </c>
      <c r="H13038">
        <v>172.84</v>
      </c>
      <c r="I13038">
        <v>172.83</v>
      </c>
      <c r="J13038">
        <v>0.01</v>
      </c>
    </row>
    <row r="13039" spans="1:10" x14ac:dyDescent="0.3">
      <c r="A13039" t="str">
        <f>HYPERLINK("https://us2.cloudbeds.com/connect/10074733072513#/reservations/31715662631115?display=MX5RMR06B&amp;reservation_id=31715662631115", "MX5RMR06B")</f>
        <v>MX5RMR06B</v>
      </c>
      <c r="B13039" t="s">
        <v>10</v>
      </c>
      <c r="C13039" t="s">
        <v>42</v>
      </c>
      <c r="D13039" t="str">
        <f>HYPERLINK("https://us2.cloudbeds.com/connect/10074733072513#/reservations/31715662631115?display=Stefania%20Twocrow&amp;reservation_id=31715662631115&amp;guest_id=31715662627019", "Stefania Twocrow")</f>
        <v>Stefania Twocrow</v>
      </c>
      <c r="E13039" t="s">
        <v>12524</v>
      </c>
      <c r="F13039" t="s">
        <v>11281</v>
      </c>
      <c r="G13039">
        <v>378</v>
      </c>
      <c r="H13039">
        <v>410.9</v>
      </c>
      <c r="I13039">
        <v>410.89</v>
      </c>
      <c r="J13039">
        <v>0.01</v>
      </c>
    </row>
    <row r="13040" spans="1:10" x14ac:dyDescent="0.3">
      <c r="A13040" t="str">
        <f>HYPERLINK("https://us2.cloudbeds.com/connect/10074733072513#/reservations/31717117903064?display=MX6VSV32A&amp;reservation_id=31717117903064", "MX6VSV32A")</f>
        <v>MX6VSV32A</v>
      </c>
      <c r="B13040" t="s">
        <v>10</v>
      </c>
      <c r="C13040" t="s">
        <v>23</v>
      </c>
      <c r="D13040" t="str">
        <f>HYPERLINK("https://us2.cloudbeds.com/connect/10074733072513#/reservations/31717117903064?display=Chris%20Carlson&amp;reservation_id=31717117903064&amp;guest_id=31701556027614", "Chris Carlson")</f>
        <v>Chris Carlson</v>
      </c>
      <c r="E13040" t="s">
        <v>10442</v>
      </c>
      <c r="F13040" t="s">
        <v>12467</v>
      </c>
      <c r="G13040">
        <v>139</v>
      </c>
      <c r="H13040">
        <v>151.1</v>
      </c>
      <c r="I13040">
        <v>151.09</v>
      </c>
      <c r="J13040">
        <v>0.01</v>
      </c>
    </row>
    <row r="13041" spans="1:10" x14ac:dyDescent="0.3">
      <c r="A13041" t="str">
        <f>HYPERLINK("https://us2.cloudbeds.com/connect/10074733072513#/reservations/31712334397665?display=MX38YC048&amp;reservation_id=31712334397665", "MX38YC048")</f>
        <v>MX38YC048</v>
      </c>
      <c r="B13041" t="s">
        <v>10</v>
      </c>
      <c r="C13041" t="s">
        <v>23</v>
      </c>
      <c r="D13041" t="str">
        <f>HYPERLINK("https://us2.cloudbeds.com/connect/10074733072513#/reservations/31712334397665?display=Brian%20Sacra&amp;reservation_id=31712334397665&amp;guest_id=31712334397660", "Brian Sacra")</f>
        <v>Brian Sacra</v>
      </c>
      <c r="E13041" t="s">
        <v>12529</v>
      </c>
      <c r="F13041" t="s">
        <v>11713</v>
      </c>
      <c r="G13041">
        <v>139</v>
      </c>
      <c r="H13041">
        <v>151.1</v>
      </c>
      <c r="I13041">
        <v>151.09</v>
      </c>
      <c r="J13041">
        <v>0.01</v>
      </c>
    </row>
    <row r="13042" spans="1:10" x14ac:dyDescent="0.3">
      <c r="A13042" t="str">
        <f>HYPERLINK("https://us2.cloudbeds.com/connect/10074733072513#/reservations/31714907074756?display=MX58CNHN3&amp;reservation_id=31714907074756", "MX58CNHN3")</f>
        <v>MX58CNHN3</v>
      </c>
      <c r="B13042" t="s">
        <v>10</v>
      </c>
      <c r="C13042" t="s">
        <v>23</v>
      </c>
      <c r="D13042" t="str">
        <f>HYPERLINK("https://us2.cloudbeds.com/connect/10074733072513#/reservations/31714907074756?display=Deb%20Sparrow&amp;reservation_id=31714907074756&amp;guest_id=31714907070715", "Deb Sparrow")</f>
        <v>Deb Sparrow</v>
      </c>
      <c r="E13042" t="s">
        <v>12530</v>
      </c>
      <c r="F13042" t="s">
        <v>12106</v>
      </c>
      <c r="G13042">
        <v>209</v>
      </c>
      <c r="H13042">
        <v>227.19</v>
      </c>
      <c r="I13042">
        <v>227.18</v>
      </c>
      <c r="J13042">
        <v>0.01</v>
      </c>
    </row>
    <row r="13043" spans="1:10" x14ac:dyDescent="0.3">
      <c r="A13043" t="str">
        <f>HYPERLINK("https://us2.cloudbeds.com/connect/10074733072513#/reservations/31714517106838?display=MX4VDT3EF&amp;reservation_id=31714517106838", "MX4VDT3EF")</f>
        <v>MX4VDT3EF</v>
      </c>
      <c r="B13043" t="s">
        <v>10</v>
      </c>
      <c r="C13043" t="s">
        <v>23</v>
      </c>
      <c r="D13043" t="str">
        <f>HYPERLINK("https://us2.cloudbeds.com/connect/10074733072513#/reservations/31714517106838?display=John%20Leal&amp;reservation_id=31714517106838&amp;guest_id=31714517102747", "John Leal")</f>
        <v>John Leal</v>
      </c>
      <c r="E13043" t="s">
        <v>12531</v>
      </c>
      <c r="F13043" t="s">
        <v>11281</v>
      </c>
      <c r="G13043">
        <v>438</v>
      </c>
      <c r="H13043">
        <v>476.12</v>
      </c>
      <c r="I13043">
        <v>476.11</v>
      </c>
      <c r="J13043">
        <v>0.01</v>
      </c>
    </row>
    <row r="13044" spans="1:10" x14ac:dyDescent="0.3">
      <c r="A13044" t="str">
        <f>HYPERLINK("https://us2.cloudbeds.com/connect/10074733072513#/reservations/31701607313628?display=MHRVX02XK&amp;reservation_id=31701607313628", "MHRVX02XK")</f>
        <v>MHRVX02XK</v>
      </c>
      <c r="B13044" t="s">
        <v>10</v>
      </c>
      <c r="C13044" t="s">
        <v>23</v>
      </c>
      <c r="D13044" t="str">
        <f>HYPERLINK("https://us2.cloudbeds.com/connect/10074733072513#/reservations/31701607313628?display=Nikki%20Thrasher&amp;reservation_id=31701607313628&amp;guest_id=31701607313623", "Nikki Thrasher")</f>
        <v>Nikki Thrasher</v>
      </c>
      <c r="E13044" t="s">
        <v>12532</v>
      </c>
      <c r="F13044" t="s">
        <v>12533</v>
      </c>
      <c r="G13044">
        <v>378</v>
      </c>
      <c r="H13044">
        <v>410.9</v>
      </c>
      <c r="I13044">
        <v>410.89</v>
      </c>
      <c r="J13044">
        <v>0.01</v>
      </c>
    </row>
    <row r="13045" spans="1:10" x14ac:dyDescent="0.3">
      <c r="A13045" t="str">
        <f>HYPERLINK("https://us2.cloudbeds.com/connect/10074733072513#/reservations/31717158121611?display=MX6WTS7N5&amp;reservation_id=31717158121611", "MX6WTS7N5")</f>
        <v>MX6WTS7N5</v>
      </c>
      <c r="B13045" t="s">
        <v>10</v>
      </c>
      <c r="C13045" t="s">
        <v>23</v>
      </c>
      <c r="D13045" t="str">
        <f>HYPERLINK("https://us2.cloudbeds.com/connect/10074733072513#/reservations/31717158121611?display=Conda%20Bruinsma&amp;reservation_id=31717158121611&amp;guest_id=31717151084768", "Conda Bruinsma")</f>
        <v>Conda Bruinsma</v>
      </c>
      <c r="E13045" t="s">
        <v>12534</v>
      </c>
      <c r="F13045" t="s">
        <v>12467</v>
      </c>
      <c r="G13045">
        <v>139</v>
      </c>
      <c r="H13045">
        <v>151.1</v>
      </c>
      <c r="I13045">
        <v>151.09</v>
      </c>
      <c r="J13045">
        <v>0.01</v>
      </c>
    </row>
    <row r="13046" spans="1:10" x14ac:dyDescent="0.3">
      <c r="A13046" t="str">
        <f>HYPERLINK("https://us2.cloudbeds.com/connect/10074733072513#/reservations/31715240935642?display=MX5GU7NBY&amp;reservation_id=31715240935642", "MX5GU7NBY")</f>
        <v>MX5GU7NBY</v>
      </c>
      <c r="B13046" t="s">
        <v>10</v>
      </c>
      <c r="C13046" t="s">
        <v>23</v>
      </c>
      <c r="D13046" t="str">
        <f>HYPERLINK("https://us2.cloudbeds.com/connect/10074733072513#/reservations/31715240935642?display=Aaron%20M%20Kline&amp;reservation_id=31715240935642&amp;guest_id=31715240931556", "Aaron M Kline")</f>
        <v>Aaron M Kline</v>
      </c>
      <c r="E13046" t="s">
        <v>12535</v>
      </c>
      <c r="F13046" t="s">
        <v>12467</v>
      </c>
      <c r="G13046">
        <v>159</v>
      </c>
      <c r="H13046">
        <v>172.84</v>
      </c>
      <c r="I13046">
        <v>172.83</v>
      </c>
      <c r="J13046">
        <v>0.01</v>
      </c>
    </row>
    <row r="13047" spans="1:10" x14ac:dyDescent="0.3">
      <c r="A13047" t="str">
        <f>HYPERLINK("https://us2.cloudbeds.com/connect/10074733072513#/reservations/31716783050945?display=MX6NAJB6D&amp;reservation_id=31716783050945", "MX6NAJB6D")</f>
        <v>MX6NAJB6D</v>
      </c>
      <c r="B13047" t="s">
        <v>10</v>
      </c>
      <c r="C13047" t="s">
        <v>42</v>
      </c>
      <c r="D13047" t="str">
        <f>HYPERLINK("https://us2.cloudbeds.com/connect/10074733072513#/reservations/31716783050945?display=Patrick%20Sawadski&amp;reservation_id=31716783050945&amp;guest_id=31716770971810", "Patrick Sawadski")</f>
        <v>Patrick Sawadski</v>
      </c>
      <c r="E13047" t="s">
        <v>12536</v>
      </c>
      <c r="F13047" t="s">
        <v>9758</v>
      </c>
      <c r="G13047">
        <v>159</v>
      </c>
      <c r="H13047">
        <v>172.84</v>
      </c>
      <c r="I13047">
        <v>172.83</v>
      </c>
      <c r="J13047">
        <v>0.01</v>
      </c>
    </row>
    <row r="13048" spans="1:10" x14ac:dyDescent="0.3">
      <c r="A13048" t="str">
        <f>HYPERLINK("https://us2.cloudbeds.com/connect/10074733072513#/reservations/31713855971536?display=MX4EHD1AC&amp;reservation_id=31713855971536", "MX4EHD1AC")</f>
        <v>MX4EHD1AC</v>
      </c>
      <c r="B13048" t="s">
        <v>10</v>
      </c>
      <c r="C13048" t="s">
        <v>42</v>
      </c>
      <c r="D13048" t="str">
        <f>HYPERLINK("https://us2.cloudbeds.com/connect/10074733072513#/reservations/31713855971536?display=Elaine%20Erickson&amp;reservation_id=31713855971536&amp;guest_id=31713850470578", "Elaine Erickson")</f>
        <v>Elaine Erickson</v>
      </c>
      <c r="E13048" t="s">
        <v>12537</v>
      </c>
      <c r="F13048" t="s">
        <v>12215</v>
      </c>
      <c r="G13048">
        <v>278</v>
      </c>
      <c r="H13048">
        <v>302.2</v>
      </c>
      <c r="I13048">
        <v>302.19</v>
      </c>
      <c r="J13048">
        <v>0.01</v>
      </c>
    </row>
    <row r="13049" spans="1:10" x14ac:dyDescent="0.3">
      <c r="A13049" t="str">
        <f>HYPERLINK("https://us2.cloudbeds.com/connect/10074733072513#/reservations/31714981540019?display=MX5A9GY67&amp;reservation_id=31714981540019", "MX5A9GY67")</f>
        <v>MX5A9GY67</v>
      </c>
      <c r="B13049" t="s">
        <v>10</v>
      </c>
      <c r="C13049" t="s">
        <v>23</v>
      </c>
      <c r="D13049" t="str">
        <f>HYPERLINK("https://us2.cloudbeds.com/connect/10074733072513#/reservations/31714981540019?display=Jason%20Deorchie&amp;reservation_id=31714981540019&amp;guest_id=31714981540017", "Jason Deorchie")</f>
        <v>Jason Deorchie</v>
      </c>
      <c r="E13049" t="s">
        <v>12538</v>
      </c>
      <c r="F13049" t="s">
        <v>12352</v>
      </c>
      <c r="G13049">
        <v>102.58</v>
      </c>
      <c r="H13049">
        <v>111.51</v>
      </c>
      <c r="I13049">
        <v>111.5</v>
      </c>
      <c r="J13049">
        <v>0.01</v>
      </c>
    </row>
    <row r="13050" spans="1:10" x14ac:dyDescent="0.3">
      <c r="A13050" t="str">
        <f>HYPERLINK("https://us2.cloudbeds.com/connect/10074733072513#/reservations/31716761247938?display=MX6MP6Y27&amp;reservation_id=31716761247938", "MX6MP6Y27")</f>
        <v>MX6MP6Y27</v>
      </c>
      <c r="B13050" t="s">
        <v>10</v>
      </c>
      <c r="C13050" t="s">
        <v>42</v>
      </c>
      <c r="D13050" t="str">
        <f>HYPERLINK("https://us2.cloudbeds.com/connect/10074733072513#/reservations/31716761247938?display=Carol%20Walling&amp;reservation_id=31716761247938&amp;guest_id=31716751577269", "Carol Walling")</f>
        <v>Carol Walling</v>
      </c>
      <c r="E13050" t="s">
        <v>12540</v>
      </c>
      <c r="F13050" t="s">
        <v>9758</v>
      </c>
      <c r="G13050">
        <v>159</v>
      </c>
      <c r="H13050">
        <v>172.84</v>
      </c>
      <c r="I13050">
        <v>172.83</v>
      </c>
      <c r="J13050">
        <v>0.01</v>
      </c>
    </row>
    <row r="13051" spans="1:10" x14ac:dyDescent="0.3">
      <c r="A13051" t="str">
        <f>HYPERLINK("https://us2.cloudbeds.com/connect/10074733072513#/reservations/31712320585926?display=MX389NM5N&amp;reservation_id=31712320585926", "MX389NM5N")</f>
        <v>MX389NM5N</v>
      </c>
      <c r="B13051" t="s">
        <v>10</v>
      </c>
      <c r="C13051" t="s">
        <v>23</v>
      </c>
      <c r="D13051" t="str">
        <f>HYPERLINK("https://us2.cloudbeds.com/connect/10074733072513#/reservations/31712320585926?display=Joseph%20Valinotti&amp;reservation_id=31712320585926&amp;guest_id=31712320585923", "Joseph Valinotti")</f>
        <v>Joseph Valinotti</v>
      </c>
      <c r="E13051" t="s">
        <v>12541</v>
      </c>
      <c r="F13051" t="s">
        <v>11713</v>
      </c>
      <c r="G13051">
        <v>139</v>
      </c>
      <c r="H13051">
        <v>151.1</v>
      </c>
      <c r="I13051">
        <v>151.09</v>
      </c>
      <c r="J13051">
        <v>0.01</v>
      </c>
    </row>
    <row r="13052" spans="1:10" x14ac:dyDescent="0.3">
      <c r="A13052" t="str">
        <f>HYPERLINK("https://us2.cloudbeds.com/connect/10074733072513#/reservations/31716740853972?display=MX6M804R8&amp;reservation_id=31716740853972", "MX6M804R8")</f>
        <v>MX6M804R8</v>
      </c>
      <c r="B13052" t="s">
        <v>10</v>
      </c>
      <c r="C13052" t="s">
        <v>23</v>
      </c>
      <c r="D13052" t="str">
        <f>HYPERLINK("https://us2.cloudbeds.com/connect/10074733072513#/reservations/31716740853972?display=Tymofii%20Yurchenko&amp;reservation_id=31716740853972&amp;guest_id=31716740849888", "Tymofii Yurchenko")</f>
        <v>Tymofii Yurchenko</v>
      </c>
      <c r="E13052" t="s">
        <v>12542</v>
      </c>
      <c r="F13052" t="s">
        <v>9758</v>
      </c>
      <c r="G13052">
        <v>139</v>
      </c>
      <c r="H13052">
        <v>151.1</v>
      </c>
      <c r="I13052">
        <v>151.09</v>
      </c>
      <c r="J13052">
        <v>0.01</v>
      </c>
    </row>
    <row r="13053" spans="1:10" x14ac:dyDescent="0.3">
      <c r="A13053" t="str">
        <f>HYPERLINK("https://us2.cloudbeds.com/connect/10074733072513#/reservations/31715229499568?display=MX5GKJFTV&amp;reservation_id=31715229499568", "MX5GKJFTV")</f>
        <v>MX5GKJFTV</v>
      </c>
      <c r="B13053" t="s">
        <v>10</v>
      </c>
      <c r="C13053" t="s">
        <v>42</v>
      </c>
      <c r="D13053" t="str">
        <f>HYPERLINK("https://us2.cloudbeds.com/connect/10074733072513#/reservations/31715229499568?display=Roy%20Rueb&amp;reservation_id=31715229499568&amp;guest_id=31715217617054", "Roy Rueb")</f>
        <v>Roy Rueb</v>
      </c>
      <c r="E13053" t="s">
        <v>12543</v>
      </c>
      <c r="F13053" t="s">
        <v>12467</v>
      </c>
      <c r="G13053">
        <v>139</v>
      </c>
      <c r="H13053">
        <v>151.1</v>
      </c>
      <c r="I13053">
        <v>151.09</v>
      </c>
      <c r="J13053">
        <v>0.01</v>
      </c>
    </row>
    <row r="13054" spans="1:10" x14ac:dyDescent="0.3">
      <c r="A13054" t="str">
        <f>HYPERLINK("https://us2.cloudbeds.com/connect/10074733072513#/reservations/31716150259854?display=MX674WWQQ&amp;reservation_id=31716150259854", "MX674WWQQ")</f>
        <v>MX674WWQQ</v>
      </c>
      <c r="B13054" t="s">
        <v>10</v>
      </c>
      <c r="C13054" t="s">
        <v>42</v>
      </c>
      <c r="D13054" t="str">
        <f>HYPERLINK("https://us2.cloudbeds.com/connect/10074733072513#/reservations/31716150259854?display=Lee%20Mathison&amp;reservation_id=31716150259854&amp;guest_id=31716150259849", "Lee Mathison")</f>
        <v>Lee Mathison</v>
      </c>
      <c r="E13054" t="s">
        <v>12544</v>
      </c>
      <c r="F13054" t="s">
        <v>12371</v>
      </c>
      <c r="G13054">
        <v>149</v>
      </c>
      <c r="H13054">
        <v>161.97</v>
      </c>
      <c r="I13054">
        <v>161.96</v>
      </c>
      <c r="J13054">
        <v>0.01</v>
      </c>
    </row>
    <row r="13055" spans="1:10" x14ac:dyDescent="0.3">
      <c r="A13055" t="str">
        <f>HYPERLINK("https://us2.cloudbeds.com/connect/10074733072513#/reservations/31717489762442?display=MX78CGKZA&amp;reservation_id=31717489762442", "MX78CGKZA")</f>
        <v>MX78CGKZA</v>
      </c>
      <c r="B13055" t="s">
        <v>10</v>
      </c>
      <c r="C13055" t="s">
        <v>42</v>
      </c>
      <c r="D13055" t="str">
        <f>HYPERLINK("https://us2.cloudbeds.com/connect/10074733072513#/reservations/31717489762442?display=Kris%20Pooch&amp;reservation_id=31717489762442&amp;guest_id=30672597573794", "Kris Pooch")</f>
        <v>Kris Pooch</v>
      </c>
      <c r="E13055" t="s">
        <v>6104</v>
      </c>
      <c r="F13055" t="s">
        <v>12522</v>
      </c>
      <c r="G13055">
        <v>139</v>
      </c>
      <c r="H13055">
        <v>151.1</v>
      </c>
      <c r="I13055">
        <v>151.09</v>
      </c>
      <c r="J13055">
        <v>0.01</v>
      </c>
    </row>
    <row r="13056" spans="1:10" x14ac:dyDescent="0.3">
      <c r="A13056" t="str">
        <f>HYPERLINK("https://us2.cloudbeds.com/connect/10074733072513#/reservations/31717509337271?display=MX78T0APV&amp;reservation_id=31717509337271", "MX78T0APV")</f>
        <v>MX78T0APV</v>
      </c>
      <c r="B13056" t="s">
        <v>10</v>
      </c>
      <c r="C13056" t="s">
        <v>23</v>
      </c>
      <c r="D13056" t="str">
        <f>HYPERLINK("https://us2.cloudbeds.com/connect/10074733072513#/reservations/31717509337271?display=Mel%20Brault&amp;reservation_id=31717509337271&amp;guest_id=31717509337260", "Mel Brault")</f>
        <v>Mel Brault</v>
      </c>
      <c r="E13056" t="s">
        <v>12547</v>
      </c>
      <c r="F13056" t="s">
        <v>12371</v>
      </c>
      <c r="G13056">
        <v>97.74</v>
      </c>
      <c r="H13056">
        <v>106.25</v>
      </c>
      <c r="I13056">
        <v>106.24</v>
      </c>
      <c r="J13056">
        <v>0.01</v>
      </c>
    </row>
    <row r="13057" spans="1:10" x14ac:dyDescent="0.3">
      <c r="A13057" t="str">
        <f>HYPERLINK("https://us2.cloudbeds.com/connect/10074733072513#/reservations/31715141595267?display=MX5ECFDN8&amp;reservation_id=31715141595267", "MX5ECFDN8")</f>
        <v>MX5ECFDN8</v>
      </c>
      <c r="B13057" t="s">
        <v>10</v>
      </c>
      <c r="C13057" t="s">
        <v>23</v>
      </c>
      <c r="D13057" t="str">
        <f>HYPERLINK("https://us2.cloudbeds.com/connect/10074733072513#/reservations/31715141595267?display=Mel%20Brault&amp;reservation_id=31715141595267&amp;guest_id=31715141595265", "Mel Brault")</f>
        <v>Mel Brault</v>
      </c>
      <c r="E13057" t="s">
        <v>12547</v>
      </c>
      <c r="F13057" t="s">
        <v>12371</v>
      </c>
      <c r="G13057">
        <v>97.74</v>
      </c>
      <c r="H13057">
        <v>106.25</v>
      </c>
      <c r="I13057">
        <v>106.24</v>
      </c>
      <c r="J13057">
        <v>0.01</v>
      </c>
    </row>
    <row r="13058" spans="1:10" x14ac:dyDescent="0.3">
      <c r="A13058" t="str">
        <f>HYPERLINK("https://us2.cloudbeds.com/connect/10074733072513#/reservations/31716734312583?display=MX6M2G41B&amp;reservation_id=31716734312583", "MX6M2G41B")</f>
        <v>MX6M2G41B</v>
      </c>
      <c r="B13058" t="s">
        <v>10</v>
      </c>
      <c r="C13058" t="s">
        <v>42</v>
      </c>
      <c r="D13058" t="str">
        <f>HYPERLINK("https://us2.cloudbeds.com/connect/10074733072513#/reservations/31716734312583?display=Timofii%20Yurchenao&amp;reservation_id=31716734312583&amp;guest_id=31716734308482", "Timofii Yurchenao")</f>
        <v>Timofii Yurchenao</v>
      </c>
      <c r="E13058" t="s">
        <v>12551</v>
      </c>
      <c r="F13058" t="s">
        <v>12467</v>
      </c>
      <c r="G13058">
        <v>139</v>
      </c>
      <c r="H13058">
        <v>151.1</v>
      </c>
      <c r="I13058">
        <v>151.09</v>
      </c>
      <c r="J13058">
        <v>0.01</v>
      </c>
    </row>
    <row r="13059" spans="1:10" x14ac:dyDescent="0.3">
      <c r="A13059" t="str">
        <f>HYPERLINK("https://us2.cloudbeds.com/connect/10074733072513#/reservations/31717127790769?display=MX6W497MZ&amp;reservation_id=31717127790769", "MX6W497MZ")</f>
        <v>MX6W497MZ</v>
      </c>
      <c r="B13059" t="s">
        <v>10</v>
      </c>
      <c r="C13059" t="s">
        <v>42</v>
      </c>
      <c r="D13059" t="str">
        <f>HYPERLINK("https://us2.cloudbeds.com/connect/10074733072513#/reservations/31717127790769?display=Chad%20Lindgren&amp;reservation_id=31717127790769&amp;guest_id=31717127790764", "Chad Lindgren")</f>
        <v>Chad Lindgren</v>
      </c>
      <c r="E13059" t="s">
        <v>12553</v>
      </c>
      <c r="F13059" t="s">
        <v>12467</v>
      </c>
      <c r="G13059">
        <v>139</v>
      </c>
      <c r="H13059">
        <v>151.1</v>
      </c>
      <c r="I13059">
        <v>151.09</v>
      </c>
      <c r="J13059">
        <v>0.01</v>
      </c>
    </row>
    <row r="13060" spans="1:10" x14ac:dyDescent="0.3">
      <c r="A13060" t="str">
        <f>HYPERLINK("https://us2.cloudbeds.com/connect/10074733072513#/reservations/31713689272542?display=MX4A8RD0N&amp;reservation_id=31713689272542", "MX4A8RD0N")</f>
        <v>MX4A8RD0N</v>
      </c>
      <c r="B13060" t="s">
        <v>10</v>
      </c>
      <c r="C13060" t="s">
        <v>23</v>
      </c>
      <c r="D13060" t="str">
        <f>HYPERLINK("https://us2.cloudbeds.com/connect/10074733072513#/reservations/31713689272542?display=Arlyn%20Jons&amp;reservation_id=31713689272542&amp;guest_id=31713679343758", "Arlyn Jons")</f>
        <v>Arlyn Jons</v>
      </c>
      <c r="E13060" t="s">
        <v>12555</v>
      </c>
      <c r="F13060" t="s">
        <v>12352</v>
      </c>
      <c r="G13060">
        <v>110.86</v>
      </c>
      <c r="H13060">
        <v>120.51</v>
      </c>
      <c r="I13060">
        <v>120.5</v>
      </c>
      <c r="J13060">
        <v>0.01</v>
      </c>
    </row>
    <row r="13061" spans="1:10" x14ac:dyDescent="0.3">
      <c r="A13061" t="str">
        <f>HYPERLINK("https://us2.cloudbeds.com/connect/10074733072513#/reservations/31714890989709?display=MX57W4V7E&amp;reservation_id=31714890989709", "MX57W4V7E")</f>
        <v>MX57W4V7E</v>
      </c>
      <c r="B13061" t="s">
        <v>10</v>
      </c>
      <c r="C13061" t="s">
        <v>23</v>
      </c>
      <c r="D13061" t="str">
        <f>HYPERLINK("https://us2.cloudbeds.com/connect/10074733072513#/reservations/31714890989709?display=Aaron%20Fabre&amp;reservation_id=31714890989709&amp;guest_id=31714884645110", "Aaron Fabre")</f>
        <v>Aaron Fabre</v>
      </c>
      <c r="E13061" t="s">
        <v>12556</v>
      </c>
      <c r="F13061" t="s">
        <v>12106</v>
      </c>
      <c r="G13061">
        <v>219</v>
      </c>
      <c r="H13061">
        <v>238.06</v>
      </c>
      <c r="I13061">
        <v>238.05</v>
      </c>
      <c r="J13061">
        <v>0.01</v>
      </c>
    </row>
    <row r="13062" spans="1:10" x14ac:dyDescent="0.3">
      <c r="A13062" t="str">
        <f>HYPERLINK("https://us2.cloudbeds.com/connect/10074733072513#/reservations/31715007230169?display=MX5AV5GPK&amp;reservation_id=31715007230169", "MX5AV5GPK")</f>
        <v>MX5AV5GPK</v>
      </c>
      <c r="B13062" t="s">
        <v>10</v>
      </c>
      <c r="C13062" t="s">
        <v>42</v>
      </c>
      <c r="D13062" t="str">
        <f>HYPERLINK("https://us2.cloudbeds.com/connect/10074733072513#/reservations/31715007230169?display=Kelly%20Degezelle&amp;reservation_id=31715007230169&amp;guest_id=31715007226075", "Kelly Degezelle")</f>
        <v>Kelly Degezelle</v>
      </c>
      <c r="E13062" t="s">
        <v>12557</v>
      </c>
      <c r="F13062" t="s">
        <v>12223</v>
      </c>
      <c r="G13062">
        <v>418</v>
      </c>
      <c r="H13062">
        <v>454.38</v>
      </c>
      <c r="I13062">
        <v>454.37</v>
      </c>
      <c r="J13062">
        <v>0.01</v>
      </c>
    </row>
    <row r="13063" spans="1:10" x14ac:dyDescent="0.3">
      <c r="A13063" t="str">
        <f>HYPERLINK("https://us2.cloudbeds.com/connect/10074733072513#/reservations/31714577383601?display=MX4WVND01&amp;reservation_id=31714577383601", "MX4WVND01")</f>
        <v>MX4WVND01</v>
      </c>
      <c r="B13063" t="s">
        <v>10</v>
      </c>
      <c r="C13063" t="s">
        <v>42</v>
      </c>
      <c r="D13063" t="str">
        <f>HYPERLINK("https://us2.cloudbeds.com/connect/10074733072513#/reservations/31714577383601?display=Brian%20Bubach&amp;reservation_id=31714577383601&amp;guest_id=31714577383591", "Brian Bubach")</f>
        <v>Brian Bubach</v>
      </c>
      <c r="E13063" t="s">
        <v>12558</v>
      </c>
      <c r="F13063" t="s">
        <v>8603</v>
      </c>
      <c r="G13063">
        <v>159</v>
      </c>
      <c r="H13063">
        <v>172.84</v>
      </c>
      <c r="I13063">
        <v>172.83</v>
      </c>
      <c r="J13063">
        <v>0.01</v>
      </c>
    </row>
    <row r="13064" spans="1:10" x14ac:dyDescent="0.3">
      <c r="A13064" t="str">
        <f>HYPERLINK("https://us2.cloudbeds.com/connect/10074733072513#/reservations/31711787462885?display=MX2RM5ZB1&amp;reservation_id=31711787462885", "MX2RM5ZB1")</f>
        <v>MX2RM5ZB1</v>
      </c>
      <c r="B13064" t="s">
        <v>10</v>
      </c>
      <c r="C13064" t="s">
        <v>42</v>
      </c>
      <c r="D13064" t="str">
        <f>HYPERLINK("https://us2.cloudbeds.com/connect/10074733072513#/reservations/31711787462885?display=Malenda%20Spilde%20Butler%20Machinery&amp;reservation_id=31711787462885&amp;guest_id=31711787462880", "Malenda Spilde Butler Machinery")</f>
        <v>Malenda Spilde Butler Machinery</v>
      </c>
      <c r="E13064" t="s">
        <v>12560</v>
      </c>
      <c r="F13064" t="s">
        <v>12561</v>
      </c>
      <c r="G13064">
        <v>89</v>
      </c>
      <c r="H13064">
        <v>96.75</v>
      </c>
      <c r="I13064">
        <v>96.74</v>
      </c>
      <c r="J13064">
        <v>0.01</v>
      </c>
    </row>
    <row r="13065" spans="1:10" x14ac:dyDescent="0.3">
      <c r="A13065" t="str">
        <f>HYPERLINK("https://us2.cloudbeds.com/connect/10074733072513#/reservations/31715175821510?display=MX5F8AQP4&amp;reservation_id=31715175821510", "MX5F8AQP4")</f>
        <v>MX5F8AQP4</v>
      </c>
      <c r="B13065" t="s">
        <v>10</v>
      </c>
      <c r="C13065" t="s">
        <v>42</v>
      </c>
      <c r="D13065" t="str">
        <f>HYPERLINK("https://us2.cloudbeds.com/connect/10074733072513#/reservations/31715175821510?display=Ryan%20Ellingson&amp;reservation_id=31715175821510&amp;guest_id=31715175821508", "Ryan Ellingson")</f>
        <v>Ryan Ellingson</v>
      </c>
      <c r="E13065" t="s">
        <v>12562</v>
      </c>
      <c r="F13065" t="s">
        <v>12371</v>
      </c>
      <c r="G13065">
        <v>179</v>
      </c>
      <c r="H13065">
        <v>194.58</v>
      </c>
      <c r="I13065">
        <v>194.57</v>
      </c>
      <c r="J13065">
        <v>0.01</v>
      </c>
    </row>
    <row r="13066" spans="1:10" x14ac:dyDescent="0.3">
      <c r="A13066" t="str">
        <f>HYPERLINK("https://us2.cloudbeds.com/connect/10074733072513#/reservations/31714969530587?display=MX59WCF81&amp;reservation_id=31714969530587", "MX59WCF81")</f>
        <v>MX59WCF81</v>
      </c>
      <c r="B13066" t="s">
        <v>10</v>
      </c>
      <c r="C13066" t="s">
        <v>121</v>
      </c>
      <c r="D13066" t="str">
        <f>HYPERLINK("https://us2.cloudbeds.com/connect/10074733072513#/reservations/31714969530587?display=Jason%20West&amp;reservation_id=31714969530587&amp;guest_id=31714969530582", "Jason West")</f>
        <v>Jason West</v>
      </c>
      <c r="E13066" t="s">
        <v>12563</v>
      </c>
      <c r="F13066" t="s">
        <v>12352</v>
      </c>
      <c r="G13066">
        <v>139</v>
      </c>
      <c r="H13066">
        <v>151.1</v>
      </c>
      <c r="I13066">
        <v>151.09</v>
      </c>
      <c r="J13066">
        <v>0.01</v>
      </c>
    </row>
    <row r="13067" spans="1:10" x14ac:dyDescent="0.3">
      <c r="A13067" t="str">
        <f>HYPERLINK("https://us2.cloudbeds.com/connect/10074733072513#/reservations/31713576300769?display=MX47CXQ0Y&amp;reservation_id=31713576300769", "MX47CXQ0Y")</f>
        <v>MX47CXQ0Y</v>
      </c>
      <c r="B13067" t="s">
        <v>10</v>
      </c>
      <c r="C13067" t="s">
        <v>42</v>
      </c>
      <c r="D13067" t="str">
        <f>HYPERLINK("https://us2.cloudbeds.com/connect/10074733072513#/reservations/31713576300769?display=Malenda%20Spilde%20Butler%20Machinery&amp;reservation_id=31713576300769&amp;guest_id=31711787462880", "Malenda Spilde Butler Machinery")</f>
        <v>Malenda Spilde Butler Machinery</v>
      </c>
      <c r="E13067" t="s">
        <v>12560</v>
      </c>
      <c r="F13067" t="s">
        <v>12564</v>
      </c>
      <c r="G13067">
        <v>89</v>
      </c>
      <c r="H13067">
        <v>96.75</v>
      </c>
      <c r="I13067">
        <v>96.74</v>
      </c>
      <c r="J13067">
        <v>0.01</v>
      </c>
    </row>
    <row r="13068" spans="1:10" x14ac:dyDescent="0.3">
      <c r="A13068" t="str">
        <f>HYPERLINK("https://us2.cloudbeds.com/connect/10074733072513#/reservations/31711176765677?display=MX2C27661&amp;reservation_id=31711176765677", "MX2C27661")</f>
        <v>MX2C27661</v>
      </c>
      <c r="B13068" t="s">
        <v>10</v>
      </c>
      <c r="C13068" t="s">
        <v>42</v>
      </c>
      <c r="D13068" t="str">
        <f>HYPERLINK("https://us2.cloudbeds.com/connect/10074733072513#/reservations/31711176765677?display=Shannon%20Spilde%20Butler%20Machinery&amp;reservation_id=31711176765677&amp;guest_id=31711176765672", "Shannon Spilde Butler Machinery")</f>
        <v>Shannon Spilde Butler Machinery</v>
      </c>
      <c r="E13068" t="s">
        <v>12560</v>
      </c>
      <c r="F13068" t="s">
        <v>12564</v>
      </c>
      <c r="G13068">
        <v>89</v>
      </c>
      <c r="H13068">
        <v>96.75</v>
      </c>
      <c r="I13068">
        <v>96.74</v>
      </c>
      <c r="J13068">
        <v>0.01</v>
      </c>
    </row>
    <row r="13069" spans="1:10" x14ac:dyDescent="0.3">
      <c r="A13069" t="str">
        <f>HYPERLINK("https://us2.cloudbeds.com/connect/10074733072513#/reservations/31713074352288?display=MX3RXAAVK&amp;reservation_id=31713074352288", "MX3RXAAVK")</f>
        <v>MX3RXAAVK</v>
      </c>
      <c r="B13069" t="s">
        <v>10</v>
      </c>
      <c r="C13069" t="s">
        <v>42</v>
      </c>
      <c r="D13069" t="str">
        <f>HYPERLINK("https://us2.cloudbeds.com/connect/10074733072513#/reservations/31713074352288?display=Connor%20Whitney&amp;reservation_id=31713074352288&amp;guest_id=31713057394898", "Connor Whitney")</f>
        <v>Connor Whitney</v>
      </c>
      <c r="E13069" t="s">
        <v>12568</v>
      </c>
      <c r="F13069" t="s">
        <v>9834</v>
      </c>
      <c r="G13069">
        <v>318</v>
      </c>
      <c r="H13069">
        <v>345.68</v>
      </c>
      <c r="I13069">
        <v>345.67</v>
      </c>
      <c r="J13069">
        <v>0.01</v>
      </c>
    </row>
    <row r="13070" spans="1:10" x14ac:dyDescent="0.3">
      <c r="A13070" t="str">
        <f>HYPERLINK("https://us2.cloudbeds.com/connect/10074733072513#/reservations/31717454663842?display=MX77FTVKC&amp;reservation_id=31717454663842", "MX77FTVKC")</f>
        <v>MX77FTVKC</v>
      </c>
      <c r="B13070" t="s">
        <v>10</v>
      </c>
      <c r="C13070" t="s">
        <v>42</v>
      </c>
      <c r="D13070" t="str">
        <f>HYPERLINK("https://us2.cloudbeds.com/connect/10074733072513#/reservations/31717454663842?display=Justin%20Leiva%20Bride%20And%20Groom&amp;reservation_id=31717454663842&amp;guest_id=31717442543809", "Justin Leiva Bride And Groom")</f>
        <v>Justin Leiva Bride And Groom</v>
      </c>
      <c r="E13070" t="s">
        <v>12570</v>
      </c>
      <c r="F13070" t="s">
        <v>12522</v>
      </c>
      <c r="G13070">
        <v>169</v>
      </c>
      <c r="H13070">
        <v>183.71</v>
      </c>
      <c r="I13070">
        <v>183.7</v>
      </c>
      <c r="J13070">
        <v>0.01</v>
      </c>
    </row>
    <row r="13071" spans="1:10" x14ac:dyDescent="0.3">
      <c r="A13071" t="str">
        <f>HYPERLINK("https://us2.cloudbeds.com/connect/10074733072513#/reservations/31700946768028?display=MHREM0DV9&amp;reservation_id=31700946768028", "MHREM0DV9")</f>
        <v>MHREM0DV9</v>
      </c>
      <c r="B13071" t="s">
        <v>10</v>
      </c>
      <c r="C13071" t="s">
        <v>42</v>
      </c>
      <c r="D13071" t="str">
        <f>HYPERLINK("https://us2.cloudbeds.com/connect/10074733072513#/reservations/31700946768028?display=Riley%20Schmeling&amp;reservation_id=31700946768028&amp;guest_id=31700938330367", "Riley Schmeling")</f>
        <v>Riley Schmeling</v>
      </c>
      <c r="E13071" t="s">
        <v>12572</v>
      </c>
      <c r="F13071" t="s">
        <v>11134</v>
      </c>
      <c r="G13071">
        <v>199</v>
      </c>
      <c r="H13071">
        <v>216.32</v>
      </c>
      <c r="I13071">
        <v>216.31</v>
      </c>
      <c r="J13071">
        <v>0.01</v>
      </c>
    </row>
    <row r="13072" spans="1:10" x14ac:dyDescent="0.3">
      <c r="A13072" t="str">
        <f>HYPERLINK("https://us2.cloudbeds.com/connect/10074733072513#/reservations/31715007226077?display=MX5AV5D0K&amp;reservation_id=31715007226077", "MX5AV5D0K")</f>
        <v>MX5AV5D0K</v>
      </c>
      <c r="B13072" t="s">
        <v>10</v>
      </c>
      <c r="C13072" t="s">
        <v>23</v>
      </c>
      <c r="D13072" t="str">
        <f>HYPERLINK("https://us2.cloudbeds.com/connect/10074733072513#/reservations/31715007226077?display=Vince%20Lopez&amp;reservation_id=31715007226077&amp;guest_id=31715007226061", "Vince Lopez")</f>
        <v>Vince Lopez</v>
      </c>
      <c r="E13072" t="s">
        <v>12573</v>
      </c>
      <c r="F13072" t="s">
        <v>12352</v>
      </c>
      <c r="G13072">
        <v>102.58</v>
      </c>
      <c r="H13072">
        <v>111.51</v>
      </c>
      <c r="I13072">
        <v>111.5</v>
      </c>
      <c r="J13072">
        <v>0.01</v>
      </c>
    </row>
    <row r="13073" spans="1:10" x14ac:dyDescent="0.3">
      <c r="A13073" t="str">
        <f>HYPERLINK("https://us2.cloudbeds.com/connect/10074733072513#/reservations/31711813169354?display=MX2SAS1TV&amp;reservation_id=31711813169354", "MX2SAS1TV")</f>
        <v>MX2SAS1TV</v>
      </c>
      <c r="B13073" t="s">
        <v>10</v>
      </c>
      <c r="C13073" t="s">
        <v>42</v>
      </c>
      <c r="D13073" t="str">
        <f>HYPERLINK("https://us2.cloudbeds.com/connect/10074733072513#/reservations/31711813169354?display=Abby%20Wagner%20Butler%20Machinery&amp;reservation_id=31711813169354&amp;guest_id=31711813169349", "Abby Wagner Butler Machinery")</f>
        <v>Abby Wagner Butler Machinery</v>
      </c>
      <c r="E13073" t="s">
        <v>12560</v>
      </c>
      <c r="F13073" t="s">
        <v>12561</v>
      </c>
      <c r="G13073">
        <v>89</v>
      </c>
      <c r="H13073">
        <v>96.75</v>
      </c>
      <c r="I13073">
        <v>96.74</v>
      </c>
      <c r="J13073">
        <v>0.01</v>
      </c>
    </row>
    <row r="13074" spans="1:10" x14ac:dyDescent="0.3">
      <c r="A13074" t="str">
        <f>HYPERLINK("https://us2.cloudbeds.com/connect/10074733072513#/reservations/31716990132370?display=MX6SK6MK3&amp;reservation_id=31716990132370", "MX6SK6MK3")</f>
        <v>MX6SK6MK3</v>
      </c>
      <c r="B13074" t="s">
        <v>10</v>
      </c>
      <c r="C13074" t="s">
        <v>42</v>
      </c>
      <c r="D13074" t="str">
        <f>HYPERLINK("https://us2.cloudbeds.com/connect/10074733072513#/reservations/31716990132370?display=Karleah%20Vander%20Pol&amp;reservation_id=31716990132370&amp;guest_id=31716990132368", "Karleah Vander Pol")</f>
        <v>Karleah Vander Pol</v>
      </c>
      <c r="E13074" t="s">
        <v>12575</v>
      </c>
      <c r="F13074" t="s">
        <v>12340</v>
      </c>
      <c r="G13074">
        <v>169</v>
      </c>
      <c r="H13074">
        <v>183.71</v>
      </c>
      <c r="I13074">
        <v>183.7</v>
      </c>
      <c r="J13074">
        <v>0.01</v>
      </c>
    </row>
    <row r="13075" spans="1:10" x14ac:dyDescent="0.3">
      <c r="A13075" t="str">
        <f>HYPERLINK("https://us2.cloudbeds.com/connect/10074733072513#/reservations/31715284078786?display=MX5X0K7XY&amp;reservation_id=31715284078786", "MX5X0K7XY")</f>
        <v>MX5X0K7XY</v>
      </c>
      <c r="B13075" t="s">
        <v>10</v>
      </c>
      <c r="C13075" t="s">
        <v>23</v>
      </c>
      <c r="D13075" t="str">
        <f>HYPERLINK("https://us2.cloudbeds.com/connect/10074733072513#/reservations/31715284078786?display=Marcy%20Knobloch&amp;reservation_id=31715284078786&amp;guest_id=31715276603612", "Marcy Knobloch")</f>
        <v>Marcy Knobloch</v>
      </c>
      <c r="E13075" t="s">
        <v>12576</v>
      </c>
      <c r="F13075" t="s">
        <v>11694</v>
      </c>
      <c r="G13075">
        <v>189</v>
      </c>
      <c r="H13075">
        <v>205.45</v>
      </c>
      <c r="I13075">
        <v>205.44</v>
      </c>
      <c r="J13075">
        <v>0.01</v>
      </c>
    </row>
    <row r="13076" spans="1:10" x14ac:dyDescent="0.3">
      <c r="A13076" t="str">
        <f>HYPERLINK("https://us2.cloudbeds.com/connect/10074733072513#/reservations/31716544618672?display=MX6H7HK40&amp;reservation_id=31716544618672", "MX6H7HK40")</f>
        <v>MX6H7HK40</v>
      </c>
      <c r="B13076" t="s">
        <v>10</v>
      </c>
      <c r="C13076" t="s">
        <v>23</v>
      </c>
      <c r="D13076" t="str">
        <f>HYPERLINK("https://us2.cloudbeds.com/connect/10074733072513#/reservations/31716544618672?display=Mia%20Bergman&amp;reservation_id=31716544618672&amp;guest_id=31716544618666", "Mia Bergman")</f>
        <v>Mia Bergman</v>
      </c>
      <c r="E13076" t="s">
        <v>12577</v>
      </c>
      <c r="F13076" t="s">
        <v>12407</v>
      </c>
      <c r="G13076">
        <v>219</v>
      </c>
      <c r="H13076">
        <v>238.06</v>
      </c>
      <c r="I13076">
        <v>238.05</v>
      </c>
      <c r="J13076">
        <v>0.01</v>
      </c>
    </row>
    <row r="13077" spans="1:10" x14ac:dyDescent="0.3">
      <c r="A13077" t="str">
        <f>HYPERLINK("https://us2.cloudbeds.com/connect/10074733072513#/reservations/31716505346192?display=MX6G7DQ7S&amp;reservation_id=31716505346192", "MX6G7DQ7S")</f>
        <v>MX6G7DQ7S</v>
      </c>
      <c r="B13077" t="s">
        <v>10</v>
      </c>
      <c r="C13077" t="s">
        <v>23</v>
      </c>
      <c r="D13077" t="str">
        <f>HYPERLINK("https://us2.cloudbeds.com/connect/10074733072513#/reservations/31716505346192?display=Preston%20Nolan&amp;reservation_id=31716505346192&amp;guest_id=31716505346187", "Preston Nolan")</f>
        <v>Preston Nolan</v>
      </c>
      <c r="E13077" t="s">
        <v>12578</v>
      </c>
      <c r="F13077" t="s">
        <v>12407</v>
      </c>
      <c r="G13077">
        <v>219</v>
      </c>
      <c r="H13077">
        <v>238.06</v>
      </c>
      <c r="I13077">
        <v>238.05</v>
      </c>
      <c r="J13077">
        <v>0.01</v>
      </c>
    </row>
    <row r="13078" spans="1:10" x14ac:dyDescent="0.3">
      <c r="A13078" t="str">
        <f>HYPERLINK("https://us2.cloudbeds.com/connect/10074733072513#/reservations/31711929467129?display=MX2V9U72V&amp;reservation_id=31711929467129", "MX2V9U72V")</f>
        <v>MX2V9U72V</v>
      </c>
      <c r="B13078" t="s">
        <v>10</v>
      </c>
      <c r="C13078" t="s">
        <v>42</v>
      </c>
      <c r="D13078" t="str">
        <f>HYPERLINK("https://us2.cloudbeds.com/connect/10074733072513#/reservations/31711929467129?display=Shannon%20Spilde%20Butler%20Machinery&amp;reservation_id=31711929467129&amp;guest_id=31711176765672", "Shannon Spilde Butler Machinery")</f>
        <v>Shannon Spilde Butler Machinery</v>
      </c>
      <c r="E13078" t="s">
        <v>12560</v>
      </c>
      <c r="F13078" t="s">
        <v>12561</v>
      </c>
      <c r="G13078">
        <v>89</v>
      </c>
      <c r="H13078">
        <v>96.75</v>
      </c>
      <c r="I13078">
        <v>96.74</v>
      </c>
      <c r="J13078">
        <v>0.01</v>
      </c>
    </row>
    <row r="13079" spans="1:10" x14ac:dyDescent="0.3">
      <c r="A13079" t="str">
        <f>HYPERLINK("https://us2.cloudbeds.com/connect/10074733072513#/reservations/31711512617102?display=MX2KYDZMV&amp;reservation_id=31711512617102", "MX2KYDZMV")</f>
        <v>MX2KYDZMV</v>
      </c>
      <c r="B13079" t="s">
        <v>10</v>
      </c>
      <c r="C13079" t="s">
        <v>42</v>
      </c>
      <c r="D13079" t="str">
        <f>HYPERLINK("https://us2.cloudbeds.com/connect/10074733072513#/reservations/31711512617102?display=Harvey%20Alsum&amp;reservation_id=31711512617102&amp;guest_id=31711512617091", "Harvey Alsum")</f>
        <v>Harvey Alsum</v>
      </c>
      <c r="E13079" t="s">
        <v>12579</v>
      </c>
      <c r="F13079" t="s">
        <v>12580</v>
      </c>
      <c r="G13079">
        <v>169</v>
      </c>
      <c r="H13079">
        <v>183.71</v>
      </c>
      <c r="I13079">
        <v>183.7</v>
      </c>
      <c r="J13079">
        <v>0.01</v>
      </c>
    </row>
    <row r="13080" spans="1:10" x14ac:dyDescent="0.3">
      <c r="A13080" t="str">
        <f>HYPERLINK("https://us2.cloudbeds.com/connect/10074733072513#/reservations/31714367041787?display=MX4RJBAYM&amp;reservation_id=31714367041787", "MX4RJBAYM")</f>
        <v>MX4RJBAYM</v>
      </c>
      <c r="B13080" t="s">
        <v>10</v>
      </c>
      <c r="C13080" t="s">
        <v>121</v>
      </c>
      <c r="D13080" t="str">
        <f>HYPERLINK("https://us2.cloudbeds.com/connect/10074733072513#/reservations/31714367041787?display=Connie%20Hohn&amp;reservation_id=31714367041787&amp;guest_id=31714367041782", "Connie Hohn")</f>
        <v>Connie Hohn</v>
      </c>
      <c r="E13080" t="s">
        <v>11798</v>
      </c>
      <c r="F13080" t="s">
        <v>12371</v>
      </c>
      <c r="G13080">
        <v>179</v>
      </c>
      <c r="H13080">
        <v>194.58</v>
      </c>
      <c r="I13080">
        <v>194.57</v>
      </c>
      <c r="J13080">
        <v>0.01</v>
      </c>
    </row>
    <row r="13081" spans="1:10" x14ac:dyDescent="0.3">
      <c r="A13081" t="str">
        <f>HYPERLINK("https://us2.cloudbeds.com/connect/10074733072513#/reservations/31714727649506?display=MX53QDP7A&amp;reservation_id=31714727649506", "MX53QDP7A")</f>
        <v>MX53QDP7A</v>
      </c>
      <c r="B13081" t="s">
        <v>10</v>
      </c>
      <c r="C13081" t="s">
        <v>42</v>
      </c>
      <c r="D13081" t="str">
        <f>HYPERLINK("https://us2.cloudbeds.com/connect/10074733072513#/reservations/31714727649506?display=Shawn%20Hanson&amp;reservation_id=31714727649506&amp;guest_id=31714727649490", "Shawn Hanson")</f>
        <v>Shawn Hanson</v>
      </c>
      <c r="E13081" t="s">
        <v>12581</v>
      </c>
      <c r="F13081" t="s">
        <v>11281</v>
      </c>
      <c r="G13081">
        <v>89</v>
      </c>
      <c r="H13081">
        <v>96.75</v>
      </c>
      <c r="I13081">
        <v>96.74</v>
      </c>
      <c r="J13081">
        <v>0.01</v>
      </c>
    </row>
    <row r="13082" spans="1:10" x14ac:dyDescent="0.3">
      <c r="A13082" t="str">
        <f>HYPERLINK("https://us2.cloudbeds.com/connect/10074733072513#/reservations/31711126851739?display=MX2AQ48HF&amp;reservation_id=31711126851739", "MX2AQ48HF")</f>
        <v>MX2AQ48HF</v>
      </c>
      <c r="B13082" t="s">
        <v>10</v>
      </c>
      <c r="C13082" t="s">
        <v>42</v>
      </c>
      <c r="D13082" t="str">
        <f>HYPERLINK("https://us2.cloudbeds.com/connect/10074733072513#/reservations/31711126851739?display=Abby%20Wagner%20Butler%20Machinery&amp;reservation_id=31711126851739&amp;guest_id=31711126851734", "Abby Wagner Butler Machinery")</f>
        <v>Abby Wagner Butler Machinery</v>
      </c>
      <c r="E13082" t="s">
        <v>12582</v>
      </c>
      <c r="F13082" t="s">
        <v>12564</v>
      </c>
      <c r="G13082">
        <v>89</v>
      </c>
      <c r="H13082">
        <v>96.75</v>
      </c>
      <c r="I13082">
        <v>96.74</v>
      </c>
      <c r="J13082">
        <v>0.01</v>
      </c>
    </row>
    <row r="13083" spans="1:10" x14ac:dyDescent="0.3">
      <c r="A13083" t="str">
        <f>HYPERLINK("https://us2.cloudbeds.com/connect/10074733072513#/reservations/31715174092940?display=MX5F6SNEW&amp;reservation_id=31715174092940", "MX5F6SNEW")</f>
        <v>MX5F6SNEW</v>
      </c>
      <c r="B13083" t="s">
        <v>10</v>
      </c>
      <c r="C13083" t="s">
        <v>42</v>
      </c>
      <c r="D13083" t="str">
        <f>HYPERLINK("https://us2.cloudbeds.com/connect/10074733072513#/reservations/31715174092940?display=Ken%20Fidler&amp;reservation_id=31715174092940&amp;guest_id=31715164147857", "Ken Fidler")</f>
        <v>Ken Fidler</v>
      </c>
      <c r="E13083" t="s">
        <v>12583</v>
      </c>
      <c r="F13083" t="s">
        <v>12371</v>
      </c>
      <c r="G13083">
        <v>149</v>
      </c>
      <c r="H13083">
        <v>161.97</v>
      </c>
      <c r="I13083">
        <v>161.96</v>
      </c>
      <c r="J13083">
        <v>0.01</v>
      </c>
    </row>
    <row r="13084" spans="1:10" x14ac:dyDescent="0.3">
      <c r="A13084" t="str">
        <f>HYPERLINK("https://us2.cloudbeds.com/connect/10074733072513#/reservations/31717036056782?display=MX6TPUJPV&amp;reservation_id=31717036056782", "MX6TPUJPV")</f>
        <v>MX6TPUJPV</v>
      </c>
      <c r="B13084" t="s">
        <v>10</v>
      </c>
      <c r="C13084" t="s">
        <v>42</v>
      </c>
      <c r="D13084" t="str">
        <f>HYPERLINK("https://us2.cloudbeds.com/connect/10074733072513#/reservations/31717036056782?display=Keith%20Anderson&amp;reservation_id=31717036056782&amp;guest_id=17963406844038", "Keith Anderson")</f>
        <v>Keith Anderson</v>
      </c>
      <c r="E13084" t="s">
        <v>8040</v>
      </c>
      <c r="F13084" t="s">
        <v>12340</v>
      </c>
      <c r="G13084">
        <v>336</v>
      </c>
      <c r="H13084">
        <v>365.24</v>
      </c>
      <c r="I13084">
        <v>365.23</v>
      </c>
      <c r="J13084">
        <v>0.01</v>
      </c>
    </row>
    <row r="13085" spans="1:10" x14ac:dyDescent="0.3">
      <c r="A13085" t="str">
        <f>HYPERLINK("https://us2.cloudbeds.com/connect/10074733072513#/reservations/31717330268364?display=MX74A0FHE&amp;reservation_id=31717330268364", "MX74A0FHE")</f>
        <v>MX74A0FHE</v>
      </c>
      <c r="B13085" t="s">
        <v>10</v>
      </c>
      <c r="C13085" t="s">
        <v>42</v>
      </c>
      <c r="D13085" t="str">
        <f>HYPERLINK("https://us2.cloudbeds.com/connect/10074733072513#/reservations/31717330268364?display=Jason%20Bunger&amp;reservation_id=31717330268364&amp;guest_id=30674118402186", "Jason Bunger")</f>
        <v>Jason Bunger</v>
      </c>
      <c r="E13085" t="s">
        <v>12585</v>
      </c>
      <c r="F13085" t="s">
        <v>12407</v>
      </c>
      <c r="G13085">
        <v>229</v>
      </c>
      <c r="H13085">
        <v>248.93</v>
      </c>
      <c r="I13085">
        <v>248.92</v>
      </c>
      <c r="J13085">
        <v>0.01</v>
      </c>
    </row>
    <row r="13086" spans="1:10" x14ac:dyDescent="0.3">
      <c r="A13086" t="str">
        <f>HYPERLINK("https://us2.cloudbeds.com/connect/10074733072513#/reservations/31717269176512?display=MX72F0DAC&amp;reservation_id=31717269176512", "MX72F0DAC")</f>
        <v>MX72F0DAC</v>
      </c>
      <c r="B13086" t="s">
        <v>10</v>
      </c>
      <c r="C13086" t="s">
        <v>23</v>
      </c>
      <c r="D13086" t="str">
        <f>HYPERLINK("https://us2.cloudbeds.com/connect/10074733072513#/reservations/31717269176512?display=Mark%20Williams&amp;reservation_id=31717269176512&amp;guest_id=31717257920671", "Mark Williams")</f>
        <v>Mark Williams</v>
      </c>
      <c r="E13086" t="s">
        <v>11404</v>
      </c>
      <c r="F13086" t="s">
        <v>12407</v>
      </c>
      <c r="G13086">
        <v>189</v>
      </c>
      <c r="H13086">
        <v>205.45</v>
      </c>
      <c r="I13086">
        <v>205.44</v>
      </c>
      <c r="J13086">
        <v>0.01</v>
      </c>
    </row>
    <row r="13087" spans="1:10" x14ac:dyDescent="0.3">
      <c r="A13087" t="str">
        <f>HYPERLINK("https://us2.cloudbeds.com/connect/10074733072513#/reservations/31716134191347?display=MX66ZESHB&amp;reservation_id=31716134191347", "MX66ZESHB")</f>
        <v>MX66ZESHB</v>
      </c>
      <c r="B13087" t="s">
        <v>10</v>
      </c>
      <c r="C13087" t="s">
        <v>42</v>
      </c>
      <c r="D13087" t="str">
        <f>HYPERLINK("https://us2.cloudbeds.com/connect/10074733072513#/reservations/31716134191347?display=Matthew%20Geibel&amp;reservation_id=31716134191347&amp;guest_id=31716134191345", "Matthew Geibel")</f>
        <v>Matthew Geibel</v>
      </c>
      <c r="E13087" t="s">
        <v>12586</v>
      </c>
      <c r="F13087" t="s">
        <v>12352</v>
      </c>
      <c r="G13087">
        <v>73</v>
      </c>
      <c r="H13087">
        <v>79.36</v>
      </c>
      <c r="I13087">
        <v>79.349999999999994</v>
      </c>
      <c r="J13087">
        <v>0.01</v>
      </c>
    </row>
    <row r="13088" spans="1:10" x14ac:dyDescent="0.3">
      <c r="A13088" t="str">
        <f>HYPERLINK("https://us2.cloudbeds.com/connect/10074733072513#/reservations/31716063764616?display=MX64V24GW&amp;reservation_id=31716063764616", "MX64V24GW")</f>
        <v>MX64V24GW</v>
      </c>
      <c r="B13088" t="s">
        <v>10</v>
      </c>
      <c r="C13088" t="s">
        <v>121</v>
      </c>
      <c r="D13088" t="str">
        <f>HYPERLINK("https://us2.cloudbeds.com/connect/10074733072513#/reservations/31716063764616?display=Ryan%20Artz&amp;reservation_id=31716063764616&amp;guest_id=31715379437741", "Ryan Artz")</f>
        <v>Ryan Artz</v>
      </c>
      <c r="E13088" t="s">
        <v>12587</v>
      </c>
      <c r="F13088" t="s">
        <v>12352</v>
      </c>
      <c r="G13088">
        <v>139</v>
      </c>
      <c r="H13088">
        <v>151.1</v>
      </c>
      <c r="I13088">
        <v>151.09</v>
      </c>
      <c r="J13088">
        <v>0.01</v>
      </c>
    </row>
    <row r="13089" spans="1:10" x14ac:dyDescent="0.3">
      <c r="A13089" t="str">
        <f>HYPERLINK("https://us2.cloudbeds.com/connect/10074733072513#/reservations/31715847807181?display=MX5WDVQG9&amp;reservation_id=31715847807181", "MX5WDVQG9")</f>
        <v>MX5WDVQG9</v>
      </c>
      <c r="B13089" t="s">
        <v>10</v>
      </c>
      <c r="C13089" t="s">
        <v>42</v>
      </c>
      <c r="D13089" t="str">
        <f>HYPERLINK("https://us2.cloudbeds.com/connect/10074733072513#/reservations/31715847807181?display=Carter%20Jurrens&amp;reservation_id=31715847807181&amp;guest_id=31715847803097", "Carter Jurrens")</f>
        <v>Carter Jurrens</v>
      </c>
      <c r="E13089" t="s">
        <v>12588</v>
      </c>
      <c r="F13089" t="s">
        <v>11281</v>
      </c>
      <c r="G13089">
        <v>209</v>
      </c>
      <c r="H13089">
        <v>227.19</v>
      </c>
      <c r="I13089">
        <v>227.18</v>
      </c>
      <c r="J13089">
        <v>0.01</v>
      </c>
    </row>
    <row r="13090" spans="1:10" x14ac:dyDescent="0.3">
      <c r="A13090" t="str">
        <f>HYPERLINK("https://us2.cloudbeds.com/connect/10074733072513#/reservations/31715520356489?display=MX5Z1S051&amp;reservation_id=31715520356489", "MX5Z1S051")</f>
        <v>MX5Z1S051</v>
      </c>
      <c r="B13090" t="s">
        <v>10</v>
      </c>
      <c r="C13090" t="s">
        <v>42</v>
      </c>
      <c r="D13090" t="str">
        <f>HYPERLINK("https://us2.cloudbeds.com/connect/10074733072513#/reservations/31715520356489?display=Dave%20Mccandless&amp;reservation_id=31715520356489&amp;guest_id=31677327991015", "Dave Mccandless")</f>
        <v>Dave Mccandless</v>
      </c>
      <c r="E13090" t="s">
        <v>6185</v>
      </c>
      <c r="F13090" t="s">
        <v>11628</v>
      </c>
      <c r="G13090">
        <v>89</v>
      </c>
      <c r="H13090">
        <v>96.75</v>
      </c>
      <c r="I13090">
        <v>96.74</v>
      </c>
      <c r="J13090">
        <v>0.01</v>
      </c>
    </row>
    <row r="13091" spans="1:10" x14ac:dyDescent="0.3">
      <c r="A13091" t="str">
        <f>HYPERLINK("https://us2.cloudbeds.com/connect/10074733072513#/reservations/31714958282975?display=MX59MTFSA&amp;reservation_id=31714958282975", "MX59MTFSA")</f>
        <v>MX59MTFSA</v>
      </c>
      <c r="B13091" t="s">
        <v>10</v>
      </c>
      <c r="C13091" t="s">
        <v>23</v>
      </c>
      <c r="D13091" t="str">
        <f>HYPERLINK("https://us2.cloudbeds.com/connect/10074733072513#/reservations/31714958282975?display=Tanya%20Light&amp;reservation_id=31714958282975&amp;guest_id=31714950340807", "Tanya Light")</f>
        <v>Tanya Light</v>
      </c>
      <c r="E13091" t="s">
        <v>12590</v>
      </c>
      <c r="F13091" t="s">
        <v>12352</v>
      </c>
      <c r="G13091">
        <v>139</v>
      </c>
      <c r="H13091">
        <v>151.1</v>
      </c>
      <c r="I13091">
        <v>151.09</v>
      </c>
      <c r="J13091">
        <v>0.01</v>
      </c>
    </row>
    <row r="13092" spans="1:10" x14ac:dyDescent="0.3">
      <c r="A13092" t="str">
        <f>HYPERLINK("https://us2.cloudbeds.com/connect/10074733072513#/reservations/31713704976531?display=MX4AM2CJ5&amp;reservation_id=31713704976531", "MX4AM2CJ5")</f>
        <v>MX4AM2CJ5</v>
      </c>
      <c r="B13092" t="s">
        <v>10</v>
      </c>
      <c r="C13092" t="s">
        <v>121</v>
      </c>
      <c r="D13092" t="str">
        <f>HYPERLINK("https://us2.cloudbeds.com/connect/10074733072513#/reservations/31713704976531?display=Roland%20Dalton&amp;reservation_id=31713704976531&amp;guest_id=31713704972450", "Roland Dalton")</f>
        <v>Roland Dalton</v>
      </c>
      <c r="E13092" t="s">
        <v>12591</v>
      </c>
      <c r="F13092" t="s">
        <v>12407</v>
      </c>
      <c r="G13092">
        <v>169</v>
      </c>
      <c r="H13092">
        <v>183.71</v>
      </c>
      <c r="I13092">
        <v>183.7</v>
      </c>
      <c r="J13092">
        <v>0.01</v>
      </c>
    </row>
    <row r="13093" spans="1:10" x14ac:dyDescent="0.3">
      <c r="A13093" t="str">
        <f>HYPERLINK("https://us2.cloudbeds.com/connect/10074733072513#/reservations/31713592590566?display=MX47QA2GS&amp;reservation_id=31713592590566", "MX47QA2GS")</f>
        <v>MX47QA2GS</v>
      </c>
      <c r="B13093" t="s">
        <v>10</v>
      </c>
      <c r="C13093" t="s">
        <v>42</v>
      </c>
      <c r="D13093" t="str">
        <f>HYPERLINK("https://us2.cloudbeds.com/connect/10074733072513#/reservations/31713592590566?display=Chad%20Hauck&amp;reservation_id=31713592590566&amp;guest_id=17963360571554", "Chad Hauck")</f>
        <v>Chad Hauck</v>
      </c>
      <c r="E13093" t="s">
        <v>9431</v>
      </c>
      <c r="F13093" t="s">
        <v>11904</v>
      </c>
      <c r="G13093">
        <v>73</v>
      </c>
      <c r="H13093">
        <v>79.36</v>
      </c>
      <c r="I13093">
        <v>79.349999999999994</v>
      </c>
      <c r="J13093">
        <v>0.01</v>
      </c>
    </row>
    <row r="13094" spans="1:10" x14ac:dyDescent="0.3">
      <c r="A13094" t="str">
        <f>HYPERLINK("https://us2.cloudbeds.com/connect/10074733072513#/reservations/31717442539718?display=MX775MJBM&amp;reservation_id=31717442539718", "MX775MJBM")</f>
        <v>MX775MJBM</v>
      </c>
      <c r="B13094" t="s">
        <v>10</v>
      </c>
      <c r="C13094" t="s">
        <v>23</v>
      </c>
      <c r="D13094" t="str">
        <f>HYPERLINK("https://us2.cloudbeds.com/connect/10074733072513#/reservations/31717442539718?display=Dave%20Bult&amp;reservation_id=31717442539718&amp;guest_id=31717431791826", "Dave Bult")</f>
        <v>Dave Bult</v>
      </c>
      <c r="E13094" t="s">
        <v>6784</v>
      </c>
      <c r="F13094" t="s">
        <v>12522</v>
      </c>
      <c r="G13094">
        <v>139</v>
      </c>
      <c r="H13094">
        <v>151.1</v>
      </c>
      <c r="I13094">
        <v>151.09</v>
      </c>
      <c r="J13094">
        <v>0.01</v>
      </c>
    </row>
    <row r="13095" spans="1:10" x14ac:dyDescent="0.3">
      <c r="A13095" t="str">
        <f>HYPERLINK("https://us2.cloudbeds.com/connect/10074733072513#/reservations/31710914719945?display=MX25C8CG9&amp;reservation_id=31710914719945", "MX25C8CG9")</f>
        <v>MX25C8CG9</v>
      </c>
      <c r="B13095" t="s">
        <v>10</v>
      </c>
      <c r="C13095" t="s">
        <v>42</v>
      </c>
      <c r="D13095" t="str">
        <f>HYPERLINK("https://us2.cloudbeds.com/connect/10074733072513#/reservations/31710914719945?display=Debbie%20Anderson&amp;reservation_id=31710914719945&amp;guest_id=31710903201970", "Debbie Anderson")</f>
        <v>Debbie Anderson</v>
      </c>
      <c r="E13095" t="s">
        <v>12593</v>
      </c>
      <c r="F13095" t="s">
        <v>10330</v>
      </c>
      <c r="G13095">
        <v>159</v>
      </c>
      <c r="H13095">
        <v>172.84</v>
      </c>
      <c r="I13095">
        <v>172.83</v>
      </c>
      <c r="J13095">
        <v>0.01</v>
      </c>
    </row>
    <row r="13096" spans="1:10" x14ac:dyDescent="0.3">
      <c r="A13096" t="str">
        <f>HYPERLINK("https://us2.cloudbeds.com/connect/10074733072513#/reservations/31717482635498?display=MX786GA8A&amp;reservation_id=31717482635498", "MX786GA8A")</f>
        <v>MX786GA8A</v>
      </c>
      <c r="B13096" t="s">
        <v>10</v>
      </c>
      <c r="C13096" t="s">
        <v>121</v>
      </c>
      <c r="D13096" t="str">
        <f>HYPERLINK("https://us2.cloudbeds.com/connect/10074733072513#/reservations/31717482635498?display=Jerry%20Del%20Pilar%20Gonzalez&amp;reservation_id=31717482635498&amp;guest_id=31717482635480", "Jerry Del Pilar Gonzalez")</f>
        <v>Jerry Del Pilar Gonzalez</v>
      </c>
      <c r="E13096" t="s">
        <v>12594</v>
      </c>
      <c r="F13096" t="s">
        <v>12522</v>
      </c>
      <c r="G13096">
        <v>313.2</v>
      </c>
      <c r="H13096">
        <v>340.46</v>
      </c>
      <c r="I13096">
        <v>340.45</v>
      </c>
      <c r="J13096">
        <v>0.01</v>
      </c>
    </row>
    <row r="13097" spans="1:10" x14ac:dyDescent="0.3">
      <c r="A13097" t="str">
        <f>HYPERLINK("https://us2.cloudbeds.com/connect/10074733072513#/reservations/31716519968992?display=MX6GJZMW0&amp;reservation_id=31716519968992", "MX6GJZMW0")</f>
        <v>MX6GJZMW0</v>
      </c>
      <c r="B13097" t="s">
        <v>10</v>
      </c>
      <c r="C13097" t="s">
        <v>42</v>
      </c>
      <c r="D13097" t="str">
        <f>HYPERLINK("https://us2.cloudbeds.com/connect/10074733072513#/reservations/31716519968992?display=Corinne%20Ader&amp;reservation_id=31716519968992&amp;guest_id=31716505350282", "Corinne Ader")</f>
        <v>Corinne Ader</v>
      </c>
      <c r="E13097" t="s">
        <v>12595</v>
      </c>
      <c r="F13097" t="s">
        <v>12407</v>
      </c>
      <c r="G13097">
        <v>189</v>
      </c>
      <c r="H13097">
        <v>205.45</v>
      </c>
      <c r="I13097">
        <v>205.44</v>
      </c>
      <c r="J13097">
        <v>0.01</v>
      </c>
    </row>
    <row r="13098" spans="1:10" x14ac:dyDescent="0.3">
      <c r="A13098" t="str">
        <f>HYPERLINK("https://us2.cloudbeds.com/connect/10074733072513#/reservations/31712397508817?display=MX3A8J5ED&amp;reservation_id=31712397508817", "MX3A8J5ED")</f>
        <v>MX3A8J5ED</v>
      </c>
      <c r="B13098" t="s">
        <v>10</v>
      </c>
      <c r="C13098" t="s">
        <v>42</v>
      </c>
      <c r="D13098" t="str">
        <f>HYPERLINK("https://us2.cloudbeds.com/connect/10074733072513#/reservations/31712397508817?display=Kent%20Zuehlke&amp;reservation_id=31712397508817&amp;guest_id=31702567280865", "Kent Zuehlke")</f>
        <v>Kent Zuehlke</v>
      </c>
      <c r="E13098" t="s">
        <v>2770</v>
      </c>
      <c r="F13098" t="s">
        <v>10449</v>
      </c>
      <c r="G13098">
        <v>189</v>
      </c>
      <c r="H13098">
        <v>205.45</v>
      </c>
      <c r="I13098">
        <v>205.44</v>
      </c>
      <c r="J13098">
        <v>0.01</v>
      </c>
    </row>
    <row r="13099" spans="1:10" x14ac:dyDescent="0.3">
      <c r="A13099" t="str">
        <f>HYPERLINK("https://us2.cloudbeds.com/connect/10074733072513#/reservations/31714488361159?display=MX4UMY719&amp;reservation_id=31714488361159", "MX4UMY719")</f>
        <v>MX4UMY719</v>
      </c>
      <c r="B13099" t="s">
        <v>10</v>
      </c>
      <c r="C13099" t="s">
        <v>42</v>
      </c>
      <c r="D13099" t="str">
        <f>HYPERLINK("https://us2.cloudbeds.com/connect/10074733072513#/reservations/31714488361159?display=Debra%20Holzhauer&amp;reservation_id=31714488361159&amp;guest_id=31714480787696", "Debra Holzhauer")</f>
        <v>Debra Holzhauer</v>
      </c>
      <c r="E13099" t="s">
        <v>12596</v>
      </c>
      <c r="F13099" t="s">
        <v>11281</v>
      </c>
      <c r="G13099">
        <v>398</v>
      </c>
      <c r="H13099">
        <v>432.64</v>
      </c>
      <c r="I13099">
        <v>432.63</v>
      </c>
      <c r="J13099">
        <v>0.01</v>
      </c>
    </row>
    <row r="13100" spans="1:10" x14ac:dyDescent="0.3">
      <c r="A13100" t="str">
        <f>HYPERLINK("https://us2.cloudbeds.com/connect/10074733072513#/reservations/31715600441518?display=MX5Q3CG43&amp;reservation_id=31715600441518", "MX5Q3CG43")</f>
        <v>MX5Q3CG43</v>
      </c>
      <c r="B13100" t="s">
        <v>10</v>
      </c>
      <c r="C13100" t="s">
        <v>23</v>
      </c>
      <c r="D13100" t="str">
        <f>HYPERLINK("https://us2.cloudbeds.com/connect/10074733072513#/reservations/31715600441518?display=Beau%20Mohr&amp;reservation_id=31715600441518&amp;guest_id=31715600441514", "Beau Mohr")</f>
        <v>Beau Mohr</v>
      </c>
      <c r="E13100" t="s">
        <v>12597</v>
      </c>
      <c r="F13100" t="s">
        <v>12522</v>
      </c>
      <c r="G13100">
        <v>102.58</v>
      </c>
      <c r="H13100">
        <v>111.51</v>
      </c>
      <c r="I13100">
        <v>111.5</v>
      </c>
      <c r="J13100">
        <v>0.01</v>
      </c>
    </row>
    <row r="13101" spans="1:10" x14ac:dyDescent="0.3">
      <c r="A13101" t="str">
        <f>HYPERLINK("https://us2.cloudbeds.com/connect/10074733072513#/reservations/31715560415478?display=MX5P2KN8Q&amp;reservation_id=31715560415478", "MX5P2KN8Q")</f>
        <v>MX5P2KN8Q</v>
      </c>
      <c r="B13101" t="s">
        <v>10</v>
      </c>
      <c r="C13101" t="s">
        <v>42</v>
      </c>
      <c r="D13101" t="str">
        <f>HYPERLINK("https://us2.cloudbeds.com/connect/10074733072513#/reservations/31715560415478?display=Steve%20Walling&amp;reservation_id=31715560415478&amp;guest_id=30682045112563", "Steve Walling")</f>
        <v>Steve Walling</v>
      </c>
      <c r="E13101" t="s">
        <v>4038</v>
      </c>
      <c r="F13101" t="s">
        <v>11628</v>
      </c>
      <c r="G13101">
        <v>89</v>
      </c>
      <c r="H13101">
        <v>96.75</v>
      </c>
      <c r="I13101">
        <v>96.74</v>
      </c>
      <c r="J13101">
        <v>0.01</v>
      </c>
    </row>
    <row r="13102" spans="1:10" x14ac:dyDescent="0.3">
      <c r="A13102" t="str">
        <f>HYPERLINK("https://us2.cloudbeds.com/connect/10074733072513#/reservations/31716259246223?display=MX69UTN41&amp;reservation_id=31716259246223", "MX69UTN41")</f>
        <v>MX69UTN41</v>
      </c>
      <c r="B13102" t="s">
        <v>10</v>
      </c>
      <c r="C13102" t="s">
        <v>23</v>
      </c>
      <c r="D13102" t="str">
        <f>HYPERLINK("https://us2.cloudbeds.com/connect/10074733072513#/reservations/31716259246223?display=Deborah%20Spera&amp;reservation_id=31716259246223&amp;guest_id=31716259246218", "Deborah Spera")</f>
        <v>Deborah Spera</v>
      </c>
      <c r="E13102" t="s">
        <v>12599</v>
      </c>
      <c r="F13102" t="s">
        <v>12278</v>
      </c>
      <c r="G13102">
        <v>102.58</v>
      </c>
      <c r="H13102">
        <v>111.51</v>
      </c>
      <c r="I13102">
        <v>111.5</v>
      </c>
      <c r="J13102">
        <v>0.01</v>
      </c>
    </row>
    <row r="13103" spans="1:10" x14ac:dyDescent="0.3">
      <c r="A13103" t="str">
        <f>HYPERLINK("https://us2.cloudbeds.com/connect/10074733072513#/reservations/31714470080665?display=MX4U77HHU&amp;reservation_id=31714470080665", "MX4U77HHU")</f>
        <v>MX4U77HHU</v>
      </c>
      <c r="B13103" t="s">
        <v>10</v>
      </c>
      <c r="C13103" t="s">
        <v>121</v>
      </c>
      <c r="D13103" t="str">
        <f>HYPERLINK("https://us2.cloudbeds.com/connect/10074733072513#/reservations/31714470080665?display=Brian%20Seibold&amp;reservation_id=31714470080665&amp;guest_id=31714470080648", "Brian Seibold")</f>
        <v>Brian Seibold</v>
      </c>
      <c r="E13103" t="s">
        <v>12600</v>
      </c>
      <c r="F13103" t="s">
        <v>11281</v>
      </c>
      <c r="G13103">
        <v>229</v>
      </c>
      <c r="H13103">
        <v>248.93</v>
      </c>
      <c r="I13103">
        <v>248.92</v>
      </c>
      <c r="J13103">
        <v>0.01</v>
      </c>
    </row>
    <row r="13104" spans="1:10" x14ac:dyDescent="0.3">
      <c r="A13104" t="str">
        <f>HYPERLINK("https://us2.cloudbeds.com/connect/10074733072513#/reservations/31714699681973?display=MX532RHCA&amp;reservation_id=31714699681973", "MX532RHCA")</f>
        <v>MX532RHCA</v>
      </c>
      <c r="B13104" t="s">
        <v>10</v>
      </c>
      <c r="C13104" t="s">
        <v>121</v>
      </c>
      <c r="D13104" t="str">
        <f>HYPERLINK("https://us2.cloudbeds.com/connect/10074733072513#/reservations/31714699681973?display=Robert%20Vickers&amp;reservation_id=31714699681973&amp;guest_id=31714690760905", "Robert Vickers")</f>
        <v>Robert Vickers</v>
      </c>
      <c r="E13104" t="s">
        <v>12601</v>
      </c>
      <c r="F13104" t="s">
        <v>11281</v>
      </c>
      <c r="G13104">
        <v>219</v>
      </c>
      <c r="H13104">
        <v>238.06</v>
      </c>
      <c r="I13104">
        <v>238.05</v>
      </c>
      <c r="J13104">
        <v>0.01</v>
      </c>
    </row>
    <row r="13105" spans="1:10" x14ac:dyDescent="0.3">
      <c r="A13105" t="str">
        <f>HYPERLINK("https://us2.cloudbeds.com/connect/10074733072513#/reservations/31712806559936?display=MX3KNGGJY&amp;reservation_id=31712806559936", "MX3KNGGJY")</f>
        <v>MX3KNGGJY</v>
      </c>
      <c r="B13105" t="s">
        <v>10</v>
      </c>
      <c r="C13105" t="s">
        <v>42</v>
      </c>
      <c r="D13105" t="str">
        <f>HYPERLINK("https://us2.cloudbeds.com/connect/10074733072513#/reservations/31712806559936?display=Cindy%20Heidelberger&amp;reservation_id=31712806559936&amp;guest_id=31712806555885", "Cindy Heidelberger")</f>
        <v>Cindy Heidelberger</v>
      </c>
      <c r="E13105" t="s">
        <v>12604</v>
      </c>
      <c r="F13105" t="s">
        <v>12137</v>
      </c>
      <c r="G13105">
        <v>159</v>
      </c>
      <c r="H13105">
        <v>172.84</v>
      </c>
      <c r="I13105">
        <v>172.83</v>
      </c>
      <c r="J13105">
        <v>0.01</v>
      </c>
    </row>
    <row r="13106" spans="1:10" x14ac:dyDescent="0.3">
      <c r="A13106" t="str">
        <f>HYPERLINK("https://us2.cloudbeds.com/connect/10074733072513#/reservations/31714529018101?display=MX4VNUX7R&amp;reservation_id=31714529018101", "MX4VNUX7R")</f>
        <v>MX4VNUX7R</v>
      </c>
      <c r="B13106" t="s">
        <v>10</v>
      </c>
      <c r="C13106" t="s">
        <v>23</v>
      </c>
      <c r="D13106" t="str">
        <f>HYPERLINK("https://us2.cloudbeds.com/connect/10074733072513#/reservations/31714529018101?display=Kysten%20Zierke&amp;reservation_id=31714529018101&amp;guest_id=31714529018085", "Kysten Zierke")</f>
        <v>Kysten Zierke</v>
      </c>
      <c r="E13106" t="s">
        <v>12605</v>
      </c>
      <c r="F13106" t="s">
        <v>11628</v>
      </c>
      <c r="G13106">
        <v>102.58</v>
      </c>
      <c r="H13106">
        <v>111.51</v>
      </c>
      <c r="I13106">
        <v>111.5</v>
      </c>
      <c r="J13106">
        <v>0.01</v>
      </c>
    </row>
    <row r="13107" spans="1:10" x14ac:dyDescent="0.3">
      <c r="A13107" t="str">
        <f>HYPERLINK("https://us2.cloudbeds.com/connect/10074733072513#/reservations/31714567540886?display=MX4WNDGMV&amp;reservation_id=31714567540886", "MX4WNDGMV")</f>
        <v>MX4WNDGMV</v>
      </c>
      <c r="B13107" t="s">
        <v>10</v>
      </c>
      <c r="C13107" t="s">
        <v>23</v>
      </c>
      <c r="D13107" t="str">
        <f>HYPERLINK("https://us2.cloudbeds.com/connect/10074733072513#/reservations/31714567540886?display=Beau%20Mohr&amp;reservation_id=31714567540886&amp;guest_id=31714567536795", "Beau Mohr")</f>
        <v>Beau Mohr</v>
      </c>
      <c r="E13107" t="s">
        <v>12606</v>
      </c>
      <c r="F13107" t="s">
        <v>11628</v>
      </c>
      <c r="G13107">
        <v>102.58</v>
      </c>
      <c r="H13107">
        <v>111.51</v>
      </c>
      <c r="I13107">
        <v>111.5</v>
      </c>
      <c r="J13107">
        <v>0.01</v>
      </c>
    </row>
    <row r="13108" spans="1:10" x14ac:dyDescent="0.3">
      <c r="A13108" t="str">
        <f>HYPERLINK("https://us2.cloudbeds.com/connect/10074733072513#/reservations/31717469757653?display=MX77SKVSJ&amp;reservation_id=31717469757653", "MX77SKVSJ")</f>
        <v>MX77SKVSJ</v>
      </c>
      <c r="B13108" t="s">
        <v>10</v>
      </c>
      <c r="C13108" t="s">
        <v>23</v>
      </c>
      <c r="D13108" t="str">
        <f>HYPERLINK("https://us2.cloudbeds.com/connect/10074733072513#/reservations/31717469757653?display=Chad%20Hummel&amp;reservation_id=31717469757653&amp;guest_id=31717469757648", "Chad Hummel")</f>
        <v>Chad Hummel</v>
      </c>
      <c r="E13108" t="s">
        <v>12607</v>
      </c>
      <c r="F13108" t="s">
        <v>12522</v>
      </c>
      <c r="G13108">
        <v>169</v>
      </c>
      <c r="H13108">
        <v>183.71</v>
      </c>
      <c r="I13108">
        <v>183.7</v>
      </c>
      <c r="J13108">
        <v>0.01</v>
      </c>
    </row>
    <row r="13109" spans="1:10" x14ac:dyDescent="0.3">
      <c r="A13109" t="str">
        <f>HYPERLINK("https://us2.cloudbeds.com/connect/10074733072513#/reservations/31713704972452?display=MX4AM28RX&amp;reservation_id=31713704972452", "MX4AM28RX")</f>
        <v>MX4AM28RX</v>
      </c>
      <c r="B13109" t="s">
        <v>10</v>
      </c>
      <c r="C13109" t="s">
        <v>23</v>
      </c>
      <c r="D13109" t="str">
        <f>HYPERLINK("https://us2.cloudbeds.com/connect/10074733072513#/reservations/31713704972452?display=Rhonda%20Bjorklund&amp;reservation_id=31713704972452&amp;guest_id=31713704972449", "Rhonda Bjorklund")</f>
        <v>Rhonda Bjorklund</v>
      </c>
      <c r="E13109" t="s">
        <v>12608</v>
      </c>
      <c r="F13109" t="s">
        <v>12609</v>
      </c>
      <c r="G13109">
        <v>278</v>
      </c>
      <c r="H13109">
        <v>302.2</v>
      </c>
      <c r="I13109">
        <v>302.19</v>
      </c>
      <c r="J13109">
        <v>0.01</v>
      </c>
    </row>
    <row r="13110" spans="1:10" x14ac:dyDescent="0.3">
      <c r="A13110" t="str">
        <f>HYPERLINK("https://us2.cloudbeds.com/connect/10074733072513#/reservations/31716928770235?display=MX6R1F6CF&amp;reservation_id=31716928770235", "MX6R1F6CF")</f>
        <v>MX6R1F6CF</v>
      </c>
      <c r="B13110" t="s">
        <v>10</v>
      </c>
      <c r="C13110" t="s">
        <v>42</v>
      </c>
      <c r="D13110" t="str">
        <f>HYPERLINK("https://us2.cloudbeds.com/connect/10074733072513#/reservations/31716928770235?display=Kevin%20Ralston&amp;reservation_id=31716928770235&amp;guest_id=31716928770230", "Kevin Ralston")</f>
        <v>Kevin Ralston</v>
      </c>
      <c r="E13110" t="s">
        <v>2791</v>
      </c>
      <c r="F13110" t="s">
        <v>12340</v>
      </c>
      <c r="G13110">
        <v>252</v>
      </c>
      <c r="H13110">
        <v>273.93</v>
      </c>
      <c r="I13110">
        <v>273.92</v>
      </c>
      <c r="J13110">
        <v>0.01</v>
      </c>
    </row>
    <row r="13111" spans="1:10" x14ac:dyDescent="0.3">
      <c r="A13111" t="str">
        <f>HYPERLINK("https://us2.cloudbeds.com/connect/10074733072513#/reservations/31714605236479?display=MX50M6EXY&amp;reservation_id=31714605236479", "MX50M6EXY")</f>
        <v>MX50M6EXY</v>
      </c>
      <c r="B13111" t="s">
        <v>10</v>
      </c>
      <c r="C13111" t="s">
        <v>121</v>
      </c>
      <c r="D13111" t="str">
        <f>HYPERLINK("https://us2.cloudbeds.com/connect/10074733072513#/reservations/31714605236479?display=Daniel%20Kahlstorf&amp;reservation_id=31714605236479&amp;guest_id=31714605236467", "Daniel Kahlstorf")</f>
        <v>Daniel Kahlstorf</v>
      </c>
      <c r="E13111" t="s">
        <v>5683</v>
      </c>
      <c r="F13111" t="s">
        <v>11628</v>
      </c>
      <c r="G13111">
        <v>73</v>
      </c>
      <c r="H13111">
        <v>79.36</v>
      </c>
      <c r="I13111">
        <v>79.349999999999994</v>
      </c>
      <c r="J13111">
        <v>0.01</v>
      </c>
    </row>
    <row r="13112" spans="1:10" x14ac:dyDescent="0.3">
      <c r="A13112" t="str">
        <f>HYPERLINK("https://us2.cloudbeds.com/connect/10074733072513#/reservations/31714605236416?display=MX50DN5XR&amp;reservation_id=31714605236416", "MX50DN5XR")</f>
        <v>MX50DN5XR</v>
      </c>
      <c r="B13112" t="s">
        <v>10</v>
      </c>
      <c r="C13112" t="s">
        <v>42</v>
      </c>
      <c r="D13112" t="str">
        <f>HYPERLINK("https://us2.cloudbeds.com/connect/10074733072513#/reservations/31714605236416?display=Darahn%20Lebahn&amp;reservation_id=31714605236416&amp;guest_id=31714595160228", "Darahn Lebahn")</f>
        <v>Darahn Lebahn</v>
      </c>
      <c r="E13112" t="s">
        <v>12612</v>
      </c>
      <c r="F13112" t="s">
        <v>8603</v>
      </c>
      <c r="G13112">
        <v>149</v>
      </c>
      <c r="H13112">
        <v>161.97</v>
      </c>
      <c r="I13112">
        <v>161.96</v>
      </c>
      <c r="J13112">
        <v>0.01</v>
      </c>
    </row>
    <row r="13113" spans="1:10" x14ac:dyDescent="0.3">
      <c r="A13113" t="str">
        <f>HYPERLINK("https://us2.cloudbeds.com/connect/10074733072513#/reservations/31714586497230?display=MX506CWQK&amp;reservation_id=31714586497230", "MX506CWQK")</f>
        <v>MX506CWQK</v>
      </c>
      <c r="B13113" t="s">
        <v>10</v>
      </c>
      <c r="C13113" t="s">
        <v>42</v>
      </c>
      <c r="D13113" t="str">
        <f>HYPERLINK("https://us2.cloudbeds.com/connect/10074733072513#/reservations/31714586497230?display=Alyssa%20Munce&amp;reservation_id=31714586497230&amp;guest_id=31714586497226", "Alyssa Munce")</f>
        <v>Alyssa Munce</v>
      </c>
      <c r="E13113" t="s">
        <v>12613</v>
      </c>
      <c r="F13113" t="s">
        <v>8603</v>
      </c>
      <c r="G13113">
        <v>159</v>
      </c>
      <c r="H13113">
        <v>172.84</v>
      </c>
      <c r="I13113">
        <v>172.83</v>
      </c>
      <c r="J13113">
        <v>0.01</v>
      </c>
    </row>
    <row r="13114" spans="1:10" x14ac:dyDescent="0.3">
      <c r="A13114" t="str">
        <f>HYPERLINK("https://us2.cloudbeds.com/connect/10074733072513#/reservations/31714488365259?display=MX4UMYAQH&amp;reservation_id=31714488365259", "MX4UMYAQH")</f>
        <v>MX4UMYAQH</v>
      </c>
      <c r="B13114" t="s">
        <v>10</v>
      </c>
      <c r="C13114" t="s">
        <v>42</v>
      </c>
      <c r="D13114" t="str">
        <f>HYPERLINK("https://us2.cloudbeds.com/connect/10074733072513#/reservations/31714488365259?display=Rachel%20Kiepe&amp;reservation_id=31714488365259&amp;guest_id=31714488361210", "Rachel Kiepe")</f>
        <v>Rachel Kiepe</v>
      </c>
      <c r="E13114" t="s">
        <v>12614</v>
      </c>
      <c r="F13114" t="s">
        <v>10449</v>
      </c>
      <c r="G13114">
        <v>189</v>
      </c>
      <c r="H13114">
        <v>205.45</v>
      </c>
      <c r="I13114">
        <v>205.44</v>
      </c>
      <c r="J13114">
        <v>0.01</v>
      </c>
    </row>
    <row r="13115" spans="1:10" x14ac:dyDescent="0.3">
      <c r="A13115" t="str">
        <f>HYPERLINK("https://us2.cloudbeds.com/connect/10074733072513#/reservations/31714548646123?display=MX4W7FZ4C&amp;reservation_id=31714548646123", "MX4W7FZ4C")</f>
        <v>MX4W7FZ4C</v>
      </c>
      <c r="B13115" t="s">
        <v>10</v>
      </c>
      <c r="C13115" t="s">
        <v>121</v>
      </c>
      <c r="D13115" t="str">
        <f>HYPERLINK("https://us2.cloudbeds.com/connect/10074733072513#/reservations/31714548646123?display=Katelynn%20Ogbin&amp;reservation_id=31714548646123&amp;guest_id=31714548646103", "Katelynn Ogbin")</f>
        <v>Katelynn Ogbin</v>
      </c>
      <c r="E13115" t="s">
        <v>12615</v>
      </c>
      <c r="F13115" t="s">
        <v>11628</v>
      </c>
      <c r="G13115">
        <v>139</v>
      </c>
      <c r="H13115">
        <v>151.1</v>
      </c>
      <c r="I13115">
        <v>151.09</v>
      </c>
      <c r="J13115">
        <v>0.01</v>
      </c>
    </row>
    <row r="13116" spans="1:10" x14ac:dyDescent="0.3">
      <c r="A13116" t="str">
        <f>HYPERLINK("https://us2.cloudbeds.com/connect/10074733072513#/reservations/31716985368827?display=MX6SG64CA&amp;reservation_id=31716985368827", "MX6SG64CA")</f>
        <v>MX6SG64CA</v>
      </c>
      <c r="B13116" t="s">
        <v>10</v>
      </c>
      <c r="C13116" t="s">
        <v>23</v>
      </c>
      <c r="D13116" t="str">
        <f>HYPERLINK("https://us2.cloudbeds.com/connect/10074733072513#/reservations/31716985368827?display=Rhonda%20Hubert&amp;reservation_id=31716985368827&amp;guest_id=31716973920417", "Rhonda Hubert")</f>
        <v>Rhonda Hubert</v>
      </c>
      <c r="E13116" t="s">
        <v>12617</v>
      </c>
      <c r="F13116" t="s">
        <v>12195</v>
      </c>
      <c r="G13116">
        <v>159</v>
      </c>
      <c r="H13116">
        <v>172.84</v>
      </c>
      <c r="I13116">
        <v>172.83</v>
      </c>
      <c r="J13116">
        <v>0.01</v>
      </c>
    </row>
    <row r="13117" spans="1:10" x14ac:dyDescent="0.3">
      <c r="A13117" t="str">
        <f>HYPERLINK("https://us2.cloudbeds.com/connect/10074733072513#/reservations/31713603727488?display=MX482MSX5&amp;reservation_id=31713603727488", "MX482MSX5")</f>
        <v>MX482MSX5</v>
      </c>
      <c r="B13117" t="s">
        <v>10</v>
      </c>
      <c r="C13117" t="s">
        <v>42</v>
      </c>
      <c r="D13117" t="str">
        <f>HYPERLINK("https://us2.cloudbeds.com/connect/10074733072513#/reservations/31713603727488?display=Denise%20Duffy&amp;reservation_id=31713603727488&amp;guest_id=31701626036441", "Denise Duffy")</f>
        <v>Denise Duffy</v>
      </c>
      <c r="E13117" t="s">
        <v>8274</v>
      </c>
      <c r="F13117" t="s">
        <v>11904</v>
      </c>
      <c r="G13117">
        <v>89</v>
      </c>
      <c r="H13117">
        <v>96.75</v>
      </c>
      <c r="I13117">
        <v>96.74</v>
      </c>
      <c r="J13117">
        <v>0.01</v>
      </c>
    </row>
    <row r="13118" spans="1:10" x14ac:dyDescent="0.3">
      <c r="A13118" t="str">
        <f>HYPERLINK("https://us2.cloudbeds.com/connect/10074733072513#/reservations/31715592241352?display=MX5PTFA47&amp;reservation_id=31715592241352", "MX5PTFA47")</f>
        <v>MX5PTFA47</v>
      </c>
      <c r="B13118" t="s">
        <v>10</v>
      </c>
      <c r="C13118" t="s">
        <v>121</v>
      </c>
      <c r="D13118" t="str">
        <f>HYPERLINK("https://us2.cloudbeds.com/connect/10074733072513#/reservations/31715592241352?display=Travis%20Vandyke&amp;reservation_id=31715592241352&amp;guest_id=31715592237263", "Travis Vandyke")</f>
        <v>Travis Vandyke</v>
      </c>
      <c r="E13118" t="s">
        <v>12385</v>
      </c>
      <c r="F13118" t="s">
        <v>11628</v>
      </c>
      <c r="G13118">
        <v>109</v>
      </c>
      <c r="H13118">
        <v>118.49</v>
      </c>
      <c r="I13118">
        <v>118.48</v>
      </c>
      <c r="J13118">
        <v>0.01</v>
      </c>
    </row>
    <row r="13119" spans="1:10" x14ac:dyDescent="0.3">
      <c r="A13119" t="str">
        <f>HYPERLINK("https://us2.cloudbeds.com/connect/10074733072513#/reservations/31714415702215?display=MX4SRCC83&amp;reservation_id=31714415702215", "MX4SRCC83")</f>
        <v>MX4SRCC83</v>
      </c>
      <c r="B13119" t="s">
        <v>10</v>
      </c>
      <c r="C13119" t="s">
        <v>42</v>
      </c>
      <c r="D13119" t="str">
        <f>HYPERLINK("https://us2.cloudbeds.com/connect/10074733072513#/reservations/31714415702215?display=James%20Gay&amp;reservation_id=31714415702215&amp;guest_id=31714415702212", "James Gay")</f>
        <v>James Gay</v>
      </c>
      <c r="E13119" t="s">
        <v>12619</v>
      </c>
      <c r="F13119" t="s">
        <v>10449</v>
      </c>
      <c r="G13119">
        <v>209</v>
      </c>
      <c r="H13119">
        <v>227.19</v>
      </c>
      <c r="I13119">
        <v>227.18</v>
      </c>
      <c r="J13119">
        <v>0.01</v>
      </c>
    </row>
    <row r="13120" spans="1:10" x14ac:dyDescent="0.3">
      <c r="A13120" t="str">
        <f>HYPERLINK("https://us2.cloudbeds.com/connect/10074733072513#/reservations/31710876377321?display=MX24CUEFJ&amp;reservation_id=31710876377321", "MX24CUEFJ")</f>
        <v>MX24CUEFJ</v>
      </c>
      <c r="B13120" t="s">
        <v>10</v>
      </c>
      <c r="C13120" t="s">
        <v>42</v>
      </c>
      <c r="D13120" t="str">
        <f>HYPERLINK("https://us2.cloudbeds.com/connect/10074733072513#/reservations/31710876377321?display=Todd%20Moeller&amp;reservation_id=31710876377321&amp;guest_id=31710876377316", "Todd Moeller")</f>
        <v>Todd Moeller</v>
      </c>
      <c r="E13120" t="s">
        <v>12622</v>
      </c>
      <c r="F13120" t="s">
        <v>10330</v>
      </c>
      <c r="G13120">
        <v>159</v>
      </c>
      <c r="H13120">
        <v>172.84</v>
      </c>
      <c r="I13120">
        <v>172.83</v>
      </c>
      <c r="J13120">
        <v>0.01</v>
      </c>
    </row>
    <row r="13121" spans="1:10" x14ac:dyDescent="0.3">
      <c r="A13121" t="str">
        <f>HYPERLINK("https://us2.cloudbeds.com/connect/10074733072513#/reservations/31712391299326?display=MX3A3BCE0&amp;reservation_id=31712391299326", "MX3A3BCE0")</f>
        <v>MX3A3BCE0</v>
      </c>
      <c r="B13121" t="s">
        <v>10</v>
      </c>
      <c r="C13121" t="s">
        <v>42</v>
      </c>
      <c r="D13121" t="str">
        <f>HYPERLINK("https://us2.cloudbeds.com/connect/10074733072513#/reservations/31712391299326?display=Mark%20Humbert&amp;reservation_id=31712391299326&amp;guest_id=31712391299312", "Mark Humbert")</f>
        <v>Mark Humbert</v>
      </c>
      <c r="E13121" t="s">
        <v>4586</v>
      </c>
      <c r="F13121" t="s">
        <v>10449</v>
      </c>
      <c r="G13121">
        <v>159</v>
      </c>
      <c r="H13121">
        <v>172.84</v>
      </c>
      <c r="I13121">
        <v>172.83</v>
      </c>
      <c r="J13121">
        <v>0.01</v>
      </c>
    </row>
    <row r="13122" spans="1:10" x14ac:dyDescent="0.3">
      <c r="A13122" t="str">
        <f>HYPERLINK("https://us2.cloudbeds.com/connect/10074733072513#/reservations/31712429277405?display=MX3B2C5MT&amp;reservation_id=31712429277405", "MX3B2C5MT")</f>
        <v>MX3B2C5MT</v>
      </c>
      <c r="B13122" t="s">
        <v>10</v>
      </c>
      <c r="C13122" t="s">
        <v>42</v>
      </c>
      <c r="D13122" t="str">
        <f>HYPERLINK("https://us2.cloudbeds.com/connect/10074733072513#/reservations/31712429277405?display=Linda%20Miller&amp;reservation_id=31712429277405&amp;guest_id=31712429277401", "Linda Miller")</f>
        <v>Linda Miller</v>
      </c>
      <c r="E13122" t="s">
        <v>12623</v>
      </c>
      <c r="F13122" t="s">
        <v>12566</v>
      </c>
      <c r="G13122">
        <v>322.2</v>
      </c>
      <c r="H13122">
        <v>350.24</v>
      </c>
      <c r="I13122">
        <v>350.23</v>
      </c>
      <c r="J13122">
        <v>0.01</v>
      </c>
    </row>
    <row r="13123" spans="1:10" x14ac:dyDescent="0.3">
      <c r="A13123" t="str">
        <f>HYPERLINK("https://us2.cloudbeds.com/connect/10074733072513#/reservations/31715569098896?display=MX5P9VB0M&amp;reservation_id=31715569098896", "MX5P9VB0M")</f>
        <v>MX5P9VB0M</v>
      </c>
      <c r="B13123" t="s">
        <v>10</v>
      </c>
      <c r="C13123" t="s">
        <v>42</v>
      </c>
      <c r="D13123" t="str">
        <f>HYPERLINK("https://us2.cloudbeds.com/connect/10074733072513#/reservations/31715569098896?display=Matt%20Harter&amp;reservation_id=31715569098896&amp;guest_id=31713515520208", "Matt Harter")</f>
        <v>Matt Harter</v>
      </c>
      <c r="E13123" t="s">
        <v>12520</v>
      </c>
      <c r="F13123" t="s">
        <v>11628</v>
      </c>
      <c r="G13123">
        <v>278</v>
      </c>
      <c r="H13123">
        <v>302.2</v>
      </c>
      <c r="I13123">
        <v>302.19</v>
      </c>
      <c r="J13123">
        <v>0.01</v>
      </c>
    </row>
    <row r="13124" spans="1:10" x14ac:dyDescent="0.3">
      <c r="A13124" t="str">
        <f>HYPERLINK("https://us2.cloudbeds.com/connect/10074733072513#/reservations/31713546834071?display=MX46KNRHD&amp;reservation_id=31713546834071", "MX46KNRHD")</f>
        <v>MX46KNRHD</v>
      </c>
      <c r="B13124" t="s">
        <v>10</v>
      </c>
      <c r="C13124" t="s">
        <v>42</v>
      </c>
      <c r="D13124" t="str">
        <f>HYPERLINK("https://us2.cloudbeds.com/connect/10074733072513#/reservations/31713546834071?display=Matt%20Harter&amp;reservation_id=31713546834071&amp;guest_id=31713515520208", "Matt Harter")</f>
        <v>Matt Harter</v>
      </c>
      <c r="E13124" t="s">
        <v>12520</v>
      </c>
      <c r="F13124" t="s">
        <v>11904</v>
      </c>
      <c r="G13124">
        <v>278</v>
      </c>
      <c r="H13124">
        <v>302.2</v>
      </c>
      <c r="I13124">
        <v>302.19</v>
      </c>
      <c r="J13124">
        <v>0.01</v>
      </c>
    </row>
    <row r="13125" spans="1:10" x14ac:dyDescent="0.3">
      <c r="A13125" t="str">
        <f>HYPERLINK("https://us2.cloudbeds.com/connect/10074733072513#/reservations/31714271035584?display=MX4ZRQZNR&amp;reservation_id=31714271035584", "MX4ZRQZNR")</f>
        <v>MX4ZRQZNR</v>
      </c>
      <c r="B13125" t="s">
        <v>10</v>
      </c>
      <c r="C13125" t="s">
        <v>42</v>
      </c>
      <c r="D13125" t="str">
        <f>HYPERLINK("https://us2.cloudbeds.com/connect/10074733072513#/reservations/31714271035584?display=Jamie%20Frankenstein&amp;reservation_id=31714271035584&amp;guest_id=31713449169080", "Jamie Frankenstein")</f>
        <v>Jamie Frankenstein</v>
      </c>
      <c r="E13125" t="s">
        <v>9824</v>
      </c>
      <c r="F13125" t="s">
        <v>12215</v>
      </c>
      <c r="G13125">
        <v>149</v>
      </c>
      <c r="H13125">
        <v>161.97</v>
      </c>
      <c r="I13125">
        <v>161.96</v>
      </c>
      <c r="J13125">
        <v>0.01</v>
      </c>
    </row>
    <row r="13126" spans="1:10" x14ac:dyDescent="0.3">
      <c r="A13126" t="str">
        <f>HYPERLINK("https://us2.cloudbeds.com/connect/10074733072513#/reservations/31712518197452?display=MX3DBBGKZ&amp;reservation_id=31712518197452", "MX3DBBGKZ")</f>
        <v>MX3DBBGKZ</v>
      </c>
      <c r="B13126" t="s">
        <v>10</v>
      </c>
      <c r="C13126" t="s">
        <v>23</v>
      </c>
      <c r="D13126" t="str">
        <f>HYPERLINK("https://us2.cloudbeds.com/connect/10074733072513#/reservations/31712518197452?display=Karen%20Cockrell&amp;reservation_id=31712518197452&amp;guest_id=31712510976250", "Karen Cockrell")</f>
        <v>Karen Cockrell</v>
      </c>
      <c r="E13126" t="s">
        <v>12624</v>
      </c>
      <c r="F13126" t="s">
        <v>11713</v>
      </c>
      <c r="G13126">
        <v>149</v>
      </c>
      <c r="H13126">
        <v>161.97</v>
      </c>
      <c r="I13126">
        <v>161.96</v>
      </c>
      <c r="J13126">
        <v>0.01</v>
      </c>
    </row>
    <row r="13127" spans="1:10" x14ac:dyDescent="0.3">
      <c r="A13127" t="str">
        <f>HYPERLINK("https://us2.cloudbeds.com/connect/10074733072513#/reservations/31713608020117?display=MX486AE20&amp;reservation_id=31713608020117", "MX486AE20")</f>
        <v>MX486AE20</v>
      </c>
      <c r="B13127" t="s">
        <v>10</v>
      </c>
      <c r="C13127" t="s">
        <v>23</v>
      </c>
      <c r="D13127" t="str">
        <f>HYPERLINK("https://us2.cloudbeds.com/connect/10074733072513#/reservations/31713608020117?display=Beau%20Mohr&amp;reservation_id=31713608020117&amp;guest_id=31713608016025", "Beau Mohr")</f>
        <v>Beau Mohr</v>
      </c>
      <c r="E13127" t="s">
        <v>12625</v>
      </c>
      <c r="F13127" t="s">
        <v>11904</v>
      </c>
      <c r="G13127">
        <v>102.58</v>
      </c>
      <c r="H13127">
        <v>111.51</v>
      </c>
      <c r="I13127">
        <v>111.5</v>
      </c>
      <c r="J13127">
        <v>0.01</v>
      </c>
    </row>
    <row r="13128" spans="1:10" x14ac:dyDescent="0.3">
      <c r="A13128" t="str">
        <f>HYPERLINK("https://us2.cloudbeds.com/connect/10074733072513#/reservations/31713532420252?display=MX468XZN0&amp;reservation_id=31713532420252", "MX468XZN0")</f>
        <v>MX468XZN0</v>
      </c>
      <c r="B13128" t="s">
        <v>10</v>
      </c>
      <c r="C13128" t="s">
        <v>23</v>
      </c>
      <c r="D13128" t="str">
        <f>HYPERLINK("https://us2.cloudbeds.com/connect/10074733072513#/reservations/31713532420252?display=Todd%20Barber&amp;reservation_id=31713532420252&amp;guest_id=31713532420247", "Todd Barber")</f>
        <v>Todd Barber</v>
      </c>
      <c r="E13128" t="s">
        <v>12626</v>
      </c>
      <c r="F13128" t="s">
        <v>11904</v>
      </c>
      <c r="G13128">
        <v>102.58</v>
      </c>
      <c r="H13128">
        <v>111.51</v>
      </c>
      <c r="I13128">
        <v>111.5</v>
      </c>
      <c r="J13128">
        <v>0.01</v>
      </c>
    </row>
    <row r="13129" spans="1:10" x14ac:dyDescent="0.3">
      <c r="A13129" t="str">
        <f>HYPERLINK("https://us2.cloudbeds.com/connect/10074733072513#/reservations/31711669285099?display=MX2ZYH8Q0&amp;reservation_id=31711669285099", "MX2ZYH8Q0")</f>
        <v>MX2ZYH8Q0</v>
      </c>
      <c r="B13129" t="s">
        <v>10</v>
      </c>
      <c r="C13129" t="s">
        <v>42</v>
      </c>
      <c r="D13129" t="str">
        <f>HYPERLINK("https://us2.cloudbeds.com/connect/10074733072513#/reservations/31711669285099?display=Gordon%20Carver&amp;reservation_id=31711669285099&amp;guest_id=31711657332947", "Gordon Carver")</f>
        <v>Gordon Carver</v>
      </c>
      <c r="E13129" t="s">
        <v>12627</v>
      </c>
      <c r="F13129" t="s">
        <v>11998</v>
      </c>
      <c r="G13129">
        <v>149</v>
      </c>
      <c r="H13129">
        <v>161.97</v>
      </c>
      <c r="I13129">
        <v>161.96</v>
      </c>
      <c r="J13129">
        <v>0.01</v>
      </c>
    </row>
    <row r="13130" spans="1:10" x14ac:dyDescent="0.3">
      <c r="A13130" t="str">
        <f>HYPERLINK("https://us2.cloudbeds.com/connect/10074733072513#/reservations/31715577913487?display=MX5PHCK7G&amp;reservation_id=31715577913487", "MX5PHCK7G")</f>
        <v>MX5PHCK7G</v>
      </c>
      <c r="B13130" t="s">
        <v>10</v>
      </c>
      <c r="C13130" t="s">
        <v>23</v>
      </c>
      <c r="D13130" t="str">
        <f>HYPERLINK("https://us2.cloudbeds.com/connect/10074733072513#/reservations/31715577913487?display=Tim%20Wedemeyer&amp;reservation_id=31715577913487&amp;guest_id=31715577913485", "Tim Wedemeyer")</f>
        <v>Tim Wedemeyer</v>
      </c>
      <c r="E13130" t="s">
        <v>12628</v>
      </c>
      <c r="F13130" t="s">
        <v>11904</v>
      </c>
      <c r="G13130">
        <v>139</v>
      </c>
      <c r="H13130">
        <v>151.1</v>
      </c>
      <c r="I13130">
        <v>151.09</v>
      </c>
      <c r="J13130">
        <v>0.01</v>
      </c>
    </row>
    <row r="13131" spans="1:10" x14ac:dyDescent="0.3">
      <c r="A13131" t="str">
        <f>HYPERLINK("https://us2.cloudbeds.com/connect/10074733072513#/reservations/31701794332857?display=MHS3AN5CW&amp;reservation_id=31701794332857", "MHS3AN5CW")</f>
        <v>MHS3AN5CW</v>
      </c>
      <c r="B13131" t="s">
        <v>10</v>
      </c>
      <c r="C13131" t="s">
        <v>42</v>
      </c>
      <c r="D13131" t="str">
        <f>HYPERLINK("https://us2.cloudbeds.com/connect/10074733072513#/reservations/31701794332857?display=Foster%20Mr.%20&amp;%20Mrs&amp;reservation_id=31701794332857&amp;guest_id=31701794332852", "Foster Mr. &amp; Mrs")</f>
        <v>Foster Mr. &amp; Mrs</v>
      </c>
      <c r="E13131" t="s">
        <v>12630</v>
      </c>
      <c r="F13131" t="s">
        <v>11742</v>
      </c>
      <c r="G13131">
        <v>298</v>
      </c>
      <c r="H13131">
        <v>323.94</v>
      </c>
      <c r="I13131">
        <v>323.93</v>
      </c>
      <c r="J13131">
        <v>0.01</v>
      </c>
    </row>
    <row r="13132" spans="1:10" x14ac:dyDescent="0.3">
      <c r="A13132" t="str">
        <f>HYPERLINK("https://us2.cloudbeds.com/connect/10074733072513#/reservations/31713826463904?display=MX4DPGV7N&amp;reservation_id=31713826463904", "MX4DPGV7N")</f>
        <v>MX4DPGV7N</v>
      </c>
      <c r="B13132" t="s">
        <v>10</v>
      </c>
      <c r="C13132" t="s">
        <v>23</v>
      </c>
      <c r="D13132" t="str">
        <f>HYPERLINK("https://us2.cloudbeds.com/connect/10074733072513#/reservations/31713826463904?display=Beau%20Haugen&amp;reservation_id=31713826463904&amp;guest_id=31713472159880", "Beau Haugen")</f>
        <v>Beau Haugen</v>
      </c>
      <c r="E13132" t="s">
        <v>12320</v>
      </c>
      <c r="F13132" t="s">
        <v>12215</v>
      </c>
      <c r="G13132">
        <v>139</v>
      </c>
      <c r="H13132">
        <v>151.1</v>
      </c>
      <c r="I13132">
        <v>151.09</v>
      </c>
      <c r="J13132">
        <v>0.01</v>
      </c>
    </row>
    <row r="13133" spans="1:10" x14ac:dyDescent="0.3">
      <c r="A13133" t="str">
        <f>HYPERLINK("https://us2.cloudbeds.com/connect/10074733072513#/reservations/31716973916327?display=MX6S6HERS&amp;reservation_id=31716973916327", "MX6S6HERS")</f>
        <v>MX6S6HERS</v>
      </c>
      <c r="B13133" t="s">
        <v>10</v>
      </c>
      <c r="C13133" t="s">
        <v>42</v>
      </c>
      <c r="D13133" t="str">
        <f>HYPERLINK("https://us2.cloudbeds.com/connect/10074733072513#/reservations/31716973916327?display=Beau%20Mohr&amp;reservation_id=31716973916327&amp;guest_id=31716973916322", "Beau Mohr")</f>
        <v>Beau Mohr</v>
      </c>
      <c r="E13133" t="s">
        <v>12597</v>
      </c>
      <c r="F13133" t="s">
        <v>12195</v>
      </c>
      <c r="G13133">
        <v>149</v>
      </c>
      <c r="H13133">
        <v>161.97</v>
      </c>
      <c r="I13133">
        <v>161.96</v>
      </c>
      <c r="J13133">
        <v>0.01</v>
      </c>
    </row>
    <row r="13134" spans="1:10" x14ac:dyDescent="0.3">
      <c r="A13134" t="str">
        <f>HYPERLINK("https://us2.cloudbeds.com/connect/10074733072513#/reservations/31712422867094?display=MX3ATVQ91&amp;reservation_id=31712422867094", "MX3ATVQ91")</f>
        <v>MX3ATVQ91</v>
      </c>
      <c r="B13134" t="s">
        <v>10</v>
      </c>
      <c r="C13134" t="s">
        <v>42</v>
      </c>
      <c r="D13134" t="str">
        <f>HYPERLINK("https://us2.cloudbeds.com/connect/10074733072513#/reservations/31712422867094?display=Crystal%20Storhaugh&amp;reservation_id=31712422867094&amp;guest_id=31712413343935", "Crystal Storhaugh")</f>
        <v>Crystal Storhaugh</v>
      </c>
      <c r="E13134" t="s">
        <v>12631</v>
      </c>
      <c r="F13134" t="s">
        <v>10449</v>
      </c>
      <c r="G13134">
        <v>209</v>
      </c>
      <c r="H13134">
        <v>227.19</v>
      </c>
      <c r="I13134">
        <v>227.18</v>
      </c>
      <c r="J13134">
        <v>0.01</v>
      </c>
    </row>
    <row r="13135" spans="1:10" x14ac:dyDescent="0.3">
      <c r="A13135" t="str">
        <f>HYPERLINK("https://us2.cloudbeds.com/connect/10074733072513#/reservations/31716965834952?display=MX6RWNXUN&amp;reservation_id=31716965834952", "MX6RWNXUN")</f>
        <v>MX6RWNXUN</v>
      </c>
      <c r="B13135" t="s">
        <v>10</v>
      </c>
      <c r="C13135" t="s">
        <v>42</v>
      </c>
      <c r="D13135" t="str">
        <f>HYPERLINK("https://us2.cloudbeds.com/connect/10074733072513#/reservations/31716965834952?display=Tyler%20Johnson&amp;reservation_id=31716965834952&amp;guest_id=31702856827031", "Tyler Johnson")</f>
        <v>Tyler Johnson</v>
      </c>
      <c r="E13135" t="s">
        <v>11952</v>
      </c>
      <c r="F13135" t="s">
        <v>12340</v>
      </c>
      <c r="G13135">
        <v>89</v>
      </c>
      <c r="H13135">
        <v>96.75</v>
      </c>
      <c r="I13135">
        <v>96.74</v>
      </c>
      <c r="J13135">
        <v>0.01</v>
      </c>
    </row>
    <row r="13136" spans="1:10" x14ac:dyDescent="0.3">
      <c r="A13136" t="str">
        <f>HYPERLINK("https://us2.cloudbeds.com/connect/10074733072513#/reservations/31712353599637?display=MX394XAQ6&amp;reservation_id=31712353599637", "MX394XAQ6")</f>
        <v>MX394XAQ6</v>
      </c>
      <c r="B13136" t="s">
        <v>10</v>
      </c>
      <c r="C13136" t="s">
        <v>23</v>
      </c>
      <c r="D13136" t="str">
        <f>HYPERLINK("https://us2.cloudbeds.com/connect/10074733072513#/reservations/31712353599637?display=Jeanette%20Towle&amp;reservation_id=31712353599637&amp;guest_id=31712353599621", "Jeanette Towle")</f>
        <v>Jeanette Towle</v>
      </c>
      <c r="E13136" t="s">
        <v>12632</v>
      </c>
      <c r="F13136" t="s">
        <v>11713</v>
      </c>
      <c r="G13136">
        <v>149</v>
      </c>
      <c r="H13136">
        <v>161.97</v>
      </c>
      <c r="I13136">
        <v>161.96</v>
      </c>
      <c r="J13136">
        <v>0.01</v>
      </c>
    </row>
    <row r="13137" spans="1:10" x14ac:dyDescent="0.3">
      <c r="A13137" t="str">
        <f>HYPERLINK("https://us2.cloudbeds.com/connect/10074733072513#/reservations/31716963352804?display=MX6RUKGY3&amp;reservation_id=31716963352804", "MX6RUKGY3")</f>
        <v>MX6RUKGY3</v>
      </c>
      <c r="B13137" t="s">
        <v>10</v>
      </c>
      <c r="C13137" t="s">
        <v>42</v>
      </c>
      <c r="D13137" t="str">
        <f>HYPERLINK("https://us2.cloudbeds.com/connect/10074733072513#/reservations/31716963352804?display=Darcie%20Strehlow&amp;reservation_id=31716963352804&amp;guest_id=31716951273681", "Darcie Strehlow")</f>
        <v>Darcie Strehlow</v>
      </c>
      <c r="E13137" t="s">
        <v>11952</v>
      </c>
      <c r="F13137" t="s">
        <v>12340</v>
      </c>
      <c r="G13137">
        <v>89</v>
      </c>
      <c r="H13137">
        <v>96.75</v>
      </c>
      <c r="I13137">
        <v>96.74</v>
      </c>
      <c r="J13137">
        <v>0.01</v>
      </c>
    </row>
    <row r="13138" spans="1:10" x14ac:dyDescent="0.3">
      <c r="A13138" t="str">
        <f>HYPERLINK("https://us2.cloudbeds.com/connect/10074733072513#/reservations/31702608384196?display=MHSZ44B9C&amp;reservation_id=31702608384196", "MHSZ44B9C")</f>
        <v>MHSZ44B9C</v>
      </c>
      <c r="B13138" t="s">
        <v>10</v>
      </c>
      <c r="C13138" t="s">
        <v>42</v>
      </c>
      <c r="D13138" t="str">
        <f>HYPERLINK("https://us2.cloudbeds.com/connect/10074733072513#/reservations/31702608384196?display=Steven%20Endres&amp;reservation_id=31702608384196&amp;guest_id=31702604288227", "Steven Endres")</f>
        <v>Steven Endres</v>
      </c>
      <c r="E13138" t="s">
        <v>12634</v>
      </c>
      <c r="F13138" t="s">
        <v>12056</v>
      </c>
      <c r="G13138">
        <v>159</v>
      </c>
      <c r="H13138">
        <v>172.84</v>
      </c>
      <c r="I13138">
        <v>172.83</v>
      </c>
      <c r="J13138">
        <v>0.01</v>
      </c>
    </row>
    <row r="13139" spans="1:10" x14ac:dyDescent="0.3">
      <c r="A13139" t="str">
        <f>HYPERLINK("https://us2.cloudbeds.com/connect/10074733072513#/reservations/31711423058136?display=MX2XBTY1T&amp;reservation_id=31711423058136", "MX2XBTY1T")</f>
        <v>MX2XBTY1T</v>
      </c>
      <c r="B13139" t="s">
        <v>10</v>
      </c>
      <c r="C13139" t="s">
        <v>23</v>
      </c>
      <c r="D13139" t="str">
        <f>HYPERLINK("https://us2.cloudbeds.com/connect/10074733072513#/reservations/31711423058136?display=Valli%20Putnam&amp;reservation_id=31711423058136&amp;guest_id=31711423058131", "Valli Putnam")</f>
        <v>Valli Putnam</v>
      </c>
      <c r="E13139" t="s">
        <v>12635</v>
      </c>
      <c r="F13139" t="s">
        <v>12137</v>
      </c>
      <c r="G13139">
        <v>378</v>
      </c>
      <c r="H13139">
        <v>410.9</v>
      </c>
      <c r="I13139">
        <v>410.89</v>
      </c>
      <c r="J13139">
        <v>0.01</v>
      </c>
    </row>
    <row r="13140" spans="1:10" x14ac:dyDescent="0.3">
      <c r="A13140" t="str">
        <f>HYPERLINK("https://us2.cloudbeds.com/connect/10074733072513#/reservations/31715678421129?display=MX5S34CZK&amp;reservation_id=31715678421129", "MX5S34CZK")</f>
        <v>MX5S34CZK</v>
      </c>
      <c r="B13140" t="s">
        <v>10</v>
      </c>
      <c r="C13140" t="s">
        <v>42</v>
      </c>
      <c r="D13140" t="str">
        <f>HYPERLINK("https://us2.cloudbeds.com/connect/10074733072513#/reservations/31715678421129?display=Ezekiel%20Johnson&amp;reservation_id=31715678421129&amp;guest_id=31715678421124", "Ezekiel Johnson")</f>
        <v>Ezekiel Johnson</v>
      </c>
      <c r="E13140" t="s">
        <v>12637</v>
      </c>
      <c r="F13140" t="s">
        <v>12278</v>
      </c>
      <c r="G13140">
        <v>278</v>
      </c>
      <c r="H13140">
        <v>302.2</v>
      </c>
      <c r="I13140">
        <v>302.19</v>
      </c>
      <c r="J13140">
        <v>0.01</v>
      </c>
    </row>
    <row r="13141" spans="1:10" x14ac:dyDescent="0.3">
      <c r="A13141" t="str">
        <f>HYPERLINK("https://us2.cloudbeds.com/connect/10074733072513#/reservations/31715121606796?display=MX5DSK6R0&amp;reservation_id=31715121606796", "MX5DSK6R0")</f>
        <v>MX5DSK6R0</v>
      </c>
      <c r="B13141" t="s">
        <v>10</v>
      </c>
      <c r="C13141" t="s">
        <v>42</v>
      </c>
      <c r="D13141" t="str">
        <f>HYPERLINK("https://us2.cloudbeds.com/connect/10074733072513#/reservations/31715121606796?display=Zach%20Sinnen&amp;reservation_id=31715121606796&amp;guest_id=17963385467050", "Zach Sinnen")</f>
        <v>Zach Sinnen</v>
      </c>
      <c r="E13141" t="s">
        <v>11625</v>
      </c>
      <c r="F13141" t="s">
        <v>12313</v>
      </c>
      <c r="G13141">
        <v>336</v>
      </c>
      <c r="H13141">
        <v>365.24</v>
      </c>
      <c r="I13141">
        <v>365.23</v>
      </c>
      <c r="J13141">
        <v>0.01</v>
      </c>
    </row>
    <row r="13142" spans="1:10" x14ac:dyDescent="0.3">
      <c r="A13142" t="str">
        <f>HYPERLINK("https://us2.cloudbeds.com/connect/10074733072513#/reservations/31711938633915?display=MX2VHY9NB&amp;reservation_id=31711938633915", "MX2VHY9NB")</f>
        <v>MX2VHY9NB</v>
      </c>
      <c r="B13142" t="s">
        <v>10</v>
      </c>
      <c r="C13142" t="s">
        <v>42</v>
      </c>
      <c r="D13142" t="str">
        <f>HYPERLINK("https://us2.cloudbeds.com/connect/10074733072513#/reservations/31711938633915?display=Bernie%20Bloss&amp;reservation_id=31711938633915&amp;guest_id=25442733912259", "Bernie Bloss")</f>
        <v>Bernie Bloss</v>
      </c>
      <c r="E13142" t="s">
        <v>12639</v>
      </c>
      <c r="F13142" t="s">
        <v>12564</v>
      </c>
      <c r="G13142">
        <v>252</v>
      </c>
      <c r="H13142">
        <v>273.93</v>
      </c>
      <c r="I13142">
        <v>273.92</v>
      </c>
      <c r="J13142">
        <v>0.01</v>
      </c>
    </row>
    <row r="13143" spans="1:10" x14ac:dyDescent="0.3">
      <c r="A13143" t="str">
        <f>HYPERLINK("https://us2.cloudbeds.com/connect/10074733072513#/reservations/31714294710429?display=MX4PZBJMB&amp;reservation_id=31714294710429", "MX4PZBJMB")</f>
        <v>MX4PZBJMB</v>
      </c>
      <c r="B13143" t="s">
        <v>10</v>
      </c>
      <c r="C13143" t="s">
        <v>42</v>
      </c>
      <c r="D13143" t="str">
        <f>HYPERLINK("https://us2.cloudbeds.com/connect/10074733072513#/reservations/31714294710429?display=Nathan%20Mcdonald&amp;reservation_id=31714294710429&amp;guest_id=31714294706333", "Nathan Mcdonald")</f>
        <v>Nathan Mcdonald</v>
      </c>
      <c r="E13143" t="s">
        <v>12640</v>
      </c>
      <c r="F13143" t="s">
        <v>10250</v>
      </c>
      <c r="G13143">
        <v>139</v>
      </c>
      <c r="H13143">
        <v>151.1</v>
      </c>
      <c r="I13143">
        <v>151.09</v>
      </c>
      <c r="J13143">
        <v>0.01</v>
      </c>
    </row>
    <row r="13144" spans="1:10" x14ac:dyDescent="0.3">
      <c r="A13144" t="str">
        <f>HYPERLINK("https://us2.cloudbeds.com/connect/10074733072513#/reservations/31715543748851?display=MX5ZYXUZG&amp;reservation_id=31715543748851", "MX5ZYXUZG")</f>
        <v>MX5ZYXUZG</v>
      </c>
      <c r="B13144" t="s">
        <v>10</v>
      </c>
      <c r="C13144" t="s">
        <v>23</v>
      </c>
      <c r="D13144" t="str">
        <f>HYPERLINK("https://us2.cloudbeds.com/connect/10074733072513#/reservations/31715543748851?display=Dr%20Daniel%20Lindsay&amp;reservation_id=31715543748851&amp;guest_id=31715543748846", "Dr Daniel Lindsay")</f>
        <v>Dr Daniel Lindsay</v>
      </c>
      <c r="E13144" t="s">
        <v>12642</v>
      </c>
      <c r="F13144" t="s">
        <v>12195</v>
      </c>
      <c r="G13144">
        <v>97.74</v>
      </c>
      <c r="H13144">
        <v>106.25</v>
      </c>
      <c r="I13144">
        <v>106.24</v>
      </c>
      <c r="J13144">
        <v>0.01</v>
      </c>
    </row>
    <row r="13145" spans="1:10" x14ac:dyDescent="0.3">
      <c r="A13145" t="str">
        <f>HYPERLINK("https://us2.cloudbeds.com/connect/10074733072513#/reservations/31712885244114?display=MX3MNS3TT&amp;reservation_id=31712885244114", "MX3MNS3TT")</f>
        <v>MX3MNS3TT</v>
      </c>
      <c r="B13145" t="s">
        <v>10</v>
      </c>
      <c r="C13145" t="s">
        <v>42</v>
      </c>
      <c r="D13145" t="str">
        <f>HYPERLINK("https://us2.cloudbeds.com/connect/10074733072513#/reservations/31712885244114?display=Rajanee%20Nelson&amp;reservation_id=31712885244114&amp;guest_id=31712873574549", "Rajanee Nelson")</f>
        <v>Rajanee Nelson</v>
      </c>
      <c r="E13145" t="s">
        <v>12643</v>
      </c>
      <c r="F13145" t="s">
        <v>10250</v>
      </c>
      <c r="G13145">
        <v>249</v>
      </c>
      <c r="H13145">
        <v>270.67</v>
      </c>
      <c r="I13145">
        <v>270.66000000000003</v>
      </c>
      <c r="J13145">
        <v>0.01</v>
      </c>
    </row>
    <row r="13146" spans="1:10" x14ac:dyDescent="0.3">
      <c r="A13146" t="str">
        <f>HYPERLINK("https://us2.cloudbeds.com/connect/10074733072513#/reservations/31712012693709?display=MX30E33SH&amp;reservation_id=31712012693709", "MX30E33SH")</f>
        <v>MX30E33SH</v>
      </c>
      <c r="B13146" t="s">
        <v>10</v>
      </c>
      <c r="C13146" t="s">
        <v>23</v>
      </c>
      <c r="D13146" t="str">
        <f>HYPERLINK("https://us2.cloudbeds.com/connect/10074733072513#/reservations/31712012693709?display=Scott%20Berglund&amp;reservation_id=31712012693709&amp;guest_id=31712012693698", "Scott Berglund")</f>
        <v>Scott Berglund</v>
      </c>
      <c r="E13146" t="s">
        <v>12644</v>
      </c>
      <c r="F13146" t="s">
        <v>11941</v>
      </c>
      <c r="G13146">
        <v>475.58</v>
      </c>
      <c r="H13146">
        <v>516.97</v>
      </c>
      <c r="I13146">
        <v>516.96</v>
      </c>
      <c r="J13146">
        <v>0.01</v>
      </c>
    </row>
    <row r="13147" spans="1:10" x14ac:dyDescent="0.3">
      <c r="A13147" t="str">
        <f>HYPERLINK("https://us2.cloudbeds.com/connect/10074733072513#/reservations/31712487641253?display=MX3CXJ7MB&amp;reservation_id=31712487641253", "MX3CXJ7MB")</f>
        <v>MX3CXJ7MB</v>
      </c>
      <c r="B13147" t="s">
        <v>10</v>
      </c>
      <c r="C13147" t="s">
        <v>23</v>
      </c>
      <c r="D13147" t="str">
        <f>HYPERLINK("https://us2.cloudbeds.com/connect/10074733072513#/reservations/31712487641253?display=Jared%20Olstad&amp;reservation_id=31712487641253&amp;guest_id=31712478916811", "Jared Olstad")</f>
        <v>Jared Olstad</v>
      </c>
      <c r="E13147" t="s">
        <v>12645</v>
      </c>
      <c r="F13147" t="s">
        <v>11713</v>
      </c>
      <c r="G13147">
        <v>458</v>
      </c>
      <c r="H13147">
        <v>497.86</v>
      </c>
      <c r="I13147">
        <v>497.85</v>
      </c>
      <c r="J13147">
        <v>0.01</v>
      </c>
    </row>
    <row r="13148" spans="1:10" x14ac:dyDescent="0.3">
      <c r="A13148" t="str">
        <f>HYPERLINK("https://us2.cloudbeds.com/connect/10074733072513#/reservations/31713781182694?display=MX4CKAUMR&amp;reservation_id=31713781182694", "MX4CKAUMR")</f>
        <v>MX4CKAUMR</v>
      </c>
      <c r="B13148" t="s">
        <v>10</v>
      </c>
      <c r="C13148" t="s">
        <v>23</v>
      </c>
      <c r="D13148" t="str">
        <f>HYPERLINK("https://us2.cloudbeds.com/connect/10074733072513#/reservations/31713781182694?display=Mike%20Adams&amp;reservation_id=31713781182694&amp;guest_id=31713774043327", "Mike Adams")</f>
        <v>Mike Adams</v>
      </c>
      <c r="E13148" t="s">
        <v>12646</v>
      </c>
      <c r="F13148" t="s">
        <v>10449</v>
      </c>
      <c r="G13148">
        <v>169</v>
      </c>
      <c r="H13148">
        <v>183.71</v>
      </c>
      <c r="I13148">
        <v>183.7</v>
      </c>
      <c r="J13148">
        <v>0.01</v>
      </c>
    </row>
    <row r="13149" spans="1:10" x14ac:dyDescent="0.3">
      <c r="A13149" t="str">
        <f>HYPERLINK("https://us2.cloudbeds.com/connect/10074733072513#/reservations/31714164084889?display=MX4MD6ZMY&amp;reservation_id=31714164084889", "MX4MD6ZMY")</f>
        <v>MX4MD6ZMY</v>
      </c>
      <c r="B13149" t="s">
        <v>10</v>
      </c>
      <c r="C13149" t="s">
        <v>23</v>
      </c>
      <c r="D13149" t="str">
        <f>HYPERLINK("https://us2.cloudbeds.com/connect/10074733072513#/reservations/31714164084889?display=Kammy%20Meyer&amp;reservation_id=31714164084889&amp;guest_id=31714164080794", "Kammy Meyer")</f>
        <v>Kammy Meyer</v>
      </c>
      <c r="E13149" t="s">
        <v>12651</v>
      </c>
      <c r="F13149" t="s">
        <v>9834</v>
      </c>
      <c r="G13149">
        <v>169</v>
      </c>
      <c r="H13149">
        <v>183.71</v>
      </c>
      <c r="I13149">
        <v>183.7</v>
      </c>
      <c r="J13149">
        <v>0.01</v>
      </c>
    </row>
    <row r="13150" spans="1:10" x14ac:dyDescent="0.3">
      <c r="A13150" t="str">
        <f>HYPERLINK("https://us2.cloudbeds.com/connect/10074733072513#/reservations/31713289982176?display=MX4024X6Y&amp;reservation_id=31713289982176", "MX4024X6Y")</f>
        <v>MX4024X6Y</v>
      </c>
      <c r="B13150" t="s">
        <v>10</v>
      </c>
      <c r="C13150" t="s">
        <v>23</v>
      </c>
      <c r="D13150" t="str">
        <f>HYPERLINK("https://us2.cloudbeds.com/connect/10074733072513#/reservations/31713289982176?display=Gabriel%20Flaa&amp;reservation_id=31713289982176&amp;guest_id=31713289982171", "Gabriel Flaa")</f>
        <v>Gabriel Flaa</v>
      </c>
      <c r="E13150" t="s">
        <v>12653</v>
      </c>
      <c r="F13150" t="s">
        <v>10449</v>
      </c>
      <c r="G13150">
        <v>229</v>
      </c>
      <c r="H13150">
        <v>248.93</v>
      </c>
      <c r="I13150">
        <v>248.92</v>
      </c>
      <c r="J13150">
        <v>0.01</v>
      </c>
    </row>
    <row r="13151" spans="1:10" x14ac:dyDescent="0.3">
      <c r="A13151" t="str">
        <f>HYPERLINK("https://us2.cloudbeds.com/connect/10074733072513#/reservations/31714188263679?display=MX4N0JXE8&amp;reservation_id=31714188263679", "MX4N0JXE8")</f>
        <v>MX4N0JXE8</v>
      </c>
      <c r="B13151" t="s">
        <v>10</v>
      </c>
      <c r="C13151" t="s">
        <v>23</v>
      </c>
      <c r="D13151" t="str">
        <f>HYPERLINK("https://us2.cloudbeds.com/connect/10074733072513#/reservations/31714188263679?display=Andres%20Erazo&amp;reservation_id=31714188263679&amp;guest_id=31714188263625", "Andres Erazo")</f>
        <v>Andres Erazo</v>
      </c>
      <c r="E13151" t="s">
        <v>12654</v>
      </c>
      <c r="F13151" t="s">
        <v>12215</v>
      </c>
      <c r="G13151">
        <v>97.74</v>
      </c>
      <c r="H13151">
        <v>106.25</v>
      </c>
      <c r="I13151">
        <v>106.24</v>
      </c>
      <c r="J13151">
        <v>0.01</v>
      </c>
    </row>
    <row r="13152" spans="1:10" x14ac:dyDescent="0.3">
      <c r="A13152" t="str">
        <f>HYPERLINK("https://us2.cloudbeds.com/connect/10074733072513#/reservations/31702010441899?display=MHS8RUNKR&amp;reservation_id=31702010441899", "MHS8RUNKR")</f>
        <v>MHS8RUNKR</v>
      </c>
      <c r="B13152" t="s">
        <v>10</v>
      </c>
      <c r="C13152" t="s">
        <v>42</v>
      </c>
      <c r="D13152" t="str">
        <f>HYPERLINK("https://us2.cloudbeds.com/connect/10074733072513#/reservations/31702010441899?display=Austin%20Gross&amp;reservation_id=31702010441899&amp;guest_id=31702001111252", "Austin Gross")</f>
        <v>Austin Gross</v>
      </c>
      <c r="E13152" t="s">
        <v>12655</v>
      </c>
      <c r="F13152" t="s">
        <v>12056</v>
      </c>
      <c r="G13152">
        <v>159</v>
      </c>
      <c r="H13152">
        <v>172.84</v>
      </c>
      <c r="I13152">
        <v>172.83</v>
      </c>
      <c r="J13152">
        <v>0.01</v>
      </c>
    </row>
    <row r="13153" spans="1:10" x14ac:dyDescent="0.3">
      <c r="A13153" t="str">
        <f>HYPERLINK("https://us2.cloudbeds.com/connect/10074733072513#/reservations/31716407435467?display=MX6DNS9D6&amp;reservation_id=31716407435467", "MX6DNS9D6")</f>
        <v>MX6DNS9D6</v>
      </c>
      <c r="B13153" t="s">
        <v>10</v>
      </c>
      <c r="C13153" t="s">
        <v>23</v>
      </c>
      <c r="D13153" t="str">
        <f>HYPERLINK("https://us2.cloudbeds.com/connect/10074733072513#/reservations/31716407435467?display=Tori%20Sheridan&amp;reservation_id=31716407435467&amp;guest_id=31716398031091", "Tori Sheridan")</f>
        <v>Tori Sheridan</v>
      </c>
      <c r="E13153" t="s">
        <v>12657</v>
      </c>
      <c r="F13153" t="s">
        <v>11713</v>
      </c>
      <c r="G13153">
        <v>149</v>
      </c>
      <c r="H13153">
        <v>161.97</v>
      </c>
      <c r="I13153">
        <v>161.96</v>
      </c>
      <c r="J13153">
        <v>0.01</v>
      </c>
    </row>
    <row r="13154" spans="1:10" x14ac:dyDescent="0.3">
      <c r="A13154" t="str">
        <f>HYPERLINK("https://us2.cloudbeds.com/connect/10074733072513#/reservations/31713335881907?display=MX417RPNJ&amp;reservation_id=31713335881907", "MX417RPNJ")</f>
        <v>MX417RPNJ</v>
      </c>
      <c r="B13154" t="s">
        <v>10</v>
      </c>
      <c r="C13154" t="s">
        <v>23</v>
      </c>
      <c r="D13154" t="str">
        <f>HYPERLINK("https://us2.cloudbeds.com/connect/10074733072513#/reservations/31713335881907?display=Kelly%20Looney&amp;reservation_id=31713335881907&amp;guest_id=31713335881902", "Kelly Looney")</f>
        <v>Kelly Looney</v>
      </c>
      <c r="E13154" t="s">
        <v>12658</v>
      </c>
      <c r="F13154" t="s">
        <v>10449</v>
      </c>
      <c r="G13154">
        <v>205.9</v>
      </c>
      <c r="H13154">
        <v>223.82</v>
      </c>
      <c r="I13154">
        <v>223.81</v>
      </c>
      <c r="J13154">
        <v>0.01</v>
      </c>
    </row>
    <row r="13155" spans="1:10" x14ac:dyDescent="0.3">
      <c r="A13155" t="str">
        <f>HYPERLINK("https://us2.cloudbeds.com/connect/10074733072513#/reservations/31716407439562?display=MX6DNSD59&amp;reservation_id=31716407439562", "MX6DNSD59")</f>
        <v>MX6DNSD59</v>
      </c>
      <c r="B13155" t="s">
        <v>10</v>
      </c>
      <c r="C13155" t="s">
        <v>42</v>
      </c>
      <c r="D13155" t="str">
        <f>HYPERLINK("https://us2.cloudbeds.com/connect/10074733072513#/reservations/31716407439562?display=Tamara%20Millican-Wood&amp;reservation_id=31716407439562&amp;guest_id=31716407439560", "Tamara Millican-Wood")</f>
        <v>Tamara Millican-Wood</v>
      </c>
      <c r="E13155" t="s">
        <v>12663</v>
      </c>
      <c r="F13155" t="s">
        <v>11713</v>
      </c>
      <c r="G13155">
        <v>149</v>
      </c>
      <c r="H13155">
        <v>161.97</v>
      </c>
      <c r="I13155">
        <v>161.96</v>
      </c>
      <c r="J13155">
        <v>0.01</v>
      </c>
    </row>
    <row r="13156" spans="1:10" x14ac:dyDescent="0.3">
      <c r="A13156" t="str">
        <f>HYPERLINK("https://us2.cloudbeds.com/connect/10074733072513#/reservations/31713864691885?display=MX4EZZMWC&amp;reservation_id=31713864691885", "MX4EZZMWC")</f>
        <v>MX4EZZMWC</v>
      </c>
      <c r="B13156" t="s">
        <v>10</v>
      </c>
      <c r="C13156" t="s">
        <v>23</v>
      </c>
      <c r="D13156" t="str">
        <f>HYPERLINK("https://us2.cloudbeds.com/connect/10074733072513#/reservations/31713864691885?display=Melissa%20Carlson&amp;reservation_id=31713864691885&amp;guest_id=31713855975632", "Melissa Carlson")</f>
        <v>Melissa Carlson</v>
      </c>
      <c r="E13156" t="s">
        <v>12664</v>
      </c>
      <c r="F13156" t="s">
        <v>12215</v>
      </c>
      <c r="G13156">
        <v>219.92</v>
      </c>
      <c r="H13156">
        <v>239.06</v>
      </c>
      <c r="I13156">
        <v>239.05</v>
      </c>
      <c r="J13156">
        <v>0.01</v>
      </c>
    </row>
    <row r="13157" spans="1:10" x14ac:dyDescent="0.3">
      <c r="A13157" t="str">
        <f>HYPERLINK("https://us2.cloudbeds.com/connect/10074733072513#/reservations/31710892613849?display=MX24QK81J&amp;reservation_id=31710892613849", "MX24QK81J")</f>
        <v>MX24QK81J</v>
      </c>
      <c r="B13157" t="s">
        <v>10</v>
      </c>
      <c r="C13157" t="s">
        <v>42</v>
      </c>
      <c r="D13157" t="str">
        <f>HYPERLINK("https://us2.cloudbeds.com/connect/10074733072513#/reservations/31710892613849?display=Linda%20Williams&amp;reservation_id=31710892613849&amp;guest_id=31710886051968", "Linda Williams")</f>
        <v>Linda Williams</v>
      </c>
      <c r="E13157" t="s">
        <v>12666</v>
      </c>
      <c r="F13157" t="s">
        <v>10330</v>
      </c>
      <c r="G13157">
        <v>318</v>
      </c>
      <c r="H13157">
        <v>345.68</v>
      </c>
      <c r="I13157">
        <v>345.67</v>
      </c>
      <c r="J13157">
        <v>0.01</v>
      </c>
    </row>
    <row r="13158" spans="1:10" x14ac:dyDescent="0.3">
      <c r="A13158" t="str">
        <f>HYPERLINK("https://us2.cloudbeds.com/connect/10074733072513#/reservations/31712267030682?display=MX36UXDQH&amp;reservation_id=31712267030682", "MX36UXDQH")</f>
        <v>MX36UXDQH</v>
      </c>
      <c r="B13158" t="s">
        <v>10</v>
      </c>
      <c r="C13158" t="s">
        <v>42</v>
      </c>
      <c r="D13158" t="str">
        <f>HYPERLINK("https://us2.cloudbeds.com/connect/10074733072513#/reservations/31712267030682?display=Carrie%20Gilkison&amp;reservation_id=31712267030682&amp;guest_id=31712267030680", "Carrie Gilkison")</f>
        <v>Carrie Gilkison</v>
      </c>
      <c r="E13158" t="s">
        <v>12667</v>
      </c>
      <c r="F13158" t="s">
        <v>11371</v>
      </c>
      <c r="G13158">
        <v>318</v>
      </c>
      <c r="H13158">
        <v>345.68</v>
      </c>
      <c r="I13158">
        <v>345.67</v>
      </c>
      <c r="J13158">
        <v>0.01</v>
      </c>
    </row>
    <row r="13159" spans="1:10" x14ac:dyDescent="0.3">
      <c r="A13159" t="str">
        <f>HYPERLINK("https://us2.cloudbeds.com/connect/10074733072513#/reservations/31712313741462?display=MX383V72Y&amp;reservation_id=31712313741462", "MX383V72Y")</f>
        <v>MX383V72Y</v>
      </c>
      <c r="B13159" t="s">
        <v>10</v>
      </c>
      <c r="C13159" t="s">
        <v>42</v>
      </c>
      <c r="D13159" t="str">
        <f>HYPERLINK("https://us2.cloudbeds.com/connect/10074733072513#/reservations/31712313741462?display=Renee%20Postotnik&amp;reservation_id=31712313741462&amp;guest_id=31712290574501", "Renee Postotnik")</f>
        <v>Renee Postotnik</v>
      </c>
      <c r="E13159" t="s">
        <v>12668</v>
      </c>
      <c r="F13159" t="s">
        <v>12580</v>
      </c>
      <c r="G13159">
        <v>338</v>
      </c>
      <c r="H13159">
        <v>367.42</v>
      </c>
      <c r="I13159">
        <v>367.41</v>
      </c>
      <c r="J13159">
        <v>0.01</v>
      </c>
    </row>
    <row r="13160" spans="1:10" x14ac:dyDescent="0.3">
      <c r="A13160" t="str">
        <f>HYPERLINK("https://us2.cloudbeds.com/connect/10074733072513#/reservations/31714410672351?display=MX4SN4DEV&amp;reservation_id=31714410672351", "MX4SN4DEV")</f>
        <v>MX4SN4DEV</v>
      </c>
      <c r="B13160" t="s">
        <v>10</v>
      </c>
      <c r="C13160" t="s">
        <v>121</v>
      </c>
      <c r="D13160" t="str">
        <f>HYPERLINK("https://us2.cloudbeds.com/connect/10074733072513#/reservations/31714410672351?display=Patricia%20Edler&amp;reservation_id=31714410672351&amp;guest_id=31714393534610", "Patricia Edler")</f>
        <v>Patricia Edler</v>
      </c>
      <c r="E13160" t="s">
        <v>12669</v>
      </c>
      <c r="F13160" t="s">
        <v>10449</v>
      </c>
      <c r="G13160">
        <v>289</v>
      </c>
      <c r="H13160">
        <v>314.14999999999998</v>
      </c>
      <c r="I13160">
        <v>314.14</v>
      </c>
      <c r="J13160">
        <v>0.01</v>
      </c>
    </row>
    <row r="13161" spans="1:10" x14ac:dyDescent="0.3">
      <c r="A13161" t="str">
        <f>HYPERLINK("https://us2.cloudbeds.com/connect/10074733072513#/reservations/31712672686318?display=MX3H9KCMX&amp;reservation_id=31712672686318", "MX3H9KCMX")</f>
        <v>MX3H9KCMX</v>
      </c>
      <c r="B13161" t="s">
        <v>10</v>
      </c>
      <c r="C13161" t="s">
        <v>23</v>
      </c>
      <c r="D13161" t="str">
        <f>HYPERLINK("https://us2.cloudbeds.com/connect/10074733072513#/reservations/31712672686318?display=Anthony%20Lewis&amp;reservation_id=31712672686318&amp;guest_id=31712672686307", "Anthony Lewis")</f>
        <v>Anthony Lewis</v>
      </c>
      <c r="E13161" t="s">
        <v>12670</v>
      </c>
      <c r="F13161" t="s">
        <v>11087</v>
      </c>
      <c r="G13161">
        <v>924</v>
      </c>
      <c r="H13161">
        <v>1004.4</v>
      </c>
      <c r="I13161">
        <v>1004.39</v>
      </c>
      <c r="J13161">
        <v>0.01</v>
      </c>
    </row>
    <row r="13162" spans="1:10" x14ac:dyDescent="0.3">
      <c r="A13162" t="str">
        <f>HYPERLINK("https://us2.cloudbeds.com/connect/10074733072513#/reservations/31712496619713?display=MX3CQ52BT&amp;reservation_id=31712496619713", "MX3CQ52BT")</f>
        <v>MX3CQ52BT</v>
      </c>
      <c r="B13162" t="s">
        <v>10</v>
      </c>
      <c r="C13162" t="s">
        <v>42</v>
      </c>
      <c r="D13162" t="str">
        <f>HYPERLINK("https://us2.cloudbeds.com/connect/10074733072513#/reservations/31712496619713?display=James%20Stigler&amp;reservation_id=31712496619713&amp;guest_id=31712487641251", "James Stigler")</f>
        <v>James Stigler</v>
      </c>
      <c r="E13162" t="s">
        <v>12671</v>
      </c>
      <c r="F13162" t="s">
        <v>12566</v>
      </c>
      <c r="G13162">
        <v>497</v>
      </c>
      <c r="H13162">
        <v>540.25</v>
      </c>
      <c r="I13162">
        <v>540.24</v>
      </c>
      <c r="J13162">
        <v>0.01</v>
      </c>
    </row>
    <row r="13163" spans="1:10" x14ac:dyDescent="0.3">
      <c r="A13163" t="str">
        <f>HYPERLINK("https://us2.cloudbeds.com/connect/10074733072513#/reservations/31712708071583?display=MX3X6F11A&amp;reservation_id=31712708071583", "MX3X6F11A")</f>
        <v>MX3X6F11A</v>
      </c>
      <c r="B13163" t="s">
        <v>10</v>
      </c>
      <c r="C13163" t="s">
        <v>23</v>
      </c>
      <c r="D13163" t="str">
        <f>HYPERLINK("https://us2.cloudbeds.com/connect/10074733072513#/reservations/31712708071583?display=Isabelle%20Reischl&amp;reservation_id=31712708071583&amp;guest_id=31712708071578", "Isabelle Reischl")</f>
        <v>Isabelle Reischl</v>
      </c>
      <c r="E13163" t="s">
        <v>12672</v>
      </c>
      <c r="F13163" t="s">
        <v>8603</v>
      </c>
      <c r="G13163">
        <v>338</v>
      </c>
      <c r="H13163">
        <v>367.42</v>
      </c>
      <c r="I13163">
        <v>367.41</v>
      </c>
      <c r="J13163">
        <v>0.01</v>
      </c>
    </row>
    <row r="13164" spans="1:10" x14ac:dyDescent="0.3">
      <c r="A13164" t="str">
        <f>HYPERLINK("https://us2.cloudbeds.com/connect/10074733072513#/reservations/31713960525959?display=MX4H6XDT7&amp;reservation_id=31713960525959", "MX4H6XDT7")</f>
        <v>MX4H6XDT7</v>
      </c>
      <c r="B13164" t="s">
        <v>10</v>
      </c>
      <c r="C13164" t="s">
        <v>23</v>
      </c>
      <c r="D13164" t="str">
        <f>HYPERLINK("https://us2.cloudbeds.com/connect/10074733072513#/reservations/31713960525959?display=Nathan%20Pearson&amp;reservation_id=31713960525959&amp;guest_id=31713955766492", "Nathan Pearson")</f>
        <v>Nathan Pearson</v>
      </c>
      <c r="E13164" t="s">
        <v>12675</v>
      </c>
      <c r="F13164" t="s">
        <v>12278</v>
      </c>
      <c r="G13164">
        <v>179</v>
      </c>
      <c r="H13164">
        <v>194.58</v>
      </c>
      <c r="I13164">
        <v>194.57</v>
      </c>
      <c r="J13164">
        <v>0.01</v>
      </c>
    </row>
    <row r="13165" spans="1:10" x14ac:dyDescent="0.3">
      <c r="A13165" t="str">
        <f>HYPERLINK("https://us2.cloudbeds.com/connect/10074733072513#/reservations/31713890496698?display=MX4FDGZSD&amp;reservation_id=31713890496698", "MX4FDGZSD")</f>
        <v>MX4FDGZSD</v>
      </c>
      <c r="B13165" t="s">
        <v>10</v>
      </c>
      <c r="C13165" t="s">
        <v>23</v>
      </c>
      <c r="D13165" t="str">
        <f>HYPERLINK("https://us2.cloudbeds.com/connect/10074733072513#/reservations/31713890496698?display=Justin%20Alexander&amp;reservation_id=31713890496698&amp;guest_id=31713881428191", "Justin Alexander")</f>
        <v>Justin Alexander</v>
      </c>
      <c r="E13165" t="s">
        <v>12393</v>
      </c>
      <c r="F13165" t="s">
        <v>12215</v>
      </c>
      <c r="G13165">
        <v>189</v>
      </c>
      <c r="H13165">
        <v>205.45</v>
      </c>
      <c r="I13165">
        <v>205.44</v>
      </c>
      <c r="J13165">
        <v>0.01</v>
      </c>
    </row>
    <row r="13166" spans="1:10" x14ac:dyDescent="0.3">
      <c r="A13166" t="str">
        <f>HYPERLINK("https://us2.cloudbeds.com/connect/10074733072513#/reservations/31713881424101?display=MX4F5S9Z7&amp;reservation_id=31713881424101", "MX4F5S9Z7")</f>
        <v>MX4F5S9Z7</v>
      </c>
      <c r="B13166" t="s">
        <v>10</v>
      </c>
      <c r="C13166" t="s">
        <v>42</v>
      </c>
      <c r="D13166" t="str">
        <f>HYPERLINK("https://us2.cloudbeds.com/connect/10074733072513#/reservations/31713881424101?display=Kelly%20Clelland&amp;reservation_id=31713881424101&amp;guest_id=31713881424086", "Kelly Clelland")</f>
        <v>Kelly Clelland</v>
      </c>
      <c r="E13166" t="s">
        <v>12677</v>
      </c>
      <c r="F13166" t="s">
        <v>12215</v>
      </c>
      <c r="G13166">
        <v>169</v>
      </c>
      <c r="H13166">
        <v>183.71</v>
      </c>
      <c r="I13166">
        <v>183.7</v>
      </c>
      <c r="J13166">
        <v>0.01</v>
      </c>
    </row>
    <row r="13167" spans="1:10" x14ac:dyDescent="0.3">
      <c r="A13167" t="str">
        <f>HYPERLINK("https://us2.cloudbeds.com/connect/10074733072513#/reservations/31716290322632?display=MX6AZ3EPD&amp;reservation_id=31716290322632", "MX6AZ3EPD")</f>
        <v>MX6AZ3EPD</v>
      </c>
      <c r="B13167" t="s">
        <v>10</v>
      </c>
      <c r="C13167" t="s">
        <v>23</v>
      </c>
      <c r="D13167" t="str">
        <f>HYPERLINK("https://us2.cloudbeds.com/connect/10074733072513#/reservations/31716290322632?display=Nate%20Pearson&amp;reservation_id=31716290322632&amp;guest_id=31716279951548", "Nate Pearson")</f>
        <v>Nate Pearson</v>
      </c>
      <c r="E13167" t="s">
        <v>12675</v>
      </c>
      <c r="F13167" t="s">
        <v>12278</v>
      </c>
      <c r="G13167">
        <v>179</v>
      </c>
      <c r="H13167">
        <v>194.58</v>
      </c>
      <c r="I13167">
        <v>194.57</v>
      </c>
      <c r="J13167">
        <v>0.01</v>
      </c>
    </row>
    <row r="13168" spans="1:10" x14ac:dyDescent="0.3">
      <c r="A13168" t="str">
        <f>HYPERLINK("https://us2.cloudbeds.com/connect/10074733072513#/reservations/31712429281503?display=MX3B2C9F2&amp;reservation_id=31712429281503", "MX3B2C9F2")</f>
        <v>MX3B2C9F2</v>
      </c>
      <c r="B13168" t="s">
        <v>10</v>
      </c>
      <c r="C13168" t="s">
        <v>23</v>
      </c>
      <c r="D13168" t="str">
        <f>HYPERLINK("https://us2.cloudbeds.com/connect/10074733072513#/reservations/31712429281503?display=Patrick%20Cowan&amp;reservation_id=31712429281503&amp;guest_id=31712429281498", "Patrick Cowan")</f>
        <v>Patrick Cowan</v>
      </c>
      <c r="E13168" t="s">
        <v>12678</v>
      </c>
      <c r="F13168" t="s">
        <v>12215</v>
      </c>
      <c r="G13168">
        <v>169</v>
      </c>
      <c r="H13168">
        <v>183.71</v>
      </c>
      <c r="I13168">
        <v>183.7</v>
      </c>
      <c r="J13168">
        <v>0.01</v>
      </c>
    </row>
    <row r="13169" spans="1:10" x14ac:dyDescent="0.3">
      <c r="A13169" t="str">
        <f>HYPERLINK("https://us2.cloudbeds.com/connect/10074733072513#/reservations/31713971036378?display=MX4HFDTAP&amp;reservation_id=31713971036378", "MX4HFDTAP")</f>
        <v>MX4HFDTAP</v>
      </c>
      <c r="B13169" t="s">
        <v>10</v>
      </c>
      <c r="C13169" t="s">
        <v>23</v>
      </c>
      <c r="D13169" t="str">
        <f>HYPERLINK("https://us2.cloudbeds.com/connect/10074733072513#/reservations/31713971036378?display=Dave%20Bult&amp;reservation_id=31713971036378&amp;guest_id=31713960530049", "Dave Bult")</f>
        <v>Dave Bult</v>
      </c>
      <c r="E13169" t="s">
        <v>6784</v>
      </c>
      <c r="F13169" t="s">
        <v>12278</v>
      </c>
      <c r="G13169">
        <v>189</v>
      </c>
      <c r="H13169">
        <v>205.45</v>
      </c>
      <c r="I13169">
        <v>205.44</v>
      </c>
      <c r="J13169">
        <v>0.01</v>
      </c>
    </row>
    <row r="13170" spans="1:10" x14ac:dyDescent="0.3">
      <c r="A13170" t="str">
        <f>HYPERLINK("https://us2.cloudbeds.com/connect/10074733072513#/reservations/31713814331618?display=MX4DF9BFM&amp;reservation_id=31713814331618", "MX4DF9BFM")</f>
        <v>MX4DF9BFM</v>
      </c>
      <c r="B13170" t="s">
        <v>10</v>
      </c>
      <c r="C13170" t="s">
        <v>42</v>
      </c>
      <c r="D13170" t="str">
        <f>HYPERLINK("https://us2.cloudbeds.com/connect/10074733072513#/reservations/31713814331618?display=Adam%20Hull&amp;reservation_id=31713814331618&amp;guest_id=31702235377882", "Adam Hull")</f>
        <v>Adam Hull</v>
      </c>
      <c r="E13170" t="s">
        <v>6474</v>
      </c>
      <c r="F13170" t="s">
        <v>12215</v>
      </c>
      <c r="G13170">
        <v>199</v>
      </c>
      <c r="H13170">
        <v>216.32</v>
      </c>
      <c r="I13170">
        <v>216.31</v>
      </c>
      <c r="J13170">
        <v>0.01</v>
      </c>
    </row>
    <row r="13171" spans="1:10" x14ac:dyDescent="0.3">
      <c r="A13171" t="str">
        <f>HYPERLINK("https://us2.cloudbeds.com/connect/10074733072513#/reservations/31714701680843?display=MX534H4T4&amp;reservation_id=31714701680843", "MX534H4T4")</f>
        <v>MX534H4T4</v>
      </c>
      <c r="B13171" t="s">
        <v>10</v>
      </c>
      <c r="C13171" t="s">
        <v>42</v>
      </c>
      <c r="D13171" t="str">
        <f>HYPERLINK("https://us2.cloudbeds.com/connect/10074733072513#/reservations/31714701680843?display=Paul%20Stevenson&amp;reservation_id=31714701680843&amp;guest_id=31700916437147", "Paul Stevenson")</f>
        <v>Paul Stevenson</v>
      </c>
      <c r="E13171" t="s">
        <v>12680</v>
      </c>
      <c r="F13171" t="s">
        <v>11941</v>
      </c>
      <c r="G13171">
        <v>252</v>
      </c>
      <c r="H13171">
        <v>273.93</v>
      </c>
      <c r="I13171">
        <v>273.92</v>
      </c>
      <c r="J13171">
        <v>0.01</v>
      </c>
    </row>
    <row r="13172" spans="1:10" x14ac:dyDescent="0.3">
      <c r="A13172" t="str">
        <f>HYPERLINK("https://us2.cloudbeds.com/connect/10074733072513#/reservations/31712442564789?display=MX3BDXU4T&amp;reservation_id=31712442564789", "MX3BDXU4T")</f>
        <v>MX3BDXU4T</v>
      </c>
      <c r="B13172" t="s">
        <v>10</v>
      </c>
      <c r="C13172" t="s">
        <v>42</v>
      </c>
      <c r="D13172" t="str">
        <f>HYPERLINK("https://us2.cloudbeds.com/connect/10074733072513#/reservations/31712442564789?display=Scott%20Manee&amp;reservation_id=31712442564789&amp;guest_id=31712429281501", "Scott Manee")</f>
        <v>Scott Manee</v>
      </c>
      <c r="E13172" t="s">
        <v>12683</v>
      </c>
      <c r="F13172" t="s">
        <v>12566</v>
      </c>
      <c r="G13172">
        <v>338</v>
      </c>
      <c r="H13172">
        <v>367.42</v>
      </c>
      <c r="I13172">
        <v>367.41</v>
      </c>
      <c r="J13172">
        <v>0.01</v>
      </c>
    </row>
    <row r="13173" spans="1:10" x14ac:dyDescent="0.3">
      <c r="A13173" t="str">
        <f>HYPERLINK("https://us2.cloudbeds.com/connect/10074733072513#/reservations/31714011791540?display=MX4XGPVNM&amp;reservation_id=31714011791540", "MX4XGPVNM")</f>
        <v>MX4XGPVNM</v>
      </c>
      <c r="B13173" t="s">
        <v>10</v>
      </c>
      <c r="C13173" t="s">
        <v>121</v>
      </c>
      <c r="D13173" t="str">
        <f>HYPERLINK("https://us2.cloudbeds.com/connect/10074733072513#/reservations/31714011791540?display=Ian%20Roettger&amp;reservation_id=31714011791540&amp;guest_id=31714011791488", "Ian Roettger")</f>
        <v>Ian Roettger</v>
      </c>
      <c r="E13173" t="s">
        <v>12685</v>
      </c>
      <c r="F13173" t="s">
        <v>12278</v>
      </c>
      <c r="G13173">
        <v>169</v>
      </c>
      <c r="H13173">
        <v>183.71</v>
      </c>
      <c r="I13173">
        <v>183.7</v>
      </c>
      <c r="J13173">
        <v>0.01</v>
      </c>
    </row>
    <row r="13174" spans="1:10" x14ac:dyDescent="0.3">
      <c r="A13174" t="str">
        <f>HYPERLINK("https://us2.cloudbeds.com/connect/10074733072513#/reservations/31713998688460?display=MX4X5ZBGY&amp;reservation_id=31713998688460", "MX4X5ZBGY")</f>
        <v>MX4X5ZBGY</v>
      </c>
      <c r="B13174" t="s">
        <v>10</v>
      </c>
      <c r="C13174" t="s">
        <v>23</v>
      </c>
      <c r="D13174" t="str">
        <f>HYPERLINK("https://us2.cloudbeds.com/connect/10074733072513#/reservations/31713998688460?display=Monica%20Sorensen&amp;reservation_id=31713998688460&amp;guest_id=31713998684374", "Monica Sorensen")</f>
        <v>Monica Sorensen</v>
      </c>
      <c r="E13174" t="s">
        <v>12686</v>
      </c>
      <c r="F13174" t="s">
        <v>11087</v>
      </c>
      <c r="G13174">
        <v>229</v>
      </c>
      <c r="H13174">
        <v>248.93</v>
      </c>
      <c r="I13174">
        <v>248.92</v>
      </c>
      <c r="J13174">
        <v>0.01</v>
      </c>
    </row>
    <row r="13175" spans="1:10" x14ac:dyDescent="0.3">
      <c r="A13175" t="str">
        <f>HYPERLINK("https://us2.cloudbeds.com/connect/10074733072513#/reservations/31713202577653?display=MX3URECUZ&amp;reservation_id=31713202577653", "MX3URECUZ")</f>
        <v>MX3URECUZ</v>
      </c>
      <c r="B13175" t="s">
        <v>10</v>
      </c>
      <c r="C13175" t="s">
        <v>23</v>
      </c>
      <c r="D13175" t="str">
        <f>HYPERLINK("https://us2.cloudbeds.com/connect/10074733072513#/reservations/31713202577653?display=Donna%20Degeest&amp;reservation_id=31713202577653&amp;guest_id=31713202577648", "Donna Degeest")</f>
        <v>Donna Degeest</v>
      </c>
      <c r="E13175" t="s">
        <v>12687</v>
      </c>
      <c r="F13175" t="s">
        <v>12429</v>
      </c>
      <c r="G13175">
        <v>139</v>
      </c>
      <c r="H13175">
        <v>151.1</v>
      </c>
      <c r="I13175">
        <v>151.09</v>
      </c>
      <c r="J13175">
        <v>0.01</v>
      </c>
    </row>
    <row r="13176" spans="1:10" x14ac:dyDescent="0.3">
      <c r="A13176" t="str">
        <f>HYPERLINK("https://us2.cloudbeds.com/connect/10074733072513#/reservations/31714642043061?display=MX51K7Y2K&amp;reservation_id=31714642043061", "MX51K7Y2K")</f>
        <v>MX51K7Y2K</v>
      </c>
      <c r="B13176" t="s">
        <v>10</v>
      </c>
      <c r="C13176" t="s">
        <v>23</v>
      </c>
      <c r="D13176" t="str">
        <f>HYPERLINK("https://us2.cloudbeds.com/connect/10074733072513#/reservations/31714642043061?display=Mary%20Rigatuso&amp;reservation_id=31714642043061&amp;guest_id=31714642043058", "Mary Rigatuso")</f>
        <v>Mary Rigatuso</v>
      </c>
      <c r="E13176" t="s">
        <v>12688</v>
      </c>
      <c r="F13176" t="s">
        <v>11941</v>
      </c>
      <c r="G13176">
        <v>195.48</v>
      </c>
      <c r="H13176">
        <v>212.5</v>
      </c>
      <c r="I13176">
        <v>212.49</v>
      </c>
      <c r="J13176">
        <v>0.01</v>
      </c>
    </row>
    <row r="13177" spans="1:10" x14ac:dyDescent="0.3">
      <c r="A13177" t="str">
        <f>HYPERLINK("https://us2.cloudbeds.com/connect/10074733072513#/reservations/31712253739222?display=MX36JBXK0&amp;reservation_id=31712253739222", "MX36JBXK0")</f>
        <v>MX36JBXK0</v>
      </c>
      <c r="B13177" t="s">
        <v>10</v>
      </c>
      <c r="C13177" t="s">
        <v>121</v>
      </c>
      <c r="D13177" t="str">
        <f>HYPERLINK("https://us2.cloudbeds.com/connect/10074733072513#/reservations/31712253739222?display=Rayn%20Weis&amp;reservation_id=31712253739222&amp;guest_id=31712247771381", "Rayn Weis")</f>
        <v>Rayn Weis</v>
      </c>
      <c r="E13177" t="s">
        <v>12689</v>
      </c>
      <c r="F13177" t="s">
        <v>12566</v>
      </c>
      <c r="G13177">
        <v>139</v>
      </c>
      <c r="H13177">
        <v>151.1</v>
      </c>
      <c r="I13177">
        <v>151.09</v>
      </c>
      <c r="J13177">
        <v>0.01</v>
      </c>
    </row>
    <row r="13178" spans="1:10" x14ac:dyDescent="0.3">
      <c r="A13178" t="str">
        <f>HYPERLINK("https://us2.cloudbeds.com/connect/10074733072513#/reservations/31714741903520?display=MX545EDA4&amp;reservation_id=31714741903520", "MX545EDA4")</f>
        <v>MX545EDA4</v>
      </c>
      <c r="B13178" t="s">
        <v>10</v>
      </c>
      <c r="C13178" t="s">
        <v>23</v>
      </c>
      <c r="D13178" t="str">
        <f>HYPERLINK("https://us2.cloudbeds.com/connect/10074733072513#/reservations/31714741903520?display=Erick%20Dabbs&amp;reservation_id=31714741903520&amp;guest_id=31694796468396", "Erick Dabbs")</f>
        <v>Erick Dabbs</v>
      </c>
      <c r="E13178" t="s">
        <v>8256</v>
      </c>
      <c r="F13178" t="s">
        <v>12690</v>
      </c>
      <c r="G13178">
        <v>278</v>
      </c>
      <c r="H13178">
        <v>302.2</v>
      </c>
      <c r="I13178">
        <v>302.19</v>
      </c>
      <c r="J13178">
        <v>0.01</v>
      </c>
    </row>
    <row r="13179" spans="1:10" x14ac:dyDescent="0.3">
      <c r="A13179" t="str">
        <f>HYPERLINK("https://us2.cloudbeds.com/connect/10074733072513#/reservations/31701833257108?display=MHS4AH9GZ&amp;reservation_id=31701833257108", "MHS4AH9GZ")</f>
        <v>MHS4AH9GZ</v>
      </c>
      <c r="B13179" t="s">
        <v>10</v>
      </c>
      <c r="C13179" t="s">
        <v>42</v>
      </c>
      <c r="D13179" t="str">
        <f>HYPERLINK("https://us2.cloudbeds.com/connect/10074733072513#/reservations/31701833257108?display=Emily%20Miller&amp;reservation_id=31701833257108&amp;guest_id=31701829144795", "Emily Miller")</f>
        <v>Emily Miller</v>
      </c>
      <c r="E13179" t="s">
        <v>12692</v>
      </c>
      <c r="F13179" t="s">
        <v>11134</v>
      </c>
      <c r="G13179">
        <v>179</v>
      </c>
      <c r="H13179">
        <v>194.58</v>
      </c>
      <c r="I13179">
        <v>194.57</v>
      </c>
      <c r="J13179">
        <v>0.01</v>
      </c>
    </row>
    <row r="13180" spans="1:10" x14ac:dyDescent="0.3">
      <c r="A13180" t="str">
        <f>HYPERLINK("https://us2.cloudbeds.com/connect/10074733072513#/reservations/31712185331916?display=MX34RM0WB&amp;reservation_id=31712185331916", "MX34RM0WB")</f>
        <v>MX34RM0WB</v>
      </c>
      <c r="B13180" t="s">
        <v>10</v>
      </c>
      <c r="C13180" t="s">
        <v>23</v>
      </c>
      <c r="D13180" t="str">
        <f>HYPERLINK("https://us2.cloudbeds.com/connect/10074733072513#/reservations/31712185331916?display=Tabetha%20Vanderwoude&amp;reservation_id=31712185331916&amp;guest_id=31712185327824", "Tabetha Vanderwoude")</f>
        <v>Tabetha Vanderwoude</v>
      </c>
      <c r="E13180" t="s">
        <v>12695</v>
      </c>
      <c r="F13180" t="s">
        <v>12137</v>
      </c>
      <c r="G13180">
        <v>378</v>
      </c>
      <c r="H13180">
        <v>410.9</v>
      </c>
      <c r="I13180">
        <v>410.89</v>
      </c>
      <c r="J13180">
        <v>0.01</v>
      </c>
    </row>
    <row r="13181" spans="1:10" x14ac:dyDescent="0.3">
      <c r="A13181" t="str">
        <f>HYPERLINK("https://us2.cloudbeds.com/connect/10074733072513#/reservations/31712282329288?display=MX37AF43Y&amp;reservation_id=31712282329288", "MX37AF43Y")</f>
        <v>MX37AF43Y</v>
      </c>
      <c r="B13181" t="s">
        <v>10</v>
      </c>
      <c r="C13181" t="s">
        <v>23</v>
      </c>
      <c r="D13181" t="str">
        <f>HYPERLINK("https://us2.cloudbeds.com/connect/10074733072513#/reservations/31712282329288?display=Jason%20Grimm&amp;reservation_id=31712282329288&amp;guest_id=31712282329283", "Jason Grimm")</f>
        <v>Jason Grimm</v>
      </c>
      <c r="E13181" t="s">
        <v>12696</v>
      </c>
      <c r="F13181" t="s">
        <v>12566</v>
      </c>
      <c r="G13181">
        <v>102.58</v>
      </c>
      <c r="H13181">
        <v>111.51</v>
      </c>
      <c r="I13181">
        <v>111.5</v>
      </c>
      <c r="J13181">
        <v>0.01</v>
      </c>
    </row>
    <row r="13182" spans="1:10" x14ac:dyDescent="0.3">
      <c r="A13182" t="str">
        <f>HYPERLINK("https://us2.cloudbeds.com/connect/10074733072513#/reservations/31711998759132?display=MX302BC3K&amp;reservation_id=31711998759132", "MX302BC3K")</f>
        <v>MX302BC3K</v>
      </c>
      <c r="B13182" t="s">
        <v>10</v>
      </c>
      <c r="C13182" t="s">
        <v>23</v>
      </c>
      <c r="D13182" t="str">
        <f>HYPERLINK("https://us2.cloudbeds.com/connect/10074733072513#/reservations/31711998759132?display=Bartholomew%20Heyn&amp;reservation_id=31711998759132&amp;guest_id=31711998759127", "Bartholomew Heyn")</f>
        <v>Bartholomew Heyn</v>
      </c>
      <c r="E13182" t="s">
        <v>12697</v>
      </c>
      <c r="F13182" t="s">
        <v>11941</v>
      </c>
      <c r="G13182">
        <v>102.58</v>
      </c>
      <c r="H13182">
        <v>111.51</v>
      </c>
      <c r="I13182">
        <v>111.5</v>
      </c>
      <c r="J13182">
        <v>0.01</v>
      </c>
    </row>
    <row r="13183" spans="1:10" x14ac:dyDescent="0.3">
      <c r="A13183" t="str">
        <f>HYPERLINK("https://us2.cloudbeds.com/connect/10074733072513#/reservations/31712050409610?display=MX31CTKCK&amp;reservation_id=31712050409610", "MX31CTKCK")</f>
        <v>MX31CTKCK</v>
      </c>
      <c r="B13183" t="s">
        <v>10</v>
      </c>
      <c r="C13183" t="s">
        <v>42</v>
      </c>
      <c r="D13183" t="str">
        <f>HYPERLINK("https://us2.cloudbeds.com/connect/10074733072513#/reservations/31712050409610?display=Lizet%20Medina&amp;reservation_id=31712050409610&amp;guest_id=31712050409605", "Lizet Medina")</f>
        <v>Lizet Medina</v>
      </c>
      <c r="E13183" t="s">
        <v>12698</v>
      </c>
      <c r="F13183" t="s">
        <v>11941</v>
      </c>
      <c r="G13183">
        <v>139</v>
      </c>
      <c r="H13183">
        <v>151.1</v>
      </c>
      <c r="I13183">
        <v>151.09</v>
      </c>
      <c r="J13183">
        <v>0.01</v>
      </c>
    </row>
    <row r="13184" spans="1:10" x14ac:dyDescent="0.3">
      <c r="A13184" t="str">
        <f>HYPERLINK("https://us2.cloudbeds.com/connect/10074733072513#/reservations/31714816917716?display=MX562MPSH&amp;reservation_id=31714816917716", "MX562MPSH")</f>
        <v>MX562MPSH</v>
      </c>
      <c r="B13184" t="s">
        <v>10</v>
      </c>
      <c r="C13184" t="s">
        <v>23</v>
      </c>
      <c r="D13184" t="str">
        <f>HYPERLINK("https://us2.cloudbeds.com/connect/10074733072513#/reservations/31714816917716?display=Amber%20Metzger&amp;reservation_id=31714816917716&amp;guest_id=31714806993030", "Amber Metzger")</f>
        <v>Amber Metzger</v>
      </c>
      <c r="E13184" t="s">
        <v>12699</v>
      </c>
      <c r="F13184" t="s">
        <v>11087</v>
      </c>
      <c r="G13184">
        <v>313.2</v>
      </c>
      <c r="H13184">
        <v>340.46</v>
      </c>
      <c r="I13184">
        <v>340.45</v>
      </c>
      <c r="J13184">
        <v>0.01</v>
      </c>
    </row>
    <row r="13185" spans="1:10" x14ac:dyDescent="0.3">
      <c r="A13185" t="str">
        <f>HYPERLINK("https://us2.cloudbeds.com/connect/10074733072513#/reservations/31714765037699?display=MX54ZV4QS&amp;reservation_id=31714765037699", "MX54ZV4QS")</f>
        <v>MX54ZV4QS</v>
      </c>
      <c r="B13185" t="s">
        <v>10</v>
      </c>
      <c r="C13185" t="s">
        <v>23</v>
      </c>
      <c r="D13185" t="str">
        <f>HYPERLINK("https://us2.cloudbeds.com/connect/10074733072513#/reservations/31714765037699?display=Travis%20Petty&amp;reservation_id=31714765037699&amp;guest_id=31714756382890", "Travis Petty")</f>
        <v>Travis Petty</v>
      </c>
      <c r="E13185" t="s">
        <v>12700</v>
      </c>
      <c r="F13185" t="s">
        <v>12701</v>
      </c>
      <c r="G13185">
        <v>169</v>
      </c>
      <c r="H13185">
        <v>183.71</v>
      </c>
      <c r="I13185">
        <v>183.7</v>
      </c>
      <c r="J13185">
        <v>0.01</v>
      </c>
    </row>
    <row r="13186" spans="1:10" x14ac:dyDescent="0.3">
      <c r="A13186" t="str">
        <f>HYPERLINK("https://us2.cloudbeds.com/connect/10074733072513#/reservations/31715335807126?display=MX5JB7YB3&amp;reservation_id=31715335807126", "MX5JB7YB3")</f>
        <v>MX5JB7YB3</v>
      </c>
      <c r="B13186" t="s">
        <v>10</v>
      </c>
      <c r="C13186" t="s">
        <v>23</v>
      </c>
      <c r="D13186" t="str">
        <f>HYPERLINK("https://us2.cloudbeds.com/connect/10074733072513#/reservations/31715335807126?display=Haley%20Pewe&amp;reservation_id=31715335807126&amp;guest_id=31715335807121", "Haley Pewe")</f>
        <v>Haley Pewe</v>
      </c>
      <c r="E13186" t="s">
        <v>12702</v>
      </c>
      <c r="F13186" t="s">
        <v>11694</v>
      </c>
      <c r="G13186">
        <v>189</v>
      </c>
      <c r="H13186">
        <v>205.45</v>
      </c>
      <c r="I13186">
        <v>205.44</v>
      </c>
      <c r="J13186">
        <v>0.01</v>
      </c>
    </row>
    <row r="13187" spans="1:10" x14ac:dyDescent="0.3">
      <c r="A13187" t="str">
        <f>HYPERLINK("https://us2.cloudbeds.com/connect/10074733072513#/reservations/31712253743316?display=MX36JBMC2&amp;reservation_id=31712253743316", "MX36JBMC2")</f>
        <v>MX36JBMC2</v>
      </c>
      <c r="B13187" t="s">
        <v>10</v>
      </c>
      <c r="C13187" t="s">
        <v>23</v>
      </c>
      <c r="D13187" t="str">
        <f>HYPERLINK("https://us2.cloudbeds.com/connect/10074733072513#/reservations/31712253743316?display=Erica%20Hunter&amp;reservation_id=31712253743316&amp;guest_id=31712253743314", "Erica Hunter")</f>
        <v>Erica Hunter</v>
      </c>
      <c r="E13187" t="s">
        <v>12703</v>
      </c>
      <c r="F13187" t="s">
        <v>12566</v>
      </c>
      <c r="G13187">
        <v>169</v>
      </c>
      <c r="H13187">
        <v>183.71</v>
      </c>
      <c r="I13187">
        <v>183.7</v>
      </c>
      <c r="J13187">
        <v>0.01</v>
      </c>
    </row>
    <row r="13188" spans="1:10" x14ac:dyDescent="0.3">
      <c r="A13188" t="str">
        <f>HYPERLINK("https://us2.cloudbeds.com/connect/10074733072513#/reservations/31712302518473?display=MX37RFUA4&amp;reservation_id=31712302518473", "MX37RFUA4")</f>
        <v>MX37RFUA4</v>
      </c>
      <c r="B13188" t="s">
        <v>10</v>
      </c>
      <c r="C13188" t="s">
        <v>23</v>
      </c>
      <c r="D13188" t="str">
        <f>HYPERLINK("https://us2.cloudbeds.com/connect/10074733072513#/reservations/31712302518473?display=Bart%20Fisher&amp;reservation_id=31712302518473&amp;guest_id=31712290574504", "Bart Fisher")</f>
        <v>Bart Fisher</v>
      </c>
      <c r="E13188" t="s">
        <v>12704</v>
      </c>
      <c r="F13188" t="s">
        <v>11371</v>
      </c>
      <c r="G13188">
        <v>209</v>
      </c>
      <c r="H13188">
        <v>227.19</v>
      </c>
      <c r="I13188">
        <v>227.18</v>
      </c>
      <c r="J13188">
        <v>0.01</v>
      </c>
    </row>
    <row r="13189" spans="1:10" x14ac:dyDescent="0.3">
      <c r="A13189" t="str">
        <f>HYPERLINK("https://us2.cloudbeds.com/connect/10074733072513#/reservations/31716203204763?display=MX68GY8NW&amp;reservation_id=31716203204763", "MX68GY8NW")</f>
        <v>MX68GY8NW</v>
      </c>
      <c r="B13189" t="s">
        <v>10</v>
      </c>
      <c r="C13189" t="s">
        <v>23</v>
      </c>
      <c r="D13189" t="str">
        <f>HYPERLINK("https://us2.cloudbeds.com/connect/10074733072513#/reservations/31716203204763?display=Cheryl%20R%20Gozdzilski&amp;reservation_id=31716203204763&amp;guest_id=31716203204747", "Cheryl R Gozdzilski")</f>
        <v>Cheryl R Gozdzilski</v>
      </c>
      <c r="E13189" t="s">
        <v>12705</v>
      </c>
      <c r="F13189" t="s">
        <v>12566</v>
      </c>
      <c r="G13189">
        <v>102.58</v>
      </c>
      <c r="H13189">
        <v>111.51</v>
      </c>
      <c r="I13189">
        <v>111.5</v>
      </c>
      <c r="J13189">
        <v>0.01</v>
      </c>
    </row>
    <row r="13190" spans="1:10" x14ac:dyDescent="0.3">
      <c r="A13190" t="str">
        <f>HYPERLINK("https://us2.cloudbeds.com/connect/10074733072513#/reservations/31714096169145?display=MX4KYUTEQ&amp;reservation_id=31714096169145", "MX4KYUTEQ")</f>
        <v>MX4KYUTEQ</v>
      </c>
      <c r="B13190" t="s">
        <v>10</v>
      </c>
      <c r="C13190" t="s">
        <v>23</v>
      </c>
      <c r="D13190" t="str">
        <f>HYPERLINK("https://us2.cloudbeds.com/connect/10074733072513#/reservations/31714096169145?display=Gage%20Cuthbertson&amp;reservation_id=31714096169145&amp;guest_id=31714096169093", "Gage Cuthbertson")</f>
        <v>Gage Cuthbertson</v>
      </c>
      <c r="E13190" t="s">
        <v>12706</v>
      </c>
      <c r="F13190" t="s">
        <v>11941</v>
      </c>
      <c r="G13190">
        <v>169</v>
      </c>
      <c r="H13190">
        <v>183.71</v>
      </c>
      <c r="I13190">
        <v>183.7</v>
      </c>
      <c r="J13190">
        <v>0.01</v>
      </c>
    </row>
    <row r="13191" spans="1:10" x14ac:dyDescent="0.3">
      <c r="A13191" t="str">
        <f>HYPERLINK("https://us2.cloudbeds.com/connect/10074733072513#/reservations/31713751023812?display=MX4BRTNJA&amp;reservation_id=31713751023812", "MX4BRTNJA")</f>
        <v>MX4BRTNJA</v>
      </c>
      <c r="B13191" t="s">
        <v>10</v>
      </c>
      <c r="C13191" t="s">
        <v>23</v>
      </c>
      <c r="D13191" t="str">
        <f>HYPERLINK("https://us2.cloudbeds.com/connect/10074733072513#/reservations/31713751023812?display=Maureen%20Tuominen&amp;reservation_id=31713751023812&amp;guest_id=31713743741169", "Maureen Tuominen")</f>
        <v>Maureen Tuominen</v>
      </c>
      <c r="E13191" t="s">
        <v>12707</v>
      </c>
      <c r="F13191" t="s">
        <v>11533</v>
      </c>
      <c r="G13191">
        <v>261.08</v>
      </c>
      <c r="H13191">
        <v>283.8</v>
      </c>
      <c r="I13191">
        <v>283.79000000000002</v>
      </c>
      <c r="J13191">
        <v>0.01</v>
      </c>
    </row>
    <row r="13192" spans="1:10" x14ac:dyDescent="0.3">
      <c r="A13192" t="str">
        <f>HYPERLINK("https://us2.cloudbeds.com/connect/10074733072513#/reservations/31712501190887?display=MX3CU08VA&amp;reservation_id=31712501190887", "MX3CU08VA")</f>
        <v>MX3CU08VA</v>
      </c>
      <c r="B13192" t="s">
        <v>10</v>
      </c>
      <c r="C13192" t="s">
        <v>23</v>
      </c>
      <c r="D13192" t="str">
        <f>HYPERLINK("https://us2.cloudbeds.com/connect/10074733072513#/reservations/31712501190887?display=April%20Tipton&amp;reservation_id=31712501190887&amp;guest_id=31712501190872", "April Tipton")</f>
        <v>April Tipton</v>
      </c>
      <c r="E13192" t="s">
        <v>12708</v>
      </c>
      <c r="F13192" t="s">
        <v>12566</v>
      </c>
      <c r="G13192">
        <v>102.58</v>
      </c>
      <c r="H13192">
        <v>111.51</v>
      </c>
      <c r="I13192">
        <v>111.5</v>
      </c>
      <c r="J13192">
        <v>0.01</v>
      </c>
    </row>
    <row r="13193" spans="1:10" x14ac:dyDescent="0.3">
      <c r="A13193" t="str">
        <f>HYPERLINK("https://us2.cloudbeds.com/connect/10074733072513#/reservations/31715469926613?display=MX5MPANNW&amp;reservation_id=31715469926613", "MX5MPANNW")</f>
        <v>MX5MPANNW</v>
      </c>
      <c r="B13193" t="s">
        <v>10</v>
      </c>
      <c r="C13193" t="s">
        <v>23</v>
      </c>
      <c r="D13193" t="str">
        <f>HYPERLINK("https://us2.cloudbeds.com/connect/10074733072513#/reservations/31715469926613?display=Vanessa%20Mason&amp;reservation_id=31715469926613&amp;guest_id=31715469926608", "Vanessa Mason")</f>
        <v>Vanessa Mason</v>
      </c>
      <c r="E13193" t="s">
        <v>12709</v>
      </c>
      <c r="F13193" t="s">
        <v>11694</v>
      </c>
      <c r="G13193">
        <v>183.76</v>
      </c>
      <c r="H13193">
        <v>199.76</v>
      </c>
      <c r="I13193">
        <v>199.75</v>
      </c>
      <c r="J13193">
        <v>0.01</v>
      </c>
    </row>
    <row r="13194" spans="1:10" x14ac:dyDescent="0.3">
      <c r="A13194" t="str">
        <f>HYPERLINK("https://us2.cloudbeds.com/connect/10074733072513#/reservations/31715080843460?display=MX5CR7TUD&amp;reservation_id=31715080843460", "MX5CR7TUD")</f>
        <v>MX5CR7TUD</v>
      </c>
      <c r="B13194" t="s">
        <v>10</v>
      </c>
      <c r="C13194" t="s">
        <v>42</v>
      </c>
      <c r="D13194" t="str">
        <f>HYPERLINK("https://us2.cloudbeds.com/connect/10074733072513#/reservations/31715080843460?display=Keith%20Anderson&amp;reservation_id=31715080843460&amp;guest_id=17963406844038", "Keith Anderson")</f>
        <v>Keith Anderson</v>
      </c>
      <c r="E13194" t="s">
        <v>8040</v>
      </c>
      <c r="F13194" t="s">
        <v>12313</v>
      </c>
      <c r="G13194">
        <v>336</v>
      </c>
      <c r="H13194">
        <v>365.24</v>
      </c>
      <c r="I13194">
        <v>365.23</v>
      </c>
      <c r="J13194">
        <v>0.01</v>
      </c>
    </row>
    <row r="13195" spans="1:10" x14ac:dyDescent="0.3">
      <c r="A13195" t="str">
        <f>HYPERLINK("https://us2.cloudbeds.com/connect/10074733072513#/reservations/31714093215974?display=MX4KJENKZ&amp;reservation_id=31714093215974", "MX4KJENKZ")</f>
        <v>MX4KJENKZ</v>
      </c>
      <c r="B13195" t="s">
        <v>10</v>
      </c>
      <c r="C13195" t="s">
        <v>42</v>
      </c>
      <c r="D13195" t="str">
        <f>HYPERLINK("https://us2.cloudbeds.com/connect/10074733072513#/reservations/31714093215974?display=Jeff%20Cerny&amp;reservation_id=31714093215974&amp;guest_id=31714085408917", "Jeff Cerny")</f>
        <v>Jeff Cerny</v>
      </c>
      <c r="E13195" t="s">
        <v>12711</v>
      </c>
      <c r="F13195" t="s">
        <v>11087</v>
      </c>
      <c r="G13195">
        <v>73</v>
      </c>
      <c r="H13195">
        <v>79.36</v>
      </c>
      <c r="I13195">
        <v>79.349999999999994</v>
      </c>
      <c r="J13195">
        <v>0.01</v>
      </c>
    </row>
    <row r="13196" spans="1:10" x14ac:dyDescent="0.3">
      <c r="A13196" t="str">
        <f>HYPERLINK("https://us2.cloudbeds.com/connect/10074733072513#/reservations/31702969299144?display=MHT0BFAVW&amp;reservation_id=31702969299144", "MHT0BFAVW")</f>
        <v>MHT0BFAVW</v>
      </c>
      <c r="B13196" t="s">
        <v>10</v>
      </c>
      <c r="C13196" t="s">
        <v>42</v>
      </c>
      <c r="D13196" t="str">
        <f>HYPERLINK("https://us2.cloudbeds.com/connect/10074733072513#/reservations/31702969299144?display=Paige%20Toll&amp;reservation_id=31702969299144&amp;guest_id=31702969299142", "Paige Toll")</f>
        <v>Paige Toll</v>
      </c>
      <c r="E13196" t="s">
        <v>12712</v>
      </c>
      <c r="F13196" t="s">
        <v>11742</v>
      </c>
      <c r="G13196">
        <v>318</v>
      </c>
      <c r="H13196">
        <v>345.68</v>
      </c>
      <c r="I13196">
        <v>345.67</v>
      </c>
      <c r="J13196">
        <v>0.01</v>
      </c>
    </row>
    <row r="13197" spans="1:10" x14ac:dyDescent="0.3">
      <c r="A13197" t="str">
        <f>HYPERLINK("https://us2.cloudbeds.com/connect/10074733072513#/reservations/31711988764800?display=MX2WQU4ST&amp;reservation_id=31711988764800", "MX2WQU4ST")</f>
        <v>MX2WQU4ST</v>
      </c>
      <c r="B13197" t="s">
        <v>10</v>
      </c>
      <c r="C13197" t="s">
        <v>121</v>
      </c>
      <c r="D13197" t="str">
        <f>HYPERLINK("https://us2.cloudbeds.com/connect/10074733072513#/reservations/31711988764800?display=Cassandra%20Eimers&amp;reservation_id=31711988764800&amp;guest_id=31711988760766", "Cassandra Eimers")</f>
        <v>Cassandra Eimers</v>
      </c>
      <c r="E13197" t="s">
        <v>12713</v>
      </c>
      <c r="F13197" t="s">
        <v>11941</v>
      </c>
      <c r="G13197">
        <v>139</v>
      </c>
      <c r="H13197">
        <v>151.1</v>
      </c>
      <c r="I13197">
        <v>151.09</v>
      </c>
      <c r="J13197">
        <v>0.01</v>
      </c>
    </row>
    <row r="13198" spans="1:10" x14ac:dyDescent="0.3">
      <c r="A13198" t="str">
        <f>HYPERLINK("https://us2.cloudbeds.com/connect/10074733072513#/reservations/31713021739223?display=MX3Q6V9PA&amp;reservation_id=31713021739223", "MX3Q6V9PA")</f>
        <v>MX3Q6V9PA</v>
      </c>
      <c r="B13198" t="s">
        <v>10</v>
      </c>
      <c r="C13198" t="s">
        <v>23</v>
      </c>
      <c r="D13198" t="str">
        <f>HYPERLINK("https://us2.cloudbeds.com/connect/10074733072513#/reservations/31713021739223?display=Jennifer%20Kenaston&amp;reservation_id=31713021739223&amp;guest_id=31713014694141", "Jennifer Kenaston")</f>
        <v>Jennifer Kenaston</v>
      </c>
      <c r="E13198" t="s">
        <v>10703</v>
      </c>
      <c r="F13198" t="s">
        <v>11533</v>
      </c>
      <c r="G13198">
        <v>239</v>
      </c>
      <c r="H13198">
        <v>259.8</v>
      </c>
      <c r="I13198">
        <v>259.79000000000002</v>
      </c>
      <c r="J13198">
        <v>0.01</v>
      </c>
    </row>
    <row r="13199" spans="1:10" x14ac:dyDescent="0.3">
      <c r="A13199" t="str">
        <f>HYPERLINK("https://us2.cloudbeds.com/connect/10074733072513#/reservations/31714639286487?display=MX51HTUQ2&amp;reservation_id=31714639286487", "MX51HTUQ2")</f>
        <v>MX51HTUQ2</v>
      </c>
      <c r="B13199" t="s">
        <v>10</v>
      </c>
      <c r="C13199" t="s">
        <v>23</v>
      </c>
      <c r="D13199" t="str">
        <f>HYPERLINK("https://us2.cloudbeds.com/connect/10074733072513#/reservations/31714639286487?display=Carly%20Olvera&amp;reservation_id=31714639286487&amp;guest_id=31714639286483", "Carly Olvera")</f>
        <v>Carly Olvera</v>
      </c>
      <c r="E13199" t="s">
        <v>12714</v>
      </c>
      <c r="F13199" t="s">
        <v>12106</v>
      </c>
      <c r="G13199">
        <v>189</v>
      </c>
      <c r="H13199">
        <v>205.45</v>
      </c>
      <c r="I13199">
        <v>205.44</v>
      </c>
      <c r="J13199">
        <v>0.01</v>
      </c>
    </row>
    <row r="13200" spans="1:10" x14ac:dyDescent="0.3">
      <c r="A13200" t="str">
        <f>HYPERLINK("https://us2.cloudbeds.com/connect/10074733072513#/reservations/31714719162507?display=MX53J8JRH&amp;reservation_id=31714719162507", "MX53J8JRH")</f>
        <v>MX53J8JRH</v>
      </c>
      <c r="B13200" t="s">
        <v>10</v>
      </c>
      <c r="C13200" t="s">
        <v>121</v>
      </c>
      <c r="D13200" t="str">
        <f>HYPERLINK("https://us2.cloudbeds.com/connect/10074733072513#/reservations/31714719162507?display=Susan%20Lowrey&amp;reservation_id=31714719162507&amp;guest_id=31714719162502", "Susan Lowrey")</f>
        <v>Susan Lowrey</v>
      </c>
      <c r="E13200" t="s">
        <v>12715</v>
      </c>
      <c r="F13200" t="s">
        <v>11941</v>
      </c>
      <c r="G13200">
        <v>139</v>
      </c>
      <c r="H13200">
        <v>151.1</v>
      </c>
      <c r="I13200">
        <v>151.09</v>
      </c>
      <c r="J13200">
        <v>0.01</v>
      </c>
    </row>
    <row r="13201" spans="1:10" x14ac:dyDescent="0.3">
      <c r="A13201" t="str">
        <f>HYPERLINK("https://us2.cloudbeds.com/connect/10074733072513#/reservations/31714901606629?display=MX5883CF9&amp;reservation_id=31714901606629", "MX5883CF9")</f>
        <v>MX5883CF9</v>
      </c>
      <c r="B13201" t="s">
        <v>10</v>
      </c>
      <c r="C13201" t="s">
        <v>42</v>
      </c>
      <c r="D13201" t="str">
        <f>HYPERLINK("https://us2.cloudbeds.com/connect/10074733072513#/reservations/31714901606629?display=Jeffrey%20Keppler&amp;reservation_id=31714901606629&amp;guest_id=31714890993802", "Jeffrey Keppler")</f>
        <v>Jeffrey Keppler</v>
      </c>
      <c r="E13201" t="s">
        <v>12716</v>
      </c>
      <c r="F13201" t="s">
        <v>12106</v>
      </c>
      <c r="G13201">
        <v>408</v>
      </c>
      <c r="H13201">
        <v>443.51</v>
      </c>
      <c r="I13201">
        <v>443.5</v>
      </c>
      <c r="J13201">
        <v>0.01</v>
      </c>
    </row>
    <row r="13202" spans="1:10" x14ac:dyDescent="0.3">
      <c r="A13202" t="str">
        <f>HYPERLINK("https://us2.cloudbeds.com/connect/10074733072513#/reservations/31713734258841?display=MX4BDP6ZT&amp;reservation_id=31713734258841", "MX4BDP6ZT")</f>
        <v>MX4BDP6ZT</v>
      </c>
      <c r="B13202" t="s">
        <v>10</v>
      </c>
      <c r="C13202" t="s">
        <v>23</v>
      </c>
      <c r="D13202" t="str">
        <f>HYPERLINK("https://us2.cloudbeds.com/connect/10074733072513#/reservations/31713734258841?display=Heather%20Rinke&amp;reservation_id=31713734258841&amp;guest_id=31713734254749", "Heather Rinke")</f>
        <v>Heather Rinke</v>
      </c>
      <c r="E13202" t="s">
        <v>12717</v>
      </c>
      <c r="F13202" t="s">
        <v>11533</v>
      </c>
      <c r="G13202">
        <v>249</v>
      </c>
      <c r="H13202">
        <v>270.67</v>
      </c>
      <c r="I13202">
        <v>270.66000000000003</v>
      </c>
      <c r="J13202">
        <v>0.01</v>
      </c>
    </row>
    <row r="13203" spans="1:10" x14ac:dyDescent="0.3">
      <c r="A13203" t="str">
        <f>HYPERLINK("https://us2.cloudbeds.com/connect/10074733072513#/reservations/31714053587167?display=MX4JJ0WHR&amp;reservation_id=31714053587167", "MX4JJ0WHR")</f>
        <v>MX4JJ0WHR</v>
      </c>
      <c r="B13203" t="s">
        <v>10</v>
      </c>
      <c r="C13203" t="s">
        <v>23</v>
      </c>
      <c r="D13203" t="str">
        <f>HYPERLINK("https://us2.cloudbeds.com/connect/10074733072513#/reservations/31714053587167?display=Alexis%20Lane&amp;reservation_id=31714053587167&amp;guest_id=31714053587162", "Alexis Lane")</f>
        <v>Alexis Lane</v>
      </c>
      <c r="E13203" t="s">
        <v>12718</v>
      </c>
      <c r="F13203" t="s">
        <v>12429</v>
      </c>
      <c r="G13203">
        <v>102.58</v>
      </c>
      <c r="H13203">
        <v>111.51</v>
      </c>
      <c r="I13203">
        <v>111.5</v>
      </c>
      <c r="J13203">
        <v>0.01</v>
      </c>
    </row>
    <row r="13204" spans="1:10" x14ac:dyDescent="0.3">
      <c r="A13204" t="str">
        <f>HYPERLINK("https://us2.cloudbeds.com/connect/10074733072513#/reservations/31711344865479?display=MX2GBVQQE&amp;reservation_id=31711344865479", "MX2GBVQQE")</f>
        <v>MX2GBVQQE</v>
      </c>
      <c r="B13204" t="s">
        <v>10</v>
      </c>
      <c r="C13204" t="s">
        <v>23</v>
      </c>
      <c r="D13204" t="str">
        <f>HYPERLINK("https://us2.cloudbeds.com/connect/10074733072513#/reservations/31711344865479?display=Jamie%20White&amp;reservation_id=31711344865479&amp;guest_id=31711344865476", "Jamie White")</f>
        <v>Jamie White</v>
      </c>
      <c r="E13204" t="s">
        <v>12720</v>
      </c>
      <c r="F13204" t="s">
        <v>12137</v>
      </c>
      <c r="G13204">
        <v>339.14</v>
      </c>
      <c r="H13204">
        <v>368.66</v>
      </c>
      <c r="I13204">
        <v>368.65</v>
      </c>
      <c r="J13204">
        <v>0.01</v>
      </c>
    </row>
    <row r="13205" spans="1:10" x14ac:dyDescent="0.3">
      <c r="A13205" t="str">
        <f>HYPERLINK("https://us2.cloudbeds.com/connect/10074733072513#/reservations/31713193734304?display=MX3UJWAAF&amp;reservation_id=31713193734304", "MX3UJWAAF")</f>
        <v>MX3UJWAAF</v>
      </c>
      <c r="B13205" t="s">
        <v>10</v>
      </c>
      <c r="C13205" t="s">
        <v>42</v>
      </c>
      <c r="D13205" t="str">
        <f>HYPERLINK("https://us2.cloudbeds.com/connect/10074733072513#/reservations/31713193734304?display=Ethan%20Bender&amp;reservation_id=31713193734304&amp;guest_id=31713193734299", "Ethan Bender")</f>
        <v>Ethan Bender</v>
      </c>
      <c r="E13205" t="s">
        <v>11587</v>
      </c>
      <c r="F13205" t="s">
        <v>12429</v>
      </c>
      <c r="G13205">
        <v>139</v>
      </c>
      <c r="H13205">
        <v>151.1</v>
      </c>
      <c r="I13205">
        <v>151.09</v>
      </c>
      <c r="J13205">
        <v>0.01</v>
      </c>
    </row>
    <row r="13206" spans="1:10" x14ac:dyDescent="0.3">
      <c r="A13206" t="str">
        <f>HYPERLINK("https://us2.cloudbeds.com/connect/10074733072513#/reservations/31714070380687?display=MX4K069JC&amp;reservation_id=31714070380687", "MX4K069JC")</f>
        <v>MX4K069JC</v>
      </c>
      <c r="B13206" t="s">
        <v>10</v>
      </c>
      <c r="C13206" t="s">
        <v>23</v>
      </c>
      <c r="D13206" t="str">
        <f>HYPERLINK("https://us2.cloudbeds.com/connect/10074733072513#/reservations/31714070380687?display=Michelle%20Mouser&amp;reservation_id=31714070380687&amp;guest_id=31714070380683", "Michelle Mouser")</f>
        <v>Michelle Mouser</v>
      </c>
      <c r="E13206" t="s">
        <v>12721</v>
      </c>
      <c r="F13206" t="s">
        <v>12429</v>
      </c>
      <c r="G13206">
        <v>102.58</v>
      </c>
      <c r="H13206">
        <v>111.51</v>
      </c>
      <c r="I13206">
        <v>111.5</v>
      </c>
      <c r="J13206">
        <v>0.01</v>
      </c>
    </row>
    <row r="13207" spans="1:10" x14ac:dyDescent="0.3">
      <c r="A13207" t="str">
        <f>HYPERLINK("https://us2.cloudbeds.com/connect/10074733072513#/reservations/31713118064845?display=MX3SM5N1X&amp;reservation_id=31713118064845", "MX3SM5N1X")</f>
        <v>MX3SM5N1X</v>
      </c>
      <c r="B13207" t="s">
        <v>10</v>
      </c>
      <c r="C13207" t="s">
        <v>121</v>
      </c>
      <c r="D13207" t="str">
        <f>HYPERLINK("https://us2.cloudbeds.com/connect/10074733072513#/reservations/31713118064845?display=Michael%20Darville&amp;reservation_id=31713118064845&amp;guest_id=31713118064841", "Michael Darville")</f>
        <v>Michael Darville</v>
      </c>
      <c r="E13207" t="s">
        <v>12722</v>
      </c>
      <c r="F13207" t="s">
        <v>11533</v>
      </c>
      <c r="G13207">
        <v>588</v>
      </c>
      <c r="H13207">
        <v>639.16999999999996</v>
      </c>
      <c r="I13207">
        <v>639.16</v>
      </c>
      <c r="J13207">
        <v>0.01</v>
      </c>
    </row>
    <row r="13208" spans="1:10" x14ac:dyDescent="0.3">
      <c r="A13208" t="str">
        <f>HYPERLINK("https://us2.cloudbeds.com/connect/10074733072513#/reservations/31714475683988?display=MX4UBVEUJ&amp;reservation_id=31714475683988", "MX4UBVEUJ")</f>
        <v>MX4UBVEUJ</v>
      </c>
      <c r="B13208" t="s">
        <v>10</v>
      </c>
      <c r="C13208" t="s">
        <v>23</v>
      </c>
      <c r="D13208" t="str">
        <f>HYPERLINK("https://us2.cloudbeds.com/connect/10074733072513#/reservations/31714475683988?display=Julie%20Holliday&amp;reservation_id=31714475683988&amp;guest_id=31714475679889", "Julie Holliday")</f>
        <v>Julie Holliday</v>
      </c>
      <c r="E13208" t="s">
        <v>12723</v>
      </c>
      <c r="F13208" t="s">
        <v>12106</v>
      </c>
      <c r="G13208">
        <v>676</v>
      </c>
      <c r="H13208">
        <v>734.82</v>
      </c>
      <c r="I13208">
        <v>734.81</v>
      </c>
      <c r="J13208">
        <v>0.01</v>
      </c>
    </row>
    <row r="13209" spans="1:10" x14ac:dyDescent="0.3">
      <c r="A13209" t="str">
        <f>HYPERLINK("https://us2.cloudbeds.com/connect/10074733072513#/reservations/31713782120623?display=MX4CY40VU&amp;reservation_id=31713782120623", "MX4CY40VU")</f>
        <v>MX4CY40VU</v>
      </c>
      <c r="B13209" t="s">
        <v>10</v>
      </c>
      <c r="C13209" t="s">
        <v>23</v>
      </c>
      <c r="D13209" t="str">
        <f>HYPERLINK("https://us2.cloudbeds.com/connect/10074733072513#/reservations/31713782120623?display=Anna%20Johnson&amp;reservation_id=31713782120623&amp;guest_id=31713773101267", "Anna Johnson")</f>
        <v>Anna Johnson</v>
      </c>
      <c r="E13209" t="s">
        <v>12724</v>
      </c>
      <c r="F13209" t="s">
        <v>11533</v>
      </c>
      <c r="G13209">
        <v>352.76</v>
      </c>
      <c r="H13209">
        <v>383.46</v>
      </c>
      <c r="I13209">
        <v>383.45</v>
      </c>
      <c r="J13209">
        <v>0.01</v>
      </c>
    </row>
    <row r="13210" spans="1:10" x14ac:dyDescent="0.3">
      <c r="A13210" t="str">
        <f>HYPERLINK("https://us2.cloudbeds.com/connect/10074733072513#/reservations/31714502467768?display=MX4V1HZP9&amp;reservation_id=31714502467768", "MX4V1HZP9")</f>
        <v>MX4V1HZP9</v>
      </c>
      <c r="B13210" t="s">
        <v>10</v>
      </c>
      <c r="C13210" t="s">
        <v>42</v>
      </c>
      <c r="D13210" t="str">
        <f>HYPERLINK("https://us2.cloudbeds.com/connect/10074733072513#/reservations/31714502467768?display=Victor%20Beggs&amp;reservation_id=31714502467768&amp;guest_id=31714502467763", "Victor Beggs")</f>
        <v>Victor Beggs</v>
      </c>
      <c r="E13210" t="s">
        <v>12725</v>
      </c>
      <c r="F13210" t="s">
        <v>12106</v>
      </c>
      <c r="G13210">
        <v>199</v>
      </c>
      <c r="H13210">
        <v>216.32</v>
      </c>
      <c r="I13210">
        <v>216.31</v>
      </c>
      <c r="J13210">
        <v>0.01</v>
      </c>
    </row>
    <row r="13211" spans="1:10" x14ac:dyDescent="0.3">
      <c r="A13211" t="str">
        <f>HYPERLINK("https://us2.cloudbeds.com/connect/10074733072513#/reservations/31713465139425?display=MX44HRXG2&amp;reservation_id=31713465139425", "MX44HRXG2")</f>
        <v>MX44HRXG2</v>
      </c>
      <c r="B13211" t="s">
        <v>10</v>
      </c>
      <c r="C13211" t="s">
        <v>42</v>
      </c>
      <c r="D13211" t="str">
        <f>HYPERLINK("https://us2.cloudbeds.com/connect/10074733072513#/reservations/31713465139425?display=Randy%20Shifflett&amp;reservation_id=31713465139425&amp;guest_id=31713451856079", "Randy Shifflett")</f>
        <v>Randy Shifflett</v>
      </c>
      <c r="E13211" t="s">
        <v>12726</v>
      </c>
      <c r="F13211" t="s">
        <v>12313</v>
      </c>
      <c r="G13211">
        <v>139</v>
      </c>
      <c r="H13211">
        <v>151.1</v>
      </c>
      <c r="I13211">
        <v>151.09</v>
      </c>
      <c r="J13211">
        <v>0.01</v>
      </c>
    </row>
    <row r="13212" spans="1:10" x14ac:dyDescent="0.3">
      <c r="A13212" t="str">
        <f>HYPERLINK("https://us2.cloudbeds.com/connect/10074733072513#/reservations/31711649288376?display=MX2Z4YRAN&amp;reservation_id=31711649288376", "MX2Z4YRAN")</f>
        <v>MX2Z4YRAN</v>
      </c>
      <c r="B13212" t="s">
        <v>10</v>
      </c>
      <c r="C13212" t="s">
        <v>42</v>
      </c>
      <c r="D13212" t="str">
        <f>HYPERLINK("https://us2.cloudbeds.com/connect/10074733072513#/reservations/31711649288376?display=Harlan%20Zaibart&amp;reservation_id=31711649288376&amp;guest_id=31711649288373", "Harlan Zaibart")</f>
        <v>Harlan Zaibart</v>
      </c>
      <c r="E13212" t="s">
        <v>12729</v>
      </c>
      <c r="F13212" t="s">
        <v>11998</v>
      </c>
      <c r="G13212">
        <v>497</v>
      </c>
      <c r="H13212">
        <v>540.25</v>
      </c>
      <c r="I13212">
        <v>540.24</v>
      </c>
      <c r="J13212">
        <v>0.01</v>
      </c>
    </row>
    <row r="13213" spans="1:10" x14ac:dyDescent="0.3">
      <c r="A13213" t="str">
        <f>HYPERLINK("https://us2.cloudbeds.com/connect/10074733072513#/reservations/31711645429997?display=MX2Z1DF94&amp;reservation_id=31711645429997", "MX2Z1DF94")</f>
        <v>MX2Z1DF94</v>
      </c>
      <c r="B13213" t="s">
        <v>10</v>
      </c>
      <c r="C13213" t="s">
        <v>23</v>
      </c>
      <c r="D13213" t="str">
        <f>HYPERLINK("https://us2.cloudbeds.com/connect/10074733072513#/reservations/31711645429997?display=Jason%20Kettner&amp;reservation_id=31711645429997&amp;guest_id=31711633559701", "Jason Kettner")</f>
        <v>Jason Kettner</v>
      </c>
      <c r="E13213" t="s">
        <v>12730</v>
      </c>
      <c r="F13213" t="s">
        <v>12333</v>
      </c>
      <c r="G13213">
        <v>209</v>
      </c>
      <c r="H13213">
        <v>227.19</v>
      </c>
      <c r="I13213">
        <v>227.18</v>
      </c>
      <c r="J13213">
        <v>0.01</v>
      </c>
    </row>
    <row r="13214" spans="1:10" x14ac:dyDescent="0.3">
      <c r="A13214" t="str">
        <f>HYPERLINK("https://us2.cloudbeds.com/connect/10074733072513#/reservations/31713151041671?display=MX3TGWAQA&amp;reservation_id=31713151041671", "MX3TGWAQA")</f>
        <v>MX3TGWAQA</v>
      </c>
      <c r="B13214" t="s">
        <v>10</v>
      </c>
      <c r="C13214" t="s">
        <v>42</v>
      </c>
      <c r="D13214" t="str">
        <f>HYPERLINK("https://us2.cloudbeds.com/connect/10074733072513#/reservations/31713151041671?display=Stepan%20Shevchuk&amp;reservation_id=31713151041671&amp;guest_id=31713151037575", "Stepan Shevchuk")</f>
        <v>Stepan Shevchuk</v>
      </c>
      <c r="E13214" t="s">
        <v>10223</v>
      </c>
      <c r="F13214" t="s">
        <v>12429</v>
      </c>
      <c r="G13214">
        <v>139</v>
      </c>
      <c r="H13214">
        <v>151.1</v>
      </c>
      <c r="I13214">
        <v>151.09</v>
      </c>
      <c r="J13214">
        <v>0.01</v>
      </c>
    </row>
    <row r="13215" spans="1:10" x14ac:dyDescent="0.3">
      <c r="A13215" t="str">
        <f>HYPERLINK("https://us2.cloudbeds.com/connect/10074733072513#/reservations/31713103245505?display=MX3S9MARY&amp;reservation_id=31713103245505", "MX3S9MARY")</f>
        <v>MX3S9MARY</v>
      </c>
      <c r="B13215" t="s">
        <v>10</v>
      </c>
      <c r="C13215" t="s">
        <v>23</v>
      </c>
      <c r="D13215" t="str">
        <f>HYPERLINK("https://us2.cloudbeds.com/connect/10074733072513#/reservations/31713103245505?display=Jim%20Jones&amp;reservation_id=31713103245505&amp;guest_id=31713086382233", "Jim Jones")</f>
        <v>Jim Jones</v>
      </c>
      <c r="E13215" t="s">
        <v>12734</v>
      </c>
      <c r="F13215" t="s">
        <v>12728</v>
      </c>
      <c r="G13215">
        <v>169</v>
      </c>
      <c r="H13215">
        <v>183.71</v>
      </c>
      <c r="I13215">
        <v>183.7</v>
      </c>
      <c r="J13215">
        <v>0.01</v>
      </c>
    </row>
    <row r="13216" spans="1:10" x14ac:dyDescent="0.3">
      <c r="A13216" t="str">
        <f>HYPERLINK("https://us2.cloudbeds.com/connect/10074733072513#/reservations/31712370630852?display=MX39XU83K&amp;reservation_id=31712370630852", "MX39XU83K")</f>
        <v>MX39XU83K</v>
      </c>
      <c r="B13216" t="s">
        <v>10</v>
      </c>
      <c r="C13216" t="s">
        <v>42</v>
      </c>
      <c r="D13216" t="str">
        <f>HYPERLINK("https://us2.cloudbeds.com/connect/10074733072513#/reservations/31712370630852?display=Renae%20Lind&amp;reservation_id=31712370630852&amp;guest_id=31712364867732", "Renae Lind")</f>
        <v>Renae Lind</v>
      </c>
      <c r="E13216" t="s">
        <v>12735</v>
      </c>
      <c r="F13216" t="s">
        <v>12580</v>
      </c>
      <c r="G13216">
        <v>338</v>
      </c>
      <c r="H13216">
        <v>367.42</v>
      </c>
      <c r="I13216">
        <v>367.41</v>
      </c>
      <c r="J13216">
        <v>0.01</v>
      </c>
    </row>
    <row r="13217" spans="1:10" x14ac:dyDescent="0.3">
      <c r="A13217" t="str">
        <f>HYPERLINK("https://us2.cloudbeds.com/connect/10074733072513#/reservations/31715044286664?display=MX5BTDYPN&amp;reservation_id=31715044286664", "MX5BTDYPN")</f>
        <v>MX5BTDYPN</v>
      </c>
      <c r="B13217" t="s">
        <v>10</v>
      </c>
      <c r="C13217" t="s">
        <v>42</v>
      </c>
      <c r="D13217" t="str">
        <f>HYPERLINK("https://us2.cloudbeds.com/connect/10074733072513#/reservations/31715044286664?display=Janel%20Even&amp;reservation_id=31715044286664&amp;guest_id=31715034812662", "Janel Even")</f>
        <v>Janel Even</v>
      </c>
      <c r="E13217" t="s">
        <v>12736</v>
      </c>
      <c r="F13217" t="s">
        <v>12528</v>
      </c>
      <c r="G13217">
        <v>298</v>
      </c>
      <c r="H13217">
        <v>323.94</v>
      </c>
      <c r="I13217">
        <v>323.93</v>
      </c>
      <c r="J13217">
        <v>0.01</v>
      </c>
    </row>
    <row r="13218" spans="1:10" x14ac:dyDescent="0.3">
      <c r="A13218" t="str">
        <f>HYPERLINK("https://us2.cloudbeds.com/connect/10074733072513#/reservations/31712245014688?display=MX36BWQ36&amp;reservation_id=31712245014688", "MX36BWQ36")</f>
        <v>MX36BWQ36</v>
      </c>
      <c r="B13218" t="s">
        <v>10</v>
      </c>
      <c r="C13218" t="s">
        <v>42</v>
      </c>
      <c r="D13218" t="str">
        <f>HYPERLINK("https://us2.cloudbeds.com/connect/10074733072513#/reservations/31712245014688?display=Shelly%20Hiemer&amp;reservation_id=31712245014688&amp;guest_id=31712245010587", "Shelly Hiemer")</f>
        <v>Shelly Hiemer</v>
      </c>
      <c r="E13218" t="s">
        <v>12737</v>
      </c>
      <c r="F13218" t="s">
        <v>11371</v>
      </c>
      <c r="G13218">
        <v>318</v>
      </c>
      <c r="H13218">
        <v>345.68</v>
      </c>
      <c r="I13218">
        <v>345.67</v>
      </c>
      <c r="J13218">
        <v>0.01</v>
      </c>
    </row>
    <row r="13219" spans="1:10" x14ac:dyDescent="0.3">
      <c r="A13219" t="str">
        <f>HYPERLINK("https://us2.cloudbeds.com/connect/10074733072513#/reservations/31713163059447?display=MX3TR3ZDB&amp;reservation_id=31713163059447", "MX3TR3ZDB")</f>
        <v>MX3TR3ZDB</v>
      </c>
      <c r="B13219" t="s">
        <v>10</v>
      </c>
      <c r="C13219" t="s">
        <v>42</v>
      </c>
      <c r="D13219" t="str">
        <f>HYPERLINK("https://us2.cloudbeds.com/connect/10074733072513#/reservations/31713163059447?display=Robert%20Mueller&amp;reservation_id=31713163059447&amp;guest_id=31712656711878", "Robert Mueller")</f>
        <v>Robert Mueller</v>
      </c>
      <c r="E13219" t="s">
        <v>12739</v>
      </c>
      <c r="F13219" t="s">
        <v>12728</v>
      </c>
      <c r="G13219">
        <v>169</v>
      </c>
      <c r="H13219">
        <v>183.71</v>
      </c>
      <c r="I13219">
        <v>183.7</v>
      </c>
      <c r="J13219">
        <v>0.01</v>
      </c>
    </row>
    <row r="13220" spans="1:10" x14ac:dyDescent="0.3">
      <c r="A13220" t="str">
        <f>HYPERLINK("https://us2.cloudbeds.com/connect/10074733072513#/reservations/31714046931114?display=MX4JDDPF8&amp;reservation_id=31714046931114", "MX4JDDPF8")</f>
        <v>MX4JDDPF8</v>
      </c>
      <c r="B13220" t="s">
        <v>10</v>
      </c>
      <c r="C13220" t="s">
        <v>42</v>
      </c>
      <c r="D13220" t="str">
        <f>HYPERLINK("https://us2.cloudbeds.com/connect/10074733072513#/reservations/31714046931114?display=Robert%20Albers&amp;reservation_id=31714046931114&amp;guest_id=31714046931109", "Robert Albers")</f>
        <v>Robert Albers</v>
      </c>
      <c r="E13220" t="s">
        <v>12744</v>
      </c>
      <c r="F13220" t="s">
        <v>12313</v>
      </c>
      <c r="G13220">
        <v>149</v>
      </c>
      <c r="H13220">
        <v>161.97</v>
      </c>
      <c r="I13220">
        <v>161.96</v>
      </c>
      <c r="J13220">
        <v>0.01</v>
      </c>
    </row>
    <row r="13221" spans="1:10" x14ac:dyDescent="0.3">
      <c r="A13221" t="str">
        <f>HYPERLINK("https://us2.cloudbeds.com/connect/10074733072513#/reservations/31712193093771?display=MX35170G2&amp;reservation_id=31712193093771", "MX35170G2")</f>
        <v>MX35170G2</v>
      </c>
      <c r="B13221" t="s">
        <v>10</v>
      </c>
      <c r="C13221" t="s">
        <v>23</v>
      </c>
      <c r="D13221" t="str">
        <f>HYPERLINK("https://us2.cloudbeds.com/connect/10074733072513#/reservations/31712193093771?display=Aria%20Henson&amp;reservation_id=31712193093771&amp;guest_id=31712193093768", "Aria Henson")</f>
        <v>Aria Henson</v>
      </c>
      <c r="E13221" t="s">
        <v>12746</v>
      </c>
      <c r="F13221" t="s">
        <v>12580</v>
      </c>
      <c r="G13221">
        <v>169</v>
      </c>
      <c r="H13221">
        <v>183.71</v>
      </c>
      <c r="I13221">
        <v>183.7</v>
      </c>
      <c r="J13221">
        <v>0.01</v>
      </c>
    </row>
    <row r="13222" spans="1:10" x14ac:dyDescent="0.3">
      <c r="A13222" t="str">
        <f>HYPERLINK("https://us2.cloudbeds.com/connect/10074733072513#/reservations/31712378806498?display=MX39PQZJF&amp;reservation_id=31712378806498", "MX39PQZJF")</f>
        <v>MX39PQZJF</v>
      </c>
      <c r="B13222" t="s">
        <v>10</v>
      </c>
      <c r="C13222" t="s">
        <v>42</v>
      </c>
      <c r="D13222" t="str">
        <f>HYPERLINK("https://us2.cloudbeds.com/connect/10074733072513#/reservations/31712378806498?display=Floyd%20Smit&amp;reservation_id=31712378806498&amp;guest_id=31712378806479", "Floyd Smit")</f>
        <v>Floyd Smit</v>
      </c>
      <c r="E13222" t="s">
        <v>12747</v>
      </c>
      <c r="F13222" t="s">
        <v>12580</v>
      </c>
      <c r="G13222">
        <v>338</v>
      </c>
      <c r="H13222">
        <v>367.42</v>
      </c>
      <c r="I13222">
        <v>367.41</v>
      </c>
      <c r="J13222">
        <v>0.01</v>
      </c>
    </row>
    <row r="13223" spans="1:10" x14ac:dyDescent="0.3">
      <c r="A13223" t="str">
        <f>HYPERLINK("https://us2.cloudbeds.com/connect/10074733072513#/reservations/31712080556196?display=MX325AG6H&amp;reservation_id=31712080556196", "MX325AG6H")</f>
        <v>MX325AG6H</v>
      </c>
      <c r="B13223" t="s">
        <v>10</v>
      </c>
      <c r="C13223" t="s">
        <v>42</v>
      </c>
      <c r="D13223" t="str">
        <f>HYPERLINK("https://us2.cloudbeds.com/connect/10074733072513#/reservations/31712080556196?display=Shaun%20O'Neill&amp;reservation_id=31712080556196&amp;guest_id=31712080556191", "Shaun O'Neill")</f>
        <v>Shaun O'Neill</v>
      </c>
      <c r="E13223" t="s">
        <v>8693</v>
      </c>
      <c r="F13223" t="s">
        <v>12690</v>
      </c>
      <c r="G13223">
        <v>159</v>
      </c>
      <c r="H13223">
        <v>172.84</v>
      </c>
      <c r="I13223">
        <v>172.83</v>
      </c>
      <c r="J13223">
        <v>0.01</v>
      </c>
    </row>
    <row r="13224" spans="1:10" x14ac:dyDescent="0.3">
      <c r="A13224" t="str">
        <f>HYPERLINK("https://us2.cloudbeds.com/connect/10074733072513#/reservations/31712354271370?display=MX39540KZ&amp;reservation_id=31712354271370", "MX39540KZ")</f>
        <v>MX39540KZ</v>
      </c>
      <c r="B13224" t="s">
        <v>10</v>
      </c>
      <c r="C13224" t="s">
        <v>42</v>
      </c>
      <c r="D13224" t="str">
        <f>HYPERLINK("https://us2.cloudbeds.com/connect/10074733072513#/reservations/31712354271370?display=Angie%20Loomans&amp;reservation_id=31712354271370&amp;guest_id=31712354267276", "Angie Loomans")</f>
        <v>Angie Loomans</v>
      </c>
      <c r="E13224" t="s">
        <v>12752</v>
      </c>
      <c r="F13224" t="s">
        <v>12580</v>
      </c>
      <c r="G13224">
        <v>338</v>
      </c>
      <c r="H13224">
        <v>367.42</v>
      </c>
      <c r="I13224">
        <v>367.41</v>
      </c>
      <c r="J13224">
        <v>0.01</v>
      </c>
    </row>
    <row r="13225" spans="1:10" x14ac:dyDescent="0.3">
      <c r="A13225" t="str">
        <f>HYPERLINK("https://us2.cloudbeds.com/connect/10074733072513#/reservations/31714229457032?display=MX4Z2AR6M&amp;reservation_id=31714229457032", "MX4Z2AR6M")</f>
        <v>MX4Z2AR6M</v>
      </c>
      <c r="B13225" t="s">
        <v>10</v>
      </c>
      <c r="C13225" t="s">
        <v>23</v>
      </c>
      <c r="D13225" t="str">
        <f>HYPERLINK("https://us2.cloudbeds.com/connect/10074733072513#/reservations/31714229457032?display=Laura%20Snode&amp;reservation_id=31714229457032&amp;guest_id=31714229452941", "Laura Snode")</f>
        <v>Laura Snode</v>
      </c>
      <c r="E13225" t="s">
        <v>12753</v>
      </c>
      <c r="F13225" t="s">
        <v>9834</v>
      </c>
      <c r="G13225">
        <v>591.29999999999995</v>
      </c>
      <c r="H13225">
        <v>642.75</v>
      </c>
      <c r="I13225">
        <v>642.74</v>
      </c>
      <c r="J13225">
        <v>0.01</v>
      </c>
    </row>
    <row r="13226" spans="1:10" x14ac:dyDescent="0.3">
      <c r="A13226" t="str">
        <f>HYPERLINK("https://us2.cloudbeds.com/connect/10074733072513#/reservations/31714119332063?display=MX4Y8FEBD&amp;reservation_id=31714119332063", "MX4Y8FEBD")</f>
        <v>MX4Y8FEBD</v>
      </c>
      <c r="B13226" t="s">
        <v>10</v>
      </c>
      <c r="C13226" t="s">
        <v>42</v>
      </c>
      <c r="D13226" t="str">
        <f>HYPERLINK("https://us2.cloudbeds.com/connect/10074733072513#/reservations/31714119332063?display=Rob%20Perryman&amp;reservation_id=31714119332063&amp;guest_id=31714099806415", "Rob Perryman")</f>
        <v>Rob Perryman</v>
      </c>
      <c r="E13226" t="s">
        <v>12754</v>
      </c>
      <c r="F13226" t="s">
        <v>12313</v>
      </c>
      <c r="G13226">
        <v>576</v>
      </c>
      <c r="H13226">
        <v>626.12</v>
      </c>
      <c r="I13226">
        <v>626.11</v>
      </c>
      <c r="J13226">
        <v>0.01</v>
      </c>
    </row>
    <row r="13227" spans="1:10" x14ac:dyDescent="0.3">
      <c r="A13227" t="str">
        <f>HYPERLINK("https://us2.cloudbeds.com/connect/10074733072513#/reservations/31714679324901?display=MX52XM20A&amp;reservation_id=31714679324901", "MX52XM20A")</f>
        <v>MX52XM20A</v>
      </c>
      <c r="B13227" t="s">
        <v>10</v>
      </c>
      <c r="C13227" t="s">
        <v>23</v>
      </c>
      <c r="D13227" t="str">
        <f>HYPERLINK("https://us2.cloudbeds.com/connect/10074733072513#/reservations/31714679324901?display=Carol%20Seibert&amp;reservation_id=31714679324901&amp;guest_id=31714665541783", "Carol Seibert")</f>
        <v>Carol Seibert</v>
      </c>
      <c r="E13227" t="s">
        <v>12755</v>
      </c>
      <c r="F13227" t="s">
        <v>12756</v>
      </c>
      <c r="G13227">
        <v>149</v>
      </c>
      <c r="H13227">
        <v>161.97</v>
      </c>
      <c r="I13227">
        <v>161.96</v>
      </c>
      <c r="J13227">
        <v>0.01</v>
      </c>
    </row>
    <row r="13228" spans="1:10" x14ac:dyDescent="0.3">
      <c r="A13228" t="str">
        <f>HYPERLINK("https://us2.cloudbeds.com/connect/10074733072513#/reservations/31714116591780?display=MX4Y6560H&amp;reservation_id=31714116591780", "MX4Y6560H")</f>
        <v>MX4Y6560H</v>
      </c>
      <c r="B13228" t="s">
        <v>10</v>
      </c>
      <c r="C13228" t="s">
        <v>23</v>
      </c>
      <c r="D13228" t="str">
        <f>HYPERLINK("https://us2.cloudbeds.com/connect/10074733072513#/reservations/31714116591780?display=Mark%20Besaw&amp;reservation_id=31714116591780&amp;guest_id=31714102603927", "Mark Besaw")</f>
        <v>Mark Besaw</v>
      </c>
      <c r="E13228" t="s">
        <v>12757</v>
      </c>
      <c r="F13228" t="s">
        <v>12756</v>
      </c>
      <c r="G13228">
        <v>97.74</v>
      </c>
      <c r="H13228">
        <v>106.25</v>
      </c>
      <c r="I13228">
        <v>106.24</v>
      </c>
      <c r="J13228">
        <v>0.01</v>
      </c>
    </row>
    <row r="13229" spans="1:10" x14ac:dyDescent="0.3">
      <c r="A13229" t="str">
        <f>HYPERLINK("https://us2.cloudbeds.com/connect/10074733072513#/reservations/31714085408919?display=MX4KCSFKB&amp;reservation_id=31714085408919", "MX4KCSFKB")</f>
        <v>MX4KCSFKB</v>
      </c>
      <c r="B13229" t="s">
        <v>10</v>
      </c>
      <c r="C13229" t="s">
        <v>42</v>
      </c>
      <c r="D13229" t="str">
        <f>HYPERLINK("https://us2.cloudbeds.com/connect/10074733072513#/reservations/31714085408919?display=Patrick%20Rubendall&amp;reservation_id=31714085408919&amp;guest_id=31712906174675", "Patrick Rubendall")</f>
        <v>Patrick Rubendall</v>
      </c>
      <c r="E13229" t="s">
        <v>12758</v>
      </c>
      <c r="F13229" t="s">
        <v>12756</v>
      </c>
      <c r="G13229">
        <v>159</v>
      </c>
      <c r="H13229">
        <v>172.84</v>
      </c>
      <c r="I13229">
        <v>172.83</v>
      </c>
      <c r="J13229">
        <v>0.01</v>
      </c>
    </row>
    <row r="13230" spans="1:10" x14ac:dyDescent="0.3">
      <c r="A13230" t="str">
        <f>HYPERLINK("https://us2.cloudbeds.com/connect/10074733072513#/reservations/31714077774019?display=MX4K6E0MZ&amp;reservation_id=31714077774019", "MX4K6E0MZ")</f>
        <v>MX4K6E0MZ</v>
      </c>
      <c r="B13230" t="s">
        <v>10</v>
      </c>
      <c r="C13230" t="s">
        <v>42</v>
      </c>
      <c r="D13230" t="str">
        <f>HYPERLINK("https://us2.cloudbeds.com/connect/10074733072513#/reservations/31714077774019?display=Wayne%20Volkl&amp;reservation_id=31714077774019&amp;guest_id=31714077774016", "Wayne Volkl")</f>
        <v>Wayne Volkl</v>
      </c>
      <c r="E13230" t="s">
        <v>12759</v>
      </c>
      <c r="F13230" t="s">
        <v>12756</v>
      </c>
      <c r="G13230">
        <v>149</v>
      </c>
      <c r="H13230">
        <v>161.97</v>
      </c>
      <c r="I13230">
        <v>161.96</v>
      </c>
      <c r="J13230">
        <v>0.01</v>
      </c>
    </row>
    <row r="13231" spans="1:10" x14ac:dyDescent="0.3">
      <c r="A13231" t="str">
        <f>HYPERLINK("https://us2.cloudbeds.com/connect/10074733072513#/reservations/31714029457633?display=MX4XVMX0R&amp;reservation_id=31714029457633", "MX4XVMX0R")</f>
        <v>MX4XVMX0R</v>
      </c>
      <c r="B13231" t="s">
        <v>10</v>
      </c>
      <c r="C13231" t="s">
        <v>42</v>
      </c>
      <c r="D13231" t="str">
        <f>HYPERLINK("https://us2.cloudbeds.com/connect/10074733072513#/reservations/31714029457633?display=Servicemaster%20Restore&amp;reservation_id=31714029457633&amp;guest_id=31713724154015", "Servicemaster Restore")</f>
        <v>Servicemaster Restore</v>
      </c>
      <c r="E13231" t="s">
        <v>12760</v>
      </c>
      <c r="F13231" t="s">
        <v>12313</v>
      </c>
      <c r="G13231">
        <v>89</v>
      </c>
      <c r="H13231">
        <v>96.75</v>
      </c>
      <c r="I13231">
        <v>96.74</v>
      </c>
      <c r="J13231">
        <v>0.01</v>
      </c>
    </row>
    <row r="13232" spans="1:10" x14ac:dyDescent="0.3">
      <c r="A13232" t="str">
        <f>HYPERLINK("https://us2.cloudbeds.com/connect/10074733072513#/reservations/31712387928253?display=MX3A0GXS9&amp;reservation_id=31712387928253", "MX3A0GXS9")</f>
        <v>MX3A0GXS9</v>
      </c>
      <c r="B13232" t="s">
        <v>10</v>
      </c>
      <c r="C13232" t="s">
        <v>42</v>
      </c>
      <c r="D13232" t="str">
        <f>HYPERLINK("https://us2.cloudbeds.com/connect/10074733072513#/reservations/31712387928253?display=Jess%20Ybarra&amp;reservation_id=31712387928253&amp;guest_id=31712387928240", "Jess Ybarra")</f>
        <v>Jess Ybarra</v>
      </c>
      <c r="E13232" t="s">
        <v>12761</v>
      </c>
      <c r="F13232" t="s">
        <v>12580</v>
      </c>
      <c r="G13232">
        <v>199</v>
      </c>
      <c r="H13232">
        <v>216.32</v>
      </c>
      <c r="I13232">
        <v>216.31</v>
      </c>
      <c r="J13232">
        <v>0.01</v>
      </c>
    </row>
    <row r="13233" spans="1:10" x14ac:dyDescent="0.3">
      <c r="A13233" t="str">
        <f>HYPERLINK("https://us2.cloudbeds.com/connect/10074733072513#/reservations/31712141340885?display=MX33NXU5Q&amp;reservation_id=31712141340885", "MX33NXU5Q")</f>
        <v>MX33NXU5Q</v>
      </c>
      <c r="B13233" t="s">
        <v>10</v>
      </c>
      <c r="C13233" t="s">
        <v>42</v>
      </c>
      <c r="D13233" t="str">
        <f>HYPERLINK("https://us2.cloudbeds.com/connect/10074733072513#/reservations/31712141340885?display=Heather%20Hart&amp;reservation_id=31712141340885&amp;guest_id=31712133963966", "Heather Hart")</f>
        <v>Heather Hart</v>
      </c>
      <c r="E13233" t="s">
        <v>12762</v>
      </c>
      <c r="F13233" t="s">
        <v>12690</v>
      </c>
      <c r="G13233">
        <v>149</v>
      </c>
      <c r="H13233">
        <v>161.97</v>
      </c>
      <c r="I13233">
        <v>161.96</v>
      </c>
      <c r="J13233">
        <v>0.01</v>
      </c>
    </row>
    <row r="13234" spans="1:10" x14ac:dyDescent="0.3">
      <c r="A13234" t="str">
        <f>HYPERLINK("https://us2.cloudbeds.com/connect/10074733072513#/reservations/31715104964823?display=MX5DEJ3UQ&amp;reservation_id=31715104964823", "MX5DEJ3UQ")</f>
        <v>MX5DEJ3UQ</v>
      </c>
      <c r="B13234" t="s">
        <v>10</v>
      </c>
      <c r="C13234" t="s">
        <v>42</v>
      </c>
      <c r="D13234" t="str">
        <f>HYPERLINK("https://us2.cloudbeds.com/connect/10074733072513#/reservations/31715104964823?display=Brad%20Dannen&amp;reservation_id=31715104964823&amp;guest_id=31715096662145", "Brad Dannen")</f>
        <v>Brad Dannen</v>
      </c>
      <c r="E13234" t="s">
        <v>9078</v>
      </c>
      <c r="F13234" t="s">
        <v>12313</v>
      </c>
      <c r="G13234">
        <v>282</v>
      </c>
      <c r="H13234">
        <v>306.54000000000002</v>
      </c>
      <c r="I13234">
        <v>306.52999999999997</v>
      </c>
      <c r="J13234">
        <v>0.01</v>
      </c>
    </row>
    <row r="13235" spans="1:10" x14ac:dyDescent="0.3">
      <c r="A13235" t="str">
        <f>HYPERLINK("https://us2.cloudbeds.com/connect/10074733072513#/reservations/31713470271622?display=MX44M5C86&amp;reservation_id=31713470271622", "MX44M5C86")</f>
        <v>MX44M5C86</v>
      </c>
      <c r="B13235" t="s">
        <v>10</v>
      </c>
      <c r="C13235" t="s">
        <v>42</v>
      </c>
      <c r="D13235" t="str">
        <f>HYPERLINK("https://us2.cloudbeds.com/connect/10074733072513#/reservations/31713470271622?display=Scott%20Jensen&amp;reservation_id=31713470271622&amp;guest_id=31713470271619", "Scott Jensen")</f>
        <v>Scott Jensen</v>
      </c>
      <c r="E13235" t="s">
        <v>12763</v>
      </c>
      <c r="F13235" t="s">
        <v>12313</v>
      </c>
      <c r="G13235">
        <v>298</v>
      </c>
      <c r="H13235">
        <v>323.94</v>
      </c>
      <c r="I13235">
        <v>323.93</v>
      </c>
      <c r="J13235">
        <v>0.01</v>
      </c>
    </row>
    <row r="13236" spans="1:10" x14ac:dyDescent="0.3">
      <c r="A13236" t="str">
        <f>HYPERLINK("https://us2.cloudbeds.com/connect/10074733072513#/reservations/31713108283576?display=MX3SDUH5F&amp;reservation_id=31713108283576", "MX3SDUH5F")</f>
        <v>MX3SDUH5F</v>
      </c>
      <c r="B13236" t="s">
        <v>10</v>
      </c>
      <c r="C13236" t="s">
        <v>23</v>
      </c>
      <c r="D13236" t="str">
        <f>HYPERLINK("https://us2.cloudbeds.com/connect/10074733072513#/reservations/31713108283576?display=Jill%20Janecke&amp;reservation_id=31713108283576&amp;guest_id=31713108283571", "Jill Janecke")</f>
        <v>Jill Janecke</v>
      </c>
      <c r="E13236" t="s">
        <v>12764</v>
      </c>
      <c r="F13236" t="s">
        <v>11533</v>
      </c>
      <c r="G13236">
        <v>209</v>
      </c>
      <c r="H13236">
        <v>227.19</v>
      </c>
      <c r="I13236">
        <v>227.18</v>
      </c>
      <c r="J13236">
        <v>0.01</v>
      </c>
    </row>
    <row r="13237" spans="1:10" x14ac:dyDescent="0.3">
      <c r="A13237" t="str">
        <f>HYPERLINK("https://us2.cloudbeds.com/connect/10074733072513#/reservations/31712591450314?display=MX3F73SQF&amp;reservation_id=31712591450314", "MX3F73SQF")</f>
        <v>MX3F73SQF</v>
      </c>
      <c r="B13237" t="s">
        <v>10</v>
      </c>
      <c r="C13237" t="s">
        <v>23</v>
      </c>
      <c r="D13237" t="str">
        <f>HYPERLINK("https://us2.cloudbeds.com/connect/10074733072513#/reservations/31712591450314?display=Shawn%20Mccall&amp;reservation_id=31712591450314&amp;guest_id=31712591446230", "Shawn Mccall")</f>
        <v>Shawn Mccall</v>
      </c>
      <c r="E13237" t="s">
        <v>12765</v>
      </c>
      <c r="F13237" t="s">
        <v>12609</v>
      </c>
      <c r="G13237">
        <v>338</v>
      </c>
      <c r="H13237">
        <v>367.42</v>
      </c>
      <c r="I13237">
        <v>367.41</v>
      </c>
      <c r="J13237">
        <v>0.01</v>
      </c>
    </row>
    <row r="13238" spans="1:10" x14ac:dyDescent="0.3">
      <c r="A13238" t="str">
        <f>HYPERLINK("https://us2.cloudbeds.com/connect/10074733072513#/reservations/31714710442119?display=MX53BTV4B&amp;reservation_id=31714710442119", "MX53BTV4B")</f>
        <v>MX53BTV4B</v>
      </c>
      <c r="B13238" t="s">
        <v>10</v>
      </c>
      <c r="C13238" t="s">
        <v>42</v>
      </c>
      <c r="D13238" t="str">
        <f>HYPERLINK("https://us2.cloudbeds.com/connect/10074733072513#/reservations/31714710442119?display=Mandy%20Hofstedt&amp;reservation_id=31714710442119&amp;guest_id=31714701074672", "Mandy Hofstedt")</f>
        <v>Mandy Hofstedt</v>
      </c>
      <c r="E13238" t="s">
        <v>12771</v>
      </c>
      <c r="F13238" t="s">
        <v>12756</v>
      </c>
      <c r="G13238">
        <v>159</v>
      </c>
      <c r="H13238">
        <v>172.84</v>
      </c>
      <c r="I13238">
        <v>172.83</v>
      </c>
      <c r="J13238">
        <v>0.01</v>
      </c>
    </row>
    <row r="13239" spans="1:10" x14ac:dyDescent="0.3">
      <c r="A13239" t="str">
        <f>HYPERLINK("https://us2.cloudbeds.com/connect/10074733072513#/reservations/31713500725401?display=MX45ERQ4W&amp;reservation_id=31713500725401", "MX45ERQ4W")</f>
        <v>MX45ERQ4W</v>
      </c>
      <c r="B13239" t="s">
        <v>10</v>
      </c>
      <c r="C13239" t="s">
        <v>23</v>
      </c>
      <c r="D13239" t="str">
        <f>HYPERLINK("https://us2.cloudbeds.com/connect/10074733072513#/reservations/31713500725401?display=Ethan%20Gotz&amp;reservation_id=31713500725401&amp;guest_id=31713492992200", "Ethan Gotz")</f>
        <v>Ethan Gotz</v>
      </c>
      <c r="E13239" t="s">
        <v>12772</v>
      </c>
      <c r="F13239" t="s">
        <v>12313</v>
      </c>
      <c r="G13239">
        <v>97.74</v>
      </c>
      <c r="H13239">
        <v>106.25</v>
      </c>
      <c r="I13239">
        <v>106.24</v>
      </c>
      <c r="J13239">
        <v>0.01</v>
      </c>
    </row>
    <row r="13240" spans="1:10" x14ac:dyDescent="0.3">
      <c r="A13240" t="str">
        <f>HYPERLINK("https://us2.cloudbeds.com/connect/10074733072513#/reservations/31714718679259?display=MX53XS52Y&amp;reservation_id=31714718679259", "MX53XS52Y")</f>
        <v>MX53XS52Y</v>
      </c>
      <c r="B13240" t="s">
        <v>10</v>
      </c>
      <c r="C13240" t="s">
        <v>42</v>
      </c>
      <c r="D13240" t="str">
        <f>HYPERLINK("https://us2.cloudbeds.com/connect/10074733072513#/reservations/31714718679259?display=Carlos%20Reimer&amp;reservation_id=31714718679259&amp;guest_id=31714710446212", "Carlos Reimer")</f>
        <v>Carlos Reimer</v>
      </c>
      <c r="E13240" t="s">
        <v>12775</v>
      </c>
      <c r="F13240" t="s">
        <v>12756</v>
      </c>
      <c r="G13240">
        <v>189</v>
      </c>
      <c r="H13240">
        <v>205.45</v>
      </c>
      <c r="I13240">
        <v>205.44</v>
      </c>
      <c r="J13240">
        <v>0.01</v>
      </c>
    </row>
    <row r="13241" spans="1:10" x14ac:dyDescent="0.3">
      <c r="A13241" t="str">
        <f>HYPERLINK("https://us2.cloudbeds.com/connect/10074733072513#/reservations/31714682134781?display=MX52Y1886&amp;reservation_id=31714682134781", "MX52Y1886")</f>
        <v>MX52Y1886</v>
      </c>
      <c r="B13241" t="s">
        <v>10</v>
      </c>
      <c r="C13241" t="s">
        <v>42</v>
      </c>
      <c r="D13241" t="str">
        <f>HYPERLINK("https://us2.cloudbeds.com/connect/10074733072513#/reservations/31714682134781?display=Lourdes%20Ortega&amp;reservation_id=31714682134781&amp;guest_id=31714682134728", "Lourdes Ortega")</f>
        <v>Lourdes Ortega</v>
      </c>
      <c r="E13241" t="s">
        <v>12776</v>
      </c>
      <c r="F13241" t="s">
        <v>12756</v>
      </c>
      <c r="G13241">
        <v>149</v>
      </c>
      <c r="H13241">
        <v>161.97</v>
      </c>
      <c r="I13241">
        <v>161.96</v>
      </c>
      <c r="J13241">
        <v>0.01</v>
      </c>
    </row>
    <row r="13242" spans="1:10" x14ac:dyDescent="0.3">
      <c r="A13242" t="str">
        <f>HYPERLINK("https://us2.cloudbeds.com/connect/10074733072513#/reservations/31713026568338?display=MX3QB0M74&amp;reservation_id=31713026568338", "MX3QB0M74")</f>
        <v>MX3QB0M74</v>
      </c>
      <c r="B13242" t="s">
        <v>10</v>
      </c>
      <c r="C13242" t="s">
        <v>23</v>
      </c>
      <c r="D13242" t="str">
        <f>HYPERLINK("https://us2.cloudbeds.com/connect/10074733072513#/reservations/31713026568338?display=Cody%20Wheatley&amp;reservation_id=31713026568338&amp;guest_id=31711547572419", "Cody Wheatley")</f>
        <v>Cody Wheatley</v>
      </c>
      <c r="E13242" t="s">
        <v>12778</v>
      </c>
      <c r="F13242" t="s">
        <v>12223</v>
      </c>
      <c r="G13242">
        <v>229</v>
      </c>
      <c r="H13242">
        <v>248.93</v>
      </c>
      <c r="I13242">
        <v>248.92</v>
      </c>
      <c r="J13242">
        <v>0.01</v>
      </c>
    </row>
    <row r="13243" spans="1:10" x14ac:dyDescent="0.3">
      <c r="A13243" t="str">
        <f>HYPERLINK("https://us2.cloudbeds.com/connect/10074733072513#/reservations/31714690592919?display=MX52S5K4E&amp;reservation_id=31714690592919", "MX52S5K4E")</f>
        <v>MX52S5K4E</v>
      </c>
      <c r="B13243" t="s">
        <v>10</v>
      </c>
      <c r="C13243" t="s">
        <v>42</v>
      </c>
      <c r="D13243" t="str">
        <f>HYPERLINK("https://us2.cloudbeds.com/connect/10074733072513#/reservations/31714690592919?display=Tina%20Sield&amp;reservation_id=31714690592919&amp;guest_id=31714690588828", "Tina Sield")</f>
        <v>Tina Sield</v>
      </c>
      <c r="E13243" t="s">
        <v>12779</v>
      </c>
      <c r="F13243" t="s">
        <v>12756</v>
      </c>
      <c r="G13243">
        <v>169</v>
      </c>
      <c r="H13243">
        <v>183.71</v>
      </c>
      <c r="I13243">
        <v>183.7</v>
      </c>
      <c r="J13243">
        <v>0.01</v>
      </c>
    </row>
    <row r="13244" spans="1:10" x14ac:dyDescent="0.3">
      <c r="A13244" t="str">
        <f>HYPERLINK("https://us2.cloudbeds.com/connect/10074733072513#/reservations/31715034812664?display=MX5BYE11Q&amp;reservation_id=31715034812664", "MX5BYE11Q")</f>
        <v>MX5BYE11Q</v>
      </c>
      <c r="B13244" t="s">
        <v>10</v>
      </c>
      <c r="C13244" t="s">
        <v>121</v>
      </c>
      <c r="D13244" t="str">
        <f>HYPERLINK("https://us2.cloudbeds.com/connect/10074733072513#/reservations/31715034812664?display=Joel%20Maas&amp;reservation_id=31715034812664&amp;guest_id=31715034812659", "Joel Maas")</f>
        <v>Joel Maas</v>
      </c>
      <c r="E13244" t="s">
        <v>12780</v>
      </c>
      <c r="F13244" t="s">
        <v>12313</v>
      </c>
      <c r="G13244">
        <v>189</v>
      </c>
      <c r="H13244">
        <v>205.45</v>
      </c>
      <c r="I13244">
        <v>205.44</v>
      </c>
      <c r="J13244">
        <v>0.01</v>
      </c>
    </row>
    <row r="13245" spans="1:10" x14ac:dyDescent="0.3">
      <c r="A13245" t="str">
        <f>HYPERLINK("https://us2.cloudbeds.com/connect/10074733072513#/reservations/31713735393472?display=MX4B580P6&amp;reservation_id=31713735393472", "MX4B580P6")</f>
        <v>MX4B580P6</v>
      </c>
      <c r="B13245" t="s">
        <v>10</v>
      </c>
      <c r="C13245" t="s">
        <v>42</v>
      </c>
      <c r="D13245" t="str">
        <f>HYPERLINK("https://us2.cloudbeds.com/connect/10074733072513#/reservations/31713735393472?display=Servicemaster%20Restore&amp;reservation_id=31713735393472&amp;guest_id=31713724154015", "Servicemaster Restore")</f>
        <v>Servicemaster Restore</v>
      </c>
      <c r="E13245" t="s">
        <v>12760</v>
      </c>
      <c r="F13245" t="s">
        <v>12609</v>
      </c>
      <c r="G13245">
        <v>178</v>
      </c>
      <c r="H13245">
        <v>193.5</v>
      </c>
      <c r="I13245">
        <v>193.49</v>
      </c>
      <c r="J13245">
        <v>0.01</v>
      </c>
    </row>
    <row r="13246" spans="1:10" x14ac:dyDescent="0.3">
      <c r="A13246" t="str">
        <f>HYPERLINK("https://us2.cloudbeds.com/connect/10074733072513#/reservations/31714096169095?display=MX4KYUTD9&amp;reservation_id=31714096169095", "MX4KYUTD9")</f>
        <v>MX4KYUTD9</v>
      </c>
      <c r="B13246" t="s">
        <v>10</v>
      </c>
      <c r="C13246" t="s">
        <v>121</v>
      </c>
      <c r="D13246" t="str">
        <f>HYPERLINK("https://us2.cloudbeds.com/connect/10074733072513#/reservations/31714096169095?display=Amanda%20Becker&amp;reservation_id=31714096169095&amp;guest_id=31714096169090", "Amanda Becker")</f>
        <v>Amanda Becker</v>
      </c>
      <c r="E13246" t="s">
        <v>12474</v>
      </c>
      <c r="F13246" t="s">
        <v>12756</v>
      </c>
      <c r="G13246">
        <v>169</v>
      </c>
      <c r="H13246">
        <v>183.71</v>
      </c>
      <c r="I13246">
        <v>183.7</v>
      </c>
      <c r="J13246">
        <v>0.01</v>
      </c>
    </row>
    <row r="13247" spans="1:10" x14ac:dyDescent="0.3">
      <c r="A13247" t="str">
        <f>HYPERLINK("https://us2.cloudbeds.com/connect/10074733072513#/reservations/31711556268255?display=MX2YP7DD5&amp;reservation_id=31711556268255", "MX2YP7DD5")</f>
        <v>MX2YP7DD5</v>
      </c>
      <c r="B13247" t="s">
        <v>10</v>
      </c>
      <c r="C13247" t="s">
        <v>23</v>
      </c>
      <c r="D13247" t="str">
        <f>HYPERLINK("https://us2.cloudbeds.com/connect/10074733072513#/reservations/31711556268255?display=Cody%20Wheatley&amp;reservation_id=31711556268255&amp;guest_id=31711547572419", "Cody Wheatley")</f>
        <v>Cody Wheatley</v>
      </c>
      <c r="E13247" t="s">
        <v>12778</v>
      </c>
      <c r="F13247" t="s">
        <v>12684</v>
      </c>
      <c r="G13247">
        <v>139</v>
      </c>
      <c r="H13247">
        <v>151.1</v>
      </c>
      <c r="I13247">
        <v>151.09</v>
      </c>
      <c r="J13247">
        <v>0.01</v>
      </c>
    </row>
    <row r="13248" spans="1:10" x14ac:dyDescent="0.3">
      <c r="A13248" t="str">
        <f>HYPERLINK("https://us2.cloudbeds.com/connect/10074733072513#/reservations/31710906241233?display=MX2553ENK&amp;reservation_id=31710906241233", "MX2553ENK")</f>
        <v>MX2553ENK</v>
      </c>
      <c r="B13248" t="s">
        <v>10</v>
      </c>
      <c r="C13248" t="s">
        <v>42</v>
      </c>
      <c r="D13248" t="str">
        <f>HYPERLINK("https://us2.cloudbeds.com/connect/10074733072513#/reservations/31710906241233?display=Beth%20Fiedler&amp;reservation_id=31710906241233&amp;guest_id=31710906237136", "Beth Fiedler")</f>
        <v>Beth Fiedler</v>
      </c>
      <c r="E13248" t="s">
        <v>12782</v>
      </c>
      <c r="F13248" t="s">
        <v>10330</v>
      </c>
      <c r="G13248">
        <v>318</v>
      </c>
      <c r="H13248">
        <v>345.68</v>
      </c>
      <c r="I13248">
        <v>345.67</v>
      </c>
      <c r="J13248">
        <v>0.01</v>
      </c>
    </row>
    <row r="13249" spans="1:10" x14ac:dyDescent="0.3">
      <c r="A13249" t="str">
        <f>HYPERLINK("https://us2.cloudbeds.com/connect/10074733072513#/reservations/31714733072516?display=MX53UWM0V&amp;reservation_id=31714733072516", "MX53UWM0V")</f>
        <v>MX53UWM0V</v>
      </c>
      <c r="B13249" t="s">
        <v>10</v>
      </c>
      <c r="C13249" t="s">
        <v>42</v>
      </c>
      <c r="D13249" t="str">
        <f>HYPERLINK("https://us2.cloudbeds.com/connect/10074733072513#/reservations/31714733072516?display=Mark%20Strauss&amp;reservation_id=31714733072516&amp;guest_id=31714733068425", "Mark Strauss")</f>
        <v>Mark Strauss</v>
      </c>
      <c r="E13249" t="s">
        <v>12784</v>
      </c>
      <c r="F13249" t="s">
        <v>12756</v>
      </c>
      <c r="G13249">
        <v>149</v>
      </c>
      <c r="H13249">
        <v>161.97</v>
      </c>
      <c r="I13249">
        <v>161.96</v>
      </c>
      <c r="J13249">
        <v>0.01</v>
      </c>
    </row>
    <row r="13250" spans="1:10" x14ac:dyDescent="0.3">
      <c r="A13250" t="str">
        <f>HYPERLINK("https://us2.cloudbeds.com/connect/10074733072513#/reservations/31714068967599?display=MX4JVWVWH&amp;reservation_id=31714068967599", "MX4JVWVWH")</f>
        <v>MX4JVWVWH</v>
      </c>
      <c r="B13250" t="s">
        <v>10</v>
      </c>
      <c r="C13250" t="s">
        <v>42</v>
      </c>
      <c r="D13250" t="str">
        <f>HYPERLINK("https://us2.cloudbeds.com/connect/10074733072513#/reservations/31714068967599?display=Nathan%20Hopf&amp;reservation_id=31714068967599&amp;guest_id=31714068967595", "Nathan Hopf")</f>
        <v>Nathan Hopf</v>
      </c>
      <c r="E13250" t="s">
        <v>12785</v>
      </c>
      <c r="F13250" t="s">
        <v>12313</v>
      </c>
      <c r="G13250">
        <v>149</v>
      </c>
      <c r="H13250">
        <v>161.97</v>
      </c>
      <c r="I13250">
        <v>161.96</v>
      </c>
      <c r="J13250">
        <v>0.01</v>
      </c>
    </row>
    <row r="13251" spans="1:10" x14ac:dyDescent="0.3">
      <c r="A13251" t="str">
        <f>HYPERLINK("https://us2.cloudbeds.com/connect/10074733072513#/reservations/31713424789746?display=MX43GQPEH&amp;reservation_id=31713424789746", "MX43GQPEH")</f>
        <v>MX43GQPEH</v>
      </c>
      <c r="B13251" t="s">
        <v>10</v>
      </c>
      <c r="C13251" t="s">
        <v>42</v>
      </c>
      <c r="D13251" t="str">
        <f>HYPERLINK("https://us2.cloudbeds.com/connect/10074733072513#/reservations/31713424789746?display=Lyndsey%20Allen&amp;reservation_id=31713424789746&amp;guest_id=31712826466521", "Lyndsey Allen")</f>
        <v>Lyndsey Allen</v>
      </c>
      <c r="E13251" t="s">
        <v>12786</v>
      </c>
      <c r="F13251" t="s">
        <v>11694</v>
      </c>
      <c r="G13251">
        <v>189</v>
      </c>
      <c r="H13251">
        <v>205.45</v>
      </c>
      <c r="I13251">
        <v>205.44</v>
      </c>
      <c r="J13251">
        <v>0.01</v>
      </c>
    </row>
    <row r="13252" spans="1:10" x14ac:dyDescent="0.3">
      <c r="A13252" t="str">
        <f>HYPERLINK("https://us2.cloudbeds.com/connect/10074733072513#/reservations/31712318693566?display=MX38840FF&amp;reservation_id=31712318693566", "MX38840FF")</f>
        <v>MX38840FF</v>
      </c>
      <c r="B13252" t="s">
        <v>10</v>
      </c>
      <c r="C13252" t="s">
        <v>23</v>
      </c>
      <c r="D13252" t="str">
        <f>HYPERLINK("https://us2.cloudbeds.com/connect/10074733072513#/reservations/31712318693566?display=Diana%20Stevens&amp;reservation_id=31712318693566&amp;guest_id=31712318693527", "Diana Stevens")</f>
        <v>Diana Stevens</v>
      </c>
      <c r="E13252" t="s">
        <v>12787</v>
      </c>
      <c r="F13252" t="s">
        <v>12580</v>
      </c>
      <c r="G13252">
        <v>97.74</v>
      </c>
      <c r="H13252">
        <v>106.25</v>
      </c>
      <c r="I13252">
        <v>106.24</v>
      </c>
      <c r="J13252">
        <v>0.01</v>
      </c>
    </row>
    <row r="13253" spans="1:10" x14ac:dyDescent="0.3">
      <c r="A13253" t="str">
        <f>HYPERLINK("https://us2.cloudbeds.com/connect/10074733072513#/reservations/31714418798739?display=MX4STWHN5&amp;reservation_id=31714418798739", "MX4STWHN5")</f>
        <v>MX4STWHN5</v>
      </c>
      <c r="B13253" t="s">
        <v>10</v>
      </c>
      <c r="C13253" t="s">
        <v>42</v>
      </c>
      <c r="D13253" t="str">
        <f>HYPERLINK("https://us2.cloudbeds.com/connect/10074733072513#/reservations/31714418798739?display=Jeremiah%20Samsel&amp;reservation_id=31714418798739&amp;guest_id=31711689515202", "Jeremiah Samsel")</f>
        <v>Jeremiah Samsel</v>
      </c>
      <c r="E13253" t="s">
        <v>12789</v>
      </c>
      <c r="F13253" t="s">
        <v>12790</v>
      </c>
      <c r="G13253">
        <v>139</v>
      </c>
      <c r="H13253">
        <v>151.1</v>
      </c>
      <c r="I13253">
        <v>151.09</v>
      </c>
      <c r="J13253">
        <v>0.01</v>
      </c>
    </row>
    <row r="13254" spans="1:10" x14ac:dyDescent="0.3">
      <c r="A13254" t="str">
        <f>HYPERLINK("https://us2.cloudbeds.com/connect/10074733072513#/reservations/31715044290769?display=MX5BTDPX3&amp;reservation_id=31715044290769", "MX5BTDPX3")</f>
        <v>MX5BTDPX3</v>
      </c>
      <c r="B13254" t="s">
        <v>10</v>
      </c>
      <c r="C13254" t="s">
        <v>23</v>
      </c>
      <c r="D13254" t="str">
        <f>HYPERLINK("https://us2.cloudbeds.com/connect/10074733072513#/reservations/31715044290769?display=Paul%20Burkholder&amp;reservation_id=31715044290769&amp;guest_id=31715044290764", "Paul Burkholder")</f>
        <v>Paul Burkholder</v>
      </c>
      <c r="E13254" t="s">
        <v>12791</v>
      </c>
      <c r="F13254" t="s">
        <v>12313</v>
      </c>
      <c r="G13254">
        <v>97.74</v>
      </c>
      <c r="H13254">
        <v>106.25</v>
      </c>
      <c r="I13254">
        <v>106.24</v>
      </c>
      <c r="J13254">
        <v>0.01</v>
      </c>
    </row>
    <row r="13255" spans="1:10" x14ac:dyDescent="0.3">
      <c r="A13255" t="str">
        <f>HYPERLINK("https://us2.cloudbeds.com/connect/10074733072513#/reservations/31712139313301?display=MX33YSG9S&amp;reservation_id=31712139313301", "MX33YSG9S")</f>
        <v>MX33YSG9S</v>
      </c>
      <c r="B13255" t="s">
        <v>10</v>
      </c>
      <c r="C13255" t="s">
        <v>42</v>
      </c>
      <c r="D13255" t="str">
        <f>HYPERLINK("https://us2.cloudbeds.com/connect/10074733072513#/reservations/31712139313301?display=Lois%20Landis&amp;reservation_id=31712139313301&amp;guest_id=31712139313296", "Lois Landis")</f>
        <v>Lois Landis</v>
      </c>
      <c r="E13255" t="s">
        <v>12792</v>
      </c>
      <c r="F13255" t="s">
        <v>12137</v>
      </c>
      <c r="G13255">
        <v>139</v>
      </c>
      <c r="H13255">
        <v>151.1</v>
      </c>
      <c r="I13255">
        <v>151.09</v>
      </c>
      <c r="J13255">
        <v>0.01</v>
      </c>
    </row>
    <row r="13256" spans="1:10" x14ac:dyDescent="0.3">
      <c r="A13256" t="str">
        <f>HYPERLINK("https://us2.cloudbeds.com/connect/10074733072513#/reservations/31715379441826?display=MX5KF0RUZ&amp;reservation_id=31715379441826", "MX5KF0RUZ")</f>
        <v>MX5KF0RUZ</v>
      </c>
      <c r="B13256" t="s">
        <v>10</v>
      </c>
      <c r="C13256" t="s">
        <v>121</v>
      </c>
      <c r="D13256" t="str">
        <f>HYPERLINK("https://us2.cloudbeds.com/connect/10074733072513#/reservations/31715379441826?display=Ryan%20Artz&amp;reservation_id=31715379441826&amp;guest_id=31715379437741", "Ryan Artz")</f>
        <v>Ryan Artz</v>
      </c>
      <c r="E13256" t="s">
        <v>12587</v>
      </c>
      <c r="F13256" t="s">
        <v>11533</v>
      </c>
      <c r="G13256">
        <v>179</v>
      </c>
      <c r="H13256">
        <v>194.58</v>
      </c>
      <c r="I13256">
        <v>194.57</v>
      </c>
      <c r="J13256">
        <v>0.01</v>
      </c>
    </row>
    <row r="13257" spans="1:10" x14ac:dyDescent="0.3">
      <c r="A13257" t="str">
        <f>HYPERLINK("https://us2.cloudbeds.com/connect/10074733072513#/reservations/31712826466526?display=MX3Y79HWS&amp;reservation_id=31712826466526", "MX3Y79HWS")</f>
        <v>MX3Y79HWS</v>
      </c>
      <c r="B13257" t="s">
        <v>10</v>
      </c>
      <c r="C13257" t="s">
        <v>42</v>
      </c>
      <c r="D13257" t="str">
        <f>HYPERLINK("https://us2.cloudbeds.com/connect/10074733072513#/reservations/31712826466526?display=Lyndsey%20Allen&amp;reservation_id=31712826466526&amp;guest_id=31712826466521", "Lyndsey Allen")</f>
        <v>Lyndsey Allen</v>
      </c>
      <c r="E13257" t="s">
        <v>12786</v>
      </c>
      <c r="F13257" t="s">
        <v>11533</v>
      </c>
      <c r="G13257">
        <v>189</v>
      </c>
      <c r="H13257">
        <v>205.45</v>
      </c>
      <c r="I13257">
        <v>205.44</v>
      </c>
      <c r="J13257">
        <v>0.01</v>
      </c>
    </row>
    <row r="13258" spans="1:10" x14ac:dyDescent="0.3">
      <c r="A13258" t="str">
        <f>HYPERLINK("https://us2.cloudbeds.com/connect/10074733072513#/reservations/31702190198914?display=MHSDEGNP3&amp;reservation_id=31702190198914", "MHSDEGNP3")</f>
        <v>MHSDEGNP3</v>
      </c>
      <c r="B13258" t="s">
        <v>10</v>
      </c>
      <c r="C13258" t="s">
        <v>42</v>
      </c>
      <c r="D13258" t="str">
        <f>HYPERLINK("https://us2.cloudbeds.com/connect/10074733072513#/reservations/31702190198914?display=Nicole%20Miele&amp;reservation_id=31702190198914&amp;guest_id=31702190194877", "Nicole Miele")</f>
        <v>Nicole Miele</v>
      </c>
      <c r="E13258" t="s">
        <v>12794</v>
      </c>
      <c r="F13258" t="s">
        <v>12795</v>
      </c>
      <c r="G13258">
        <v>338</v>
      </c>
      <c r="H13258">
        <v>367.42</v>
      </c>
      <c r="I13258">
        <v>367.41</v>
      </c>
      <c r="J13258">
        <v>0.01</v>
      </c>
    </row>
    <row r="13259" spans="1:10" x14ac:dyDescent="0.3">
      <c r="A13259" t="str">
        <f>HYPERLINK("https://us2.cloudbeds.com/connect/10074733072513#/reservations/31712756359315?display=MX3JE5NCU&amp;reservation_id=31712756359315", "MX3JE5NCU")</f>
        <v>MX3JE5NCU</v>
      </c>
      <c r="B13259" t="s">
        <v>10</v>
      </c>
      <c r="C13259" t="s">
        <v>23</v>
      </c>
      <c r="D13259" t="str">
        <f>HYPERLINK("https://us2.cloudbeds.com/connect/10074733072513#/reservations/31712756359315?display=Tiffany%20Hansen&amp;reservation_id=31712756359315&amp;guest_id=31712756359299", "Tiffany Hansen")</f>
        <v>Tiffany Hansen</v>
      </c>
      <c r="E13259" t="s">
        <v>12796</v>
      </c>
      <c r="F13259" t="s">
        <v>12137</v>
      </c>
      <c r="G13259">
        <v>352.76</v>
      </c>
      <c r="H13259">
        <v>383.46</v>
      </c>
      <c r="I13259">
        <v>383.45</v>
      </c>
      <c r="J13259">
        <v>0.01</v>
      </c>
    </row>
    <row r="13260" spans="1:10" x14ac:dyDescent="0.3">
      <c r="A13260" t="str">
        <f>HYPERLINK("https://us2.cloudbeds.com/connect/10074733072513#/reservations/31701722566816?display=MHS1G65HF&amp;reservation_id=31701722566816", "MHS1G65HF")</f>
        <v>MHS1G65HF</v>
      </c>
      <c r="B13260" t="s">
        <v>10</v>
      </c>
      <c r="C13260" t="s">
        <v>42</v>
      </c>
      <c r="D13260" t="str">
        <f>HYPERLINK("https://us2.cloudbeds.com/connect/10074733072513#/reservations/31701722566816?display=Mary%20Bjerke&amp;reservation_id=31701722566816&amp;guest_id=31701722566800", "Mary Bjerke")</f>
        <v>Mary Bjerke</v>
      </c>
      <c r="E13260" t="s">
        <v>12797</v>
      </c>
      <c r="F13260" t="s">
        <v>11742</v>
      </c>
      <c r="G13260">
        <v>159</v>
      </c>
      <c r="H13260">
        <v>172.84</v>
      </c>
      <c r="I13260">
        <v>172.83</v>
      </c>
      <c r="J13260">
        <v>0.01</v>
      </c>
    </row>
    <row r="13261" spans="1:10" x14ac:dyDescent="0.3">
      <c r="A13261" t="str">
        <f>HYPERLINK("https://us2.cloudbeds.com/connect/10074733072513#/reservations/31713041113315?display=MX3QN9DG0&amp;reservation_id=31713041113315", "MX3QN9DG0")</f>
        <v>MX3QN9DG0</v>
      </c>
      <c r="B13261" t="s">
        <v>10</v>
      </c>
      <c r="C13261" t="s">
        <v>23</v>
      </c>
      <c r="D13261" t="str">
        <f>HYPERLINK("https://us2.cloudbeds.com/connect/10074733072513#/reservations/31713041113315?display=Kristel%20Rogers&amp;reservation_id=31713041113315&amp;guest_id=31713026572428", "Kristel Rogers")</f>
        <v>Kristel Rogers</v>
      </c>
      <c r="E13261" t="s">
        <v>12798</v>
      </c>
      <c r="F13261" t="s">
        <v>12223</v>
      </c>
      <c r="G13261">
        <v>189</v>
      </c>
      <c r="H13261">
        <v>205.45</v>
      </c>
      <c r="I13261">
        <v>205.44</v>
      </c>
      <c r="J13261">
        <v>0.01</v>
      </c>
    </row>
    <row r="13262" spans="1:10" x14ac:dyDescent="0.3">
      <c r="A13262" t="str">
        <f>HYPERLINK("https://us2.cloudbeds.com/connect/10074733072513#/reservations/31715065417910?display=MX5CE7M07&amp;reservation_id=31715065417910", "MX5CE7M07")</f>
        <v>MX5CE7M07</v>
      </c>
      <c r="B13262" t="s">
        <v>10</v>
      </c>
      <c r="C13262" t="s">
        <v>23</v>
      </c>
      <c r="D13262" t="str">
        <f>HYPERLINK("https://us2.cloudbeds.com/connect/10074733072513#/reservations/31715065417910?display=Shawnda%20Berryhill&amp;reservation_id=31715065417910&amp;guest_id=31715065417864", "Shawnda Berryhill")</f>
        <v>Shawnda Berryhill</v>
      </c>
      <c r="E13262" t="s">
        <v>12800</v>
      </c>
      <c r="F13262" t="s">
        <v>12528</v>
      </c>
      <c r="G13262">
        <v>139</v>
      </c>
      <c r="H13262">
        <v>151.1</v>
      </c>
      <c r="I13262">
        <v>151.09</v>
      </c>
      <c r="J13262">
        <v>0.01</v>
      </c>
    </row>
    <row r="13263" spans="1:10" x14ac:dyDescent="0.3">
      <c r="A13263" t="str">
        <f>HYPERLINK("https://us2.cloudbeds.com/connect/10074733072513#/reservations/31712593535147?display=MX3F8ST87&amp;reservation_id=31712593535147", "MX3F8ST87")</f>
        <v>MX3F8ST87</v>
      </c>
      <c r="B13263" t="s">
        <v>10</v>
      </c>
      <c r="C13263" t="s">
        <v>23</v>
      </c>
      <c r="D13263" t="str">
        <f>HYPERLINK("https://us2.cloudbeds.com/connect/10074733072513#/reservations/31712593535147?display=Frank%20Luers&amp;reservation_id=31712593535147&amp;guest_id=31712593535143", "Frank Luers")</f>
        <v>Frank Luers</v>
      </c>
      <c r="E13263" t="s">
        <v>12801</v>
      </c>
      <c r="F13263" t="s">
        <v>12802</v>
      </c>
      <c r="G13263">
        <v>139</v>
      </c>
      <c r="H13263">
        <v>151.1</v>
      </c>
      <c r="I13263">
        <v>151.09</v>
      </c>
      <c r="J13263">
        <v>0.01</v>
      </c>
    </row>
    <row r="13264" spans="1:10" x14ac:dyDescent="0.3">
      <c r="A13264" t="str">
        <f>HYPERLINK("https://us2.cloudbeds.com/connect/10074733072513#/reservations/31713694638214?display=MX4ADBN5R&amp;reservation_id=31713694638214", "MX4ADBN5R")</f>
        <v>MX4ADBN5R</v>
      </c>
      <c r="B13264" t="s">
        <v>10</v>
      </c>
      <c r="C13264" t="s">
        <v>42</v>
      </c>
      <c r="D13264" t="str">
        <f>HYPERLINK("https://us2.cloudbeds.com/connect/10074733072513#/reservations/31713694638214?display=Guillermo%20Castro&amp;reservation_id=31713694638214&amp;guest_id=31713694638211", "Guillermo Castro")</f>
        <v>Guillermo Castro</v>
      </c>
      <c r="E13264" t="s">
        <v>12547</v>
      </c>
      <c r="F13264" t="s">
        <v>12609</v>
      </c>
      <c r="G13264">
        <v>252</v>
      </c>
      <c r="H13264">
        <v>273.93</v>
      </c>
      <c r="I13264">
        <v>273.92</v>
      </c>
      <c r="J13264">
        <v>0.01</v>
      </c>
    </row>
    <row r="13265" spans="1:10" x14ac:dyDescent="0.3">
      <c r="A13265" t="str">
        <f>HYPERLINK("https://us2.cloudbeds.com/connect/10074733072513#/reservations/31715013239039?display=MX5B37NXJ&amp;reservation_id=31715013239039", "MX5B37NXJ")</f>
        <v>MX5B37NXJ</v>
      </c>
      <c r="B13265" t="s">
        <v>10</v>
      </c>
      <c r="C13265" t="s">
        <v>23</v>
      </c>
      <c r="D13265" t="str">
        <f>HYPERLINK("https://us2.cloudbeds.com/connect/10074733072513#/reservations/31715013239039?display=David%20Opoien&amp;reservation_id=31715013239039&amp;guest_id=31715013239029", "David Opoien")</f>
        <v>David Opoien</v>
      </c>
      <c r="E13265" t="s">
        <v>12803</v>
      </c>
      <c r="F13265" t="s">
        <v>12528</v>
      </c>
      <c r="G13265">
        <v>139</v>
      </c>
      <c r="H13265">
        <v>151.1</v>
      </c>
      <c r="I13265">
        <v>151.09</v>
      </c>
      <c r="J13265">
        <v>0.01</v>
      </c>
    </row>
    <row r="13266" spans="1:10" x14ac:dyDescent="0.3">
      <c r="A13266" t="str">
        <f>HYPERLINK("https://us2.cloudbeds.com/connect/10074733072513#/reservations/31711831118022?display=MX2SPWCWX&amp;reservation_id=31711831118022", "MX2SPWCWX")</f>
        <v>MX2SPWCWX</v>
      </c>
      <c r="B13266" t="s">
        <v>10</v>
      </c>
      <c r="C13266" t="s">
        <v>42</v>
      </c>
      <c r="D13266" t="str">
        <f>HYPERLINK("https://us2.cloudbeds.com/connect/10074733072513#/reservations/31711831118022?display=Zach%20Sinnen&amp;reservation_id=31711831118022&amp;guest_id=17963385467050", "Zach Sinnen")</f>
        <v>Zach Sinnen</v>
      </c>
      <c r="E13266" t="s">
        <v>11625</v>
      </c>
      <c r="F13266" t="s">
        <v>12701</v>
      </c>
      <c r="G13266">
        <v>336</v>
      </c>
      <c r="H13266">
        <v>365.24</v>
      </c>
      <c r="I13266">
        <v>365.23</v>
      </c>
      <c r="J13266">
        <v>0.01</v>
      </c>
    </row>
    <row r="13267" spans="1:10" x14ac:dyDescent="0.3">
      <c r="A13267" t="str">
        <f>HYPERLINK("https://us2.cloudbeds.com/connect/10074733072513#/reservations/31703136411833?display=MHT4KCG4S&amp;reservation_id=31703136411833", "MHT4KCG4S")</f>
        <v>MHT4KCG4S</v>
      </c>
      <c r="B13267" t="s">
        <v>10</v>
      </c>
      <c r="C13267" t="s">
        <v>42</v>
      </c>
      <c r="D13267" t="str">
        <f>HYPERLINK("https://us2.cloudbeds.com/connect/10074733072513#/reservations/31703136411833?display=Jack%20Monson&amp;reservation_id=31703136411833&amp;guest_id=31703124279515", "Jack Monson")</f>
        <v>Jack Monson</v>
      </c>
      <c r="E13267" t="s">
        <v>12804</v>
      </c>
      <c r="F13267" t="s">
        <v>12795</v>
      </c>
      <c r="G13267">
        <v>169</v>
      </c>
      <c r="H13267">
        <v>183.71</v>
      </c>
      <c r="I13267">
        <v>183.7</v>
      </c>
      <c r="J13267">
        <v>0.01</v>
      </c>
    </row>
    <row r="13268" spans="1:10" x14ac:dyDescent="0.3">
      <c r="A13268" t="str">
        <f>HYPERLINK("https://us2.cloudbeds.com/connect/10074733072513#/reservations/31712635076812?display=MX3GATRSX&amp;reservation_id=31712635076812", "MX3GATRSX")</f>
        <v>MX3GATRSX</v>
      </c>
      <c r="B13268" t="s">
        <v>10</v>
      </c>
      <c r="C13268" t="s">
        <v>23</v>
      </c>
      <c r="D13268" t="str">
        <f>HYPERLINK("https://us2.cloudbeds.com/connect/10074733072513#/reservations/31712635076812?display=Branson%20Saucerman&amp;reservation_id=31712635076812&amp;guest_id=31712635072732", "Branson Saucerman")</f>
        <v>Branson Saucerman</v>
      </c>
      <c r="E13268" t="s">
        <v>12805</v>
      </c>
      <c r="F13268" t="s">
        <v>12806</v>
      </c>
      <c r="G13268">
        <v>102.58</v>
      </c>
      <c r="H13268">
        <v>111.51</v>
      </c>
      <c r="I13268">
        <v>111.5</v>
      </c>
      <c r="J13268">
        <v>0.01</v>
      </c>
    </row>
    <row r="13269" spans="1:10" x14ac:dyDescent="0.3">
      <c r="A13269" t="str">
        <f>HYPERLINK("https://us2.cloudbeds.com/connect/10074733072513#/reservations/31712997404801?display=MX3PJE53J&amp;reservation_id=31712997404801", "MX3PJE53J")</f>
        <v>MX3PJE53J</v>
      </c>
      <c r="B13269" t="s">
        <v>10</v>
      </c>
      <c r="C13269" t="s">
        <v>121</v>
      </c>
      <c r="D13269" t="str">
        <f>HYPERLINK("https://us2.cloudbeds.com/connect/10074733072513#/reservations/31712997404801?display=William%20Spangenberg&amp;reservation_id=31712997404801&amp;guest_id=31712997400756", "William Spangenberg")</f>
        <v>William Spangenberg</v>
      </c>
      <c r="E13269" t="s">
        <v>12807</v>
      </c>
      <c r="F13269" t="s">
        <v>12806</v>
      </c>
      <c r="G13269">
        <v>139</v>
      </c>
      <c r="H13269">
        <v>151.1</v>
      </c>
      <c r="I13269">
        <v>151.09</v>
      </c>
      <c r="J13269">
        <v>0.01</v>
      </c>
    </row>
    <row r="13270" spans="1:10" x14ac:dyDescent="0.3">
      <c r="A13270" t="str">
        <f>HYPERLINK("https://us2.cloudbeds.com/connect/10074733072513#/reservations/31713014694085?display=MX3Q108D9&amp;reservation_id=31713014694085", "MX3Q108D9")</f>
        <v>MX3Q108D9</v>
      </c>
      <c r="B13270" t="s">
        <v>10</v>
      </c>
      <c r="C13270" t="s">
        <v>121</v>
      </c>
      <c r="D13270" t="str">
        <f>HYPERLINK("https://us2.cloudbeds.com/connect/10074733072513#/reservations/31713014694085?display=Joao%20Fidencio%20Da%20Silva&amp;reservation_id=31713014694085&amp;guest_id=31713009856682", "Joao Fidencio Da Silva")</f>
        <v>Joao Fidencio Da Silva</v>
      </c>
      <c r="E13270" t="s">
        <v>12808</v>
      </c>
      <c r="F13270" t="s">
        <v>12806</v>
      </c>
      <c r="G13270">
        <v>139</v>
      </c>
      <c r="H13270">
        <v>151.1</v>
      </c>
      <c r="I13270">
        <v>151.09</v>
      </c>
      <c r="J13270">
        <v>0.01</v>
      </c>
    </row>
    <row r="13271" spans="1:10" x14ac:dyDescent="0.3">
      <c r="A13271" t="str">
        <f>HYPERLINK("https://us2.cloudbeds.com/connect/10074733072513#/reservations/31712656711882?display=MX3GT4SPN&amp;reservation_id=31712656711882", "MX3GT4SPN")</f>
        <v>MX3GT4SPN</v>
      </c>
      <c r="B13271" t="s">
        <v>10</v>
      </c>
      <c r="C13271" t="s">
        <v>42</v>
      </c>
      <c r="D13271" t="str">
        <f>HYPERLINK("https://us2.cloudbeds.com/connect/10074733072513#/reservations/31712656711882?display=Robert%20Mueller&amp;reservation_id=31712656711882&amp;guest_id=31712656711878", "Robert Mueller")</f>
        <v>Robert Mueller</v>
      </c>
      <c r="E13271" t="s">
        <v>12739</v>
      </c>
      <c r="F13271" t="s">
        <v>12806</v>
      </c>
      <c r="G13271">
        <v>129</v>
      </c>
      <c r="H13271">
        <v>140.22999999999999</v>
      </c>
      <c r="I13271">
        <v>140.22</v>
      </c>
      <c r="J13271">
        <v>0.01</v>
      </c>
    </row>
    <row r="13272" spans="1:10" x14ac:dyDescent="0.3">
      <c r="A13272" t="str">
        <f>HYPERLINK("https://us2.cloudbeds.com/connect/10074733072513#/reservations/31713554559184?display=MX46R7Q9A&amp;reservation_id=31713554559184", "MX46R7Q9A")</f>
        <v>MX46R7Q9A</v>
      </c>
      <c r="B13272" t="s">
        <v>10</v>
      </c>
      <c r="C13272" t="s">
        <v>23</v>
      </c>
      <c r="D13272" t="str">
        <f>HYPERLINK("https://us2.cloudbeds.com/connect/10074733072513#/reservations/31713554559184?display=Meghan%20Johnson&amp;reservation_id=31713554559184&amp;guest_id=31713539543238", "Meghan Johnson")</f>
        <v>Meghan Johnson</v>
      </c>
      <c r="E13272" t="s">
        <v>12809</v>
      </c>
      <c r="F13272" t="s">
        <v>12564</v>
      </c>
      <c r="G13272">
        <v>139</v>
      </c>
      <c r="H13272">
        <v>151.1</v>
      </c>
      <c r="I13272">
        <v>151.09</v>
      </c>
      <c r="J13272">
        <v>0.01</v>
      </c>
    </row>
    <row r="13273" spans="1:10" x14ac:dyDescent="0.3">
      <c r="A13273" t="str">
        <f>HYPERLINK("https://us2.cloudbeds.com/connect/10074733072513#/reservations/31713103245556?display=MX3S9MAT6&amp;reservation_id=31713103245556", "MX3S9MAT6")</f>
        <v>MX3S9MAT6</v>
      </c>
      <c r="B13273" t="s">
        <v>10</v>
      </c>
      <c r="C13273" t="s">
        <v>42</v>
      </c>
      <c r="D13273" t="str">
        <f>HYPERLINK("https://us2.cloudbeds.com/connect/10074733072513#/reservations/31713103245556?display=Braden%20Burns&amp;reservation_id=31713103245556&amp;guest_id=31713086382243", "Braden Burns")</f>
        <v>Braden Burns</v>
      </c>
      <c r="E13273" t="s">
        <v>12810</v>
      </c>
      <c r="F13273" t="s">
        <v>9834</v>
      </c>
      <c r="G13273">
        <v>398</v>
      </c>
      <c r="H13273">
        <v>432.64</v>
      </c>
      <c r="I13273">
        <v>432.63</v>
      </c>
      <c r="J13273">
        <v>0.01</v>
      </c>
    </row>
    <row r="13274" spans="1:10" x14ac:dyDescent="0.3">
      <c r="A13274" t="str">
        <f>HYPERLINK("https://us2.cloudbeds.com/connect/10074733072513#/reservations/31713751044224?display=MX4BRU5KM&amp;reservation_id=31713751044224", "MX4BRU5KM")</f>
        <v>MX4BRU5KM</v>
      </c>
      <c r="B13274" t="s">
        <v>10</v>
      </c>
      <c r="C13274" t="s">
        <v>23</v>
      </c>
      <c r="D13274" t="str">
        <f>HYPERLINK("https://us2.cloudbeds.com/connect/10074733072513#/reservations/31713751044224?display=Brett%20Becker&amp;reservation_id=31713751044224&amp;guest_id=31713751040160", "Brett Becker")</f>
        <v>Brett Becker</v>
      </c>
      <c r="E13274" t="s">
        <v>12811</v>
      </c>
      <c r="F13274" t="s">
        <v>12609</v>
      </c>
      <c r="G13274">
        <v>149</v>
      </c>
      <c r="H13274">
        <v>161.97</v>
      </c>
      <c r="I13274">
        <v>161.96</v>
      </c>
      <c r="J13274">
        <v>0.01</v>
      </c>
    </row>
    <row r="13275" spans="1:10" x14ac:dyDescent="0.3">
      <c r="A13275" t="str">
        <f>HYPERLINK("https://us2.cloudbeds.com/connect/10074733072513#/reservations/31702212137174?display=MHSE0062S&amp;reservation_id=31702212137174", "MHSE0062S")</f>
        <v>MHSE0062S</v>
      </c>
      <c r="B13275" t="s">
        <v>10</v>
      </c>
      <c r="C13275" t="s">
        <v>42</v>
      </c>
      <c r="D13275" t="str">
        <f>HYPERLINK("https://us2.cloudbeds.com/connect/10074733072513#/reservations/31702212137174?display=Nick%20Mattoon&amp;reservation_id=31702212137174&amp;guest_id=31702212133076", "Nick Mattoon")</f>
        <v>Nick Mattoon</v>
      </c>
      <c r="E13275" t="s">
        <v>12812</v>
      </c>
      <c r="F13275" t="s">
        <v>12047</v>
      </c>
      <c r="G13275">
        <v>318</v>
      </c>
      <c r="H13275">
        <v>345.68</v>
      </c>
      <c r="I13275">
        <v>345.67</v>
      </c>
      <c r="J13275">
        <v>0.01</v>
      </c>
    </row>
    <row r="13276" spans="1:10" x14ac:dyDescent="0.3">
      <c r="A13276" t="str">
        <f>HYPERLINK("https://us2.cloudbeds.com/connect/10074733072513#/reservations/31712960798970?display=MX3ZYXHUW&amp;reservation_id=31712960798970", "MX3ZYXHUW")</f>
        <v>MX3ZYXHUW</v>
      </c>
      <c r="B13276" t="s">
        <v>10</v>
      </c>
      <c r="C13276" t="s">
        <v>23</v>
      </c>
      <c r="D13276" t="str">
        <f>HYPERLINK("https://us2.cloudbeds.com/connect/10074733072513#/reservations/31712960798970?display=Kevin%20Downs&amp;reservation_id=31712960798970&amp;guest_id=31712960798968", "Kevin Downs")</f>
        <v>Kevin Downs</v>
      </c>
      <c r="E13276" t="s">
        <v>12813</v>
      </c>
      <c r="F13276" t="s">
        <v>12806</v>
      </c>
      <c r="G13276">
        <v>139</v>
      </c>
      <c r="H13276">
        <v>151.1</v>
      </c>
      <c r="I13276">
        <v>151.09</v>
      </c>
      <c r="J13276">
        <v>0.01</v>
      </c>
    </row>
    <row r="13277" spans="1:10" x14ac:dyDescent="0.3">
      <c r="A13277" t="str">
        <f>HYPERLINK("https://us2.cloudbeds.com/connect/10074733072513#/reservations/31713133777066?display=MX3T2DU5F&amp;reservation_id=31713133777066", "MX3T2DU5F")</f>
        <v>MX3T2DU5F</v>
      </c>
      <c r="B13277" t="s">
        <v>10</v>
      </c>
      <c r="C13277" t="s">
        <v>42</v>
      </c>
      <c r="D13277" t="str">
        <f>HYPERLINK("https://us2.cloudbeds.com/connect/10074733072513#/reservations/31713133777066?display=Becky%20Reuter&amp;reservation_id=31713133777066&amp;guest_id=31713133777064", "Becky Reuter")</f>
        <v>Becky Reuter</v>
      </c>
      <c r="E13277" t="s">
        <v>12814</v>
      </c>
      <c r="F13277" t="s">
        <v>9834</v>
      </c>
      <c r="G13277">
        <v>229</v>
      </c>
      <c r="H13277">
        <v>248.93</v>
      </c>
      <c r="I13277">
        <v>248.92</v>
      </c>
      <c r="J13277">
        <v>0.01</v>
      </c>
    </row>
    <row r="13278" spans="1:10" x14ac:dyDescent="0.3">
      <c r="A13278" t="str">
        <f>HYPERLINK("https://us2.cloudbeds.com/connect/10074733072513#/reservations/31714343440556?display=MX4QWEJ8S&amp;reservation_id=31714343440556", "MX4QWEJ8S")</f>
        <v>MX4QWEJ8S</v>
      </c>
      <c r="B13278" t="s">
        <v>10</v>
      </c>
      <c r="C13278" t="s">
        <v>23</v>
      </c>
      <c r="D13278" t="str">
        <f>HYPERLINK("https://us2.cloudbeds.com/connect/10074733072513#/reservations/31714343440556?display=Chris%20Glaesemann&amp;reservation_id=31714343440556&amp;guest_id=31714335383764", "Chris Glaesemann")</f>
        <v>Chris Glaesemann</v>
      </c>
      <c r="E13278" t="s">
        <v>12815</v>
      </c>
      <c r="F13278" t="s">
        <v>12528</v>
      </c>
      <c r="G13278">
        <v>219.92</v>
      </c>
      <c r="H13278">
        <v>239.06</v>
      </c>
      <c r="I13278">
        <v>239.05</v>
      </c>
      <c r="J13278">
        <v>0.01</v>
      </c>
    </row>
    <row r="13279" spans="1:10" x14ac:dyDescent="0.3">
      <c r="A13279" t="str">
        <f>HYPERLINK("https://us2.cloudbeds.com/connect/10074733072513#/reservations/31714867085493?display=MX57BWPK8&amp;reservation_id=31714867085493", "MX57BWPK8")</f>
        <v>MX57BWPK8</v>
      </c>
      <c r="B13279" t="s">
        <v>10</v>
      </c>
      <c r="C13279" t="s">
        <v>23</v>
      </c>
      <c r="D13279" t="str">
        <f>HYPERLINK("https://us2.cloudbeds.com/connect/10074733072513#/reservations/31714867085493?display=Nicole%20Norton&amp;reservation_id=31714867085493&amp;guest_id=31714858787038", "Nicole Norton")</f>
        <v>Nicole Norton</v>
      </c>
      <c r="E13279" t="s">
        <v>12816</v>
      </c>
      <c r="F13279" t="s">
        <v>12106</v>
      </c>
      <c r="G13279">
        <v>199</v>
      </c>
      <c r="H13279">
        <v>216.32</v>
      </c>
      <c r="I13279">
        <v>216.31</v>
      </c>
      <c r="J13279">
        <v>0.01</v>
      </c>
    </row>
    <row r="13280" spans="1:10" x14ac:dyDescent="0.3">
      <c r="A13280" t="str">
        <f>HYPERLINK("https://us2.cloudbeds.com/connect/10074733072513#/reservations/31702015267013?display=MHS8VWWDD&amp;reservation_id=31702015267013", "MHS8VWWDD")</f>
        <v>MHS8VWWDD</v>
      </c>
      <c r="B13280" t="s">
        <v>10</v>
      </c>
      <c r="C13280" t="s">
        <v>42</v>
      </c>
      <c r="D13280" t="str">
        <f>HYPERLINK("https://us2.cloudbeds.com/connect/10074733072513#/reservations/31702015267013?display=Mary%20Rosheim&amp;reservation_id=31702015267013&amp;guest_id=31702015262916", "Mary Rosheim")</f>
        <v>Mary Rosheim</v>
      </c>
      <c r="E13280" t="s">
        <v>12395</v>
      </c>
      <c r="F13280" t="s">
        <v>12056</v>
      </c>
      <c r="G13280">
        <v>159</v>
      </c>
      <c r="H13280">
        <v>172.84</v>
      </c>
      <c r="I13280">
        <v>172.83</v>
      </c>
      <c r="J13280">
        <v>0.01</v>
      </c>
    </row>
    <row r="13281" spans="1:10" x14ac:dyDescent="0.3">
      <c r="A13281" t="str">
        <f>HYPERLINK("https://us2.cloudbeds.com/connect/10074733072513#/reservations/31712122294423?display=MX337GUA9&amp;reservation_id=31712122294423", "MX337GUA9")</f>
        <v>MX337GUA9</v>
      </c>
      <c r="B13281" t="s">
        <v>10</v>
      </c>
      <c r="C13281" t="s">
        <v>23</v>
      </c>
      <c r="D13281" t="str">
        <f>HYPERLINK("https://us2.cloudbeds.com/connect/10074733072513#/reservations/31712122294423?display=Benjamin%20Fretz&amp;reservation_id=31712122294423&amp;guest_id=31712122290322", "Benjamin Fretz")</f>
        <v>Benjamin Fretz</v>
      </c>
      <c r="E13281" t="s">
        <v>12817</v>
      </c>
      <c r="F13281" t="s">
        <v>12137</v>
      </c>
      <c r="G13281">
        <v>219</v>
      </c>
      <c r="H13281">
        <v>238.06</v>
      </c>
      <c r="I13281">
        <v>238.05</v>
      </c>
      <c r="J13281">
        <v>0.01</v>
      </c>
    </row>
    <row r="13282" spans="1:10" x14ac:dyDescent="0.3">
      <c r="A13282" t="str">
        <f>HYPERLINK("https://us2.cloudbeds.com/connect/10074733072513#/reservations/31712986398927?display=MX3PA4TN8&amp;reservation_id=31712986398927", "MX3PA4TN8")</f>
        <v>MX3PA4TN8</v>
      </c>
      <c r="B13282" t="s">
        <v>10</v>
      </c>
      <c r="C13282" t="s">
        <v>23</v>
      </c>
      <c r="D13282" t="str">
        <f>HYPERLINK("https://us2.cloudbeds.com/connect/10074733072513#/reservations/31712986398927?display=John%20Dimock&amp;reservation_id=31712986398927&amp;guest_id=31712986398925", "John Dimock")</f>
        <v>John Dimock</v>
      </c>
      <c r="E13282" t="s">
        <v>12818</v>
      </c>
      <c r="F13282" t="s">
        <v>12223</v>
      </c>
      <c r="G13282">
        <v>239</v>
      </c>
      <c r="H13282">
        <v>259.8</v>
      </c>
      <c r="I13282">
        <v>259.79000000000002</v>
      </c>
      <c r="J13282">
        <v>0.01</v>
      </c>
    </row>
    <row r="13283" spans="1:10" x14ac:dyDescent="0.3">
      <c r="A13283" t="str">
        <f>HYPERLINK("https://us2.cloudbeds.com/connect/10074733072513#/reservations/31715050426512?display=MX5C1JGRN&amp;reservation_id=31715050426512", "MX5C1JGRN")</f>
        <v>MX5C1JGRN</v>
      </c>
      <c r="B13283" t="s">
        <v>10</v>
      </c>
      <c r="C13283" t="s">
        <v>42</v>
      </c>
      <c r="D13283" t="str">
        <f>HYPERLINK("https://us2.cloudbeds.com/connect/10074733072513#/reservations/31715050426512?display=Adam%20Hull&amp;reservation_id=31715050426512&amp;guest_id=31702235377882", "Adam Hull")</f>
        <v>Adam Hull</v>
      </c>
      <c r="E13283" t="s">
        <v>6474</v>
      </c>
      <c r="F13283" t="s">
        <v>12528</v>
      </c>
      <c r="G13283">
        <v>149</v>
      </c>
      <c r="H13283">
        <v>161.97</v>
      </c>
      <c r="I13283">
        <v>161.96</v>
      </c>
      <c r="J13283">
        <v>0.01</v>
      </c>
    </row>
    <row r="13284" spans="1:10" x14ac:dyDescent="0.3">
      <c r="A13284" t="str">
        <f>HYPERLINK("https://us2.cloudbeds.com/connect/10074733072513#/reservations/31713472159885?display=MX44NZU69&amp;reservation_id=31713472159885", "MX44NZU69")</f>
        <v>MX44NZU69</v>
      </c>
      <c r="B13284" t="s">
        <v>10</v>
      </c>
      <c r="C13284" t="s">
        <v>23</v>
      </c>
      <c r="D13284" t="str">
        <f>HYPERLINK("https://us2.cloudbeds.com/connect/10074733072513#/reservations/31713472159885?display=Beau%20Haugen&amp;reservation_id=31713472159885&amp;guest_id=31713472159880", "Beau Haugen")</f>
        <v>Beau Haugen</v>
      </c>
      <c r="E13284" t="s">
        <v>12320</v>
      </c>
      <c r="F13284" t="s">
        <v>12363</v>
      </c>
      <c r="G13284">
        <v>139</v>
      </c>
      <c r="H13284">
        <v>151.1</v>
      </c>
      <c r="I13284">
        <v>151.09</v>
      </c>
      <c r="J13284">
        <v>0.01</v>
      </c>
    </row>
    <row r="13285" spans="1:10" x14ac:dyDescent="0.3">
      <c r="A13285" t="str">
        <f>HYPERLINK("https://us2.cloudbeds.com/connect/10074733072513#/reservations/31714374963337?display=MX4RQ0ZQY&amp;reservation_id=31714374963337", "MX4RQ0ZQY")</f>
        <v>MX4RQ0ZQY</v>
      </c>
      <c r="B13285" t="s">
        <v>10</v>
      </c>
      <c r="C13285" t="s">
        <v>121</v>
      </c>
      <c r="D13285" t="str">
        <f>HYPERLINK("https://us2.cloudbeds.com/connect/10074733072513#/reservations/31714374963337?display=Kristina%20Albers&amp;reservation_id=31714374963337&amp;guest_id=31714367041785", "Kristina Albers")</f>
        <v>Kristina Albers</v>
      </c>
      <c r="E13285" t="s">
        <v>12821</v>
      </c>
      <c r="F13285" t="s">
        <v>12790</v>
      </c>
      <c r="G13285">
        <v>129</v>
      </c>
      <c r="H13285">
        <v>140.22999999999999</v>
      </c>
      <c r="I13285">
        <v>140.22</v>
      </c>
      <c r="J13285">
        <v>0.01</v>
      </c>
    </row>
    <row r="13286" spans="1:10" x14ac:dyDescent="0.3">
      <c r="A13286" t="str">
        <f>HYPERLINK("https://us2.cloudbeds.com/connect/10074733072513#/reservations/31714357059737?display=MX4RAUXD9&amp;reservation_id=31714357059737", "MX4RAUXD9")</f>
        <v>MX4RAUXD9</v>
      </c>
      <c r="B13286" t="s">
        <v>10</v>
      </c>
      <c r="C13286" t="s">
        <v>121</v>
      </c>
      <c r="D13286" t="str">
        <f>HYPERLINK("https://us2.cloudbeds.com/connect/10074733072513#/reservations/31714357059737?display=Pedro%20Ajanel%20Pol&amp;reservation_id=31714357059737&amp;guest_id=31672708853905", "Pedro Ajanel Pol")</f>
        <v>Pedro Ajanel Pol</v>
      </c>
      <c r="E13286" t="s">
        <v>12823</v>
      </c>
      <c r="F13286" t="s">
        <v>12790</v>
      </c>
      <c r="G13286">
        <v>129</v>
      </c>
      <c r="H13286">
        <v>140.22999999999999</v>
      </c>
      <c r="I13286">
        <v>140.22</v>
      </c>
      <c r="J13286">
        <v>0.01</v>
      </c>
    </row>
    <row r="13287" spans="1:10" x14ac:dyDescent="0.3">
      <c r="A13287" t="str">
        <f>HYPERLINK("https://us2.cloudbeds.com/connect/10074733072513#/reservations/31713026572430?display=MX3QB0PW4&amp;reservation_id=31713026572430", "MX3QB0PW4")</f>
        <v>MX3QB0PW4</v>
      </c>
      <c r="B13287" t="s">
        <v>10</v>
      </c>
      <c r="C13287" t="s">
        <v>23</v>
      </c>
      <c r="D13287" t="str">
        <f>HYPERLINK("https://us2.cloudbeds.com/connect/10074733072513#/reservations/31713026572430?display=David%20Vander%20Vliet&amp;reservation_id=31713026572430&amp;guest_id=31713026568336", "David Vander Vliet")</f>
        <v>David Vander Vliet</v>
      </c>
      <c r="E13287" t="s">
        <v>12824</v>
      </c>
      <c r="F13287" t="s">
        <v>9834</v>
      </c>
      <c r="G13287">
        <v>209</v>
      </c>
      <c r="H13287">
        <v>227.19</v>
      </c>
      <c r="I13287">
        <v>227.18</v>
      </c>
      <c r="J13287">
        <v>0.01</v>
      </c>
    </row>
    <row r="13288" spans="1:10" x14ac:dyDescent="0.3">
      <c r="A13288" t="str">
        <f>HYPERLINK("https://us2.cloudbeds.com/connect/10074733072513#/reservations/31715052724455?display=MX5C3HEWB&amp;reservation_id=31715052724455", "MX5C3HEWB")</f>
        <v>MX5C3HEWB</v>
      </c>
      <c r="B13288" t="s">
        <v>10</v>
      </c>
      <c r="C13288" t="s">
        <v>23</v>
      </c>
      <c r="D13288" t="str">
        <f>HYPERLINK("https://us2.cloudbeds.com/connect/10074733072513#/reservations/31715052724455?display=Kaitlyn%20Weston&amp;reservation_id=31715052724455&amp;guest_id=31715044290767", "Kaitlyn Weston")</f>
        <v>Kaitlyn Weston</v>
      </c>
      <c r="E13288" t="s">
        <v>12825</v>
      </c>
      <c r="F13288" t="s">
        <v>12528</v>
      </c>
      <c r="G13288">
        <v>129</v>
      </c>
      <c r="H13288">
        <v>140.22999999999999</v>
      </c>
      <c r="I13288">
        <v>140.22</v>
      </c>
      <c r="J13288">
        <v>0.01</v>
      </c>
    </row>
    <row r="13289" spans="1:10" x14ac:dyDescent="0.3">
      <c r="A13289" t="str">
        <f>HYPERLINK("https://us2.cloudbeds.com/connect/10074733072513#/reservations/31715030786209?display=MX5BX0WM0&amp;reservation_id=31715030786209", "MX5BX0WM0")</f>
        <v>MX5BX0WM0</v>
      </c>
      <c r="B13289" t="s">
        <v>10</v>
      </c>
      <c r="C13289" t="s">
        <v>23</v>
      </c>
      <c r="D13289" t="str">
        <f>HYPERLINK("https://us2.cloudbeds.com/connect/10074733072513#/reservations/31715030786209?display=Kyle%20Worthington&amp;reservation_id=31715030786209&amp;guest_id=31715030782124", "Kyle Worthington")</f>
        <v>Kyle Worthington</v>
      </c>
      <c r="E13289" t="s">
        <v>12826</v>
      </c>
      <c r="F13289" t="s">
        <v>12528</v>
      </c>
      <c r="G13289">
        <v>159</v>
      </c>
      <c r="H13289">
        <v>172.84</v>
      </c>
      <c r="I13289">
        <v>172.83</v>
      </c>
      <c r="J13289">
        <v>0.01</v>
      </c>
    </row>
    <row r="13290" spans="1:10" x14ac:dyDescent="0.3">
      <c r="A13290" t="str">
        <f>HYPERLINK("https://us2.cloudbeds.com/connect/10074733072513#/reservations/31715095228619?display=MX5D6C6EA&amp;reservation_id=31715095228619", "MX5D6C6EA")</f>
        <v>MX5D6C6EA</v>
      </c>
      <c r="B13290" t="s">
        <v>10</v>
      </c>
      <c r="C13290" t="s">
        <v>121</v>
      </c>
      <c r="D13290" t="str">
        <f>HYPERLINK("https://us2.cloudbeds.com/connect/10074733072513#/reservations/31715095228619?display=Charles%20Wren&amp;reservation_id=31715095228619&amp;guest_id=31715087130867", "Charles Wren")</f>
        <v>Charles Wren</v>
      </c>
      <c r="E13290" t="s">
        <v>12828</v>
      </c>
      <c r="F13290" t="s">
        <v>12528</v>
      </c>
      <c r="G13290">
        <v>129</v>
      </c>
      <c r="H13290">
        <v>140.22999999999999</v>
      </c>
      <c r="I13290">
        <v>140.22</v>
      </c>
      <c r="J13290">
        <v>0.01</v>
      </c>
    </row>
    <row r="13291" spans="1:10" x14ac:dyDescent="0.3">
      <c r="A13291" t="str">
        <f>HYPERLINK("https://us2.cloudbeds.com/connect/10074733072513#/reservations/31701760471246?display=MHS2F4U5X&amp;reservation_id=31701760471246", "MHS2F4U5X")</f>
        <v>MHS2F4U5X</v>
      </c>
      <c r="B13291" t="s">
        <v>10</v>
      </c>
      <c r="C13291" t="s">
        <v>42</v>
      </c>
      <c r="D13291" t="str">
        <f>HYPERLINK("https://us2.cloudbeds.com/connect/10074733072513#/reservations/31701760471246?display=Michelle%20Milton&amp;reservation_id=31701760471246&amp;guest_id=31701719535786", "Michelle Milton")</f>
        <v>Michelle Milton</v>
      </c>
      <c r="E13291" t="s">
        <v>12831</v>
      </c>
      <c r="F13291" t="s">
        <v>11742</v>
      </c>
      <c r="G13291">
        <v>159</v>
      </c>
      <c r="H13291">
        <v>172.84</v>
      </c>
      <c r="I13291">
        <v>172.83</v>
      </c>
      <c r="J13291">
        <v>0.01</v>
      </c>
    </row>
    <row r="13292" spans="1:10" x14ac:dyDescent="0.3">
      <c r="A13292" t="str">
        <f>HYPERLINK("https://us2.cloudbeds.com/connect/10074733072513#/reservations/31711735443658?display=MX2QBA7ER&amp;reservation_id=31711735443658", "MX2QBA7ER")</f>
        <v>MX2QBA7ER</v>
      </c>
      <c r="B13292" t="s">
        <v>10</v>
      </c>
      <c r="C13292" t="s">
        <v>42</v>
      </c>
      <c r="D13292" t="str">
        <f>HYPERLINK("https://us2.cloudbeds.com/connect/10074733072513#/reservations/31711735443658?display=Diane%20Randall&amp;reservation_id=31711735443658&amp;guest_id=31711735439562", "Diane Randall")</f>
        <v>Diane Randall</v>
      </c>
      <c r="E13292" t="s">
        <v>12833</v>
      </c>
      <c r="F13292" t="s">
        <v>12280</v>
      </c>
      <c r="G13292">
        <v>169</v>
      </c>
      <c r="H13292">
        <v>183.71</v>
      </c>
      <c r="I13292">
        <v>183.7</v>
      </c>
      <c r="J13292">
        <v>0.01</v>
      </c>
    </row>
    <row r="13293" spans="1:10" x14ac:dyDescent="0.3">
      <c r="A13293" t="str">
        <f>HYPERLINK("https://us2.cloudbeds.com/connect/10074733072513#/reservations/31713458000070?display=MX44BQTJW&amp;reservation_id=31713458000070", "MX44BQTJW")</f>
        <v>MX44BQTJW</v>
      </c>
      <c r="B13293" t="s">
        <v>10</v>
      </c>
      <c r="C13293" t="s">
        <v>42</v>
      </c>
      <c r="D13293" t="str">
        <f>HYPERLINK("https://us2.cloudbeds.com/connect/10074733072513#/reservations/31713458000070?display=Jamie%20Frankenstein&amp;reservation_id=31713458000070&amp;guest_id=31713449169080", "Jamie Frankenstein")</f>
        <v>Jamie Frankenstein</v>
      </c>
      <c r="E13293" t="s">
        <v>9824</v>
      </c>
      <c r="F13293" t="s">
        <v>12363</v>
      </c>
      <c r="G13293">
        <v>149</v>
      </c>
      <c r="H13293">
        <v>161.97</v>
      </c>
      <c r="I13293">
        <v>161.96</v>
      </c>
      <c r="J13293">
        <v>0.01</v>
      </c>
    </row>
    <row r="13294" spans="1:10" x14ac:dyDescent="0.3">
      <c r="A13294" t="str">
        <f>HYPERLINK("https://us2.cloudbeds.com/connect/10074733072513#/reservations/31713650598077?display=MX4997797&amp;reservation_id=31713650598077", "MX4997797")</f>
        <v>MX4997797</v>
      </c>
      <c r="B13294" t="s">
        <v>10</v>
      </c>
      <c r="C13294" t="s">
        <v>23</v>
      </c>
      <c r="D13294" t="str">
        <f>HYPERLINK("https://us2.cloudbeds.com/connect/10074733072513#/reservations/31713650598077?display=Tim%20Warner&amp;reservation_id=31713650598077&amp;guest_id=31713650598017", "Tim Warner")</f>
        <v>Tim Warner</v>
      </c>
      <c r="E13294" t="s">
        <v>12836</v>
      </c>
      <c r="F13294" t="s">
        <v>12837</v>
      </c>
      <c r="G13294">
        <v>102.58</v>
      </c>
      <c r="H13294">
        <v>111.51</v>
      </c>
      <c r="I13294">
        <v>111.5</v>
      </c>
      <c r="J13294">
        <v>0.01</v>
      </c>
    </row>
    <row r="13295" spans="1:10" x14ac:dyDescent="0.3">
      <c r="A13295" t="str">
        <f>HYPERLINK("https://us2.cloudbeds.com/connect/10074733072513#/reservations/31713492992202?display=MX458AJVK&amp;reservation_id=31713492992202", "MX458AJVK")</f>
        <v>MX458AJVK</v>
      </c>
      <c r="B13295" t="s">
        <v>10</v>
      </c>
      <c r="C13295" t="s">
        <v>23</v>
      </c>
      <c r="D13295" t="str">
        <f>HYPERLINK("https://us2.cloudbeds.com/connect/10074733072513#/reservations/31713492992202?display=Jr%20Warner&amp;reservation_id=31713492992202&amp;guest_id=31713492992197", "Jr Warner")</f>
        <v>Jr Warner</v>
      </c>
      <c r="E13295" t="s">
        <v>12838</v>
      </c>
      <c r="F13295" t="s">
        <v>12837</v>
      </c>
      <c r="G13295">
        <v>102.58</v>
      </c>
      <c r="H13295">
        <v>111.51</v>
      </c>
      <c r="I13295">
        <v>111.5</v>
      </c>
      <c r="J13295">
        <v>0.01</v>
      </c>
    </row>
    <row r="13296" spans="1:10" x14ac:dyDescent="0.3">
      <c r="A13296" t="str">
        <f>HYPERLINK("https://us2.cloudbeds.com/connect/10074733072513#/reservations/31713504059560?display=MX45HYXR3&amp;reservation_id=31713504059560", "MX45HYXR3")</f>
        <v>MX45HYXR3</v>
      </c>
      <c r="B13296" t="s">
        <v>10</v>
      </c>
      <c r="C13296" t="s">
        <v>23</v>
      </c>
      <c r="D13296" t="str">
        <f>HYPERLINK("https://us2.cloudbeds.com/connect/10074733072513#/reservations/31713504059560?display=David%20Erickson&amp;reservation_id=31713504059560&amp;guest_id=31713504059554", "David Erickson")</f>
        <v>David Erickson</v>
      </c>
      <c r="E13296" t="s">
        <v>12842</v>
      </c>
      <c r="F13296" t="s">
        <v>12363</v>
      </c>
      <c r="G13296">
        <v>139</v>
      </c>
      <c r="H13296">
        <v>151.1</v>
      </c>
      <c r="I13296">
        <v>151.09</v>
      </c>
      <c r="J13296">
        <v>0.01</v>
      </c>
    </row>
    <row r="13297" spans="1:10" x14ac:dyDescent="0.3">
      <c r="A13297" t="str">
        <f>HYPERLINK("https://us2.cloudbeds.com/connect/10074733072513#/reservations/31713622933707?display=MX48XTDQW&amp;reservation_id=31713622933707", "MX48XTDQW")</f>
        <v>MX48XTDQW</v>
      </c>
      <c r="B13297" t="s">
        <v>10</v>
      </c>
      <c r="C13297" t="s">
        <v>23</v>
      </c>
      <c r="D13297" t="str">
        <f>HYPERLINK("https://us2.cloudbeds.com/connect/10074733072513#/reservations/31713622933707?display=Brian%20Kelly&amp;reservation_id=31713622933707&amp;guest_id=31695697297625", "Brian Kelly")</f>
        <v>Brian Kelly</v>
      </c>
      <c r="E13297" t="s">
        <v>8663</v>
      </c>
      <c r="F13297" t="s">
        <v>12837</v>
      </c>
      <c r="G13297">
        <v>149</v>
      </c>
      <c r="H13297">
        <v>161.97</v>
      </c>
      <c r="I13297">
        <v>161.96</v>
      </c>
      <c r="J13297">
        <v>0.01</v>
      </c>
    </row>
    <row r="13298" spans="1:10" x14ac:dyDescent="0.3">
      <c r="A13298" t="str">
        <f>HYPERLINK("https://us2.cloudbeds.com/connect/10074733072513#/reservations/31701693886595?display=MHS0P037S&amp;reservation_id=31701693886595", "MHS0P037S")</f>
        <v>MHS0P037S</v>
      </c>
      <c r="B13298" t="s">
        <v>10</v>
      </c>
      <c r="C13298" t="s">
        <v>42</v>
      </c>
      <c r="D13298" t="str">
        <f>HYPERLINK("https://us2.cloudbeds.com/connect/10074733072513#/reservations/31701693886595?display=Jacob%20Patterson&amp;reservation_id=31701693886595&amp;guest_id=31701681774825", "Jacob Patterson")</f>
        <v>Jacob Patterson</v>
      </c>
      <c r="E13298" t="s">
        <v>12843</v>
      </c>
      <c r="F13298" t="s">
        <v>11742</v>
      </c>
      <c r="G13298">
        <v>169</v>
      </c>
      <c r="H13298">
        <v>183.71</v>
      </c>
      <c r="I13298">
        <v>183.7</v>
      </c>
      <c r="J13298">
        <v>0.01</v>
      </c>
    </row>
    <row r="13299" spans="1:10" x14ac:dyDescent="0.3">
      <c r="A13299" t="str">
        <f>HYPERLINK("https://us2.cloudbeds.com/connect/10074733072513#/reservations/31711802446055?display=MX2S1QYWG&amp;reservation_id=31711802446055", "MX2S1QYWG")</f>
        <v>MX2S1QYWG</v>
      </c>
      <c r="B13299" t="s">
        <v>10</v>
      </c>
      <c r="C13299" t="s">
        <v>121</v>
      </c>
      <c r="D13299" t="str">
        <f>HYPERLINK("https://us2.cloudbeds.com/connect/10074733072513#/reservations/31711802446055?display=Keith%20Anderson&amp;reservation_id=31711802446055&amp;guest_id=17963406844038", "Keith Anderson")</f>
        <v>Keith Anderson</v>
      </c>
      <c r="E13299" t="s">
        <v>8040</v>
      </c>
      <c r="F13299" t="s">
        <v>12701</v>
      </c>
      <c r="G13299">
        <v>336</v>
      </c>
      <c r="H13299">
        <v>365.24</v>
      </c>
      <c r="I13299">
        <v>365.23</v>
      </c>
      <c r="J13299">
        <v>0.01</v>
      </c>
    </row>
    <row r="13300" spans="1:10" x14ac:dyDescent="0.3">
      <c r="A13300" t="str">
        <f>HYPERLINK("https://us2.cloudbeds.com/connect/10074733072513#/reservations/31712091599005?display=MX32EKPH3&amp;reservation_id=31712091599005", "MX32EKPH3")</f>
        <v>MX32EKPH3</v>
      </c>
      <c r="B13300" t="s">
        <v>10</v>
      </c>
      <c r="C13300" t="s">
        <v>23</v>
      </c>
      <c r="D13300" t="str">
        <f>HYPERLINK("https://us2.cloudbeds.com/connect/10074733072513#/reservations/31712091599005?display=Regina%20Redke&amp;reservation_id=31712091599005&amp;guest_id=31712091594904", "Regina Redke")</f>
        <v>Regina Redke</v>
      </c>
      <c r="E13300" t="s">
        <v>12844</v>
      </c>
      <c r="F13300" t="s">
        <v>11856</v>
      </c>
      <c r="G13300">
        <v>102.58</v>
      </c>
      <c r="H13300">
        <v>111.51</v>
      </c>
      <c r="I13300">
        <v>111.5</v>
      </c>
      <c r="J13300">
        <v>0.01</v>
      </c>
    </row>
    <row r="13301" spans="1:10" x14ac:dyDescent="0.3">
      <c r="A13301" t="str">
        <f>HYPERLINK("https://us2.cloudbeds.com/connect/10074733072513#/reservations/31701770440870?display=MHS2NXB0C&amp;reservation_id=31701770440870", "MHS2NXB0C")</f>
        <v>MHS2NXB0C</v>
      </c>
      <c r="B13301" t="s">
        <v>10</v>
      </c>
      <c r="C13301" t="s">
        <v>42</v>
      </c>
      <c r="D13301" t="str">
        <f>HYPERLINK("https://us2.cloudbeds.com/connect/10074733072513#/reservations/31701770440870?display=David%20Parsley&amp;reservation_id=31701770440870&amp;guest_id=31701760475338", "David Parsley")</f>
        <v>David Parsley</v>
      </c>
      <c r="E13301" t="s">
        <v>12845</v>
      </c>
      <c r="F13301" t="s">
        <v>11742</v>
      </c>
      <c r="G13301">
        <v>179</v>
      </c>
      <c r="H13301">
        <v>194.58</v>
      </c>
      <c r="I13301">
        <v>194.57</v>
      </c>
      <c r="J13301">
        <v>0.01</v>
      </c>
    </row>
    <row r="13302" spans="1:10" x14ac:dyDescent="0.3">
      <c r="A13302" t="str">
        <f>HYPERLINK("https://us2.cloudbeds.com/connect/10074733072513#/reservations/31712405229701?display=MX3AF30AJ&amp;reservation_id=31712405229701", "MX3AF30AJ")</f>
        <v>MX3AF30AJ</v>
      </c>
      <c r="B13302" t="s">
        <v>10</v>
      </c>
      <c r="C13302" t="s">
        <v>23</v>
      </c>
      <c r="D13302" t="str">
        <f>HYPERLINK("https://us2.cloudbeds.com/connect/10074733072513#/reservations/31712405229701?display=Sandy%20Weckwerth&amp;reservation_id=31712405229701&amp;guest_id=31712405225616", "Sandy Weckwerth")</f>
        <v>Sandy Weckwerth</v>
      </c>
      <c r="E13302" t="s">
        <v>12846</v>
      </c>
      <c r="F13302" t="s">
        <v>11371</v>
      </c>
      <c r="G13302">
        <v>219</v>
      </c>
      <c r="H13302">
        <v>238.06</v>
      </c>
      <c r="I13302">
        <v>238.05</v>
      </c>
      <c r="J13302">
        <v>0.01</v>
      </c>
    </row>
    <row r="13303" spans="1:10" x14ac:dyDescent="0.3">
      <c r="A13303" t="str">
        <f>HYPERLINK("https://us2.cloudbeds.com/connect/10074733072513#/reservations/31711588126940?display=MX2MJ2UCS&amp;reservation_id=31711588126940", "MX2MJ2UCS")</f>
        <v>MX2MJ2UCS</v>
      </c>
      <c r="B13303" t="s">
        <v>10</v>
      </c>
      <c r="C13303" t="s">
        <v>23</v>
      </c>
      <c r="D13303" t="str">
        <f>HYPERLINK("https://us2.cloudbeds.com/connect/10074733072513#/reservations/31711588126940?display=Sandy%20Weckwerth&amp;reservation_id=31711588126940&amp;guest_id=31711578976389", "Sandy Weckwerth")</f>
        <v>Sandy Weckwerth</v>
      </c>
      <c r="E13303" t="s">
        <v>12847</v>
      </c>
      <c r="F13303" t="s">
        <v>11371</v>
      </c>
      <c r="G13303">
        <v>219</v>
      </c>
      <c r="H13303">
        <v>238.06</v>
      </c>
      <c r="I13303">
        <v>238.05</v>
      </c>
      <c r="J13303">
        <v>0.01</v>
      </c>
    </row>
    <row r="13304" spans="1:10" x14ac:dyDescent="0.3">
      <c r="A13304" t="str">
        <f>HYPERLINK("https://us2.cloudbeds.com/connect/10074733072513#/reservations/31711763824858?display=MX2R27W56&amp;reservation_id=31711763824858", "MX2R27W56")</f>
        <v>MX2R27W56</v>
      </c>
      <c r="B13304" t="s">
        <v>10</v>
      </c>
      <c r="C13304" t="s">
        <v>42</v>
      </c>
      <c r="D13304" t="str">
        <f>HYPERLINK("https://us2.cloudbeds.com/connect/10074733072513#/reservations/31711763824858?display=Trent%20Herman&amp;reservation_id=31711763824858&amp;guest_id=31702693081331", "Trent Herman")</f>
        <v>Trent Herman</v>
      </c>
      <c r="E13304" t="s">
        <v>9970</v>
      </c>
      <c r="F13304" t="s">
        <v>12674</v>
      </c>
      <c r="G13304">
        <v>178</v>
      </c>
      <c r="H13304">
        <v>193.5</v>
      </c>
      <c r="I13304">
        <v>193.49</v>
      </c>
      <c r="J13304">
        <v>0.01</v>
      </c>
    </row>
    <row r="13305" spans="1:10" x14ac:dyDescent="0.3">
      <c r="A13305" t="str">
        <f>HYPERLINK("https://us2.cloudbeds.com/connect/10074733072513#/reservations/31713172582615?display=MX3U24Z96&amp;reservation_id=31713172582615", "MX3U24Z96")</f>
        <v>MX3U24Z96</v>
      </c>
      <c r="B13305" t="s">
        <v>10</v>
      </c>
      <c r="C13305" t="s">
        <v>23</v>
      </c>
      <c r="D13305" t="str">
        <f>HYPERLINK("https://us2.cloudbeds.com/connect/10074733072513#/reservations/31713172582615?display=Sonya%20Burgess&amp;reservation_id=31713172582615&amp;guest_id=31713168273570", "Sonya Burgess")</f>
        <v>Sonya Burgess</v>
      </c>
      <c r="E13305" t="s">
        <v>12848</v>
      </c>
      <c r="F13305" t="s">
        <v>11856</v>
      </c>
      <c r="G13305">
        <v>105.78</v>
      </c>
      <c r="H13305">
        <v>114.99</v>
      </c>
      <c r="I13305">
        <v>114.98</v>
      </c>
      <c r="J13305">
        <v>0.01</v>
      </c>
    </row>
    <row r="13306" spans="1:10" x14ac:dyDescent="0.3">
      <c r="A13306" t="str">
        <f>HYPERLINK("https://us2.cloudbeds.com/connect/10074733072513#/reservations/31713592594657?display=MX47QA68R&amp;reservation_id=31713592594657", "MX47QA68R")</f>
        <v>MX47QA68R</v>
      </c>
      <c r="B13306" t="s">
        <v>10</v>
      </c>
      <c r="C13306" t="s">
        <v>42</v>
      </c>
      <c r="D13306" t="str">
        <f>HYPERLINK("https://us2.cloudbeds.com/connect/10074733072513#/reservations/31713592594657?display=Michelle%20Tong&amp;reservation_id=31713592594657&amp;guest_id=31713592590562", "Michelle Tong")</f>
        <v>Michelle Tong</v>
      </c>
      <c r="E13306" t="s">
        <v>12850</v>
      </c>
      <c r="F13306" t="s">
        <v>12280</v>
      </c>
      <c r="G13306">
        <v>398</v>
      </c>
      <c r="H13306">
        <v>432.64</v>
      </c>
      <c r="I13306">
        <v>432.63</v>
      </c>
      <c r="J13306">
        <v>0.01</v>
      </c>
    </row>
    <row r="13307" spans="1:10" x14ac:dyDescent="0.3">
      <c r="A13307" t="str">
        <f>HYPERLINK("https://us2.cloudbeds.com/connect/10074733072513#/reservations/31712067514567?display=MX31RAJDY&amp;reservation_id=31712067514567", "MX31RAJDY")</f>
        <v>MX31RAJDY</v>
      </c>
      <c r="B13307" t="s">
        <v>10</v>
      </c>
      <c r="C13307" t="s">
        <v>42</v>
      </c>
      <c r="D13307" t="str">
        <f>HYPERLINK("https://us2.cloudbeds.com/connect/10074733072513#/reservations/31712067514567?display=Raenae%20Martin&amp;reservation_id=31712067514567&amp;guest_id=31711460716740", "Raenae Martin")</f>
        <v>Raenae Martin</v>
      </c>
      <c r="E13307" t="s">
        <v>12853</v>
      </c>
      <c r="F13307" t="s">
        <v>12684</v>
      </c>
      <c r="G13307">
        <v>129</v>
      </c>
      <c r="H13307">
        <v>140.22999999999999</v>
      </c>
      <c r="I13307">
        <v>140.22</v>
      </c>
      <c r="J13307">
        <v>0.01</v>
      </c>
    </row>
    <row r="13308" spans="1:10" x14ac:dyDescent="0.3">
      <c r="A13308" t="str">
        <f>HYPERLINK("https://us2.cloudbeds.com/connect/10074733072513#/reservations/31713234645145?display=MX3VYFNYU&amp;reservation_id=31713234645145", "MX3VYFNYU")</f>
        <v>MX3VYFNYU</v>
      </c>
      <c r="B13308" t="s">
        <v>10</v>
      </c>
      <c r="C13308" t="s">
        <v>42</v>
      </c>
      <c r="D13308" t="str">
        <f>HYPERLINK("https://us2.cloudbeds.com/connect/10074733072513#/reservations/31713234645145?display=Josh%20Wright&amp;reservation_id=31713234645145&amp;guest_id=31712084492476", "Josh Wright")</f>
        <v>Josh Wright</v>
      </c>
      <c r="E13308" t="s">
        <v>12854</v>
      </c>
      <c r="F13308" t="s">
        <v>11856</v>
      </c>
      <c r="G13308">
        <v>73</v>
      </c>
      <c r="H13308">
        <v>79.36</v>
      </c>
      <c r="I13308">
        <v>79.349999999999994</v>
      </c>
      <c r="J13308">
        <v>0.01</v>
      </c>
    </row>
    <row r="13309" spans="1:10" x14ac:dyDescent="0.3">
      <c r="A13309" t="str">
        <f>HYPERLINK("https://us2.cloudbeds.com/connect/10074733072513#/reservations/31712917577983?display=MX3NX3S83&amp;reservation_id=31712917577983", "MX3NX3S83")</f>
        <v>MX3NX3S83</v>
      </c>
      <c r="B13309" t="s">
        <v>10</v>
      </c>
      <c r="C13309" t="s">
        <v>23</v>
      </c>
      <c r="D13309" t="str">
        <f>HYPERLINK("https://us2.cloudbeds.com/connect/10074733072513#/reservations/31712917577983?display=Melissa%20Carlson&amp;reservation_id=31712917577983&amp;guest_id=31712917577924", "Melissa Carlson")</f>
        <v>Melissa Carlson</v>
      </c>
      <c r="E13309" t="s">
        <v>12855</v>
      </c>
      <c r="F13309" t="s">
        <v>12684</v>
      </c>
      <c r="G13309">
        <v>205.16</v>
      </c>
      <c r="H13309">
        <v>223.02</v>
      </c>
      <c r="I13309">
        <v>223.01</v>
      </c>
      <c r="J13309">
        <v>0.01</v>
      </c>
    </row>
    <row r="13310" spans="1:10" x14ac:dyDescent="0.3">
      <c r="A13310" t="str">
        <f>HYPERLINK("https://us2.cloudbeds.com/connect/10074733072513#/reservations/31702594752661?display=MHSNPY0QX&amp;reservation_id=31702594752661", "MHSNPY0QX")</f>
        <v>MHSNPY0QX</v>
      </c>
      <c r="B13310" t="s">
        <v>10</v>
      </c>
      <c r="C13310" t="s">
        <v>42</v>
      </c>
      <c r="D13310" t="str">
        <f>HYPERLINK("https://us2.cloudbeds.com/connect/10074733072513#/reservations/31702594752661?display=Sandra%20Zens&amp;reservation_id=31702594752661&amp;guest_id=31702590132408", "Sandra Zens")</f>
        <v>Sandra Zens</v>
      </c>
      <c r="E13310" t="s">
        <v>12856</v>
      </c>
      <c r="F13310" t="s">
        <v>12056</v>
      </c>
      <c r="G13310">
        <v>159</v>
      </c>
      <c r="H13310">
        <v>172.84</v>
      </c>
      <c r="I13310">
        <v>172.83</v>
      </c>
      <c r="J13310">
        <v>0.01</v>
      </c>
    </row>
    <row r="13311" spans="1:10" x14ac:dyDescent="0.3">
      <c r="A13311" t="str">
        <f>HYPERLINK("https://us2.cloudbeds.com/connect/10074733072513#/reservations/31712914464939?display=MX3NFG7KE&amp;reservation_id=31712914464939", "MX3NFG7KE")</f>
        <v>MX3NFG7KE</v>
      </c>
      <c r="B13311" t="s">
        <v>10</v>
      </c>
      <c r="C13311" t="s">
        <v>42</v>
      </c>
      <c r="D13311" t="str">
        <f>HYPERLINK("https://us2.cloudbeds.com/connect/10074733072513#/reservations/31712914464939?display=Patrick%20Rubendall&amp;reservation_id=31712914464939&amp;guest_id=31712906174675", "Patrick Rubendall")</f>
        <v>Patrick Rubendall</v>
      </c>
      <c r="E13311" t="s">
        <v>12758</v>
      </c>
      <c r="F13311" t="s">
        <v>12684</v>
      </c>
      <c r="G13311">
        <v>129</v>
      </c>
      <c r="H13311">
        <v>140.22999999999999</v>
      </c>
      <c r="I13311">
        <v>140.22</v>
      </c>
      <c r="J13311">
        <v>0.01</v>
      </c>
    </row>
    <row r="13312" spans="1:10" x14ac:dyDescent="0.3">
      <c r="A13312" t="str">
        <f>HYPERLINK("https://us2.cloudbeds.com/connect/10074733072513#/reservations/31713172586711?display=MX3U24S1A&amp;reservation_id=31713172586711", "MX3U24S1A")</f>
        <v>MX3U24S1A</v>
      </c>
      <c r="B13312" t="s">
        <v>10</v>
      </c>
      <c r="C13312" t="s">
        <v>42</v>
      </c>
      <c r="D13312" t="str">
        <f>HYPERLINK("https://us2.cloudbeds.com/connect/10074733072513#/reservations/31713172586711?display=Pal%20Pouch&amp;reservation_id=31713172586711&amp;guest_id=31713172586709", "Pal Pouch")</f>
        <v>Pal Pouch</v>
      </c>
      <c r="E13312" t="s">
        <v>12857</v>
      </c>
      <c r="F13312" t="s">
        <v>11856</v>
      </c>
      <c r="G13312">
        <v>129</v>
      </c>
      <c r="H13312">
        <v>140.22999999999999</v>
      </c>
      <c r="I13312">
        <v>140.22</v>
      </c>
      <c r="J13312">
        <v>0.01</v>
      </c>
    </row>
    <row r="13313" spans="1:10" x14ac:dyDescent="0.3">
      <c r="A13313" t="str">
        <f>HYPERLINK("https://us2.cloudbeds.com/connect/10074733072513#/reservations/31711912317141?display=MX2USEWNB&amp;reservation_id=31711912317141", "MX2USEWNB")</f>
        <v>MX2USEWNB</v>
      </c>
      <c r="B13313" t="s">
        <v>10</v>
      </c>
      <c r="C13313" t="s">
        <v>23</v>
      </c>
      <c r="D13313" t="str">
        <f>HYPERLINK("https://us2.cloudbeds.com/connect/10074733072513#/reservations/31711912317141?display=Patrick%20Riesberg&amp;reservation_id=31711912317141&amp;guest_id=31711912317139", "Patrick Riesberg")</f>
        <v>Patrick Riesberg</v>
      </c>
      <c r="E13313" t="s">
        <v>12858</v>
      </c>
      <c r="F13313" t="s">
        <v>12561</v>
      </c>
      <c r="G13313">
        <v>527</v>
      </c>
      <c r="H13313">
        <v>572.86</v>
      </c>
      <c r="I13313">
        <v>572.85</v>
      </c>
      <c r="J13313">
        <v>0.01</v>
      </c>
    </row>
    <row r="13314" spans="1:10" x14ac:dyDescent="0.3">
      <c r="A13314" t="str">
        <f>HYPERLINK("https://us2.cloudbeds.com/connect/10074733072513#/reservations/31712256729280?display=MX36YSYJY&amp;reservation_id=31712256729280", "MX36YSYJY")</f>
        <v>MX36YSYJY</v>
      </c>
      <c r="B13314" t="s">
        <v>10</v>
      </c>
      <c r="C13314" t="s">
        <v>23</v>
      </c>
      <c r="D13314" t="str">
        <f>HYPERLINK("https://us2.cloudbeds.com/connect/10074733072513#/reservations/31712256729280?display=Kasandra%20Springer&amp;reservation_id=31712256729280&amp;guest_id=31712256725243", "Kasandra Springer")</f>
        <v>Kasandra Springer</v>
      </c>
      <c r="E13314" t="s">
        <v>12859</v>
      </c>
      <c r="F13314" t="s">
        <v>12580</v>
      </c>
      <c r="G13314">
        <v>322.2</v>
      </c>
      <c r="H13314">
        <v>350.24</v>
      </c>
      <c r="I13314">
        <v>350.23</v>
      </c>
      <c r="J13314">
        <v>0.01</v>
      </c>
    </row>
    <row r="13315" spans="1:10" x14ac:dyDescent="0.3">
      <c r="A13315" t="str">
        <f>HYPERLINK("https://us2.cloudbeds.com/connect/10074733072513#/reservations/31712084496513?display=MX328Y4G2&amp;reservation_id=31712084496513", "MX328Y4G2")</f>
        <v>MX328Y4G2</v>
      </c>
      <c r="B13315" t="s">
        <v>10</v>
      </c>
      <c r="C13315" t="s">
        <v>42</v>
      </c>
      <c r="D13315" t="str">
        <f>HYPERLINK("https://us2.cloudbeds.com/connect/10074733072513#/reservations/31712084496513?display=Josh%20Wright&amp;reservation_id=31712084496513&amp;guest_id=31712084492476", "Josh Wright")</f>
        <v>Josh Wright</v>
      </c>
      <c r="E13315" t="s">
        <v>12854</v>
      </c>
      <c r="F13315" t="s">
        <v>12684</v>
      </c>
      <c r="G13315">
        <v>73</v>
      </c>
      <c r="H13315">
        <v>79.36</v>
      </c>
      <c r="I13315">
        <v>79.349999999999994</v>
      </c>
      <c r="J13315">
        <v>0.01</v>
      </c>
    </row>
    <row r="13316" spans="1:10" x14ac:dyDescent="0.3">
      <c r="A13316" t="str">
        <f>HYPERLINK("https://us2.cloudbeds.com/connect/10074733072513#/reservations/31712939131084?display=MX3Z39JTC&amp;reservation_id=31712939131084", "MX3Z39JTC")</f>
        <v>MX3Z39JTC</v>
      </c>
      <c r="B13316" t="s">
        <v>10</v>
      </c>
      <c r="C13316" t="s">
        <v>42</v>
      </c>
      <c r="D13316" t="str">
        <f>HYPERLINK("https://us2.cloudbeds.com/connect/10074733072513#/reservations/31712939131084?display=William%20Brunick&amp;reservation_id=31712939131084&amp;guest_id=31712934007027", "William Brunick")</f>
        <v>William Brunick</v>
      </c>
      <c r="E13316" t="s">
        <v>12860</v>
      </c>
      <c r="F13316" t="s">
        <v>12684</v>
      </c>
      <c r="G13316">
        <v>129</v>
      </c>
      <c r="H13316">
        <v>140.22999999999999</v>
      </c>
      <c r="I13316">
        <v>140.22</v>
      </c>
      <c r="J13316">
        <v>0.01</v>
      </c>
    </row>
    <row r="13317" spans="1:10" x14ac:dyDescent="0.3">
      <c r="A13317" t="str">
        <f>HYPERLINK("https://us2.cloudbeds.com/connect/10074733072513#/reservations/31712769552622?display=MX3JP9RF3&amp;reservation_id=31712769552622", "MX3JP9RF3")</f>
        <v>MX3JP9RF3</v>
      </c>
      <c r="B13317" t="s">
        <v>10</v>
      </c>
      <c r="C13317" t="s">
        <v>23</v>
      </c>
      <c r="D13317" t="str">
        <f>HYPERLINK("https://us2.cloudbeds.com/connect/10074733072513#/reservations/31712769552622?display=Jody%20Moseng&amp;reservation_id=31712769552622&amp;guest_id=31712756359313", "Jody Moseng")</f>
        <v>Jody Moseng</v>
      </c>
      <c r="E13317" t="s">
        <v>12861</v>
      </c>
      <c r="F13317" t="s">
        <v>8603</v>
      </c>
      <c r="G13317">
        <v>418</v>
      </c>
      <c r="H13317">
        <v>454.38</v>
      </c>
      <c r="I13317">
        <v>454.37</v>
      </c>
      <c r="J13317">
        <v>0.01</v>
      </c>
    </row>
    <row r="13318" spans="1:10" x14ac:dyDescent="0.3">
      <c r="A13318" t="str">
        <f>HYPERLINK("https://us2.cloudbeds.com/connect/10074733072513#/reservations/31714534207645?display=MX4VS9VYZ&amp;reservation_id=31714534207645", "MX4VS9VYZ")</f>
        <v>MX4VS9VYZ</v>
      </c>
      <c r="B13318" t="s">
        <v>10</v>
      </c>
      <c r="C13318" t="s">
        <v>23</v>
      </c>
      <c r="D13318" t="str">
        <f>HYPERLINK("https://us2.cloudbeds.com/connect/10074733072513#/reservations/31714534207645?display=Sara%20Scheef&amp;reservation_id=31714534207645&amp;guest_id=31714534207643", "Sara Scheef")</f>
        <v>Sara Scheef</v>
      </c>
      <c r="E13318" t="s">
        <v>12862</v>
      </c>
      <c r="F13318" t="s">
        <v>12701</v>
      </c>
      <c r="G13318">
        <v>129</v>
      </c>
      <c r="H13318">
        <v>140.22999999999999</v>
      </c>
      <c r="I13318">
        <v>140.22</v>
      </c>
      <c r="J13318">
        <v>0.01</v>
      </c>
    </row>
    <row r="13319" spans="1:10" x14ac:dyDescent="0.3">
      <c r="A13319" t="str">
        <f>HYPERLINK("https://us2.cloudbeds.com/connect/10074733072513#/reservations/31714770194648?display=MX54T9YA1&amp;reservation_id=31714770194648", "MX54T9YA1")</f>
        <v>MX54T9YA1</v>
      </c>
      <c r="B13319" t="s">
        <v>10</v>
      </c>
      <c r="C13319" t="s">
        <v>23</v>
      </c>
      <c r="D13319" t="str">
        <f>HYPERLINK("https://us2.cloudbeds.com/connect/10074733072513#/reservations/31714770194648?display=Kevin%20Meneau&amp;reservation_id=31714770194648&amp;guest_id=31714765037759", "Kevin Meneau")</f>
        <v>Kevin Meneau</v>
      </c>
      <c r="E13319" t="s">
        <v>12863</v>
      </c>
      <c r="F13319" t="s">
        <v>12701</v>
      </c>
      <c r="G13319">
        <v>129</v>
      </c>
      <c r="H13319">
        <v>140.22999999999999</v>
      </c>
      <c r="I13319">
        <v>140.22</v>
      </c>
      <c r="J13319">
        <v>0.01</v>
      </c>
    </row>
    <row r="13320" spans="1:10" x14ac:dyDescent="0.3">
      <c r="A13320" t="str">
        <f>HYPERLINK("https://us2.cloudbeds.com/connect/10074733072513#/reservations/31712898572420?display=MX3N22WUV&amp;reservation_id=31712898572420", "MX3N22WUV")</f>
        <v>MX3N22WUV</v>
      </c>
      <c r="B13320" t="s">
        <v>10</v>
      </c>
      <c r="C13320" t="s">
        <v>42</v>
      </c>
      <c r="D13320" t="str">
        <f>HYPERLINK("https://us2.cloudbeds.com/connect/10074733072513#/reservations/31712898572420?display=James%20Whipcomb&amp;reservation_id=31712898572420&amp;guest_id=31712892453019", "James Whipcomb")</f>
        <v>James Whipcomb</v>
      </c>
      <c r="E13320" t="s">
        <v>12864</v>
      </c>
      <c r="F13320" t="s">
        <v>12701</v>
      </c>
      <c r="G13320">
        <v>73</v>
      </c>
      <c r="H13320">
        <v>79.36</v>
      </c>
      <c r="I13320">
        <v>79.349999999999994</v>
      </c>
      <c r="J13320">
        <v>0.01</v>
      </c>
    </row>
    <row r="13321" spans="1:10" x14ac:dyDescent="0.3">
      <c r="A13321" t="str">
        <f>HYPERLINK("https://us2.cloudbeds.com/connect/10074733072513#/reservations/31712050675919?display=MX31D40UJ&amp;reservation_id=31712050675919", "MX31D40UJ")</f>
        <v>MX31D40UJ</v>
      </c>
      <c r="B13321" t="s">
        <v>10</v>
      </c>
      <c r="C13321" t="s">
        <v>23</v>
      </c>
      <c r="D13321" t="str">
        <f>HYPERLINK("https://us2.cloudbeds.com/connect/10074733072513#/reservations/31712050675919?display=Heather%20Hathcoat&amp;reservation_id=31712050675919&amp;guest_id=31712050675904", "Heather Hathcoat")</f>
        <v>Heather Hathcoat</v>
      </c>
      <c r="E13321" t="s">
        <v>12867</v>
      </c>
      <c r="F13321" t="s">
        <v>12684</v>
      </c>
      <c r="G13321">
        <v>102.58</v>
      </c>
      <c r="H13321">
        <v>111.51</v>
      </c>
      <c r="I13321">
        <v>111.5</v>
      </c>
      <c r="J13321">
        <v>0.01</v>
      </c>
    </row>
    <row r="13322" spans="1:10" x14ac:dyDescent="0.3">
      <c r="A13322" t="str">
        <f>HYPERLINK("https://us2.cloudbeds.com/connect/10074733072513#/reservations/31712024424629?display=MX30NWX1V&amp;reservation_id=31712024424629", "MX30NWX1V")</f>
        <v>MX30NWX1V</v>
      </c>
      <c r="B13322" t="s">
        <v>10</v>
      </c>
      <c r="C13322" t="s">
        <v>42</v>
      </c>
      <c r="D13322" t="str">
        <f>HYPERLINK("https://us2.cloudbeds.com/connect/10074733072513#/reservations/31712024424629?display=Mara%20Gerke&amp;reservation_id=31712024424629&amp;guest_id=31712024424618", "Mara Gerke")</f>
        <v>Mara Gerke</v>
      </c>
      <c r="E13322" t="s">
        <v>12868</v>
      </c>
      <c r="F13322" t="s">
        <v>12684</v>
      </c>
      <c r="G13322">
        <v>129</v>
      </c>
      <c r="H13322">
        <v>140.22999999999999</v>
      </c>
      <c r="I13322">
        <v>140.22</v>
      </c>
      <c r="J13322">
        <v>0.01</v>
      </c>
    </row>
    <row r="13323" spans="1:10" x14ac:dyDescent="0.3">
      <c r="A13323" t="str">
        <f>HYPERLINK("https://us2.cloudbeds.com/connect/10074733072513#/reservations/31714464407708?display=MX4U2EM74&amp;reservation_id=31714464407708", "MX4U2EM74")</f>
        <v>MX4U2EM74</v>
      </c>
      <c r="B13323" t="s">
        <v>10</v>
      </c>
      <c r="C13323" t="s">
        <v>23</v>
      </c>
      <c r="D13323" t="str">
        <f>HYPERLINK("https://us2.cloudbeds.com/connect/10074733072513#/reservations/31714464407708?display=Bob%20Cain&amp;reservation_id=31714464407708&amp;guest_id=31714455736521", "Bob Cain")</f>
        <v>Bob Cain</v>
      </c>
      <c r="E13323" t="s">
        <v>12870</v>
      </c>
      <c r="F13323" t="s">
        <v>12106</v>
      </c>
      <c r="G13323">
        <v>209</v>
      </c>
      <c r="H13323">
        <v>227.19</v>
      </c>
      <c r="I13323">
        <v>227.18</v>
      </c>
      <c r="J13323">
        <v>0.01</v>
      </c>
    </row>
    <row r="13324" spans="1:10" x14ac:dyDescent="0.3">
      <c r="A13324" t="str">
        <f>HYPERLINK("https://us2.cloudbeds.com/connect/10074733072513#/reservations/31711576871121?display=MX2M9JNFD&amp;reservation_id=31711576871121", "MX2M9JNFD")</f>
        <v>MX2M9JNFD</v>
      </c>
      <c r="B13324" t="s">
        <v>10</v>
      </c>
      <c r="C13324" t="s">
        <v>23</v>
      </c>
      <c r="D13324" t="str">
        <f>HYPERLINK("https://us2.cloudbeds.com/connect/10074733072513#/reservations/31711576871121?display=Krystal%20Kempf&amp;reservation_id=31711576871121&amp;guest_id=31711576867037", "Krystal Kempf")</f>
        <v>Krystal Kempf</v>
      </c>
      <c r="E13324" t="s">
        <v>12871</v>
      </c>
      <c r="F13324" t="s">
        <v>12333</v>
      </c>
      <c r="G13324">
        <v>189</v>
      </c>
      <c r="H13324">
        <v>205.45</v>
      </c>
      <c r="I13324">
        <v>205.44</v>
      </c>
      <c r="J13324">
        <v>0.01</v>
      </c>
    </row>
    <row r="13325" spans="1:10" x14ac:dyDescent="0.3">
      <c r="A13325" t="str">
        <f>HYPERLINK("https://us2.cloudbeds.com/connect/10074733072513#/reservations/31711522410723?display=MX2KTM8UB&amp;reservation_id=31711522410723", "MX2KTM8UB")</f>
        <v>MX2KTM8UB</v>
      </c>
      <c r="B13325" t="s">
        <v>10</v>
      </c>
      <c r="C13325" t="s">
        <v>42</v>
      </c>
      <c r="D13325" t="str">
        <f>HYPERLINK("https://us2.cloudbeds.com/connect/10074733072513#/reservations/31711522410723?display=Anthony%20Rangel&amp;reservation_id=31711522410723&amp;guest_id=31711512617100", "Anthony Rangel")</f>
        <v>Anthony Rangel</v>
      </c>
      <c r="E13325" t="s">
        <v>12872</v>
      </c>
      <c r="F13325" t="s">
        <v>12684</v>
      </c>
      <c r="G13325">
        <v>129</v>
      </c>
      <c r="H13325">
        <v>140.22999999999999</v>
      </c>
      <c r="I13325">
        <v>140.22</v>
      </c>
      <c r="J13325">
        <v>0.01</v>
      </c>
    </row>
    <row r="13326" spans="1:10" x14ac:dyDescent="0.3">
      <c r="A13326" t="str">
        <f>HYPERLINK("https://us2.cloudbeds.com/connect/10074733072513#/reservations/31711512613007?display=MX2KYDKUS&amp;reservation_id=31711512613007", "MX2KYDKUS")</f>
        <v>MX2KYDKUS</v>
      </c>
      <c r="B13326" t="s">
        <v>10</v>
      </c>
      <c r="C13326" t="s">
        <v>42</v>
      </c>
      <c r="D13326" t="str">
        <f>HYPERLINK("https://us2.cloudbeds.com/connect/10074733072513#/reservations/31711512613007?display=Kellie%20Denhollander&amp;reservation_id=31711512613007&amp;guest_id=31711505084654", "Kellie Denhollander")</f>
        <v>Kellie Denhollander</v>
      </c>
      <c r="E13326" t="s">
        <v>12873</v>
      </c>
      <c r="F13326" t="s">
        <v>12684</v>
      </c>
      <c r="G13326">
        <v>129</v>
      </c>
      <c r="H13326">
        <v>140.22999999999999</v>
      </c>
      <c r="I13326">
        <v>140.22</v>
      </c>
      <c r="J13326">
        <v>0.01</v>
      </c>
    </row>
    <row r="13327" spans="1:10" x14ac:dyDescent="0.3">
      <c r="A13327" t="str">
        <f>HYPERLINK("https://us2.cloudbeds.com/connect/10074733072513#/reservations/31712884318418?display=MX3MN2BSG&amp;reservation_id=31712884318418", "MX3MN2BSG")</f>
        <v>MX3MN2BSG</v>
      </c>
      <c r="B13327" t="s">
        <v>10</v>
      </c>
      <c r="C13327" t="s">
        <v>23</v>
      </c>
      <c r="D13327" t="str">
        <f>HYPERLINK("https://us2.cloudbeds.com/connect/10074733072513#/reservations/31712884318418?display=Girma%20Daka&amp;reservation_id=31712884318418&amp;guest_id=31712884314327", "Girma Daka")</f>
        <v>Girma Daka</v>
      </c>
      <c r="E13327" t="s">
        <v>12874</v>
      </c>
      <c r="F13327" t="s">
        <v>12701</v>
      </c>
      <c r="G13327">
        <v>102.58</v>
      </c>
      <c r="H13327">
        <v>111.51</v>
      </c>
      <c r="I13327">
        <v>111.5</v>
      </c>
      <c r="J13327">
        <v>0.01</v>
      </c>
    </row>
    <row r="13328" spans="1:10" x14ac:dyDescent="0.3">
      <c r="A13328" t="str">
        <f>HYPERLINK("https://us2.cloudbeds.com/connect/10074733072513#/reservations/31712906170582?display=MX3N8GE49&amp;reservation_id=31712906170582", "MX3N8GE49")</f>
        <v>MX3N8GE49</v>
      </c>
      <c r="B13328" t="s">
        <v>10</v>
      </c>
      <c r="C13328" t="s">
        <v>121</v>
      </c>
      <c r="D13328" t="str">
        <f>HYPERLINK("https://us2.cloudbeds.com/connect/10074733072513#/reservations/31712906170582?display=Stephen%20Toburen&amp;reservation_id=31712906170582&amp;guest_id=31712898572478", "Stephen Toburen")</f>
        <v>Stephen Toburen</v>
      </c>
      <c r="E13328" t="s">
        <v>12875</v>
      </c>
      <c r="F13328" t="s">
        <v>12684</v>
      </c>
      <c r="G13328">
        <v>129</v>
      </c>
      <c r="H13328">
        <v>140.22999999999999</v>
      </c>
      <c r="I13328">
        <v>140.22</v>
      </c>
      <c r="J13328">
        <v>0.01</v>
      </c>
    </row>
    <row r="13329" spans="1:10" x14ac:dyDescent="0.3">
      <c r="A13329" t="str">
        <f>HYPERLINK("https://us2.cloudbeds.com/connect/10074733072513#/reservations/31711525630088?display=MX2KWCS5S&amp;reservation_id=31711525630088", "MX2KWCS5S")</f>
        <v>MX2KWCS5S</v>
      </c>
      <c r="B13329" t="s">
        <v>10</v>
      </c>
      <c r="C13329" t="s">
        <v>23</v>
      </c>
      <c r="D13329" t="str">
        <f>HYPERLINK("https://us2.cloudbeds.com/connect/10074733072513#/reservations/31711525630088?display=William%20Carter&amp;reservation_id=31711525630088&amp;guest_id=31711525625997", "William Carter")</f>
        <v>William Carter</v>
      </c>
      <c r="E13329" t="s">
        <v>12876</v>
      </c>
      <c r="F13329" t="s">
        <v>12877</v>
      </c>
      <c r="G13329">
        <v>129</v>
      </c>
      <c r="H13329">
        <v>140.22999999999999</v>
      </c>
      <c r="I13329">
        <v>140.22</v>
      </c>
      <c r="J13329">
        <v>0.01</v>
      </c>
    </row>
    <row r="13330" spans="1:10" x14ac:dyDescent="0.3">
      <c r="A13330" t="str">
        <f>HYPERLINK("https://us2.cloudbeds.com/connect/10074733072513#/reservations/31703140921551?display=MHT4Z5W9W&amp;reservation_id=31703140921551", "MHT4Z5W9W")</f>
        <v>MHT4Z5W9W</v>
      </c>
      <c r="B13330" t="s">
        <v>10</v>
      </c>
      <c r="C13330" t="s">
        <v>42</v>
      </c>
      <c r="D13330" t="str">
        <f>HYPERLINK("https://us2.cloudbeds.com/connect/10074733072513#/reservations/31703140921551?display=Jordan%20Oster&amp;reservation_id=31703140921551&amp;guest_id=31703140917456", "Jordan Oster")</f>
        <v>Jordan Oster</v>
      </c>
      <c r="E13330" t="s">
        <v>12879</v>
      </c>
      <c r="F13330" t="s">
        <v>12795</v>
      </c>
      <c r="G13330">
        <v>169</v>
      </c>
      <c r="H13330">
        <v>183.71</v>
      </c>
      <c r="I13330">
        <v>183.7</v>
      </c>
      <c r="J13330">
        <v>0.01</v>
      </c>
    </row>
    <row r="13331" spans="1:10" x14ac:dyDescent="0.3">
      <c r="A13331" t="str">
        <f>HYPERLINK("https://us2.cloudbeds.com/connect/10074733072513#/reservations/31711568302265?display=MX2M2C8U4&amp;reservation_id=31711568302265", "MX2M2C8U4")</f>
        <v>MX2M2C8U4</v>
      </c>
      <c r="B13331" t="s">
        <v>10</v>
      </c>
      <c r="C13331" t="s">
        <v>23</v>
      </c>
      <c r="D13331" t="str">
        <f>HYPERLINK("https://us2.cloudbeds.com/connect/10074733072513#/reservations/31711568302265?display=Scott%20Griffin&amp;reservation_id=31711568302265&amp;guest_id=31711556272339", "Scott Griffin")</f>
        <v>Scott Griffin</v>
      </c>
      <c r="E13331" t="s">
        <v>12884</v>
      </c>
      <c r="F13331" t="s">
        <v>11371</v>
      </c>
      <c r="G13331">
        <v>864.68</v>
      </c>
      <c r="H13331">
        <v>939.92</v>
      </c>
      <c r="I13331">
        <v>939.91</v>
      </c>
      <c r="J13331">
        <v>0.01</v>
      </c>
    </row>
    <row r="13332" spans="1:10" x14ac:dyDescent="0.3">
      <c r="A13332" t="str">
        <f>HYPERLINK("https://us2.cloudbeds.com/connect/10074733072513#/reservations/31712917577926?display=MX3NX3S6C&amp;reservation_id=31712917577926", "MX3NX3S6C")</f>
        <v>MX3NX3S6C</v>
      </c>
      <c r="B13332" t="s">
        <v>10</v>
      </c>
      <c r="C13332" t="s">
        <v>42</v>
      </c>
      <c r="D13332" t="str">
        <f>HYPERLINK("https://us2.cloudbeds.com/connect/10074733072513#/reservations/31712917577926?display=Rodd%20Holtkamp&amp;reservation_id=31712917577926&amp;guest_id=31712917577921", "Rodd Holtkamp")</f>
        <v>Rodd Holtkamp</v>
      </c>
      <c r="E13332" t="s">
        <v>12886</v>
      </c>
      <c r="F13332" t="s">
        <v>9834</v>
      </c>
      <c r="G13332">
        <v>229</v>
      </c>
      <c r="H13332">
        <v>248.93</v>
      </c>
      <c r="I13332">
        <v>248.92</v>
      </c>
      <c r="J13332">
        <v>0.01</v>
      </c>
    </row>
    <row r="13333" spans="1:10" x14ac:dyDescent="0.3">
      <c r="A13333" t="str">
        <f>HYPERLINK("https://us2.cloudbeds.com/connect/10074733072513#/reservations/31714534203528?display=MX4VS9RSW&amp;reservation_id=31714534203528", "MX4VS9RSW")</f>
        <v>MX4VS9RSW</v>
      </c>
      <c r="B13333" t="s">
        <v>10</v>
      </c>
      <c r="C13333" t="s">
        <v>23</v>
      </c>
      <c r="D13333" t="str">
        <f>HYPERLINK("https://us2.cloudbeds.com/connect/10074733072513#/reservations/31714534203528?display=Claire%20Richards&amp;reservation_id=31714534203528&amp;guest_id=31714525720763", "Claire Richards")</f>
        <v>Claire Richards</v>
      </c>
      <c r="E13333" t="s">
        <v>12887</v>
      </c>
      <c r="F13333" t="s">
        <v>12701</v>
      </c>
      <c r="G13333">
        <v>129</v>
      </c>
      <c r="H13333">
        <v>140.22999999999999</v>
      </c>
      <c r="I13333">
        <v>140.22</v>
      </c>
      <c r="J13333">
        <v>0.01</v>
      </c>
    </row>
    <row r="13334" spans="1:10" x14ac:dyDescent="0.3">
      <c r="A13334" t="str">
        <f>HYPERLINK("https://us2.cloudbeds.com/connect/10074733072513#/reservations/31711735439564?display=MX2QBA3MP&amp;reservation_id=31711735439564", "MX2QBA3MP")</f>
        <v>MX2QBA3MP</v>
      </c>
      <c r="B13334" t="s">
        <v>10</v>
      </c>
      <c r="C13334" t="s">
        <v>23</v>
      </c>
      <c r="D13334" t="str">
        <f>HYPERLINK("https://us2.cloudbeds.com/connect/10074733072513#/reservations/31711735439564?display=Jeff%20Cushing&amp;reservation_id=31711735439564&amp;guest_id=31711735439561", "Jeff Cushing")</f>
        <v>Jeff Cushing</v>
      </c>
      <c r="E13334" t="s">
        <v>12890</v>
      </c>
      <c r="F13334" t="s">
        <v>12674</v>
      </c>
      <c r="G13334">
        <v>258</v>
      </c>
      <c r="H13334">
        <v>280.45999999999998</v>
      </c>
      <c r="I13334">
        <v>280.45</v>
      </c>
      <c r="J13334">
        <v>0.01</v>
      </c>
    </row>
    <row r="13335" spans="1:10" x14ac:dyDescent="0.3">
      <c r="A13335" t="str">
        <f>HYPERLINK("https://us2.cloudbeds.com/connect/10074733072513#/reservations/31713894396102?display=MX4FGQ8J5&amp;reservation_id=31713894396102", "MX4FGQ8J5")</f>
        <v>MX4FGQ8J5</v>
      </c>
      <c r="B13335" t="s">
        <v>10</v>
      </c>
      <c r="C13335" t="s">
        <v>42</v>
      </c>
      <c r="D13335" t="str">
        <f>HYPERLINK("https://us2.cloudbeds.com/connect/10074733072513#/reservations/31713894396102?display=Jerry%20Del%20Pilar%20Gonzalez&amp;reservation_id=31713894396102&amp;guest_id=31713894392006", "Jerry Del Pilar Gonzalez")</f>
        <v>Jerry Del Pilar Gonzalez</v>
      </c>
      <c r="E13335" t="s">
        <v>12594</v>
      </c>
      <c r="F13335" t="s">
        <v>12891</v>
      </c>
      <c r="G13335">
        <v>178</v>
      </c>
      <c r="H13335">
        <v>193.5</v>
      </c>
      <c r="I13335">
        <v>193.49</v>
      </c>
      <c r="J13335">
        <v>0.01</v>
      </c>
    </row>
    <row r="13336" spans="1:10" x14ac:dyDescent="0.3">
      <c r="A13336" t="str">
        <f>HYPERLINK("https://us2.cloudbeds.com/connect/10074733072513#/reservations/31713361461380?display=MX41TDXM4&amp;reservation_id=31713361461380", "MX41TDXM4")</f>
        <v>MX41TDXM4</v>
      </c>
      <c r="B13336" t="s">
        <v>10</v>
      </c>
      <c r="C13336" t="s">
        <v>121</v>
      </c>
      <c r="D13336" t="str">
        <f>HYPERLINK("https://us2.cloudbeds.com/connect/10074733072513#/reservations/31713361461380?display=Chad%20Wayne%20Beagle&amp;reservation_id=31713361461380&amp;guest_id=31713354203353", "Chad Wayne Beagle")</f>
        <v>Chad Wayne Beagle</v>
      </c>
      <c r="E13336" t="s">
        <v>12892</v>
      </c>
      <c r="F13336" t="s">
        <v>8603</v>
      </c>
      <c r="G13336">
        <v>229</v>
      </c>
      <c r="H13336">
        <v>248.93</v>
      </c>
      <c r="I13336">
        <v>248.92</v>
      </c>
      <c r="J13336">
        <v>0.01</v>
      </c>
    </row>
    <row r="13337" spans="1:10" x14ac:dyDescent="0.3">
      <c r="A13337" t="str">
        <f>HYPERLINK("https://us2.cloudbeds.com/connect/10074733072513#/reservations/31711051726982?display=MX28SPQEM&amp;reservation_id=31711051726982", "MX28SPQEM")</f>
        <v>MX28SPQEM</v>
      </c>
      <c r="B13337" t="s">
        <v>10</v>
      </c>
      <c r="C13337" t="s">
        <v>23</v>
      </c>
      <c r="D13337" t="str">
        <f>HYPERLINK("https://us2.cloudbeds.com/connect/10074733072513#/reservations/31711051726982?display=Pamela%20Sheppard&amp;reservation_id=31711051726982&amp;guest_id=31711051722882", "Pamela Sheppard")</f>
        <v>Pamela Sheppard</v>
      </c>
      <c r="E13337" t="s">
        <v>12893</v>
      </c>
      <c r="F13337" t="s">
        <v>12894</v>
      </c>
      <c r="G13337">
        <v>129</v>
      </c>
      <c r="H13337">
        <v>140.22999999999999</v>
      </c>
      <c r="I13337">
        <v>140.22</v>
      </c>
      <c r="J13337">
        <v>0.01</v>
      </c>
    </row>
    <row r="13338" spans="1:10" x14ac:dyDescent="0.3">
      <c r="A13338" t="str">
        <f>HYPERLINK("https://us2.cloudbeds.com/connect/10074733072513#/reservations/31710852911247?display=MX23Q4F6E&amp;reservation_id=31710852911247", "MX23Q4F6E")</f>
        <v>MX23Q4F6E</v>
      </c>
      <c r="B13338" t="s">
        <v>10</v>
      </c>
      <c r="C13338" t="s">
        <v>42</v>
      </c>
      <c r="D13338" t="str">
        <f>HYPERLINK("https://us2.cloudbeds.com/connect/10074733072513#/reservations/31710852911247?display=Justin%20Carlan&amp;reservation_id=31710852911247&amp;guest_id=31710852911235", "Justin Carlan")</f>
        <v>Justin Carlan</v>
      </c>
      <c r="E13338" t="s">
        <v>12895</v>
      </c>
      <c r="F13338" t="s">
        <v>10330</v>
      </c>
      <c r="G13338">
        <v>378</v>
      </c>
      <c r="H13338">
        <v>410.9</v>
      </c>
      <c r="I13338">
        <v>410.89</v>
      </c>
      <c r="J13338">
        <v>0.01</v>
      </c>
    </row>
    <row r="13339" spans="1:10" x14ac:dyDescent="0.3">
      <c r="A13339" t="str">
        <f>HYPERLINK("https://us2.cloudbeds.com/connect/10074733072513#/reservations/31711928508640?display=MX2V93HUR&amp;reservation_id=31711928508640", "MX2V93HUR")</f>
        <v>MX2V93HUR</v>
      </c>
      <c r="B13339" t="s">
        <v>10</v>
      </c>
      <c r="C13339" t="s">
        <v>23</v>
      </c>
      <c r="D13339" t="str">
        <f>HYPERLINK("https://us2.cloudbeds.com/connect/10074733072513#/reservations/31711928508640?display=Cheri%20Bye&amp;reservation_id=31711928508640&amp;guest_id=31711928504548", "Cheri Bye")</f>
        <v>Cheri Bye</v>
      </c>
      <c r="E13339" t="s">
        <v>12896</v>
      </c>
      <c r="F13339" t="s">
        <v>12897</v>
      </c>
      <c r="G13339">
        <v>129</v>
      </c>
      <c r="H13339">
        <v>140.22999999999999</v>
      </c>
      <c r="I13339">
        <v>140.22</v>
      </c>
      <c r="J13339">
        <v>0.01</v>
      </c>
    </row>
    <row r="13340" spans="1:10" x14ac:dyDescent="0.3">
      <c r="A13340" t="str">
        <f>HYPERLINK("https://us2.cloudbeds.com/connect/10074733072513#/reservations/31713303359696?display=MX40DDQE1&amp;reservation_id=31713303359696", "MX40DDQE1")</f>
        <v>MX40DDQE1</v>
      </c>
      <c r="B13340" t="s">
        <v>10</v>
      </c>
      <c r="C13340" t="s">
        <v>23</v>
      </c>
      <c r="D13340" t="str">
        <f>HYPERLINK("https://us2.cloudbeds.com/connect/10074733072513#/reservations/31713303359696?display=Marsha%20Bornhorst&amp;reservation_id=31713303359696&amp;guest_id=31713303355600", "Marsha Bornhorst")</f>
        <v>Marsha Bornhorst</v>
      </c>
      <c r="E13340" t="s">
        <v>12898</v>
      </c>
      <c r="F13340" t="s">
        <v>12897</v>
      </c>
      <c r="G13340">
        <v>102.58</v>
      </c>
      <c r="H13340">
        <v>111.51</v>
      </c>
      <c r="I13340">
        <v>111.5</v>
      </c>
      <c r="J13340">
        <v>0.01</v>
      </c>
    </row>
    <row r="13341" spans="1:10" x14ac:dyDescent="0.3">
      <c r="A13341" t="str">
        <f>HYPERLINK("https://us2.cloudbeds.com/connect/10074733072513#/reservations/31712524152987?display=MX3DGC7EH&amp;reservation_id=31712524152987", "MX3DGC7EH")</f>
        <v>MX3DGC7EH</v>
      </c>
      <c r="B13341" t="s">
        <v>10</v>
      </c>
      <c r="C13341" t="s">
        <v>23</v>
      </c>
      <c r="D13341" t="str">
        <f>HYPERLINK("https://us2.cloudbeds.com/connect/10074733072513#/reservations/31712524152987?display=Bryce%20George&amp;reservation_id=31712524152987&amp;guest_id=31712509173892", "Bryce George")</f>
        <v>Bryce George</v>
      </c>
      <c r="E13341" t="s">
        <v>12903</v>
      </c>
      <c r="F13341" t="s">
        <v>12078</v>
      </c>
      <c r="G13341">
        <v>169</v>
      </c>
      <c r="H13341">
        <v>183.71</v>
      </c>
      <c r="I13341">
        <v>183.7</v>
      </c>
      <c r="J13341">
        <v>0.01</v>
      </c>
    </row>
    <row r="13342" spans="1:10" x14ac:dyDescent="0.3">
      <c r="A13342" t="str">
        <f>HYPERLINK("https://us2.cloudbeds.com/connect/10074733072513#/reservations/31714129334405?display=MX4YGTP7M&amp;reservation_id=31714129334405", "MX4YGTP7M")</f>
        <v>MX4YGTP7M</v>
      </c>
      <c r="B13342" t="s">
        <v>10</v>
      </c>
      <c r="C13342" t="s">
        <v>42</v>
      </c>
      <c r="D13342" t="str">
        <f>HYPERLINK("https://us2.cloudbeds.com/connect/10074733072513#/reservations/31714129334405?display=Joshua%20Corey&amp;reservation_id=31714129334405&amp;guest_id=31714129334403", "Joshua Corey")</f>
        <v>Joshua Corey</v>
      </c>
      <c r="E13342" t="s">
        <v>12904</v>
      </c>
      <c r="F13342" t="s">
        <v>12891</v>
      </c>
      <c r="G13342">
        <v>89</v>
      </c>
      <c r="H13342">
        <v>96.75</v>
      </c>
      <c r="I13342">
        <v>96.74</v>
      </c>
      <c r="J13342">
        <v>0.01</v>
      </c>
    </row>
    <row r="13343" spans="1:10" x14ac:dyDescent="0.3">
      <c r="A13343" t="str">
        <f>HYPERLINK("https://us2.cloudbeds.com/connect/10074733072513#/reservations/31711823196317?display=MX2SJA2DA&amp;reservation_id=31711823196317", "MX2SJA2DA")</f>
        <v>MX2SJA2DA</v>
      </c>
      <c r="B13343" t="s">
        <v>10</v>
      </c>
      <c r="C13343" t="s">
        <v>42</v>
      </c>
      <c r="D13343" t="str">
        <f>HYPERLINK("https://us2.cloudbeds.com/connect/10074733072513#/reservations/31711823196317?display=Brian%20Davis&amp;reservation_id=31711823196317&amp;guest_id=30684101378178", "Brian Davis")</f>
        <v>Brian Davis</v>
      </c>
      <c r="E13343" t="s">
        <v>2791</v>
      </c>
      <c r="F13343" t="s">
        <v>12561</v>
      </c>
      <c r="G13343">
        <v>420</v>
      </c>
      <c r="H13343">
        <v>456.55</v>
      </c>
      <c r="I13343">
        <v>456.54</v>
      </c>
      <c r="J13343">
        <v>0.01</v>
      </c>
    </row>
    <row r="13344" spans="1:10" x14ac:dyDescent="0.3">
      <c r="A13344" t="str">
        <f>HYPERLINK("https://us2.cloudbeds.com/connect/10074733072513#/reservations/31712460841105?display=MX3BSWFQY&amp;reservation_id=31712460841105", "MX3BSWFQY")</f>
        <v>MX3BSWFQY</v>
      </c>
      <c r="B13344" t="s">
        <v>10</v>
      </c>
      <c r="C13344" t="s">
        <v>42</v>
      </c>
      <c r="D13344" t="str">
        <f>HYPERLINK("https://us2.cloudbeds.com/connect/10074733072513#/reservations/31712460841105?display=Matthew%20Potts&amp;reservation_id=31712460841105&amp;guest_id=31712448344246", "Matthew Potts")</f>
        <v>Matthew Potts</v>
      </c>
      <c r="E13344" t="s">
        <v>12905</v>
      </c>
      <c r="F13344" t="s">
        <v>12078</v>
      </c>
      <c r="G13344">
        <v>258</v>
      </c>
      <c r="H13344">
        <v>280.45999999999998</v>
      </c>
      <c r="I13344">
        <v>280.45</v>
      </c>
      <c r="J13344">
        <v>0.01</v>
      </c>
    </row>
    <row r="13345" spans="1:10" x14ac:dyDescent="0.3">
      <c r="A13345" t="str">
        <f>HYPERLINK("https://us2.cloudbeds.com/connect/10074733072513#/reservations/31713597898885?display=MX47UPQ00&amp;reservation_id=31713597898885", "MX47UPQ00")</f>
        <v>MX47UPQ00</v>
      </c>
      <c r="B13345" t="s">
        <v>10</v>
      </c>
      <c r="C13345" t="s">
        <v>42</v>
      </c>
      <c r="D13345" t="str">
        <f>HYPERLINK("https://us2.cloudbeds.com/connect/10074733072513#/reservations/31713597898885?display=Leslie%20Selgestad&amp;reservation_id=31713597898885&amp;guest_id=31713597898883", "Leslie Selgestad")</f>
        <v>Leslie Selgestad</v>
      </c>
      <c r="E13345" t="s">
        <v>12906</v>
      </c>
      <c r="F13345" t="s">
        <v>12564</v>
      </c>
      <c r="G13345">
        <v>129</v>
      </c>
      <c r="H13345">
        <v>140.22999999999999</v>
      </c>
      <c r="I13345">
        <v>140.22</v>
      </c>
      <c r="J13345">
        <v>0.01</v>
      </c>
    </row>
    <row r="13346" spans="1:10" x14ac:dyDescent="0.3">
      <c r="A13346" t="str">
        <f>HYPERLINK("https://us2.cloudbeds.com/connect/10074733072513#/reservations/31711872811186?display=MX2TS4ME6&amp;reservation_id=31711872811186", "MX2TS4ME6")</f>
        <v>MX2TS4ME6</v>
      </c>
      <c r="B13346" t="s">
        <v>10</v>
      </c>
      <c r="C13346" t="s">
        <v>42</v>
      </c>
      <c r="D13346" t="str">
        <f>HYPERLINK("https://us2.cloudbeds.com/connect/10074733072513#/reservations/31711872811186?display=Keith%20Anderson&amp;reservation_id=31711872811186&amp;guest_id=17963406844038", "Keith Anderson")</f>
        <v>Keith Anderson</v>
      </c>
      <c r="E13346" t="s">
        <v>8040</v>
      </c>
      <c r="F13346" t="s">
        <v>12897</v>
      </c>
      <c r="G13346">
        <v>336</v>
      </c>
      <c r="H13346">
        <v>365.24</v>
      </c>
      <c r="I13346">
        <v>365.23</v>
      </c>
      <c r="J13346">
        <v>0.01</v>
      </c>
    </row>
    <row r="13347" spans="1:10" x14ac:dyDescent="0.3">
      <c r="A13347" t="str">
        <f>HYPERLINK("https://us2.cloudbeds.com/connect/10074733072513#/reservations/31702590746858?display=MHSNM8XCJ&amp;reservation_id=31702590746858", "MHSNM8XCJ")</f>
        <v>MHSNM8XCJ</v>
      </c>
      <c r="B13347" t="s">
        <v>10</v>
      </c>
      <c r="C13347" t="s">
        <v>42</v>
      </c>
      <c r="D13347" t="str">
        <f>HYPERLINK("https://us2.cloudbeds.com/connect/10074733072513#/reservations/31702590746858?display=Bernie%20Bloss&amp;reservation_id=31702590746858&amp;guest_id=25442733912259", "Bernie Bloss")</f>
        <v>Bernie Bloss</v>
      </c>
      <c r="E13347" t="s">
        <v>12639</v>
      </c>
      <c r="F13347" t="s">
        <v>12881</v>
      </c>
      <c r="G13347">
        <v>336</v>
      </c>
      <c r="H13347">
        <v>365.24</v>
      </c>
      <c r="I13347">
        <v>365.23</v>
      </c>
      <c r="J13347">
        <v>0.01</v>
      </c>
    </row>
    <row r="13348" spans="1:10" x14ac:dyDescent="0.3">
      <c r="A13348" t="str">
        <f>HYPERLINK("https://us2.cloudbeds.com/connect/10074733072513#/reservations/31713862897913?display=MX4EN7PKJ&amp;reservation_id=31713862897913", "MX4EN7PKJ")</f>
        <v>MX4EN7PKJ</v>
      </c>
      <c r="B13348" t="s">
        <v>10</v>
      </c>
      <c r="C13348" t="s">
        <v>42</v>
      </c>
      <c r="D13348" t="str">
        <f>HYPERLINK("https://us2.cloudbeds.com/connect/10074733072513#/reservations/31713862897913?display=Brage%20Pfaff%20Abt%20Flooring&amp;reservation_id=31713862897913&amp;guest_id=31702685569164", "Brage Pfaff Abt Flooring")</f>
        <v>Brage Pfaff Abt Flooring</v>
      </c>
      <c r="E13348" t="s">
        <v>12908</v>
      </c>
      <c r="F13348" t="s">
        <v>12891</v>
      </c>
      <c r="G13348">
        <v>89</v>
      </c>
      <c r="H13348">
        <v>96.75</v>
      </c>
      <c r="I13348">
        <v>96.74</v>
      </c>
      <c r="J13348">
        <v>0.01</v>
      </c>
    </row>
    <row r="13349" spans="1:10" x14ac:dyDescent="0.3">
      <c r="A13349" t="str">
        <f>HYPERLINK("https://us2.cloudbeds.com/connect/10074733072513#/reservations/31714794348767?display=MX55GYPD1&amp;reservation_id=31714794348767", "MX55GYPD1")</f>
        <v>MX55GYPD1</v>
      </c>
      <c r="B13349" t="s">
        <v>10</v>
      </c>
      <c r="C13349" t="s">
        <v>42</v>
      </c>
      <c r="D13349" t="str">
        <f>HYPERLINK("https://us2.cloudbeds.com/connect/10074733072513#/reservations/31714794348767?display=Stephanie%20Kunkel&amp;reservation_id=31714794348767&amp;guest_id=31714794348762", "Stephanie Kunkel")</f>
        <v>Stephanie Kunkel</v>
      </c>
      <c r="E13349" t="s">
        <v>12364</v>
      </c>
      <c r="F13349" t="s">
        <v>12674</v>
      </c>
      <c r="G13349">
        <v>73</v>
      </c>
      <c r="H13349">
        <v>79.36</v>
      </c>
      <c r="I13349">
        <v>79.349999999999994</v>
      </c>
      <c r="J13349">
        <v>0.01</v>
      </c>
    </row>
    <row r="13350" spans="1:10" x14ac:dyDescent="0.3">
      <c r="A13350" t="str">
        <f>HYPERLINK("https://us2.cloudbeds.com/connect/10074733072513#/reservations/31713106034836?display=MX3SC0V6R&amp;reservation_id=31713106034836", "MX3SC0V6R")</f>
        <v>MX3SC0V6R</v>
      </c>
      <c r="B13350" t="s">
        <v>10</v>
      </c>
      <c r="C13350" t="s">
        <v>42</v>
      </c>
      <c r="D13350" t="str">
        <f>HYPERLINK("https://us2.cloudbeds.com/connect/10074733072513#/reservations/31713106034836?display=Delbert%20Tsehakert&amp;reservation_id=31713106034836&amp;guest_id=31713106030744", "Delbert Tsehakert")</f>
        <v>Delbert Tsehakert</v>
      </c>
      <c r="E13350" t="s">
        <v>11170</v>
      </c>
      <c r="F13350" t="s">
        <v>9834</v>
      </c>
      <c r="G13350">
        <v>418</v>
      </c>
      <c r="H13350">
        <v>454.38</v>
      </c>
      <c r="I13350">
        <v>454.37</v>
      </c>
      <c r="J13350">
        <v>0.01</v>
      </c>
    </row>
    <row r="13351" spans="1:10" x14ac:dyDescent="0.3">
      <c r="A13351" t="str">
        <f>HYPERLINK("https://us2.cloudbeds.com/connect/10074733072513#/reservations/31714822963353?display=MX567Q0DN&amp;reservation_id=31714822963353", "MX567Q0DN")</f>
        <v>MX567Q0DN</v>
      </c>
      <c r="B13351" t="s">
        <v>10</v>
      </c>
      <c r="C13351" t="s">
        <v>23</v>
      </c>
      <c r="D13351" t="str">
        <f>HYPERLINK("https://us2.cloudbeds.com/connect/10074733072513#/reservations/31714822963353?display=Eric%20Moore&amp;reservation_id=31714822963353&amp;guest_id=31714822963343", "Eric Moore")</f>
        <v>Eric Moore</v>
      </c>
      <c r="E13351" t="s">
        <v>12910</v>
      </c>
      <c r="F13351" t="s">
        <v>12891</v>
      </c>
      <c r="G13351">
        <v>130.38</v>
      </c>
      <c r="H13351">
        <v>141.72999999999999</v>
      </c>
      <c r="I13351">
        <v>141.72</v>
      </c>
      <c r="J13351">
        <v>0.01</v>
      </c>
    </row>
    <row r="13352" spans="1:10" x14ac:dyDescent="0.3">
      <c r="A13352" t="str">
        <f>HYPERLINK("https://us2.cloudbeds.com/connect/10074733072513#/reservations/31710956794111?display=MX26EZ530&amp;reservation_id=31710956794111", "MX26EZ530")</f>
        <v>MX26EZ530</v>
      </c>
      <c r="B13352" t="s">
        <v>10</v>
      </c>
      <c r="C13352" t="s">
        <v>42</v>
      </c>
      <c r="D13352" t="str">
        <f>HYPERLINK("https://us2.cloudbeds.com/connect/10074733072513#/reservations/31710956794111?display=Keith%20Anderson&amp;reservation_id=31710956794111&amp;guest_id=17963406844038", "Keith Anderson")</f>
        <v>Keith Anderson</v>
      </c>
      <c r="E13352" t="s">
        <v>8040</v>
      </c>
      <c r="F13352" t="s">
        <v>12877</v>
      </c>
      <c r="G13352">
        <v>336</v>
      </c>
      <c r="H13352">
        <v>365.24</v>
      </c>
      <c r="I13352">
        <v>365.23</v>
      </c>
      <c r="J13352">
        <v>0.01</v>
      </c>
    </row>
    <row r="13353" spans="1:10" x14ac:dyDescent="0.3">
      <c r="A13353" t="str">
        <f>HYPERLINK("https://us2.cloudbeds.com/connect/10074733072513#/reservations/31713870778524?display=MX4ETT25W&amp;reservation_id=31713870778524", "MX4ETT25W")</f>
        <v>MX4ETT25W</v>
      </c>
      <c r="B13353" t="s">
        <v>10</v>
      </c>
      <c r="C13353" t="s">
        <v>42</v>
      </c>
      <c r="D13353" t="str">
        <f>HYPERLINK("https://us2.cloudbeds.com/connect/10074733072513#/reservations/31713870778524?display=Donavan%20Henmerscach%20Abt%20Flooring&amp;reservation_id=31713870778524&amp;guest_id=31713870778521", "Donavan Henmerscach Abt Flooring")</f>
        <v>Donavan Henmerscach Abt Flooring</v>
      </c>
      <c r="E13353" t="s">
        <v>12908</v>
      </c>
      <c r="F13353" t="s">
        <v>12891</v>
      </c>
      <c r="G13353">
        <v>89</v>
      </c>
      <c r="H13353">
        <v>96.75</v>
      </c>
      <c r="I13353">
        <v>96.74</v>
      </c>
      <c r="J13353">
        <v>0.01</v>
      </c>
    </row>
    <row r="13354" spans="1:10" x14ac:dyDescent="0.3">
      <c r="A13354" t="str">
        <f>HYPERLINK("https://us2.cloudbeds.com/connect/10074733072513#/reservations/31713515516103?display=MX45RAC22&amp;reservation_id=31713515516103", "MX45RAC22")</f>
        <v>MX45RAC22</v>
      </c>
      <c r="B13354" t="s">
        <v>10</v>
      </c>
      <c r="C13354" t="s">
        <v>23</v>
      </c>
      <c r="D13354" t="str">
        <f>HYPERLINK("https://us2.cloudbeds.com/connect/10074733072513#/reservations/31713515516103?display=Bradley%20Bridgman&amp;reservation_id=31713515516103&amp;guest_id=31713509028087", "Bradley Bridgman")</f>
        <v>Bradley Bridgman</v>
      </c>
      <c r="E13354" t="s">
        <v>12913</v>
      </c>
      <c r="F13354" t="s">
        <v>12837</v>
      </c>
      <c r="G13354">
        <v>159</v>
      </c>
      <c r="H13354">
        <v>172.84</v>
      </c>
      <c r="I13354">
        <v>172.83</v>
      </c>
      <c r="J13354">
        <v>0.01</v>
      </c>
    </row>
    <row r="13355" spans="1:10" x14ac:dyDescent="0.3">
      <c r="A13355" t="str">
        <f>HYPERLINK("https://us2.cloudbeds.com/connect/10074733072513#/reservations/31711749427429?display=MX2QN3BCF&amp;reservation_id=31711749427429", "MX2QN3BCF")</f>
        <v>MX2QN3BCF</v>
      </c>
      <c r="B13355" t="s">
        <v>10</v>
      </c>
      <c r="C13355" t="s">
        <v>23</v>
      </c>
      <c r="D13355" t="str">
        <f>HYPERLINK("https://us2.cloudbeds.com/connect/10074733072513#/reservations/31711749427429?display=Kati%20House&amp;reservation_id=31711749427429&amp;guest_id=31711749427414", "Kati House")</f>
        <v>Kati House</v>
      </c>
      <c r="E13355" t="s">
        <v>12914</v>
      </c>
      <c r="F13355" t="s">
        <v>12674</v>
      </c>
      <c r="G13355">
        <v>129</v>
      </c>
      <c r="H13355">
        <v>140.22999999999999</v>
      </c>
      <c r="I13355">
        <v>140.22</v>
      </c>
      <c r="J13355">
        <v>0.01</v>
      </c>
    </row>
    <row r="13356" spans="1:10" x14ac:dyDescent="0.3">
      <c r="A13356" t="str">
        <f>HYPERLINK("https://us2.cloudbeds.com/connect/10074733072513#/reservations/31712509173894?display=MX3D3ZDHK&amp;reservation_id=31712509173894", "MX3D3ZDHK")</f>
        <v>MX3D3ZDHK</v>
      </c>
      <c r="B13356" t="s">
        <v>10</v>
      </c>
      <c r="C13356" t="s">
        <v>42</v>
      </c>
      <c r="D13356" t="str">
        <f>HYPERLINK("https://us2.cloudbeds.com/connect/10074733072513#/reservations/31712509173894?display=Tyler%20Ulwelling&amp;reservation_id=31712509173894&amp;guest_id=31712509169799", "Tyler Ulwelling")</f>
        <v>Tyler Ulwelling</v>
      </c>
      <c r="E13356" t="s">
        <v>12916</v>
      </c>
      <c r="F13356" t="s">
        <v>12674</v>
      </c>
      <c r="G13356">
        <v>338</v>
      </c>
      <c r="H13356">
        <v>367.42</v>
      </c>
      <c r="I13356">
        <v>367.41</v>
      </c>
      <c r="J13356">
        <v>0.01</v>
      </c>
    </row>
    <row r="13357" spans="1:10" x14ac:dyDescent="0.3">
      <c r="A13357" t="str">
        <f>HYPERLINK("https://us2.cloudbeds.com/connect/10074733072513#/reservations/31712466739398?display=MX3C0VK1Q&amp;reservation_id=31712466739398", "MX3C0VK1Q")</f>
        <v>MX3C0VK1Q</v>
      </c>
      <c r="B13357" t="s">
        <v>10</v>
      </c>
      <c r="C13357" t="s">
        <v>23</v>
      </c>
      <c r="D13357" t="str">
        <f>HYPERLINK("https://us2.cloudbeds.com/connect/10074733072513#/reservations/31712466739398?display=Diane%20Pippenger&amp;reservation_id=31712466739398&amp;guest_id=31712466739395", "Diane Pippenger")</f>
        <v>Diane Pippenger</v>
      </c>
      <c r="E13357" t="s">
        <v>12917</v>
      </c>
      <c r="F13357" t="s">
        <v>12674</v>
      </c>
      <c r="G13357">
        <v>129</v>
      </c>
      <c r="H13357">
        <v>140.22999999999999</v>
      </c>
      <c r="I13357">
        <v>140.22</v>
      </c>
      <c r="J13357">
        <v>0.01</v>
      </c>
    </row>
    <row r="13358" spans="1:10" x14ac:dyDescent="0.3">
      <c r="A13358" t="str">
        <f>HYPERLINK("https://us2.cloudbeds.com/connect/10074733072513#/reservations/31711775465654?display=MX2RC1TJJ&amp;reservation_id=31711775465654", "MX2RC1TJJ")</f>
        <v>MX2RC1TJJ</v>
      </c>
      <c r="B13358" t="s">
        <v>10</v>
      </c>
      <c r="C13358" t="s">
        <v>23</v>
      </c>
      <c r="D13358" t="str">
        <f>HYPERLINK("https://us2.cloudbeds.com/connect/10074733072513#/reservations/31711775465654?display=Terri%20Johnson&amp;reservation_id=31711775465654&amp;guest_id=31711763828953", "Terri Johnson")</f>
        <v>Terri Johnson</v>
      </c>
      <c r="E13358" t="s">
        <v>12918</v>
      </c>
      <c r="F13358" t="s">
        <v>12674</v>
      </c>
      <c r="G13358">
        <v>129</v>
      </c>
      <c r="H13358">
        <v>140.22999999999999</v>
      </c>
      <c r="I13358">
        <v>140.22</v>
      </c>
      <c r="J13358">
        <v>0.01</v>
      </c>
    </row>
    <row r="13359" spans="1:10" x14ac:dyDescent="0.3">
      <c r="A13359" t="str">
        <f>HYPERLINK("https://us2.cloudbeds.com/connect/10074733072513#/reservations/31713675632858?display=MX49UAS1V&amp;reservation_id=31713675632858", "MX49UAS1V")</f>
        <v>MX49UAS1V</v>
      </c>
      <c r="B13359" t="s">
        <v>10</v>
      </c>
      <c r="C13359" t="s">
        <v>23</v>
      </c>
      <c r="D13359" t="str">
        <f>HYPERLINK("https://us2.cloudbeds.com/connect/10074733072513#/reservations/31713675632858?display=Melisa%20Kittleson&amp;reservation_id=31713675632858&amp;guest_id=31713675628757", "Melisa Kittleson")</f>
        <v>Melisa Kittleson</v>
      </c>
      <c r="E13359" t="s">
        <v>12919</v>
      </c>
      <c r="F13359" t="s">
        <v>12837</v>
      </c>
      <c r="G13359">
        <v>97.74</v>
      </c>
      <c r="H13359">
        <v>106.25</v>
      </c>
      <c r="I13359">
        <v>106.24</v>
      </c>
      <c r="J13359">
        <v>0.01</v>
      </c>
    </row>
    <row r="13360" spans="1:10" x14ac:dyDescent="0.3">
      <c r="A13360" t="str">
        <f>HYPERLINK("https://us2.cloudbeds.com/connect/10074733072513#/reservations/31713567559822?display=MX4756XEF&amp;reservation_id=31713567559822", "MX4756XEF")</f>
        <v>MX4756XEF</v>
      </c>
      <c r="B13360" t="s">
        <v>10</v>
      </c>
      <c r="C13360" t="s">
        <v>23</v>
      </c>
      <c r="D13360" t="str">
        <f>HYPERLINK("https://us2.cloudbeds.com/connect/10074733072513#/reservations/31713567559822?display=Kali%20Roesler&amp;reservation_id=31713567559822&amp;guest_id=31713567559817", "Kali Roesler")</f>
        <v>Kali Roesler</v>
      </c>
      <c r="E13360" t="s">
        <v>12920</v>
      </c>
      <c r="F13360" t="s">
        <v>12564</v>
      </c>
      <c r="G13360">
        <v>129</v>
      </c>
      <c r="H13360">
        <v>140.22999999999999</v>
      </c>
      <c r="I13360">
        <v>140.22</v>
      </c>
      <c r="J13360">
        <v>0.01</v>
      </c>
    </row>
    <row r="13361" spans="1:10" x14ac:dyDescent="0.3">
      <c r="A13361" t="str">
        <f>HYPERLINK("https://us2.cloudbeds.com/connect/10074733072513#/reservations/31712549007537?display=MX3E4ARNN&amp;reservation_id=31712549007537", "MX3E4ARNN")</f>
        <v>MX3E4ARNN</v>
      </c>
      <c r="B13361" t="s">
        <v>10</v>
      </c>
      <c r="C13361" t="s">
        <v>23</v>
      </c>
      <c r="D13361" t="str">
        <f>HYPERLINK("https://us2.cloudbeds.com/connect/10074733072513#/reservations/31712549007537?display=Keith%20Fritz&amp;reservation_id=31712549007537&amp;guest_id=31712549007533", "Keith Fritz")</f>
        <v>Keith Fritz</v>
      </c>
      <c r="E13361" t="s">
        <v>12921</v>
      </c>
      <c r="F13361" t="s">
        <v>12674</v>
      </c>
      <c r="G13361">
        <v>129</v>
      </c>
      <c r="H13361">
        <v>140.22999999999999</v>
      </c>
      <c r="I13361">
        <v>140.22</v>
      </c>
      <c r="J13361">
        <v>0.01</v>
      </c>
    </row>
    <row r="13362" spans="1:10" x14ac:dyDescent="0.3">
      <c r="A13362" t="str">
        <f>HYPERLINK("https://us2.cloudbeds.com/connect/10074733072513#/reservations/31713475907808?display=MX44QU6QN&amp;reservation_id=31713475907808", "MX44QU6QN")</f>
        <v>MX44QU6QN</v>
      </c>
      <c r="B13362" t="s">
        <v>10</v>
      </c>
      <c r="C13362" t="s">
        <v>23</v>
      </c>
      <c r="D13362" t="str">
        <f>HYPERLINK("https://us2.cloudbeds.com/connect/10074733072513#/reservations/31713475907808?display=Ryan%20Storevik&amp;reservation_id=31713475907808&amp;guest_id=31713475907803", "Ryan Storevik")</f>
        <v>Ryan Storevik</v>
      </c>
      <c r="E13362" t="s">
        <v>12922</v>
      </c>
      <c r="F13362" t="s">
        <v>12837</v>
      </c>
      <c r="G13362">
        <v>97.74</v>
      </c>
      <c r="H13362">
        <v>106.25</v>
      </c>
      <c r="I13362">
        <v>106.24</v>
      </c>
      <c r="J13362">
        <v>0.01</v>
      </c>
    </row>
    <row r="13363" spans="1:10" x14ac:dyDescent="0.3">
      <c r="A13363" t="str">
        <f>HYPERLINK("https://us2.cloudbeds.com/connect/10074733072513#/reservations/31710923714718?display=MX25JRM55&amp;reservation_id=31710923714718", "MX25JRM55")</f>
        <v>MX25JRM55</v>
      </c>
      <c r="B13363" t="s">
        <v>10</v>
      </c>
      <c r="C13363" t="s">
        <v>42</v>
      </c>
      <c r="D13363" t="str">
        <f>HYPERLINK("https://us2.cloudbeds.com/connect/10074733072513#/reservations/31710923714718?display=Darrin%20Erdmann&amp;reservation_id=31710923714718&amp;guest_id=31710914724038", "Darrin Erdmann")</f>
        <v>Darrin Erdmann</v>
      </c>
      <c r="E13363" t="s">
        <v>12923</v>
      </c>
      <c r="F13363" t="s">
        <v>10330</v>
      </c>
      <c r="G13363">
        <v>338</v>
      </c>
      <c r="H13363">
        <v>367.42</v>
      </c>
      <c r="I13363">
        <v>367.41</v>
      </c>
      <c r="J13363">
        <v>0.01</v>
      </c>
    </row>
    <row r="13364" spans="1:10" x14ac:dyDescent="0.3">
      <c r="A13364" t="str">
        <f>HYPERLINK("https://us2.cloudbeds.com/connect/10074733072513#/reservations/31712282325192?display=MX37AF0BH&amp;reservation_id=31712282325192", "MX37AF0BH")</f>
        <v>MX37AF0BH</v>
      </c>
      <c r="B13364" t="s">
        <v>10</v>
      </c>
      <c r="C13364" t="s">
        <v>23</v>
      </c>
      <c r="D13364" t="str">
        <f>HYPERLINK("https://us2.cloudbeds.com/connect/10074733072513#/reservations/31712282325192?display=Emma%20Schneider&amp;reservation_id=31712282325192&amp;guest_id=31712275292390", "Emma Schneider")</f>
        <v>Emma Schneider</v>
      </c>
      <c r="E13364" t="s">
        <v>12924</v>
      </c>
      <c r="F13364" t="s">
        <v>12837</v>
      </c>
      <c r="G13364">
        <v>102.58</v>
      </c>
      <c r="H13364">
        <v>111.51</v>
      </c>
      <c r="I13364">
        <v>111.5</v>
      </c>
      <c r="J13364">
        <v>0.01</v>
      </c>
    </row>
    <row r="13365" spans="1:10" x14ac:dyDescent="0.3">
      <c r="A13365" t="str">
        <f>HYPERLINK("https://us2.cloudbeds.com/connect/10074733072513#/reservations/31711625457912?display=MX2NHXNEE&amp;reservation_id=31711625457912", "MX2NHXNEE")</f>
        <v>MX2NHXNEE</v>
      </c>
      <c r="B13365" t="s">
        <v>10</v>
      </c>
      <c r="C13365" t="s">
        <v>23</v>
      </c>
      <c r="D13365" t="str">
        <f>HYPERLINK("https://us2.cloudbeds.com/connect/10074733072513#/reservations/31711625457912?display=Drew%20Thurber&amp;reservation_id=31711625457912&amp;guest_id=31711625457900", "Drew Thurber")</f>
        <v>Drew Thurber</v>
      </c>
      <c r="E13365" t="s">
        <v>12925</v>
      </c>
      <c r="F13365" t="s">
        <v>12333</v>
      </c>
      <c r="G13365">
        <v>261.08</v>
      </c>
      <c r="H13365">
        <v>283.8</v>
      </c>
      <c r="I13365">
        <v>283.79000000000002</v>
      </c>
      <c r="J13365">
        <v>0.01</v>
      </c>
    </row>
    <row r="13366" spans="1:10" x14ac:dyDescent="0.3">
      <c r="A13366" t="str">
        <f>HYPERLINK("https://us2.cloudbeds.com/connect/10074733072513#/reservations/31710851223746?display=MX23ZNGK1&amp;reservation_id=31710851223746", "MX23ZNGK1")</f>
        <v>MX23ZNGK1</v>
      </c>
      <c r="B13366" t="s">
        <v>10</v>
      </c>
      <c r="C13366" t="s">
        <v>23</v>
      </c>
      <c r="D13366" t="str">
        <f>HYPERLINK("https://us2.cloudbeds.com/connect/10074733072513#/reservations/31710851223746?display=Corey%20Day&amp;reservation_id=31710851223746&amp;guest_id=31710842065048", "Corey Day")</f>
        <v>Corey Day</v>
      </c>
      <c r="E13366" t="s">
        <v>12926</v>
      </c>
      <c r="F13366" t="s">
        <v>12927</v>
      </c>
      <c r="G13366">
        <v>129</v>
      </c>
      <c r="H13366">
        <v>140.22999999999999</v>
      </c>
      <c r="I13366">
        <v>140.22</v>
      </c>
      <c r="J13366">
        <v>0.01</v>
      </c>
    </row>
    <row r="13367" spans="1:10" x14ac:dyDescent="0.3">
      <c r="A13367" t="str">
        <f>HYPERLINK("https://us2.cloudbeds.com/connect/10074733072513#/reservations/31713515520210?display=MX45RAFRH&amp;reservation_id=31713515520210", "MX45RAFRH")</f>
        <v>MX45RAFRH</v>
      </c>
      <c r="B13367" t="s">
        <v>10</v>
      </c>
      <c r="C13367" t="s">
        <v>23</v>
      </c>
      <c r="D13367" t="str">
        <f>HYPERLINK("https://us2.cloudbeds.com/connect/10074733072513#/reservations/31713515520210?display=Tracy%20Maas&amp;reservation_id=31713515520210&amp;guest_id=31713515520205", "Tracy Maas")</f>
        <v>Tracy Maas</v>
      </c>
      <c r="E13367" t="s">
        <v>12928</v>
      </c>
      <c r="F13367" t="s">
        <v>12837</v>
      </c>
      <c r="G13367">
        <v>169</v>
      </c>
      <c r="H13367">
        <v>183.71</v>
      </c>
      <c r="I13367">
        <v>183.7</v>
      </c>
      <c r="J13367">
        <v>0.01</v>
      </c>
    </row>
    <row r="13368" spans="1:10" x14ac:dyDescent="0.3">
      <c r="A13368" t="str">
        <f>HYPERLINK("https://us2.cloudbeds.com/connect/10074733072513#/reservations/31711763828955?display=MX2R282UB&amp;reservation_id=31711763828955", "MX2R282UB")</f>
        <v>MX2R282UB</v>
      </c>
      <c r="B13368" t="s">
        <v>10</v>
      </c>
      <c r="C13368" t="s">
        <v>23</v>
      </c>
      <c r="D13368" t="str">
        <f>HYPERLINK("https://us2.cloudbeds.com/connect/10074733072513#/reservations/31711763828955?display=Martin%20Brown&amp;reservation_id=31711763828955&amp;guest_id=31711763824856", "Martin Brown")</f>
        <v>Martin Brown</v>
      </c>
      <c r="E13368" t="s">
        <v>12931</v>
      </c>
      <c r="F13368" t="s">
        <v>12561</v>
      </c>
      <c r="G13368">
        <v>205.16</v>
      </c>
      <c r="H13368">
        <v>223.02</v>
      </c>
      <c r="I13368">
        <v>223.01</v>
      </c>
      <c r="J13368">
        <v>0.01</v>
      </c>
    </row>
    <row r="13369" spans="1:10" x14ac:dyDescent="0.3">
      <c r="A13369" t="str">
        <f>HYPERLINK("https://us2.cloudbeds.com/connect/10074733072513#/reservations/31713470271669?display=MX44M5C9K&amp;reservation_id=31713470271669", "MX44M5C9K")</f>
        <v>MX44M5C9K</v>
      </c>
      <c r="B13369" t="s">
        <v>10</v>
      </c>
      <c r="C13369" t="s">
        <v>23</v>
      </c>
      <c r="D13369" t="str">
        <f>HYPERLINK("https://us2.cloudbeds.com/connect/10074733072513#/reservations/31713470271669?display=Reece%20Spanier&amp;reservation_id=31713470271669&amp;guest_id=31713470271620", "Reece Spanier")</f>
        <v>Reece Spanier</v>
      </c>
      <c r="E13369" t="s">
        <v>12932</v>
      </c>
      <c r="F13369" t="s">
        <v>12837</v>
      </c>
      <c r="G13369">
        <v>97.74</v>
      </c>
      <c r="H13369">
        <v>106.25</v>
      </c>
      <c r="I13369">
        <v>106.24</v>
      </c>
      <c r="J13369">
        <v>0.01</v>
      </c>
    </row>
    <row r="13370" spans="1:10" x14ac:dyDescent="0.3">
      <c r="A13370" t="str">
        <f>HYPERLINK("https://us2.cloudbeds.com/connect/10074733072513#/reservations/31702228131980?display=MHSEDG8MV&amp;reservation_id=31702228131980", "MHSEDG8MV")</f>
        <v>MHSEDG8MV</v>
      </c>
      <c r="B13370" t="s">
        <v>10</v>
      </c>
      <c r="C13370" t="s">
        <v>42</v>
      </c>
      <c r="D13370" t="str">
        <f>HYPERLINK("https://us2.cloudbeds.com/connect/10074733072513#/reservations/31702228131980?display=Lisa%20Mattoon&amp;reservation_id=31702228131980&amp;guest_id=31702222446834", "Lisa Mattoon")</f>
        <v>Lisa Mattoon</v>
      </c>
      <c r="E13370" t="s">
        <v>12933</v>
      </c>
      <c r="F13370" t="s">
        <v>12047</v>
      </c>
      <c r="G13370">
        <v>179</v>
      </c>
      <c r="H13370">
        <v>194.58</v>
      </c>
      <c r="I13370">
        <v>194.57</v>
      </c>
      <c r="J13370">
        <v>0.01</v>
      </c>
    </row>
    <row r="13371" spans="1:10" x14ac:dyDescent="0.3">
      <c r="A13371" t="str">
        <f>HYPERLINK("https://us2.cloudbeds.com/connect/10074733072513#/reservations/31712649052333?display=MX3GMMZ76&amp;reservation_id=31712649052333", "MX3GMMZ76")</f>
        <v>MX3GMMZ76</v>
      </c>
      <c r="B13371" t="s">
        <v>10</v>
      </c>
      <c r="C13371" t="s">
        <v>23</v>
      </c>
      <c r="D13371" t="str">
        <f>HYPERLINK("https://us2.cloudbeds.com/connect/10074733072513#/reservations/31712649052333?display=Joel%20Leach&amp;reservation_id=31712649052333&amp;guest_id=31712649052330", "Joel Leach")</f>
        <v>Joel Leach</v>
      </c>
      <c r="E13371" t="s">
        <v>12936</v>
      </c>
      <c r="F13371" t="s">
        <v>12802</v>
      </c>
      <c r="G13371">
        <v>129</v>
      </c>
      <c r="H13371">
        <v>140.22999999999999</v>
      </c>
      <c r="I13371">
        <v>140.22</v>
      </c>
      <c r="J13371">
        <v>0.01</v>
      </c>
    </row>
    <row r="13372" spans="1:10" x14ac:dyDescent="0.3">
      <c r="A13372" t="str">
        <f>HYPERLINK("https://us2.cloudbeds.com/connect/10074733072513#/reservations/31710915424496?display=MX25CRWFA&amp;reservation_id=31710915424496", "MX25CRWFA")</f>
        <v>MX25CRWFA</v>
      </c>
      <c r="B13372" t="s">
        <v>10</v>
      </c>
      <c r="C13372" t="s">
        <v>42</v>
      </c>
      <c r="D13372" t="str">
        <f>HYPERLINK("https://us2.cloudbeds.com/connect/10074733072513#/reservations/31710915424496?display=Kristie%20Fliehs&amp;reservation_id=31710915424496&amp;guest_id=31710915424492", "Kristie Fliehs")</f>
        <v>Kristie Fliehs</v>
      </c>
      <c r="E13372" t="s">
        <v>9426</v>
      </c>
      <c r="F13372" t="s">
        <v>10330</v>
      </c>
      <c r="G13372">
        <v>358</v>
      </c>
      <c r="H13372">
        <v>389.16</v>
      </c>
      <c r="I13372">
        <v>389.15</v>
      </c>
      <c r="J13372">
        <v>0.01</v>
      </c>
    </row>
    <row r="13373" spans="1:10" x14ac:dyDescent="0.3">
      <c r="A13373" t="str">
        <f>HYPERLINK("https://us2.cloudbeds.com/connect/10074733072513#/reservations/31712186061036?display=MX34S9AGT&amp;reservation_id=31712186061036", "MX34S9AGT")</f>
        <v>MX34S9AGT</v>
      </c>
      <c r="B13373" t="s">
        <v>10</v>
      </c>
      <c r="C13373" t="s">
        <v>42</v>
      </c>
      <c r="D13373" t="str">
        <f>HYPERLINK("https://us2.cloudbeds.com/connect/10074733072513#/reservations/31712186061036?display=Bruce%20Gerlaugh&amp;reservation_id=31712186061036&amp;guest_id=31712186060993", "Bruce Gerlaugh")</f>
        <v>Bruce Gerlaugh</v>
      </c>
      <c r="E13373" t="s">
        <v>12937</v>
      </c>
      <c r="F13373" t="s">
        <v>12561</v>
      </c>
      <c r="G13373">
        <v>109</v>
      </c>
      <c r="H13373">
        <v>118.49</v>
      </c>
      <c r="I13373">
        <v>118.48</v>
      </c>
      <c r="J13373">
        <v>0.01</v>
      </c>
    </row>
    <row r="13374" spans="1:10" x14ac:dyDescent="0.3">
      <c r="A13374" t="str">
        <f>HYPERLINK("https://us2.cloudbeds.com/connect/10074733072513#/reservations/31712175722645?display=MX34JXY1A&amp;reservation_id=31712175722645", "MX34JXY1A")</f>
        <v>MX34JXY1A</v>
      </c>
      <c r="B13374" t="s">
        <v>10</v>
      </c>
      <c r="C13374" t="s">
        <v>23</v>
      </c>
      <c r="D13374" t="str">
        <f>HYPERLINK("https://us2.cloudbeds.com/connect/10074733072513#/reservations/31712175722645?display=Emma%20Schneider&amp;reservation_id=31712175722645&amp;guest_id=31712175722629", "Emma Schneider")</f>
        <v>Emma Schneider</v>
      </c>
      <c r="E13374" t="s">
        <v>12938</v>
      </c>
      <c r="F13374" t="s">
        <v>12561</v>
      </c>
      <c r="G13374">
        <v>102.58</v>
      </c>
      <c r="H13374">
        <v>111.51</v>
      </c>
      <c r="I13374">
        <v>111.5</v>
      </c>
      <c r="J13374">
        <v>0.01</v>
      </c>
    </row>
    <row r="13375" spans="1:10" x14ac:dyDescent="0.3">
      <c r="A13375" t="str">
        <f>HYPERLINK("https://us2.cloudbeds.com/connect/10074733072513#/reservations/31711478661297?display=MX2JPPSW5&amp;reservation_id=31711478661297", "MX2JPPSW5")</f>
        <v>MX2JPPSW5</v>
      </c>
      <c r="B13375" t="s">
        <v>10</v>
      </c>
      <c r="C13375" t="s">
        <v>42</v>
      </c>
      <c r="D13375" t="str">
        <f>HYPERLINK("https://us2.cloudbeds.com/connect/10074733072513#/reservations/31711478661297?display=Dawn%20Imrie&amp;reservation_id=31711478661297&amp;guest_id=31710832046283", "Dawn Imrie")</f>
        <v>Dawn Imrie</v>
      </c>
      <c r="E13375" t="s">
        <v>9464</v>
      </c>
      <c r="F13375" t="s">
        <v>12939</v>
      </c>
      <c r="G13375">
        <v>169</v>
      </c>
      <c r="H13375">
        <v>183.71</v>
      </c>
      <c r="I13375">
        <v>183.7</v>
      </c>
      <c r="J13375">
        <v>0.01</v>
      </c>
    </row>
    <row r="13376" spans="1:10" x14ac:dyDescent="0.3">
      <c r="A13376" t="str">
        <f>HYPERLINK("https://us2.cloudbeds.com/connect/10074733072513#/reservations/31713709191343?display=MX4APKYUZ&amp;reservation_id=31713709191343", "MX4APKYUZ")</f>
        <v>MX4APKYUZ</v>
      </c>
      <c r="B13376" t="s">
        <v>10</v>
      </c>
      <c r="C13376" t="s">
        <v>42</v>
      </c>
      <c r="D13376" t="str">
        <f>HYPERLINK("https://us2.cloudbeds.com/connect/10074733072513#/reservations/31713709191343?display=Terry%20Todd&amp;reservation_id=31713709191343&amp;guest_id=31713701208287", "Terry Todd")</f>
        <v>Terry Todd</v>
      </c>
      <c r="E13376" t="s">
        <v>10405</v>
      </c>
      <c r="F13376" t="s">
        <v>12837</v>
      </c>
      <c r="G13376">
        <v>139</v>
      </c>
      <c r="H13376">
        <v>151.1</v>
      </c>
      <c r="I13376">
        <v>151.09</v>
      </c>
      <c r="J13376">
        <v>0.01</v>
      </c>
    </row>
    <row r="13377" spans="1:10" x14ac:dyDescent="0.3">
      <c r="A13377" t="str">
        <f>HYPERLINK("https://us2.cloudbeds.com/connect/10074733072513#/reservations/31712813605049?display=MX3KTEYY4&amp;reservation_id=31712813605049", "MX3KTEYY4")</f>
        <v>MX3KTEYY4</v>
      </c>
      <c r="B13377" t="s">
        <v>10</v>
      </c>
      <c r="C13377" t="s">
        <v>23</v>
      </c>
      <c r="D13377" t="str">
        <f>HYPERLINK("https://us2.cloudbeds.com/connect/10074733072513#/reservations/31712813605049?display=Kyle%20Nichols&amp;reservation_id=31712813605049&amp;guest_id=31712813605047", "Kyle Nichols")</f>
        <v>Kyle Nichols</v>
      </c>
      <c r="E13377" t="s">
        <v>12940</v>
      </c>
      <c r="F13377" t="s">
        <v>12770</v>
      </c>
      <c r="G13377">
        <v>338</v>
      </c>
      <c r="H13377">
        <v>367.42</v>
      </c>
      <c r="I13377">
        <v>367.41</v>
      </c>
      <c r="J13377">
        <v>0.01</v>
      </c>
    </row>
    <row r="13378" spans="1:10" x14ac:dyDescent="0.3">
      <c r="A13378" t="str">
        <f>HYPERLINK("https://us2.cloudbeds.com/connect/10074733072513#/reservations/31702608388288?display=MHSZ44BB6&amp;reservation_id=31702608388288", "MHSZ44BB6")</f>
        <v>MHSZ44BB6</v>
      </c>
      <c r="B13378" t="s">
        <v>10</v>
      </c>
      <c r="C13378" t="s">
        <v>42</v>
      </c>
      <c r="D13378" t="str">
        <f>HYPERLINK("https://us2.cloudbeds.com/connect/10074733072513#/reservations/31702608388288?display=Deanna%20Vanbesien&amp;reservation_id=31702608388288&amp;guest_id=31702608384194", "Deanna Vanbesien")</f>
        <v>Deanna Vanbesien</v>
      </c>
      <c r="E13378" t="s">
        <v>12941</v>
      </c>
      <c r="F13378" t="s">
        <v>12056</v>
      </c>
      <c r="G13378">
        <v>159</v>
      </c>
      <c r="H13378">
        <v>172.84</v>
      </c>
      <c r="I13378">
        <v>172.83</v>
      </c>
      <c r="J13378">
        <v>0.01</v>
      </c>
    </row>
    <row r="13379" spans="1:10" x14ac:dyDescent="0.3">
      <c r="A13379" t="str">
        <f>HYPERLINK("https://us2.cloudbeds.com/connect/10074733072513#/reservations/31710967349395?display=MX26NKSZ3&amp;reservation_id=31710967349395", "MX26NKSZ3")</f>
        <v>MX26NKSZ3</v>
      </c>
      <c r="B13379" t="s">
        <v>10</v>
      </c>
      <c r="C13379" t="s">
        <v>42</v>
      </c>
      <c r="D13379" t="str">
        <f>HYPERLINK("https://us2.cloudbeds.com/connect/10074733072513#/reservations/31710967349395?display=Jamie%20Simon&amp;reservation_id=31710967349395&amp;guest_id=31710967349390", "Jamie Simon")</f>
        <v>Jamie Simon</v>
      </c>
      <c r="E13379" t="s">
        <v>9415</v>
      </c>
      <c r="F13379" t="s">
        <v>10330</v>
      </c>
      <c r="G13379">
        <v>318</v>
      </c>
      <c r="H13379">
        <v>345.68</v>
      </c>
      <c r="I13379">
        <v>345.67</v>
      </c>
      <c r="J13379">
        <v>0.01</v>
      </c>
    </row>
    <row r="13380" spans="1:10" x14ac:dyDescent="0.3">
      <c r="A13380" t="str">
        <f>HYPERLINK("https://us2.cloudbeds.com/connect/10074733072513#/reservations/31711991414992?display=MX2WT505U&amp;reservation_id=31711991414992", "MX2WT505U")</f>
        <v>MX2WT505U</v>
      </c>
      <c r="B13380" t="s">
        <v>10</v>
      </c>
      <c r="C13380" t="s">
        <v>23</v>
      </c>
      <c r="D13380" t="str">
        <f>HYPERLINK("https://us2.cloudbeds.com/connect/10074733072513#/reservations/31711991414992?display=Cal%20Van%20Zee&amp;reservation_id=31711991414992&amp;guest_id=31711991410885", "Cal Van Zee")</f>
        <v>Cal Van Zee</v>
      </c>
      <c r="E13380" t="s">
        <v>12943</v>
      </c>
      <c r="F13380" t="s">
        <v>12897</v>
      </c>
      <c r="G13380">
        <v>139</v>
      </c>
      <c r="H13380">
        <v>151.1</v>
      </c>
      <c r="I13380">
        <v>151.09</v>
      </c>
      <c r="J13380">
        <v>0.01</v>
      </c>
    </row>
    <row r="13381" spans="1:10" x14ac:dyDescent="0.3">
      <c r="A13381" t="str">
        <f>HYPERLINK("https://us2.cloudbeds.com/connect/10074733072513#/reservations/31712934007029?display=MX3NVW0JW&amp;reservation_id=31712934007029", "MX3NVW0JW")</f>
        <v>MX3NVW0JW</v>
      </c>
      <c r="B13381" t="s">
        <v>10</v>
      </c>
      <c r="C13381" t="s">
        <v>42</v>
      </c>
      <c r="D13381" t="str">
        <f>HYPERLINK("https://us2.cloudbeds.com/connect/10074733072513#/reservations/31712934007029?display=Joseph%20Mc%20Kasey&amp;reservation_id=31712934007029&amp;guest_id=31712934007012", "Joseph Mc Kasey")</f>
        <v>Joseph Mc Kasey</v>
      </c>
      <c r="E13381" t="s">
        <v>12944</v>
      </c>
      <c r="F13381" t="s">
        <v>12280</v>
      </c>
      <c r="G13381">
        <v>229</v>
      </c>
      <c r="H13381">
        <v>248.93</v>
      </c>
      <c r="I13381">
        <v>248.92</v>
      </c>
      <c r="J13381">
        <v>0.01</v>
      </c>
    </row>
    <row r="13382" spans="1:10" x14ac:dyDescent="0.3">
      <c r="A13382" t="str">
        <f>HYPERLINK("https://us2.cloudbeds.com/connect/10074733072513#/reservations/31711224844495?display=MX2D9P1MU&amp;reservation_id=31711224844495", "MX2D9P1MU")</f>
        <v>MX2D9P1MU</v>
      </c>
      <c r="B13382" t="s">
        <v>10</v>
      </c>
      <c r="C13382" t="s">
        <v>42</v>
      </c>
      <c r="D13382" t="str">
        <f>HYPERLINK("https://us2.cloudbeds.com/connect/10074733072513#/reservations/31711224844495?display=Donna%20Borer&amp;reservation_id=31711224844495&amp;guest_id=31711224844492", "Donna Borer")</f>
        <v>Donna Borer</v>
      </c>
      <c r="E13382" t="s">
        <v>12946</v>
      </c>
      <c r="F13382" t="s">
        <v>12770</v>
      </c>
      <c r="G13382">
        <v>129</v>
      </c>
      <c r="H13382">
        <v>140.22999999999999</v>
      </c>
      <c r="I13382">
        <v>140.22</v>
      </c>
      <c r="J13382">
        <v>0.01</v>
      </c>
    </row>
    <row r="13383" spans="1:10" x14ac:dyDescent="0.3">
      <c r="A13383" t="str">
        <f>HYPERLINK("https://us2.cloudbeds.com/connect/10074733072513#/reservations/31711100588282?display=MX2A3WEG4&amp;reservation_id=31711100588282", "MX2A3WEG4")</f>
        <v>MX2A3WEG4</v>
      </c>
      <c r="B13383" t="s">
        <v>10</v>
      </c>
      <c r="C13383" t="s">
        <v>23</v>
      </c>
      <c r="D13383" t="str">
        <f>HYPERLINK("https://us2.cloudbeds.com/connect/10074733072513#/reservations/31711100588282?display=Laura%20Brown&amp;reservation_id=31711100588282&amp;guest_id=31711084490976", "Laura Brown")</f>
        <v>Laura Brown</v>
      </c>
      <c r="E13383" t="s">
        <v>12948</v>
      </c>
      <c r="F13383" t="s">
        <v>12770</v>
      </c>
      <c r="G13383">
        <v>105.78</v>
      </c>
      <c r="H13383">
        <v>114.99</v>
      </c>
      <c r="I13383">
        <v>114.98</v>
      </c>
      <c r="J13383">
        <v>0.01</v>
      </c>
    </row>
    <row r="13384" spans="1:10" x14ac:dyDescent="0.3">
      <c r="A13384" t="str">
        <f>HYPERLINK("https://us2.cloudbeds.com/connect/10074733072513#/reservations/31711084490978?display=MX29NDGP1&amp;reservation_id=31711084490978", "MX29NDGP1")</f>
        <v>MX29NDGP1</v>
      </c>
      <c r="B13384" t="s">
        <v>10</v>
      </c>
      <c r="C13384" t="s">
        <v>42</v>
      </c>
      <c r="D13384" t="str">
        <f>HYPERLINK("https://us2.cloudbeds.com/connect/10074733072513#/reservations/31711084490978?display=Gary%20Schiesser&amp;reservation_id=31711084490978&amp;guest_id=31711084490975", "Gary Schiesser")</f>
        <v>Gary Schiesser</v>
      </c>
      <c r="E13384" t="s">
        <v>12949</v>
      </c>
      <c r="F13384" t="s">
        <v>12939</v>
      </c>
      <c r="G13384">
        <v>209</v>
      </c>
      <c r="H13384">
        <v>227.19</v>
      </c>
      <c r="I13384">
        <v>227.18</v>
      </c>
      <c r="J13384">
        <v>0.01</v>
      </c>
    </row>
    <row r="13385" spans="1:10" x14ac:dyDescent="0.3">
      <c r="A13385" t="str">
        <f>HYPERLINK("https://us2.cloudbeds.com/connect/10074733072513#/reservations/31702510543070?display=MHSYKKPBP&amp;reservation_id=31702510543070", "MHSYKKPBP")</f>
        <v>MHSYKKPBP</v>
      </c>
      <c r="B13385" t="s">
        <v>10</v>
      </c>
      <c r="C13385" t="s">
        <v>23</v>
      </c>
      <c r="D13385" t="str">
        <f>HYPERLINK("https://us2.cloudbeds.com/connect/10074733072513#/reservations/31702510543070?display=Randi%20Hubert&amp;reservation_id=31702510543070&amp;guest_id=31702510538978", "Randi Hubert")</f>
        <v>Randi Hubert</v>
      </c>
      <c r="E13385" t="s">
        <v>12950</v>
      </c>
      <c r="F13385" t="s">
        <v>12326</v>
      </c>
      <c r="G13385">
        <v>189</v>
      </c>
      <c r="H13385">
        <v>205.45</v>
      </c>
      <c r="I13385">
        <v>205.44</v>
      </c>
      <c r="J13385">
        <v>0.01</v>
      </c>
    </row>
    <row r="13386" spans="1:10" x14ac:dyDescent="0.3">
      <c r="A13386" t="str">
        <f>HYPERLINK("https://us2.cloudbeds.com/connect/10074733072513#/reservations/31713343533307?display=MX41E9MQ6&amp;reservation_id=31713343533307", "MX41E9MQ6")</f>
        <v>MX41E9MQ6</v>
      </c>
      <c r="B13386" t="s">
        <v>10</v>
      </c>
      <c r="C13386" t="s">
        <v>42</v>
      </c>
      <c r="D13386" t="str">
        <f>HYPERLINK("https://us2.cloudbeds.com/connect/10074733072513#/reservations/31713343533307?display=George%20Vollmer&amp;reservation_id=31713343533307&amp;guest_id=31713343533302", "George Vollmer")</f>
        <v>George Vollmer</v>
      </c>
      <c r="E13386" t="s">
        <v>12951</v>
      </c>
      <c r="F13386" t="s">
        <v>9684</v>
      </c>
      <c r="G13386">
        <v>252</v>
      </c>
      <c r="H13386">
        <v>273.93</v>
      </c>
      <c r="I13386">
        <v>273.92</v>
      </c>
      <c r="J13386">
        <v>0.01</v>
      </c>
    </row>
    <row r="13387" spans="1:10" x14ac:dyDescent="0.3">
      <c r="A13387" t="str">
        <f>HYPERLINK("https://us2.cloudbeds.com/connect/10074733072513#/reservations/31714259673249?display=MX4ZRQKVK&amp;reservation_id=31714259673249", "MX4ZRQKVK")</f>
        <v>MX4ZRQKVK</v>
      </c>
      <c r="B13387" t="s">
        <v>10</v>
      </c>
      <c r="C13387" t="s">
        <v>42</v>
      </c>
      <c r="D13387" t="str">
        <f>HYPERLINK("https://us2.cloudbeds.com/connect/10074733072513#/reservations/31714259673249?display=Spencer%20Johnson&amp;reservation_id=31714259673249&amp;guest_id=31714249810117", "Spencer Johnson")</f>
        <v>Spencer Johnson</v>
      </c>
      <c r="E13387" t="s">
        <v>12953</v>
      </c>
      <c r="F13387" t="s">
        <v>9834</v>
      </c>
      <c r="G13387">
        <v>150</v>
      </c>
      <c r="H13387">
        <v>163.06</v>
      </c>
      <c r="I13387">
        <v>163.05000000000001</v>
      </c>
      <c r="J13387">
        <v>0.01</v>
      </c>
    </row>
    <row r="13388" spans="1:10" x14ac:dyDescent="0.3">
      <c r="A13388" t="str">
        <f>HYPERLINK("https://us2.cloudbeds.com/connect/10074733072513#/reservations/31714196496550?display=MX4N7HYF6&amp;reservation_id=31714196496550", "MX4N7HYF6")</f>
        <v>MX4N7HYF6</v>
      </c>
      <c r="B13388" t="s">
        <v>10</v>
      </c>
      <c r="C13388" t="s">
        <v>23</v>
      </c>
      <c r="D13388" t="str">
        <f>HYPERLINK("https://us2.cloudbeds.com/connect/10074733072513#/reservations/31714196496550?display=Tim%20Pritchett&amp;reservation_id=31714196496550&amp;guest_id=31714196496547", "Tim Pritchett")</f>
        <v>Tim Pritchett</v>
      </c>
      <c r="E13388" t="s">
        <v>12954</v>
      </c>
      <c r="F13388" t="s">
        <v>9834</v>
      </c>
      <c r="G13388">
        <v>209</v>
      </c>
      <c r="H13388">
        <v>227.19</v>
      </c>
      <c r="I13388">
        <v>227.18</v>
      </c>
      <c r="J13388">
        <v>0.01</v>
      </c>
    </row>
    <row r="13389" spans="1:10" x14ac:dyDescent="0.3">
      <c r="A13389" t="str">
        <f>HYPERLINK("https://us2.cloudbeds.com/connect/10074733072513#/reservations/31711965683944?display=MX2W7F016&amp;reservation_id=31711965683944", "MX2W7F016")</f>
        <v>MX2W7F016</v>
      </c>
      <c r="B13389" t="s">
        <v>10</v>
      </c>
      <c r="C13389" t="s">
        <v>23</v>
      </c>
      <c r="D13389" t="str">
        <f>HYPERLINK("https://us2.cloudbeds.com/connect/10074733072513#/reservations/31711965683944?display=Hannah%20Jarka&amp;reservation_id=31711965683944&amp;guest_id=31711945605274", "Hannah Jarka")</f>
        <v>Hannah Jarka</v>
      </c>
      <c r="E13389" t="s">
        <v>12955</v>
      </c>
      <c r="F13389" t="s">
        <v>12280</v>
      </c>
      <c r="G13389">
        <v>229</v>
      </c>
      <c r="H13389">
        <v>248.93</v>
      </c>
      <c r="I13389">
        <v>248.92</v>
      </c>
      <c r="J13389">
        <v>0.01</v>
      </c>
    </row>
    <row r="13390" spans="1:10" x14ac:dyDescent="0.3">
      <c r="A13390" t="str">
        <f>HYPERLINK("https://us2.cloudbeds.com/connect/10074733072513#/reservations/31713546838173?display=MX46KNV9N&amp;reservation_id=31713546838173", "MX46KNV9N")</f>
        <v>MX46KNV9N</v>
      </c>
      <c r="B13390" t="s">
        <v>10</v>
      </c>
      <c r="C13390" t="s">
        <v>23</v>
      </c>
      <c r="D13390" t="str">
        <f>HYPERLINK("https://us2.cloudbeds.com/connect/10074733072513#/reservations/31713546838173?display=Karen%20Danes&amp;reservation_id=31713546838173&amp;guest_id=31713546838159", "Karen Danes")</f>
        <v>Karen Danes</v>
      </c>
      <c r="E13390" t="s">
        <v>12956</v>
      </c>
      <c r="F13390" t="s">
        <v>12280</v>
      </c>
      <c r="G13390">
        <v>209</v>
      </c>
      <c r="H13390">
        <v>227.19</v>
      </c>
      <c r="I13390">
        <v>227.18</v>
      </c>
      <c r="J13390">
        <v>0.01</v>
      </c>
    </row>
    <row r="13391" spans="1:10" x14ac:dyDescent="0.3">
      <c r="A13391" t="str">
        <f>HYPERLINK("https://us2.cloudbeds.com/connect/10074733072513#/reservations/31712133968000?display=MX33HBY4S&amp;reservation_id=31712133968000", "MX33HBY4S")</f>
        <v>MX33HBY4S</v>
      </c>
      <c r="B13391" t="s">
        <v>10</v>
      </c>
      <c r="C13391" t="s">
        <v>42</v>
      </c>
      <c r="D13391" t="str">
        <f>HYPERLINK("https://us2.cloudbeds.com/connect/10074733072513#/reservations/31712133968000?display=Todd%20Brown&amp;reservation_id=31712133968000&amp;guest_id=31712133963957", "Todd Brown")</f>
        <v>Todd Brown</v>
      </c>
      <c r="E13391" t="s">
        <v>12958</v>
      </c>
      <c r="F13391" t="s">
        <v>12561</v>
      </c>
      <c r="G13391">
        <v>139</v>
      </c>
      <c r="H13391">
        <v>151.1</v>
      </c>
      <c r="I13391">
        <v>151.09</v>
      </c>
      <c r="J13391">
        <v>0.01</v>
      </c>
    </row>
    <row r="13392" spans="1:10" x14ac:dyDescent="0.3">
      <c r="A13392" t="str">
        <f>HYPERLINK("https://us2.cloudbeds.com/connect/10074733072513#/reservations/31712280441025?display=MX378SJ5X&amp;reservation_id=31712280441025", "MX378SJ5X")</f>
        <v>MX378SJ5X</v>
      </c>
      <c r="B13392" t="s">
        <v>10</v>
      </c>
      <c r="C13392" t="s">
        <v>23</v>
      </c>
      <c r="D13392" t="str">
        <f>HYPERLINK("https://us2.cloudbeds.com/connect/10074733072513#/reservations/31712280441025?display=Patricia%20Larson&amp;reservation_id=31712280441025&amp;guest_id=31712280436941", "Patricia Larson")</f>
        <v>Patricia Larson</v>
      </c>
      <c r="E13392" t="s">
        <v>12959</v>
      </c>
      <c r="F13392" t="s">
        <v>11371</v>
      </c>
      <c r="G13392">
        <v>338</v>
      </c>
      <c r="H13392">
        <v>367.42</v>
      </c>
      <c r="I13392">
        <v>367.41</v>
      </c>
      <c r="J13392">
        <v>0.01</v>
      </c>
    </row>
    <row r="13393" spans="1:10" x14ac:dyDescent="0.3">
      <c r="A13393" t="str">
        <f>HYPERLINK("https://us2.cloudbeds.com/connect/10074733072513#/reservations/31703150334115?display=MHT4W3TK6&amp;reservation_id=31703150334115", "MHT4W3TK6")</f>
        <v>MHT4W3TK6</v>
      </c>
      <c r="B13393" t="s">
        <v>10</v>
      </c>
      <c r="C13393" t="s">
        <v>23</v>
      </c>
      <c r="D13393" t="str">
        <f>HYPERLINK("https://us2.cloudbeds.com/connect/10074733072513#/reservations/31703150334115?display=Fern%20Weiss&amp;reservation_id=31703150334115&amp;guest_id=31703150334097", "Fern Weiss")</f>
        <v>Fern Weiss</v>
      </c>
      <c r="E13393" t="s">
        <v>12960</v>
      </c>
      <c r="F13393" t="s">
        <v>12795</v>
      </c>
      <c r="G13393">
        <v>189</v>
      </c>
      <c r="H13393">
        <v>205.45</v>
      </c>
      <c r="I13393">
        <v>205.44</v>
      </c>
      <c r="J13393">
        <v>0.01</v>
      </c>
    </row>
    <row r="13394" spans="1:10" x14ac:dyDescent="0.3">
      <c r="A13394" t="str">
        <f>HYPERLINK("https://us2.cloudbeds.com/connect/10074733072513#/reservations/31711221272709?display=MX2D6ZYQW&amp;reservation_id=31711221272709", "MX2D6ZYQW")</f>
        <v>MX2D6ZYQW</v>
      </c>
      <c r="B13394" t="s">
        <v>10</v>
      </c>
      <c r="C13394" t="s">
        <v>23</v>
      </c>
      <c r="D13394" t="str">
        <f>HYPERLINK("https://us2.cloudbeds.com/connect/10074733072513#/reservations/31711221272709?display=Lorine%20White&amp;reservation_id=31711221272709&amp;guest_id=31711216480385", "Lorine White")</f>
        <v>Lorine White</v>
      </c>
      <c r="E13394" t="s">
        <v>12961</v>
      </c>
      <c r="F13394" t="s">
        <v>12962</v>
      </c>
      <c r="G13394">
        <v>159</v>
      </c>
      <c r="H13394">
        <v>172.84</v>
      </c>
      <c r="I13394">
        <v>172.83</v>
      </c>
      <c r="J13394">
        <v>0.01</v>
      </c>
    </row>
    <row r="13395" spans="1:10" x14ac:dyDescent="0.3">
      <c r="A13395" t="str">
        <f>HYPERLINK("https://us2.cloudbeds.com/connect/10074733072513#/reservations/31700889088194?display=MHRD6CD2H&amp;reservation_id=31700889088194", "MHRD6CD2H")</f>
        <v>MHRD6CD2H</v>
      </c>
      <c r="B13395" t="s">
        <v>10</v>
      </c>
      <c r="C13395" t="s">
        <v>23</v>
      </c>
      <c r="D13395" t="str">
        <f>HYPERLINK("https://us2.cloudbeds.com/connect/10074733072513#/reservations/31700889088194?display=Kim%20Holm&amp;reservation_id=31700889088194&amp;guest_id=31700889084145", "Kim Holm")</f>
        <v>Kim Holm</v>
      </c>
      <c r="E13395" t="s">
        <v>12963</v>
      </c>
      <c r="F13395" t="s">
        <v>11134</v>
      </c>
      <c r="G13395">
        <v>159</v>
      </c>
      <c r="H13395">
        <v>172.84</v>
      </c>
      <c r="I13395">
        <v>172.83</v>
      </c>
      <c r="J13395">
        <v>0.01</v>
      </c>
    </row>
    <row r="13396" spans="1:10" x14ac:dyDescent="0.3">
      <c r="A13396" t="str">
        <f>HYPERLINK("https://us2.cloudbeds.com/connect/10074733072513#/reservations/31713333227680?display=MX415JUDF&amp;reservation_id=31713333227680", "MX415JUDF")</f>
        <v>MX415JUDF</v>
      </c>
      <c r="B13396" t="s">
        <v>10</v>
      </c>
      <c r="C13396" t="s">
        <v>121</v>
      </c>
      <c r="D13396" t="str">
        <f>HYPERLINK("https://us2.cloudbeds.com/connect/10074733072513#/reservations/31713333227680?display=Ross%20John%20Anderson&amp;reservation_id=31713333227680&amp;guest_id=31713333223569", "Ross John Anderson")</f>
        <v>Ross John Anderson</v>
      </c>
      <c r="E13396" t="s">
        <v>12964</v>
      </c>
      <c r="F13396" t="s">
        <v>9684</v>
      </c>
      <c r="G13396">
        <v>129</v>
      </c>
      <c r="H13396">
        <v>140.22999999999999</v>
      </c>
      <c r="I13396">
        <v>140.22</v>
      </c>
      <c r="J13396">
        <v>0.01</v>
      </c>
    </row>
    <row r="13397" spans="1:10" x14ac:dyDescent="0.3">
      <c r="A13397" t="str">
        <f>HYPERLINK("https://us2.cloudbeds.com/connect/10074733072513#/reservations/31713597902980?display=MX47UPTP3&amp;reservation_id=31713597902980", "MX47UPTP3")</f>
        <v>MX47UPTP3</v>
      </c>
      <c r="B13397" t="s">
        <v>10</v>
      </c>
      <c r="C13397" t="s">
        <v>23</v>
      </c>
      <c r="D13397" t="str">
        <f>HYPERLINK("https://us2.cloudbeds.com/connect/10074733072513#/reservations/31713597902980?display=Cassandra%20Kilgore&amp;reservation_id=31713597902980&amp;guest_id=31713597902976", "Cassandra Kilgore")</f>
        <v>Cassandra Kilgore</v>
      </c>
      <c r="E13397" t="s">
        <v>12967</v>
      </c>
      <c r="F13397" t="s">
        <v>12564</v>
      </c>
      <c r="G13397">
        <v>149</v>
      </c>
      <c r="H13397">
        <v>161.97</v>
      </c>
      <c r="I13397">
        <v>161.96</v>
      </c>
      <c r="J13397">
        <v>0.01</v>
      </c>
    </row>
    <row r="13398" spans="1:10" x14ac:dyDescent="0.3">
      <c r="A13398" t="str">
        <f>HYPERLINK("https://us2.cloudbeds.com/connect/10074733072513#/reservations/31712237515004?display=MX365M3B1&amp;reservation_id=31712237515004", "MX365M3B1")</f>
        <v>MX365M3B1</v>
      </c>
      <c r="B13398" t="s">
        <v>10</v>
      </c>
      <c r="C13398" t="s">
        <v>23</v>
      </c>
      <c r="D13398" t="str">
        <f>HYPERLINK("https://us2.cloudbeds.com/connect/10074733072513#/reservations/31712237515004?display=Linda%20Polkow&amp;reservation_id=31712237515004&amp;guest_id=31712237514944", "Linda Polkow")</f>
        <v>Linda Polkow</v>
      </c>
      <c r="E13398" t="s">
        <v>12968</v>
      </c>
      <c r="F13398" t="s">
        <v>11371</v>
      </c>
      <c r="G13398">
        <v>338</v>
      </c>
      <c r="H13398">
        <v>367.42</v>
      </c>
      <c r="I13398">
        <v>367.41</v>
      </c>
      <c r="J13398">
        <v>0.01</v>
      </c>
    </row>
    <row r="13399" spans="1:10" x14ac:dyDescent="0.3">
      <c r="A13399" t="str">
        <f>HYPERLINK("https://us2.cloudbeds.com/connect/10074733072513#/reservations/31711859765471?display=MX2TH4YTG&amp;reservation_id=31711859765471", "MX2TH4YTG")</f>
        <v>MX2TH4YTG</v>
      </c>
      <c r="B13399" t="s">
        <v>10</v>
      </c>
      <c r="C13399" t="s">
        <v>23</v>
      </c>
      <c r="D13399" t="str">
        <f>HYPERLINK("https://us2.cloudbeds.com/connect/10074733072513#/reservations/31711859765471?display=Becky%20Lockwood&amp;reservation_id=31711859765471&amp;guest_id=31711850897588", "Becky Lockwood")</f>
        <v>Becky Lockwood</v>
      </c>
      <c r="E13399" t="s">
        <v>12969</v>
      </c>
      <c r="F13399" t="s">
        <v>12564</v>
      </c>
      <c r="G13399">
        <v>129</v>
      </c>
      <c r="H13399">
        <v>140.22999999999999</v>
      </c>
      <c r="I13399">
        <v>140.22</v>
      </c>
      <c r="J13399">
        <v>0.01</v>
      </c>
    </row>
    <row r="13400" spans="1:10" x14ac:dyDescent="0.3">
      <c r="A13400" t="str">
        <f>HYPERLINK("https://us2.cloudbeds.com/connect/10074733072513#/reservations/31712806555872?display=MX3KNGGXN&amp;reservation_id=31712806555872", "MX3KNGGXN")</f>
        <v>MX3KNGGXN</v>
      </c>
      <c r="B13400" t="s">
        <v>10</v>
      </c>
      <c r="C13400" t="s">
        <v>23</v>
      </c>
      <c r="D13400" t="str">
        <f>HYPERLINK("https://us2.cloudbeds.com/connect/10074733072513#/reservations/31712806555872?display=Marcie%20Bennethum&amp;reservation_id=31712806555872&amp;guest_id=31712806551774", "Marcie Bennethum")</f>
        <v>Marcie Bennethum</v>
      </c>
      <c r="E13400" t="s">
        <v>12970</v>
      </c>
      <c r="F13400" t="s">
        <v>12770</v>
      </c>
      <c r="G13400">
        <v>105.78</v>
      </c>
      <c r="H13400">
        <v>114.99</v>
      </c>
      <c r="I13400">
        <v>114.98</v>
      </c>
      <c r="J13400">
        <v>0.01</v>
      </c>
    </row>
    <row r="13401" spans="1:10" x14ac:dyDescent="0.3">
      <c r="A13401" t="str">
        <f>HYPERLINK("https://us2.cloudbeds.com/connect/10074733072513#/reservations/31711282266357?display=MX2EP5TMB&amp;reservation_id=31711282266357", "MX2EP5TMB")</f>
        <v>MX2EP5TMB</v>
      </c>
      <c r="B13401" t="s">
        <v>10</v>
      </c>
      <c r="C13401" t="s">
        <v>121</v>
      </c>
      <c r="D13401" t="str">
        <f>HYPERLINK("https://us2.cloudbeds.com/connect/10074733072513#/reservations/31711282266357?display=Jordan%20Fitch&amp;reservation_id=31711282266357&amp;guest_id=31711282266352", "Jordan Fitch")</f>
        <v>Jordan Fitch</v>
      </c>
      <c r="E13401" t="s">
        <v>7464</v>
      </c>
      <c r="F13401" t="s">
        <v>9684</v>
      </c>
      <c r="G13401">
        <v>129</v>
      </c>
      <c r="H13401">
        <v>140.22999999999999</v>
      </c>
      <c r="I13401">
        <v>140.22</v>
      </c>
      <c r="J13401">
        <v>0.01</v>
      </c>
    </row>
    <row r="13402" spans="1:10" x14ac:dyDescent="0.3">
      <c r="A13402" t="str">
        <f>HYPERLINK("https://us2.cloudbeds.com/connect/10074733072513#/reservations/31711138078960?display=MX2B2JM69&amp;reservation_id=31711138078960", "MX2B2JM69")</f>
        <v>MX2B2JM69</v>
      </c>
      <c r="B13402" t="s">
        <v>10</v>
      </c>
      <c r="C13402" t="s">
        <v>23</v>
      </c>
      <c r="D13402" t="str">
        <f>HYPERLINK("https://us2.cloudbeds.com/connect/10074733072513#/reservations/31711138078960?display=Julie%20Kokesh&amp;reservation_id=31711138078960&amp;guest_id=31711138078949", "Julie Kokesh")</f>
        <v>Julie Kokesh</v>
      </c>
      <c r="E13402" t="s">
        <v>12973</v>
      </c>
      <c r="F13402" t="s">
        <v>12564</v>
      </c>
      <c r="G13402">
        <v>129</v>
      </c>
      <c r="H13402">
        <v>140.22999999999999</v>
      </c>
      <c r="I13402">
        <v>140.22</v>
      </c>
      <c r="J13402">
        <v>0.01</v>
      </c>
    </row>
    <row r="13403" spans="1:10" x14ac:dyDescent="0.3">
      <c r="A13403" t="str">
        <f>HYPERLINK("https://us2.cloudbeds.com/connect/10074733072513#/reservations/31711106080928?display=MX2A8K97V&amp;reservation_id=31711106080928", "MX2A8K97V")</f>
        <v>MX2A8K97V</v>
      </c>
      <c r="B13403" t="s">
        <v>10</v>
      </c>
      <c r="C13403" t="s">
        <v>121</v>
      </c>
      <c r="D13403" t="str">
        <f>HYPERLINK("https://us2.cloudbeds.com/connect/10074733072513#/reservations/31711106080928?display=Janet%20Potter&amp;reservation_id=31711106080928&amp;guest_id=31711106076817", "Janet Potter")</f>
        <v>Janet Potter</v>
      </c>
      <c r="E13403" t="s">
        <v>12974</v>
      </c>
      <c r="F13403" t="s">
        <v>12770</v>
      </c>
      <c r="G13403">
        <v>129</v>
      </c>
      <c r="H13403">
        <v>140.22999999999999</v>
      </c>
      <c r="I13403">
        <v>140.22</v>
      </c>
      <c r="J13403">
        <v>0.01</v>
      </c>
    </row>
    <row r="13404" spans="1:10" x14ac:dyDescent="0.3">
      <c r="A13404" t="str">
        <f>HYPERLINK("https://us2.cloudbeds.com/connect/10074733072513#/reservations/31711835496604?display=MX2STMBE9&amp;reservation_id=31711835496604", "MX2STMBE9")</f>
        <v>MX2STMBE9</v>
      </c>
      <c r="B13404" t="s">
        <v>10</v>
      </c>
      <c r="C13404" t="s">
        <v>23</v>
      </c>
      <c r="D13404" t="str">
        <f>HYPERLINK("https://us2.cloudbeds.com/connect/10074733072513#/reservations/31711835496604?display=Hannah%20Rummel&amp;reservation_id=31711835496604&amp;guest_id=31711835492502", "Hannah Rummel")</f>
        <v>Hannah Rummel</v>
      </c>
      <c r="E13404" t="s">
        <v>12975</v>
      </c>
      <c r="F13404" t="s">
        <v>12564</v>
      </c>
      <c r="G13404">
        <v>139</v>
      </c>
      <c r="H13404">
        <v>151.1</v>
      </c>
      <c r="I13404">
        <v>151.09</v>
      </c>
      <c r="J13404">
        <v>0.01</v>
      </c>
    </row>
    <row r="13405" spans="1:10" x14ac:dyDescent="0.3">
      <c r="A13405" t="str">
        <f>HYPERLINK("https://us2.cloudbeds.com/connect/10074733072513#/reservations/31712623751381?display=MX3G1BN0M&amp;reservation_id=31712623751381", "MX3G1BN0M")</f>
        <v>MX3G1BN0M</v>
      </c>
      <c r="B13405" t="s">
        <v>10</v>
      </c>
      <c r="C13405" t="s">
        <v>23</v>
      </c>
      <c r="D13405" t="str">
        <f>HYPERLINK("https://us2.cloudbeds.com/connect/10074733072513#/reservations/31712623751381?display=Aaron%20Lagred&amp;reservation_id=31712623751381&amp;guest_id=31712623751376", "Aaron Lagred")</f>
        <v>Aaron Lagred</v>
      </c>
      <c r="E13405" t="s">
        <v>12976</v>
      </c>
      <c r="F13405" t="s">
        <v>12802</v>
      </c>
      <c r="G13405">
        <v>278</v>
      </c>
      <c r="H13405">
        <v>302.2</v>
      </c>
      <c r="I13405">
        <v>302.19</v>
      </c>
      <c r="J13405">
        <v>0.01</v>
      </c>
    </row>
    <row r="13406" spans="1:10" x14ac:dyDescent="0.3">
      <c r="A13406" t="str">
        <f>HYPERLINK("https://us2.cloudbeds.com/connect/10074733072513#/reservations/31711215050938?display=MX2D1GHHF&amp;reservation_id=31711215050938", "MX2D1GHHF")</f>
        <v>MX2D1GHHF</v>
      </c>
      <c r="B13406" t="s">
        <v>10</v>
      </c>
      <c r="C13406" t="s">
        <v>23</v>
      </c>
      <c r="D13406" t="str">
        <f>HYPERLINK("https://us2.cloudbeds.com/connect/10074733072513#/reservations/31711215050938?display=Judy%20Neier&amp;reservation_id=31711215050938&amp;guest_id=31711215050933", "Judy Neier")</f>
        <v>Judy Neier</v>
      </c>
      <c r="E13406" t="s">
        <v>12977</v>
      </c>
      <c r="F13406" t="s">
        <v>12770</v>
      </c>
      <c r="G13406">
        <v>105.78</v>
      </c>
      <c r="H13406">
        <v>114.99</v>
      </c>
      <c r="I13406">
        <v>114.98</v>
      </c>
      <c r="J13406">
        <v>0.01</v>
      </c>
    </row>
    <row r="13407" spans="1:10" x14ac:dyDescent="0.3">
      <c r="A13407" t="str">
        <f>HYPERLINK("https://us2.cloudbeds.com/connect/10074733072513#/reservations/31711158595824?display=MX2BJTJ9E&amp;reservation_id=31711158595824", "MX2BJTJ9E")</f>
        <v>MX2BJTJ9E</v>
      </c>
      <c r="B13407" t="s">
        <v>10</v>
      </c>
      <c r="C13407" t="s">
        <v>23</v>
      </c>
      <c r="D13407" t="str">
        <f>HYPERLINK("https://us2.cloudbeds.com/connect/10074733072513#/reservations/31711158595824?display=Serena%20Vander%20Schaaf&amp;reservation_id=31711158595824&amp;guest_id=31711148716184", "Serena Vander Schaaf")</f>
        <v>Serena Vander Schaaf</v>
      </c>
      <c r="E13407" t="s">
        <v>12978</v>
      </c>
      <c r="F13407" t="s">
        <v>12770</v>
      </c>
      <c r="G13407">
        <v>149</v>
      </c>
      <c r="H13407">
        <v>161.97</v>
      </c>
      <c r="I13407">
        <v>161.96</v>
      </c>
      <c r="J13407">
        <v>0.01</v>
      </c>
    </row>
    <row r="13408" spans="1:10" x14ac:dyDescent="0.3">
      <c r="A13408" t="str">
        <f>HYPERLINK("https://us2.cloudbeds.com/connect/10074733072513#/reservations/31703210750100?display=MHT6H220K&amp;reservation_id=31703210750100", "MHT6H220K")</f>
        <v>MHT6H220K</v>
      </c>
      <c r="B13408" t="s">
        <v>10</v>
      </c>
      <c r="C13408" t="s">
        <v>42</v>
      </c>
      <c r="D13408" t="str">
        <f>HYPERLINK("https://us2.cloudbeds.com/connect/10074733072513#/reservations/31703210750100?display=Craig%20Dunker&amp;reservation_id=31703210750100&amp;guest_id=31703210750097", "Craig Dunker")</f>
        <v>Craig Dunker</v>
      </c>
      <c r="E13408" t="s">
        <v>12979</v>
      </c>
      <c r="F13408" t="s">
        <v>10330</v>
      </c>
      <c r="G13408">
        <v>398</v>
      </c>
      <c r="H13408">
        <v>432.64</v>
      </c>
      <c r="I13408">
        <v>432.63</v>
      </c>
      <c r="J13408">
        <v>0.01</v>
      </c>
    </row>
    <row r="13409" spans="1:10" x14ac:dyDescent="0.3">
      <c r="A13409" t="str">
        <f>HYPERLINK("https://us2.cloudbeds.com/connect/10074733072513#/reservations/31711115698427?display=MX2AGNTZA&amp;reservation_id=31711115698427", "MX2AGNTZA")</f>
        <v>MX2AGNTZA</v>
      </c>
      <c r="B13409" t="s">
        <v>10</v>
      </c>
      <c r="C13409" t="s">
        <v>23</v>
      </c>
      <c r="D13409" t="str">
        <f>HYPERLINK("https://us2.cloudbeds.com/connect/10074733072513#/reservations/31711115698427?display=Todd%20Cashel&amp;reservation_id=31711115698427&amp;guest_id=31711115698422", "Todd Cashel")</f>
        <v>Todd Cashel</v>
      </c>
      <c r="E13409" t="s">
        <v>12980</v>
      </c>
      <c r="F13409" t="s">
        <v>12770</v>
      </c>
      <c r="G13409">
        <v>129</v>
      </c>
      <c r="H13409">
        <v>140.22999999999999</v>
      </c>
      <c r="I13409">
        <v>140.22</v>
      </c>
      <c r="J13409">
        <v>0.01</v>
      </c>
    </row>
    <row r="13410" spans="1:10" x14ac:dyDescent="0.3">
      <c r="A13410" t="str">
        <f>HYPERLINK("https://us2.cloudbeds.com/connect/10074733072513#/reservations/31711176753286?display=MX2C26RQX&amp;reservation_id=31711176753286", "MX2C26RQX")</f>
        <v>MX2C26RQX</v>
      </c>
      <c r="B13410" t="s">
        <v>10</v>
      </c>
      <c r="C13410" t="s">
        <v>121</v>
      </c>
      <c r="D13410" t="str">
        <f>HYPERLINK("https://us2.cloudbeds.com/connect/10074733072513#/reservations/31711176753286?display=Jonathan%20Mohr&amp;reservation_id=31711176753286&amp;guest_id=31711169794199", "Jonathan Mohr")</f>
        <v>Jonathan Mohr</v>
      </c>
      <c r="E13410" t="s">
        <v>12981</v>
      </c>
      <c r="F13410" t="s">
        <v>12770</v>
      </c>
      <c r="G13410">
        <v>129</v>
      </c>
      <c r="H13410">
        <v>140.22999999999999</v>
      </c>
      <c r="I13410">
        <v>140.22</v>
      </c>
      <c r="J13410">
        <v>0.01</v>
      </c>
    </row>
    <row r="13411" spans="1:10" x14ac:dyDescent="0.3">
      <c r="A13411" t="str">
        <f>HYPERLINK("https://us2.cloudbeds.com/connect/10074733072513#/reservations/31711467643040?display=MX2JGG96J&amp;reservation_id=31711467643040", "MX2JGG96J")</f>
        <v>MX2JGG96J</v>
      </c>
      <c r="B13411" t="s">
        <v>10</v>
      </c>
      <c r="C13411" t="s">
        <v>42</v>
      </c>
      <c r="D13411" t="str">
        <f>HYPERLINK("https://us2.cloudbeds.com/connect/10074733072513#/reservations/31711467643040?display=Raenae%20Martin&amp;reservation_id=31711467643040&amp;guest_id=31711460716740", "Raenae Martin")</f>
        <v>Raenae Martin</v>
      </c>
      <c r="E13411" t="s">
        <v>12853</v>
      </c>
      <c r="F13411" t="s">
        <v>12952</v>
      </c>
      <c r="G13411">
        <v>129</v>
      </c>
      <c r="H13411">
        <v>140.22999999999999</v>
      </c>
      <c r="I13411">
        <v>140.22</v>
      </c>
      <c r="J13411">
        <v>0.01</v>
      </c>
    </row>
    <row r="13412" spans="1:10" x14ac:dyDescent="0.3">
      <c r="A13412" t="str">
        <f>HYPERLINK("https://us2.cloudbeds.com/connect/10074733072513#/reservations/31711876505753?display=MX2TV8G1P&amp;reservation_id=31711876505753", "MX2TV8G1P")</f>
        <v>MX2TV8G1P</v>
      </c>
      <c r="B13412" t="s">
        <v>10</v>
      </c>
      <c r="C13412" t="s">
        <v>23</v>
      </c>
      <c r="D13412" t="str">
        <f>HYPERLINK("https://us2.cloudbeds.com/connect/10074733072513#/reservations/31711876505753?display=Steven%20Mathews&amp;reservation_id=31711876505753&amp;guest_id=31711876505751", "Steven Mathews")</f>
        <v>Steven Mathews</v>
      </c>
      <c r="E13412" t="s">
        <v>12982</v>
      </c>
      <c r="F13412" t="s">
        <v>12564</v>
      </c>
      <c r="G13412">
        <v>139</v>
      </c>
      <c r="H13412">
        <v>151.1</v>
      </c>
      <c r="I13412">
        <v>151.09</v>
      </c>
      <c r="J13412">
        <v>0.01</v>
      </c>
    </row>
    <row r="13413" spans="1:10" x14ac:dyDescent="0.3">
      <c r="A13413" t="str">
        <f>HYPERLINK("https://us2.cloudbeds.com/connect/10074733072513#/reservations/31711859769565?display=MX2TH4PYX&amp;reservation_id=31711859769565", "MX2TH4PYX")</f>
        <v>MX2TH4PYX</v>
      </c>
      <c r="B13413" t="s">
        <v>10</v>
      </c>
      <c r="C13413" t="s">
        <v>42</v>
      </c>
      <c r="D13413" t="str">
        <f>HYPERLINK("https://us2.cloudbeds.com/connect/10074733072513#/reservations/31711859769565?display=Shari%20Hanson&amp;reservation_id=31711859769565&amp;guest_id=31711859769561", "Shari Hanson")</f>
        <v>Shari Hanson</v>
      </c>
      <c r="E13413" t="s">
        <v>12983</v>
      </c>
      <c r="F13413" t="s">
        <v>12564</v>
      </c>
      <c r="G13413">
        <v>129</v>
      </c>
      <c r="H13413">
        <v>140.22999999999999</v>
      </c>
      <c r="I13413">
        <v>140.22</v>
      </c>
      <c r="J13413">
        <v>0.01</v>
      </c>
    </row>
    <row r="13414" spans="1:10" x14ac:dyDescent="0.3">
      <c r="A13414" t="str">
        <f>HYPERLINK("https://us2.cloudbeds.com/connect/10074733072513#/reservations/31702538842330?display=MHSMBG7R3&amp;reservation_id=31702538842330", "MHSMBG7R3")</f>
        <v>MHSMBG7R3</v>
      </c>
      <c r="B13414" t="s">
        <v>10</v>
      </c>
      <c r="C13414" t="s">
        <v>23</v>
      </c>
      <c r="D13414" t="str">
        <f>HYPERLINK("https://us2.cloudbeds.com/connect/10074733072513#/reservations/31702538842330?display=Haley%20Lupher&amp;reservation_id=31702538842330&amp;guest_id=31702529294545", "Haley Lupher")</f>
        <v>Haley Lupher</v>
      </c>
      <c r="E13414" t="s">
        <v>12984</v>
      </c>
      <c r="F13414" t="s">
        <v>12326</v>
      </c>
      <c r="G13414">
        <v>199</v>
      </c>
      <c r="H13414">
        <v>216.32</v>
      </c>
      <c r="I13414">
        <v>216.31</v>
      </c>
      <c r="J13414">
        <v>0.01</v>
      </c>
    </row>
    <row r="13415" spans="1:10" x14ac:dyDescent="0.3">
      <c r="A13415" t="str">
        <f>HYPERLINK("https://us2.cloudbeds.com/connect/10074733072513#/reservations/31711104209038?display=MX2A716B0&amp;reservation_id=31711104209038", "MX2A716B0")</f>
        <v>MX2A716B0</v>
      </c>
      <c r="B13415" t="s">
        <v>10</v>
      </c>
      <c r="C13415" t="s">
        <v>23</v>
      </c>
      <c r="D13415" t="str">
        <f>HYPERLINK("https://us2.cloudbeds.com/connect/10074733072513#/reservations/31711104209038?display=Kim%20Demers&amp;reservation_id=31711104209038&amp;guest_id=31711104209033", "Kim Demers")</f>
        <v>Kim Demers</v>
      </c>
      <c r="E13415" t="s">
        <v>12985</v>
      </c>
      <c r="F13415" t="s">
        <v>12564</v>
      </c>
      <c r="G13415">
        <v>179</v>
      </c>
      <c r="H13415">
        <v>194.58</v>
      </c>
      <c r="I13415">
        <v>194.57</v>
      </c>
      <c r="J13415">
        <v>0.01</v>
      </c>
    </row>
    <row r="13416" spans="1:10" x14ac:dyDescent="0.3">
      <c r="A13416" t="str">
        <f>HYPERLINK("https://us2.cloudbeds.com/connect/10074733072513#/reservations/31711327355081?display=MX2FU6XFA&amp;reservation_id=31711327355081", "MX2FU6XFA")</f>
        <v>MX2FU6XFA</v>
      </c>
      <c r="B13416" t="s">
        <v>10</v>
      </c>
      <c r="C13416" t="s">
        <v>23</v>
      </c>
      <c r="D13416" t="str">
        <f>HYPERLINK("https://us2.cloudbeds.com/connect/10074733072513#/reservations/31711327355081?display=Travis%20Hubbard&amp;reservation_id=31711327355081&amp;guest_id=31711319044333", "Travis Hubbard")</f>
        <v>Travis Hubbard</v>
      </c>
      <c r="E13416" t="s">
        <v>12986</v>
      </c>
      <c r="F13416" t="s">
        <v>12952</v>
      </c>
      <c r="G13416">
        <v>129</v>
      </c>
      <c r="H13416">
        <v>140.22999999999999</v>
      </c>
      <c r="I13416">
        <v>140.22</v>
      </c>
      <c r="J13416">
        <v>0.01</v>
      </c>
    </row>
    <row r="13417" spans="1:10" x14ac:dyDescent="0.3">
      <c r="A13417" t="str">
        <f>HYPERLINK("https://us2.cloudbeds.com/connect/10074733072513#/reservations/31711416516861?display=MX2X6CKCE&amp;reservation_id=31711416516861", "MX2X6CKCE")</f>
        <v>MX2X6CKCE</v>
      </c>
      <c r="B13417" t="s">
        <v>10</v>
      </c>
      <c r="C13417" t="s">
        <v>23</v>
      </c>
      <c r="D13417" t="str">
        <f>HYPERLINK("https://us2.cloudbeds.com/connect/10074733072513#/reservations/31711416516861?display=Lynn%20Buehner&amp;reservation_id=31711416516861&amp;guest_id=31711416516800", "Lynn Buehner")</f>
        <v>Lynn Buehner</v>
      </c>
      <c r="E13417" t="s">
        <v>12988</v>
      </c>
      <c r="F13417" t="s">
        <v>12894</v>
      </c>
      <c r="G13417">
        <v>97.74</v>
      </c>
      <c r="H13417">
        <v>106.25</v>
      </c>
      <c r="I13417">
        <v>106.24</v>
      </c>
      <c r="J13417">
        <v>0.01</v>
      </c>
    </row>
    <row r="13418" spans="1:10" x14ac:dyDescent="0.3">
      <c r="A13418" t="str">
        <f>HYPERLINK("https://us2.cloudbeds.com/connect/10074733072513#/reservations/31710829527198?display=MX236DP7T&amp;reservation_id=31710829527198", "MX236DP7T")</f>
        <v>MX236DP7T</v>
      </c>
      <c r="B13418" t="s">
        <v>10</v>
      </c>
      <c r="C13418" t="s">
        <v>42</v>
      </c>
      <c r="D13418" t="str">
        <f>HYPERLINK("https://us2.cloudbeds.com/connect/10074733072513#/reservations/31710829527198?display=Beth%20Fiedler&amp;reservation_id=31710829527198&amp;guest_id=31703210750098", "Beth Fiedler")</f>
        <v>Beth Fiedler</v>
      </c>
      <c r="E13418" t="s">
        <v>12989</v>
      </c>
      <c r="F13418" t="s">
        <v>10330</v>
      </c>
      <c r="G13418">
        <v>318</v>
      </c>
      <c r="H13418">
        <v>345.68</v>
      </c>
      <c r="I13418">
        <v>345.67</v>
      </c>
      <c r="J13418">
        <v>0.01</v>
      </c>
    </row>
    <row r="13419" spans="1:10" x14ac:dyDescent="0.3">
      <c r="A13419" t="str">
        <f>HYPERLINK("https://us2.cloudbeds.com/connect/10074733072513#/reservations/31712789184742?display=MX3K8S43R&amp;reservation_id=31712789184742", "MX3K8S43R")</f>
        <v>MX3K8S43R</v>
      </c>
      <c r="B13419" t="s">
        <v>10</v>
      </c>
      <c r="C13419" t="s">
        <v>121</v>
      </c>
      <c r="D13419" t="str">
        <f>HYPERLINK("https://us2.cloudbeds.com/connect/10074733072513#/reservations/31712789184742?display=Hunter%20Johnson&amp;reservation_id=31712789184742&amp;guest_id=31712789184740", "Hunter Johnson")</f>
        <v>Hunter Johnson</v>
      </c>
      <c r="E13419" t="s">
        <v>12990</v>
      </c>
      <c r="F13419" t="s">
        <v>12770</v>
      </c>
      <c r="G13419">
        <v>129</v>
      </c>
      <c r="H13419">
        <v>140.22999999999999</v>
      </c>
      <c r="I13419">
        <v>140.22</v>
      </c>
      <c r="J13419">
        <v>0.01</v>
      </c>
    </row>
    <row r="13420" spans="1:10" x14ac:dyDescent="0.3">
      <c r="A13420" t="str">
        <f>HYPERLINK("https://us2.cloudbeds.com/connect/10074733072513#/reservations/31712694358211?display=MX3HRTEDJ&amp;reservation_id=31712694358211", "MX3HRTEDJ")</f>
        <v>MX3HRTEDJ</v>
      </c>
      <c r="B13420" t="s">
        <v>10</v>
      </c>
      <c r="C13420" t="s">
        <v>42</v>
      </c>
      <c r="D13420" t="str">
        <f>HYPERLINK("https://us2.cloudbeds.com/connect/10074733072513#/reservations/31712694358211?display=Dennis%20O'Brien&amp;reservation_id=31712694358211&amp;guest_id=31712688972018", "Dennis O'Brien")</f>
        <v>Dennis O'Brien</v>
      </c>
      <c r="E13420" t="s">
        <v>12991</v>
      </c>
      <c r="F13420" t="s">
        <v>12802</v>
      </c>
      <c r="G13420">
        <v>129</v>
      </c>
      <c r="H13420">
        <v>140.22999999999999</v>
      </c>
      <c r="I13420">
        <v>140.22</v>
      </c>
      <c r="J13420">
        <v>0.01</v>
      </c>
    </row>
    <row r="13421" spans="1:10" x14ac:dyDescent="0.3">
      <c r="A13421" t="str">
        <f>HYPERLINK("https://us2.cloudbeds.com/connect/10074733072513#/reservations/31712842944721?display=MX3YY62G3&amp;reservation_id=31712842944721", "MX3YY62G3")</f>
        <v>MX3YY62G3</v>
      </c>
      <c r="B13421" t="s">
        <v>10</v>
      </c>
      <c r="C13421" t="s">
        <v>121</v>
      </c>
      <c r="D13421" t="str">
        <f>HYPERLINK("https://us2.cloudbeds.com/connect/10074733072513#/reservations/31712842944721?display=Margaret%20Hildebrand&amp;reservation_id=31712842944721&amp;guest_id=31712836034736", "Margaret Hildebrand")</f>
        <v>Margaret Hildebrand</v>
      </c>
      <c r="E13421" t="s">
        <v>12992</v>
      </c>
      <c r="F13421" t="s">
        <v>12770</v>
      </c>
      <c r="G13421">
        <v>129</v>
      </c>
      <c r="H13421">
        <v>140.22999999999999</v>
      </c>
      <c r="I13421">
        <v>140.22</v>
      </c>
      <c r="J13421">
        <v>0.01</v>
      </c>
    </row>
    <row r="13422" spans="1:10" x14ac:dyDescent="0.3">
      <c r="A13422" t="str">
        <f>HYPERLINK("https://us2.cloudbeds.com/connect/10074733072513#/reservations/31712664899731?display=MX3H31NFC&amp;reservation_id=31712664899731", "MX3H31NFC")</f>
        <v>MX3H31NFC</v>
      </c>
      <c r="B13422" t="s">
        <v>10</v>
      </c>
      <c r="C13422" t="s">
        <v>23</v>
      </c>
      <c r="D13422" t="str">
        <f>HYPERLINK("https://us2.cloudbeds.com/connect/10074733072513#/reservations/31712664899731?display=Ryan%20Johnson&amp;reservation_id=31712664899731&amp;guest_id=31689624715474", "Ryan Johnson")</f>
        <v>Ryan Johnson</v>
      </c>
      <c r="E13422" t="s">
        <v>7374</v>
      </c>
      <c r="F13422" t="s">
        <v>12802</v>
      </c>
      <c r="G13422">
        <v>129</v>
      </c>
      <c r="H13422">
        <v>140.22999999999999</v>
      </c>
      <c r="I13422">
        <v>140.22</v>
      </c>
      <c r="J13422">
        <v>0.01</v>
      </c>
    </row>
    <row r="13423" spans="1:10" x14ac:dyDescent="0.3">
      <c r="A13423" t="str">
        <f>HYPERLINK("https://us2.cloudbeds.com/connect/10074733072513#/reservations/31712567808146?display=MX3EK5WR4&amp;reservation_id=31712567808146", "MX3EK5WR4")</f>
        <v>MX3EK5WR4</v>
      </c>
      <c r="B13423" t="s">
        <v>10</v>
      </c>
      <c r="C13423" t="s">
        <v>23</v>
      </c>
      <c r="D13423" t="str">
        <f>HYPERLINK("https://us2.cloudbeds.com/connect/10074733072513#/reservations/31712567808146?display=Timothy%20Hanson&amp;reservation_id=31712567808146&amp;guest_id=31712567808144", "Timothy Hanson")</f>
        <v>Timothy Hanson</v>
      </c>
      <c r="E13423" t="s">
        <v>12993</v>
      </c>
      <c r="F13423" t="s">
        <v>12802</v>
      </c>
      <c r="G13423">
        <v>278</v>
      </c>
      <c r="H13423">
        <v>302.2</v>
      </c>
      <c r="I13423">
        <v>302.19</v>
      </c>
      <c r="J13423">
        <v>0.01</v>
      </c>
    </row>
    <row r="13424" spans="1:10" x14ac:dyDescent="0.3">
      <c r="A13424" t="str">
        <f>HYPERLINK("https://us2.cloudbeds.com/connect/10074733072513#/reservations/31712413651182?display=MX3AM6BHW&amp;reservation_id=31712413651182", "MX3AM6BHW")</f>
        <v>MX3AM6BHW</v>
      </c>
      <c r="B13424" t="s">
        <v>10</v>
      </c>
      <c r="C13424" t="s">
        <v>23</v>
      </c>
      <c r="D13424" t="str">
        <f>HYPERLINK("https://us2.cloudbeds.com/connect/10074733072513#/reservations/31712413651182?display=Jo%20Ellen%20Stellner&amp;reservation_id=31712413651182&amp;guest_id=31712413651178", "Jo Ellen Stellner")</f>
        <v>Jo Ellen Stellner</v>
      </c>
      <c r="E13424" t="s">
        <v>12994</v>
      </c>
      <c r="F13424" t="s">
        <v>11371</v>
      </c>
      <c r="G13424">
        <v>229</v>
      </c>
      <c r="H13424">
        <v>248.93</v>
      </c>
      <c r="I13424">
        <v>248.92</v>
      </c>
      <c r="J13424">
        <v>0.01</v>
      </c>
    </row>
    <row r="13425" spans="1:10" x14ac:dyDescent="0.3">
      <c r="A13425" t="str">
        <f>HYPERLINK("https://us2.cloudbeds.com/connect/10074733072513#/reservations/31711554048150?display=MX2YNBKZ8&amp;reservation_id=31711554048150", "MX2YNBKZ8")</f>
        <v>MX2YNBKZ8</v>
      </c>
      <c r="B13425" t="s">
        <v>10</v>
      </c>
      <c r="C13425" t="s">
        <v>23</v>
      </c>
      <c r="D13425" t="str">
        <f>HYPERLINK("https://us2.cloudbeds.com/connect/10074733072513#/reservations/31711554048150?display=Kayla%20Garrett&amp;reservation_id=31711554048150&amp;guest_id=31711554048145", "Kayla Garrett")</f>
        <v>Kayla Garrett</v>
      </c>
      <c r="E13425" t="s">
        <v>12996</v>
      </c>
      <c r="F13425" t="s">
        <v>12997</v>
      </c>
      <c r="G13425">
        <v>129</v>
      </c>
      <c r="H13425">
        <v>140.22999999999999</v>
      </c>
      <c r="I13425">
        <v>140.22</v>
      </c>
      <c r="J13425">
        <v>0.01</v>
      </c>
    </row>
    <row r="13426" spans="1:10" x14ac:dyDescent="0.3">
      <c r="A13426" t="str">
        <f>HYPERLINK("https://us2.cloudbeds.com/connect/10074733072513#/reservations/31711998427306?display=MX30224D9&amp;reservation_id=31711998427306", "MX30224D9")</f>
        <v>MX30224D9</v>
      </c>
      <c r="B13426" t="s">
        <v>10</v>
      </c>
      <c r="C13426" t="s">
        <v>23</v>
      </c>
      <c r="D13426" t="str">
        <f>HYPERLINK("https://us2.cloudbeds.com/connect/10074733072513#/reservations/31711998427306?display=Pablo%20Anguiano&amp;reservation_id=31711998427306&amp;guest_id=31711998427304", "Pablo Anguiano")</f>
        <v>Pablo Anguiano</v>
      </c>
      <c r="E13426" t="s">
        <v>12998</v>
      </c>
      <c r="F13426" t="s">
        <v>12897</v>
      </c>
      <c r="G13426">
        <v>261.08</v>
      </c>
      <c r="H13426">
        <v>283.8</v>
      </c>
      <c r="I13426">
        <v>283.79000000000002</v>
      </c>
      <c r="J13426">
        <v>0.01</v>
      </c>
    </row>
    <row r="13427" spans="1:10" x14ac:dyDescent="0.3">
      <c r="A13427" t="str">
        <f>HYPERLINK("https://us2.cloudbeds.com/connect/10074733072513#/reservations/31702176481528?display=MHSD2V0EZ&amp;reservation_id=31702176481528", "MHSD2V0EZ")</f>
        <v>MHSD2V0EZ</v>
      </c>
      <c r="B13427" t="s">
        <v>10</v>
      </c>
      <c r="C13427" t="s">
        <v>42</v>
      </c>
      <c r="D13427" t="str">
        <f>HYPERLINK("https://us2.cloudbeds.com/connect/10074733072513#/reservations/31702176481528?display=Brandon%20Dorn&amp;reservation_id=31702176481528&amp;guest_id=31702176481475", "Brandon Dorn")</f>
        <v>Brandon Dorn</v>
      </c>
      <c r="E13427" t="s">
        <v>12999</v>
      </c>
      <c r="F13427" t="s">
        <v>12047</v>
      </c>
      <c r="G13427">
        <v>159</v>
      </c>
      <c r="H13427">
        <v>172.84</v>
      </c>
      <c r="I13427">
        <v>172.83</v>
      </c>
      <c r="J13427">
        <v>0.01</v>
      </c>
    </row>
    <row r="13428" spans="1:10" x14ac:dyDescent="0.3">
      <c r="A13428" t="str">
        <f>HYPERLINK("https://us2.cloudbeds.com/connect/10074733072513#/reservations/31711720091793?display=MX2PVC17Q&amp;reservation_id=31711720091793", "MX2PVC17Q")</f>
        <v>MX2PVC17Q</v>
      </c>
      <c r="B13428" t="s">
        <v>10</v>
      </c>
      <c r="C13428" t="s">
        <v>23</v>
      </c>
      <c r="D13428" t="str">
        <f>HYPERLINK("https://us2.cloudbeds.com/connect/10074733072513#/reservations/31711720091793?display=Janey%20Currey&amp;reservation_id=31711720091793&amp;guest_id=31711706968314", "Janey Currey")</f>
        <v>Janey Currey</v>
      </c>
      <c r="E13428" t="s">
        <v>13000</v>
      </c>
      <c r="F13428" t="s">
        <v>12897</v>
      </c>
      <c r="G13428">
        <v>258</v>
      </c>
      <c r="H13428">
        <v>280.45999999999998</v>
      </c>
      <c r="I13428">
        <v>280.45</v>
      </c>
      <c r="J13428">
        <v>0.01</v>
      </c>
    </row>
    <row r="13429" spans="1:10" x14ac:dyDescent="0.3">
      <c r="A13429" t="str">
        <f>HYPERLINK("https://us2.cloudbeds.com/connect/10074733072513#/reservations/31711730381037?display=MX2Q71BJ2&amp;reservation_id=31711730381037", "MX2Q71BJ2")</f>
        <v>MX2Q71BJ2</v>
      </c>
      <c r="B13429" t="s">
        <v>10</v>
      </c>
      <c r="C13429" t="s">
        <v>23</v>
      </c>
      <c r="D13429" t="str">
        <f>HYPERLINK("https://us2.cloudbeds.com/connect/10074733072513#/reservations/31711730381037?display=Eric%20Avina&amp;reservation_id=31711730381037&amp;guest_id=31711730381025", "Eric Avina")</f>
        <v>Eric Avina</v>
      </c>
      <c r="E13429" t="s">
        <v>13001</v>
      </c>
      <c r="F13429" t="s">
        <v>12897</v>
      </c>
      <c r="G13429">
        <v>261.08</v>
      </c>
      <c r="H13429">
        <v>283.8</v>
      </c>
      <c r="I13429">
        <v>283.79000000000002</v>
      </c>
      <c r="J13429">
        <v>0.01</v>
      </c>
    </row>
    <row r="13430" spans="1:10" x14ac:dyDescent="0.3">
      <c r="A13430" t="str">
        <f>HYPERLINK("https://us2.cloudbeds.com/connect/10074733072513#/reservations/31711749116123?display=MX2QMRMGV&amp;reservation_id=31711749116123", "MX2QMRMGV")</f>
        <v>MX2QMRMGV</v>
      </c>
      <c r="B13430" t="s">
        <v>10</v>
      </c>
      <c r="C13430" t="s">
        <v>23</v>
      </c>
      <c r="D13430" t="str">
        <f>HYPERLINK("https://us2.cloudbeds.com/connect/10074733072513#/reservations/31711749116123?display=Walter%20Pelowski&amp;reservation_id=31711749116123&amp;guest_id=31711749112033", "Walter Pelowski")</f>
        <v>Walter Pelowski</v>
      </c>
      <c r="E13430" t="s">
        <v>13003</v>
      </c>
      <c r="F13430" t="s">
        <v>12897</v>
      </c>
      <c r="G13430">
        <v>378</v>
      </c>
      <c r="H13430">
        <v>410.9</v>
      </c>
      <c r="I13430">
        <v>410.89</v>
      </c>
      <c r="J13430">
        <v>0.01</v>
      </c>
    </row>
    <row r="13431" spans="1:10" x14ac:dyDescent="0.3">
      <c r="A13431" t="str">
        <f>HYPERLINK("https://us2.cloudbeds.com/connect/10074733072513#/reservations/31712193097860?display=MX351747W&amp;reservation_id=31712193097860", "MX351747W")</f>
        <v>MX351747W</v>
      </c>
      <c r="B13431" t="s">
        <v>10</v>
      </c>
      <c r="C13431" t="s">
        <v>23</v>
      </c>
      <c r="D13431" t="str">
        <f>HYPERLINK("https://us2.cloudbeds.com/connect/10074733072513#/reservations/31712193097860?display=Jerry%20Watelski&amp;reservation_id=31712193097860&amp;guest_id=31712193093769", "Jerry Watelski")</f>
        <v>Jerry Watelski</v>
      </c>
      <c r="E13431" t="s">
        <v>13004</v>
      </c>
      <c r="F13431" t="s">
        <v>11371</v>
      </c>
      <c r="G13431">
        <v>169</v>
      </c>
      <c r="H13431">
        <v>183.71</v>
      </c>
      <c r="I13431">
        <v>183.7</v>
      </c>
      <c r="J13431">
        <v>0.01</v>
      </c>
    </row>
    <row r="13432" spans="1:10" x14ac:dyDescent="0.3">
      <c r="A13432" t="str">
        <f>HYPERLINK("https://us2.cloudbeds.com/connect/10074733072513#/reservations/31712704221334?display=MX3X36TF3&amp;reservation_id=31712704221334", "MX3X36TF3")</f>
        <v>MX3X36TF3</v>
      </c>
      <c r="B13432" t="s">
        <v>10</v>
      </c>
      <c r="C13432" t="s">
        <v>23</v>
      </c>
      <c r="D13432" t="str">
        <f>HYPERLINK("https://us2.cloudbeds.com/connect/10074733072513#/reservations/31712704221334?display=Tyler%20Sattler&amp;reservation_id=31712704221334&amp;guest_id=31712694362310", "Tyler Sattler")</f>
        <v>Tyler Sattler</v>
      </c>
      <c r="E13432" t="s">
        <v>13005</v>
      </c>
      <c r="F13432" t="s">
        <v>12802</v>
      </c>
      <c r="G13432">
        <v>102.58</v>
      </c>
      <c r="H13432">
        <v>111.51</v>
      </c>
      <c r="I13432">
        <v>111.5</v>
      </c>
      <c r="J13432">
        <v>0.01</v>
      </c>
    </row>
    <row r="13433" spans="1:10" x14ac:dyDescent="0.3">
      <c r="A13433" t="str">
        <f>HYPERLINK("https://us2.cloudbeds.com/connect/10074733072513#/reservations/31713247150284?display=MX3VW0MQH&amp;reservation_id=31713247150284", "MX3VW0MQH")</f>
        <v>MX3VW0MQH</v>
      </c>
      <c r="B13433" t="s">
        <v>10</v>
      </c>
      <c r="C13433" t="s">
        <v>23</v>
      </c>
      <c r="D13433" t="str">
        <f>HYPERLINK("https://us2.cloudbeds.com/connect/10074733072513#/reservations/31713247150284?display=Gordon%20Cook&amp;reservation_id=31713247150284&amp;guest_id=31713247150281", "Gordon Cook")</f>
        <v>Gordon Cook</v>
      </c>
      <c r="E13433" t="s">
        <v>13007</v>
      </c>
      <c r="F13433" t="s">
        <v>12897</v>
      </c>
      <c r="G13433">
        <v>149</v>
      </c>
      <c r="H13433">
        <v>161.97</v>
      </c>
      <c r="I13433">
        <v>161.96</v>
      </c>
      <c r="J13433">
        <v>0.01</v>
      </c>
    </row>
    <row r="13434" spans="1:10" x14ac:dyDescent="0.3">
      <c r="A13434" t="str">
        <f>HYPERLINK("https://us2.cloudbeds.com/connect/10074733072513#/reservations/31712039055519?display=MX313AM78&amp;reservation_id=31712039055519", "MX313AM78")</f>
        <v>MX313AM78</v>
      </c>
      <c r="B13434" t="s">
        <v>10</v>
      </c>
      <c r="C13434" t="s">
        <v>23</v>
      </c>
      <c r="D13434" t="str">
        <f>HYPERLINK("https://us2.cloudbeds.com/connect/10074733072513#/reservations/31712039055519?display=Marvin%20Kieckhafer&amp;reservation_id=31712039055519&amp;guest_id=31712031113351", "Marvin Kieckhafer")</f>
        <v>Marvin Kieckhafer</v>
      </c>
      <c r="E13434" t="s">
        <v>13008</v>
      </c>
      <c r="F13434" t="s">
        <v>12897</v>
      </c>
      <c r="G13434">
        <v>149</v>
      </c>
      <c r="H13434">
        <v>161.97</v>
      </c>
      <c r="I13434">
        <v>161.96</v>
      </c>
      <c r="J13434">
        <v>0.01</v>
      </c>
    </row>
    <row r="13435" spans="1:10" x14ac:dyDescent="0.3">
      <c r="A13435" t="str">
        <f>HYPERLINK("https://us2.cloudbeds.com/connect/10074733072513#/reservations/31713257922788?display=MX3W83EU1&amp;reservation_id=31713257922788", "MX3W83EU1")</f>
        <v>MX3W83EU1</v>
      </c>
      <c r="B13435" t="s">
        <v>10</v>
      </c>
      <c r="C13435" t="s">
        <v>23</v>
      </c>
      <c r="D13435" t="str">
        <f>HYPERLINK("https://us2.cloudbeds.com/connect/10074733072513#/reservations/31713257922788?display=Corey%20Heiting&amp;reservation_id=31713257922788&amp;guest_id=31713247154375", "Corey Heiting")</f>
        <v>Corey Heiting</v>
      </c>
      <c r="E13435" t="s">
        <v>13011</v>
      </c>
      <c r="F13435" t="s">
        <v>12897</v>
      </c>
      <c r="G13435">
        <v>97.74</v>
      </c>
      <c r="H13435">
        <v>106.25</v>
      </c>
      <c r="I13435">
        <v>106.24</v>
      </c>
      <c r="J13435">
        <v>0.01</v>
      </c>
    </row>
    <row r="13436" spans="1:10" x14ac:dyDescent="0.3">
      <c r="A13436" t="str">
        <f>HYPERLINK("https://us2.cloudbeds.com/connect/10074733072513#/reservations/31711569977527?display=MX2M3PT8K&amp;reservation_id=31711569977527", "MX2M3PT8K")</f>
        <v>MX2M3PT8K</v>
      </c>
      <c r="B13436" t="s">
        <v>10</v>
      </c>
      <c r="C13436" t="s">
        <v>23</v>
      </c>
      <c r="D13436" t="str">
        <f>HYPERLINK("https://us2.cloudbeds.com/connect/10074733072513#/reservations/31711569977527?display=Jenny%20Potter&amp;reservation_id=31711569977527&amp;guest_id=31711569977477", "Jenny Potter")</f>
        <v>Jenny Potter</v>
      </c>
      <c r="E13436" t="s">
        <v>13015</v>
      </c>
      <c r="F13436" t="s">
        <v>12877</v>
      </c>
      <c r="G13436">
        <v>149</v>
      </c>
      <c r="H13436">
        <v>161.97</v>
      </c>
      <c r="I13436">
        <v>161.96</v>
      </c>
      <c r="J13436">
        <v>0.01</v>
      </c>
    </row>
    <row r="13437" spans="1:10" x14ac:dyDescent="0.3">
      <c r="A13437" t="str">
        <f>HYPERLINK("https://us2.cloudbeds.com/connect/10074733072513#/reservations/31712751931646?display=MX3JAEGJ4&amp;reservation_id=31712751931646", "MX3JAEGJ4")</f>
        <v>MX3JAEGJ4</v>
      </c>
      <c r="B13437" t="s">
        <v>10</v>
      </c>
      <c r="C13437" t="s">
        <v>42</v>
      </c>
      <c r="D13437" t="str">
        <f>HYPERLINK("https://us2.cloudbeds.com/connect/10074733072513#/reservations/31712751931646?display=Christy%20Berghorst&amp;reservation_id=31712751931646&amp;guest_id=31712751931642", "Christy Berghorst")</f>
        <v>Christy Berghorst</v>
      </c>
      <c r="E13437" t="s">
        <v>13016</v>
      </c>
      <c r="F13437" t="s">
        <v>12802</v>
      </c>
      <c r="G13437">
        <v>149</v>
      </c>
      <c r="H13437">
        <v>161.97</v>
      </c>
      <c r="I13437">
        <v>161.96</v>
      </c>
      <c r="J13437">
        <v>0.01</v>
      </c>
    </row>
    <row r="13438" spans="1:10" x14ac:dyDescent="0.3">
      <c r="A13438" t="str">
        <f>HYPERLINK("https://us2.cloudbeds.com/connect/10074733072513#/reservations/31711302324446?display=MX2F931G7&amp;reservation_id=31711302324446", "MX2F931G7")</f>
        <v>MX2F931G7</v>
      </c>
      <c r="B13438" t="s">
        <v>10</v>
      </c>
      <c r="C13438" t="s">
        <v>42</v>
      </c>
      <c r="D13438" t="str">
        <f>HYPERLINK("https://us2.cloudbeds.com/connect/10074733072513#/reservations/31711302324446?display=Justin%20Thooft&amp;reservation_id=31711302324446&amp;guest_id=31711302324442", "Justin Thooft")</f>
        <v>Justin Thooft</v>
      </c>
      <c r="E13438" t="s">
        <v>13017</v>
      </c>
      <c r="F13438" t="s">
        <v>12952</v>
      </c>
      <c r="G13438">
        <v>129</v>
      </c>
      <c r="H13438">
        <v>140.22999999999999</v>
      </c>
      <c r="I13438">
        <v>140.22</v>
      </c>
      <c r="J13438">
        <v>0.01</v>
      </c>
    </row>
    <row r="13439" spans="1:10" x14ac:dyDescent="0.3">
      <c r="A13439" t="str">
        <f>HYPERLINK("https://us2.cloudbeds.com/connect/10074733072513#/reservations/31712563679479?display=MX3EGN3J0&amp;reservation_id=31712563679479", "MX3EGN3J0")</f>
        <v>MX3EGN3J0</v>
      </c>
      <c r="B13439" t="s">
        <v>10</v>
      </c>
      <c r="C13439" t="s">
        <v>42</v>
      </c>
      <c r="D13439" t="str">
        <f>HYPERLINK("https://us2.cloudbeds.com/connect/10074733072513#/reservations/31712563679479?display=John%20Hunter&amp;reservation_id=31712563679479&amp;guest_id=31712552894618", "John Hunter")</f>
        <v>John Hunter</v>
      </c>
      <c r="E13439" t="s">
        <v>13020</v>
      </c>
      <c r="F13439" t="s">
        <v>12802</v>
      </c>
      <c r="G13439">
        <v>139</v>
      </c>
      <c r="H13439">
        <v>151.1</v>
      </c>
      <c r="I13439">
        <v>151.09</v>
      </c>
      <c r="J13439">
        <v>0.01</v>
      </c>
    </row>
    <row r="13440" spans="1:10" x14ac:dyDescent="0.3">
      <c r="A13440" t="str">
        <f>HYPERLINK("https://us2.cloudbeds.com/connect/10074733072513#/reservations/31712772845710?display=MX3JS2FDY&amp;reservation_id=31712772845710", "MX3JS2FDY")</f>
        <v>MX3JS2FDY</v>
      </c>
      <c r="B13440" t="s">
        <v>10</v>
      </c>
      <c r="C13440" t="s">
        <v>121</v>
      </c>
      <c r="D13440" t="str">
        <f>HYPERLINK("https://us2.cloudbeds.com/connect/10074733072513#/reservations/31712772845710?display=Find%20Out%20Who%20Is%20In%20This%20Room%20.&amp;reservation_id=31712772845710&amp;guest_id=31712772845708", "Find Out Who Is In This Room .")</f>
        <v>Find Out Who Is In This Room .</v>
      </c>
      <c r="E13440" t="s">
        <v>8709</v>
      </c>
      <c r="F13440" t="s">
        <v>12802</v>
      </c>
      <c r="G13440">
        <v>129</v>
      </c>
      <c r="H13440">
        <v>140.22999999999999</v>
      </c>
      <c r="I13440">
        <v>140.22</v>
      </c>
      <c r="J13440">
        <v>0.01</v>
      </c>
    </row>
    <row r="13441" spans="1:10" x14ac:dyDescent="0.3">
      <c r="A13441" t="str">
        <f>HYPERLINK("https://us2.cloudbeds.com/connect/10074733072513#/reservations/31712047349942?display=MX31AAFPD&amp;reservation_id=31712047349942", "MX31AAFPD")</f>
        <v>MX31AAFPD</v>
      </c>
      <c r="B13441" t="s">
        <v>10</v>
      </c>
      <c r="C13441" t="s">
        <v>23</v>
      </c>
      <c r="D13441" t="str">
        <f>HYPERLINK("https://us2.cloudbeds.com/connect/10074733072513#/reservations/31712047349942?display=Jack%20Nold&amp;reservation_id=31712047349942&amp;guest_id=31712039059613", "Jack Nold")</f>
        <v>Jack Nold</v>
      </c>
      <c r="E13441" t="s">
        <v>13021</v>
      </c>
      <c r="F13441" t="s">
        <v>12897</v>
      </c>
      <c r="G13441">
        <v>189</v>
      </c>
      <c r="H13441">
        <v>205.45</v>
      </c>
      <c r="I13441">
        <v>205.44</v>
      </c>
      <c r="J13441">
        <v>0.01</v>
      </c>
    </row>
    <row r="13442" spans="1:10" x14ac:dyDescent="0.3">
      <c r="A13442" t="str">
        <f>HYPERLINK("https://us2.cloudbeds.com/connect/10074733072513#/reservations/31702953918618?display=MHSWVGBEE&amp;reservation_id=31702953918618", "MHSWVGBEE")</f>
        <v>MHSWVGBEE</v>
      </c>
      <c r="B13442" t="s">
        <v>10</v>
      </c>
      <c r="C13442" t="s">
        <v>42</v>
      </c>
      <c r="D13442" t="str">
        <f>HYPERLINK("https://us2.cloudbeds.com/connect/10074733072513#/reservations/31702953918618?display=Ashly%20Gunderson&amp;reservation_id=31702953918618&amp;guest_id=31702953918616", "Ashly Gunderson")</f>
        <v>Ashly Gunderson</v>
      </c>
      <c r="E13442" t="s">
        <v>13022</v>
      </c>
      <c r="F13442" t="s">
        <v>12005</v>
      </c>
      <c r="G13442">
        <v>129</v>
      </c>
      <c r="H13442">
        <v>140.22999999999999</v>
      </c>
      <c r="I13442">
        <v>140.22</v>
      </c>
      <c r="J13442">
        <v>0.01</v>
      </c>
    </row>
    <row r="13443" spans="1:10" x14ac:dyDescent="0.3">
      <c r="A13443" t="str">
        <f>HYPERLINK("https://us2.cloudbeds.com/connect/10074733072513#/reservations/31710982570124?display=MX273FDHA&amp;reservation_id=31710982570124", "MX273FDHA")</f>
        <v>MX273FDHA</v>
      </c>
      <c r="B13443" t="s">
        <v>10</v>
      </c>
      <c r="C13443" t="s">
        <v>23</v>
      </c>
      <c r="D13443" t="str">
        <f>HYPERLINK("https://us2.cloudbeds.com/connect/10074733072513#/reservations/31710982570124?display=Allison%20Craker&amp;reservation_id=31710982570124&amp;guest_id=31710982570122", "Allison Craker")</f>
        <v>Allison Craker</v>
      </c>
      <c r="E13443" t="s">
        <v>13024</v>
      </c>
      <c r="F13443" t="s">
        <v>12927</v>
      </c>
      <c r="G13443">
        <v>129</v>
      </c>
      <c r="H13443">
        <v>140.22999999999999</v>
      </c>
      <c r="I13443">
        <v>140.22</v>
      </c>
      <c r="J13443">
        <v>0.01</v>
      </c>
    </row>
    <row r="13444" spans="1:10" x14ac:dyDescent="0.3">
      <c r="A13444" t="str">
        <f>HYPERLINK("https://us2.cloudbeds.com/connect/10074733072513#/reservations/31713521987828?display=MX45WPESU&amp;reservation_id=31713521987828", "MX45WPESU")</f>
        <v>MX45WPESU</v>
      </c>
      <c r="B13444" t="s">
        <v>10</v>
      </c>
      <c r="C13444" t="s">
        <v>42</v>
      </c>
      <c r="D13444" t="str">
        <f>HYPERLINK("https://us2.cloudbeds.com/connect/10074733072513#/reservations/31713521987828?display=Adam%20Roemmick&amp;reservation_id=31713521987828&amp;guest_id=31713504063651", "Adam Roemmick")</f>
        <v>Adam Roemmick</v>
      </c>
      <c r="E13444" t="s">
        <v>13025</v>
      </c>
      <c r="F13444" t="s">
        <v>12897</v>
      </c>
      <c r="G13444">
        <v>159</v>
      </c>
      <c r="H13444">
        <v>172.84</v>
      </c>
      <c r="I13444">
        <v>172.83</v>
      </c>
      <c r="J13444">
        <v>0.01</v>
      </c>
    </row>
    <row r="13445" spans="1:10" x14ac:dyDescent="0.3">
      <c r="A13445" t="str">
        <f>HYPERLINK("https://us2.cloudbeds.com/connect/10074733072513#/reservations/31701645848772?display=MHRWHGCC8&amp;reservation_id=31701645848772", "MHRWHGCC8")</f>
        <v>MHRWHGCC8</v>
      </c>
      <c r="B13445" t="s">
        <v>10</v>
      </c>
      <c r="C13445" t="s">
        <v>23</v>
      </c>
      <c r="D13445" t="str">
        <f>HYPERLINK("https://us2.cloudbeds.com/connect/10074733072513#/reservations/31701645848772?display=Amber%20Fogel&amp;reservation_id=31701645848772&amp;guest_id=31701636341940", "Amber Fogel")</f>
        <v>Amber Fogel</v>
      </c>
      <c r="E13445" t="s">
        <v>13026</v>
      </c>
      <c r="F13445" t="s">
        <v>12533</v>
      </c>
      <c r="G13445">
        <v>221.72</v>
      </c>
      <c r="H13445">
        <v>241.02</v>
      </c>
      <c r="I13445">
        <v>241.01</v>
      </c>
      <c r="J13445">
        <v>0.01</v>
      </c>
    </row>
    <row r="13446" spans="1:10" x14ac:dyDescent="0.3">
      <c r="A13446" t="str">
        <f>HYPERLINK("https://us2.cloudbeds.com/connect/10074733072513#/reservations/31713271804079?display=MX3WJQNZ6&amp;reservation_id=31713271804079", "MX3WJQNZ6")</f>
        <v>MX3WJQNZ6</v>
      </c>
      <c r="B13446" t="s">
        <v>10</v>
      </c>
      <c r="C13446" t="s">
        <v>42</v>
      </c>
      <c r="D13446" t="str">
        <f>HYPERLINK("https://us2.cloudbeds.com/connect/10074733072513#/reservations/31713271804079?display=Jennifer%20Larsen&amp;reservation_id=31713271804079&amp;guest_id=31713257926882", "Jennifer Larsen")</f>
        <v>Jennifer Larsen</v>
      </c>
      <c r="E13446" t="s">
        <v>13027</v>
      </c>
      <c r="F13446" t="s">
        <v>12897</v>
      </c>
      <c r="G13446">
        <v>169</v>
      </c>
      <c r="H13446">
        <v>183.71</v>
      </c>
      <c r="I13446">
        <v>183.7</v>
      </c>
      <c r="J13446">
        <v>0.01</v>
      </c>
    </row>
    <row r="13447" spans="1:10" x14ac:dyDescent="0.3">
      <c r="A13447" t="str">
        <f>HYPERLINK("https://us2.cloudbeds.com/connect/10074733072513#/reservations/31703201530108?display=MHT699GHU&amp;reservation_id=31703201530108", "MHT699GHU")</f>
        <v>MHT699GHU</v>
      </c>
      <c r="B13447" t="s">
        <v>10</v>
      </c>
      <c r="C13447" t="s">
        <v>42</v>
      </c>
      <c r="D13447" t="str">
        <f>HYPERLINK("https://us2.cloudbeds.com/connect/10074733072513#/reservations/31703201530108?display=Tom%20Monson&amp;reservation_id=31703201530108&amp;guest_id=31703201530106", "Tom Monson")</f>
        <v>Tom Monson</v>
      </c>
      <c r="E13447" t="s">
        <v>13028</v>
      </c>
      <c r="F13447" t="s">
        <v>12795</v>
      </c>
      <c r="G13447">
        <v>169</v>
      </c>
      <c r="H13447">
        <v>183.71</v>
      </c>
      <c r="I13447">
        <v>183.7</v>
      </c>
      <c r="J13447">
        <v>0.01</v>
      </c>
    </row>
    <row r="13448" spans="1:10" x14ac:dyDescent="0.3">
      <c r="A13448" t="str">
        <f>HYPERLINK("https://us2.cloudbeds.com/connect/10074733072513#/reservations/31711074906334?display=MX29FAQE9&amp;reservation_id=31711074906334", "MX29FAQE9")</f>
        <v>MX29FAQE9</v>
      </c>
      <c r="B13448" t="s">
        <v>10</v>
      </c>
      <c r="C13448" t="s">
        <v>42</v>
      </c>
      <c r="D13448" t="str">
        <f>HYPERLINK("https://us2.cloudbeds.com/connect/10074733072513#/reservations/31711074906334?display=Brian%20Davis&amp;reservation_id=31711074906334&amp;guest_id=31702571184317", "Brian Davis")</f>
        <v>Brian Davis</v>
      </c>
      <c r="E13448" t="s">
        <v>2791</v>
      </c>
      <c r="F13448" t="s">
        <v>12877</v>
      </c>
      <c r="G13448">
        <v>420</v>
      </c>
      <c r="H13448">
        <v>456.55</v>
      </c>
      <c r="I13448">
        <v>456.54</v>
      </c>
      <c r="J13448">
        <v>0.01</v>
      </c>
    </row>
    <row r="13449" spans="1:10" x14ac:dyDescent="0.3">
      <c r="A13449" t="str">
        <f>HYPERLINK("https://us2.cloudbeds.com/connect/10074733072513#/reservations/31712278671525?display=MX377CB9A&amp;reservation_id=31712278671525", "MX377CB9A")</f>
        <v>MX377CB9A</v>
      </c>
      <c r="B13449" t="s">
        <v>10</v>
      </c>
      <c r="C13449" t="s">
        <v>42</v>
      </c>
      <c r="D13449" t="str">
        <f>HYPERLINK("https://us2.cloudbeds.com/connect/10074733072513#/reservations/31712278671525?display=Jeff%20Schleeter&amp;reservation_id=31712278671525&amp;guest_id=30662853701850", "Jeff Schleeter")</f>
        <v>Jeff Schleeter</v>
      </c>
      <c r="E13449" t="s">
        <v>13034</v>
      </c>
      <c r="F13449" t="s">
        <v>12580</v>
      </c>
      <c r="G13449">
        <v>89</v>
      </c>
      <c r="H13449">
        <v>96.75</v>
      </c>
      <c r="I13449">
        <v>96.74</v>
      </c>
      <c r="J13449">
        <v>0.01</v>
      </c>
    </row>
    <row r="13450" spans="1:10" x14ac:dyDescent="0.3">
      <c r="A13450" t="str">
        <f>HYPERLINK("https://us2.cloudbeds.com/connect/10074733072513#/reservations/31712280436943?display=MX378SFDS&amp;reservation_id=31712280436943", "MX378SFDS")</f>
        <v>MX378SFDS</v>
      </c>
      <c r="B13450" t="s">
        <v>10</v>
      </c>
      <c r="C13450" t="s">
        <v>42</v>
      </c>
      <c r="D13450" t="str">
        <f>HYPERLINK("https://us2.cloudbeds.com/connect/10074733072513#/reservations/31712280436943?display=Bart%20Fisher&amp;reservation_id=31712280436943&amp;guest_id=31712280436938", "Bart Fisher")</f>
        <v>Bart Fisher</v>
      </c>
      <c r="E13450" t="s">
        <v>13035</v>
      </c>
      <c r="F13450" t="s">
        <v>12580</v>
      </c>
      <c r="G13450">
        <v>149</v>
      </c>
      <c r="H13450">
        <v>161.97</v>
      </c>
      <c r="I13450">
        <v>161.96</v>
      </c>
      <c r="J13450">
        <v>0.01</v>
      </c>
    </row>
    <row r="13451" spans="1:10" x14ac:dyDescent="0.3">
      <c r="A13451" t="str">
        <f>HYPERLINK("https://us2.cloudbeds.com/connect/10074733072513#/reservations/31702182088922?display=MHSD7M1XP&amp;reservation_id=31702182088922", "MHSD7M1XP")</f>
        <v>MHSD7M1XP</v>
      </c>
      <c r="B13451" t="s">
        <v>10</v>
      </c>
      <c r="C13451" t="s">
        <v>42</v>
      </c>
      <c r="D13451" t="str">
        <f>HYPERLINK("https://us2.cloudbeds.com/connect/10074733072513#/reservations/31702182088922?display=Mark%20Etchison&amp;reservation_id=31702182088922&amp;guest_id=31702182088919", "Mark Etchison")</f>
        <v>Mark Etchison</v>
      </c>
      <c r="E13451" t="s">
        <v>13036</v>
      </c>
      <c r="F13451" t="s">
        <v>12795</v>
      </c>
      <c r="G13451">
        <v>238</v>
      </c>
      <c r="H13451">
        <v>258.72000000000003</v>
      </c>
      <c r="I13451">
        <v>258.70999999999998</v>
      </c>
      <c r="J13451">
        <v>0.01</v>
      </c>
    </row>
    <row r="13452" spans="1:10" x14ac:dyDescent="0.3">
      <c r="A13452" t="str">
        <f>HYPERLINK("https://us2.cloudbeds.com/connect/10074733072513#/reservations/31711124648122?display=MX2AZ8V06&amp;reservation_id=31711124648122", "MX2AZ8V06")</f>
        <v>MX2AZ8V06</v>
      </c>
      <c r="B13452" t="s">
        <v>10</v>
      </c>
      <c r="C13452" t="s">
        <v>23</v>
      </c>
      <c r="D13452" t="str">
        <f>HYPERLINK("https://us2.cloudbeds.com/connect/10074733072513#/reservations/31711124648122?display=Rick%20Beagle&amp;reservation_id=31711124648122&amp;guest_id=31711113928930", "Rick Beagle")</f>
        <v>Rick Beagle</v>
      </c>
      <c r="E13452" t="s">
        <v>13037</v>
      </c>
      <c r="F13452" t="s">
        <v>13038</v>
      </c>
      <c r="G13452">
        <v>258</v>
      </c>
      <c r="H13452">
        <v>280.45999999999998</v>
      </c>
      <c r="I13452">
        <v>280.45</v>
      </c>
      <c r="J13452">
        <v>0.01</v>
      </c>
    </row>
    <row r="13453" spans="1:10" x14ac:dyDescent="0.3">
      <c r="A13453" t="str">
        <f>HYPERLINK("https://us2.cloudbeds.com/connect/10074733072513#/reservations/31712292679839?display=MX37J64ZN&amp;reservation_id=31712292679839", "MX37J64ZN")</f>
        <v>MX37J64ZN</v>
      </c>
      <c r="B13453" t="s">
        <v>10</v>
      </c>
      <c r="C13453" t="s">
        <v>42</v>
      </c>
      <c r="D13453" t="str">
        <f>HYPERLINK("https://us2.cloudbeds.com/connect/10074733072513#/reservations/31712292679839?display=Hannah%20Rummel&amp;reservation_id=31712292679839&amp;guest_id=31711835492502", "Hannah Rummel")</f>
        <v>Hannah Rummel</v>
      </c>
      <c r="E13453" t="s">
        <v>12975</v>
      </c>
      <c r="F13453" t="s">
        <v>12580</v>
      </c>
      <c r="G13453">
        <v>159</v>
      </c>
      <c r="H13453">
        <v>172.84</v>
      </c>
      <c r="I13453">
        <v>172.83</v>
      </c>
      <c r="J13453">
        <v>0.01</v>
      </c>
    </row>
    <row r="13454" spans="1:10" x14ac:dyDescent="0.3">
      <c r="A13454" t="str">
        <f>HYPERLINK("https://us2.cloudbeds.com/connect/10074733072513#/reservations/31711535890595?display=MX2Y81C4A&amp;reservation_id=31711535890595", "MX2Y81C4A")</f>
        <v>MX2Y81C4A</v>
      </c>
      <c r="B13454" t="s">
        <v>10</v>
      </c>
      <c r="C13454" t="s">
        <v>23</v>
      </c>
      <c r="D13454" t="str">
        <f>HYPERLINK("https://us2.cloudbeds.com/connect/10074733072513#/reservations/31711535890595?display=Thomas%20Keating&amp;reservation_id=31711535890595&amp;guest_id=31711535890583", "Thomas Keating")</f>
        <v>Thomas Keating</v>
      </c>
      <c r="E13454" t="s">
        <v>13039</v>
      </c>
      <c r="F13454" t="s">
        <v>12997</v>
      </c>
      <c r="G13454">
        <v>221.72</v>
      </c>
      <c r="H13454">
        <v>241.02</v>
      </c>
      <c r="I13454">
        <v>241.01</v>
      </c>
      <c r="J13454">
        <v>0.01</v>
      </c>
    </row>
    <row r="13455" spans="1:10" x14ac:dyDescent="0.3">
      <c r="A13455" t="str">
        <f>HYPERLINK("https://us2.cloudbeds.com/connect/10074733072513#/reservations/31711487762612?display=MX2K0F4FJ&amp;reservation_id=31711487762612", "MX2K0F4FJ")</f>
        <v>MX2K0F4FJ</v>
      </c>
      <c r="B13455" t="s">
        <v>10</v>
      </c>
      <c r="C13455" t="s">
        <v>42</v>
      </c>
      <c r="D13455" t="str">
        <f>HYPERLINK("https://us2.cloudbeds.com/connect/10074733072513#/reservations/31711487762612?display=Gene%20Westerbuhr&amp;reservation_id=31711487762612&amp;guest_id=31702436380876", "Gene Westerbuhr")</f>
        <v>Gene Westerbuhr</v>
      </c>
      <c r="E13455" t="s">
        <v>11352</v>
      </c>
      <c r="F13455" t="s">
        <v>12952</v>
      </c>
      <c r="G13455">
        <v>89</v>
      </c>
      <c r="H13455">
        <v>96.75</v>
      </c>
      <c r="I13455">
        <v>96.74</v>
      </c>
      <c r="J13455">
        <v>0.01</v>
      </c>
    </row>
    <row r="13456" spans="1:10" x14ac:dyDescent="0.3">
      <c r="A13456" t="str">
        <f>HYPERLINK("https://us2.cloudbeds.com/connect/10074733072513#/reservations/31711478427801?display=MX2JPJCXH&amp;reservation_id=31711478427801", "MX2JPJCXH")</f>
        <v>MX2JPJCXH</v>
      </c>
      <c r="B13456" t="s">
        <v>10</v>
      </c>
      <c r="C13456" t="s">
        <v>42</v>
      </c>
      <c r="D13456" t="str">
        <f>HYPERLINK("https://us2.cloudbeds.com/connect/10074733072513#/reservations/31711478427801?display=Eddie%20Frogner&amp;reservation_id=31711478427801&amp;guest_id=31711478427797", "Eddie Frogner")</f>
        <v>Eddie Frogner</v>
      </c>
      <c r="E13456" t="s">
        <v>13040</v>
      </c>
      <c r="F13456" t="s">
        <v>12952</v>
      </c>
      <c r="G13456">
        <v>149</v>
      </c>
      <c r="H13456">
        <v>161.97</v>
      </c>
      <c r="I13456">
        <v>161.96</v>
      </c>
      <c r="J13456">
        <v>0.01</v>
      </c>
    </row>
    <row r="13457" spans="1:10" x14ac:dyDescent="0.3">
      <c r="A13457" t="str">
        <f>HYPERLINK("https://us2.cloudbeds.com/connect/10074733072513#/reservations/31702835785932?display=MHSTUT4A2&amp;reservation_id=31702835785932", "MHSTUT4A2")</f>
        <v>MHSTUT4A2</v>
      </c>
      <c r="B13457" t="s">
        <v>10</v>
      </c>
      <c r="C13457" t="s">
        <v>42</v>
      </c>
      <c r="D13457" t="str">
        <f>HYPERLINK("https://us2.cloudbeds.com/connect/10074733072513#/reservations/31702835785932?display=Gene%20Westerbuhr&amp;reservation_id=31702835785932&amp;guest_id=31702436380876", "Gene Westerbuhr")</f>
        <v>Gene Westerbuhr</v>
      </c>
      <c r="E13457" t="s">
        <v>11352</v>
      </c>
      <c r="F13457" t="s">
        <v>12835</v>
      </c>
      <c r="G13457">
        <v>89</v>
      </c>
      <c r="H13457">
        <v>96.75</v>
      </c>
      <c r="I13457">
        <v>96.74</v>
      </c>
      <c r="J13457">
        <v>0.01</v>
      </c>
    </row>
    <row r="13458" spans="1:10" x14ac:dyDescent="0.3">
      <c r="A13458" t="str">
        <f>HYPERLINK("https://us2.cloudbeds.com/connect/10074733072513#/reservations/31711476965610?display=MX2JZBMSN&amp;reservation_id=31711476965610", "MX2JZBMSN")</f>
        <v>MX2JZBMSN</v>
      </c>
      <c r="B13458" t="s">
        <v>10</v>
      </c>
      <c r="C13458" t="s">
        <v>121</v>
      </c>
      <c r="D13458" t="str">
        <f>HYPERLINK("https://us2.cloudbeds.com/connect/10074733072513#/reservations/31711476965610?display=Casey%20Hampton&amp;reservation_id=31711476965610&amp;guest_id=31711467647133", "Casey Hampton")</f>
        <v>Casey Hampton</v>
      </c>
      <c r="E13458" t="s">
        <v>13041</v>
      </c>
      <c r="F13458" t="s">
        <v>12952</v>
      </c>
      <c r="G13458">
        <v>149</v>
      </c>
      <c r="H13458">
        <v>161.97</v>
      </c>
      <c r="I13458">
        <v>161.96</v>
      </c>
      <c r="J13458">
        <v>0.01</v>
      </c>
    </row>
    <row r="13459" spans="1:10" x14ac:dyDescent="0.3">
      <c r="A13459" t="str">
        <f>HYPERLINK("https://us2.cloudbeds.com/connect/10074733072513#/reservations/31712231694492?display=MX360P4GT&amp;reservation_id=31712231694492", "MX360P4GT")</f>
        <v>MX360P4GT</v>
      </c>
      <c r="B13459" t="s">
        <v>10</v>
      </c>
      <c r="C13459" t="s">
        <v>42</v>
      </c>
      <c r="D13459" t="str">
        <f>HYPERLINK("https://us2.cloudbeds.com/connect/10074733072513#/reservations/31712231694492?display=Patsy%20Brown&amp;reservation_id=31712231694492&amp;guest_id=31712218771659", "Patsy Brown")</f>
        <v>Patsy Brown</v>
      </c>
      <c r="E13459" t="s">
        <v>13042</v>
      </c>
      <c r="F13459" t="s">
        <v>12580</v>
      </c>
      <c r="G13459">
        <v>149</v>
      </c>
      <c r="H13459">
        <v>161.97</v>
      </c>
      <c r="I13459">
        <v>161.96</v>
      </c>
      <c r="J13459">
        <v>0.01</v>
      </c>
    </row>
    <row r="13460" spans="1:10" x14ac:dyDescent="0.3">
      <c r="A13460" t="str">
        <f>HYPERLINK("https://us2.cloudbeds.com/connect/10074733072513#/reservations/31711460712648?display=MX2JAYE6N&amp;reservation_id=31711460712648", "MX2JAYE6N")</f>
        <v>MX2JAYE6N</v>
      </c>
      <c r="B13460" t="s">
        <v>10</v>
      </c>
      <c r="C13460" t="s">
        <v>42</v>
      </c>
      <c r="D13460" t="str">
        <f>HYPERLINK("https://us2.cloudbeds.com/connect/10074733072513#/reservations/31711460712648?display=Arman%20Miller&amp;reservation_id=31711460712648&amp;guest_id=31711453671664", "Arman Miller")</f>
        <v>Arman Miller</v>
      </c>
      <c r="E13460" t="s">
        <v>13044</v>
      </c>
      <c r="F13460" t="s">
        <v>12952</v>
      </c>
      <c r="G13460">
        <v>149</v>
      </c>
      <c r="H13460">
        <v>161.97</v>
      </c>
      <c r="I13460">
        <v>161.96</v>
      </c>
      <c r="J13460">
        <v>0.01</v>
      </c>
    </row>
    <row r="13461" spans="1:10" x14ac:dyDescent="0.3">
      <c r="A13461" t="str">
        <f>HYPERLINK("https://us2.cloudbeds.com/connect/10074733072513#/reservations/31711434911932?display=MX2XYTG2R&amp;reservation_id=31711434911932", "MX2XYTG2R")</f>
        <v>MX2XYTG2R</v>
      </c>
      <c r="B13461" t="s">
        <v>10</v>
      </c>
      <c r="C13461" t="s">
        <v>23</v>
      </c>
      <c r="D13461" t="str">
        <f>HYPERLINK("https://us2.cloudbeds.com/connect/10074733072513#/reservations/31711434911932?display=Mike%20Brusseau&amp;reservation_id=31711434911932&amp;guest_id=31711434911879", "Mike Brusseau")</f>
        <v>Mike Brusseau</v>
      </c>
      <c r="E13461" t="s">
        <v>13045</v>
      </c>
      <c r="F13461" t="s">
        <v>12952</v>
      </c>
      <c r="G13461">
        <v>149</v>
      </c>
      <c r="H13461">
        <v>161.97</v>
      </c>
      <c r="I13461">
        <v>161.96</v>
      </c>
      <c r="J13461">
        <v>0.01</v>
      </c>
    </row>
    <row r="13462" spans="1:10" x14ac:dyDescent="0.3">
      <c r="A13462" t="str">
        <f>HYPERLINK("https://us2.cloudbeds.com/connect/10074733072513#/reservations/31711293927598?display=MX2F20CT9&amp;reservation_id=31711293927598", "MX2F20CT9")</f>
        <v>MX2F20CT9</v>
      </c>
      <c r="B13462" t="s">
        <v>10</v>
      </c>
      <c r="C13462" t="s">
        <v>42</v>
      </c>
      <c r="D13462" t="str">
        <f>HYPERLINK("https://us2.cloudbeds.com/connect/10074733072513#/reservations/31711293927598?display=Chad%20Hauck&amp;reservation_id=31711293927598&amp;guest_id=17963360571554", "Chad Hauck")</f>
        <v>Chad Hauck</v>
      </c>
      <c r="E13462" t="s">
        <v>9431</v>
      </c>
      <c r="F13462" t="s">
        <v>12962</v>
      </c>
      <c r="G13462">
        <v>73</v>
      </c>
      <c r="H13462">
        <v>79.36</v>
      </c>
      <c r="I13462">
        <v>79.349999999999994</v>
      </c>
      <c r="J13462">
        <v>0.01</v>
      </c>
    </row>
    <row r="13463" spans="1:10" x14ac:dyDescent="0.3">
      <c r="A13463" t="str">
        <f>HYPERLINK("https://us2.cloudbeds.com/connect/10074733072513#/reservations/31703044255918?display=MHT28M3QC&amp;reservation_id=31703044255918", "MHT28M3QC")</f>
        <v>MHT28M3QC</v>
      </c>
      <c r="B13463" t="s">
        <v>10</v>
      </c>
      <c r="C13463" t="s">
        <v>42</v>
      </c>
      <c r="D13463" t="str">
        <f>HYPERLINK("https://us2.cloudbeds.com/connect/10074733072513#/reservations/31703044255918?display=Gene%20Westerbuhr&amp;reservation_id=31703044255918&amp;guest_id=31702436380876", "Gene Westerbuhr")</f>
        <v>Gene Westerbuhr</v>
      </c>
      <c r="E13463" t="s">
        <v>11352</v>
      </c>
      <c r="F13463" t="s">
        <v>13049</v>
      </c>
      <c r="G13463">
        <v>178</v>
      </c>
      <c r="H13463">
        <v>193.5</v>
      </c>
      <c r="I13463">
        <v>193.49</v>
      </c>
      <c r="J13463">
        <v>0.01</v>
      </c>
    </row>
    <row r="13464" spans="1:10" x14ac:dyDescent="0.3">
      <c r="A13464" t="str">
        <f>HYPERLINK("https://us2.cloudbeds.com/connect/10074733072513#/reservations/31711376674946?display=MX2H5PVJM&amp;reservation_id=31711376674946", "MX2H5PVJM")</f>
        <v>MX2H5PVJM</v>
      </c>
      <c r="B13464" t="s">
        <v>10</v>
      </c>
      <c r="C13464" t="s">
        <v>42</v>
      </c>
      <c r="D13464" t="str">
        <f>HYPERLINK("https://us2.cloudbeds.com/connect/10074733072513#/reservations/31711376674946?display=Christopher%20Chin-See&amp;reservation_id=31711376674946&amp;guest_id=31711376670903", "Christopher Chin-See")</f>
        <v>Christopher Chin-See</v>
      </c>
      <c r="E13464" t="s">
        <v>13051</v>
      </c>
      <c r="F13464" t="s">
        <v>12894</v>
      </c>
      <c r="G13464">
        <v>418</v>
      </c>
      <c r="H13464">
        <v>454.38</v>
      </c>
      <c r="I13464">
        <v>454.37</v>
      </c>
      <c r="J13464">
        <v>0.01</v>
      </c>
    </row>
    <row r="13465" spans="1:10" x14ac:dyDescent="0.3">
      <c r="A13465" t="str">
        <f>HYPERLINK("https://us2.cloudbeds.com/connect/10074733072513#/reservations/31711033782439?display=MX28DYFEY&amp;reservation_id=31711033782439", "MX28DYFEY")</f>
        <v>MX28DYFEY</v>
      </c>
      <c r="B13465" t="s">
        <v>10</v>
      </c>
      <c r="C13465" t="s">
        <v>42</v>
      </c>
      <c r="D13465" t="str">
        <f>HYPERLINK("https://us2.cloudbeds.com/connect/10074733072513#/reservations/31711033782439?display=Tim%20Miners&amp;reservation_id=31711033782439&amp;guest_id=31711033782422", "Tim Miners")</f>
        <v>Tim Miners</v>
      </c>
      <c r="E13465" t="s">
        <v>13055</v>
      </c>
      <c r="F13465" t="s">
        <v>12877</v>
      </c>
      <c r="G13465">
        <v>252</v>
      </c>
      <c r="H13465">
        <v>273.93</v>
      </c>
      <c r="I13465">
        <v>273.92</v>
      </c>
      <c r="J13465">
        <v>0.01</v>
      </c>
    </row>
    <row r="13466" spans="1:10" x14ac:dyDescent="0.3">
      <c r="A13466" t="str">
        <f>HYPERLINK("https://us2.cloudbeds.com/connect/10074733072513#/reservations/31711478661251?display=MX2JPPSUP&amp;reservation_id=31711478661251", "MX2JPPSUP")</f>
        <v>MX2JPPSUP</v>
      </c>
      <c r="B13466" t="s">
        <v>10</v>
      </c>
      <c r="C13466" t="s">
        <v>23</v>
      </c>
      <c r="D13466" t="str">
        <f>HYPERLINK("https://us2.cloudbeds.com/connect/10074733072513#/reservations/31711478661251?display=Martiin%20Brown&amp;reservation_id=31711478661251&amp;guest_id=31711478661249", "Martiin Brown")</f>
        <v>Martiin Brown</v>
      </c>
      <c r="E13466" t="s">
        <v>13056</v>
      </c>
      <c r="F13466" t="s">
        <v>12877</v>
      </c>
      <c r="G13466">
        <v>219.92</v>
      </c>
      <c r="H13466">
        <v>239.06</v>
      </c>
      <c r="I13466">
        <v>239.05</v>
      </c>
      <c r="J13466">
        <v>0.01</v>
      </c>
    </row>
    <row r="13467" spans="1:10" x14ac:dyDescent="0.3">
      <c r="A13467" t="str">
        <f>HYPERLINK("https://us2.cloudbeds.com/connect/10074733072513#/reservations/31711249776879?display=MX2DUPREN&amp;reservation_id=31711249776879", "MX2DUPREN")</f>
        <v>MX2DUPREN</v>
      </c>
      <c r="B13467" t="s">
        <v>10</v>
      </c>
      <c r="C13467" t="s">
        <v>42</v>
      </c>
      <c r="D13467" t="str">
        <f>HYPERLINK("https://us2.cloudbeds.com/connect/10074733072513#/reservations/31711249776879?display=Travis%20Van%20Dyke&amp;reservation_id=31711249776879&amp;guest_id=31711244075229", "Travis Van Dyke")</f>
        <v>Travis Van Dyke</v>
      </c>
      <c r="E13467" t="s">
        <v>12385</v>
      </c>
      <c r="F13467" t="s">
        <v>12962</v>
      </c>
      <c r="G13467">
        <v>149</v>
      </c>
      <c r="H13467">
        <v>161.97</v>
      </c>
      <c r="I13467">
        <v>161.96</v>
      </c>
      <c r="J13467">
        <v>0.01</v>
      </c>
    </row>
    <row r="13468" spans="1:10" x14ac:dyDescent="0.3">
      <c r="A13468" t="str">
        <f>HYPERLINK("https://us2.cloudbeds.com/connect/10074733072513#/reservations/31711706968316?display=MX2PK9S9M&amp;reservation_id=31711706968316", "MX2PK9S9M")</f>
        <v>MX2PK9S9M</v>
      </c>
      <c r="B13468" t="s">
        <v>10</v>
      </c>
      <c r="C13468" t="s">
        <v>42</v>
      </c>
      <c r="D13468" t="str">
        <f>HYPERLINK("https://us2.cloudbeds.com/connect/10074733072513#/reservations/31711706968316?display=Ken%20Barber&amp;reservation_id=31711706968316&amp;guest_id=31711706968313", "Ken Barber")</f>
        <v>Ken Barber</v>
      </c>
      <c r="E13468" t="s">
        <v>13057</v>
      </c>
      <c r="F13468" t="s">
        <v>12997</v>
      </c>
      <c r="G13468">
        <v>149</v>
      </c>
      <c r="H13468">
        <v>161.97</v>
      </c>
      <c r="I13468">
        <v>161.96</v>
      </c>
      <c r="J13468">
        <v>0.01</v>
      </c>
    </row>
    <row r="13469" spans="1:10" x14ac:dyDescent="0.3">
      <c r="A13469" t="str">
        <f>HYPERLINK("https://us2.cloudbeds.com/connect/10074733072513#/reservations/31711224840393?display=MX2D9ZUUJ&amp;reservation_id=31711224840393", "MX2D9ZUUJ")</f>
        <v>MX2D9ZUUJ</v>
      </c>
      <c r="B13469" t="s">
        <v>10</v>
      </c>
      <c r="C13469" t="s">
        <v>121</v>
      </c>
      <c r="D13469" t="str">
        <f>HYPERLINK("https://us2.cloudbeds.com/connect/10074733072513#/reservations/31711224840393?display=Roy%20Oday&amp;reservation_id=31711224840393&amp;guest_id=31711215050936", "Roy Oday")</f>
        <v>Roy Oday</v>
      </c>
      <c r="E13469" t="s">
        <v>13058</v>
      </c>
      <c r="F13469" t="s">
        <v>12952</v>
      </c>
      <c r="G13469">
        <v>179</v>
      </c>
      <c r="H13469">
        <v>194.58</v>
      </c>
      <c r="I13469">
        <v>194.57</v>
      </c>
      <c r="J13469">
        <v>0.01</v>
      </c>
    </row>
    <row r="13470" spans="1:10" x14ac:dyDescent="0.3">
      <c r="A13470" t="str">
        <f>HYPERLINK("https://us2.cloudbeds.com/connect/10074733072513#/reservations/31711397302467?display=MX2HN5VA2&amp;reservation_id=31711397302467", "MX2HN5VA2")</f>
        <v>MX2HN5VA2</v>
      </c>
      <c r="B13470" t="s">
        <v>10</v>
      </c>
      <c r="C13470" t="s">
        <v>42</v>
      </c>
      <c r="D13470" t="str">
        <f>HYPERLINK("https://us2.cloudbeds.com/connect/10074733072513#/reservations/31711397302467?display=Kuya%20Gwaan&amp;reservation_id=31711397302467&amp;guest_id=31711387828385", "Kuya Gwaan")</f>
        <v>Kuya Gwaan</v>
      </c>
      <c r="E13470" t="s">
        <v>13059</v>
      </c>
      <c r="F13470" t="s">
        <v>12894</v>
      </c>
      <c r="G13470">
        <v>378</v>
      </c>
      <c r="H13470">
        <v>410.9</v>
      </c>
      <c r="I13470">
        <v>410.89</v>
      </c>
      <c r="J13470">
        <v>0.01</v>
      </c>
    </row>
    <row r="13471" spans="1:10" x14ac:dyDescent="0.3">
      <c r="A13471" t="str">
        <f>HYPERLINK("https://us2.cloudbeds.com/connect/10074733072513#/reservations/31711304409216?display=MX2FARV5T&amp;reservation_id=31711304409216", "MX2FARV5T")</f>
        <v>MX2FARV5T</v>
      </c>
      <c r="B13471" t="s">
        <v>10</v>
      </c>
      <c r="C13471" t="s">
        <v>121</v>
      </c>
      <c r="D13471" t="str">
        <f>HYPERLINK("https://us2.cloudbeds.com/connect/10074733072513#/reservations/31711304409216?display=Patrick%20Ostermyer&amp;reservation_id=31711304409216&amp;guest_id=31711304405125", "Patrick Ostermyer")</f>
        <v>Patrick Ostermyer</v>
      </c>
      <c r="E13471" t="s">
        <v>13060</v>
      </c>
      <c r="F13471" t="s">
        <v>12962</v>
      </c>
      <c r="G13471">
        <v>149</v>
      </c>
      <c r="H13471">
        <v>161.97</v>
      </c>
      <c r="I13471">
        <v>161.96</v>
      </c>
      <c r="J13471">
        <v>0.01</v>
      </c>
    </row>
    <row r="13472" spans="1:10" x14ac:dyDescent="0.3">
      <c r="A13472" t="str">
        <f>HYPERLINK("https://us2.cloudbeds.com/connect/10074733072513#/reservations/31711416516802?display=MX2X6CKAY&amp;reservation_id=31711416516802", "MX2X6CKAY")</f>
        <v>MX2X6CKAY</v>
      </c>
      <c r="B13472" t="s">
        <v>10</v>
      </c>
      <c r="C13472" t="s">
        <v>23</v>
      </c>
      <c r="D13472" t="str">
        <f>HYPERLINK("https://us2.cloudbeds.com/connect/10074733072513#/reservations/31711416516802?display=Douglas%20J%20Throener&amp;reservation_id=31711416516802&amp;guest_id=31711406772375", "Douglas J Throener")</f>
        <v>Douglas J Throener</v>
      </c>
      <c r="E13472" t="s">
        <v>13061</v>
      </c>
      <c r="F13472" t="s">
        <v>12997</v>
      </c>
      <c r="G13472">
        <v>169</v>
      </c>
      <c r="H13472">
        <v>183.71</v>
      </c>
      <c r="I13472">
        <v>183.7</v>
      </c>
      <c r="J13472">
        <v>0.01</v>
      </c>
    </row>
    <row r="13473" spans="1:10" x14ac:dyDescent="0.3">
      <c r="A13473" t="str">
        <f>HYPERLINK("https://us2.cloudbeds.com/connect/10074733072513#/reservations/31700918255853?display=MHRDUW0VW&amp;reservation_id=31700918255853", "MHRDUW0VW")</f>
        <v>MHRDUW0VW</v>
      </c>
      <c r="B13473" t="s">
        <v>10</v>
      </c>
      <c r="C13473" t="s">
        <v>42</v>
      </c>
      <c r="D13473" t="str">
        <f>HYPERLINK("https://us2.cloudbeds.com/connect/10074733072513#/reservations/31700918255853?display=Michael%20Bayer&amp;reservation_id=31700918255853&amp;guest_id=31700910366869", "Michael Bayer")</f>
        <v>Michael Bayer</v>
      </c>
      <c r="E13473" t="s">
        <v>13065</v>
      </c>
      <c r="F13473" t="s">
        <v>11134</v>
      </c>
      <c r="G13473">
        <v>318</v>
      </c>
      <c r="H13473">
        <v>345.68</v>
      </c>
      <c r="I13473">
        <v>345.67</v>
      </c>
      <c r="J13473">
        <v>0.01</v>
      </c>
    </row>
    <row r="13474" spans="1:10" x14ac:dyDescent="0.3">
      <c r="A13474" t="str">
        <f>HYPERLINK("https://us2.cloudbeds.com/connect/10074733072513#/reservations/31700933464229?display=MHREAQ7DS&amp;reservation_id=31700933464229", "MHREAQ7DS")</f>
        <v>MHREAQ7DS</v>
      </c>
      <c r="B13474" t="s">
        <v>10</v>
      </c>
      <c r="C13474" t="s">
        <v>42</v>
      </c>
      <c r="D13474" t="str">
        <f>HYPERLINK("https://us2.cloudbeds.com/connect/10074733072513#/reservations/31700933464229?display=Paula%20Behrens&amp;reservation_id=31700933464229&amp;guest_id=31700921315465", "Paula Behrens")</f>
        <v>Paula Behrens</v>
      </c>
      <c r="E13474" t="s">
        <v>13065</v>
      </c>
      <c r="F13474" t="s">
        <v>11134</v>
      </c>
      <c r="G13474">
        <v>318</v>
      </c>
      <c r="H13474">
        <v>345.68</v>
      </c>
      <c r="I13474">
        <v>345.67</v>
      </c>
      <c r="J13474">
        <v>0.01</v>
      </c>
    </row>
    <row r="13475" spans="1:10" x14ac:dyDescent="0.3">
      <c r="A13475" t="str">
        <f>HYPERLINK("https://us2.cloudbeds.com/connect/10074733072513#/reservations/31711049642209?display=MX28R0Q1Z&amp;reservation_id=31711049642209", "MX28R0Q1Z")</f>
        <v>MX28R0Q1Z</v>
      </c>
      <c r="B13475" t="s">
        <v>10</v>
      </c>
      <c r="C13475" t="s">
        <v>42</v>
      </c>
      <c r="D13475" t="str">
        <f>HYPERLINK("https://us2.cloudbeds.com/connect/10074733072513#/reservations/31711049642209?display=Nancy%20Martin&amp;reservation_id=31711049642209&amp;guest_id=31701115834578", "Nancy Martin")</f>
        <v>Nancy Martin</v>
      </c>
      <c r="E13475" t="s">
        <v>12853</v>
      </c>
      <c r="F13475" t="s">
        <v>12877</v>
      </c>
      <c r="G13475">
        <v>129</v>
      </c>
      <c r="H13475">
        <v>140.22999999999999</v>
      </c>
      <c r="I13475">
        <v>140.22</v>
      </c>
      <c r="J13475">
        <v>0.01</v>
      </c>
    </row>
    <row r="13476" spans="1:10" x14ac:dyDescent="0.3">
      <c r="A13476" t="str">
        <f>HYPERLINK("https://us2.cloudbeds.com/connect/10074733072513#/reservations/31711773556892?display=MX2RAEPRA&amp;reservation_id=31711773556892", "MX2RAEPRA")</f>
        <v>MX2RAEPRA</v>
      </c>
      <c r="B13476" t="s">
        <v>10</v>
      </c>
      <c r="C13476" t="s">
        <v>121</v>
      </c>
      <c r="D13476" t="str">
        <f>HYPERLINK("https://us2.cloudbeds.com/connect/10074733072513#/reservations/31711773556892?display=Brandon%20Alke&amp;reservation_id=31711773556892&amp;guest_id=31711773556889", "Brandon Alke")</f>
        <v>Brandon Alke</v>
      </c>
      <c r="E13476" t="s">
        <v>13070</v>
      </c>
      <c r="F13476" t="s">
        <v>12962</v>
      </c>
      <c r="G13476">
        <v>169</v>
      </c>
      <c r="H13476">
        <v>183.71</v>
      </c>
      <c r="I13476">
        <v>183.7</v>
      </c>
      <c r="J13476">
        <v>0.01</v>
      </c>
    </row>
    <row r="13477" spans="1:10" x14ac:dyDescent="0.3">
      <c r="A13477" t="str">
        <f>HYPERLINK("https://us2.cloudbeds.com/connect/10074733072513#/reservations/31711496093947?display=MX2K7FVU9&amp;reservation_id=31711496093947", "MX2K7FVU9")</f>
        <v>MX2K7FVU9</v>
      </c>
      <c r="B13477" t="s">
        <v>10</v>
      </c>
      <c r="C13477" t="s">
        <v>42</v>
      </c>
      <c r="D13477" t="str">
        <f>HYPERLINK("https://us2.cloudbeds.com/connect/10074733072513#/reservations/31711496093947?display=Gary%20Lowe&amp;reservation_id=31711496093947&amp;guest_id=31711496093942", "Gary Lowe")</f>
        <v>Gary Lowe</v>
      </c>
      <c r="E13477" t="s">
        <v>13071</v>
      </c>
      <c r="F13477" t="s">
        <v>12997</v>
      </c>
      <c r="G13477">
        <v>179</v>
      </c>
      <c r="H13477">
        <v>194.58</v>
      </c>
      <c r="I13477">
        <v>194.57</v>
      </c>
      <c r="J13477">
        <v>0.01</v>
      </c>
    </row>
    <row r="13478" spans="1:10" x14ac:dyDescent="0.3">
      <c r="A13478" t="str">
        <f>HYPERLINK("https://us2.cloudbeds.com/connect/10074733072513#/reservations/31711051722884?display=MX28SPMMG&amp;reservation_id=31711051722884", "MX28SPMMG")</f>
        <v>MX28SPMMG</v>
      </c>
      <c r="B13478" t="s">
        <v>10</v>
      </c>
      <c r="C13478" t="s">
        <v>121</v>
      </c>
      <c r="D13478" t="str">
        <f>HYPERLINK("https://us2.cloudbeds.com/connect/10074733072513#/reservations/31711051722884?display=Joseph%20Schneider&amp;reservation_id=31711051722884&amp;guest_id=31711043174563", "Joseph Schneider")</f>
        <v>Joseph Schneider</v>
      </c>
      <c r="E13478" t="s">
        <v>13072</v>
      </c>
      <c r="F13478" t="s">
        <v>12939</v>
      </c>
      <c r="G13478">
        <v>321.3</v>
      </c>
      <c r="H13478">
        <v>349.26</v>
      </c>
      <c r="I13478">
        <v>349.25</v>
      </c>
      <c r="J13478">
        <v>0.01</v>
      </c>
    </row>
    <row r="13479" spans="1:10" x14ac:dyDescent="0.3">
      <c r="A13479" t="str">
        <f>HYPERLINK("https://us2.cloudbeds.com/connect/10074733072513#/reservations/31711059321077?display=MX29263TP&amp;reservation_id=31711059321077", "MX29263TP")</f>
        <v>MX29263TP</v>
      </c>
      <c r="B13479" t="s">
        <v>10</v>
      </c>
      <c r="C13479" t="s">
        <v>42</v>
      </c>
      <c r="D13479" t="str">
        <f>HYPERLINK("https://us2.cloudbeds.com/connect/10074733072513#/reservations/31711059321077?display=Adam%20Vanderweff&amp;reservation_id=31711059321077&amp;guest_id=31711059321072", "Adam Vanderweff")</f>
        <v>Adam Vanderweff</v>
      </c>
      <c r="E13479" t="s">
        <v>13073</v>
      </c>
      <c r="F13479" t="s">
        <v>12877</v>
      </c>
      <c r="G13479">
        <v>149</v>
      </c>
      <c r="H13479">
        <v>161.97</v>
      </c>
      <c r="I13479">
        <v>161.96</v>
      </c>
      <c r="J13479">
        <v>0.01</v>
      </c>
    </row>
    <row r="13480" spans="1:10" x14ac:dyDescent="0.3">
      <c r="A13480" t="str">
        <f>HYPERLINK("https://us2.cloudbeds.com/connect/10074733072513#/reservations/31703161520341?display=MHT58X5KZ&amp;reservation_id=31703161520341", "MHT58X5KZ")</f>
        <v>MHT58X5KZ</v>
      </c>
      <c r="B13480" t="s">
        <v>10</v>
      </c>
      <c r="C13480" t="s">
        <v>23</v>
      </c>
      <c r="D13480" t="str">
        <f>HYPERLINK("https://us2.cloudbeds.com/connect/10074733072513#/reservations/31703161520341?display=Talia%20Rowe&amp;reservation_id=31703161520341&amp;guest_id=31703161520325", "Talia Rowe")</f>
        <v>Talia Rowe</v>
      </c>
      <c r="E13480" t="s">
        <v>13074</v>
      </c>
      <c r="F13480" t="s">
        <v>12795</v>
      </c>
      <c r="G13480">
        <v>199</v>
      </c>
      <c r="H13480">
        <v>216.32</v>
      </c>
      <c r="I13480">
        <v>216.31</v>
      </c>
      <c r="J13480">
        <v>0.01</v>
      </c>
    </row>
    <row r="13481" spans="1:10" x14ac:dyDescent="0.3">
      <c r="A13481" t="str">
        <f>HYPERLINK("https://us2.cloudbeds.com/connect/10074733072513#/reservations/31711505932494?display=MX2KFPZCW&amp;reservation_id=31711505932494", "MX2KFPZCW")</f>
        <v>MX2KFPZCW</v>
      </c>
      <c r="B13481" t="s">
        <v>10</v>
      </c>
      <c r="C13481" t="s">
        <v>42</v>
      </c>
      <c r="D13481" t="str">
        <f>HYPERLINK("https://us2.cloudbeds.com/connect/10074733072513#/reservations/31711505932494?display=Joe%20Lueck&amp;reservation_id=31711505932494&amp;guest_id=31711496093945", "Joe Lueck")</f>
        <v>Joe Lueck</v>
      </c>
      <c r="E13481" t="s">
        <v>11785</v>
      </c>
      <c r="F13481" t="s">
        <v>12877</v>
      </c>
      <c r="G13481">
        <v>149</v>
      </c>
      <c r="H13481">
        <v>161.97</v>
      </c>
      <c r="I13481">
        <v>161.96</v>
      </c>
      <c r="J13481">
        <v>0.01</v>
      </c>
    </row>
    <row r="13482" spans="1:10" x14ac:dyDescent="0.3">
      <c r="A13482" t="str">
        <f>HYPERLINK("https://us2.cloudbeds.com/connect/10074733072513#/reservations/31711525625999?display=MX2KWCZDV&amp;reservation_id=31711525625999", "MX2KWCZDV")</f>
        <v>MX2KWCZDV</v>
      </c>
      <c r="B13482" t="s">
        <v>10</v>
      </c>
      <c r="C13482" t="s">
        <v>42</v>
      </c>
      <c r="D13482" t="str">
        <f>HYPERLINK("https://us2.cloudbeds.com/connect/10074733072513#/reservations/31711525625999?display=Mark%20Tigner&amp;reservation_id=31711525625999&amp;guest_id=31711525625994", "Mark Tigner")</f>
        <v>Mark Tigner</v>
      </c>
      <c r="E13482" t="s">
        <v>13075</v>
      </c>
      <c r="F13482" t="s">
        <v>12997</v>
      </c>
      <c r="G13482">
        <v>169</v>
      </c>
      <c r="H13482">
        <v>183.71</v>
      </c>
      <c r="I13482">
        <v>183.7</v>
      </c>
      <c r="J13482">
        <v>0.01</v>
      </c>
    </row>
    <row r="13483" spans="1:10" x14ac:dyDescent="0.3">
      <c r="A13483" t="str">
        <f>HYPERLINK("https://us2.cloudbeds.com/connect/10074733072513#/reservations/31701648507121?display=MHRWJZBF9&amp;reservation_id=31701648507121", "MHRWJZBF9")</f>
        <v>MHRWJZBF9</v>
      </c>
      <c r="B13483" t="s">
        <v>10</v>
      </c>
      <c r="C13483" t="s">
        <v>42</v>
      </c>
      <c r="D13483" t="str">
        <f>HYPERLINK("https://us2.cloudbeds.com/connect/10074733072513#/reservations/31701648507121?display=Natasha%20Hammill&amp;reservation_id=31701648507121&amp;guest_id=31701648507116", "Natasha Hammill")</f>
        <v>Natasha Hammill</v>
      </c>
      <c r="E13483" t="s">
        <v>13076</v>
      </c>
      <c r="F13483" t="s">
        <v>12047</v>
      </c>
      <c r="G13483">
        <v>209</v>
      </c>
      <c r="H13483">
        <v>227.19</v>
      </c>
      <c r="I13483">
        <v>227.18</v>
      </c>
      <c r="J13483">
        <v>0.01</v>
      </c>
    </row>
    <row r="13484" spans="1:10" x14ac:dyDescent="0.3">
      <c r="A13484" t="str">
        <f>HYPERLINK("https://us2.cloudbeds.com/connect/10074733072513#/reservations/31711350816919?display=MX2GGWDS2&amp;reservation_id=31711350816919", "MX2GGWDS2")</f>
        <v>MX2GGWDS2</v>
      </c>
      <c r="B13484" t="s">
        <v>10</v>
      </c>
      <c r="C13484" t="s">
        <v>23</v>
      </c>
      <c r="D13484" t="str">
        <f>HYPERLINK("https://us2.cloudbeds.com/connect/10074733072513#/reservations/31711350816919?display=Victoria%20Stelfox&amp;reservation_id=31711350816919&amp;guest_id=31711350816901", "Victoria Stelfox")</f>
        <v>Victoria Stelfox</v>
      </c>
      <c r="E13484" t="s">
        <v>13077</v>
      </c>
      <c r="F13484" t="s">
        <v>12894</v>
      </c>
      <c r="G13484">
        <v>149</v>
      </c>
      <c r="H13484">
        <v>161.97</v>
      </c>
      <c r="I13484">
        <v>161.96</v>
      </c>
      <c r="J13484">
        <v>0.01</v>
      </c>
    </row>
    <row r="13485" spans="1:10" x14ac:dyDescent="0.3">
      <c r="A13485" t="str">
        <f>HYPERLINK("https://us2.cloudbeds.com/connect/10074733072513#/reservations/31711520542954?display=MX2KS39Q9&amp;reservation_id=31711520542954", "MX2KS39Q9")</f>
        <v>MX2KS39Q9</v>
      </c>
      <c r="B13485" t="s">
        <v>10</v>
      </c>
      <c r="C13485" t="s">
        <v>42</v>
      </c>
      <c r="D13485" t="str">
        <f>HYPERLINK("https://us2.cloudbeds.com/connect/10074733072513#/reservations/31711520542954?display=Polly%20Ruth&amp;reservation_id=31711520542954&amp;guest_id=31711505936589", "Polly Ruth")</f>
        <v>Polly Ruth</v>
      </c>
      <c r="E13485" t="s">
        <v>13079</v>
      </c>
      <c r="F13485" t="s">
        <v>12877</v>
      </c>
      <c r="G13485">
        <v>298</v>
      </c>
      <c r="H13485">
        <v>323.94</v>
      </c>
      <c r="I13485">
        <v>323.93</v>
      </c>
      <c r="J13485">
        <v>0.01</v>
      </c>
    </row>
    <row r="13486" spans="1:10" x14ac:dyDescent="0.3">
      <c r="A13486" t="str">
        <f>HYPERLINK("https://us2.cloudbeds.com/connect/10074733072513#/reservations/31702571188354?display=MHSN5PAAY&amp;reservation_id=31702571188354", "MHSN5PAAY")</f>
        <v>MHSN5PAAY</v>
      </c>
      <c r="B13486" t="s">
        <v>10</v>
      </c>
      <c r="C13486" t="s">
        <v>42</v>
      </c>
      <c r="D13486" t="str">
        <f>HYPERLINK("https://us2.cloudbeds.com/connect/10074733072513#/reservations/31702571188354?display=Brian%20Davis&amp;reservation_id=31702571188354&amp;guest_id=31702571184317", "Brian Davis")</f>
        <v>Brian Davis</v>
      </c>
      <c r="E13486" t="s">
        <v>2791</v>
      </c>
      <c r="F13486" t="s">
        <v>12881</v>
      </c>
      <c r="G13486">
        <v>420</v>
      </c>
      <c r="H13486">
        <v>456.55</v>
      </c>
      <c r="I13486">
        <v>456.54</v>
      </c>
      <c r="J13486">
        <v>0.01</v>
      </c>
    </row>
    <row r="13487" spans="1:10" x14ac:dyDescent="0.3">
      <c r="A13487" t="str">
        <f>HYPERLINK("https://us2.cloudbeds.com/connect/10074733072513#/reservations/31702556926169?display=MHSMQZEZ7&amp;reservation_id=31702556926169", "MHSMQZEZ7")</f>
        <v>MHSMQZEZ7</v>
      </c>
      <c r="B13487" t="s">
        <v>10</v>
      </c>
      <c r="C13487" t="s">
        <v>42</v>
      </c>
      <c r="D13487" t="str">
        <f>HYPERLINK("https://us2.cloudbeds.com/connect/10074733072513#/reservations/31702556926169?display=Kevin%20Maass&amp;reservation_id=31702556926169&amp;guest_id=31702556926166", "Kevin Maass")</f>
        <v>Kevin Maass</v>
      </c>
      <c r="E13487" t="s">
        <v>13081</v>
      </c>
      <c r="F13487" t="s">
        <v>12056</v>
      </c>
      <c r="G13487">
        <v>159</v>
      </c>
      <c r="H13487">
        <v>172.84</v>
      </c>
      <c r="I13487">
        <v>172.83</v>
      </c>
      <c r="J13487">
        <v>0.01</v>
      </c>
    </row>
    <row r="13488" spans="1:10" x14ac:dyDescent="0.3">
      <c r="A13488" t="str">
        <f>HYPERLINK("https://us2.cloudbeds.com/connect/10074733072513#/reservations/31711067050123?display=MX298N699&amp;reservation_id=31711067050123", "MX298N699")</f>
        <v>MX298N699</v>
      </c>
      <c r="B13488" t="s">
        <v>10</v>
      </c>
      <c r="C13488" t="s">
        <v>42</v>
      </c>
      <c r="D13488" t="str">
        <f>HYPERLINK("https://us2.cloudbeds.com/connect/10074733072513#/reservations/31711067050123?display=Karleen%20Fossum&amp;reservation_id=31711067050123&amp;guest_id=31711067050118", "Karleen Fossum")</f>
        <v>Karleen Fossum</v>
      </c>
      <c r="E13488" t="s">
        <v>13082</v>
      </c>
      <c r="F13488" t="s">
        <v>12877</v>
      </c>
      <c r="G13488">
        <v>149</v>
      </c>
      <c r="H13488">
        <v>161.97</v>
      </c>
      <c r="I13488">
        <v>161.96</v>
      </c>
      <c r="J13488">
        <v>0.01</v>
      </c>
    </row>
    <row r="13489" spans="1:10" x14ac:dyDescent="0.3">
      <c r="A13489" t="str">
        <f>HYPERLINK("https://us2.cloudbeds.com/connect/10074733072513#/reservations/31702458855630?display=MHSKA1G4N&amp;reservation_id=31702458855630", "MHSKA1G4N")</f>
        <v>MHSKA1G4N</v>
      </c>
      <c r="B13489" t="s">
        <v>10</v>
      </c>
      <c r="C13489" t="s">
        <v>42</v>
      </c>
      <c r="D13489" t="str">
        <f>HYPERLINK("https://us2.cloudbeds.com/connect/10074733072513#/reservations/31702458855630?display=Keith%20Anderson&amp;reservation_id=31702458855630&amp;guest_id=17963406844038", "Keith Anderson")</f>
        <v>Keith Anderson</v>
      </c>
      <c r="E13489" t="s">
        <v>8040</v>
      </c>
      <c r="F13489" t="s">
        <v>12881</v>
      </c>
      <c r="G13489">
        <v>336</v>
      </c>
      <c r="H13489">
        <v>365.24</v>
      </c>
      <c r="I13489">
        <v>365.23</v>
      </c>
      <c r="J13489">
        <v>0.01</v>
      </c>
    </row>
    <row r="13490" spans="1:10" x14ac:dyDescent="0.3">
      <c r="A13490" t="str">
        <f>HYPERLINK("https://us2.cloudbeds.com/connect/10074733072513#/reservations/31711124316304?display=MX2ANWNA3&amp;reservation_id=31711124316304", "MX2ANWNA3")</f>
        <v>MX2ANWNA3</v>
      </c>
      <c r="B13490" t="s">
        <v>10</v>
      </c>
      <c r="C13490" t="s">
        <v>23</v>
      </c>
      <c r="D13490" t="str">
        <f>HYPERLINK("https://us2.cloudbeds.com/connect/10074733072513#/reservations/31711124316304?display=Tiffanie%20Cowell&amp;reservation_id=31711124316304&amp;guest_id=31711115698425", "Tiffanie Cowell")</f>
        <v>Tiffanie Cowell</v>
      </c>
      <c r="E13490" t="s">
        <v>13083</v>
      </c>
      <c r="F13490" t="s">
        <v>12939</v>
      </c>
      <c r="G13490">
        <v>209</v>
      </c>
      <c r="H13490">
        <v>227.19</v>
      </c>
      <c r="I13490">
        <v>227.18</v>
      </c>
      <c r="J13490">
        <v>0.01</v>
      </c>
    </row>
    <row r="13491" spans="1:10" x14ac:dyDescent="0.3">
      <c r="A13491" t="str">
        <f>HYPERLINK("https://us2.cloudbeds.com/connect/10074733072513#/reservations/31710864224489?display=MX242M8RV&amp;reservation_id=31710864224489", "MX242M8RV")</f>
        <v>MX242M8RV</v>
      </c>
      <c r="B13491" t="s">
        <v>10</v>
      </c>
      <c r="C13491" t="s">
        <v>42</v>
      </c>
      <c r="D13491" t="str">
        <f>HYPERLINK("https://us2.cloudbeds.com/connect/10074733072513#/reservations/31710864224489?display=Kathleen%20Olson&amp;reservation_id=31710864224489&amp;guest_id=31710852911245", "Kathleen Olson")</f>
        <v>Kathleen Olson</v>
      </c>
      <c r="E13491" t="s">
        <v>13086</v>
      </c>
      <c r="F13491" t="s">
        <v>10330</v>
      </c>
      <c r="G13491">
        <v>418</v>
      </c>
      <c r="H13491">
        <v>454.38</v>
      </c>
      <c r="I13491">
        <v>454.37</v>
      </c>
      <c r="J13491">
        <v>0.01</v>
      </c>
    </row>
    <row r="13492" spans="1:10" x14ac:dyDescent="0.3">
      <c r="A13492" t="str">
        <f>HYPERLINK("https://us2.cloudbeds.com/connect/10074733072513#/reservations/31711025922254?display=MX2870ZY7&amp;reservation_id=31711025922254", "MX2870ZY7")</f>
        <v>MX2870ZY7</v>
      </c>
      <c r="B13492" t="s">
        <v>10</v>
      </c>
      <c r="C13492" t="s">
        <v>23</v>
      </c>
      <c r="D13492" t="str">
        <f>HYPERLINK("https://us2.cloudbeds.com/connect/10074733072513#/reservations/31711025922254?display=George%20Bruins&amp;reservation_id=31711025922254&amp;guest_id=31711025922250", "George Bruins")</f>
        <v>George Bruins</v>
      </c>
      <c r="E13492" t="s">
        <v>13087</v>
      </c>
      <c r="F13492" t="s">
        <v>13069</v>
      </c>
      <c r="G13492">
        <v>99</v>
      </c>
      <c r="H13492">
        <v>107.62</v>
      </c>
      <c r="I13492">
        <v>107.61</v>
      </c>
      <c r="J13492">
        <v>0.01</v>
      </c>
    </row>
    <row r="13493" spans="1:10" x14ac:dyDescent="0.3">
      <c r="A13493" t="str">
        <f>HYPERLINK("https://us2.cloudbeds.com/connect/10074733072513#/reservations/31702480199822?display=MHSKS1DVD&amp;reservation_id=31702480199822", "MHSKS1DVD")</f>
        <v>MHSKS1DVD</v>
      </c>
      <c r="B13493" t="s">
        <v>10</v>
      </c>
      <c r="C13493" t="s">
        <v>23</v>
      </c>
      <c r="D13493" t="str">
        <f>HYPERLINK("https://us2.cloudbeds.com/connect/10074733072513#/reservations/31702480199822?display=Cara%20Lee&amp;reservation_id=31702480199822&amp;guest_id=31702480199817", "Cara Lee")</f>
        <v>Cara Lee</v>
      </c>
      <c r="E13493" t="s">
        <v>13089</v>
      </c>
      <c r="F13493" t="s">
        <v>12326</v>
      </c>
      <c r="G13493">
        <v>378</v>
      </c>
      <c r="H13493">
        <v>410.9</v>
      </c>
      <c r="I13493">
        <v>410.89</v>
      </c>
      <c r="J13493">
        <v>0.01</v>
      </c>
    </row>
    <row r="13494" spans="1:10" x14ac:dyDescent="0.3">
      <c r="A13494" t="str">
        <f>HYPERLINK("https://us2.cloudbeds.com/connect/10074733072513#/reservations/31711132090598?display=MX2AUX17P&amp;reservation_id=31711132090598", "MX2AUX17P")</f>
        <v>MX2AUX17P</v>
      </c>
      <c r="B13494" t="s">
        <v>10</v>
      </c>
      <c r="C13494" t="s">
        <v>42</v>
      </c>
      <c r="D13494" t="str">
        <f>HYPERLINK("https://us2.cloudbeds.com/connect/10074733072513#/reservations/31711132090598?display=Stacey%20Stillwell&amp;reservation_id=31711132090598&amp;guest_id=31711124320398", "Stacey Stillwell")</f>
        <v>Stacey Stillwell</v>
      </c>
      <c r="E13494" t="s">
        <v>13090</v>
      </c>
      <c r="F13494" t="s">
        <v>12939</v>
      </c>
      <c r="G13494">
        <v>229</v>
      </c>
      <c r="H13494">
        <v>248.93</v>
      </c>
      <c r="I13494">
        <v>248.92</v>
      </c>
      <c r="J13494">
        <v>0.01</v>
      </c>
    </row>
    <row r="13495" spans="1:10" x14ac:dyDescent="0.3">
      <c r="A13495" t="str">
        <f>HYPERLINK("https://us2.cloudbeds.com/connect/10074733072513#/reservations/31702722617578?display=MHSR1F1Q0&amp;reservation_id=31702722617578", "MHSR1F1Q0")</f>
        <v>MHSR1F1Q0</v>
      </c>
      <c r="B13495" t="s">
        <v>10</v>
      </c>
      <c r="C13495" t="s">
        <v>23</v>
      </c>
      <c r="D13495" t="str">
        <f>HYPERLINK("https://us2.cloudbeds.com/connect/10074733072513#/reservations/31702722617578?display=Terri%20Mendoza&amp;reservation_id=31702722617578&amp;guest_id=31702722617570", "Terri Mendoza")</f>
        <v>Terri Mendoza</v>
      </c>
      <c r="E13495" t="s">
        <v>13091</v>
      </c>
      <c r="F13495" t="s">
        <v>13092</v>
      </c>
      <c r="G13495">
        <v>329.88</v>
      </c>
      <c r="H13495">
        <v>358.59</v>
      </c>
      <c r="I13495">
        <v>358.58</v>
      </c>
      <c r="J13495">
        <v>0.01</v>
      </c>
    </row>
    <row r="13496" spans="1:10" x14ac:dyDescent="0.3">
      <c r="A13496" t="str">
        <f>HYPERLINK("https://us2.cloudbeds.com/connect/10074733072513#/reservations/31710832046285?display=MX238HSES&amp;reservation_id=31710832046285", "MX238HSES")</f>
        <v>MX238HSES</v>
      </c>
      <c r="B13496" t="s">
        <v>10</v>
      </c>
      <c r="C13496" t="s">
        <v>42</v>
      </c>
      <c r="D13496" t="str">
        <f>HYPERLINK("https://us2.cloudbeds.com/connect/10074733072513#/reservations/31710832046285?display=Matthew%20Graves&amp;reservation_id=31710832046285&amp;guest_id=31692846903426", "Matthew Graves")</f>
        <v>Matthew Graves</v>
      </c>
      <c r="E13496" t="s">
        <v>8916</v>
      </c>
      <c r="F13496" t="s">
        <v>10330</v>
      </c>
      <c r="G13496">
        <v>219</v>
      </c>
      <c r="H13496">
        <v>238.06</v>
      </c>
      <c r="I13496">
        <v>238.05</v>
      </c>
      <c r="J13496">
        <v>0.01</v>
      </c>
    </row>
    <row r="13497" spans="1:10" x14ac:dyDescent="0.3">
      <c r="A13497" t="str">
        <f>HYPERLINK("https://us2.cloudbeds.com/connect/10074733072513#/reservations/31711406768286?display=MX2HV5BH2&amp;reservation_id=31711406768286", "MX2HV5BH2")</f>
        <v>MX2HV5BH2</v>
      </c>
      <c r="B13497" t="s">
        <v>10</v>
      </c>
      <c r="C13497" t="s">
        <v>42</v>
      </c>
      <c r="D13497" t="str">
        <f>HYPERLINK("https://us2.cloudbeds.com/connect/10074733072513#/reservations/31711406768286?display=Michael%20Breshears&amp;reservation_id=31711406768286&amp;guest_id=31711397306562", "Michael Breshears")</f>
        <v>Michael Breshears</v>
      </c>
      <c r="E13497" t="s">
        <v>13093</v>
      </c>
      <c r="F13497" t="s">
        <v>12894</v>
      </c>
      <c r="G13497">
        <v>149</v>
      </c>
      <c r="H13497">
        <v>161.97</v>
      </c>
      <c r="I13497">
        <v>161.96</v>
      </c>
      <c r="J13497">
        <v>0.01</v>
      </c>
    </row>
    <row r="13498" spans="1:10" x14ac:dyDescent="0.3">
      <c r="A13498" t="str">
        <f>HYPERLINK("https://us2.cloudbeds.com/connect/10074733072513#/reservations/31711345381629?display=MX2GCD5PB&amp;reservation_id=31711345381629", "MX2GCD5PB")</f>
        <v>MX2GCD5PB</v>
      </c>
      <c r="B13498" t="s">
        <v>10</v>
      </c>
      <c r="C13498" t="s">
        <v>121</v>
      </c>
      <c r="D13498" t="str">
        <f>HYPERLINK("https://us2.cloudbeds.com/connect/10074733072513#/reservations/31711345381629?display=Chris%20Moore&amp;reservation_id=31711345381629&amp;guest_id=31711345381614", "Chris Moore")</f>
        <v>Chris Moore</v>
      </c>
      <c r="E13498" t="s">
        <v>13097</v>
      </c>
      <c r="F13498" t="s">
        <v>12894</v>
      </c>
      <c r="G13498">
        <v>149</v>
      </c>
      <c r="H13498">
        <v>161.97</v>
      </c>
      <c r="I13498">
        <v>161.96</v>
      </c>
      <c r="J13498">
        <v>0.01</v>
      </c>
    </row>
    <row r="13499" spans="1:10" x14ac:dyDescent="0.3">
      <c r="A13499" t="str">
        <f>HYPERLINK("https://us2.cloudbeds.com/connect/10074733072513#/reservations/31701745840288?display=MHS22QPV6&amp;reservation_id=31701745840288", "MHS22QPV6")</f>
        <v>MHS22QPV6</v>
      </c>
      <c r="B13499" t="s">
        <v>10</v>
      </c>
      <c r="C13499" t="s">
        <v>42</v>
      </c>
      <c r="D13499" t="str">
        <f>HYPERLINK("https://us2.cloudbeds.com/connect/10074733072513#/reservations/31701745840288?display=Kurt%20Underwood&amp;reservation_id=31701745840288&amp;guest_id=31701745836194", "Kurt Underwood")</f>
        <v>Kurt Underwood</v>
      </c>
      <c r="E13499" t="s">
        <v>13098</v>
      </c>
      <c r="F13499" t="s">
        <v>12881</v>
      </c>
      <c r="G13499">
        <v>1000.8</v>
      </c>
      <c r="H13499">
        <v>1087.8800000000001</v>
      </c>
      <c r="I13499">
        <v>1087.8699999999999</v>
      </c>
      <c r="J13499">
        <v>0.01</v>
      </c>
    </row>
    <row r="13500" spans="1:10" x14ac:dyDescent="0.3">
      <c r="A13500" t="str">
        <f>HYPERLINK("https://us2.cloudbeds.com/connect/10074733072513#/reservations/31710873940119?display=MX24ASKEW&amp;reservation_id=31710873940119", "MX24ASKEW")</f>
        <v>MX24ASKEW</v>
      </c>
      <c r="B13500" t="s">
        <v>10</v>
      </c>
      <c r="C13500" t="s">
        <v>42</v>
      </c>
      <c r="D13500" t="str">
        <f>HYPERLINK("https://us2.cloudbeds.com/connect/10074733072513#/reservations/31710873940119?display=Amy%20Overy&amp;reservation_id=31710873940119&amp;guest_id=31710873936027", "Amy Overy")</f>
        <v>Amy Overy</v>
      </c>
      <c r="E13500" t="s">
        <v>13099</v>
      </c>
      <c r="F13500" t="s">
        <v>12894</v>
      </c>
      <c r="G13500">
        <v>149</v>
      </c>
      <c r="H13500">
        <v>161.97</v>
      </c>
      <c r="I13500">
        <v>161.96</v>
      </c>
      <c r="J13500">
        <v>0.01</v>
      </c>
    </row>
    <row r="13501" spans="1:10" x14ac:dyDescent="0.3">
      <c r="A13501" t="str">
        <f>HYPERLINK("https://us2.cloudbeds.com/connect/10074733072513#/reservations/31703177429184?display=MHT5FDY63&amp;reservation_id=31703177429184", "MHT5FDY63")</f>
        <v>MHT5FDY63</v>
      </c>
      <c r="B13501" t="s">
        <v>10</v>
      </c>
      <c r="C13501" t="s">
        <v>23</v>
      </c>
      <c r="D13501" t="str">
        <f>HYPERLINK("https://us2.cloudbeds.com/connect/10074733072513#/reservations/31703177429184?display=Kirby%20Fette&amp;reservation_id=31703177429184&amp;guest_id=31703169654952", "Kirby Fette")</f>
        <v>Kirby Fette</v>
      </c>
      <c r="E13501" t="s">
        <v>13100</v>
      </c>
      <c r="F13501" t="s">
        <v>12326</v>
      </c>
      <c r="G13501">
        <v>219</v>
      </c>
      <c r="H13501">
        <v>238.06</v>
      </c>
      <c r="I13501">
        <v>238.05</v>
      </c>
      <c r="J13501">
        <v>0.01</v>
      </c>
    </row>
    <row r="13502" spans="1:10" x14ac:dyDescent="0.3">
      <c r="A13502" t="str">
        <f>HYPERLINK("https://us2.cloudbeds.com/connect/10074733072513#/reservations/31702901813466?display=MHSVKXEYE&amp;reservation_id=31702901813466", "MHSVKXEYE")</f>
        <v>MHSVKXEYE</v>
      </c>
      <c r="B13502" t="s">
        <v>10</v>
      </c>
      <c r="C13502" t="s">
        <v>42</v>
      </c>
      <c r="D13502" t="str">
        <f>HYPERLINK("https://us2.cloudbeds.com/connect/10074733072513#/reservations/31702901813466?display=Casady%20Lathom&amp;reservation_id=31702901813466&amp;guest_id=31702901813464", "Casady Lathom")</f>
        <v>Casady Lathom</v>
      </c>
      <c r="E13502" t="s">
        <v>13101</v>
      </c>
      <c r="F13502" t="s">
        <v>12795</v>
      </c>
      <c r="G13502">
        <v>159</v>
      </c>
      <c r="H13502">
        <v>172.84</v>
      </c>
      <c r="I13502">
        <v>172.83</v>
      </c>
      <c r="J13502">
        <v>0.01</v>
      </c>
    </row>
    <row r="13503" spans="1:10" x14ac:dyDescent="0.3">
      <c r="A13503" t="str">
        <f>HYPERLINK("https://us2.cloudbeds.com/connect/10074733072513#/reservations/31702543831287?display=MHSMFN21K&amp;reservation_id=31702543831287", "MHSMFN21K")</f>
        <v>MHSMFN21K</v>
      </c>
      <c r="B13503" t="s">
        <v>10</v>
      </c>
      <c r="C13503" t="s">
        <v>42</v>
      </c>
      <c r="D13503" t="str">
        <f>HYPERLINK("https://us2.cloudbeds.com/connect/10074733072513#/reservations/31702543831287?display=Smith%20Mr.%20&amp;%20Mrs.&amp;reservation_id=31702543831287&amp;guest_id=31702543831282", "Smith Mr. &amp; Mrs.")</f>
        <v>Smith Mr. &amp; Mrs.</v>
      </c>
      <c r="E13503" t="s">
        <v>13102</v>
      </c>
      <c r="F13503" t="s">
        <v>12047</v>
      </c>
      <c r="G13503">
        <v>84.5</v>
      </c>
      <c r="H13503">
        <v>91.86</v>
      </c>
      <c r="I13503">
        <v>91.85</v>
      </c>
      <c r="J13503">
        <v>0.01</v>
      </c>
    </row>
    <row r="13504" spans="1:10" x14ac:dyDescent="0.3">
      <c r="A13504" t="str">
        <f>HYPERLINK("https://us2.cloudbeds.com/connect/10074733072513#/reservations/31702975803557?display=MHT0GVAQD&amp;reservation_id=31702975803557", "MHT0GVAQD")</f>
        <v>MHT0GVAQD</v>
      </c>
      <c r="B13504" t="s">
        <v>10</v>
      </c>
      <c r="C13504" t="s">
        <v>42</v>
      </c>
      <c r="D13504" t="str">
        <f>HYPERLINK("https://us2.cloudbeds.com/connect/10074733072513#/reservations/31702975803557?display=Gordon%20Woods&amp;reservation_id=31702975803557&amp;guest_id=31702975803555", "Gordon Woods")</f>
        <v>Gordon Woods</v>
      </c>
      <c r="E13504" t="s">
        <v>11553</v>
      </c>
      <c r="F13504" t="s">
        <v>11742</v>
      </c>
      <c r="G13504">
        <v>318</v>
      </c>
      <c r="H13504">
        <v>345.68</v>
      </c>
      <c r="I13504">
        <v>345.67</v>
      </c>
      <c r="J13504">
        <v>0.01</v>
      </c>
    </row>
    <row r="13505" spans="1:10" x14ac:dyDescent="0.3">
      <c r="A13505" t="str">
        <f>HYPERLINK("https://us2.cloudbeds.com/connect/10074733072513#/reservations/31710934999286?display=MX25TBMFP&amp;reservation_id=31710934999286", "MX25TBMFP")</f>
        <v>MX25TBMFP</v>
      </c>
      <c r="B13505" t="s">
        <v>10</v>
      </c>
      <c r="C13505" t="s">
        <v>42</v>
      </c>
      <c r="D13505" t="str">
        <f>HYPERLINK("https://us2.cloudbeds.com/connect/10074733072513#/reservations/31710934999286?display=Julio%20Molina&amp;reservation_id=31710934999286&amp;guest_id=31710934999282", "Julio Molina")</f>
        <v>Julio Molina</v>
      </c>
      <c r="E13505" t="s">
        <v>13103</v>
      </c>
      <c r="F13505" t="s">
        <v>13069</v>
      </c>
      <c r="G13505">
        <v>73</v>
      </c>
      <c r="H13505">
        <v>79.36</v>
      </c>
      <c r="I13505">
        <v>79.349999999999994</v>
      </c>
      <c r="J13505">
        <v>0.01</v>
      </c>
    </row>
    <row r="13506" spans="1:10" x14ac:dyDescent="0.3">
      <c r="A13506" t="str">
        <f>HYPERLINK("https://us2.cloudbeds.com/connect/10074733072513#/reservations/31702771294360?display=MHSS9GXD0&amp;reservation_id=31702771294360", "MHSS9GXD0")</f>
        <v>MHSS9GXD0</v>
      </c>
      <c r="B13506" t="s">
        <v>10</v>
      </c>
      <c r="C13506" t="s">
        <v>23</v>
      </c>
      <c r="D13506" t="str">
        <f>HYPERLINK("https://us2.cloudbeds.com/connect/10074733072513#/reservations/31702771294360?display=Jason%20Grandstaff&amp;reservation_id=31702771294360&amp;guest_id=31702767333558", "Jason Grandstaff")</f>
        <v>Jason Grandstaff</v>
      </c>
      <c r="E13506" t="s">
        <v>13108</v>
      </c>
      <c r="F13506" t="s">
        <v>13109</v>
      </c>
      <c r="G13506">
        <v>318</v>
      </c>
      <c r="H13506">
        <v>345.68</v>
      </c>
      <c r="I13506">
        <v>345.67</v>
      </c>
      <c r="J13506">
        <v>0.01</v>
      </c>
    </row>
    <row r="13507" spans="1:10" x14ac:dyDescent="0.3">
      <c r="A13507" t="str">
        <f>HYPERLINK("https://us2.cloudbeds.com/connect/10074733072513#/reservations/31703146774690?display=MHT4T3S2R&amp;reservation_id=31703146774690", "MHT4T3S2R")</f>
        <v>MHT4T3S2R</v>
      </c>
      <c r="B13507" t="s">
        <v>10</v>
      </c>
      <c r="C13507" t="s">
        <v>42</v>
      </c>
      <c r="D13507" t="str">
        <f>HYPERLINK("https://us2.cloudbeds.com/connect/10074733072513#/reservations/31703146774690?display=Scott%20Deboef&amp;reservation_id=31703146774690&amp;guest_id=31703136948362", "Scott Deboef")</f>
        <v>Scott Deboef</v>
      </c>
      <c r="E13507" t="s">
        <v>13110</v>
      </c>
      <c r="F13507" t="s">
        <v>13038</v>
      </c>
      <c r="G13507">
        <v>189</v>
      </c>
      <c r="H13507">
        <v>205.45</v>
      </c>
      <c r="I13507">
        <v>205.44</v>
      </c>
      <c r="J13507">
        <v>0.01</v>
      </c>
    </row>
    <row r="13508" spans="1:10" x14ac:dyDescent="0.3">
      <c r="A13508" t="str">
        <f>HYPERLINK("https://us2.cloudbeds.com/connect/10074733072513#/reservations/31711086592156?display=MX29P5W73&amp;reservation_id=31711086592156", "MX29P5W73")</f>
        <v>MX29P5W73</v>
      </c>
      <c r="B13508" t="s">
        <v>10</v>
      </c>
      <c r="C13508" t="s">
        <v>23</v>
      </c>
      <c r="D13508" t="str">
        <f>HYPERLINK("https://us2.cloudbeds.com/connect/10074733072513#/reservations/31711086592156?display=Carol%20Reimer&amp;reservation_id=31711086592156&amp;guest_id=31711086588064", "Carol Reimer")</f>
        <v>Carol Reimer</v>
      </c>
      <c r="E13508" t="s">
        <v>13111</v>
      </c>
      <c r="F13508" t="s">
        <v>13038</v>
      </c>
      <c r="G13508">
        <v>97.74</v>
      </c>
      <c r="H13508">
        <v>106.25</v>
      </c>
      <c r="I13508">
        <v>106.24</v>
      </c>
      <c r="J13508">
        <v>0.01</v>
      </c>
    </row>
    <row r="13509" spans="1:10" x14ac:dyDescent="0.3">
      <c r="A13509" t="str">
        <f>HYPERLINK("https://us2.cloudbeds.com/connect/10074733072513#/reservations/31703186931880?display=MHT5TW9CC&amp;reservation_id=31703186931880", "MHT5TW9CC")</f>
        <v>MHT5TW9CC</v>
      </c>
      <c r="B13509" t="s">
        <v>10</v>
      </c>
      <c r="C13509" t="s">
        <v>23</v>
      </c>
      <c r="D13509" t="str">
        <f>HYPERLINK("https://us2.cloudbeds.com/connect/10074733072513#/reservations/31703186931880?display=Scott%20Fredrickson&amp;reservation_id=31703186931880&amp;guest_id=31703186931878", "Scott Fredrickson")</f>
        <v>Scott Fredrickson</v>
      </c>
      <c r="E13509" t="s">
        <v>13112</v>
      </c>
      <c r="F13509" t="s">
        <v>13038</v>
      </c>
      <c r="G13509">
        <v>189</v>
      </c>
      <c r="H13509">
        <v>205.45</v>
      </c>
      <c r="I13509">
        <v>205.44</v>
      </c>
      <c r="J13509">
        <v>0.01</v>
      </c>
    </row>
    <row r="13510" spans="1:10" x14ac:dyDescent="0.3">
      <c r="A13510" t="str">
        <f>HYPERLINK("https://us2.cloudbeds.com/connect/10074733072513#/reservations/31703182962847?display=MHT5QKRNY&amp;reservation_id=31703182962847", "MHT5QKRNY")</f>
        <v>MHT5QKRNY</v>
      </c>
      <c r="B13510" t="s">
        <v>10</v>
      </c>
      <c r="C13510" t="s">
        <v>42</v>
      </c>
      <c r="D13510" t="str">
        <f>HYPERLINK("https://us2.cloudbeds.com/connect/10074733072513#/reservations/31703182962847?display=Faith%20Coplen&amp;reservation_id=31703182962847&amp;guest_id=31703182962845", "Faith Coplen")</f>
        <v>Faith Coplen</v>
      </c>
      <c r="E13510" t="s">
        <v>13113</v>
      </c>
      <c r="F13510" t="s">
        <v>12795</v>
      </c>
      <c r="G13510">
        <v>318</v>
      </c>
      <c r="H13510">
        <v>345.68</v>
      </c>
      <c r="I13510">
        <v>345.67</v>
      </c>
      <c r="J13510">
        <v>0.01</v>
      </c>
    </row>
    <row r="13511" spans="1:10" x14ac:dyDescent="0.3">
      <c r="A13511" t="str">
        <f>HYPERLINK("https://us2.cloudbeds.com/connect/10074733072513#/reservations/31702713528564?display=MHSQQQ4JB&amp;reservation_id=31702713528564", "MHSQQQ4JB")</f>
        <v>MHSQQQ4JB</v>
      </c>
      <c r="B13511" t="s">
        <v>10</v>
      </c>
      <c r="C13511" t="s">
        <v>23</v>
      </c>
      <c r="D13511" t="str">
        <f>HYPERLINK("https://us2.cloudbeds.com/connect/10074733072513#/reservations/31702713528564?display=Lynae%20Winter&amp;reservation_id=31702713528564&amp;guest_id=31702704746648", "Lynae Winter")</f>
        <v>Lynae Winter</v>
      </c>
      <c r="E13511" t="s">
        <v>13114</v>
      </c>
      <c r="F13511" t="s">
        <v>13038</v>
      </c>
      <c r="G13511">
        <v>189</v>
      </c>
      <c r="H13511">
        <v>205.45</v>
      </c>
      <c r="I13511">
        <v>205.44</v>
      </c>
      <c r="J13511">
        <v>0.01</v>
      </c>
    </row>
    <row r="13512" spans="1:10" x14ac:dyDescent="0.3">
      <c r="A13512" t="str">
        <f>HYPERLINK("https://us2.cloudbeds.com/connect/10074733072513#/reservations/31702704742546?display=MHSQJCYKC&amp;reservation_id=31702704742546", "MHSQJCYKC")</f>
        <v>MHSQJCYKC</v>
      </c>
      <c r="B13512" t="s">
        <v>10</v>
      </c>
      <c r="C13512" t="s">
        <v>42</v>
      </c>
      <c r="D13512" t="str">
        <f>HYPERLINK("https://us2.cloudbeds.com/connect/10074733072513#/reservations/31702704742546?display=Trent%20Herman&amp;reservation_id=31702704742546&amp;guest_id=31702693081331", "Trent Herman")</f>
        <v>Trent Herman</v>
      </c>
      <c r="E13512" t="s">
        <v>9970</v>
      </c>
      <c r="F13512" t="s">
        <v>13038</v>
      </c>
      <c r="G13512">
        <v>178</v>
      </c>
      <c r="H13512">
        <v>193.5</v>
      </c>
      <c r="I13512">
        <v>193.49</v>
      </c>
      <c r="J13512">
        <v>0.01</v>
      </c>
    </row>
    <row r="13513" spans="1:10" x14ac:dyDescent="0.3">
      <c r="A13513" t="str">
        <f>HYPERLINK("https://us2.cloudbeds.com/connect/10074733072513#/reservations/31702306459873?display=MHSGDHS4F&amp;reservation_id=31702306459873", "MHSGDHS4F")</f>
        <v>MHSGDHS4F</v>
      </c>
      <c r="B13513" t="s">
        <v>10</v>
      </c>
      <c r="C13513" t="s">
        <v>42</v>
      </c>
      <c r="D13513" t="str">
        <f>HYPERLINK("https://us2.cloudbeds.com/connect/10074733072513#/reservations/31702306459873?display=Kelly%20Rogers/Jackson&amp;reservation_id=31702306459873&amp;guest_id=31702306459871", "Kelly Rogers/Jackson")</f>
        <v>Kelly Rogers/Jackson</v>
      </c>
      <c r="E13513" t="s">
        <v>8738</v>
      </c>
      <c r="F13513" t="s">
        <v>13116</v>
      </c>
      <c r="G13513">
        <v>420</v>
      </c>
      <c r="H13513">
        <v>456.55</v>
      </c>
      <c r="I13513">
        <v>456.54</v>
      </c>
      <c r="J13513">
        <v>0.01</v>
      </c>
    </row>
    <row r="13514" spans="1:10" x14ac:dyDescent="0.3">
      <c r="A13514" t="str">
        <f>HYPERLINK("https://us2.cloudbeds.com/connect/10074733072513#/reservations/31703095910634?display=MHT3J7FVQ&amp;reservation_id=31703095910634", "MHT3J7FVQ")</f>
        <v>MHT3J7FVQ</v>
      </c>
      <c r="B13514" t="s">
        <v>10</v>
      </c>
      <c r="C13514" t="s">
        <v>42</v>
      </c>
      <c r="D13514" t="str">
        <f>HYPERLINK("https://us2.cloudbeds.com/connect/10074733072513#/reservations/31703095910634?display=Julio%20Molina&amp;reservation_id=31703095910634&amp;guest_id=31703090483358", "Julio Molina")</f>
        <v>Julio Molina</v>
      </c>
      <c r="E13514" t="s">
        <v>13103</v>
      </c>
      <c r="F13514" t="s">
        <v>12881</v>
      </c>
      <c r="G13514">
        <v>73</v>
      </c>
      <c r="H13514">
        <v>79.36</v>
      </c>
      <c r="I13514">
        <v>79.349999999999994</v>
      </c>
      <c r="J13514">
        <v>0.01</v>
      </c>
    </row>
    <row r="13515" spans="1:10" x14ac:dyDescent="0.3">
      <c r="A13515" t="str">
        <f>HYPERLINK("https://us2.cloudbeds.com/connect/10074733072513#/reservations/31701784952976?display=MHS32Q535&amp;reservation_id=31701784952976", "MHS32Q535")</f>
        <v>MHS32Q535</v>
      </c>
      <c r="B13515" t="s">
        <v>10</v>
      </c>
      <c r="C13515" t="s">
        <v>23</v>
      </c>
      <c r="D13515" t="str">
        <f>HYPERLINK("https://us2.cloudbeds.com/connect/10074733072513#/reservations/31701784952976?display=Kevin%20Suel&amp;reservation_id=31701784952976&amp;guest_id=31701784952973", "Kevin Suel")</f>
        <v>Kevin Suel</v>
      </c>
      <c r="E13515" t="s">
        <v>13119</v>
      </c>
      <c r="F13515" t="s">
        <v>12881</v>
      </c>
      <c r="G13515">
        <v>209</v>
      </c>
      <c r="H13515">
        <v>227.19</v>
      </c>
      <c r="I13515">
        <v>227.18</v>
      </c>
      <c r="J13515">
        <v>0.01</v>
      </c>
    </row>
    <row r="13516" spans="1:10" x14ac:dyDescent="0.3">
      <c r="A13516" t="str">
        <f>HYPERLINK("https://us2.cloudbeds.com/connect/10074733072513#/reservations/31701782003955?display=MHS30A32T&amp;reservation_id=31701782003955", "MHS30A32T")</f>
        <v>MHS30A32T</v>
      </c>
      <c r="B13516" t="s">
        <v>10</v>
      </c>
      <c r="C13516" t="s">
        <v>42</v>
      </c>
      <c r="D13516" t="str">
        <f>HYPERLINK("https://us2.cloudbeds.com/connect/10074733072513#/reservations/31701782003955?display=Arbid%20Peterson&amp;reservation_id=31701782003955&amp;guest_id=31701770444963", "Arbid Peterson")</f>
        <v>Arbid Peterson</v>
      </c>
      <c r="E13516" t="s">
        <v>13120</v>
      </c>
      <c r="F13516" t="s">
        <v>11742</v>
      </c>
      <c r="G13516">
        <v>159</v>
      </c>
      <c r="H13516">
        <v>172.84</v>
      </c>
      <c r="I13516">
        <v>172.83</v>
      </c>
      <c r="J13516">
        <v>0.01</v>
      </c>
    </row>
    <row r="13517" spans="1:10" x14ac:dyDescent="0.3">
      <c r="A13517" t="str">
        <f>HYPERLINK("https://us2.cloudbeds.com/connect/10074733072513#/reservations/31701658067078?display=MHRWRQC3V&amp;reservation_id=31701658067078", "MHRWRQC3V")</f>
        <v>MHRWRQC3V</v>
      </c>
      <c r="B13517" t="s">
        <v>10</v>
      </c>
      <c r="C13517" t="s">
        <v>23</v>
      </c>
      <c r="D13517" t="str">
        <f>HYPERLINK("https://us2.cloudbeds.com/connect/10074733072513#/reservations/31701658067078?display=Donald%20Jamieson&amp;reservation_id=31701658067078&amp;guest_id=31701648507119", "Donald Jamieson")</f>
        <v>Donald Jamieson</v>
      </c>
      <c r="E13517" t="s">
        <v>13121</v>
      </c>
      <c r="F13517" t="s">
        <v>12533</v>
      </c>
      <c r="G13517">
        <v>189</v>
      </c>
      <c r="H13517">
        <v>205.45</v>
      </c>
      <c r="I13517">
        <v>205.44</v>
      </c>
      <c r="J13517">
        <v>0.01</v>
      </c>
    </row>
    <row r="13518" spans="1:10" x14ac:dyDescent="0.3">
      <c r="A13518" t="str">
        <f>HYPERLINK("https://us2.cloudbeds.com/connect/10074733072513#/reservations/31703169654954?display=MHT5FDHE5&amp;reservation_id=31703169654954", "MHT5FDHE5")</f>
        <v>MHT5FDHE5</v>
      </c>
      <c r="B13518" t="s">
        <v>10</v>
      </c>
      <c r="C13518" t="s">
        <v>23</v>
      </c>
      <c r="D13518" t="str">
        <f>HYPERLINK("https://us2.cloudbeds.com/connect/10074733072513#/reservations/31703169654954?display=Michael%20Charnholm&amp;reservation_id=31703169654954&amp;guest_id=31703169654942", "Michael Charnholm")</f>
        <v>Michael Charnholm</v>
      </c>
      <c r="E13518" t="s">
        <v>13123</v>
      </c>
      <c r="F13518" t="s">
        <v>12795</v>
      </c>
      <c r="G13518">
        <v>169</v>
      </c>
      <c r="H13518">
        <v>183.71</v>
      </c>
      <c r="I13518">
        <v>183.7</v>
      </c>
      <c r="J13518">
        <v>0.01</v>
      </c>
    </row>
    <row r="13519" spans="1:10" x14ac:dyDescent="0.3">
      <c r="A13519" t="str">
        <f>HYPERLINK("https://us2.cloudbeds.com/connect/10074733072513#/reservations/31702314188947?display=MHSGK1UHR&amp;reservation_id=31702314188947", "MHSGK1UHR")</f>
        <v>MHSGK1UHR</v>
      </c>
      <c r="B13519" t="s">
        <v>10</v>
      </c>
      <c r="C13519" t="s">
        <v>42</v>
      </c>
      <c r="D13519" t="str">
        <f>HYPERLINK("https://us2.cloudbeds.com/connect/10074733072513#/reservations/31702314188947?display=Keith%20Anderson&amp;reservation_id=31702314188947&amp;guest_id=17963406844038", "Keith Anderson")</f>
        <v>Keith Anderson</v>
      </c>
      <c r="E13519" t="s">
        <v>8040</v>
      </c>
      <c r="F13519" t="s">
        <v>13116</v>
      </c>
      <c r="G13519">
        <v>336</v>
      </c>
      <c r="H13519">
        <v>365.24</v>
      </c>
      <c r="I13519">
        <v>365.23</v>
      </c>
      <c r="J13519">
        <v>0.01</v>
      </c>
    </row>
    <row r="13520" spans="1:10" x14ac:dyDescent="0.3">
      <c r="A13520" t="str">
        <f>HYPERLINK("https://us2.cloudbeds.com/connect/10074733072513#/reservations/31700881416360?display=MHRCWTU7N&amp;reservation_id=31700881416360", "MHRCWTU7N")</f>
        <v>MHRCWTU7N</v>
      </c>
      <c r="B13520" t="s">
        <v>10</v>
      </c>
      <c r="C13520" t="s">
        <v>23</v>
      </c>
      <c r="D13520" t="str">
        <f>HYPERLINK("https://us2.cloudbeds.com/connect/10074733072513#/reservations/31700881416360?display=Sheena%20Sanow&amp;reservation_id=31700881416360&amp;guest_id=31700881416348", "Sheena Sanow")</f>
        <v>Sheena Sanow</v>
      </c>
      <c r="E13520" t="s">
        <v>13126</v>
      </c>
      <c r="F13520" t="s">
        <v>11134</v>
      </c>
      <c r="G13520">
        <v>229</v>
      </c>
      <c r="H13520">
        <v>248.93</v>
      </c>
      <c r="I13520">
        <v>248.92</v>
      </c>
      <c r="J13520">
        <v>0.01</v>
      </c>
    </row>
    <row r="13521" spans="1:10" x14ac:dyDescent="0.3">
      <c r="A13521" t="str">
        <f>HYPERLINK("https://us2.cloudbeds.com/connect/10074733072513#/reservations/31702901809369?display=MHSVKXAT9&amp;reservation_id=31702901809369", "MHSVKXAT9")</f>
        <v>MHSVKXAT9</v>
      </c>
      <c r="B13521" t="s">
        <v>10</v>
      </c>
      <c r="C13521" t="s">
        <v>23</v>
      </c>
      <c r="D13521" t="str">
        <f>HYPERLINK("https://us2.cloudbeds.com/connect/10074733072513#/reservations/31702901809369?display=Jennifer%20Burback&amp;reservation_id=31702901809369&amp;guest_id=31702901809367", "Jennifer Burback")</f>
        <v>Jennifer Burback</v>
      </c>
      <c r="E13521" t="s">
        <v>13128</v>
      </c>
      <c r="F13521" t="s">
        <v>12795</v>
      </c>
      <c r="G13521">
        <v>189</v>
      </c>
      <c r="H13521">
        <v>205.45</v>
      </c>
      <c r="I13521">
        <v>205.44</v>
      </c>
      <c r="J13521">
        <v>0.01</v>
      </c>
    </row>
    <row r="13522" spans="1:10" x14ac:dyDescent="0.3">
      <c r="A13522" t="str">
        <f>HYPERLINK("https://us2.cloudbeds.com/connect/10074733072513#/reservations/31702997233850?display=MHT120YM7&amp;reservation_id=31702997233850", "MHT120YM7")</f>
        <v>MHT120YM7</v>
      </c>
      <c r="B13522" t="s">
        <v>10</v>
      </c>
      <c r="C13522" t="s">
        <v>23</v>
      </c>
      <c r="D13522" t="str">
        <f>HYPERLINK("https://us2.cloudbeds.com/connect/10074733072513#/reservations/31702997233850?display=Ken%20Hill&amp;reservation_id=31702997233850&amp;guest_id=31702997233847", "Ken Hill")</f>
        <v>Ken Hill</v>
      </c>
      <c r="E13522" t="s">
        <v>13129</v>
      </c>
      <c r="F13522" t="s">
        <v>12005</v>
      </c>
      <c r="G13522">
        <v>139</v>
      </c>
      <c r="H13522">
        <v>151.1</v>
      </c>
      <c r="I13522">
        <v>151.09</v>
      </c>
      <c r="J13522">
        <v>0.01</v>
      </c>
    </row>
    <row r="13523" spans="1:10" x14ac:dyDescent="0.3">
      <c r="A13523" t="str">
        <f>HYPERLINK("https://us2.cloudbeds.com/connect/10074733072513#/reservations/31702869770378?display=MHSUQHQAP&amp;reservation_id=31702869770378", "MHSUQHQAP")</f>
        <v>MHSUQHQAP</v>
      </c>
      <c r="B13523" t="s">
        <v>10</v>
      </c>
      <c r="C13523" t="s">
        <v>42</v>
      </c>
      <c r="D13523" t="str">
        <f>HYPERLINK("https://us2.cloudbeds.com/connect/10074733072513#/reservations/31702869770378?display=Paul%20Olson&amp;reservation_id=31702869770378&amp;guest_id=31702869770375", "Paul Olson")</f>
        <v>Paul Olson</v>
      </c>
      <c r="E13523" t="s">
        <v>11952</v>
      </c>
      <c r="F13523" t="s">
        <v>12835</v>
      </c>
      <c r="G13523">
        <v>129</v>
      </c>
      <c r="H13523">
        <v>140.22999999999999</v>
      </c>
      <c r="I13523">
        <v>140.22</v>
      </c>
      <c r="J13523">
        <v>0.01</v>
      </c>
    </row>
    <row r="13524" spans="1:10" x14ac:dyDescent="0.3">
      <c r="A13524" t="str">
        <f>HYPERLINK("https://us2.cloudbeds.com/connect/10074733072513#/reservations/31702856827034?display=MHSUFKKQ7&amp;reservation_id=31702856827034", "MHSUFKKQ7")</f>
        <v>MHSUFKKQ7</v>
      </c>
      <c r="B13524" t="s">
        <v>10</v>
      </c>
      <c r="C13524" t="s">
        <v>42</v>
      </c>
      <c r="D13524" t="str">
        <f>HYPERLINK("https://us2.cloudbeds.com/connect/10074733072513#/reservations/31702856827034?display=Tyler%20Johnson&amp;reservation_id=31702856827034&amp;guest_id=31702856827031", "Tyler Johnson")</f>
        <v>Tyler Johnson</v>
      </c>
      <c r="E13524" t="s">
        <v>11952</v>
      </c>
      <c r="F13524" t="s">
        <v>12835</v>
      </c>
      <c r="G13524">
        <v>129</v>
      </c>
      <c r="H13524">
        <v>140.22999999999999</v>
      </c>
      <c r="I13524">
        <v>140.22</v>
      </c>
      <c r="J13524">
        <v>0.01</v>
      </c>
    </row>
    <row r="13525" spans="1:10" x14ac:dyDescent="0.3">
      <c r="A13525" t="str">
        <f>HYPERLINK("https://us2.cloudbeds.com/connect/10074733072513#/reservations/31702156370071?display=MHSCXWCKY&amp;reservation_id=31702156370071", "MHSCXWCKY")</f>
        <v>MHSCXWCKY</v>
      </c>
      <c r="B13525" t="s">
        <v>10</v>
      </c>
      <c r="C13525" t="s">
        <v>42</v>
      </c>
      <c r="D13525" t="str">
        <f>HYPERLINK("https://us2.cloudbeds.com/connect/10074733072513#/reservations/31702156370071?display=David%20Mcgeary&amp;reservation_id=31702156370071&amp;guest_id=31702156370068", "David Mcgeary")</f>
        <v>David Mcgeary</v>
      </c>
      <c r="E13525" t="s">
        <v>13133</v>
      </c>
      <c r="F13525" t="s">
        <v>12795</v>
      </c>
      <c r="G13525">
        <v>189</v>
      </c>
      <c r="H13525">
        <v>205.45</v>
      </c>
      <c r="I13525">
        <v>205.44</v>
      </c>
      <c r="J13525">
        <v>0.01</v>
      </c>
    </row>
    <row r="13526" spans="1:10" x14ac:dyDescent="0.3">
      <c r="A13526" t="str">
        <f>HYPERLINK("https://us2.cloudbeds.com/connect/10074733072513#/reservations/31702024503459?display=MHS96PWWN&amp;reservation_id=31702024503459", "MHS96PWWN")</f>
        <v>MHS96PWWN</v>
      </c>
      <c r="B13526" t="s">
        <v>10</v>
      </c>
      <c r="C13526" t="s">
        <v>42</v>
      </c>
      <c r="D13526" t="str">
        <f>HYPERLINK("https://us2.cloudbeds.com/connect/10074733072513#/reservations/31702024503459?display=Randall%20Johnson&amp;reservation_id=31702024503459&amp;guest_id=31702024499373", "Randall Johnson")</f>
        <v>Randall Johnson</v>
      </c>
      <c r="E13526" t="s">
        <v>13134</v>
      </c>
      <c r="F13526" t="s">
        <v>12835</v>
      </c>
      <c r="G13526">
        <v>129</v>
      </c>
      <c r="H13526">
        <v>140.22999999999999</v>
      </c>
      <c r="I13526">
        <v>140.22</v>
      </c>
      <c r="J13526">
        <v>0.01</v>
      </c>
    </row>
    <row r="13527" spans="1:10" x14ac:dyDescent="0.3">
      <c r="A13527" t="str">
        <f>HYPERLINK("https://us2.cloudbeds.com/connect/10074733072513#/reservations/31702744453283?display=MHSRJSYV1&amp;reservation_id=31702744453283", "MHSRJSYV1")</f>
        <v>MHSRJSYV1</v>
      </c>
      <c r="B13527" t="s">
        <v>10</v>
      </c>
      <c r="C13527" t="s">
        <v>42</v>
      </c>
      <c r="D13527" t="str">
        <f>HYPERLINK("https://us2.cloudbeds.com/connect/10074733072513#/reservations/31702744453283?display=Teresa%20Jumper&amp;reservation_id=31702744453283&amp;guest_id=31702744449188", "Teresa Jumper")</f>
        <v>Teresa Jumper</v>
      </c>
      <c r="E13527" t="s">
        <v>13135</v>
      </c>
      <c r="F13527" t="s">
        <v>12835</v>
      </c>
      <c r="G13527">
        <v>258</v>
      </c>
      <c r="H13527">
        <v>280.45999999999998</v>
      </c>
      <c r="I13527">
        <v>280.45</v>
      </c>
      <c r="J13527">
        <v>0.01</v>
      </c>
    </row>
    <row r="13528" spans="1:10" x14ac:dyDescent="0.3">
      <c r="A13528" t="str">
        <f>HYPERLINK("https://us2.cloudbeds.com/connect/10074733072513#/reservations/31702040142041?display=MHS9JW5G4&amp;reservation_id=31702040142041", "MHS9JW5G4")</f>
        <v>MHS9JW5G4</v>
      </c>
      <c r="B13528" t="s">
        <v>10</v>
      </c>
      <c r="C13528" t="s">
        <v>42</v>
      </c>
      <c r="D13528" t="str">
        <f>HYPERLINK("https://us2.cloudbeds.com/connect/10074733072513#/reservations/31702040142041?display=Mark%20Ruopp&amp;reservation_id=31702040142041&amp;guest_id=31702040142038", "Mark Ruopp")</f>
        <v>Mark Ruopp</v>
      </c>
      <c r="E13528" t="s">
        <v>13136</v>
      </c>
      <c r="F13528" t="s">
        <v>12835</v>
      </c>
      <c r="G13528">
        <v>129</v>
      </c>
      <c r="H13528">
        <v>140.22999999999999</v>
      </c>
      <c r="I13528">
        <v>140.22</v>
      </c>
      <c r="J13528">
        <v>0.01</v>
      </c>
    </row>
    <row r="13529" spans="1:10" x14ac:dyDescent="0.3">
      <c r="A13529" t="str">
        <f>HYPERLINK("https://us2.cloudbeds.com/connect/10074733072513#/reservations/31702376542414?display=MHSX6Y02R&amp;reservation_id=31702376542414", "MHSX6Y02R")</f>
        <v>MHSX6Y02R</v>
      </c>
      <c r="B13529" t="s">
        <v>10</v>
      </c>
      <c r="C13529" t="s">
        <v>23</v>
      </c>
      <c r="D13529" t="str">
        <f>HYPERLINK("https://us2.cloudbeds.com/connect/10074733072513#/reservations/31702376542414?display=Metcalf%20Joel&amp;reservation_id=31702376542414&amp;guest_id=31702376542410", "Metcalf Joel")</f>
        <v>Metcalf Joel</v>
      </c>
      <c r="E13529" t="s">
        <v>13137</v>
      </c>
      <c r="F13529" t="s">
        <v>12662</v>
      </c>
      <c r="G13529">
        <v>197.1</v>
      </c>
      <c r="H13529">
        <v>214.26</v>
      </c>
      <c r="I13529">
        <v>214.25</v>
      </c>
      <c r="J13529">
        <v>0.01</v>
      </c>
    </row>
    <row r="13530" spans="1:10" x14ac:dyDescent="0.3">
      <c r="A13530" t="str">
        <f>HYPERLINK("https://us2.cloudbeds.com/connect/10074733072513#/reservations/31702876618974?display=MHSUWAC6W&amp;reservation_id=31702876618974", "MHSUWAC6W")</f>
        <v>MHSUWAC6W</v>
      </c>
      <c r="B13530" t="s">
        <v>10</v>
      </c>
      <c r="C13530" t="s">
        <v>42</v>
      </c>
      <c r="D13530" t="str">
        <f>HYPERLINK("https://us2.cloudbeds.com/connect/10074733072513#/reservations/31702876618974?display=Devin%20Mcmanus&amp;reservation_id=31702876618974&amp;guest_id=31702876618971", "Devin Mcmanus")</f>
        <v>Devin Mcmanus</v>
      </c>
      <c r="E13530" t="s">
        <v>11952</v>
      </c>
      <c r="F13530" t="s">
        <v>12835</v>
      </c>
      <c r="G13530">
        <v>129</v>
      </c>
      <c r="H13530">
        <v>140.22999999999999</v>
      </c>
      <c r="I13530">
        <v>140.22</v>
      </c>
      <c r="J13530">
        <v>0.01</v>
      </c>
    </row>
    <row r="13531" spans="1:10" x14ac:dyDescent="0.3">
      <c r="A13531" t="str">
        <f>HYPERLINK("https://us2.cloudbeds.com/connect/10074733072513#/reservations/31702498738428?display=MHSYAM9FB&amp;reservation_id=31702498738428", "MHSYAM9FB")</f>
        <v>MHSYAM9FB</v>
      </c>
      <c r="B13531" t="s">
        <v>10</v>
      </c>
      <c r="C13531" t="s">
        <v>23</v>
      </c>
      <c r="D13531" t="str">
        <f>HYPERLINK("https://us2.cloudbeds.com/connect/10074733072513#/reservations/31702498738428?display=Charles%20Hubert&amp;reservation_id=31702498738428&amp;guest_id=31702498738426", "Charles Hubert")</f>
        <v>Charles Hubert</v>
      </c>
      <c r="E13531" t="s">
        <v>13138</v>
      </c>
      <c r="F13531" t="s">
        <v>12326</v>
      </c>
      <c r="G13531">
        <v>219</v>
      </c>
      <c r="H13531">
        <v>238.06</v>
      </c>
      <c r="I13531">
        <v>238.05</v>
      </c>
      <c r="J13531">
        <v>0.01</v>
      </c>
    </row>
    <row r="13532" spans="1:10" x14ac:dyDescent="0.3">
      <c r="A13532" t="str">
        <f>HYPERLINK("https://us2.cloudbeds.com/connect/10074733072513#/reservations/31701998575744?display=MHS8HUDX6&amp;reservation_id=31701998575744", "MHS8HUDX6")</f>
        <v>MHS8HUDX6</v>
      </c>
      <c r="B13532" t="s">
        <v>10</v>
      </c>
      <c r="C13532" t="s">
        <v>42</v>
      </c>
      <c r="D13532" t="str">
        <f>HYPERLINK("https://us2.cloudbeds.com/connect/10074733072513#/reservations/31701998575744?display=Angelo%20Poletti&amp;reservation_id=31701998575744&amp;guest_id=31701896859888", "Angelo Poletti")</f>
        <v>Angelo Poletti</v>
      </c>
      <c r="E13532" t="s">
        <v>13139</v>
      </c>
      <c r="F13532" t="s">
        <v>13140</v>
      </c>
      <c r="G13532">
        <v>170</v>
      </c>
      <c r="H13532">
        <v>184.8</v>
      </c>
      <c r="I13532">
        <v>184.79</v>
      </c>
      <c r="J13532">
        <v>0.01</v>
      </c>
    </row>
    <row r="13533" spans="1:10" x14ac:dyDescent="0.3">
      <c r="A13533" t="str">
        <f>HYPERLINK("https://us2.cloudbeds.com/connect/10074733072513#/reservations/31702016483542?display=MHS900RGU&amp;reservation_id=31702016483542", "MHS900RGU")</f>
        <v>MHS900RGU</v>
      </c>
      <c r="B13533" t="s">
        <v>10</v>
      </c>
      <c r="C13533" t="s">
        <v>23</v>
      </c>
      <c r="D13533" t="str">
        <f>HYPERLINK("https://us2.cloudbeds.com/connect/10074733072513#/reservations/31702016483542?display=Dominic%20Kokkinakis&amp;reservation_id=31702016483542&amp;guest_id=31702016479448", "Dominic Kokkinakis")</f>
        <v>Dominic Kokkinakis</v>
      </c>
      <c r="E13533" t="s">
        <v>13142</v>
      </c>
      <c r="F13533" t="s">
        <v>12835</v>
      </c>
      <c r="G13533">
        <v>129</v>
      </c>
      <c r="H13533">
        <v>140.22999999999999</v>
      </c>
      <c r="I13533">
        <v>140.22</v>
      </c>
      <c r="J13533">
        <v>0.01</v>
      </c>
    </row>
    <row r="13534" spans="1:10" x14ac:dyDescent="0.3">
      <c r="A13534" t="str">
        <f>HYPERLINK("https://us2.cloudbeds.com/connect/10074733072513#/reservations/31702006812802?display=MHS8ZSZ46&amp;reservation_id=31702006812802", "MHS8ZSZ46")</f>
        <v>MHS8ZSZ46</v>
      </c>
      <c r="B13534" t="s">
        <v>10</v>
      </c>
      <c r="C13534" t="s">
        <v>121</v>
      </c>
      <c r="D13534" t="str">
        <f>HYPERLINK("https://us2.cloudbeds.com/connect/10074733072513#/reservations/31702006812802?display=Darrel%20Vanderheiden&amp;reservation_id=31702006812802&amp;guest_id=30665257504901", "Darrel Vanderheiden")</f>
        <v>Darrel Vanderheiden</v>
      </c>
      <c r="E13534" t="s">
        <v>4502</v>
      </c>
      <c r="F13534" t="s">
        <v>13140</v>
      </c>
      <c r="G13534">
        <v>129</v>
      </c>
      <c r="H13534">
        <v>140.22999999999999</v>
      </c>
      <c r="I13534">
        <v>140.22</v>
      </c>
      <c r="J13534">
        <v>0.01</v>
      </c>
    </row>
    <row r="13535" spans="1:10" x14ac:dyDescent="0.3">
      <c r="A13535" t="str">
        <f>HYPERLINK("https://us2.cloudbeds.com/connect/10074733072513#/reservations/31700767875299?display=MHRA35FFG&amp;reservation_id=31700767875299", "MHRA35FFG")</f>
        <v>MHRA35FFG</v>
      </c>
      <c r="B13535" t="s">
        <v>10</v>
      </c>
      <c r="C13535" t="s">
        <v>23</v>
      </c>
      <c r="D13535" t="str">
        <f>HYPERLINK("https://us2.cloudbeds.com/connect/10074733072513#/reservations/31700767875299?display=Ben%20Simonson&amp;reservation_id=31700767875299&amp;guest_id=31700759371916", "Ben Simonson")</f>
        <v>Ben Simonson</v>
      </c>
      <c r="E13535" t="s">
        <v>13143</v>
      </c>
      <c r="F13535" t="s">
        <v>11134</v>
      </c>
      <c r="G13535">
        <v>229</v>
      </c>
      <c r="H13535">
        <v>248.93</v>
      </c>
      <c r="I13535">
        <v>248.92</v>
      </c>
      <c r="J13535">
        <v>0.01</v>
      </c>
    </row>
    <row r="13536" spans="1:10" x14ac:dyDescent="0.3">
      <c r="A13536" t="str">
        <f>HYPERLINK("https://us2.cloudbeds.com/connect/10074733072513#/reservations/31700877992148?display=MHRCU0KSN&amp;reservation_id=31700877992148", "MHRCU0KSN")</f>
        <v>MHRCU0KSN</v>
      </c>
      <c r="B13536" t="s">
        <v>10</v>
      </c>
      <c r="C13536" t="s">
        <v>42</v>
      </c>
      <c r="D13536" t="str">
        <f>HYPERLINK("https://us2.cloudbeds.com/connect/10074733072513#/reservations/31700877992148?display=Mark%20Steigleder&amp;reservation_id=31700877992148&amp;guest_id=31700861939846", "Mark Steigleder")</f>
        <v>Mark Steigleder</v>
      </c>
      <c r="E13536" t="s">
        <v>8106</v>
      </c>
      <c r="F13536" t="s">
        <v>13145</v>
      </c>
      <c r="G13536">
        <v>178</v>
      </c>
      <c r="H13536">
        <v>193.5</v>
      </c>
      <c r="I13536">
        <v>193.49</v>
      </c>
      <c r="J13536">
        <v>0.01</v>
      </c>
    </row>
    <row r="13537" spans="1:10" x14ac:dyDescent="0.3">
      <c r="A13537" t="str">
        <f>HYPERLINK("https://us2.cloudbeds.com/connect/10074733072513#/reservations/31702762635486?display=MHSS26K5T&amp;reservation_id=31702762635486", "MHSS26K5T")</f>
        <v>MHSS26K5T</v>
      </c>
      <c r="B13537" t="s">
        <v>10</v>
      </c>
      <c r="C13537" t="s">
        <v>42</v>
      </c>
      <c r="D13537" t="str">
        <f>HYPERLINK("https://us2.cloudbeds.com/connect/10074733072513#/reservations/31702762635486?display=Kristen%20Painter&amp;reservation_id=31702762635486&amp;guest_id=31702762635481", "Kristen Painter")</f>
        <v>Kristen Painter</v>
      </c>
      <c r="E13537" t="s">
        <v>13147</v>
      </c>
      <c r="F13537" t="s">
        <v>12835</v>
      </c>
      <c r="G13537">
        <v>129</v>
      </c>
      <c r="H13537">
        <v>140.22999999999999</v>
      </c>
      <c r="I13537">
        <v>140.22</v>
      </c>
      <c r="J13537">
        <v>0.01</v>
      </c>
    </row>
    <row r="13538" spans="1:10" x14ac:dyDescent="0.3">
      <c r="A13538" t="str">
        <f>HYPERLINK("https://us2.cloudbeds.com/connect/10074733072513#/reservations/31702868041882?display=MHSUP2N33&amp;reservation_id=31702868041882", "MHSUP2N33")</f>
        <v>MHSUP2N33</v>
      </c>
      <c r="B13538" t="s">
        <v>10</v>
      </c>
      <c r="C13538" t="s">
        <v>42</v>
      </c>
      <c r="D13538" t="str">
        <f>HYPERLINK("https://us2.cloudbeds.com/connect/10074733072513#/reservations/31702868041882?display=Hugo%20Otero&amp;reservation_id=31702868041882&amp;guest_id=31702856102134", "Hugo Otero")</f>
        <v>Hugo Otero</v>
      </c>
      <c r="E13538" t="s">
        <v>13148</v>
      </c>
      <c r="F13538" t="s">
        <v>13096</v>
      </c>
      <c r="G13538">
        <v>588</v>
      </c>
      <c r="H13538">
        <v>639.16999999999996</v>
      </c>
      <c r="I13538">
        <v>639.16</v>
      </c>
      <c r="J13538">
        <v>0.01</v>
      </c>
    </row>
    <row r="13539" spans="1:10" x14ac:dyDescent="0.3">
      <c r="A13539" t="str">
        <f>HYPERLINK("https://us2.cloudbeds.com/connect/10074733072513#/reservations/31700890370252?display=MHRD7F2BP&amp;reservation_id=31700890370252", "MHRD7F2BP")</f>
        <v>MHRD7F2BP</v>
      </c>
      <c r="B13539" t="s">
        <v>10</v>
      </c>
      <c r="C13539" t="s">
        <v>23</v>
      </c>
      <c r="D13539" t="str">
        <f>HYPERLINK("https://us2.cloudbeds.com/connect/10074733072513#/reservations/31700890370252?display=Corbin%20Godfrey&amp;reservation_id=31700890370252&amp;guest_id=31700890366167", "Corbin Godfrey")</f>
        <v>Corbin Godfrey</v>
      </c>
      <c r="E13539" t="s">
        <v>13149</v>
      </c>
      <c r="F13539" t="s">
        <v>13145</v>
      </c>
      <c r="G13539">
        <v>258</v>
      </c>
      <c r="H13539">
        <v>280.45999999999998</v>
      </c>
      <c r="I13539">
        <v>280.45</v>
      </c>
      <c r="J13539">
        <v>0.01</v>
      </c>
    </row>
    <row r="13540" spans="1:10" x14ac:dyDescent="0.3">
      <c r="A13540" t="str">
        <f>HYPERLINK("https://us2.cloudbeds.com/connect/10074733072513#/reservations/31702812303567?display=MHSTB2N28&amp;reservation_id=31702812303567", "MHSTB2N28")</f>
        <v>MHSTB2N28</v>
      </c>
      <c r="B13540" t="s">
        <v>10</v>
      </c>
      <c r="C13540" t="s">
        <v>23</v>
      </c>
      <c r="D13540" t="str">
        <f>HYPERLINK("https://us2.cloudbeds.com/connect/10074733072513#/reservations/31702812303567?display=Colin%20Kelly&amp;reservation_id=31702812303567&amp;guest_id=31702812303561", "Colin Kelly")</f>
        <v>Colin Kelly</v>
      </c>
      <c r="E13540" t="s">
        <v>13150</v>
      </c>
      <c r="F13540" t="s">
        <v>13145</v>
      </c>
      <c r="G13540">
        <v>258</v>
      </c>
      <c r="H13540">
        <v>280.45999999999998</v>
      </c>
      <c r="I13540">
        <v>280.45</v>
      </c>
      <c r="J13540">
        <v>0.01</v>
      </c>
    </row>
    <row r="13541" spans="1:10" x14ac:dyDescent="0.3">
      <c r="A13541" t="str">
        <f>HYPERLINK("https://us2.cloudbeds.com/connect/10074733072513#/reservations/31702049620107?display=MHS9RVTV8&amp;reservation_id=31702049620107", "MHS9RVTV8")</f>
        <v>MHS9RVTV8</v>
      </c>
      <c r="B13541" t="s">
        <v>10</v>
      </c>
      <c r="C13541" t="s">
        <v>42</v>
      </c>
      <c r="D13541" t="str">
        <f>HYPERLINK("https://us2.cloudbeds.com/connect/10074733072513#/reservations/31702049620107?display=Becky%20Ruddle&amp;reservation_id=31702049620107&amp;guest_id=31702049620101", "Becky Ruddle")</f>
        <v>Becky Ruddle</v>
      </c>
      <c r="E13541" t="s">
        <v>13151</v>
      </c>
      <c r="F13541" t="s">
        <v>12835</v>
      </c>
      <c r="G13541">
        <v>129</v>
      </c>
      <c r="H13541">
        <v>140.22999999999999</v>
      </c>
      <c r="I13541">
        <v>140.22</v>
      </c>
      <c r="J13541">
        <v>0.01</v>
      </c>
    </row>
    <row r="13542" spans="1:10" x14ac:dyDescent="0.3">
      <c r="A13542" t="str">
        <f>HYPERLINK("https://us2.cloudbeds.com/connect/10074733072513#/reservations/31700930601097?display=MHRE8CX99&amp;reservation_id=31700930601097", "MHRE8CX99")</f>
        <v>MHRE8CX99</v>
      </c>
      <c r="B13542" t="s">
        <v>10</v>
      </c>
      <c r="C13542" t="s">
        <v>23</v>
      </c>
      <c r="D13542" t="str">
        <f>HYPERLINK("https://us2.cloudbeds.com/connect/10074733072513#/reservations/31700930601097?display=Aidan%20Tarango&amp;reservation_id=31700930601097&amp;guest_id=31700930597003", "Aidan Tarango")</f>
        <v>Aidan Tarango</v>
      </c>
      <c r="E13542" t="s">
        <v>13152</v>
      </c>
      <c r="F13542" t="s">
        <v>13145</v>
      </c>
      <c r="G13542">
        <v>258</v>
      </c>
      <c r="H13542">
        <v>280.45999999999998</v>
      </c>
      <c r="I13542">
        <v>280.45</v>
      </c>
      <c r="J13542">
        <v>0.01</v>
      </c>
    </row>
    <row r="13543" spans="1:10" x14ac:dyDescent="0.3">
      <c r="A13543" t="str">
        <f>HYPERLINK("https://us2.cloudbeds.com/connect/10074733072513#/reservations/31701625237734?display=MHRW03RQB&amp;reservation_id=31701625237734", "MHRW03RQB")</f>
        <v>MHRW03RQB</v>
      </c>
      <c r="B13543" t="s">
        <v>10</v>
      </c>
      <c r="C13543" t="s">
        <v>23</v>
      </c>
      <c r="D13543" t="str">
        <f>HYPERLINK("https://us2.cloudbeds.com/connect/10074733072513#/reservations/31701625237734?display=Brian%20Herbst&amp;reservation_id=31701625237734&amp;guest_id=31687524618395", "Brian Herbst")</f>
        <v>Brian Herbst</v>
      </c>
      <c r="E13543" t="s">
        <v>4333</v>
      </c>
      <c r="F13543" t="s">
        <v>12533</v>
      </c>
      <c r="G13543">
        <v>189</v>
      </c>
      <c r="H13543">
        <v>205.45</v>
      </c>
      <c r="I13543">
        <v>205.44</v>
      </c>
      <c r="J13543">
        <v>0.01</v>
      </c>
    </row>
    <row r="13544" spans="1:10" x14ac:dyDescent="0.3">
      <c r="A13544" t="str">
        <f>HYPERLINK("https://us2.cloudbeds.com/connect/10074733072513#/reservations/31702354624736?display=MHSHY53YP&amp;reservation_id=31702354624736", "MHSHY53YP")</f>
        <v>MHSHY53YP</v>
      </c>
      <c r="B13544" t="s">
        <v>10</v>
      </c>
      <c r="C13544" t="s">
        <v>121</v>
      </c>
      <c r="D13544" t="str">
        <f>HYPERLINK("https://us2.cloudbeds.com/connect/10074733072513#/reservations/31702354624736?display=Ben%20Christen&amp;reservation_id=31702354624736&amp;guest_id=31702354624732", "Ben Christen")</f>
        <v>Ben Christen</v>
      </c>
      <c r="E13544" t="s">
        <v>13153</v>
      </c>
      <c r="F13544" t="s">
        <v>13140</v>
      </c>
      <c r="G13544">
        <v>129</v>
      </c>
      <c r="H13544">
        <v>140.22999999999999</v>
      </c>
      <c r="I13544">
        <v>140.22</v>
      </c>
      <c r="J13544">
        <v>0.01</v>
      </c>
    </row>
    <row r="13545" spans="1:10" x14ac:dyDescent="0.3">
      <c r="A13545" t="str">
        <f>HYPERLINK("https://us2.cloudbeds.com/connect/10074733072513#/reservations/31702436380879?display=MHSJZ335Y&amp;reservation_id=31702436380879", "MHSJZ335Y")</f>
        <v>MHSJZ335Y</v>
      </c>
      <c r="B13545" t="s">
        <v>10</v>
      </c>
      <c r="C13545" t="s">
        <v>42</v>
      </c>
      <c r="D13545" t="str">
        <f>HYPERLINK("https://us2.cloudbeds.com/connect/10074733072513#/reservations/31702436380879?display=Gene%20Westerbuhr&amp;reservation_id=31702436380879&amp;guest_id=31702436380876", "Gene Westerbuhr")</f>
        <v>Gene Westerbuhr</v>
      </c>
      <c r="E13545" t="s">
        <v>11352</v>
      </c>
      <c r="F13545" t="s">
        <v>13145</v>
      </c>
      <c r="G13545">
        <v>89</v>
      </c>
      <c r="H13545">
        <v>96.75</v>
      </c>
      <c r="I13545">
        <v>96.74</v>
      </c>
      <c r="J13545">
        <v>0.01</v>
      </c>
    </row>
    <row r="13546" spans="1:10" x14ac:dyDescent="0.3">
      <c r="A13546" t="str">
        <f>HYPERLINK("https://us2.cloudbeds.com/connect/10074733072513#/reservations/31702444171491?display=MHSJUYT2Q&amp;reservation_id=31702444171491", "MHSJUYT2Q")</f>
        <v>MHSJUYT2Q</v>
      </c>
      <c r="B13546" t="s">
        <v>10</v>
      </c>
      <c r="C13546" t="s">
        <v>42</v>
      </c>
      <c r="D13546" t="str">
        <f>HYPERLINK("https://us2.cloudbeds.com/connect/10074733072513#/reservations/31702444171491?display=Angelo%20Poletti&amp;reservation_id=31702444171491&amp;guest_id=31701896859888", "Angelo Poletti")</f>
        <v>Angelo Poletti</v>
      </c>
      <c r="E13546" t="s">
        <v>13139</v>
      </c>
      <c r="F13546" t="s">
        <v>13145</v>
      </c>
      <c r="G13546">
        <v>149</v>
      </c>
      <c r="H13546">
        <v>161.97</v>
      </c>
      <c r="I13546">
        <v>161.96</v>
      </c>
      <c r="J13546">
        <v>0.01</v>
      </c>
    </row>
    <row r="13547" spans="1:10" x14ac:dyDescent="0.3">
      <c r="A13547" t="str">
        <f>HYPERLINK("https://us2.cloudbeds.com/connect/10074733072513#/reservations/31702199484572?display=MHSDMB3HM&amp;reservation_id=31702199484572", "MHSDMB3HM")</f>
        <v>MHSDMB3HM</v>
      </c>
      <c r="B13547" t="s">
        <v>10</v>
      </c>
      <c r="C13547" t="s">
        <v>42</v>
      </c>
      <c r="D13547" t="str">
        <f>HYPERLINK("https://us2.cloudbeds.com/connect/10074733072513#/reservations/31702199484572?display=Brian%20Wallace&amp;reservation_id=31702199484572&amp;guest_id=31702190198912", "Brian Wallace")</f>
        <v>Brian Wallace</v>
      </c>
      <c r="E13547" t="s">
        <v>13159</v>
      </c>
      <c r="F13547" t="s">
        <v>12047</v>
      </c>
      <c r="G13547">
        <v>159</v>
      </c>
      <c r="H13547">
        <v>172.84</v>
      </c>
      <c r="I13547">
        <v>172.83</v>
      </c>
      <c r="J13547">
        <v>0.01</v>
      </c>
    </row>
    <row r="13548" spans="1:10" x14ac:dyDescent="0.3">
      <c r="A13548" t="str">
        <f>HYPERLINK("https://us2.cloudbeds.com/connect/10074733072513#/reservations/31702410997921?display=MHSJ2MYUM&amp;reservation_id=31702410997921", "MHSJ2MYUM")</f>
        <v>MHSJ2MYUM</v>
      </c>
      <c r="B13548" t="s">
        <v>10</v>
      </c>
      <c r="C13548" t="s">
        <v>42</v>
      </c>
      <c r="D13548" t="str">
        <f>HYPERLINK("https://us2.cloudbeds.com/connect/10074733072513#/reservations/31702410997921?display=Alexis%20Volkers&amp;reservation_id=31702410997921&amp;guest_id=31702410993843", "Alexis Volkers")</f>
        <v>Alexis Volkers</v>
      </c>
      <c r="E13548" t="s">
        <v>13161</v>
      </c>
      <c r="F13548" t="s">
        <v>13145</v>
      </c>
      <c r="G13548">
        <v>149</v>
      </c>
      <c r="H13548">
        <v>161.97</v>
      </c>
      <c r="I13548">
        <v>161.96</v>
      </c>
      <c r="J13548">
        <v>0.01</v>
      </c>
    </row>
    <row r="13549" spans="1:10" x14ac:dyDescent="0.3">
      <c r="A13549" t="str">
        <f>HYPERLINK("https://us2.cloudbeds.com/connect/10074733072513#/reservations/31701186674911?display=MHRKQA63R&amp;reservation_id=31701186674911", "MHRKQA63R")</f>
        <v>MHRKQA63R</v>
      </c>
      <c r="B13549" t="s">
        <v>10</v>
      </c>
      <c r="C13549" t="s">
        <v>23</v>
      </c>
      <c r="D13549" t="str">
        <f>HYPERLINK("https://us2.cloudbeds.com/connect/10074733072513#/reservations/31701186674911?display=Brent%20Langford&amp;reservation_id=31701186674911&amp;guest_id=31701186674906", "Brent Langford")</f>
        <v>Brent Langford</v>
      </c>
      <c r="E13549" t="s">
        <v>13162</v>
      </c>
      <c r="F13549" t="s">
        <v>13163</v>
      </c>
      <c r="G13549">
        <v>129</v>
      </c>
      <c r="H13549">
        <v>140.22999999999999</v>
      </c>
      <c r="I13549">
        <v>140.22</v>
      </c>
      <c r="J13549">
        <v>0.01</v>
      </c>
    </row>
    <row r="13550" spans="1:10" x14ac:dyDescent="0.3">
      <c r="A13550" t="str">
        <f>HYPERLINK("https://us2.cloudbeds.com/connect/10074733072513#/reservations/31702304080102?display=MHSGBHKS6&amp;reservation_id=31702304080102", "MHSGBHKS6")</f>
        <v>MHSGBHKS6</v>
      </c>
      <c r="B13550" t="s">
        <v>10</v>
      </c>
      <c r="C13550" t="s">
        <v>23</v>
      </c>
      <c r="D13550" t="str">
        <f>HYPERLINK("https://us2.cloudbeds.com/connect/10074733072513#/reservations/31702304080102?display=David%20Mcgeary&amp;reservation_id=31702304080102&amp;guest_id=31702288601230", "David Mcgeary")</f>
        <v>David Mcgeary</v>
      </c>
      <c r="E13550" t="s">
        <v>13164</v>
      </c>
      <c r="F13550" t="s">
        <v>13116</v>
      </c>
      <c r="G13550">
        <v>97.74</v>
      </c>
      <c r="H13550">
        <v>106.25</v>
      </c>
      <c r="I13550">
        <v>106.24</v>
      </c>
      <c r="J13550">
        <v>0.01</v>
      </c>
    </row>
    <row r="13551" spans="1:10" x14ac:dyDescent="0.3">
      <c r="A13551" t="str">
        <f>HYPERLINK("https://us2.cloudbeds.com/connect/10074733072513#/reservations/31702439915667?display=MHSJR2F2E&amp;reservation_id=31702439915667", "MHSJR2F2E")</f>
        <v>MHSJR2F2E</v>
      </c>
      <c r="B13551" t="s">
        <v>10</v>
      </c>
      <c r="C13551" t="s">
        <v>42</v>
      </c>
      <c r="D13551" t="str">
        <f>HYPERLINK("https://us2.cloudbeds.com/connect/10074733072513#/reservations/31702439915667?display=Blainda%20Mullin&amp;reservation_id=31702439915667&amp;guest_id=31702439915649", "Blainda Mullin")</f>
        <v>Blainda Mullin</v>
      </c>
      <c r="E13551" t="s">
        <v>13165</v>
      </c>
      <c r="F13551" t="s">
        <v>13109</v>
      </c>
      <c r="G13551">
        <v>149</v>
      </c>
      <c r="H13551">
        <v>161.97</v>
      </c>
      <c r="I13551">
        <v>161.96</v>
      </c>
      <c r="J13551">
        <v>0.01</v>
      </c>
    </row>
    <row r="13552" spans="1:10" x14ac:dyDescent="0.3">
      <c r="A13552" t="str">
        <f>HYPERLINK("https://us2.cloudbeds.com/connect/10074733072513#/reservations/31702784692353?display=MHSSKQCDQ&amp;reservation_id=31702784692353", "MHSSKQCDQ")</f>
        <v>MHSSKQCDQ</v>
      </c>
      <c r="B13552" t="s">
        <v>10</v>
      </c>
      <c r="C13552" t="s">
        <v>23</v>
      </c>
      <c r="D13552" t="str">
        <f>HYPERLINK("https://us2.cloudbeds.com/connect/10074733072513#/reservations/31702784692353?display=Makenzie%20Bruggeman&amp;reservation_id=31702784692353&amp;guest_id=31702784688272", "Makenzie Bruggeman")</f>
        <v>Makenzie Bruggeman</v>
      </c>
      <c r="E13552" t="s">
        <v>13166</v>
      </c>
      <c r="F13552" t="s">
        <v>13109</v>
      </c>
      <c r="G13552">
        <v>149</v>
      </c>
      <c r="H13552">
        <v>161.97</v>
      </c>
      <c r="I13552">
        <v>161.96</v>
      </c>
      <c r="J13552">
        <v>0.01</v>
      </c>
    </row>
    <row r="13553" spans="1:10" x14ac:dyDescent="0.3">
      <c r="A13553" t="str">
        <f>HYPERLINK("https://us2.cloudbeds.com/connect/10074733072513#/reservations/31702133039255?display=MHSBWA5X7&amp;reservation_id=31702133039255", "MHSBWA5X7")</f>
        <v>MHSBWA5X7</v>
      </c>
      <c r="B13553" t="s">
        <v>10</v>
      </c>
      <c r="C13553" t="s">
        <v>23</v>
      </c>
      <c r="D13553" t="str">
        <f>HYPERLINK("https://us2.cloudbeds.com/connect/10074733072513#/reservations/31702133039255?display=Elizabeth%20Winters&amp;reservation_id=31702133039255&amp;guest_id=31702133039250", "Elizabeth Winters")</f>
        <v>Elizabeth Winters</v>
      </c>
      <c r="E13553" t="s">
        <v>13167</v>
      </c>
      <c r="F13553" t="s">
        <v>13163</v>
      </c>
      <c r="G13553">
        <v>557</v>
      </c>
      <c r="H13553">
        <v>605.47</v>
      </c>
      <c r="I13553">
        <v>605.46</v>
      </c>
      <c r="J13553">
        <v>0.01</v>
      </c>
    </row>
    <row r="13554" spans="1:10" x14ac:dyDescent="0.3">
      <c r="A13554" t="str">
        <f>HYPERLINK("https://us2.cloudbeds.com/connect/10074733072513#/reservations/31702287061224?display=MHSFU61SK&amp;reservation_id=31702287061224", "MHSFU61SK")</f>
        <v>MHSFU61SK</v>
      </c>
      <c r="B13554" t="s">
        <v>10</v>
      </c>
      <c r="C13554" t="s">
        <v>23</v>
      </c>
      <c r="D13554" t="str">
        <f>HYPERLINK("https://us2.cloudbeds.com/connect/10074733072513#/reservations/31702287061224?display=Jason%20Giovannettone&amp;reservation_id=31702287061224&amp;guest_id=31702278639771", "Jason Giovannettone")</f>
        <v>Jason Giovannettone</v>
      </c>
      <c r="E13554" t="s">
        <v>13170</v>
      </c>
      <c r="F13554" t="s">
        <v>13116</v>
      </c>
      <c r="G13554">
        <v>195.48</v>
      </c>
      <c r="H13554">
        <v>212.5</v>
      </c>
      <c r="I13554">
        <v>212.49</v>
      </c>
      <c r="J13554">
        <v>0.01</v>
      </c>
    </row>
    <row r="13555" spans="1:10" x14ac:dyDescent="0.3">
      <c r="A13555" t="str">
        <f>HYPERLINK("https://us2.cloudbeds.com/connect/10074733072513#/reservations/31702658805933?display=MHSPDYD7Q&amp;reservation_id=31702658805933", "MHSPDYD7Q")</f>
        <v>MHSPDYD7Q</v>
      </c>
      <c r="B13555" t="s">
        <v>10</v>
      </c>
      <c r="C13555" t="s">
        <v>42</v>
      </c>
      <c r="D13555" t="str">
        <f>HYPERLINK("https://us2.cloudbeds.com/connect/10074733072513#/reservations/31702658805933?display=Phyllis%20Walburg&amp;reservation_id=31702658805933&amp;guest_id=31702658805931", "Phyllis Walburg")</f>
        <v>Phyllis Walburg</v>
      </c>
      <c r="E13555" t="s">
        <v>13171</v>
      </c>
      <c r="F13555" t="s">
        <v>12326</v>
      </c>
      <c r="G13555">
        <v>209</v>
      </c>
      <c r="H13555">
        <v>227.19</v>
      </c>
      <c r="I13555">
        <v>227.18</v>
      </c>
      <c r="J13555">
        <v>0.01</v>
      </c>
    </row>
    <row r="13556" spans="1:10" x14ac:dyDescent="0.3">
      <c r="A13556" t="str">
        <f>HYPERLINK("https://us2.cloudbeds.com/connect/10074733072513#/reservations/31702746710146?display=MHSRYPFBR&amp;reservation_id=31702746710146", "MHSRYPFBR")</f>
        <v>MHSRYPFBR</v>
      </c>
      <c r="B13556" t="s">
        <v>10</v>
      </c>
      <c r="C13556" t="s">
        <v>42</v>
      </c>
      <c r="D13556" t="str">
        <f>HYPERLINK("https://us2.cloudbeds.com/connect/10074733072513#/reservations/31702746710146?display=Daniel%20Luepke&amp;reservation_id=31702746710146&amp;guest_id=31702746710144", "Daniel Luepke")</f>
        <v>Daniel Luepke</v>
      </c>
      <c r="E13556" t="s">
        <v>13174</v>
      </c>
      <c r="F13556" t="s">
        <v>13109</v>
      </c>
      <c r="G13556">
        <v>149</v>
      </c>
      <c r="H13556">
        <v>161.97</v>
      </c>
      <c r="I13556">
        <v>161.96</v>
      </c>
      <c r="J13556">
        <v>0.01</v>
      </c>
    </row>
    <row r="13557" spans="1:10" x14ac:dyDescent="0.3">
      <c r="A13557" t="str">
        <f>HYPERLINK("https://us2.cloudbeds.com/connect/10074733072513#/reservations/31702331981955?display=MHSH221CT&amp;reservation_id=31702331981955", "MHSH221CT")</f>
        <v>MHSH221CT</v>
      </c>
      <c r="B13557" t="s">
        <v>10</v>
      </c>
      <c r="C13557" t="s">
        <v>23</v>
      </c>
      <c r="D13557" t="str">
        <f>HYPERLINK("https://us2.cloudbeds.com/connect/10074733072513#/reservations/31702331981955?display=Victor%20Casiano%20Colon&amp;reservation_id=31702331981955&amp;guest_id=31702086963353", "Victor Casiano Colon")</f>
        <v>Victor Casiano Colon</v>
      </c>
      <c r="E13557" t="s">
        <v>13177</v>
      </c>
      <c r="F13557" t="s">
        <v>13085</v>
      </c>
      <c r="G13557">
        <v>139</v>
      </c>
      <c r="H13557">
        <v>151.1</v>
      </c>
      <c r="I13557">
        <v>151.09</v>
      </c>
      <c r="J13557">
        <v>0.01</v>
      </c>
    </row>
    <row r="13558" spans="1:10" x14ac:dyDescent="0.3">
      <c r="A13558" t="str">
        <f>HYPERLINK("https://us2.cloudbeds.com/connect/10074733072513#/reservations/31702439919760?display=MHSJR2XRF&amp;reservation_id=31702439919760", "MHSJR2XRF")</f>
        <v>MHSJR2XRF</v>
      </c>
      <c r="B13558" t="s">
        <v>10</v>
      </c>
      <c r="C13558" t="s">
        <v>23</v>
      </c>
      <c r="D13558" t="str">
        <f>HYPERLINK("https://us2.cloudbeds.com/connect/10074733072513#/reservations/31702439919760?display=Leslie%20Clark&amp;reservation_id=31702439919760&amp;guest_id=31702439919745", "Leslie Clark")</f>
        <v>Leslie Clark</v>
      </c>
      <c r="E13558" t="s">
        <v>13178</v>
      </c>
      <c r="F13558" t="s">
        <v>12326</v>
      </c>
      <c r="G13558">
        <v>219</v>
      </c>
      <c r="H13558">
        <v>238.06</v>
      </c>
      <c r="I13558">
        <v>238.05</v>
      </c>
      <c r="J13558">
        <v>0.01</v>
      </c>
    </row>
    <row r="13559" spans="1:10" x14ac:dyDescent="0.3">
      <c r="A13559" t="str">
        <f>HYPERLINK("https://us2.cloudbeds.com/connect/10074733072513#/reservations/31702507274449?display=MHSYHSQSY&amp;reservation_id=31702507274449", "MHSYHSQSY")</f>
        <v>MHSYHSQSY</v>
      </c>
      <c r="B13559" t="s">
        <v>10</v>
      </c>
      <c r="C13559" t="s">
        <v>23</v>
      </c>
      <c r="D13559" t="str">
        <f>HYPERLINK("https://us2.cloudbeds.com/connect/10074733072513#/reservations/31702507274449?display=Jonda%20Jungwirth&amp;reservation_id=31702507274449&amp;guest_id=31702507274447", "Jonda Jungwirth")</f>
        <v>Jonda Jungwirth</v>
      </c>
      <c r="E13559" t="s">
        <v>13179</v>
      </c>
      <c r="F13559" t="s">
        <v>12326</v>
      </c>
      <c r="G13559">
        <v>209</v>
      </c>
      <c r="H13559">
        <v>227.19</v>
      </c>
      <c r="I13559">
        <v>227.18</v>
      </c>
      <c r="J13559">
        <v>0.01</v>
      </c>
    </row>
    <row r="13560" spans="1:10" x14ac:dyDescent="0.3">
      <c r="A13560" t="str">
        <f>HYPERLINK("https://us2.cloudbeds.com/connect/10074733072513#/reservations/31701937795265?display=MHS6WM74M&amp;reservation_id=31701937795265", "MHS6WM74M")</f>
        <v>MHS6WM74M</v>
      </c>
      <c r="B13560" t="s">
        <v>10</v>
      </c>
      <c r="C13560" t="s">
        <v>23</v>
      </c>
      <c r="D13560" t="str">
        <f>HYPERLINK("https://us2.cloudbeds.com/connect/10074733072513#/reservations/31701937795265?display=Traci%20Cole&amp;reservation_id=31701937795265&amp;guest_id=31701930418328", "Traci Cole")</f>
        <v>Traci Cole</v>
      </c>
      <c r="E13560" t="s">
        <v>13184</v>
      </c>
      <c r="F13560" t="s">
        <v>13125</v>
      </c>
      <c r="G13560">
        <v>159</v>
      </c>
      <c r="H13560">
        <v>172.84</v>
      </c>
      <c r="I13560">
        <v>172.83</v>
      </c>
      <c r="J13560">
        <v>0.01</v>
      </c>
    </row>
    <row r="13561" spans="1:10" x14ac:dyDescent="0.3">
      <c r="A13561" t="str">
        <f>HYPERLINK("https://us2.cloudbeds.com/connect/10074733072513#/reservations/31701922214093?display=MHS6JHYBV&amp;reservation_id=31701922214093", "MHS6JHYBV")</f>
        <v>MHS6JHYBV</v>
      </c>
      <c r="B13561" t="s">
        <v>10</v>
      </c>
      <c r="C13561" t="s">
        <v>23</v>
      </c>
      <c r="D13561" t="str">
        <f>HYPERLINK("https://us2.cloudbeds.com/connect/10074733072513#/reservations/31701922214093?display=Troy%20Larkin&amp;reservation_id=31701922214093&amp;guest_id=31701922214088", "Troy Larkin")</f>
        <v>Troy Larkin</v>
      </c>
      <c r="E13561" t="s">
        <v>13185</v>
      </c>
      <c r="F13561" t="s">
        <v>13125</v>
      </c>
      <c r="G13561">
        <v>102.58</v>
      </c>
      <c r="H13561">
        <v>111.51</v>
      </c>
      <c r="I13561">
        <v>111.5</v>
      </c>
      <c r="J13561">
        <v>0.01</v>
      </c>
    </row>
    <row r="13562" spans="1:10" x14ac:dyDescent="0.3">
      <c r="A13562" t="str">
        <f>HYPERLINK("https://us2.cloudbeds.com/connect/10074733072513#/reservations/31701907480711?display=MHS673M2R&amp;reservation_id=31701907480711", "MHS673M2R")</f>
        <v>MHS673M2R</v>
      </c>
      <c r="B13562" t="s">
        <v>10</v>
      </c>
      <c r="C13562" t="s">
        <v>23</v>
      </c>
      <c r="D13562" t="str">
        <f>HYPERLINK("https://us2.cloudbeds.com/connect/10074733072513#/reservations/31701907480711?display=Beth%20Holzwarth&amp;reservation_id=31701907480711&amp;guest_id=31701896859885", "Beth Holzwarth")</f>
        <v>Beth Holzwarth</v>
      </c>
      <c r="E13562" t="s">
        <v>9345</v>
      </c>
      <c r="F13562" t="s">
        <v>11420</v>
      </c>
      <c r="G13562">
        <v>495.92</v>
      </c>
      <c r="H13562">
        <v>539.08000000000004</v>
      </c>
      <c r="I13562">
        <v>539.07000000000005</v>
      </c>
      <c r="J13562">
        <v>0.01</v>
      </c>
    </row>
    <row r="13563" spans="1:10" x14ac:dyDescent="0.3">
      <c r="A13563" t="str">
        <f>HYPERLINK("https://us2.cloudbeds.com/connect/10074733072513#/reservations/31702354628828?display=MHSHY57DP&amp;reservation_id=31702354628828", "MHSHY57DP")</f>
        <v>MHSHY57DP</v>
      </c>
      <c r="B13563" t="s">
        <v>10</v>
      </c>
      <c r="C13563" t="s">
        <v>42</v>
      </c>
      <c r="D13563" t="str">
        <f>HYPERLINK("https://us2.cloudbeds.com/connect/10074733072513#/reservations/31702354628828?display=Ronald%20Forbes&amp;reservation_id=31702354628828&amp;guest_id=31702354624734", "Ronald Forbes")</f>
        <v>Ronald Forbes</v>
      </c>
      <c r="E13563" t="s">
        <v>13186</v>
      </c>
      <c r="F13563" t="s">
        <v>13116</v>
      </c>
      <c r="G13563">
        <v>298</v>
      </c>
      <c r="H13563">
        <v>323.94</v>
      </c>
      <c r="I13563">
        <v>323.93</v>
      </c>
      <c r="J13563">
        <v>0.01</v>
      </c>
    </row>
    <row r="13564" spans="1:10" x14ac:dyDescent="0.3">
      <c r="A13564" t="str">
        <f>HYPERLINK("https://us2.cloudbeds.com/connect/10074733072513#/reservations/31702352445569?display=MHSHJAFJD&amp;reservation_id=31702352445569", "MHSHJAFJD")</f>
        <v>MHSHJAFJD</v>
      </c>
      <c r="B13564" t="s">
        <v>10</v>
      </c>
      <c r="C13564" t="s">
        <v>42</v>
      </c>
      <c r="D13564" t="str">
        <f>HYPERLINK("https://us2.cloudbeds.com/connect/10074733072513#/reservations/31702352445569?display=Ronald%20Forbes&amp;reservation_id=31702352445569&amp;guest_id=31702335361254", "Ronald Forbes")</f>
        <v>Ronald Forbes</v>
      </c>
      <c r="E13564" t="s">
        <v>13186</v>
      </c>
      <c r="F13564" t="s">
        <v>13116</v>
      </c>
      <c r="G13564">
        <v>298</v>
      </c>
      <c r="H13564">
        <v>323.94</v>
      </c>
      <c r="I13564">
        <v>323.93</v>
      </c>
      <c r="J13564">
        <v>0.01</v>
      </c>
    </row>
    <row r="13565" spans="1:10" x14ac:dyDescent="0.3">
      <c r="A13565" t="str">
        <f>HYPERLINK("https://us2.cloudbeds.com/connect/10074733072513#/reservations/31702864289979?display=MHSUYU9R2&amp;reservation_id=31702864289979", "MHSUYU9R2")</f>
        <v>MHSUYU9R2</v>
      </c>
      <c r="B13565" t="s">
        <v>10</v>
      </c>
      <c r="C13565" t="s">
        <v>42</v>
      </c>
      <c r="D13565" t="str">
        <f>HYPERLINK("https://us2.cloudbeds.com/connect/10074733072513#/reservations/31702864289979?display=Mary%20Anderson&amp;reservation_id=31702864289979&amp;guest_id=31702856106177", "Mary Anderson")</f>
        <v>Mary Anderson</v>
      </c>
      <c r="E13565" t="s">
        <v>13187</v>
      </c>
      <c r="F13565" t="s">
        <v>13092</v>
      </c>
      <c r="G13565">
        <v>169</v>
      </c>
      <c r="H13565">
        <v>183.71</v>
      </c>
      <c r="I13565">
        <v>183.7</v>
      </c>
      <c r="J13565">
        <v>0.01</v>
      </c>
    </row>
    <row r="13566" spans="1:10" x14ac:dyDescent="0.3">
      <c r="A13566" t="str">
        <f>HYPERLINK("https://us2.cloudbeds.com/connect/10074733072513#/reservations/31703095185543?display=MHT3XKA4B&amp;reservation_id=31703095185543", "MHT3XKA4B")</f>
        <v>MHT3XKA4B</v>
      </c>
      <c r="B13566" t="s">
        <v>10</v>
      </c>
      <c r="C13566" t="s">
        <v>42</v>
      </c>
      <c r="D13566" t="str">
        <f>HYPERLINK("https://us2.cloudbeds.com/connect/10074733072513#/reservations/31703095185543?display=Keith%20Anderson&amp;reservation_id=31703095185543&amp;guest_id=17963406844038", "Keith Anderson")</f>
        <v>Keith Anderson</v>
      </c>
      <c r="E13566" t="s">
        <v>8040</v>
      </c>
      <c r="F13566" t="s">
        <v>13189</v>
      </c>
      <c r="G13566">
        <v>336</v>
      </c>
      <c r="H13566">
        <v>365.24</v>
      </c>
      <c r="I13566">
        <v>365.23</v>
      </c>
      <c r="J13566">
        <v>0.01</v>
      </c>
    </row>
    <row r="13567" spans="1:10" x14ac:dyDescent="0.3">
      <c r="A13567" t="str">
        <f>HYPERLINK("https://us2.cloudbeds.com/connect/10074733072513#/reservations/31703007334608?display=MHT1AHNUQ&amp;reservation_id=31703007334608", "MHT1AHNUQ")</f>
        <v>MHT1AHNUQ</v>
      </c>
      <c r="B13567" t="s">
        <v>10</v>
      </c>
      <c r="C13567" t="s">
        <v>23</v>
      </c>
      <c r="D13567" t="str">
        <f>HYPERLINK("https://us2.cloudbeds.com/connect/10074733072513#/reservations/31703007334608?display=Kelly%20Smith&amp;reservation_id=31703007334608&amp;guest_id=31703007334604", "Kelly Smith")</f>
        <v>Kelly Smith</v>
      </c>
      <c r="E13567" t="s">
        <v>13190</v>
      </c>
      <c r="F13567" t="s">
        <v>12005</v>
      </c>
      <c r="G13567">
        <v>378</v>
      </c>
      <c r="H13567">
        <v>410.9</v>
      </c>
      <c r="I13567">
        <v>410.89</v>
      </c>
      <c r="J13567">
        <v>0.01</v>
      </c>
    </row>
    <row r="13568" spans="1:10" x14ac:dyDescent="0.3">
      <c r="A13568" t="str">
        <f>HYPERLINK("https://us2.cloudbeds.com/connect/10074733072513#/reservations/31702913421467?display=MHSVUBEW1&amp;reservation_id=31702913421467", "MHSVUBEW1")</f>
        <v>MHSVUBEW1</v>
      </c>
      <c r="B13568" t="s">
        <v>10</v>
      </c>
      <c r="C13568" t="s">
        <v>42</v>
      </c>
      <c r="D13568" t="str">
        <f>HYPERLINK("https://us2.cloudbeds.com/connect/10074733072513#/reservations/31702913421467?display=Tony%20Palaniuk&amp;reservation_id=31702913421467&amp;guest_id=31702913421462", "Tony Palaniuk")</f>
        <v>Tony Palaniuk</v>
      </c>
      <c r="E13568" t="s">
        <v>13191</v>
      </c>
      <c r="F13568" t="s">
        <v>13092</v>
      </c>
      <c r="G13568">
        <v>189</v>
      </c>
      <c r="H13568">
        <v>205.45</v>
      </c>
      <c r="I13568">
        <v>205.44</v>
      </c>
      <c r="J13568">
        <v>0.01</v>
      </c>
    </row>
    <row r="13569" spans="1:10" x14ac:dyDescent="0.3">
      <c r="A13569" t="str">
        <f>HYPERLINK("https://us2.cloudbeds.com/connect/10074733072513#/reservations/31701664882900?display=MHS00X0U0&amp;reservation_id=31701664882900", "MHS00X0U0")</f>
        <v>MHS00X0U0</v>
      </c>
      <c r="B13569" t="s">
        <v>10</v>
      </c>
      <c r="C13569" t="s">
        <v>23</v>
      </c>
      <c r="D13569" t="str">
        <f>HYPERLINK("https://us2.cloudbeds.com/connect/10074733072513#/reservations/31701664882900?display=Marques%20Fox&amp;reservation_id=31701664882900&amp;guest_id=31701658071171", "Marques Fox")</f>
        <v>Marques Fox</v>
      </c>
      <c r="E13569" t="s">
        <v>13192</v>
      </c>
      <c r="F13569" t="s">
        <v>12533</v>
      </c>
      <c r="G13569">
        <v>219</v>
      </c>
      <c r="H13569">
        <v>238.06</v>
      </c>
      <c r="I13569">
        <v>238.05</v>
      </c>
      <c r="J13569">
        <v>0.01</v>
      </c>
    </row>
    <row r="13570" spans="1:10" x14ac:dyDescent="0.3">
      <c r="A13570" t="str">
        <f>HYPERLINK("https://us2.cloudbeds.com/connect/10074733072513#/reservations/31702084296946?display=MHSAZ6RPX&amp;reservation_id=31702084296946", "MHSAZ6RPX")</f>
        <v>MHSAZ6RPX</v>
      </c>
      <c r="B13570" t="s">
        <v>10</v>
      </c>
      <c r="C13570" t="s">
        <v>23</v>
      </c>
      <c r="D13570" t="str">
        <f>HYPERLINK("https://us2.cloudbeds.com/connect/10074733072513#/reservations/31702084296946?display=Emily%20Toribio&amp;reservation_id=31702084296946&amp;guest_id=31702075871470", "Emily Toribio")</f>
        <v>Emily Toribio</v>
      </c>
      <c r="E13570" t="s">
        <v>13193</v>
      </c>
      <c r="F13570" t="s">
        <v>13163</v>
      </c>
      <c r="G13570">
        <v>318</v>
      </c>
      <c r="H13570">
        <v>345.68</v>
      </c>
      <c r="I13570">
        <v>345.67</v>
      </c>
      <c r="J13570">
        <v>0.01</v>
      </c>
    </row>
    <row r="13571" spans="1:10" x14ac:dyDescent="0.3">
      <c r="A13571" t="str">
        <f>HYPERLINK("https://us2.cloudbeds.com/connect/10074733072513#/reservations/31702689829053?display=MHSQ6QYVB&amp;reservation_id=31702689829053", "MHSQ6QYVB")</f>
        <v>MHSQ6QYVB</v>
      </c>
      <c r="B13571" t="s">
        <v>10</v>
      </c>
      <c r="C13571" t="s">
        <v>121</v>
      </c>
      <c r="D13571" t="str">
        <f>HYPERLINK("https://us2.cloudbeds.com/connect/10074733072513#/reservations/31702689829053?display=Derek%20Dvorak&amp;reservation_id=31702689829053&amp;guest_id=31683015356569", "Derek Dvorak")</f>
        <v>Derek Dvorak</v>
      </c>
      <c r="E13571" t="s">
        <v>7875</v>
      </c>
      <c r="F13571" t="s">
        <v>13092</v>
      </c>
      <c r="G13571">
        <v>189</v>
      </c>
      <c r="H13571">
        <v>205.45</v>
      </c>
      <c r="I13571">
        <v>205.44</v>
      </c>
      <c r="J13571">
        <v>0.01</v>
      </c>
    </row>
    <row r="13572" spans="1:10" x14ac:dyDescent="0.3">
      <c r="A13572" t="str">
        <f>HYPERLINK("https://us2.cloudbeds.com/connect/10074733072513#/reservations/31702856102083?display=MHSUF0F30&amp;reservation_id=31702856102083", "MHSUF0F30")</f>
        <v>MHSUF0F30</v>
      </c>
      <c r="B13572" t="s">
        <v>10</v>
      </c>
      <c r="C13572" t="s">
        <v>23</v>
      </c>
      <c r="D13572" t="str">
        <f>HYPERLINK("https://us2.cloudbeds.com/connect/10074733072513#/reservations/31702856102083?display=Richard%20Siegle&amp;reservation_id=31702856102083&amp;guest_id=31702844407980", "Richard Siegle")</f>
        <v>Richard Siegle</v>
      </c>
      <c r="E13572" t="s">
        <v>13194</v>
      </c>
      <c r="F13572" t="s">
        <v>13092</v>
      </c>
      <c r="G13572">
        <v>109</v>
      </c>
      <c r="H13572">
        <v>118.49</v>
      </c>
      <c r="I13572">
        <v>118.48</v>
      </c>
      <c r="J13572">
        <v>0.01</v>
      </c>
    </row>
    <row r="13573" spans="1:10" x14ac:dyDescent="0.3">
      <c r="A13573" t="str">
        <f>HYPERLINK("https://us2.cloudbeds.com/connect/10074733072513#/reservations/31702497689838?display=MHSY9Q3XT&amp;reservation_id=31702497689838", "MHSY9Q3XT")</f>
        <v>MHSY9Q3XT</v>
      </c>
      <c r="B13573" t="s">
        <v>10</v>
      </c>
      <c r="C13573" t="s">
        <v>23</v>
      </c>
      <c r="D13573" t="str">
        <f>HYPERLINK("https://us2.cloudbeds.com/connect/10074733072513#/reservations/31702497689838?display=Kim%20Sutherland&amp;reservation_id=31702497689838&amp;guest_id=31702480203917", "Kim Sutherland")</f>
        <v>Kim Sutherland</v>
      </c>
      <c r="E13573" t="s">
        <v>13195</v>
      </c>
      <c r="F13573" t="s">
        <v>12326</v>
      </c>
      <c r="G13573">
        <v>187.78</v>
      </c>
      <c r="H13573">
        <v>204.13</v>
      </c>
      <c r="I13573">
        <v>204.12</v>
      </c>
      <c r="J13573">
        <v>0.01</v>
      </c>
    </row>
    <row r="13574" spans="1:10" x14ac:dyDescent="0.3">
      <c r="A13574" t="str">
        <f>HYPERLINK("https://us2.cloudbeds.com/connect/10074733072513#/reservations/31702986608863?display=MHT0Q200U&amp;reservation_id=31702986608863", "MHT0Q200U")</f>
        <v>MHT0Q200U</v>
      </c>
      <c r="B13574" t="s">
        <v>10</v>
      </c>
      <c r="C13574" t="s">
        <v>23</v>
      </c>
      <c r="D13574" t="str">
        <f>HYPERLINK("https://us2.cloudbeds.com/connect/10074733072513#/reservations/31702986608863?display=Blaine%20Wise&amp;reservation_id=31702986608863&amp;guest_id=31702986604752", "Blaine Wise")</f>
        <v>Blaine Wise</v>
      </c>
      <c r="E13574" t="s">
        <v>13198</v>
      </c>
      <c r="F13574" t="s">
        <v>12005</v>
      </c>
      <c r="G13574">
        <v>139</v>
      </c>
      <c r="H13574">
        <v>151.1</v>
      </c>
      <c r="I13574">
        <v>151.09</v>
      </c>
      <c r="J13574">
        <v>0.01</v>
      </c>
    </row>
    <row r="13575" spans="1:10" x14ac:dyDescent="0.3">
      <c r="A13575" t="str">
        <f>HYPERLINK("https://us2.cloudbeds.com/connect/10074733072513#/reservations/31702940827811?display=MHSWKF2GA&amp;reservation_id=31702940827811", "MHSWKF2GA")</f>
        <v>MHSWKF2GA</v>
      </c>
      <c r="B13575" t="s">
        <v>10</v>
      </c>
      <c r="C13575" t="s">
        <v>42</v>
      </c>
      <c r="D13575" t="str">
        <f>HYPERLINK("https://us2.cloudbeds.com/connect/10074733072513#/reservations/31702940827811?display=Scott%20Fredrickson&amp;reservation_id=31702940827811&amp;guest_id=31702927143115", "Scott Fredrickson")</f>
        <v>Scott Fredrickson</v>
      </c>
      <c r="E13575" t="s">
        <v>13199</v>
      </c>
      <c r="F13575" t="s">
        <v>13125</v>
      </c>
      <c r="G13575">
        <v>139</v>
      </c>
      <c r="H13575">
        <v>151.1</v>
      </c>
      <c r="I13575">
        <v>151.09</v>
      </c>
      <c r="J13575">
        <v>0.01</v>
      </c>
    </row>
    <row r="13576" spans="1:10" x14ac:dyDescent="0.3">
      <c r="A13576" t="str">
        <f>HYPERLINK("https://us2.cloudbeds.com/connect/10074733072513#/reservations/31703049482381?display=MHT2D2X41&amp;reservation_id=31703049482381", "MHT2D2X41")</f>
        <v>MHT2D2X41</v>
      </c>
      <c r="B13576" t="s">
        <v>10</v>
      </c>
      <c r="C13576" t="s">
        <v>42</v>
      </c>
      <c r="D13576" t="str">
        <f>HYPERLINK("https://us2.cloudbeds.com/connect/10074733072513#/reservations/31703049482381?display=Denise%20Duffy&amp;reservation_id=31703049482381&amp;guest_id=31701953757363", "Denise Duffy")</f>
        <v>Denise Duffy</v>
      </c>
      <c r="E13576" t="s">
        <v>13200</v>
      </c>
      <c r="F13576" t="s">
        <v>13189</v>
      </c>
      <c r="G13576">
        <v>89</v>
      </c>
      <c r="H13576">
        <v>96.75</v>
      </c>
      <c r="I13576">
        <v>96.74</v>
      </c>
      <c r="J13576">
        <v>0.01</v>
      </c>
    </row>
    <row r="13577" spans="1:10" x14ac:dyDescent="0.3">
      <c r="A13577" t="str">
        <f>HYPERLINK("https://us2.cloudbeds.com/connect/10074733072513#/reservations/31701959803082?display=MHS7X7KB7&amp;reservation_id=31701959803082", "MHS7X7KB7")</f>
        <v>MHS7X7KB7</v>
      </c>
      <c r="B13577" t="s">
        <v>10</v>
      </c>
      <c r="C13577" t="s">
        <v>42</v>
      </c>
      <c r="D13577" t="str">
        <f>HYPERLINK("https://us2.cloudbeds.com/connect/10074733072513#/reservations/31701959803082?display=Denise%20Duffy&amp;reservation_id=31701959803082&amp;guest_id=31701953757363", "Denise Duffy")</f>
        <v>Denise Duffy</v>
      </c>
      <c r="E13577" t="s">
        <v>13200</v>
      </c>
      <c r="F13577" t="s">
        <v>13125</v>
      </c>
      <c r="G13577">
        <v>89</v>
      </c>
      <c r="H13577">
        <v>96.75</v>
      </c>
      <c r="I13577">
        <v>96.74</v>
      </c>
      <c r="J13577">
        <v>0.01</v>
      </c>
    </row>
    <row r="13578" spans="1:10" x14ac:dyDescent="0.3">
      <c r="A13578" t="str">
        <f>HYPERLINK("https://us2.cloudbeds.com/connect/10074733072513#/reservations/31701888475345?display=MHS5Z2QVY&amp;reservation_id=31701888475345", "MHS5Z2QVY")</f>
        <v>MHS5Z2QVY</v>
      </c>
      <c r="B13578" t="s">
        <v>10</v>
      </c>
      <c r="C13578" t="s">
        <v>23</v>
      </c>
      <c r="D13578" t="str">
        <f>HYPERLINK("https://us2.cloudbeds.com/connect/10074733072513#/reservations/31701888475345?display=Mark%20Schwarz&amp;reservation_id=31701888475345&amp;guest_id=31701888471239", "Mark Schwarz")</f>
        <v>Mark Schwarz</v>
      </c>
      <c r="E13578" t="s">
        <v>13202</v>
      </c>
      <c r="F13578" t="s">
        <v>13085</v>
      </c>
      <c r="G13578">
        <v>221.72</v>
      </c>
      <c r="H13578">
        <v>241.02</v>
      </c>
      <c r="I13578">
        <v>241.01</v>
      </c>
      <c r="J13578">
        <v>0.01</v>
      </c>
    </row>
    <row r="13579" spans="1:10" x14ac:dyDescent="0.3">
      <c r="A13579" t="str">
        <f>HYPERLINK("https://us2.cloudbeds.com/connect/10074733072513#/reservations/31702396317891?display=MHSXNA9CN&amp;reservation_id=31702396317891", "MHSXNA9CN")</f>
        <v>MHSXNA9CN</v>
      </c>
      <c r="B13579" t="s">
        <v>10</v>
      </c>
      <c r="C13579" t="s">
        <v>23</v>
      </c>
      <c r="D13579" t="str">
        <f>HYPERLINK("https://us2.cloudbeds.com/connect/10074733072513#/reservations/31702396317891?display=Carmen%20Chuinard&amp;reservation_id=31702396317891&amp;guest_id=31702396317889", "Carmen Chuinard")</f>
        <v>Carmen Chuinard</v>
      </c>
      <c r="E13579" t="s">
        <v>13203</v>
      </c>
      <c r="F13579" t="s">
        <v>12662</v>
      </c>
      <c r="G13579">
        <v>438</v>
      </c>
      <c r="H13579">
        <v>476.12</v>
      </c>
      <c r="I13579">
        <v>476.11</v>
      </c>
      <c r="J13579">
        <v>0.01</v>
      </c>
    </row>
    <row r="13580" spans="1:10" x14ac:dyDescent="0.3">
      <c r="A13580" t="str">
        <f>HYPERLINK("https://us2.cloudbeds.com/connect/10074733072513#/reservations/31702255403182?display=MHSF3G440&amp;reservation_id=31702255403182", "MHSF3G440")</f>
        <v>MHSF3G440</v>
      </c>
      <c r="B13580" t="s">
        <v>10</v>
      </c>
      <c r="C13580" t="s">
        <v>23</v>
      </c>
      <c r="D13580" t="str">
        <f>HYPERLINK("https://us2.cloudbeds.com/connect/10074733072513#/reservations/31702255403182?display=Melody%20Seney&amp;reservation_id=31702255403182&amp;guest_id=31702255403179", "Melody Seney")</f>
        <v>Melody Seney</v>
      </c>
      <c r="E13580" t="s">
        <v>13206</v>
      </c>
      <c r="F13580" t="s">
        <v>13085</v>
      </c>
      <c r="G13580">
        <v>318</v>
      </c>
      <c r="H13580">
        <v>345.68</v>
      </c>
      <c r="I13580">
        <v>345.67</v>
      </c>
      <c r="J13580">
        <v>0.01</v>
      </c>
    </row>
    <row r="13581" spans="1:10" x14ac:dyDescent="0.3">
      <c r="A13581" t="str">
        <f>HYPERLINK("https://us2.cloudbeds.com/connect/10074733072513#/reservations/31700873122004?display=MHRCPU3ZJ&amp;reservation_id=31700873122004", "MHRCPU3ZJ")</f>
        <v>MHRCPU3ZJ</v>
      </c>
      <c r="B13581" t="s">
        <v>10</v>
      </c>
      <c r="C13581" t="s">
        <v>23</v>
      </c>
      <c r="D13581" t="str">
        <f>HYPERLINK("https://us2.cloudbeds.com/connect/10074733072513#/reservations/31700873122004?display=Bobby%20Klumper&amp;reservation_id=31700873122004&amp;guest_id=31700873121989", "Bobby Klumper")</f>
        <v>Bobby Klumper</v>
      </c>
      <c r="E13581" t="s">
        <v>12285</v>
      </c>
      <c r="F13581" t="s">
        <v>11134</v>
      </c>
      <c r="G13581">
        <v>189</v>
      </c>
      <c r="H13581">
        <v>205.45</v>
      </c>
      <c r="I13581">
        <v>205.44</v>
      </c>
      <c r="J13581">
        <v>0.01</v>
      </c>
    </row>
    <row r="13582" spans="1:10" x14ac:dyDescent="0.3">
      <c r="A13582" t="str">
        <f>HYPERLINK("https://us2.cloudbeds.com/connect/10074733072513#/reservations/31702148800722?display=MHSCCJZTE&amp;reservation_id=31702148800722", "MHSCCJZTE")</f>
        <v>MHSCCJZTE</v>
      </c>
      <c r="B13582" t="s">
        <v>10</v>
      </c>
      <c r="C13582" t="s">
        <v>121</v>
      </c>
      <c r="D13582" t="str">
        <f>HYPERLINK("https://us2.cloudbeds.com/connect/10074733072513#/reservations/31702148800722?display=Jessica%20Visser&amp;reservation_id=31702148800722&amp;guest_id=31702148800717", "Jessica Visser")</f>
        <v>Jessica Visser</v>
      </c>
      <c r="E13582" t="s">
        <v>13207</v>
      </c>
      <c r="F13582" t="s">
        <v>13125</v>
      </c>
      <c r="G13582">
        <v>129</v>
      </c>
      <c r="H13582">
        <v>140.22999999999999</v>
      </c>
      <c r="I13582">
        <v>140.22</v>
      </c>
      <c r="J13582">
        <v>0.01</v>
      </c>
    </row>
    <row r="13583" spans="1:10" x14ac:dyDescent="0.3">
      <c r="A13583" t="str">
        <f>HYPERLINK("https://us2.cloudbeds.com/connect/10074733072513#/reservations/31701455106182?display=MHRRYYMFP&amp;reservation_id=31701455106182", "MHRRYYMFP")</f>
        <v>MHRRYYMFP</v>
      </c>
      <c r="B13583" t="s">
        <v>10</v>
      </c>
      <c r="C13583" t="s">
        <v>42</v>
      </c>
      <c r="D13583" t="str">
        <f>HYPERLINK("https://us2.cloudbeds.com/connect/10074733072513#/reservations/31701455106182?display=Gail%20Jones&amp;reservation_id=31701455106182&amp;guest_id=17963371139278", "Gail Jones")</f>
        <v>Gail Jones</v>
      </c>
      <c r="E13583" t="s">
        <v>13208</v>
      </c>
      <c r="F13583" t="s">
        <v>13085</v>
      </c>
      <c r="G13583">
        <v>129</v>
      </c>
      <c r="H13583">
        <v>140.22999999999999</v>
      </c>
      <c r="I13583">
        <v>140.22</v>
      </c>
      <c r="J13583">
        <v>0.01</v>
      </c>
    </row>
    <row r="13584" spans="1:10" x14ac:dyDescent="0.3">
      <c r="A13584" t="str">
        <f>HYPERLINK("https://us2.cloudbeds.com/connect/10074733072513#/reservations/31701366571239?display=MHRPD025N&amp;reservation_id=31701366571239", "MHRPD025N")</f>
        <v>MHRPD025N</v>
      </c>
      <c r="B13584" t="s">
        <v>10</v>
      </c>
      <c r="C13584" t="s">
        <v>42</v>
      </c>
      <c r="D13584" t="str">
        <f>HYPERLINK("https://us2.cloudbeds.com/connect/10074733072513#/reservations/31701366571239?display=Bill%20Kelsey&amp;reservation_id=31701366571239&amp;guest_id=30673051234486", "Bill Kelsey")</f>
        <v>Bill Kelsey</v>
      </c>
      <c r="E13584" t="s">
        <v>8287</v>
      </c>
      <c r="F13584" t="s">
        <v>13189</v>
      </c>
      <c r="G13584">
        <v>73</v>
      </c>
      <c r="H13584">
        <v>79.36</v>
      </c>
      <c r="I13584">
        <v>79.349999999999994</v>
      </c>
      <c r="J13584">
        <v>0.01</v>
      </c>
    </row>
    <row r="13585" spans="1:10" x14ac:dyDescent="0.3">
      <c r="A13585" t="str">
        <f>HYPERLINK("https://us2.cloudbeds.com/connect/10074733072513#/reservations/31702160445605?display=MHSCMDQ2M&amp;reservation_id=31702160445605", "MHSCMDQ2M")</f>
        <v>MHSCMDQ2M</v>
      </c>
      <c r="B13585" t="s">
        <v>10</v>
      </c>
      <c r="C13585" t="s">
        <v>121</v>
      </c>
      <c r="D13585" t="str">
        <f>HYPERLINK("https://us2.cloudbeds.com/connect/10074733072513#/reservations/31702160445605?display=Alexis%20Volkers&amp;reservation_id=31702160445605&amp;guest_id=31692808106227", "Alexis Volkers")</f>
        <v>Alexis Volkers</v>
      </c>
      <c r="E13585" t="s">
        <v>7630</v>
      </c>
      <c r="F13585" t="s">
        <v>13085</v>
      </c>
      <c r="G13585">
        <v>129</v>
      </c>
      <c r="H13585">
        <v>140.22999999999999</v>
      </c>
      <c r="I13585">
        <v>140.22</v>
      </c>
      <c r="J13585">
        <v>0.01</v>
      </c>
    </row>
    <row r="13586" spans="1:10" x14ac:dyDescent="0.3">
      <c r="A13586" t="str">
        <f>HYPERLINK("https://us2.cloudbeds.com/connect/10074733072513#/reservations/31701469577464?display=MHRS0SC2E&amp;reservation_id=31701469577464", "MHRS0SC2E")</f>
        <v>MHRS0SC2E</v>
      </c>
      <c r="B13586" t="s">
        <v>10</v>
      </c>
      <c r="C13586" t="s">
        <v>23</v>
      </c>
      <c r="D13586" t="str">
        <f>HYPERLINK("https://us2.cloudbeds.com/connect/10074733072513#/reservations/31701469577464?display=Todd%20Barber&amp;reservation_id=31701469577464&amp;guest_id=31701469577460", "Todd Barber")</f>
        <v>Todd Barber</v>
      </c>
      <c r="E13586" t="s">
        <v>13209</v>
      </c>
      <c r="F13586" t="s">
        <v>13085</v>
      </c>
      <c r="G13586">
        <v>102.58</v>
      </c>
      <c r="H13586">
        <v>111.51</v>
      </c>
      <c r="I13586">
        <v>111.5</v>
      </c>
      <c r="J13586">
        <v>0.01</v>
      </c>
    </row>
    <row r="13587" spans="1:10" x14ac:dyDescent="0.3">
      <c r="A13587" t="str">
        <f>HYPERLINK("https://us2.cloudbeds.com/connect/10074733072513#/reservations/31701907484824?display=MHS673PSF&amp;reservation_id=31701907484824", "MHS673PSF")</f>
        <v>MHS673PSF</v>
      </c>
      <c r="B13587" t="s">
        <v>10</v>
      </c>
      <c r="C13587" t="s">
        <v>121</v>
      </c>
      <c r="D13587" t="str">
        <f>HYPERLINK("https://us2.cloudbeds.com/connect/10074733072513#/reservations/31701907484824?display=Clifton%20Yeager&amp;reservation_id=31701907484824&amp;guest_id=31701907480765", "Clifton Yeager")</f>
        <v>Clifton Yeager</v>
      </c>
      <c r="E13587" t="s">
        <v>13210</v>
      </c>
      <c r="F13587" t="s">
        <v>13125</v>
      </c>
      <c r="G13587">
        <v>129</v>
      </c>
      <c r="H13587">
        <v>140.22999999999999</v>
      </c>
      <c r="I13587">
        <v>140.22</v>
      </c>
      <c r="J13587">
        <v>0.01</v>
      </c>
    </row>
    <row r="13588" spans="1:10" x14ac:dyDescent="0.3">
      <c r="A13588" t="str">
        <f>HYPERLINK("https://us2.cloudbeds.com/connect/10074733072513#/reservations/31701461057690?display=MHRRQM9JG&amp;reservation_id=31701461057690", "MHRRQM9JG")</f>
        <v>MHRRQM9JG</v>
      </c>
      <c r="B13588" t="s">
        <v>10</v>
      </c>
      <c r="C13588" t="s">
        <v>23</v>
      </c>
      <c r="D13588" t="str">
        <f>HYPERLINK("https://us2.cloudbeds.com/connect/10074733072513#/reservations/31701461057690?display=Keith%20Damm&amp;reservation_id=31701461057690&amp;guest_id=31701461053599", "Keith Damm")</f>
        <v>Keith Damm</v>
      </c>
      <c r="E13588" t="s">
        <v>13211</v>
      </c>
      <c r="F13588" t="s">
        <v>13085</v>
      </c>
      <c r="G13588">
        <v>105.78</v>
      </c>
      <c r="H13588">
        <v>114.99</v>
      </c>
      <c r="I13588">
        <v>114.98</v>
      </c>
      <c r="J13588">
        <v>0.01</v>
      </c>
    </row>
    <row r="13589" spans="1:10" x14ac:dyDescent="0.3">
      <c r="A13589" t="str">
        <f>HYPERLINK("https://us2.cloudbeds.com/connect/10074733072513#/reservations/31702844407982?display=MHSU551NA&amp;reservation_id=31702844407982", "MHSU551NA")</f>
        <v>MHSU551NA</v>
      </c>
      <c r="B13589" t="s">
        <v>10</v>
      </c>
      <c r="C13589" t="s">
        <v>23</v>
      </c>
      <c r="D13589" t="str">
        <f>HYPERLINK("https://us2.cloudbeds.com/connect/10074733072513#/reservations/31702844407982?display=David%20Wikoff&amp;reservation_id=31702844407982&amp;guest_id=31702844407979", "David Wikoff")</f>
        <v>David Wikoff</v>
      </c>
      <c r="E13589" t="s">
        <v>13212</v>
      </c>
      <c r="F13589" t="s">
        <v>13096</v>
      </c>
      <c r="G13589">
        <v>129</v>
      </c>
      <c r="H13589">
        <v>140.22999999999999</v>
      </c>
      <c r="I13589">
        <v>140.22</v>
      </c>
      <c r="J13589">
        <v>0.01</v>
      </c>
    </row>
    <row r="13590" spans="1:10" x14ac:dyDescent="0.3">
      <c r="A13590" t="str">
        <f>HYPERLINK("https://us2.cloudbeds.com/connect/10074733072513#/reservations/31701896859890?display=MHS5V548P&amp;reservation_id=31701896859890", "MHS5V548P")</f>
        <v>MHS5V548P</v>
      </c>
      <c r="B13590" t="s">
        <v>10</v>
      </c>
      <c r="C13590" t="s">
        <v>121</v>
      </c>
      <c r="D13590" t="str">
        <f>HYPERLINK("https://us2.cloudbeds.com/connect/10074733072513#/reservations/31701896859890?display=Angelo%20Poletti&amp;reservation_id=31701896859890&amp;guest_id=31701896859888", "Angelo Poletti")</f>
        <v>Angelo Poletti</v>
      </c>
      <c r="E13590" t="s">
        <v>13139</v>
      </c>
      <c r="F13590" t="s">
        <v>13085</v>
      </c>
      <c r="G13590">
        <v>89</v>
      </c>
      <c r="H13590">
        <v>96.75</v>
      </c>
      <c r="I13590">
        <v>96.74</v>
      </c>
      <c r="J13590">
        <v>0.01</v>
      </c>
    </row>
    <row r="13591" spans="1:10" x14ac:dyDescent="0.3">
      <c r="A13591" t="str">
        <f>HYPERLINK("https://us2.cloudbeds.com/connect/10074733072513#/reservations/31702086963358?display=MHSAQF18U&amp;reservation_id=31702086963358", "MHSAQF18U")</f>
        <v>MHSAQF18U</v>
      </c>
      <c r="B13591" t="s">
        <v>10</v>
      </c>
      <c r="C13591" t="s">
        <v>42</v>
      </c>
      <c r="D13591" t="str">
        <f>HYPERLINK("https://us2.cloudbeds.com/connect/10074733072513#/reservations/31702086963358?display=Victor%20Casiano%20Colon&amp;reservation_id=31702086963358&amp;guest_id=31702086963353", "Victor Casiano Colon")</f>
        <v>Victor Casiano Colon</v>
      </c>
      <c r="E13591" t="s">
        <v>13177</v>
      </c>
      <c r="F13591" t="s">
        <v>13085</v>
      </c>
      <c r="G13591">
        <v>139</v>
      </c>
      <c r="H13591">
        <v>151.1</v>
      </c>
      <c r="I13591">
        <v>151.09</v>
      </c>
      <c r="J13591">
        <v>0.01</v>
      </c>
    </row>
    <row r="13592" spans="1:10" x14ac:dyDescent="0.3">
      <c r="A13592" t="str">
        <f>HYPERLINK("https://us2.cloudbeds.com/connect/10074733072513#/reservations/31703080026340?display=MHT35RFRX&amp;reservation_id=31703080026340", "MHT35RFRX")</f>
        <v>MHT35RFRX</v>
      </c>
      <c r="B13592" t="s">
        <v>10</v>
      </c>
      <c r="C13592" t="s">
        <v>23</v>
      </c>
      <c r="D13592" t="str">
        <f>HYPERLINK("https://us2.cloudbeds.com/connect/10074733072513#/reservations/31703080026340?display=Anne%20Driscoll&amp;reservation_id=31703080026340&amp;guest_id=31703070429325", "Anne Driscoll")</f>
        <v>Anne Driscoll</v>
      </c>
      <c r="E13592" t="s">
        <v>13214</v>
      </c>
      <c r="F13592" t="s">
        <v>13215</v>
      </c>
      <c r="G13592">
        <v>149</v>
      </c>
      <c r="H13592">
        <v>161.97</v>
      </c>
      <c r="I13592">
        <v>161.96</v>
      </c>
      <c r="J13592">
        <v>0.01</v>
      </c>
    </row>
    <row r="13593" spans="1:10" x14ac:dyDescent="0.3">
      <c r="A13593" t="str">
        <f>HYPERLINK("https://us2.cloudbeds.com/connect/10074733072513#/reservations/31702032392388?display=MHS9DEH65&amp;reservation_id=31702032392388", "MHS9DEH65")</f>
        <v>MHS9DEH65</v>
      </c>
      <c r="B13593" t="s">
        <v>10</v>
      </c>
      <c r="C13593" t="s">
        <v>23</v>
      </c>
      <c r="D13593" t="str">
        <f>HYPERLINK("https://us2.cloudbeds.com/connect/10074733072513#/reservations/31702032392388?display=Zach%20Byar&amp;reservation_id=31702032392388&amp;guest_id=31702032392385", "Zach Byar")</f>
        <v>Zach Byar</v>
      </c>
      <c r="E13593" t="s">
        <v>13216</v>
      </c>
      <c r="F13593" t="s">
        <v>13049</v>
      </c>
      <c r="G13593">
        <v>129</v>
      </c>
      <c r="H13593">
        <v>140.22999999999999</v>
      </c>
      <c r="I13593">
        <v>140.22</v>
      </c>
      <c r="J13593">
        <v>0.01</v>
      </c>
    </row>
    <row r="13594" spans="1:10" x14ac:dyDescent="0.3">
      <c r="A13594" t="str">
        <f>HYPERLINK("https://us2.cloudbeds.com/connect/10074733072513#/reservations/31702913417366?display=MHSVUBB6P&amp;reservation_id=31702913417366", "MHSVUBB6P")</f>
        <v>MHSVUBB6P</v>
      </c>
      <c r="B13594" t="s">
        <v>10</v>
      </c>
      <c r="C13594" t="s">
        <v>23</v>
      </c>
      <c r="D13594" t="str">
        <f>HYPERLINK("https://us2.cloudbeds.com/connect/10074733072513#/reservations/31702913417366?display=Ryan%20Johnson&amp;reservation_id=31702913417366&amp;guest_id=31689624715474", "Ryan Johnson")</f>
        <v>Ryan Johnson</v>
      </c>
      <c r="E13594" t="s">
        <v>7374</v>
      </c>
      <c r="F13594" t="s">
        <v>13096</v>
      </c>
      <c r="G13594">
        <v>129</v>
      </c>
      <c r="H13594">
        <v>140.22999999999999</v>
      </c>
      <c r="I13594">
        <v>140.22</v>
      </c>
      <c r="J13594">
        <v>0.01</v>
      </c>
    </row>
    <row r="13595" spans="1:10" x14ac:dyDescent="0.3">
      <c r="A13595" t="str">
        <f>HYPERLINK("https://us2.cloudbeds.com/connect/10074733072513#/reservations/31702923612400?display=MHSW5V116&amp;reservation_id=31702923612400", "MHSW5V116")</f>
        <v>MHSW5V116</v>
      </c>
      <c r="B13595" t="s">
        <v>10</v>
      </c>
      <c r="C13595" t="s">
        <v>42</v>
      </c>
      <c r="D13595" t="str">
        <f>HYPERLINK("https://us2.cloudbeds.com/connect/10074733072513#/reservations/31702923612400?display=Lance%20Searcy&amp;reservation_id=31702923612400&amp;guest_id=31702913421465", "Lance Searcy")</f>
        <v>Lance Searcy</v>
      </c>
      <c r="E13595" t="s">
        <v>13217</v>
      </c>
      <c r="F13595" t="s">
        <v>13096</v>
      </c>
      <c r="G13595">
        <v>129</v>
      </c>
      <c r="H13595">
        <v>140.22999999999999</v>
      </c>
      <c r="I13595">
        <v>140.22</v>
      </c>
      <c r="J13595">
        <v>0.01</v>
      </c>
    </row>
    <row r="13596" spans="1:10" x14ac:dyDescent="0.3">
      <c r="A13596" t="str">
        <f>HYPERLINK("https://us2.cloudbeds.com/connect/10074733072513#/reservations/31702444175573?display=MHSJUYWRG&amp;reservation_id=31702444175573", "MHSJUYWRG")</f>
        <v>MHSJUYWRG</v>
      </c>
      <c r="B13596" t="s">
        <v>10</v>
      </c>
      <c r="C13596" t="s">
        <v>42</v>
      </c>
      <c r="D13596" t="str">
        <f>HYPERLINK("https://us2.cloudbeds.com/connect/10074733072513#/reservations/31702444175573?display=Richard%20Dutt&amp;reservation_id=31702444175573&amp;guest_id=31702444171489", "Richard Dutt")</f>
        <v>Richard Dutt</v>
      </c>
      <c r="E13596" t="s">
        <v>11155</v>
      </c>
      <c r="F13596" t="s">
        <v>12662</v>
      </c>
      <c r="G13596">
        <v>336</v>
      </c>
      <c r="H13596">
        <v>365.24</v>
      </c>
      <c r="I13596">
        <v>365.23</v>
      </c>
      <c r="J13596">
        <v>0.01</v>
      </c>
    </row>
    <row r="13597" spans="1:10" x14ac:dyDescent="0.3">
      <c r="A13597" t="str">
        <f>HYPERLINK("https://us2.cloudbeds.com/connect/10074733072513#/reservations/31702048129186?display=MHS9QNDSQ&amp;reservation_id=31702048129186", "MHS9QNDSQ")</f>
        <v>MHS9QNDSQ</v>
      </c>
      <c r="B13597" t="s">
        <v>10</v>
      </c>
      <c r="C13597" t="s">
        <v>23</v>
      </c>
      <c r="D13597" t="str">
        <f>HYPERLINK("https://us2.cloudbeds.com/connect/10074733072513#/reservations/31702048129186?display=Carter%20Prout&amp;reservation_id=31702048129186&amp;guest_id=31702040142039", "Carter Prout")</f>
        <v>Carter Prout</v>
      </c>
      <c r="E13597" t="s">
        <v>13222</v>
      </c>
      <c r="F13597" t="s">
        <v>13049</v>
      </c>
      <c r="G13597">
        <v>129</v>
      </c>
      <c r="H13597">
        <v>140.22999999999999</v>
      </c>
      <c r="I13597">
        <v>140.22</v>
      </c>
      <c r="J13597">
        <v>0.01</v>
      </c>
    </row>
    <row r="13598" spans="1:10" x14ac:dyDescent="0.3">
      <c r="A13598" t="str">
        <f>HYPERLINK("https://us2.cloudbeds.com/connect/10074733072513#/reservations/31701699629271?display=MHS0TRTJB&amp;reservation_id=31701699629271", "MHS0TRTJB")</f>
        <v>MHS0TRTJB</v>
      </c>
      <c r="B13598" t="s">
        <v>10</v>
      </c>
      <c r="C13598" t="s">
        <v>42</v>
      </c>
      <c r="D13598" t="str">
        <f>HYPERLINK("https://us2.cloudbeds.com/connect/10074733072513#/reservations/31701699629271?display=Gregg%20Schaefer&amp;reservation_id=31701699629271&amp;guest_id=31701699629269", "Gregg Schaefer")</f>
        <v>Gregg Schaefer</v>
      </c>
      <c r="E13598" t="s">
        <v>13227</v>
      </c>
      <c r="F13598" t="s">
        <v>12533</v>
      </c>
      <c r="G13598">
        <v>189</v>
      </c>
      <c r="H13598">
        <v>205.45</v>
      </c>
      <c r="I13598">
        <v>205.44</v>
      </c>
      <c r="J13598">
        <v>0.01</v>
      </c>
    </row>
    <row r="13599" spans="1:10" x14ac:dyDescent="0.3">
      <c r="A13599" t="str">
        <f>HYPERLINK("https://us2.cloudbeds.com/connect/10074733072513#/reservations/31702150623408?display=MHSCE4FKB&amp;reservation_id=31702150623408", "MHSCE4FKB")</f>
        <v>MHSCE4FKB</v>
      </c>
      <c r="B13599" t="s">
        <v>10</v>
      </c>
      <c r="C13599" t="s">
        <v>42</v>
      </c>
      <c r="D13599" t="str">
        <f>HYPERLINK("https://us2.cloudbeds.com/connect/10074733072513#/reservations/31702150623408?display=Vince%20Storm&amp;reservation_id=31702150623408&amp;guest_id=17963435376795", "Vince Storm")</f>
        <v>Vince Storm</v>
      </c>
      <c r="E13599" t="s">
        <v>13228</v>
      </c>
      <c r="F13599" t="s">
        <v>13182</v>
      </c>
      <c r="G13599">
        <v>376</v>
      </c>
      <c r="H13599">
        <v>408.72</v>
      </c>
      <c r="I13599">
        <v>408.71</v>
      </c>
      <c r="J13599">
        <v>0.01</v>
      </c>
    </row>
    <row r="13600" spans="1:10" x14ac:dyDescent="0.3">
      <c r="A13600" t="str">
        <f>HYPERLINK("https://us2.cloudbeds.com/connect/10074733072513#/reservations/31703104061686?display=MHT3Q39SC&amp;reservation_id=31703104061686", "MHT3Q39SC")</f>
        <v>MHT3Q39SC</v>
      </c>
      <c r="B13600" t="s">
        <v>10</v>
      </c>
      <c r="C13600" t="s">
        <v>42</v>
      </c>
      <c r="D13600" t="str">
        <f>HYPERLINK("https://us2.cloudbeds.com/connect/10074733072513#/reservations/31703104061686?display=Shanna%20Anderson&amp;reservation_id=31703104061686&amp;guest_id=31703095189661", "Shanna Anderson")</f>
        <v>Shanna Anderson</v>
      </c>
      <c r="E13600" t="s">
        <v>11219</v>
      </c>
      <c r="F13600" t="s">
        <v>13189</v>
      </c>
      <c r="G13600">
        <v>129</v>
      </c>
      <c r="H13600">
        <v>140.22999999999999</v>
      </c>
      <c r="I13600">
        <v>140.22</v>
      </c>
      <c r="J13600">
        <v>0.01</v>
      </c>
    </row>
    <row r="13601" spans="1:10" x14ac:dyDescent="0.3">
      <c r="A13601" t="str">
        <f>HYPERLINK("https://us2.cloudbeds.com/connect/10074733072513#/reservations/31700881420449?display=MHRCWU0WK&amp;reservation_id=31700881420449", "MHRCWU0WK")</f>
        <v>MHRCWU0WK</v>
      </c>
      <c r="B13601" t="s">
        <v>10</v>
      </c>
      <c r="C13601" t="s">
        <v>23</v>
      </c>
      <c r="D13601" t="str">
        <f>HYPERLINK("https://us2.cloudbeds.com/connect/10074733072513#/reservations/31700881420449?display=Ryan%20Johannesen&amp;reservation_id=31700881420449&amp;guest_id=31700881416358", "Ryan Johannesen")</f>
        <v>Ryan Johannesen</v>
      </c>
      <c r="E13601" t="s">
        <v>13230</v>
      </c>
      <c r="F13601" t="s">
        <v>13231</v>
      </c>
      <c r="G13601">
        <v>318</v>
      </c>
      <c r="H13601">
        <v>345.68</v>
      </c>
      <c r="I13601">
        <v>345.67</v>
      </c>
      <c r="J13601">
        <v>0.01</v>
      </c>
    </row>
    <row r="13602" spans="1:10" x14ac:dyDescent="0.3">
      <c r="A13602" t="str">
        <f>HYPERLINK("https://us2.cloudbeds.com/connect/10074733072513#/reservations/31701217013919?display=MHRYXTDKN&amp;reservation_id=31701217013919", "MHRYXTDKN")</f>
        <v>MHRYXTDKN</v>
      </c>
      <c r="B13602" t="s">
        <v>10</v>
      </c>
      <c r="C13602" t="s">
        <v>42</v>
      </c>
      <c r="D13602" t="str">
        <f>HYPERLINK("https://us2.cloudbeds.com/connect/10074733072513#/reservations/31701217013919?display=Heidi%20Oien&amp;reservation_id=31701217013919&amp;guest_id=17963442634980", "Heidi Oien")</f>
        <v>Heidi Oien</v>
      </c>
      <c r="E13602" t="s">
        <v>2390</v>
      </c>
      <c r="F13602" t="s">
        <v>13232</v>
      </c>
      <c r="G13602">
        <v>336</v>
      </c>
      <c r="H13602">
        <v>365.24</v>
      </c>
      <c r="I13602">
        <v>365.23</v>
      </c>
      <c r="J13602">
        <v>0.01</v>
      </c>
    </row>
    <row r="13603" spans="1:10" x14ac:dyDescent="0.3">
      <c r="A13603" t="str">
        <f>HYPERLINK("https://us2.cloudbeds.com/connect/10074733072513#/reservations/31701368127739?display=MHRPEACFC&amp;reservation_id=31701368127739", "MHRPEACFC")</f>
        <v>MHRPEACFC</v>
      </c>
      <c r="B13603" t="s">
        <v>10</v>
      </c>
      <c r="C13603" t="s">
        <v>121</v>
      </c>
      <c r="D13603" t="str">
        <f>HYPERLINK("https://us2.cloudbeds.com/connect/10074733072513#/reservations/31701368127739?display=Matthew%20Oxford&amp;reservation_id=31701368127739&amp;guest_id=31701368127690", "Matthew Oxford")</f>
        <v>Matthew Oxford</v>
      </c>
      <c r="E13603" t="s">
        <v>13233</v>
      </c>
      <c r="F13603" t="s">
        <v>13189</v>
      </c>
      <c r="G13603">
        <v>129</v>
      </c>
      <c r="H13603">
        <v>140.22999999999999</v>
      </c>
      <c r="I13603">
        <v>140.22</v>
      </c>
      <c r="J13603">
        <v>0.01</v>
      </c>
    </row>
    <row r="13604" spans="1:10" x14ac:dyDescent="0.3">
      <c r="A13604" t="str">
        <f>HYPERLINK("https://us2.cloudbeds.com/connect/10074733072513#/reservations/31702812659856?display=MHSTBCK7S&amp;reservation_id=31702812659856", "MHSTBCK7S")</f>
        <v>MHSTBCK7S</v>
      </c>
      <c r="B13604" t="s">
        <v>10</v>
      </c>
      <c r="C13604" t="s">
        <v>121</v>
      </c>
      <c r="D13604" t="str">
        <f>HYPERLINK("https://us2.cloudbeds.com/connect/10074733072513#/reservations/31702812659856?display=Robert%20Binkley&amp;reservation_id=31702812659856&amp;guest_id=31702799532287", "Robert Binkley")</f>
        <v>Robert Binkley</v>
      </c>
      <c r="E13604" t="s">
        <v>13234</v>
      </c>
      <c r="F13604" t="s">
        <v>13189</v>
      </c>
      <c r="G13604">
        <v>129</v>
      </c>
      <c r="H13604">
        <v>140.22999999999999</v>
      </c>
      <c r="I13604">
        <v>140.22</v>
      </c>
      <c r="J13604">
        <v>0.01</v>
      </c>
    </row>
    <row r="13605" spans="1:10" x14ac:dyDescent="0.3">
      <c r="A13605" t="str">
        <f>HYPERLINK("https://us2.cloudbeds.com/connect/10074733072513#/reservations/31701315752068?display=MHRZ34V8R&amp;reservation_id=31701315752068", "MHRZ34V8R")</f>
        <v>MHRZ34V8R</v>
      </c>
      <c r="B13605" t="s">
        <v>10</v>
      </c>
      <c r="C13605" t="s">
        <v>42</v>
      </c>
      <c r="D13605" t="str">
        <f>HYPERLINK("https://us2.cloudbeds.com/connect/10074733072513#/reservations/31701315752068?display=Waldemar%20Chavez&amp;reservation_id=31701315752068&amp;guest_id=31701315752065", "Waldemar Chavez")</f>
        <v>Waldemar Chavez</v>
      </c>
      <c r="E13605" t="s">
        <v>13235</v>
      </c>
      <c r="F13605" t="s">
        <v>13189</v>
      </c>
      <c r="G13605">
        <v>139</v>
      </c>
      <c r="H13605">
        <v>151.1</v>
      </c>
      <c r="I13605">
        <v>151.09</v>
      </c>
      <c r="J13605">
        <v>0.01</v>
      </c>
    </row>
    <row r="13606" spans="1:10" x14ac:dyDescent="0.3">
      <c r="A13606" t="str">
        <f>HYPERLINK("https://us2.cloudbeds.com/connect/10074733072513#/reservations/31700835885265?display=MHRBRGV7X&amp;reservation_id=31700835885265", "MHRBRGV7X")</f>
        <v>MHRBRGV7X</v>
      </c>
      <c r="B13606" t="s">
        <v>10</v>
      </c>
      <c r="C13606" t="s">
        <v>42</v>
      </c>
      <c r="D13606" t="str">
        <f>HYPERLINK("https://us2.cloudbeds.com/connect/10074733072513#/reservations/31700835885265?display=Andy%20Rieffenberger&amp;reservation_id=31700835885265&amp;guest_id=31700835881180", "Andy Rieffenberger")</f>
        <v>Andy Rieffenberger</v>
      </c>
      <c r="E13606" t="s">
        <v>13237</v>
      </c>
      <c r="F13606" t="s">
        <v>11134</v>
      </c>
      <c r="G13606">
        <v>189</v>
      </c>
      <c r="H13606">
        <v>205.45</v>
      </c>
      <c r="I13606">
        <v>205.44</v>
      </c>
      <c r="J13606">
        <v>0.01</v>
      </c>
    </row>
    <row r="13607" spans="1:10" x14ac:dyDescent="0.3">
      <c r="A13607" t="str">
        <f>HYPERLINK("https://us2.cloudbeds.com/connect/10074733072513#/reservations/31701952794849?display=MHS7CAJSH&amp;reservation_id=31701952794849", "MHS7CAJSH")</f>
        <v>MHS7CAJSH</v>
      </c>
      <c r="B13607" t="s">
        <v>10</v>
      </c>
      <c r="C13607" t="s">
        <v>42</v>
      </c>
      <c r="D13607" t="str">
        <f>HYPERLINK("https://us2.cloudbeds.com/connect/10074733072513#/reservations/31701952794849?display=Jolynn%20Edwards&amp;reservation_id=31701952794849&amp;guest_id=31701944529029", "Jolynn Edwards")</f>
        <v>Jolynn Edwards</v>
      </c>
      <c r="E13607" t="s">
        <v>13238</v>
      </c>
      <c r="F13607" t="s">
        <v>12662</v>
      </c>
      <c r="G13607">
        <v>189</v>
      </c>
      <c r="H13607">
        <v>205.45</v>
      </c>
      <c r="I13607">
        <v>205.44</v>
      </c>
      <c r="J13607">
        <v>0.01</v>
      </c>
    </row>
    <row r="13608" spans="1:10" x14ac:dyDescent="0.3">
      <c r="A13608" t="str">
        <f>HYPERLINK("https://us2.cloudbeds.com/connect/10074733072513#/reservations/31703127015674?display=MHT4CF0TZ&amp;reservation_id=31703127015674", "MHT4CF0TZ")</f>
        <v>MHT4CF0TZ</v>
      </c>
      <c r="B13608" t="s">
        <v>10</v>
      </c>
      <c r="C13608" t="s">
        <v>42</v>
      </c>
      <c r="D13608" t="str">
        <f>HYPERLINK("https://us2.cloudbeds.com/connect/10074733072513#/reservations/31703127015674?display=Dan%20Esser&amp;reservation_id=31703127015674&amp;guest_id=31703127015670", "Dan Esser")</f>
        <v>Dan Esser</v>
      </c>
      <c r="E13608" t="s">
        <v>13239</v>
      </c>
      <c r="F13608" t="s">
        <v>12662</v>
      </c>
      <c r="G13608">
        <v>189</v>
      </c>
      <c r="H13608">
        <v>205.45</v>
      </c>
      <c r="I13608">
        <v>205.44</v>
      </c>
      <c r="J13608">
        <v>0.01</v>
      </c>
    </row>
    <row r="13609" spans="1:10" x14ac:dyDescent="0.3">
      <c r="A13609" t="str">
        <f>HYPERLINK("https://us2.cloudbeds.com/connect/10074733072513#/reservations/31702435037354?display=MHSJMVNEP&amp;reservation_id=31702435037354", "MHSJMVNEP")</f>
        <v>MHSJMVNEP</v>
      </c>
      <c r="B13609" t="s">
        <v>10</v>
      </c>
      <c r="C13609" t="s">
        <v>42</v>
      </c>
      <c r="D13609" t="str">
        <f>HYPERLINK("https://us2.cloudbeds.com/connect/10074733072513#/reservations/31702435037354?display=Bob%20Willenburg&amp;reservation_id=31702435037354&amp;guest_id=31676925948049", "Bob Willenburg")</f>
        <v>Bob Willenburg</v>
      </c>
      <c r="E13609" t="s">
        <v>5699</v>
      </c>
      <c r="F13609" t="s">
        <v>12662</v>
      </c>
      <c r="G13609">
        <v>189</v>
      </c>
      <c r="H13609">
        <v>205.45</v>
      </c>
      <c r="I13609">
        <v>205.44</v>
      </c>
      <c r="J13609">
        <v>0.01</v>
      </c>
    </row>
    <row r="13610" spans="1:10" x14ac:dyDescent="0.3">
      <c r="A13610" t="str">
        <f>HYPERLINK("https://us2.cloudbeds.com/connect/10074733072513#/reservations/31701597810820?display=MHRV9WYCZ&amp;reservation_id=31701597810820", "MHRV9WYCZ")</f>
        <v>MHRV9WYCZ</v>
      </c>
      <c r="B13610" t="s">
        <v>10</v>
      </c>
      <c r="C13610" t="s">
        <v>23</v>
      </c>
      <c r="D13610" t="str">
        <f>HYPERLINK("https://us2.cloudbeds.com/connect/10074733072513#/reservations/31701597810820?display=Audrey%20Poskey&amp;reservation_id=31701597810820&amp;guest_id=31701589709022", "Audrey Poskey")</f>
        <v>Audrey Poskey</v>
      </c>
      <c r="E13610" t="s">
        <v>13240</v>
      </c>
      <c r="F13610" t="s">
        <v>12662</v>
      </c>
      <c r="G13610">
        <v>199</v>
      </c>
      <c r="H13610">
        <v>216.32</v>
      </c>
      <c r="I13610">
        <v>216.31</v>
      </c>
      <c r="J13610">
        <v>0.01</v>
      </c>
    </row>
    <row r="13611" spans="1:10" x14ac:dyDescent="0.3">
      <c r="A13611" t="str">
        <f>HYPERLINK("https://us2.cloudbeds.com/connect/10074733072513#/reservations/31701607309524?display=MHRVHWVQ8&amp;reservation_id=31701607309524", "MHRVHWVQ8")</f>
        <v>MHRVHWVQ8</v>
      </c>
      <c r="B13611" t="s">
        <v>10</v>
      </c>
      <c r="C13611" t="s">
        <v>121</v>
      </c>
      <c r="D13611" t="str">
        <f>HYPERLINK("https://us2.cloudbeds.com/connect/10074733072513#/reservations/31701607309524?display=Ishmeal%20Keita&amp;reservation_id=31701607309524&amp;guest_id=31701597810878", "Ishmeal Keita")</f>
        <v>Ishmeal Keita</v>
      </c>
      <c r="E13611" t="s">
        <v>13241</v>
      </c>
      <c r="F13611" t="s">
        <v>12662</v>
      </c>
      <c r="G13611">
        <v>189</v>
      </c>
      <c r="H13611">
        <v>205.45</v>
      </c>
      <c r="I13611">
        <v>205.44</v>
      </c>
      <c r="J13611">
        <v>0.01</v>
      </c>
    </row>
    <row r="13612" spans="1:10" x14ac:dyDescent="0.3">
      <c r="A13612" t="str">
        <f>HYPERLINK("https://us2.cloudbeds.com/connect/10074733072513#/reservations/31701640757395?display=MHRWD6N33&amp;reservation_id=31701640757395", "MHRWD6N33")</f>
        <v>MHRWD6N33</v>
      </c>
      <c r="B13612" t="s">
        <v>10</v>
      </c>
      <c r="C13612" t="s">
        <v>42</v>
      </c>
      <c r="D13612" t="str">
        <f>HYPERLINK("https://us2.cloudbeds.com/connect/10074733072513#/reservations/31701640757395?display=Mariah%20Volesky&amp;reservation_id=31701640757395&amp;guest_id=31701640757390", "Mariah Volesky")</f>
        <v>Mariah Volesky</v>
      </c>
      <c r="E13612" t="s">
        <v>13242</v>
      </c>
      <c r="F13612" t="s">
        <v>12047</v>
      </c>
      <c r="G13612">
        <v>318</v>
      </c>
      <c r="H13612">
        <v>345.68</v>
      </c>
      <c r="I13612">
        <v>345.67</v>
      </c>
      <c r="J13612">
        <v>0.01</v>
      </c>
    </row>
    <row r="13613" spans="1:10" x14ac:dyDescent="0.3">
      <c r="A13613" t="str">
        <f>HYPERLINK("https://us2.cloudbeds.com/connect/10074733072513#/reservations/31701983039720?display=MHS84R6UP&amp;reservation_id=31701983039720", "MHS84R6UP")</f>
        <v>MHS84R6UP</v>
      </c>
      <c r="B13613" t="s">
        <v>10</v>
      </c>
      <c r="C13613" t="s">
        <v>121</v>
      </c>
      <c r="D13613" t="str">
        <f>HYPERLINK("https://us2.cloudbeds.com/connect/10074733072513#/reservations/31701983039720?display=Aneta%20Mergen&amp;reservation_id=31701983039720&amp;guest_id=31701983039709", "Aneta Mergen")</f>
        <v>Aneta Mergen</v>
      </c>
      <c r="E13613" t="s">
        <v>13243</v>
      </c>
      <c r="F13613" t="s">
        <v>12662</v>
      </c>
      <c r="G13613">
        <v>189</v>
      </c>
      <c r="H13613">
        <v>205.45</v>
      </c>
      <c r="I13613">
        <v>205.44</v>
      </c>
      <c r="J13613">
        <v>0.01</v>
      </c>
    </row>
    <row r="13614" spans="1:10" x14ac:dyDescent="0.3">
      <c r="A13614" t="str">
        <f>HYPERLINK("https://us2.cloudbeds.com/connect/10074733072513#/reservations/31701992833213?display=MHS8D2Z19&amp;reservation_id=31701992833213", "MHS8D2Z19")</f>
        <v>MHS8D2Z19</v>
      </c>
      <c r="B13614" t="s">
        <v>10</v>
      </c>
      <c r="C13614" t="s">
        <v>23</v>
      </c>
      <c r="D13614" t="str">
        <f>HYPERLINK("https://us2.cloudbeds.com/connect/10074733072513#/reservations/31701992833213?display=Shannon%20Kesner&amp;reservation_id=31701992833213&amp;guest_id=31701992833200", "Shannon Kesner")</f>
        <v>Shannon Kesner</v>
      </c>
      <c r="E13614" t="s">
        <v>13244</v>
      </c>
      <c r="F13614" t="s">
        <v>12662</v>
      </c>
      <c r="G13614">
        <v>209</v>
      </c>
      <c r="H13614">
        <v>227.19</v>
      </c>
      <c r="I13614">
        <v>227.18</v>
      </c>
      <c r="J13614">
        <v>0.01</v>
      </c>
    </row>
    <row r="13615" spans="1:10" x14ac:dyDescent="0.3">
      <c r="A13615" t="str">
        <f>HYPERLINK("https://us2.cloudbeds.com/connect/10074733072513#/reservations/31701323260064?display=MHRZ9FSYS&amp;reservation_id=31701323260064", "MHRZ9FSYS")</f>
        <v>MHRZ9FSYS</v>
      </c>
      <c r="B13615" t="s">
        <v>10</v>
      </c>
      <c r="C13615" t="s">
        <v>42</v>
      </c>
      <c r="D13615" t="str">
        <f>HYPERLINK("https://us2.cloudbeds.com/connect/10074733072513#/reservations/31701323260064?display=Brenda%20Homeier&amp;reservation_id=31701323260064&amp;guest_id=31701323255958", "Brenda Homeier")</f>
        <v>Brenda Homeier</v>
      </c>
      <c r="E13615" t="s">
        <v>13247</v>
      </c>
      <c r="F13615" t="s">
        <v>13053</v>
      </c>
      <c r="G13615">
        <v>179</v>
      </c>
      <c r="H13615">
        <v>194.58</v>
      </c>
      <c r="I13615">
        <v>194.57</v>
      </c>
      <c r="J13615">
        <v>0.01</v>
      </c>
    </row>
    <row r="13616" spans="1:10" x14ac:dyDescent="0.3">
      <c r="A13616" t="str">
        <f>HYPERLINK("https://us2.cloudbeds.com/connect/10074733072513#/reservations/31703070425232?display=MHT2UZACT&amp;reservation_id=31703070425232", "MHT2UZACT")</f>
        <v>MHT2UZACT</v>
      </c>
      <c r="B13616" t="s">
        <v>10</v>
      </c>
      <c r="C13616" t="s">
        <v>42</v>
      </c>
      <c r="D13616" t="str">
        <f>HYPERLINK("https://us2.cloudbeds.com/connect/10074733072513#/reservations/31703070425232?display=Steven%20Higgins&amp;reservation_id=31703070425232&amp;guest_id=31702233190610", "Steven Higgins")</f>
        <v>Steven Higgins</v>
      </c>
      <c r="E13616" t="s">
        <v>13248</v>
      </c>
      <c r="F13616" t="s">
        <v>13215</v>
      </c>
      <c r="G13616">
        <v>129</v>
      </c>
      <c r="H13616">
        <v>140.22999999999999</v>
      </c>
      <c r="I13616">
        <v>140.22</v>
      </c>
      <c r="J13616">
        <v>0.01</v>
      </c>
    </row>
    <row r="13617" spans="1:10" x14ac:dyDescent="0.3">
      <c r="A13617" t="str">
        <f>HYPERLINK("https://us2.cloudbeds.com/connect/10074733072513#/reservations/31702055456960?display=MHS9M7FPX&amp;reservation_id=31702055456960", "MHS9M7FPX")</f>
        <v>MHS9M7FPX</v>
      </c>
      <c r="B13617" t="s">
        <v>10</v>
      </c>
      <c r="C13617" t="s">
        <v>23</v>
      </c>
      <c r="D13617" t="str">
        <f>HYPERLINK("https://us2.cloudbeds.com/connect/10074733072513#/reservations/31702055456960?display=Niki%20Rethke&amp;reservation_id=31702055456960&amp;guest_id=31702042812576", "Niki Rethke")</f>
        <v>Niki Rethke</v>
      </c>
      <c r="E13617" t="s">
        <v>13250</v>
      </c>
      <c r="F13617" t="s">
        <v>12047</v>
      </c>
      <c r="G13617">
        <v>209</v>
      </c>
      <c r="H13617">
        <v>227.19</v>
      </c>
      <c r="I13617">
        <v>227.18</v>
      </c>
      <c r="J13617">
        <v>0.01</v>
      </c>
    </row>
    <row r="13618" spans="1:10" x14ac:dyDescent="0.3">
      <c r="A13618" t="str">
        <f>HYPERLINK("https://us2.cloudbeds.com/connect/10074733072513#/reservations/31701128958202?display=MHRJAY4CY&amp;reservation_id=31701128958202", "MHRJAY4CY")</f>
        <v>MHRJAY4CY</v>
      </c>
      <c r="B13618" t="s">
        <v>10</v>
      </c>
      <c r="C13618" t="s">
        <v>23</v>
      </c>
      <c r="D13618" t="str">
        <f>HYPERLINK("https://us2.cloudbeds.com/connect/10074733072513#/reservations/31701128958202?display=Josh%20Frost&amp;reservation_id=31701128958202&amp;guest_id=31701128958154", "Josh Frost")</f>
        <v>Josh Frost</v>
      </c>
      <c r="E13618" t="s">
        <v>10655</v>
      </c>
      <c r="F13618" t="s">
        <v>13163</v>
      </c>
      <c r="G13618">
        <v>398</v>
      </c>
      <c r="H13618">
        <v>432.64</v>
      </c>
      <c r="I13618">
        <v>432.63</v>
      </c>
      <c r="J13618">
        <v>0.01</v>
      </c>
    </row>
    <row r="13619" spans="1:10" x14ac:dyDescent="0.3">
      <c r="A13619" t="str">
        <f>HYPERLINK("https://us2.cloudbeds.com/connect/10074733072513#/reservations/31701854036164?display=MHS4S1GC3&amp;reservation_id=31701854036164", "MHS4S1GC3")</f>
        <v>MHS4S1GC3</v>
      </c>
      <c r="B13619" t="s">
        <v>10</v>
      </c>
      <c r="C13619" t="s">
        <v>23</v>
      </c>
      <c r="D13619" t="str">
        <f>HYPERLINK("https://us2.cloudbeds.com/connect/10074733072513#/reservations/31701854036164?display=Vincent%20Henrich&amp;reservation_id=31701854036164&amp;guest_id=31701854036162", "Vincent Henrich")</f>
        <v>Vincent Henrich</v>
      </c>
      <c r="E13619" t="s">
        <v>13256</v>
      </c>
      <c r="F13619" t="s">
        <v>13221</v>
      </c>
      <c r="G13619">
        <v>129</v>
      </c>
      <c r="H13619">
        <v>140.22999999999999</v>
      </c>
      <c r="I13619">
        <v>140.22</v>
      </c>
      <c r="J13619">
        <v>0.01</v>
      </c>
    </row>
    <row r="13620" spans="1:10" x14ac:dyDescent="0.3">
      <c r="A13620" t="str">
        <f>HYPERLINK("https://us2.cloudbeds.com/connect/10074733072513#/reservations/31701843730591?display=MHS4JBZ10&amp;reservation_id=31701843730591", "MHS4JBZ10")</f>
        <v>MHS4JBZ10</v>
      </c>
      <c r="B13620" t="s">
        <v>10</v>
      </c>
      <c r="C13620" t="s">
        <v>23</v>
      </c>
      <c r="D13620" t="str">
        <f>HYPERLINK("https://us2.cloudbeds.com/connect/10074733072513#/reservations/31701843730591?display=Jason%20Dukatz&amp;reservation_id=31701843730591&amp;guest_id=31701843726510", "Jason Dukatz")</f>
        <v>Jason Dukatz</v>
      </c>
      <c r="E13620" t="s">
        <v>13257</v>
      </c>
      <c r="F13620" t="s">
        <v>13221</v>
      </c>
      <c r="G13620">
        <v>129</v>
      </c>
      <c r="H13620">
        <v>140.22999999999999</v>
      </c>
      <c r="I13620">
        <v>140.22</v>
      </c>
      <c r="J13620">
        <v>0.01</v>
      </c>
    </row>
    <row r="13621" spans="1:10" x14ac:dyDescent="0.3">
      <c r="A13621" t="str">
        <f>HYPERLINK("https://us2.cloudbeds.com/connect/10074733072513#/reservations/31701833253079?display=MHS4AH5QY&amp;reservation_id=31701833253079", "MHS4AH5QY")</f>
        <v>MHS4AH5QY</v>
      </c>
      <c r="B13621" t="s">
        <v>10</v>
      </c>
      <c r="C13621" t="s">
        <v>42</v>
      </c>
      <c r="D13621" t="str">
        <f>HYPERLINK("https://us2.cloudbeds.com/connect/10074733072513#/reservations/31701833253079?display=Auston%20Darnell&amp;reservation_id=31701833253079&amp;guest_id=31689729306780", "Auston Darnell")</f>
        <v>Auston Darnell</v>
      </c>
      <c r="E13621" t="s">
        <v>8665</v>
      </c>
      <c r="F13621" t="s">
        <v>13221</v>
      </c>
      <c r="G13621">
        <v>129</v>
      </c>
      <c r="H13621">
        <v>140.22999999999999</v>
      </c>
      <c r="I13621">
        <v>140.22</v>
      </c>
      <c r="J13621">
        <v>0.01</v>
      </c>
    </row>
    <row r="13622" spans="1:10" x14ac:dyDescent="0.3">
      <c r="A13622" t="str">
        <f>HYPERLINK("https://us2.cloudbeds.com/connect/10074733072513#/reservations/31701820534914?display=MHS3WQ91N&amp;reservation_id=31701820534914", "MHS3WQ91N")</f>
        <v>MHS3WQ91N</v>
      </c>
      <c r="B13622" t="s">
        <v>10</v>
      </c>
      <c r="C13622" t="s">
        <v>23</v>
      </c>
      <c r="D13622" t="str">
        <f>HYPERLINK("https://us2.cloudbeds.com/connect/10074733072513#/reservations/31701820534914?display=Dayle%20Knutson&amp;reservation_id=31701820534914&amp;guest_id=31701820530871", "Dayle Knutson")</f>
        <v>Dayle Knutson</v>
      </c>
      <c r="E13622" t="s">
        <v>13258</v>
      </c>
      <c r="F13622" t="s">
        <v>13221</v>
      </c>
      <c r="G13622">
        <v>159</v>
      </c>
      <c r="H13622">
        <v>172.84</v>
      </c>
      <c r="I13622">
        <v>172.83</v>
      </c>
      <c r="J13622">
        <v>0.01</v>
      </c>
    </row>
    <row r="13623" spans="1:10" x14ac:dyDescent="0.3">
      <c r="A13623" t="str">
        <f>HYPERLINK("https://us2.cloudbeds.com/connect/10074733072513#/reservations/31700830245094?display=MHRBMP009&amp;reservation_id=31700830245094", "MHRBMP009")</f>
        <v>MHRBMP009</v>
      </c>
      <c r="B13623" t="s">
        <v>10</v>
      </c>
      <c r="C13623" t="s">
        <v>23</v>
      </c>
      <c r="D13623" t="str">
        <f>HYPERLINK("https://us2.cloudbeds.com/connect/10074733072513#/reservations/31700830245094?display=Denise%20Steffen-Brewer&amp;reservation_id=31700830245094&amp;guest_id=31700820623510", "Denise Steffen-Brewer")</f>
        <v>Denise Steffen-Brewer</v>
      </c>
      <c r="E13623" t="s">
        <v>13259</v>
      </c>
      <c r="F13623" t="s">
        <v>13260</v>
      </c>
      <c r="G13623">
        <v>119</v>
      </c>
      <c r="H13623">
        <v>129.36000000000001</v>
      </c>
      <c r="I13623">
        <v>129.35</v>
      </c>
      <c r="J13623">
        <v>0.01</v>
      </c>
    </row>
    <row r="13624" spans="1:10" x14ac:dyDescent="0.3">
      <c r="A13624" t="str">
        <f>HYPERLINK("https://us2.cloudbeds.com/connect/10074733072513#/reservations/31703025635505?display=MHT1PVW5E&amp;reservation_id=31703025635505", "MHT1PVW5E")</f>
        <v>MHT1PVW5E</v>
      </c>
      <c r="B13624" t="s">
        <v>10</v>
      </c>
      <c r="C13624" t="s">
        <v>42</v>
      </c>
      <c r="D13624" t="str">
        <f>HYPERLINK("https://us2.cloudbeds.com/connect/10074733072513#/reservations/31703025635505?display=Steven%20Macdonald&amp;reservation_id=31703025635505&amp;guest_id=31703013089478", "Steven Macdonald")</f>
        <v>Steven Macdonald</v>
      </c>
      <c r="E13624" t="s">
        <v>13262</v>
      </c>
      <c r="F13624" t="s">
        <v>13049</v>
      </c>
      <c r="G13624">
        <v>258</v>
      </c>
      <c r="H13624">
        <v>280.45999999999998</v>
      </c>
      <c r="I13624">
        <v>280.45</v>
      </c>
      <c r="J13624">
        <v>0.01</v>
      </c>
    </row>
    <row r="13625" spans="1:10" x14ac:dyDescent="0.3">
      <c r="A13625" t="str">
        <f>HYPERLINK("https://us2.cloudbeds.com/connect/10074733072513#/reservations/31701863944349?display=MHS53D6Q4&amp;reservation_id=31701863944349", "MHS53D6Q4")</f>
        <v>MHS53D6Q4</v>
      </c>
      <c r="B13625" t="s">
        <v>10</v>
      </c>
      <c r="C13625" t="s">
        <v>23</v>
      </c>
      <c r="D13625" t="str">
        <f>HYPERLINK("https://us2.cloudbeds.com/connect/10074733072513#/reservations/31701863944349?display=Tenzin%20Rabgyal&amp;reservation_id=31701863944349&amp;guest_id=31701863944344", "Tenzin Rabgyal")</f>
        <v>Tenzin Rabgyal</v>
      </c>
      <c r="E13625" t="s">
        <v>13263</v>
      </c>
      <c r="F13625" t="s">
        <v>13221</v>
      </c>
      <c r="G13625">
        <v>129</v>
      </c>
      <c r="H13625">
        <v>140.22999999999999</v>
      </c>
      <c r="I13625">
        <v>140.22</v>
      </c>
      <c r="J13625">
        <v>0.01</v>
      </c>
    </row>
    <row r="13626" spans="1:10" x14ac:dyDescent="0.3">
      <c r="A13626" t="str">
        <f>HYPERLINK("https://us2.cloudbeds.com/connect/10074733072513#/reservations/31701115838669?display=MHRXWJ221&amp;reservation_id=31701115838669", "MHRXWJ221")</f>
        <v>MHRXWJ221</v>
      </c>
      <c r="B13626" t="s">
        <v>10</v>
      </c>
      <c r="C13626" t="s">
        <v>42</v>
      </c>
      <c r="D13626" t="str">
        <f>HYPERLINK("https://us2.cloudbeds.com/connect/10074733072513#/reservations/31701115838669?display=Nancy%20Martin&amp;reservation_id=31701115838669&amp;guest_id=31701115834578", "Nancy Martin")</f>
        <v>Nancy Martin</v>
      </c>
      <c r="E13626" t="s">
        <v>12853</v>
      </c>
      <c r="F13626" t="s">
        <v>13053</v>
      </c>
      <c r="G13626">
        <v>258</v>
      </c>
      <c r="H13626">
        <v>280.45999999999998</v>
      </c>
      <c r="I13626">
        <v>280.45</v>
      </c>
      <c r="J13626">
        <v>0.01</v>
      </c>
    </row>
    <row r="13627" spans="1:10" x14ac:dyDescent="0.3">
      <c r="A13627" t="str">
        <f>HYPERLINK("https://us2.cloudbeds.com/connect/10074733072513#/reservations/31701428953244?display=MHRQWJUUG&amp;reservation_id=31701428953244", "MHRQWJUUG")</f>
        <v>MHRQWJUUG</v>
      </c>
      <c r="B13627" t="s">
        <v>10</v>
      </c>
      <c r="C13627" t="s">
        <v>23</v>
      </c>
      <c r="D13627" t="str">
        <f>HYPERLINK("https://us2.cloudbeds.com/connect/10074733072513#/reservations/31701428953244?display=Christina%20Hesslau&amp;reservation_id=31701428953244&amp;guest_id=31701419516159", "Christina Hesslau")</f>
        <v>Christina Hesslau</v>
      </c>
      <c r="E13627" t="s">
        <v>13265</v>
      </c>
      <c r="F13627" t="s">
        <v>11188</v>
      </c>
      <c r="G13627">
        <v>179</v>
      </c>
      <c r="H13627">
        <v>194.58</v>
      </c>
      <c r="I13627">
        <v>194.57</v>
      </c>
      <c r="J13627">
        <v>0.01</v>
      </c>
    </row>
    <row r="13628" spans="1:10" x14ac:dyDescent="0.3">
      <c r="A13628" t="str">
        <f>HYPERLINK("https://us2.cloudbeds.com/connect/10074733072513#/reservations/31701482303651?display=MHRSBJG6G&amp;reservation_id=31701482303651", "MHRSBJG6G")</f>
        <v>MHRSBJG6G</v>
      </c>
      <c r="B13628" t="s">
        <v>10</v>
      </c>
      <c r="C13628" t="s">
        <v>42</v>
      </c>
      <c r="D13628" t="str">
        <f>HYPERLINK("https://us2.cloudbeds.com/connect/10074733072513#/reservations/31701482303651?display=Briana%20Burk&amp;reservation_id=31701482303651&amp;guest_id=31701482303626", "Briana Burk")</f>
        <v>Briana Burk</v>
      </c>
      <c r="E13628" t="s">
        <v>13266</v>
      </c>
      <c r="F13628" t="s">
        <v>11188</v>
      </c>
      <c r="G13628">
        <v>113</v>
      </c>
      <c r="H13628">
        <v>122.84</v>
      </c>
      <c r="I13628">
        <v>122.83</v>
      </c>
      <c r="J13628">
        <v>0.01</v>
      </c>
    </row>
    <row r="13629" spans="1:10" x14ac:dyDescent="0.3">
      <c r="A13629" t="str">
        <f>HYPERLINK("https://us2.cloudbeds.com/connect/10074733072513#/reservations/31702200434833?display=MHSDN4X4F&amp;reservation_id=31702200434833", "MHSDN4X4F")</f>
        <v>MHSDN4X4F</v>
      </c>
      <c r="B13629" t="s">
        <v>10</v>
      </c>
      <c r="C13629" t="s">
        <v>42</v>
      </c>
      <c r="D13629" t="str">
        <f>HYPERLINK("https://us2.cloudbeds.com/connect/10074733072513#/reservations/31702200434833?display=Cheo%20Hernandez&amp;reservation_id=31702200434833&amp;guest_id=31702200434830", "Cheo Hernandez")</f>
        <v>Cheo Hernandez</v>
      </c>
      <c r="E13629" t="s">
        <v>13267</v>
      </c>
      <c r="F13629" t="s">
        <v>13182</v>
      </c>
      <c r="G13629">
        <v>189</v>
      </c>
      <c r="H13629">
        <v>205.45</v>
      </c>
      <c r="I13629">
        <v>205.44</v>
      </c>
      <c r="J13629">
        <v>0.01</v>
      </c>
    </row>
    <row r="13630" spans="1:10" x14ac:dyDescent="0.3">
      <c r="A13630" t="str">
        <f>HYPERLINK("https://us2.cloudbeds.com/connect/10074733072513#/reservations/31702567280877?display=MHSN2FJ68&amp;reservation_id=31702567280877", "MHSN2FJ68")</f>
        <v>MHSN2FJ68</v>
      </c>
      <c r="B13630" t="s">
        <v>10</v>
      </c>
      <c r="C13630" t="s">
        <v>42</v>
      </c>
      <c r="D13630" t="str">
        <f>HYPERLINK("https://us2.cloudbeds.com/connect/10074733072513#/reservations/31702567280877?display=Kent%20Zuehlke&amp;reservation_id=31702567280877&amp;guest_id=31702567280865", "Kent Zuehlke")</f>
        <v>Kent Zuehlke</v>
      </c>
      <c r="E13630" t="s">
        <v>2770</v>
      </c>
      <c r="F13630" t="s">
        <v>12056</v>
      </c>
      <c r="G13630">
        <v>378</v>
      </c>
      <c r="H13630">
        <v>410.9</v>
      </c>
      <c r="I13630">
        <v>410.89</v>
      </c>
      <c r="J13630">
        <v>0.01</v>
      </c>
    </row>
    <row r="13631" spans="1:10" x14ac:dyDescent="0.3">
      <c r="A13631" t="str">
        <f>HYPERLINK("https://us2.cloudbeds.com/connect/10074733072513#/reservations/31701402202254?display=MHRQA1X6E&amp;reservation_id=31701402202254", "MHRQA1X6E")</f>
        <v>MHRQA1X6E</v>
      </c>
      <c r="B13631" t="s">
        <v>10</v>
      </c>
      <c r="C13631" t="s">
        <v>23</v>
      </c>
      <c r="D13631" t="str">
        <f>HYPERLINK("https://us2.cloudbeds.com/connect/10074733072513#/reservations/31701402202254?display=Hanna%20Lucero&amp;reservation_id=31701402202254&amp;guest_id=31701402202249", "Hanna Lucero")</f>
        <v>Hanna Lucero</v>
      </c>
      <c r="E13631" t="s">
        <v>13273</v>
      </c>
      <c r="F13631" t="s">
        <v>11188</v>
      </c>
      <c r="G13631">
        <v>97.74</v>
      </c>
      <c r="H13631">
        <v>106.25</v>
      </c>
      <c r="I13631">
        <v>106.24</v>
      </c>
      <c r="J13631">
        <v>0.01</v>
      </c>
    </row>
    <row r="13632" spans="1:10" x14ac:dyDescent="0.3">
      <c r="A13632" t="str">
        <f>HYPERLINK("https://us2.cloudbeds.com/connect/10074733072513#/reservations/31701452669128?display=MHRRJJSJY&amp;reservation_id=31701452669128", "MHRRJJSJY")</f>
        <v>MHRRJJSJY</v>
      </c>
      <c r="B13632" t="s">
        <v>10</v>
      </c>
      <c r="C13632" t="s">
        <v>121</v>
      </c>
      <c r="D13632" t="str">
        <f>HYPERLINK("https://us2.cloudbeds.com/connect/10074733072513#/reservations/31701452669128?display=Curtis%20Santjer&amp;reservation_id=31701452669128&amp;guest_id=31701442355391", "Curtis Santjer")</f>
        <v>Curtis Santjer</v>
      </c>
      <c r="E13632" t="s">
        <v>13274</v>
      </c>
      <c r="F13632" t="s">
        <v>11188</v>
      </c>
      <c r="G13632">
        <v>149</v>
      </c>
      <c r="H13632">
        <v>161.97</v>
      </c>
      <c r="I13632">
        <v>161.96</v>
      </c>
      <c r="J13632">
        <v>0.01</v>
      </c>
    </row>
    <row r="13633" spans="1:10" x14ac:dyDescent="0.3">
      <c r="A13633" t="str">
        <f>HYPERLINK("https://us2.cloudbeds.com/connect/10074733072513#/reservations/31702612840621?display=MHSZ7TBGX&amp;reservation_id=31702612840621", "MHSZ7TBGX")</f>
        <v>MHSZ7TBGX</v>
      </c>
      <c r="B13633" t="s">
        <v>10</v>
      </c>
      <c r="C13633" t="s">
        <v>42</v>
      </c>
      <c r="D13633" t="str">
        <f>HYPERLINK("https://us2.cloudbeds.com/connect/10074733072513#/reservations/31702612840621?display=Terri%20Russell&amp;reservation_id=31702612840621&amp;guest_id=31702612840604", "Terri Russell")</f>
        <v>Terri Russell</v>
      </c>
      <c r="E13633" t="s">
        <v>13276</v>
      </c>
      <c r="F13633" t="s">
        <v>13182</v>
      </c>
      <c r="G13633">
        <v>149</v>
      </c>
      <c r="H13633">
        <v>161.97</v>
      </c>
      <c r="I13633">
        <v>161.96</v>
      </c>
      <c r="J13633">
        <v>0.01</v>
      </c>
    </row>
    <row r="13634" spans="1:10" x14ac:dyDescent="0.3">
      <c r="A13634" t="str">
        <f>HYPERLINK("https://us2.cloudbeds.com/connect/10074733072513#/reservations/31702621143174?display=MHSZETCH2&amp;reservation_id=31702621143174", "MHSZETCH2")</f>
        <v>MHSZETCH2</v>
      </c>
      <c r="B13634" t="s">
        <v>10</v>
      </c>
      <c r="C13634" t="s">
        <v>42</v>
      </c>
      <c r="D13634" t="str">
        <f>HYPERLINK("https://us2.cloudbeds.com/connect/10074733072513#/reservations/31702621143174?display=John%20Murphy&amp;reservation_id=31702621143174&amp;guest_id=31702621143171", "John Murphy")</f>
        <v>John Murphy</v>
      </c>
      <c r="E13634" t="s">
        <v>12899</v>
      </c>
      <c r="F13634" t="s">
        <v>13182</v>
      </c>
      <c r="G13634">
        <v>129</v>
      </c>
      <c r="H13634">
        <v>140.22999999999999</v>
      </c>
      <c r="I13634">
        <v>140.22</v>
      </c>
      <c r="J13634">
        <v>0.01</v>
      </c>
    </row>
    <row r="13635" spans="1:10" x14ac:dyDescent="0.3">
      <c r="A13635" t="str">
        <f>HYPERLINK("https://us2.cloudbeds.com/connect/10074733072513#/reservations/31701482307746?display=MHRSBJJVJ&amp;reservation_id=31701482307746", "MHRSBJJVJ")</f>
        <v>MHRSBJJVJ</v>
      </c>
      <c r="B13635" t="s">
        <v>10</v>
      </c>
      <c r="C13635" t="s">
        <v>121</v>
      </c>
      <c r="D13635" t="str">
        <f>HYPERLINK("https://us2.cloudbeds.com/connect/10074733072513#/reservations/31701482307746?display=Michael%20Ohara&amp;reservation_id=31701482307746&amp;guest_id=31701482307743", "Michael Ohara")</f>
        <v>Michael Ohara</v>
      </c>
      <c r="E13635" t="s">
        <v>13277</v>
      </c>
      <c r="F13635" t="s">
        <v>13182</v>
      </c>
      <c r="G13635">
        <v>169</v>
      </c>
      <c r="H13635">
        <v>183.71</v>
      </c>
      <c r="I13635">
        <v>183.7</v>
      </c>
      <c r="J13635">
        <v>0.01</v>
      </c>
    </row>
    <row r="13636" spans="1:10" x14ac:dyDescent="0.3">
      <c r="A13636" t="str">
        <f>HYPERLINK("https://us2.cloudbeds.com/connect/10074733072513#/reservations/31702668271816?display=MHSPYKQGZ&amp;reservation_id=31702668271816", "MHSPYKQGZ")</f>
        <v>MHSPYKQGZ</v>
      </c>
      <c r="B13636" t="s">
        <v>10</v>
      </c>
      <c r="C13636" t="s">
        <v>42</v>
      </c>
      <c r="D13636" t="str">
        <f>HYPERLINK("https://us2.cloudbeds.com/connect/10074733072513#/reservations/31702668271816?display=Dawna%20Forward&amp;reservation_id=31702668271816&amp;guest_id=31702658810016", "Dawna Forward")</f>
        <v>Dawna Forward</v>
      </c>
      <c r="E13636" t="s">
        <v>13278</v>
      </c>
      <c r="F13636" t="s">
        <v>13182</v>
      </c>
      <c r="G13636">
        <v>149</v>
      </c>
      <c r="H13636">
        <v>161.97</v>
      </c>
      <c r="I13636">
        <v>161.96</v>
      </c>
      <c r="J13636">
        <v>0.01</v>
      </c>
    </row>
    <row r="13637" spans="1:10" x14ac:dyDescent="0.3">
      <c r="A13637" t="str">
        <f>HYPERLINK("https://us2.cloudbeds.com/connect/10074733072513#/reservations/31702126981263?display=MHSBR6JYN&amp;reservation_id=31702126981263", "MHSBR6JYN")</f>
        <v>MHSBR6JYN</v>
      </c>
      <c r="B13637" t="s">
        <v>10</v>
      </c>
      <c r="C13637" t="s">
        <v>42</v>
      </c>
      <c r="D13637" t="str">
        <f>HYPERLINK("https://us2.cloudbeds.com/connect/10074733072513#/reservations/31702126981263?display=Timothy%20Smith&amp;reservation_id=31702126981263&amp;guest_id=31702126977183", "Timothy Smith")</f>
        <v>Timothy Smith</v>
      </c>
      <c r="E13637" t="s">
        <v>13280</v>
      </c>
      <c r="F13637" t="s">
        <v>13182</v>
      </c>
      <c r="G13637">
        <v>149</v>
      </c>
      <c r="H13637">
        <v>161.97</v>
      </c>
      <c r="I13637">
        <v>161.96</v>
      </c>
      <c r="J13637">
        <v>0.01</v>
      </c>
    </row>
    <row r="13638" spans="1:10" x14ac:dyDescent="0.3">
      <c r="A13638" t="str">
        <f>HYPERLINK("https://us2.cloudbeds.com/connect/10074733072513#/reservations/31702120296646?display=MHSBYXJBX&amp;reservation_id=31702120296646", "MHSBYXJBX")</f>
        <v>MHSBYXJBX</v>
      </c>
      <c r="B13638" t="s">
        <v>10</v>
      </c>
      <c r="C13638" t="s">
        <v>42</v>
      </c>
      <c r="D13638" t="str">
        <f>HYPERLINK("https://us2.cloudbeds.com/connect/10074733072513#/reservations/31702120296646?display=Stephen%20Gnade&amp;reservation_id=31702120296646&amp;guest_id=31702120292550", "Stephen Gnade")</f>
        <v>Stephen Gnade</v>
      </c>
      <c r="E13638" t="s">
        <v>13281</v>
      </c>
      <c r="F13638" t="s">
        <v>13182</v>
      </c>
      <c r="G13638">
        <v>149</v>
      </c>
      <c r="H13638">
        <v>161.97</v>
      </c>
      <c r="I13638">
        <v>161.96</v>
      </c>
      <c r="J13638">
        <v>0.01</v>
      </c>
    </row>
    <row r="13639" spans="1:10" x14ac:dyDescent="0.3">
      <c r="A13639" t="str">
        <f>HYPERLINK("https://us2.cloudbeds.com/connect/10074733072513#/reservations/31702115233965?display=MHSBH9NDW&amp;reservation_id=31702115233965", "MHSBH9NDW")</f>
        <v>MHSBH9NDW</v>
      </c>
      <c r="B13639" t="s">
        <v>10</v>
      </c>
      <c r="C13639" t="s">
        <v>42</v>
      </c>
      <c r="D13639" t="str">
        <f>HYPERLINK("https://us2.cloudbeds.com/connect/10074733072513#/reservations/31702115233965?display=Michael%20Mishler&amp;reservation_id=31702115233965&amp;guest_id=31702103871632", "Michael Mishler")</f>
        <v>Michael Mishler</v>
      </c>
      <c r="E13639" t="s">
        <v>13282</v>
      </c>
      <c r="F13639" t="s">
        <v>13182</v>
      </c>
      <c r="G13639">
        <v>149</v>
      </c>
      <c r="H13639">
        <v>161.97</v>
      </c>
      <c r="I13639">
        <v>161.96</v>
      </c>
      <c r="J13639">
        <v>0.01</v>
      </c>
    </row>
    <row r="13640" spans="1:10" x14ac:dyDescent="0.3">
      <c r="A13640" t="str">
        <f>HYPERLINK("https://us2.cloudbeds.com/connect/10074733072513#/reservations/31701625241827?display=MHRW03VXC&amp;reservation_id=31701625241827", "MHRW03VXC")</f>
        <v>MHRW03VXC</v>
      </c>
      <c r="B13640" t="s">
        <v>10</v>
      </c>
      <c r="C13640" t="s">
        <v>121</v>
      </c>
      <c r="D13640" t="str">
        <f>HYPERLINK("https://us2.cloudbeds.com/connect/10074733072513#/reservations/31701625241827?display=Virginia%20Charles&amp;reservation_id=31701625241827&amp;guest_id=31701625241815", "Virginia Charles")</f>
        <v>Virginia Charles</v>
      </c>
      <c r="E13640" t="s">
        <v>13284</v>
      </c>
      <c r="F13640" t="s">
        <v>12047</v>
      </c>
      <c r="G13640">
        <v>159</v>
      </c>
      <c r="H13640">
        <v>172.84</v>
      </c>
      <c r="I13640">
        <v>172.83</v>
      </c>
      <c r="J13640">
        <v>0.01</v>
      </c>
    </row>
    <row r="13641" spans="1:10" x14ac:dyDescent="0.3">
      <c r="A13641" t="str">
        <f>HYPERLINK("https://us2.cloudbeds.com/connect/10074733072513#/reservations/31702248059087?display=MHSEU9P7M&amp;reservation_id=31702248059087", "MHSEU9P7M")</f>
        <v>MHSEU9P7M</v>
      </c>
      <c r="B13641" t="s">
        <v>10</v>
      </c>
      <c r="C13641" t="s">
        <v>42</v>
      </c>
      <c r="D13641" t="str">
        <f>HYPERLINK("https://us2.cloudbeds.com/connect/10074733072513#/reservations/31702248059087?display=Steve%20Gaskill&amp;reservation_id=31702248059087&amp;guest_id=31702248054986", "Steve Gaskill")</f>
        <v>Steve Gaskill</v>
      </c>
      <c r="E13641" t="s">
        <v>10289</v>
      </c>
      <c r="F13641" t="s">
        <v>12047</v>
      </c>
      <c r="G13641">
        <v>189</v>
      </c>
      <c r="H13641">
        <v>205.45</v>
      </c>
      <c r="I13641">
        <v>205.44</v>
      </c>
      <c r="J13641">
        <v>0.01</v>
      </c>
    </row>
    <row r="13642" spans="1:10" x14ac:dyDescent="0.3">
      <c r="A13642" t="str">
        <f>HYPERLINK("https://us2.cloudbeds.com/connect/10074733072513#/reservations/31702599999699?display=MHSNU210N&amp;reservation_id=31702599999699", "MHSNU210N")</f>
        <v>MHSNU210N</v>
      </c>
      <c r="B13642" t="s">
        <v>10</v>
      </c>
      <c r="C13642" t="s">
        <v>42</v>
      </c>
      <c r="D13642" t="str">
        <f>HYPERLINK("https://us2.cloudbeds.com/connect/10074733072513#/reservations/31702599999699?display=Jeffrey%20Manke&amp;reservation_id=31702599999699&amp;guest_id=31702599999695", "Jeffrey Manke")</f>
        <v>Jeffrey Manke</v>
      </c>
      <c r="E13642" t="s">
        <v>13285</v>
      </c>
      <c r="F13642" t="s">
        <v>13182</v>
      </c>
      <c r="G13642">
        <v>149</v>
      </c>
      <c r="H13642">
        <v>161.97</v>
      </c>
      <c r="I13642">
        <v>161.96</v>
      </c>
      <c r="J13642">
        <v>0.01</v>
      </c>
    </row>
    <row r="13643" spans="1:10" x14ac:dyDescent="0.3">
      <c r="A13643" t="str">
        <f>HYPERLINK("https://us2.cloudbeds.com/connect/10074733072513#/reservations/31701696819390?display=MHS0RFNBE&amp;reservation_id=31701696819390", "MHS0RFNBE")</f>
        <v>MHS0RFNBE</v>
      </c>
      <c r="B13643" t="s">
        <v>10</v>
      </c>
      <c r="C13643" t="s">
        <v>42</v>
      </c>
      <c r="D13643" t="str">
        <f>HYPERLINK("https://us2.cloudbeds.com/connect/10074733072513#/reservations/31701696819390?display=Waldemar%20Chavez&amp;reservation_id=31701696819390&amp;guest_id=31701315752065", "Waldemar Chavez")</f>
        <v>Waldemar Chavez</v>
      </c>
      <c r="E13643" t="s">
        <v>13235</v>
      </c>
      <c r="F13643" t="s">
        <v>12047</v>
      </c>
      <c r="G13643">
        <v>189</v>
      </c>
      <c r="H13643">
        <v>205.45</v>
      </c>
      <c r="I13643">
        <v>205.44</v>
      </c>
      <c r="J13643">
        <v>0.01</v>
      </c>
    </row>
    <row r="13644" spans="1:10" x14ac:dyDescent="0.3">
      <c r="A13644" t="str">
        <f>HYPERLINK("https://us2.cloudbeds.com/connect/10074733072513#/reservations/31702685573267?display=MHSQ377W4&amp;reservation_id=31702685573267", "MHSQ377W4")</f>
        <v>MHSQ377W4</v>
      </c>
      <c r="B13644" t="s">
        <v>10</v>
      </c>
      <c r="C13644" t="s">
        <v>42</v>
      </c>
      <c r="D13644" t="str">
        <f>HYPERLINK("https://us2.cloudbeds.com/connect/10074733072513#/reservations/31702685573267?display=Vince%20Storm&amp;reservation_id=31702685573267&amp;guest_id=17963435376795", "Vince Storm")</f>
        <v>Vince Storm</v>
      </c>
      <c r="E13644" t="s">
        <v>13228</v>
      </c>
      <c r="F13644" t="s">
        <v>13283</v>
      </c>
      <c r="G13644">
        <v>282</v>
      </c>
      <c r="H13644">
        <v>306.54000000000002</v>
      </c>
      <c r="I13644">
        <v>306.52999999999997</v>
      </c>
      <c r="J13644">
        <v>0.01</v>
      </c>
    </row>
    <row r="13645" spans="1:10" x14ac:dyDescent="0.3">
      <c r="A13645" t="str">
        <f>HYPERLINK("https://us2.cloudbeds.com/connect/10074733072513#/reservations/31701702381778?display=MHS0W5G4Y&amp;reservation_id=31701702381778", "MHS0W5G4Y")</f>
        <v>MHS0W5G4Y</v>
      </c>
      <c r="B13645" t="s">
        <v>10</v>
      </c>
      <c r="C13645" t="s">
        <v>23</v>
      </c>
      <c r="D13645" t="str">
        <f>HYPERLINK("https://us2.cloudbeds.com/connect/10074733072513#/reservations/31701702381778?display=Amy%20Stearns&amp;reservation_id=31701702381778&amp;guest_id=31701702381773", "Amy Stearns")</f>
        <v>Amy Stearns</v>
      </c>
      <c r="E13645" t="s">
        <v>13288</v>
      </c>
      <c r="F13645" t="s">
        <v>12047</v>
      </c>
      <c r="G13645">
        <v>219</v>
      </c>
      <c r="H13645">
        <v>238.06</v>
      </c>
      <c r="I13645">
        <v>238.05</v>
      </c>
      <c r="J13645">
        <v>0.01</v>
      </c>
    </row>
    <row r="13646" spans="1:10" x14ac:dyDescent="0.3">
      <c r="A13646" t="str">
        <f>HYPERLINK("https://us2.cloudbeds.com/connect/10074733072513#/reservations/31702590132410?display=MHSNYZF4V&amp;reservation_id=31702590132410", "MHSNYZF4V")</f>
        <v>MHSNYZF4V</v>
      </c>
      <c r="B13646" t="s">
        <v>10</v>
      </c>
      <c r="C13646" t="s">
        <v>42</v>
      </c>
      <c r="D13646" t="str">
        <f>HYPERLINK("https://us2.cloudbeds.com/connect/10074733072513#/reservations/31702590132410?display=John%20Palmer&amp;reservation_id=31702590132410&amp;guest_id=31702590132395", "John Palmer")</f>
        <v>John Palmer</v>
      </c>
      <c r="E13646" t="s">
        <v>13290</v>
      </c>
      <c r="F13646" t="s">
        <v>12056</v>
      </c>
      <c r="G13646">
        <v>418</v>
      </c>
      <c r="H13646">
        <v>454.38</v>
      </c>
      <c r="I13646">
        <v>454.37</v>
      </c>
      <c r="J13646">
        <v>0.01</v>
      </c>
    </row>
    <row r="13647" spans="1:10" x14ac:dyDescent="0.3">
      <c r="A13647" t="str">
        <f>HYPERLINK("https://us2.cloudbeds.com/connect/10074733072513#/reservations/31702055457021?display=MHS9WTARE&amp;reservation_id=31702055457021", "MHS9WTARE")</f>
        <v>MHS9WTARE</v>
      </c>
      <c r="B13647" t="s">
        <v>10</v>
      </c>
      <c r="C13647" t="s">
        <v>42</v>
      </c>
      <c r="D13647" t="str">
        <f>HYPERLINK("https://us2.cloudbeds.com/connect/10074733072513#/reservations/31702055457021?display=Renee%20Osborne&amp;reservation_id=31702055457021&amp;guest_id=31702055457010", "Renee Osborne")</f>
        <v>Renee Osborne</v>
      </c>
      <c r="E13647" t="s">
        <v>7450</v>
      </c>
      <c r="F13647" t="s">
        <v>13163</v>
      </c>
      <c r="G13647">
        <v>358</v>
      </c>
      <c r="H13647">
        <v>389.16</v>
      </c>
      <c r="I13647">
        <v>389.15</v>
      </c>
      <c r="J13647">
        <v>0.01</v>
      </c>
    </row>
    <row r="13648" spans="1:10" x14ac:dyDescent="0.3">
      <c r="A13648" t="str">
        <f>HYPERLINK("https://us2.cloudbeds.com/connect/10074733072513#/reservations/31701100961928?display=MHRXK134N&amp;reservation_id=31701100961928", "MHRXK134N")</f>
        <v>MHRXK134N</v>
      </c>
      <c r="B13648" t="s">
        <v>10</v>
      </c>
      <c r="C13648" t="s">
        <v>42</v>
      </c>
      <c r="D13648" t="str">
        <f>HYPERLINK("https://us2.cloudbeds.com/connect/10074733072513#/reservations/31701100961928?display=Elizabeth%20Winters&amp;reservation_id=31701100961928&amp;guest_id=31701088977119", "Elizabeth Winters")</f>
        <v>Elizabeth Winters</v>
      </c>
      <c r="E13648" t="s">
        <v>13167</v>
      </c>
      <c r="F13648" t="s">
        <v>13232</v>
      </c>
      <c r="G13648">
        <v>139</v>
      </c>
      <c r="H13648">
        <v>151.1</v>
      </c>
      <c r="I13648">
        <v>151.09</v>
      </c>
      <c r="J13648">
        <v>0.01</v>
      </c>
    </row>
    <row r="13649" spans="1:10" x14ac:dyDescent="0.3">
      <c r="A13649" t="str">
        <f>HYPERLINK("https://us2.cloudbeds.com/connect/10074733072513#/reservations/31702171934882?display=MHSCW3GCJ&amp;reservation_id=31702171934882", "MHSCW3GCJ")</f>
        <v>MHSCW3GCJ</v>
      </c>
      <c r="B13649" t="s">
        <v>10</v>
      </c>
      <c r="C13649" t="s">
        <v>121</v>
      </c>
      <c r="D13649" t="str">
        <f>HYPERLINK("https://us2.cloudbeds.com/connect/10074733072513#/reservations/31702171934882?display=Timothy%20Fields&amp;reservation_id=31702171934882&amp;guest_id=31702156370069", "Timothy Fields")</f>
        <v>Timothy Fields</v>
      </c>
      <c r="E13649" t="s">
        <v>13291</v>
      </c>
      <c r="F13649" t="s">
        <v>12056</v>
      </c>
      <c r="G13649">
        <v>189</v>
      </c>
      <c r="H13649">
        <v>205.45</v>
      </c>
      <c r="I13649">
        <v>205.44</v>
      </c>
      <c r="J13649">
        <v>0.01</v>
      </c>
    </row>
    <row r="13650" spans="1:10" x14ac:dyDescent="0.3">
      <c r="A13650" t="str">
        <f>HYPERLINK("https://us2.cloudbeds.com/connect/10074733072513#/reservations/31702556930258?display=MHSMQZXG4&amp;reservation_id=31702556930258", "MHSMQZXG4")</f>
        <v>MHSMQZXG4</v>
      </c>
      <c r="B13650" t="s">
        <v>10</v>
      </c>
      <c r="C13650" t="s">
        <v>42</v>
      </c>
      <c r="D13650" t="str">
        <f>HYPERLINK("https://us2.cloudbeds.com/connect/10074733072513#/reservations/31702556930258?display=Amanda%20Zeisler&amp;reservation_id=31702556930258&amp;guest_id=31702556926167", "Amanda Zeisler")</f>
        <v>Amanda Zeisler</v>
      </c>
      <c r="E13650" t="s">
        <v>13292</v>
      </c>
      <c r="F13650" t="s">
        <v>12056</v>
      </c>
      <c r="G13650">
        <v>189</v>
      </c>
      <c r="H13650">
        <v>205.45</v>
      </c>
      <c r="I13650">
        <v>205.44</v>
      </c>
      <c r="J13650">
        <v>0.01</v>
      </c>
    </row>
    <row r="13651" spans="1:10" x14ac:dyDescent="0.3">
      <c r="A13651" t="str">
        <f>HYPERLINK("https://us2.cloudbeds.com/connect/10074733072513#/reservations/31702235373792?display=MHSEJJPYQ&amp;reservation_id=31702235373792", "MHSEJJPYQ")</f>
        <v>MHSEJJPYQ</v>
      </c>
      <c r="B13651" t="s">
        <v>10</v>
      </c>
      <c r="C13651" t="s">
        <v>42</v>
      </c>
      <c r="D13651" t="str">
        <f>HYPERLINK("https://us2.cloudbeds.com/connect/10074733072513#/reservations/31702235373792?display=Silas%20Gross&amp;reservation_id=31702235373792&amp;guest_id=31702228136070", "Silas Gross")</f>
        <v>Silas Gross</v>
      </c>
      <c r="E13651" t="s">
        <v>13293</v>
      </c>
      <c r="F13651" t="s">
        <v>12047</v>
      </c>
      <c r="G13651">
        <v>189</v>
      </c>
      <c r="H13651">
        <v>205.45</v>
      </c>
      <c r="I13651">
        <v>205.44</v>
      </c>
      <c r="J13651">
        <v>0.01</v>
      </c>
    </row>
    <row r="13652" spans="1:10" x14ac:dyDescent="0.3">
      <c r="A13652" t="str">
        <f>HYPERLINK("https://us2.cloudbeds.com/connect/10074733072513#/reservations/31702243483828?display=MHSEQEETF&amp;reservation_id=31702243483828", "MHSEQEETF")</f>
        <v>MHSEQEETF</v>
      </c>
      <c r="B13652" t="s">
        <v>10</v>
      </c>
      <c r="C13652" t="s">
        <v>42</v>
      </c>
      <c r="D13652" t="str">
        <f>HYPERLINK("https://us2.cloudbeds.com/connect/10074733072513#/reservations/31702243483828?display=Adam%20Hull&amp;reservation_id=31702243483828&amp;guest_id=31702235377882", "Adam Hull")</f>
        <v>Adam Hull</v>
      </c>
      <c r="E13652" t="s">
        <v>6474</v>
      </c>
      <c r="F13652" t="s">
        <v>12047</v>
      </c>
      <c r="G13652">
        <v>189</v>
      </c>
      <c r="H13652">
        <v>205.45</v>
      </c>
      <c r="I13652">
        <v>205.44</v>
      </c>
      <c r="J13652">
        <v>0.01</v>
      </c>
    </row>
    <row r="13653" spans="1:10" x14ac:dyDescent="0.3">
      <c r="A13653" t="str">
        <f>HYPERLINK("https://us2.cloudbeds.com/connect/10074733072513#/reservations/31701136904341?display=MHRJHB83Z&amp;reservation_id=31701136904341", "MHRJHB83Z")</f>
        <v>MHRJHB83Z</v>
      </c>
      <c r="B13653" t="s">
        <v>10</v>
      </c>
      <c r="C13653" t="s">
        <v>42</v>
      </c>
      <c r="D13653" t="str">
        <f>HYPERLINK("https://us2.cloudbeds.com/connect/10074733072513#/reservations/31701136904341?display=Joey%20Moore&amp;reservation_id=31701136904341&amp;guest_id=31701136900260", "Joey Moore")</f>
        <v>Joey Moore</v>
      </c>
      <c r="E13653" t="s">
        <v>13294</v>
      </c>
      <c r="F13653" t="s">
        <v>13163</v>
      </c>
      <c r="G13653">
        <v>129</v>
      </c>
      <c r="H13653">
        <v>140.22999999999999</v>
      </c>
      <c r="I13653">
        <v>140.22</v>
      </c>
      <c r="J13653">
        <v>0.01</v>
      </c>
    </row>
    <row r="13654" spans="1:10" x14ac:dyDescent="0.3">
      <c r="A13654" t="str">
        <f>HYPERLINK("https://us2.cloudbeds.com/connect/10074733072513#/reservations/31702574317707?display=MHSN8DCUH&amp;reservation_id=31702574317707", "MHSN8DCUH")</f>
        <v>MHSN8DCUH</v>
      </c>
      <c r="B13654" t="s">
        <v>10</v>
      </c>
      <c r="C13654" t="s">
        <v>121</v>
      </c>
      <c r="D13654" t="str">
        <f>HYPERLINK("https://us2.cloudbeds.com/connect/10074733072513#/reservations/31702574317707?display=Frank%20Schmitt&amp;reservation_id=31702574317707&amp;guest_id=31702574317702", "Frank Schmitt")</f>
        <v>Frank Schmitt</v>
      </c>
      <c r="E13654" t="s">
        <v>13295</v>
      </c>
      <c r="F13654" t="s">
        <v>13163</v>
      </c>
      <c r="G13654">
        <v>129</v>
      </c>
      <c r="H13654">
        <v>140.22999999999999</v>
      </c>
      <c r="I13654">
        <v>140.22</v>
      </c>
      <c r="J13654">
        <v>0.01</v>
      </c>
    </row>
    <row r="13655" spans="1:10" x14ac:dyDescent="0.3">
      <c r="A13655" t="str">
        <f>HYPERLINK("https://us2.cloudbeds.com/connect/10074733072513#/reservations/31701157900488?display=MHRK21GAK&amp;reservation_id=31701157900488", "MHRK21GAK")</f>
        <v>MHRK21GAK</v>
      </c>
      <c r="B13655" t="s">
        <v>10</v>
      </c>
      <c r="C13655" t="s">
        <v>42</v>
      </c>
      <c r="D13655" t="str">
        <f>HYPERLINK("https://us2.cloudbeds.com/connect/10074733072513#/reservations/31701157900488?display=Louis%20Pierro&amp;reservation_id=31701157900488&amp;guest_id=31701148766392", "Louis Pierro")</f>
        <v>Louis Pierro</v>
      </c>
      <c r="E13655" t="s">
        <v>13296</v>
      </c>
      <c r="F13655" t="s">
        <v>13163</v>
      </c>
      <c r="G13655">
        <v>129</v>
      </c>
      <c r="H13655">
        <v>140.22999999999999</v>
      </c>
      <c r="I13655">
        <v>140.22</v>
      </c>
      <c r="J13655">
        <v>0.01</v>
      </c>
    </row>
    <row r="13656" spans="1:10" x14ac:dyDescent="0.3">
      <c r="A13656" t="str">
        <f>HYPERLINK("https://us2.cloudbeds.com/connect/10074733072513#/reservations/31701200306383?display=MHRY4QGHZ&amp;reservation_id=31701200306383", "MHRY4QGHZ")</f>
        <v>MHRY4QGHZ</v>
      </c>
      <c r="B13656" t="s">
        <v>10</v>
      </c>
      <c r="C13656" t="s">
        <v>23</v>
      </c>
      <c r="D13656" t="str">
        <f>HYPERLINK("https://us2.cloudbeds.com/connect/10074733072513#/reservations/31701200306383?display=Paityn%20Huber&amp;reservation_id=31701200306383&amp;guest_id=31701200306379", "Paityn Huber")</f>
        <v>Paityn Huber</v>
      </c>
      <c r="E13656" t="s">
        <v>13298</v>
      </c>
      <c r="F13656" t="s">
        <v>13163</v>
      </c>
      <c r="G13656">
        <v>129</v>
      </c>
      <c r="H13656">
        <v>140.22999999999999</v>
      </c>
      <c r="I13656">
        <v>140.22</v>
      </c>
      <c r="J13656">
        <v>0.01</v>
      </c>
    </row>
    <row r="13657" spans="1:10" x14ac:dyDescent="0.3">
      <c r="A13657" t="str">
        <f>HYPERLINK("https://us2.cloudbeds.com/connect/10074733072513#/reservations/31701914034402?display=MHS6CY15H&amp;reservation_id=31701914034402", "MHS6CY15H")</f>
        <v>MHS6CY15H</v>
      </c>
      <c r="B13657" t="s">
        <v>10</v>
      </c>
      <c r="C13657" t="s">
        <v>42</v>
      </c>
      <c r="D13657" t="str">
        <f>HYPERLINK("https://us2.cloudbeds.com/connect/10074733072513#/reservations/31701914034402?display=Mark%20Lunderman&amp;reservation_id=31701914034402&amp;guest_id=31701914030321", "Mark Lunderman")</f>
        <v>Mark Lunderman</v>
      </c>
      <c r="E13657" t="s">
        <v>13299</v>
      </c>
      <c r="F13657" t="s">
        <v>11420</v>
      </c>
      <c r="G13657">
        <v>338</v>
      </c>
      <c r="H13657">
        <v>367.42</v>
      </c>
      <c r="I13657">
        <v>367.41</v>
      </c>
      <c r="J13657">
        <v>0.01</v>
      </c>
    </row>
    <row r="13658" spans="1:10" x14ac:dyDescent="0.3">
      <c r="A13658" t="str">
        <f>HYPERLINK("https://us2.cloudbeds.com/connect/10074733072513#/reservations/31701241106680?display=MHRM66RCC&amp;reservation_id=31701241106680", "MHRM66RCC")</f>
        <v>MHRM66RCC</v>
      </c>
      <c r="B13658" t="s">
        <v>10</v>
      </c>
      <c r="C13658" t="s">
        <v>121</v>
      </c>
      <c r="D13658" t="str">
        <f>HYPERLINK("https://us2.cloudbeds.com/connect/10074733072513#/reservations/31701241106680?display=Noah%20Brown&amp;reservation_id=31701241106680&amp;guest_id=31701241106675", "Noah Brown")</f>
        <v>Noah Brown</v>
      </c>
      <c r="E13658" t="s">
        <v>13301</v>
      </c>
      <c r="F13658" t="s">
        <v>13232</v>
      </c>
      <c r="G13658">
        <v>129</v>
      </c>
      <c r="H13658">
        <v>140.22999999999999</v>
      </c>
      <c r="I13658">
        <v>140.22</v>
      </c>
      <c r="J13658">
        <v>0.01</v>
      </c>
    </row>
    <row r="13659" spans="1:10" x14ac:dyDescent="0.3">
      <c r="A13659" t="str">
        <f>HYPERLINK("https://us2.cloudbeds.com/connect/10074733072513#/reservations/31701501358327?display=MHRSRYNJU&amp;reservation_id=31701501358327", "MHRSRYNJU")</f>
        <v>MHRSRYNJU</v>
      </c>
      <c r="B13659" t="s">
        <v>10</v>
      </c>
      <c r="C13659" t="s">
        <v>23</v>
      </c>
      <c r="D13659" t="str">
        <f>HYPERLINK("https://us2.cloudbeds.com/connect/10074733072513#/reservations/31701501358327?display=Cory%20Rannow&amp;reservation_id=31701501358327&amp;guest_id=31701482307744", "Cory Rannow")</f>
        <v>Cory Rannow</v>
      </c>
      <c r="E13659" t="s">
        <v>13302</v>
      </c>
      <c r="F13659" t="s">
        <v>13283</v>
      </c>
      <c r="G13659">
        <v>241.32</v>
      </c>
      <c r="H13659">
        <v>262.32</v>
      </c>
      <c r="I13659">
        <v>262.31</v>
      </c>
      <c r="J13659">
        <v>0.01</v>
      </c>
    </row>
    <row r="13660" spans="1:10" x14ac:dyDescent="0.3">
      <c r="A13660" t="str">
        <f>HYPERLINK("https://us2.cloudbeds.com/connect/10074733072513#/reservations/31701195194521?display=MHRY0G8ER&amp;reservation_id=31701195194521", "MHRY0G8ER")</f>
        <v>MHRY0G8ER</v>
      </c>
      <c r="B13660" t="s">
        <v>10</v>
      </c>
      <c r="C13660" t="s">
        <v>23</v>
      </c>
      <c r="D13660" t="str">
        <f>HYPERLINK("https://us2.cloudbeds.com/connect/10074733072513#/reservations/31701195194521?display=Mary%20Dohm&amp;reservation_id=31701195194521&amp;guest_id=31701195190425", "Mary Dohm")</f>
        <v>Mary Dohm</v>
      </c>
      <c r="E13660" t="s">
        <v>13303</v>
      </c>
      <c r="F13660" t="s">
        <v>13304</v>
      </c>
      <c r="G13660">
        <v>109</v>
      </c>
      <c r="H13660">
        <v>118.49</v>
      </c>
      <c r="I13660">
        <v>118.48</v>
      </c>
      <c r="J13660">
        <v>0.01</v>
      </c>
    </row>
    <row r="13661" spans="1:10" x14ac:dyDescent="0.3">
      <c r="A13661" t="str">
        <f>HYPERLINK("https://us2.cloudbeds.com/connect/10074733072513#/reservations/31701521031346?display=MHRTB84R0&amp;reservation_id=31701521031346", "MHRTB84R0")</f>
        <v>MHRTB84R0</v>
      </c>
      <c r="B13661" t="s">
        <v>10</v>
      </c>
      <c r="C13661" t="s">
        <v>23</v>
      </c>
      <c r="D13661" t="str">
        <f>HYPERLINK("https://us2.cloudbeds.com/connect/10074733072513#/reservations/31701521031346?display=Michael%20Thanghe&amp;reservation_id=31701521031346&amp;guest_id=31701521031343", "Michael Thanghe")</f>
        <v>Michael Thanghe</v>
      </c>
      <c r="E13661" t="s">
        <v>13306</v>
      </c>
      <c r="F13661" t="s">
        <v>13283</v>
      </c>
      <c r="G13661">
        <v>241.32</v>
      </c>
      <c r="H13661">
        <v>262.32</v>
      </c>
      <c r="I13661">
        <v>262.31</v>
      </c>
      <c r="J13661">
        <v>0.01</v>
      </c>
    </row>
    <row r="13662" spans="1:10" x14ac:dyDescent="0.3">
      <c r="A13662" t="str">
        <f>HYPERLINK("https://us2.cloudbeds.com/connect/10074733072513#/reservations/31701276565634?display=MHRN33HD4&amp;reservation_id=31701276565634", "MHRN33HD4")</f>
        <v>MHRN33HD4</v>
      </c>
      <c r="B13662" t="s">
        <v>10</v>
      </c>
      <c r="C13662" t="s">
        <v>23</v>
      </c>
      <c r="D13662" t="str">
        <f>HYPERLINK("https://us2.cloudbeds.com/connect/10074733072513#/reservations/31701276565634?display=Rebecca%20Rogers&amp;reservation_id=31701276565634&amp;guest_id=17963376799959", "Rebecca Rogers")</f>
        <v>Rebecca Rogers</v>
      </c>
      <c r="E13662" t="s">
        <v>13307</v>
      </c>
      <c r="F13662" t="s">
        <v>13308</v>
      </c>
      <c r="G13662">
        <v>218</v>
      </c>
      <c r="H13662">
        <v>236.98</v>
      </c>
      <c r="I13662">
        <v>236.97</v>
      </c>
      <c r="J13662">
        <v>0.01</v>
      </c>
    </row>
    <row r="13663" spans="1:10" x14ac:dyDescent="0.3">
      <c r="A13663" t="str">
        <f>HYPERLINK("https://us2.cloudbeds.com/connect/10074733072513#/reservations/31701200310472?display=MHRY4QK9Y&amp;reservation_id=31701200310472", "MHRY4QK9Y")</f>
        <v>MHRY4QK9Y</v>
      </c>
      <c r="B13663" t="s">
        <v>10</v>
      </c>
      <c r="C13663" t="s">
        <v>23</v>
      </c>
      <c r="D13663" t="str">
        <f>HYPERLINK("https://us2.cloudbeds.com/connect/10074733072513#/reservations/31701200310472?display=Brandi%20Haaven&amp;reservation_id=31701200310472&amp;guest_id=31687976263853", "Brandi Haaven")</f>
        <v>Brandi Haaven</v>
      </c>
      <c r="E13663" t="s">
        <v>8031</v>
      </c>
      <c r="F13663" t="s">
        <v>13304</v>
      </c>
      <c r="G13663">
        <v>109</v>
      </c>
      <c r="H13663">
        <v>118.49</v>
      </c>
      <c r="I13663">
        <v>118.48</v>
      </c>
      <c r="J13663">
        <v>0.01</v>
      </c>
    </row>
    <row r="13664" spans="1:10" x14ac:dyDescent="0.3">
      <c r="A13664" t="str">
        <f>HYPERLINK("https://us2.cloudbeds.com/connect/10074733072513#/reservations/31701209649355?display=MHRYCMFV3&amp;reservation_id=31701209649355", "MHRYCMFV3")</f>
        <v>MHRYCMFV3</v>
      </c>
      <c r="B13664" t="s">
        <v>10</v>
      </c>
      <c r="C13664" t="s">
        <v>42</v>
      </c>
      <c r="D13664" t="str">
        <f>HYPERLINK("https://us2.cloudbeds.com/connect/10074733072513#/reservations/31701209649355?display=Jensy%20Engle&amp;reservation_id=31701209649355&amp;guest_id=31701203038451", "Jensy Engle")</f>
        <v>Jensy Engle</v>
      </c>
      <c r="E13664" t="s">
        <v>13309</v>
      </c>
      <c r="F13664" t="s">
        <v>13304</v>
      </c>
      <c r="G13664">
        <v>109</v>
      </c>
      <c r="H13664">
        <v>118.49</v>
      </c>
      <c r="I13664">
        <v>118.48</v>
      </c>
      <c r="J13664">
        <v>0.01</v>
      </c>
    </row>
    <row r="13665" spans="1:10" x14ac:dyDescent="0.3">
      <c r="A13665" t="str">
        <f>HYPERLINK("https://us2.cloudbeds.com/connect/10074733072513#/reservations/31701353623710?display=MHRP22PQB&amp;reservation_id=31701353623710", "MHRP22PQB")</f>
        <v>MHRP22PQB</v>
      </c>
      <c r="B13665" t="s">
        <v>10</v>
      </c>
      <c r="C13665" t="s">
        <v>23</v>
      </c>
      <c r="D13665" t="str">
        <f>HYPERLINK("https://us2.cloudbeds.com/connect/10074733072513#/reservations/31701353623710?display=Victoria%20Tomke&amp;reservation_id=31701353623710&amp;guest_id=31701353623691", "Victoria Tomke")</f>
        <v>Victoria Tomke</v>
      </c>
      <c r="E13665" t="s">
        <v>13310</v>
      </c>
      <c r="F13665" t="s">
        <v>13311</v>
      </c>
      <c r="G13665">
        <v>109</v>
      </c>
      <c r="H13665">
        <v>118.49</v>
      </c>
      <c r="I13665">
        <v>118.48</v>
      </c>
      <c r="J13665">
        <v>0.01</v>
      </c>
    </row>
    <row r="13666" spans="1:10" x14ac:dyDescent="0.3">
      <c r="A13666" t="str">
        <f>HYPERLINK("https://us2.cloudbeds.com/connect/10074733072513#/reservations/31702812663956?display=MHSTBCZ04&amp;reservation_id=31702812663956", "MHSTBCZ04")</f>
        <v>MHSTBCZ04</v>
      </c>
      <c r="B13666" t="s">
        <v>10</v>
      </c>
      <c r="C13666" t="s">
        <v>23</v>
      </c>
      <c r="D13666" t="str">
        <f>HYPERLINK("https://us2.cloudbeds.com/connect/10074733072513#/reservations/31702812663956?display=Tim%20Possin&amp;reservation_id=31702812663956&amp;guest_id=31702812663952", "Tim Possin")</f>
        <v>Tim Possin</v>
      </c>
      <c r="E13666" t="s">
        <v>13312</v>
      </c>
      <c r="F13666" t="s">
        <v>13313</v>
      </c>
      <c r="G13666">
        <v>139</v>
      </c>
      <c r="H13666">
        <v>151.1</v>
      </c>
      <c r="I13666">
        <v>151.09</v>
      </c>
      <c r="J13666">
        <v>0.01</v>
      </c>
    </row>
    <row r="13667" spans="1:10" x14ac:dyDescent="0.3">
      <c r="A13667" t="str">
        <f>HYPERLINK("https://us2.cloudbeds.com/connect/10074733072513#/reservations/31702759145666?display=MHSRW8GXP&amp;reservation_id=31702759145666", "MHSRW8GXP")</f>
        <v>MHSRW8GXP</v>
      </c>
      <c r="B13667" t="s">
        <v>10</v>
      </c>
      <c r="C13667" t="s">
        <v>23</v>
      </c>
      <c r="D13667" t="str">
        <f>HYPERLINK("https://us2.cloudbeds.com/connect/10074733072513#/reservations/31702759145666?display=Todd%20Barber&amp;reservation_id=31702759145666&amp;guest_id=31702744453281", "Todd Barber")</f>
        <v>Todd Barber</v>
      </c>
      <c r="E13667" t="s">
        <v>13314</v>
      </c>
      <c r="F13667" t="s">
        <v>13313</v>
      </c>
      <c r="G13667">
        <v>87.82</v>
      </c>
      <c r="H13667">
        <v>95.47</v>
      </c>
      <c r="I13667">
        <v>95.46</v>
      </c>
      <c r="J13667">
        <v>0.01</v>
      </c>
    </row>
    <row r="13668" spans="1:10" x14ac:dyDescent="0.3">
      <c r="A13668" t="str">
        <f>HYPERLINK("https://us2.cloudbeds.com/connect/10074733072513#/reservations/31701235605662?display=MHRM1XZUS&amp;reservation_id=31701235605662", "MHRM1XZUS")</f>
        <v>MHRM1XZUS</v>
      </c>
      <c r="B13668" t="s">
        <v>10</v>
      </c>
      <c r="C13668" t="s">
        <v>23</v>
      </c>
      <c r="D13668" t="str">
        <f>HYPERLINK("https://us2.cloudbeds.com/connect/10074733072513#/reservations/31701235605662?display=William%20Dukes&amp;reservation_id=31701235605662&amp;guest_id=31701235605659", "William Dukes")</f>
        <v>William Dukes</v>
      </c>
      <c r="E13668" t="s">
        <v>13315</v>
      </c>
      <c r="F13668" t="s">
        <v>13176</v>
      </c>
      <c r="G13668">
        <v>110.86</v>
      </c>
      <c r="H13668">
        <v>120.51</v>
      </c>
      <c r="I13668">
        <v>120.5</v>
      </c>
      <c r="J13668">
        <v>0.01</v>
      </c>
    </row>
    <row r="13669" spans="1:10" x14ac:dyDescent="0.3">
      <c r="A13669" t="str">
        <f>HYPERLINK("https://us2.cloudbeds.com/connect/10074733072513#/reservations/31701281255586?display=MHRN7211T&amp;reservation_id=31701281255586", "MHRN7211T")</f>
        <v>MHRN7211T</v>
      </c>
      <c r="B13669" t="s">
        <v>10</v>
      </c>
      <c r="C13669" t="s">
        <v>42</v>
      </c>
      <c r="D13669" t="str">
        <f>HYPERLINK("https://us2.cloudbeds.com/connect/10074733072513#/reservations/31701281255586?display=Scott%20Johnson&amp;reservation_id=31701281255586&amp;guest_id=31701281255581", "Scott Johnson")</f>
        <v>Scott Johnson</v>
      </c>
      <c r="E13669" t="s">
        <v>13316</v>
      </c>
      <c r="F13669" t="s">
        <v>13176</v>
      </c>
      <c r="G13669">
        <v>159</v>
      </c>
      <c r="H13669">
        <v>172.84</v>
      </c>
      <c r="I13669">
        <v>172.83</v>
      </c>
      <c r="J13669">
        <v>0.01</v>
      </c>
    </row>
    <row r="13670" spans="1:10" x14ac:dyDescent="0.3">
      <c r="A13670" t="str">
        <f>HYPERLINK("https://us2.cloudbeds.com/connect/10074733072513#/reservations/31702296871105?display=MHSG5F10Z&amp;reservation_id=31702296871105", "MHSG5F10Z")</f>
        <v>MHSG5F10Z</v>
      </c>
      <c r="B13670" t="s">
        <v>10</v>
      </c>
      <c r="C13670" t="s">
        <v>23</v>
      </c>
      <c r="D13670" t="str">
        <f>HYPERLINK("https://us2.cloudbeds.com/connect/10074733072513#/reservations/31702296871105?display=Bryana%20Darling%20Rombs&amp;reservation_id=31702296871105&amp;guest_id=31702287249550", "Bryana Darling Rombs")</f>
        <v>Bryana Darling Rombs</v>
      </c>
      <c r="E13670" t="s">
        <v>13317</v>
      </c>
      <c r="F13670" t="s">
        <v>12830</v>
      </c>
      <c r="G13670">
        <v>109</v>
      </c>
      <c r="H13670">
        <v>118.49</v>
      </c>
      <c r="I13670">
        <v>118.48</v>
      </c>
      <c r="J13670">
        <v>0.01</v>
      </c>
    </row>
    <row r="13671" spans="1:10" x14ac:dyDescent="0.3">
      <c r="A13671" t="str">
        <f>HYPERLINK("https://us2.cloudbeds.com/connect/10074733072513#/reservations/31702704746650?display=MHSQJCPCZ&amp;reservation_id=31702704746650", "MHSQJCPCZ")</f>
        <v>MHSQJCPCZ</v>
      </c>
      <c r="B13671" t="s">
        <v>10</v>
      </c>
      <c r="C13671" t="s">
        <v>42</v>
      </c>
      <c r="D13671" t="str">
        <f>HYPERLINK("https://us2.cloudbeds.com/connect/10074733072513#/reservations/31702704746650?display=Diane%20Copinka&amp;reservation_id=31702704746650&amp;guest_id=31701428957334", "Diane Copinka")</f>
        <v>Diane Copinka</v>
      </c>
      <c r="E13671" t="s">
        <v>13319</v>
      </c>
      <c r="F13671" t="s">
        <v>13283</v>
      </c>
      <c r="G13671">
        <v>218</v>
      </c>
      <c r="H13671">
        <v>236.98</v>
      </c>
      <c r="I13671">
        <v>236.97</v>
      </c>
      <c r="J13671">
        <v>0.01</v>
      </c>
    </row>
    <row r="13672" spans="1:10" x14ac:dyDescent="0.3">
      <c r="A13672" t="str">
        <f>HYPERLINK("https://us2.cloudbeds.com/connect/10074733072513#/reservations/31701444649184?display=MHRRCRN31&amp;reservation_id=31701444649184", "MHRRCRN31")</f>
        <v>MHRRCRN31</v>
      </c>
      <c r="B13672" t="s">
        <v>10</v>
      </c>
      <c r="C13672" t="s">
        <v>42</v>
      </c>
      <c r="D13672" t="str">
        <f>HYPERLINK("https://us2.cloudbeds.com/connect/10074733072513#/reservations/31701444649184?display=Zach%20Sinnen&amp;reservation_id=31701444649184&amp;guest_id=17963385467050", "Zach Sinnen")</f>
        <v>Zach Sinnen</v>
      </c>
      <c r="E13672" t="s">
        <v>11625</v>
      </c>
      <c r="F13672" t="s">
        <v>13311</v>
      </c>
      <c r="G13672">
        <v>336</v>
      </c>
      <c r="H13672">
        <v>365.24</v>
      </c>
      <c r="I13672">
        <v>365.23</v>
      </c>
      <c r="J13672">
        <v>0.01</v>
      </c>
    </row>
    <row r="13673" spans="1:10" x14ac:dyDescent="0.3">
      <c r="A13673" t="str">
        <f>HYPERLINK("https://us2.cloudbeds.com/connect/10074733072513#/reservations/31701531214033?display=MHRTJRGA9&amp;reservation_id=31701531214033", "MHRTJRGA9")</f>
        <v>MHRTJRGA9</v>
      </c>
      <c r="B13673" t="s">
        <v>10</v>
      </c>
      <c r="C13673" t="s">
        <v>42</v>
      </c>
      <c r="D13673" t="str">
        <f>HYPERLINK("https://us2.cloudbeds.com/connect/10074733072513#/reservations/31701531214033?display=Bernie%20Bloss&amp;reservation_id=31701531214033&amp;guest_id=25442733912259", "Bernie Bloss")</f>
        <v>Bernie Bloss</v>
      </c>
      <c r="E13673" t="s">
        <v>12639</v>
      </c>
      <c r="F13673" t="s">
        <v>13311</v>
      </c>
      <c r="G13673">
        <v>336</v>
      </c>
      <c r="H13673">
        <v>365.24</v>
      </c>
      <c r="I13673">
        <v>365.23</v>
      </c>
      <c r="J13673">
        <v>0.01</v>
      </c>
    </row>
    <row r="13674" spans="1:10" x14ac:dyDescent="0.3">
      <c r="A13674" t="str">
        <f>HYPERLINK("https://us2.cloudbeds.com/connect/10074733072513#/reservations/31702772490401?display=MHSSAGRMM&amp;reservation_id=31702772490401", "MHSSAGRMM")</f>
        <v>MHSSAGRMM</v>
      </c>
      <c r="B13674" t="s">
        <v>10</v>
      </c>
      <c r="C13674" t="s">
        <v>42</v>
      </c>
      <c r="D13674" t="str">
        <f>HYPERLINK("https://us2.cloudbeds.com/connect/10074733072513#/reservations/31702772490401?display=Daniel%20Kahlstorf&amp;reservation_id=31702772490401&amp;guest_id=31675447382154", "Daniel Kahlstorf")</f>
        <v>Daniel Kahlstorf</v>
      </c>
      <c r="E13674" t="s">
        <v>5683</v>
      </c>
      <c r="F13674" t="s">
        <v>13313</v>
      </c>
      <c r="G13674">
        <v>109</v>
      </c>
      <c r="H13674">
        <v>118.49</v>
      </c>
      <c r="I13674">
        <v>118.48</v>
      </c>
      <c r="J13674">
        <v>0.01</v>
      </c>
    </row>
    <row r="13675" spans="1:10" x14ac:dyDescent="0.3">
      <c r="A13675" t="str">
        <f>HYPERLINK("https://us2.cloudbeds.com/connect/10074733072513#/reservations/31702791700630?display=MHSSQNCUR&amp;reservation_id=31702791700630", "MHSSQNCUR")</f>
        <v>MHSSQNCUR</v>
      </c>
      <c r="B13675" t="s">
        <v>10</v>
      </c>
      <c r="C13675" t="s">
        <v>23</v>
      </c>
      <c r="D13675" t="str">
        <f>HYPERLINK("https://us2.cloudbeds.com/connect/10074733072513#/reservations/31702791700630?display=Chris%20Sanders&amp;reservation_id=31702791700630&amp;guest_id=31702782111941", "Chris Sanders")</f>
        <v>Chris Sanders</v>
      </c>
      <c r="E13675" t="s">
        <v>13320</v>
      </c>
      <c r="F13675" t="s">
        <v>13313</v>
      </c>
      <c r="G13675">
        <v>87.82</v>
      </c>
      <c r="H13675">
        <v>95.47</v>
      </c>
      <c r="I13675">
        <v>95.46</v>
      </c>
      <c r="J13675">
        <v>0.01</v>
      </c>
    </row>
    <row r="13676" spans="1:10" x14ac:dyDescent="0.3">
      <c r="A13676" t="str">
        <f>HYPERLINK("https://us2.cloudbeds.com/connect/10074733072513#/reservations/31700982464641?display=MHRFJ3Z6R&amp;reservation_id=31700982464641", "MHRFJ3Z6R")</f>
        <v>MHRFJ3Z6R</v>
      </c>
      <c r="B13676" t="s">
        <v>10</v>
      </c>
      <c r="C13676" t="s">
        <v>42</v>
      </c>
      <c r="D13676" t="str">
        <f>HYPERLINK("https://us2.cloudbeds.com/connect/10074733072513#/reservations/31700982464641?display=Joel%20Kocer&amp;reservation_id=31700982464641&amp;guest_id=31700971942049", "Joel Kocer")</f>
        <v>Joel Kocer</v>
      </c>
      <c r="E13676" t="s">
        <v>13324</v>
      </c>
      <c r="F13676" t="s">
        <v>11134</v>
      </c>
      <c r="G13676">
        <v>189</v>
      </c>
      <c r="H13676">
        <v>205.45</v>
      </c>
      <c r="I13676">
        <v>205.44</v>
      </c>
      <c r="J13676">
        <v>0.01</v>
      </c>
    </row>
    <row r="13677" spans="1:10" x14ac:dyDescent="0.3">
      <c r="A13677" t="str">
        <f>HYPERLINK("https://us2.cloudbeds.com/connect/10074733072513#/reservations/31701541310645?display=MHRTSBEP7&amp;reservation_id=31701541310645", "MHRTSBEP7")</f>
        <v>MHRTSBEP7</v>
      </c>
      <c r="B13677" t="s">
        <v>10</v>
      </c>
      <c r="C13677" t="s">
        <v>42</v>
      </c>
      <c r="D13677" t="str">
        <f>HYPERLINK("https://us2.cloudbeds.com/connect/10074733072513#/reservations/31701541310645?display=Richard%20Loeffelholz&amp;reservation_id=31701541310645&amp;guest_id=31701531214031", "Richard Loeffelholz")</f>
        <v>Richard Loeffelholz</v>
      </c>
      <c r="E13677" t="s">
        <v>13325</v>
      </c>
      <c r="F13677" t="s">
        <v>13283</v>
      </c>
      <c r="G13677">
        <v>139</v>
      </c>
      <c r="H13677">
        <v>151.1</v>
      </c>
      <c r="I13677">
        <v>151.09</v>
      </c>
      <c r="J13677">
        <v>0.01</v>
      </c>
    </row>
    <row r="13678" spans="1:10" x14ac:dyDescent="0.3">
      <c r="A13678" t="str">
        <f>HYPERLINK("https://us2.cloudbeds.com/connect/10074733072513#/reservations/31702062149855?display=MHSA5HXMJ&amp;reservation_id=31702062149855", "MHSA5HXMJ")</f>
        <v>MHSA5HXMJ</v>
      </c>
      <c r="B13678" t="s">
        <v>10</v>
      </c>
      <c r="C13678" t="s">
        <v>42</v>
      </c>
      <c r="D13678" t="str">
        <f>HYPERLINK("https://us2.cloudbeds.com/connect/10074733072513#/reservations/31702062149855?display=Sharon%20Larson&amp;reservation_id=31702062149855&amp;guest_id=31701597810818", "Sharon Larson")</f>
        <v>Sharon Larson</v>
      </c>
      <c r="E13678" t="s">
        <v>13327</v>
      </c>
      <c r="F13678" t="s">
        <v>11420</v>
      </c>
      <c r="G13678">
        <v>318</v>
      </c>
      <c r="H13678">
        <v>345.68</v>
      </c>
      <c r="I13678">
        <v>345.67</v>
      </c>
      <c r="J13678">
        <v>0.01</v>
      </c>
    </row>
    <row r="13679" spans="1:10" x14ac:dyDescent="0.3">
      <c r="A13679" t="str">
        <f>HYPERLINK("https://us2.cloudbeds.com/connect/10074733072513#/reservations/31701597814912?display=MHRV9WYEX&amp;reservation_id=31701597814912", "MHRV9WYEX")</f>
        <v>MHRV9WYEX</v>
      </c>
      <c r="B13679" t="s">
        <v>10</v>
      </c>
      <c r="C13679" t="s">
        <v>42</v>
      </c>
      <c r="D13679" t="str">
        <f>HYPERLINK("https://us2.cloudbeds.com/connect/10074733072513#/reservations/31701597814912?display=Sharon%20Larson&amp;reservation_id=31701597814912&amp;guest_id=31701597810818", "Sharon Larson")</f>
        <v>Sharon Larson</v>
      </c>
      <c r="E13679" t="s">
        <v>13327</v>
      </c>
      <c r="F13679" t="s">
        <v>11420</v>
      </c>
      <c r="G13679">
        <v>318</v>
      </c>
      <c r="H13679">
        <v>345.68</v>
      </c>
      <c r="I13679">
        <v>345.67</v>
      </c>
      <c r="J13679">
        <v>0.01</v>
      </c>
    </row>
    <row r="13680" spans="1:10" x14ac:dyDescent="0.3">
      <c r="A13680" t="str">
        <f>HYPERLINK("https://us2.cloudbeds.com/connect/10074733072513#/reservations/31702156365972?display=MHSCXW8SE&amp;reservation_id=31702156365972", "MHSCXW8SE")</f>
        <v>MHSCXW8SE</v>
      </c>
      <c r="B13680" t="s">
        <v>10</v>
      </c>
      <c r="C13680" t="s">
        <v>23</v>
      </c>
      <c r="D13680" t="str">
        <f>HYPERLINK("https://us2.cloudbeds.com/connect/10074733072513#/reservations/31702156365972?display=Timothy%20Vosberg&amp;reservation_id=31702156365972&amp;guest_id=31702150623406", "Timothy Vosberg")</f>
        <v>Timothy Vosberg</v>
      </c>
      <c r="E13680" t="s">
        <v>13328</v>
      </c>
      <c r="F13680" t="s">
        <v>13176</v>
      </c>
      <c r="G13680">
        <v>159</v>
      </c>
      <c r="H13680">
        <v>172.84</v>
      </c>
      <c r="I13680">
        <v>172.83</v>
      </c>
      <c r="J13680">
        <v>0.01</v>
      </c>
    </row>
    <row r="13681" spans="1:10" x14ac:dyDescent="0.3">
      <c r="A13681" t="str">
        <f>HYPERLINK("https://us2.cloudbeds.com/connect/10074733072513#/reservations/31701322973394?display=MHRZ97TDT&amp;reservation_id=31701322973394", "MHRZ97TDT")</f>
        <v>MHRZ97TDT</v>
      </c>
      <c r="B13681" t="s">
        <v>10</v>
      </c>
      <c r="C13681" t="s">
        <v>42</v>
      </c>
      <c r="D13681" t="str">
        <f>HYPERLINK("https://us2.cloudbeds.com/connect/10074733072513#/reservations/31701322973394?display=Andrew%20Taylor&amp;reservation_id=31701322973394&amp;guest_id=31701322973390", "Andrew Taylor")</f>
        <v>Andrew Taylor</v>
      </c>
      <c r="E13681" t="s">
        <v>13329</v>
      </c>
      <c r="F13681" t="s">
        <v>13283</v>
      </c>
      <c r="G13681">
        <v>109</v>
      </c>
      <c r="H13681">
        <v>118.49</v>
      </c>
      <c r="I13681">
        <v>118.48</v>
      </c>
      <c r="J13681">
        <v>0.01</v>
      </c>
    </row>
    <row r="13682" spans="1:10" x14ac:dyDescent="0.3">
      <c r="A13682" t="str">
        <f>HYPERLINK("https://us2.cloudbeds.com/connect/10074733072513#/reservations/31701310451874?display=MHRNVMF7T&amp;reservation_id=31701310451874", "MHRNVMF7T")</f>
        <v>MHRNVMF7T</v>
      </c>
      <c r="B13682" t="s">
        <v>10</v>
      </c>
      <c r="C13682" t="s">
        <v>42</v>
      </c>
      <c r="D13682" t="str">
        <f>HYPERLINK("https://us2.cloudbeds.com/connect/10074733072513#/reservations/31701310451874?display=Jeffrey%20Iverson&amp;reservation_id=31701310451874&amp;guest_id=31701310447785", "Jeffrey Iverson")</f>
        <v>Jeffrey Iverson</v>
      </c>
      <c r="E13682" t="s">
        <v>13330</v>
      </c>
      <c r="F13682" t="s">
        <v>13283</v>
      </c>
      <c r="G13682">
        <v>109</v>
      </c>
      <c r="H13682">
        <v>118.49</v>
      </c>
      <c r="I13682">
        <v>118.48</v>
      </c>
      <c r="J13682">
        <v>0.01</v>
      </c>
    </row>
    <row r="13683" spans="1:10" x14ac:dyDescent="0.3">
      <c r="A13683" t="str">
        <f>HYPERLINK("https://us2.cloudbeds.com/connect/10074733072513#/reservations/31701293027573?display=MHRNGWJVP&amp;reservation_id=31701293027573", "MHRNGWJVP")</f>
        <v>MHRNGWJVP</v>
      </c>
      <c r="B13683" t="s">
        <v>10</v>
      </c>
      <c r="C13683" t="s">
        <v>42</v>
      </c>
      <c r="D13683" t="str">
        <f>HYPERLINK("https://us2.cloudbeds.com/connect/10074733072513#/reservations/31701293027573?display=Linda%20Mutsch&amp;reservation_id=31701293027573&amp;guest_id=31701293027569", "Linda Mutsch")</f>
        <v>Linda Mutsch</v>
      </c>
      <c r="E13683" t="s">
        <v>13331</v>
      </c>
      <c r="F13683" t="s">
        <v>13176</v>
      </c>
      <c r="G13683">
        <v>169</v>
      </c>
      <c r="H13683">
        <v>183.71</v>
      </c>
      <c r="I13683">
        <v>183.7</v>
      </c>
      <c r="J13683">
        <v>0.01</v>
      </c>
    </row>
    <row r="13684" spans="1:10" x14ac:dyDescent="0.3">
      <c r="A13684" t="str">
        <f>HYPERLINK("https://us2.cloudbeds.com/connect/10074733072513#/reservations/31700763234510?display=MHR9W8AVH&amp;reservation_id=31700763234510", "MHR9W8AVH")</f>
        <v>MHR9W8AVH</v>
      </c>
      <c r="B13684" t="s">
        <v>10</v>
      </c>
      <c r="C13684" t="s">
        <v>42</v>
      </c>
      <c r="D13684" t="str">
        <f>HYPERLINK("https://us2.cloudbeds.com/connect/10074733072513#/reservations/31700763234510?display=Elizabeth%20Davis&amp;reservation_id=31700763234510&amp;guest_id=17963383410915", "Elizabeth Davis")</f>
        <v>Elizabeth Davis</v>
      </c>
      <c r="E13684" t="s">
        <v>13332</v>
      </c>
      <c r="F13684" t="s">
        <v>13308</v>
      </c>
      <c r="G13684">
        <v>139</v>
      </c>
      <c r="H13684">
        <v>151.1</v>
      </c>
      <c r="I13684">
        <v>151.09</v>
      </c>
      <c r="J13684">
        <v>0.01</v>
      </c>
    </row>
    <row r="13685" spans="1:10" x14ac:dyDescent="0.3">
      <c r="A13685" t="str">
        <f>HYPERLINK("https://us2.cloudbeds.com/connect/10074733072513#/reservations/31701711204520?display=MHS16JWRF&amp;reservation_id=31701711204520", "MHS16JWRF")</f>
        <v>MHS16JWRF</v>
      </c>
      <c r="B13685" t="s">
        <v>10</v>
      </c>
      <c r="C13685" t="s">
        <v>23</v>
      </c>
      <c r="D13685" t="str">
        <f>HYPERLINK("https://us2.cloudbeds.com/connect/10074733072513#/reservations/31701711204520?display=Dan%20Schmahl&amp;reservation_id=31701711204520&amp;guest_id=31701702381776", "Dan Schmahl")</f>
        <v>Dan Schmahl</v>
      </c>
      <c r="E13685" t="s">
        <v>13333</v>
      </c>
      <c r="F13685" t="s">
        <v>12830</v>
      </c>
      <c r="G13685">
        <v>149.56</v>
      </c>
      <c r="H13685">
        <v>162.58000000000001</v>
      </c>
      <c r="I13685">
        <v>162.57</v>
      </c>
      <c r="J13685">
        <v>0.01</v>
      </c>
    </row>
    <row r="13686" spans="1:10" x14ac:dyDescent="0.3">
      <c r="A13686" t="str">
        <f>HYPERLINK("https://us2.cloudbeds.com/connect/10074733072513#/reservations/31701136900262?display=MHRJHB4C4&amp;reservation_id=31701136900262", "MHRJHB4C4")</f>
        <v>MHRJHB4C4</v>
      </c>
      <c r="B13686" t="s">
        <v>10</v>
      </c>
      <c r="C13686" t="s">
        <v>121</v>
      </c>
      <c r="D13686" t="str">
        <f>HYPERLINK("https://us2.cloudbeds.com/connect/10074733072513#/reservations/31701136900262?display=Luis%20Ramos&amp;reservation_id=31701136900262&amp;guest_id=31701136900257", "Luis Ramos")</f>
        <v>Luis Ramos</v>
      </c>
      <c r="E13686" t="s">
        <v>13334</v>
      </c>
      <c r="F13686" t="s">
        <v>13313</v>
      </c>
      <c r="G13686">
        <v>109</v>
      </c>
      <c r="H13686">
        <v>118.49</v>
      </c>
      <c r="I13686">
        <v>118.48</v>
      </c>
      <c r="J13686">
        <v>0.01</v>
      </c>
    </row>
    <row r="13687" spans="1:10" x14ac:dyDescent="0.3">
      <c r="A13687" t="str">
        <f>HYPERLINK("https://us2.cloudbeds.com/connect/10074733072513#/reservations/31702671401112?display=MHSPZ8T1T&amp;reservation_id=31702671401112", "MHSPZ8T1T")</f>
        <v>MHSPZ8T1T</v>
      </c>
      <c r="B13687" t="s">
        <v>10</v>
      </c>
      <c r="C13687" t="s">
        <v>23</v>
      </c>
      <c r="D13687" t="str">
        <f>HYPERLINK("https://us2.cloudbeds.com/connect/10074733072513#/reservations/31702671401112?display=Jeffrey%20White&amp;reservation_id=31702671401112&amp;guest_id=31702671401108", "Jeffrey White")</f>
        <v>Jeffrey White</v>
      </c>
      <c r="E13687" t="s">
        <v>13335</v>
      </c>
      <c r="F13687" t="s">
        <v>13283</v>
      </c>
      <c r="G13687">
        <v>102.58</v>
      </c>
      <c r="H13687">
        <v>111.51</v>
      </c>
      <c r="I13687">
        <v>111.5</v>
      </c>
      <c r="J13687">
        <v>0.01</v>
      </c>
    </row>
    <row r="13688" spans="1:10" x14ac:dyDescent="0.3">
      <c r="A13688" t="str">
        <f>HYPERLINK("https://us2.cloudbeds.com/connect/10074733072513#/reservations/31702655152277?display=MHSPAXZ5V&amp;reservation_id=31702655152277", "MHSPAXZ5V")</f>
        <v>MHSPAXZ5V</v>
      </c>
      <c r="B13688" t="s">
        <v>10</v>
      </c>
      <c r="C13688" t="s">
        <v>42</v>
      </c>
      <c r="D13688" t="str">
        <f>HYPERLINK("https://us2.cloudbeds.com/connect/10074733072513#/reservations/31702655152277?display=Steve%20Whitaker&amp;reservation_id=31702655152277&amp;guest_id=31702655148173", "Steve Whitaker")</f>
        <v>Steve Whitaker</v>
      </c>
      <c r="E13688" t="s">
        <v>13337</v>
      </c>
      <c r="F13688" t="s">
        <v>13283</v>
      </c>
      <c r="G13688">
        <v>218</v>
      </c>
      <c r="H13688">
        <v>236.98</v>
      </c>
      <c r="I13688">
        <v>236.97</v>
      </c>
      <c r="J13688">
        <v>0.01</v>
      </c>
    </row>
    <row r="13689" spans="1:10" x14ac:dyDescent="0.3">
      <c r="A13689" t="str">
        <f>HYPERLINK("https://us2.cloudbeds.com/connect/10074733072513#/reservations/31701872922836?display=MHS5AW1GG&amp;reservation_id=31701872922836", "MHS5AW1GG")</f>
        <v>MHS5AW1GG</v>
      </c>
      <c r="B13689" t="s">
        <v>10</v>
      </c>
      <c r="C13689" t="s">
        <v>23</v>
      </c>
      <c r="D13689" t="str">
        <f>HYPERLINK("https://us2.cloudbeds.com/connect/10074733072513#/reservations/31701872922836?display=Sandra%20Becker&amp;reservation_id=31701872922836&amp;guest_id=31701872922833", "Sandra Becker")</f>
        <v>Sandra Becker</v>
      </c>
      <c r="E13689" t="s">
        <v>13340</v>
      </c>
      <c r="F13689" t="s">
        <v>11420</v>
      </c>
      <c r="G13689">
        <v>159</v>
      </c>
      <c r="H13689">
        <v>172.84</v>
      </c>
      <c r="I13689">
        <v>172.83</v>
      </c>
      <c r="J13689">
        <v>0.01</v>
      </c>
    </row>
    <row r="13690" spans="1:10" x14ac:dyDescent="0.3">
      <c r="A13690" t="str">
        <f>HYPERLINK("https://us2.cloudbeds.com/connect/10074733072513#/reservations/31702077911271?display=MHSAXR4W8&amp;reservation_id=31702077911271", "MHSAXR4W8")</f>
        <v>MHSAXR4W8</v>
      </c>
      <c r="B13690" t="s">
        <v>10</v>
      </c>
      <c r="C13690" t="s">
        <v>42</v>
      </c>
      <c r="D13690" t="str">
        <f>HYPERLINK("https://us2.cloudbeds.com/connect/10074733072513#/reservations/31702077911271?display=Justin%20Foss&amp;reservation_id=31702077911271&amp;guest_id=31702077911266", "Justin Foss")</f>
        <v>Justin Foss</v>
      </c>
      <c r="E13690" t="s">
        <v>13341</v>
      </c>
      <c r="F13690" t="s">
        <v>11420</v>
      </c>
      <c r="G13690">
        <v>318</v>
      </c>
      <c r="H13690">
        <v>345.68</v>
      </c>
      <c r="I13690">
        <v>345.67</v>
      </c>
      <c r="J13690">
        <v>0.01</v>
      </c>
    </row>
    <row r="13691" spans="1:10" x14ac:dyDescent="0.3">
      <c r="A13691" t="str">
        <f>HYPERLINK("https://us2.cloudbeds.com/connect/10074733072513#/reservations/31701251711114?display=MHRMF4U4S&amp;reservation_id=31701251711114", "MHRMF4U4S")</f>
        <v>MHRMF4U4S</v>
      </c>
      <c r="B13691" t="s">
        <v>10</v>
      </c>
      <c r="C13691" t="s">
        <v>42</v>
      </c>
      <c r="D13691" t="str">
        <f>HYPERLINK("https://us2.cloudbeds.com/connect/10074733072513#/reservations/31701251711114?display=Jeff%20Koster&amp;reservation_id=31701251711114&amp;guest_id=31701251707020", "Jeff Koster")</f>
        <v>Jeff Koster</v>
      </c>
      <c r="E13691" t="s">
        <v>13346</v>
      </c>
      <c r="F13691" t="s">
        <v>13176</v>
      </c>
      <c r="G13691">
        <v>159</v>
      </c>
      <c r="H13691">
        <v>172.84</v>
      </c>
      <c r="I13691">
        <v>172.83</v>
      </c>
      <c r="J13691">
        <v>0.01</v>
      </c>
    </row>
    <row r="13692" spans="1:10" x14ac:dyDescent="0.3">
      <c r="A13692" t="str">
        <f>HYPERLINK("https://us2.cloudbeds.com/connect/10074733072513#/reservations/31701332529339?display=MHRZH9QCW&amp;reservation_id=31701332529339", "MHRZH9QCW")</f>
        <v>MHRZH9QCW</v>
      </c>
      <c r="B13692" t="s">
        <v>10</v>
      </c>
      <c r="C13692" t="s">
        <v>42</v>
      </c>
      <c r="D13692" t="str">
        <f>HYPERLINK("https://us2.cloudbeds.com/connect/10074733072513#/reservations/31701332529339?display=Barb%20Hallberg&amp;reservation_id=31701332529339&amp;guest_id=31701332529334", "Barb Hallberg")</f>
        <v>Barb Hallberg</v>
      </c>
      <c r="E13692" t="s">
        <v>13347</v>
      </c>
      <c r="F13692" t="s">
        <v>13053</v>
      </c>
      <c r="G13692">
        <v>189</v>
      </c>
      <c r="H13692">
        <v>205.45</v>
      </c>
      <c r="I13692">
        <v>205.44</v>
      </c>
      <c r="J13692">
        <v>0.01</v>
      </c>
    </row>
    <row r="13693" spans="1:10" x14ac:dyDescent="0.3">
      <c r="A13693" t="str">
        <f>HYPERLINK("https://us2.cloudbeds.com/connect/10074733072513#/reservations/31702142750936?display=MHSC7GDHJ&amp;reservation_id=31702142750936", "MHSC7GDHJ")</f>
        <v>MHSC7GDHJ</v>
      </c>
      <c r="B13693" t="s">
        <v>10</v>
      </c>
      <c r="C13693" t="s">
        <v>42</v>
      </c>
      <c r="D13693" t="str">
        <f>HYPERLINK("https://us2.cloudbeds.com/connect/10074733072513#/reservations/31702142750936?display=Caleb%20Herrington&amp;reservation_id=31702142750936&amp;guest_id=31702142750932", "Caleb Herrington")</f>
        <v>Caleb Herrington</v>
      </c>
      <c r="E13693" t="s">
        <v>13348</v>
      </c>
      <c r="F13693" t="s">
        <v>13176</v>
      </c>
      <c r="G13693">
        <v>159</v>
      </c>
      <c r="H13693">
        <v>172.84</v>
      </c>
      <c r="I13693">
        <v>172.83</v>
      </c>
      <c r="J13693">
        <v>0.01</v>
      </c>
    </row>
    <row r="13694" spans="1:10" x14ac:dyDescent="0.3">
      <c r="A13694" t="str">
        <f>HYPERLINK("https://us2.cloudbeds.com/connect/10074733072513#/reservations/31701544722632?display=MHRTV7CTP&amp;reservation_id=31701544722632", "MHRTV7CTP")</f>
        <v>MHRTV7CTP</v>
      </c>
      <c r="B13694" t="s">
        <v>10</v>
      </c>
      <c r="C13694" t="s">
        <v>42</v>
      </c>
      <c r="D13694" t="str">
        <f>HYPERLINK("https://us2.cloudbeds.com/connect/10074733072513#/reservations/31701544722632?display=Vince%20Storm&amp;reservation_id=31701544722632&amp;guest_id=17963435376795", "Vince Storm")</f>
        <v>Vince Storm</v>
      </c>
      <c r="E13694" t="s">
        <v>13228</v>
      </c>
      <c r="F13694" t="s">
        <v>13311</v>
      </c>
      <c r="G13694">
        <v>376</v>
      </c>
      <c r="H13694">
        <v>408.72</v>
      </c>
      <c r="I13694">
        <v>408.71</v>
      </c>
      <c r="J13694">
        <v>0.01</v>
      </c>
    </row>
    <row r="13695" spans="1:10" x14ac:dyDescent="0.3">
      <c r="A13695" t="str">
        <f>HYPERLINK("https://us2.cloudbeds.com/connect/10074733072513#/reservations/31702134743287?display=MHSC0ZJAH&amp;reservation_id=31702134743287", "MHSC0ZJAH")</f>
        <v>MHSC0ZJAH</v>
      </c>
      <c r="B13695" t="s">
        <v>10</v>
      </c>
      <c r="C13695" t="s">
        <v>42</v>
      </c>
      <c r="D13695" t="str">
        <f>HYPERLINK("https://us2.cloudbeds.com/connect/10074733072513#/reservations/31702134743287?display=Ron%20Dahl&amp;reservation_id=31702134743287&amp;guest_id=31687846646013", "Ron Dahl")</f>
        <v>Ron Dahl</v>
      </c>
      <c r="E13695" t="s">
        <v>7827</v>
      </c>
      <c r="F13695" t="s">
        <v>11420</v>
      </c>
      <c r="G13695">
        <v>89</v>
      </c>
      <c r="H13695">
        <v>96.75</v>
      </c>
      <c r="I13695">
        <v>96.74</v>
      </c>
      <c r="J13695">
        <v>0.01</v>
      </c>
    </row>
    <row r="13696" spans="1:10" x14ac:dyDescent="0.3">
      <c r="A13696" t="str">
        <f>HYPERLINK("https://us2.cloudbeds.com/connect/10074733072513#/reservations/31701868736641?display=MHS57EXE3&amp;reservation_id=31701868736641", "MHS57EXE3")</f>
        <v>MHS57EXE3</v>
      </c>
      <c r="B13696" t="s">
        <v>10</v>
      </c>
      <c r="C13696" t="s">
        <v>121</v>
      </c>
      <c r="D13696" t="str">
        <f>HYPERLINK("https://us2.cloudbeds.com/connect/10074733072513#/reservations/31701868736641?display=Antunez%20Martinez&amp;reservation_id=31701868736641&amp;guest_id=31701860643040", "Antunez Martinez")</f>
        <v>Antunez Martinez</v>
      </c>
      <c r="E13696" t="s">
        <v>13349</v>
      </c>
      <c r="F13696" t="s">
        <v>11420</v>
      </c>
      <c r="G13696">
        <v>179</v>
      </c>
      <c r="H13696">
        <v>194.58</v>
      </c>
      <c r="I13696">
        <v>194.57</v>
      </c>
      <c r="J13696">
        <v>0.01</v>
      </c>
    </row>
    <row r="13697" spans="1:10" x14ac:dyDescent="0.3">
      <c r="A13697" t="str">
        <f>HYPERLINK("https://us2.cloudbeds.com/connect/10074733072513#/reservations/31701933416690?display=MHS6SWCDJ&amp;reservation_id=31701933416690", "MHS6SWCDJ")</f>
        <v>MHS6SWCDJ</v>
      </c>
      <c r="B13697" t="s">
        <v>10</v>
      </c>
      <c r="C13697" t="s">
        <v>42</v>
      </c>
      <c r="D13697" t="str">
        <f>HYPERLINK("https://us2.cloudbeds.com/connect/10074733072513#/reservations/31701933416690?display=Samuel%20Alimas&amp;reservation_id=31701933416690&amp;guest_id=31701933416687", "Samuel Alimas")</f>
        <v>Samuel Alimas</v>
      </c>
      <c r="E13697" t="s">
        <v>13350</v>
      </c>
      <c r="F13697" t="s">
        <v>13176</v>
      </c>
      <c r="G13697">
        <v>159</v>
      </c>
      <c r="H13697">
        <v>172.84</v>
      </c>
      <c r="I13697">
        <v>172.83</v>
      </c>
      <c r="J13697">
        <v>0.01</v>
      </c>
    </row>
    <row r="13698" spans="1:10" x14ac:dyDescent="0.3">
      <c r="A13698" t="str">
        <f>HYPERLINK("https://us2.cloudbeds.com/connect/10074733072513#/reservations/31701874008306?display=MHS5BT88H&amp;reservation_id=31701874008306", "MHS5BT88H")</f>
        <v>MHS5BT88H</v>
      </c>
      <c r="B13698" t="s">
        <v>10</v>
      </c>
      <c r="C13698" t="s">
        <v>42</v>
      </c>
      <c r="D13698" t="str">
        <f>HYPERLINK("https://us2.cloudbeds.com/connect/10074733072513#/reservations/31701874008306?display=Parker%20Vybiral&amp;reservation_id=31701874008306&amp;guest_id=31701863944347", "Parker Vybiral")</f>
        <v>Parker Vybiral</v>
      </c>
      <c r="E13698" t="s">
        <v>13351</v>
      </c>
      <c r="F13698" t="s">
        <v>13176</v>
      </c>
      <c r="G13698">
        <v>159</v>
      </c>
      <c r="H13698">
        <v>172.84</v>
      </c>
      <c r="I13698">
        <v>172.83</v>
      </c>
      <c r="J13698">
        <v>0.01</v>
      </c>
    </row>
    <row r="13699" spans="1:10" x14ac:dyDescent="0.3">
      <c r="A13699" t="str">
        <f>HYPERLINK("https://us2.cloudbeds.com/connect/10074733072513#/reservations/31701615915190?display=MHRVP8E50&amp;reservation_id=31701615915190", "MHRVP8E50")</f>
        <v>MHRVP8E50</v>
      </c>
      <c r="B13699" t="s">
        <v>10</v>
      </c>
      <c r="C13699" t="s">
        <v>42</v>
      </c>
      <c r="D13699" t="str">
        <f>HYPERLINK("https://us2.cloudbeds.com/connect/10074733072513#/reservations/31701615915190?display=John%20Angelo&amp;reservation_id=31701615915190&amp;guest_id=31701607313626", "John Angelo")</f>
        <v>John Angelo</v>
      </c>
      <c r="E13699" t="s">
        <v>13352</v>
      </c>
      <c r="F13699" t="s">
        <v>11420</v>
      </c>
      <c r="G13699">
        <v>109</v>
      </c>
      <c r="H13699">
        <v>118.49</v>
      </c>
      <c r="I13699">
        <v>118.48</v>
      </c>
      <c r="J13699">
        <v>0.01</v>
      </c>
    </row>
    <row r="13700" spans="1:10" x14ac:dyDescent="0.3">
      <c r="A13700" t="str">
        <f>HYPERLINK("https://us2.cloudbeds.com/connect/10074733072513#/reservations/31701561700493?display=MHRUCHR7D&amp;reservation_id=31701561700493", "MHRUCHR7D")</f>
        <v>MHRUCHR7D</v>
      </c>
      <c r="B13700" t="s">
        <v>10</v>
      </c>
      <c r="C13700" t="s">
        <v>23</v>
      </c>
      <c r="D13700" t="str">
        <f>HYPERLINK("https://us2.cloudbeds.com/connect/10074733072513#/reservations/31701561700493?display=Fay%20Burnham&amp;reservation_id=31701561700493&amp;guest_id=31701561700488", "Fay Burnham")</f>
        <v>Fay Burnham</v>
      </c>
      <c r="E13700" t="s">
        <v>13353</v>
      </c>
      <c r="F13700" t="s">
        <v>13297</v>
      </c>
      <c r="G13700">
        <v>87.82</v>
      </c>
      <c r="H13700">
        <v>95.47</v>
      </c>
      <c r="I13700">
        <v>95.46</v>
      </c>
      <c r="J13700">
        <v>0.01</v>
      </c>
    </row>
    <row r="13701" spans="1:10" x14ac:dyDescent="0.3">
      <c r="A13701" t="str">
        <f>HYPERLINK("https://us2.cloudbeds.com/connect/10074733072513#/reservations/31701559754980?display=MHRUATMNF&amp;reservation_id=31701559754980", "MHRUATMNF")</f>
        <v>MHRUATMNF</v>
      </c>
      <c r="B13701" t="s">
        <v>10</v>
      </c>
      <c r="C13701" t="s">
        <v>23</v>
      </c>
      <c r="D13701" t="str">
        <f>HYPERLINK("https://us2.cloudbeds.com/connect/10074733072513#/reservations/31701559754980?display=Fay%20Burnham&amp;reservation_id=31701559754980&amp;guest_id=31701547716752", "Fay Burnham")</f>
        <v>Fay Burnham</v>
      </c>
      <c r="E13701" t="s">
        <v>13354</v>
      </c>
      <c r="F13701" t="s">
        <v>13297</v>
      </c>
      <c r="G13701">
        <v>87.82</v>
      </c>
      <c r="H13701">
        <v>95.47</v>
      </c>
      <c r="I13701">
        <v>95.46</v>
      </c>
      <c r="J13701">
        <v>0.01</v>
      </c>
    </row>
    <row r="13702" spans="1:10" x14ac:dyDescent="0.3">
      <c r="A13702" t="str">
        <f>HYPERLINK("https://us2.cloudbeds.com/connect/10074733072513#/reservations/31701714424007?display=MHS19AJ6M&amp;reservation_id=31701714424007", "MHS19AJ6M")</f>
        <v>MHS19AJ6M</v>
      </c>
      <c r="B13702" t="s">
        <v>10</v>
      </c>
      <c r="C13702" t="s">
        <v>42</v>
      </c>
      <c r="D13702" t="str">
        <f>HYPERLINK("https://us2.cloudbeds.com/connect/10074733072513#/reservations/31701714424007?display=Glenda%20Gassman&amp;reservation_id=31701714424007&amp;guest_id=31701714419911", "Glenda Gassman")</f>
        <v>Glenda Gassman</v>
      </c>
      <c r="E13702" t="s">
        <v>13356</v>
      </c>
      <c r="F13702" t="s">
        <v>12830</v>
      </c>
      <c r="G13702">
        <v>109</v>
      </c>
      <c r="H13702">
        <v>118.49</v>
      </c>
      <c r="I13702">
        <v>118.48</v>
      </c>
      <c r="J13702">
        <v>0.01</v>
      </c>
    </row>
    <row r="13703" spans="1:10" x14ac:dyDescent="0.3">
      <c r="A13703" t="str">
        <f>HYPERLINK("https://us2.cloudbeds.com/connect/10074733072513#/reservations/31701569650851?display=MHRUJ81RB&amp;reservation_id=31701569650851", "MHRUJ81RB")</f>
        <v>MHRUJ81RB</v>
      </c>
      <c r="B13703" t="s">
        <v>10</v>
      </c>
      <c r="C13703" t="s">
        <v>42</v>
      </c>
      <c r="D13703" t="str">
        <f>HYPERLINK("https://us2.cloudbeds.com/connect/10074733072513#/reservations/31701569650851?display=Pam%20Tramp&amp;reservation_id=31701569650851&amp;guest_id=31701569650846", "Pam Tramp")</f>
        <v>Pam Tramp</v>
      </c>
      <c r="E13703" t="s">
        <v>13357</v>
      </c>
      <c r="F13703" t="s">
        <v>13297</v>
      </c>
      <c r="G13703">
        <v>149</v>
      </c>
      <c r="H13703">
        <v>161.97</v>
      </c>
      <c r="I13703">
        <v>161.96</v>
      </c>
      <c r="J13703">
        <v>0.01</v>
      </c>
    </row>
    <row r="13704" spans="1:10" x14ac:dyDescent="0.3">
      <c r="A13704" t="str">
        <f>HYPERLINK("https://us2.cloudbeds.com/connect/10074733072513#/reservations/31701542703359?display=MHRTTH6YM&amp;reservation_id=31701542703359", "MHRTTH6YM")</f>
        <v>MHRTTH6YM</v>
      </c>
      <c r="B13704" t="s">
        <v>10</v>
      </c>
      <c r="C13704" t="s">
        <v>42</v>
      </c>
      <c r="D13704" t="str">
        <f>HYPERLINK("https://us2.cloudbeds.com/connect/10074733072513#/reservations/31701542703359?display=Tracy%20Johnston&amp;reservation_id=31701542703359&amp;guest_id=31701542703343", "Tracy Johnston")</f>
        <v>Tracy Johnston</v>
      </c>
      <c r="E13704" t="s">
        <v>13358</v>
      </c>
      <c r="F13704" t="s">
        <v>13297</v>
      </c>
      <c r="G13704">
        <v>119</v>
      </c>
      <c r="H13704">
        <v>129.36000000000001</v>
      </c>
      <c r="I13704">
        <v>129.35</v>
      </c>
      <c r="J13704">
        <v>0.01</v>
      </c>
    </row>
    <row r="13705" spans="1:10" x14ac:dyDescent="0.3">
      <c r="A13705" t="str">
        <f>HYPERLINK("https://us2.cloudbeds.com/connect/10074733072513#/reservations/31701534089382?display=MHRTM8GM2&amp;reservation_id=31701534089382", "MHRTM8GM2")</f>
        <v>MHRTM8GM2</v>
      </c>
      <c r="B13705" t="s">
        <v>10</v>
      </c>
      <c r="C13705" t="s">
        <v>42</v>
      </c>
      <c r="D13705" t="str">
        <f>HYPERLINK("https://us2.cloudbeds.com/connect/10074733072513#/reservations/31701534089382?display=Larry%20Berg&amp;reservation_id=31701534089382&amp;guest_id=31701534089377", "Larry Berg")</f>
        <v>Larry Berg</v>
      </c>
      <c r="E13705" t="s">
        <v>13359</v>
      </c>
      <c r="F13705" t="s">
        <v>13297</v>
      </c>
      <c r="G13705">
        <v>119</v>
      </c>
      <c r="H13705">
        <v>129.36000000000001</v>
      </c>
      <c r="I13705">
        <v>129.35</v>
      </c>
      <c r="J13705">
        <v>0.01</v>
      </c>
    </row>
    <row r="13706" spans="1:10" x14ac:dyDescent="0.3">
      <c r="A13706" t="str">
        <f>HYPERLINK("https://us2.cloudbeds.com/connect/10074733072513#/reservations/31701782003905?display=MHS30A31C&amp;reservation_id=31701782003905", "MHS30A31C")</f>
        <v>MHS30A31C</v>
      </c>
      <c r="B13706" t="s">
        <v>10</v>
      </c>
      <c r="C13706" t="s">
        <v>23</v>
      </c>
      <c r="D13706" t="str">
        <f>HYPERLINK("https://us2.cloudbeds.com/connect/10074733072513#/reservations/31701782003905?display=Trina%20Stephenson&amp;reservation_id=31701782003905&amp;guest_id=31701770444960", "Trina Stephenson")</f>
        <v>Trina Stephenson</v>
      </c>
      <c r="E13706" t="s">
        <v>13361</v>
      </c>
      <c r="F13706" t="s">
        <v>13342</v>
      </c>
      <c r="G13706">
        <v>278</v>
      </c>
      <c r="H13706">
        <v>302.2</v>
      </c>
      <c r="I13706">
        <v>302.19</v>
      </c>
      <c r="J13706">
        <v>0.01</v>
      </c>
    </row>
    <row r="13707" spans="1:10" x14ac:dyDescent="0.3">
      <c r="A13707" t="str">
        <f>HYPERLINK("https://us2.cloudbeds.com/connect/10074733072513#/reservations/31700840689821?display=MHRBVXY45&amp;reservation_id=31700840689821", "MHRBVXY45")</f>
        <v>MHRBVXY45</v>
      </c>
      <c r="B13707" t="s">
        <v>10</v>
      </c>
      <c r="C13707" t="s">
        <v>23</v>
      </c>
      <c r="D13707" t="str">
        <f>HYPERLINK("https://us2.cloudbeds.com/connect/10074733072513#/reservations/31700840689821?display=Daryl%20Androli&amp;reservation_id=31700840689821&amp;guest_id=31700840689817", "Daryl Androli")</f>
        <v>Daryl Androli</v>
      </c>
      <c r="E13707" t="s">
        <v>13362</v>
      </c>
      <c r="F13707" t="s">
        <v>13363</v>
      </c>
      <c r="G13707">
        <v>109</v>
      </c>
      <c r="H13707">
        <v>118.49</v>
      </c>
      <c r="I13707">
        <v>118.48</v>
      </c>
      <c r="J13707">
        <v>0.01</v>
      </c>
    </row>
    <row r="13708" spans="1:10" x14ac:dyDescent="0.3">
      <c r="A13708" t="str">
        <f>HYPERLINK("https://us2.cloudbeds.com/connect/10074733072513#/reservations/31701526126801?display=MHRTFHURZ&amp;reservation_id=31701526126801", "MHRTFHURZ")</f>
        <v>MHRTFHURZ</v>
      </c>
      <c r="B13708" t="s">
        <v>10</v>
      </c>
      <c r="C13708" t="s">
        <v>42</v>
      </c>
      <c r="D13708" t="str">
        <f>HYPERLINK("https://us2.cloudbeds.com/connect/10074733072513#/reservations/31701526126801?display=Lanice%20Miner&amp;reservation_id=31701526126801&amp;guest_id=31701517516983", "Lanice Miner")</f>
        <v>Lanice Miner</v>
      </c>
      <c r="E13708" t="s">
        <v>13364</v>
      </c>
      <c r="F13708" t="s">
        <v>13297</v>
      </c>
      <c r="G13708">
        <v>139</v>
      </c>
      <c r="H13708">
        <v>151.1</v>
      </c>
      <c r="I13708">
        <v>151.09</v>
      </c>
      <c r="J13708">
        <v>0.01</v>
      </c>
    </row>
    <row r="13709" spans="1:10" x14ac:dyDescent="0.3">
      <c r="A13709" t="str">
        <f>HYPERLINK("https://us2.cloudbeds.com/connect/10074733072513#/reservations/31701696819328?display=MHS0KVSE3&amp;reservation_id=31701696819328", "MHS0KVSE3")</f>
        <v>MHS0KVSE3</v>
      </c>
      <c r="B13709" t="s">
        <v>10</v>
      </c>
      <c r="C13709" t="s">
        <v>23</v>
      </c>
      <c r="D13709" t="str">
        <f>HYPERLINK("https://us2.cloudbeds.com/connect/10074733072513#/reservations/31701696819328?display=Jennifer%20Lefforge&amp;reservation_id=31701696819328&amp;guest_id=31701689094377", "Jennifer Lefforge")</f>
        <v>Jennifer Lefforge</v>
      </c>
      <c r="E13709" t="s">
        <v>13366</v>
      </c>
      <c r="F13709" t="s">
        <v>12830</v>
      </c>
      <c r="G13709">
        <v>109</v>
      </c>
      <c r="H13709">
        <v>118.49</v>
      </c>
      <c r="I13709">
        <v>118.48</v>
      </c>
      <c r="J13709">
        <v>0.01</v>
      </c>
    </row>
    <row r="13710" spans="1:10" x14ac:dyDescent="0.3">
      <c r="A13710" t="str">
        <f>HYPERLINK("https://us2.cloudbeds.com/connect/10074733072513#/reservations/31701479624846?display=MHRS9AVAJ&amp;reservation_id=31701479624846", "MHRS9AVAJ")</f>
        <v>MHRS9AVAJ</v>
      </c>
      <c r="B13710" t="s">
        <v>10</v>
      </c>
      <c r="C13710" t="s">
        <v>23</v>
      </c>
      <c r="D13710" t="str">
        <f>HYPERLINK("https://us2.cloudbeds.com/connect/10074733072513#/reservations/31701479624846?display=Levi%20Ross&amp;reservation_id=31701479624846&amp;guest_id=31701479624843", "Levi Ross")</f>
        <v>Levi Ross</v>
      </c>
      <c r="E13710" t="s">
        <v>13367</v>
      </c>
      <c r="F13710" t="s">
        <v>13311</v>
      </c>
      <c r="G13710">
        <v>321.3</v>
      </c>
      <c r="H13710">
        <v>349.26</v>
      </c>
      <c r="I13710">
        <v>349.25</v>
      </c>
      <c r="J13710">
        <v>0.01</v>
      </c>
    </row>
    <row r="13711" spans="1:10" x14ac:dyDescent="0.3">
      <c r="A13711" t="str">
        <f>HYPERLINK("https://us2.cloudbeds.com/connect/10074733072513#/reservations/31700887179392?display=MHRCU0ZYA&amp;reservation_id=31700887179392", "MHRCU0ZYA")</f>
        <v>MHRCU0ZYA</v>
      </c>
      <c r="B13711" t="s">
        <v>10</v>
      </c>
      <c r="C13711" t="s">
        <v>23</v>
      </c>
      <c r="D13711" t="str">
        <f>HYPERLINK("https://us2.cloudbeds.com/connect/10074733072513#/reservations/31700887179392?display=Brett%20Peeples&amp;reservation_id=31700887179392&amp;guest_id=31700877996255", "Brett Peeples")</f>
        <v>Brett Peeples</v>
      </c>
      <c r="E13711" t="s">
        <v>13368</v>
      </c>
      <c r="F13711" t="s">
        <v>13342</v>
      </c>
      <c r="G13711">
        <v>217.1</v>
      </c>
      <c r="H13711">
        <v>236</v>
      </c>
      <c r="I13711">
        <v>235.99</v>
      </c>
      <c r="J13711">
        <v>0.01</v>
      </c>
    </row>
    <row r="13712" spans="1:10" x14ac:dyDescent="0.3">
      <c r="A13712" t="str">
        <f>HYPERLINK("https://us2.cloudbeds.com/connect/10074733072513#/reservations/31700890366169?display=MHRD7EVK1&amp;reservation_id=31700890366169", "MHRD7EVK1")</f>
        <v>MHRD7EVK1</v>
      </c>
      <c r="B13712" t="s">
        <v>10</v>
      </c>
      <c r="C13712" t="s">
        <v>42</v>
      </c>
      <c r="D13712" t="str">
        <f>HYPERLINK("https://us2.cloudbeds.com/connect/10074733072513#/reservations/31700890366169?display=Daryle%20Petrzilka&amp;reservation_id=31700890366169&amp;guest_id=31683779588313", "Daryle Petrzilka")</f>
        <v>Daryle Petrzilka</v>
      </c>
      <c r="E13712" t="s">
        <v>5614</v>
      </c>
      <c r="F13712" t="s">
        <v>13342</v>
      </c>
      <c r="G13712">
        <v>89</v>
      </c>
      <c r="H13712">
        <v>96.75</v>
      </c>
      <c r="I13712">
        <v>96.74</v>
      </c>
      <c r="J13712">
        <v>0.01</v>
      </c>
    </row>
    <row r="13713" spans="1:10" x14ac:dyDescent="0.3">
      <c r="A13713" t="str">
        <f>HYPERLINK("https://us2.cloudbeds.com/connect/10074733072513#/reservations/31701844447453?display=MHS4JVMA3&amp;reservation_id=31701844447453", "MHS4JVMA3")</f>
        <v>MHS4JVMA3</v>
      </c>
      <c r="B13713" t="s">
        <v>10</v>
      </c>
      <c r="C13713" t="s">
        <v>42</v>
      </c>
      <c r="D13713" t="str">
        <f>HYPERLINK("https://us2.cloudbeds.com/connect/10074733072513#/reservations/31701844447453?display=Larry%20Lommen&amp;reservation_id=31701844447453&amp;guest_id=31701844443372", "Larry Lommen")</f>
        <v>Larry Lommen</v>
      </c>
      <c r="E13713" t="s">
        <v>13369</v>
      </c>
      <c r="F13713" t="s">
        <v>13053</v>
      </c>
      <c r="G13713">
        <v>189</v>
      </c>
      <c r="H13713">
        <v>205.45</v>
      </c>
      <c r="I13713">
        <v>205.44</v>
      </c>
      <c r="J13713">
        <v>0.01</v>
      </c>
    </row>
    <row r="13714" spans="1:10" x14ac:dyDescent="0.3">
      <c r="A13714" t="str">
        <f>HYPERLINK("https://us2.cloudbeds.com/connect/10074733072513#/reservations/31701676323001?display=MHS0A6C1Z&amp;reservation_id=31701676323001", "MHS0A6C1Z")</f>
        <v>MHS0A6C1Z</v>
      </c>
      <c r="B13714" t="s">
        <v>10</v>
      </c>
      <c r="C13714" t="s">
        <v>23</v>
      </c>
      <c r="D13714" t="str">
        <f>HYPERLINK("https://us2.cloudbeds.com/connect/10074733072513#/reservations/31701676323001?display=Dan%20Smith&amp;reservation_id=31701676323001&amp;guest_id=31701664887005", "Dan Smith")</f>
        <v>Dan Smith</v>
      </c>
      <c r="E13714" t="s">
        <v>13370</v>
      </c>
      <c r="F13714" t="s">
        <v>12830</v>
      </c>
      <c r="G13714">
        <v>109</v>
      </c>
      <c r="H13714">
        <v>118.49</v>
      </c>
      <c r="I13714">
        <v>118.48</v>
      </c>
      <c r="J13714">
        <v>0.01</v>
      </c>
    </row>
    <row r="13715" spans="1:10" x14ac:dyDescent="0.3">
      <c r="A13715" t="str">
        <f>HYPERLINK("https://us2.cloudbeds.com/connect/10074733072513#/reservations/31701679870097?display=MHS0D628G&amp;reservation_id=31701679870097", "MHS0D628G")</f>
        <v>MHS0D628G</v>
      </c>
      <c r="B13715" t="s">
        <v>10</v>
      </c>
      <c r="C13715" t="s">
        <v>23</v>
      </c>
      <c r="D13715" t="str">
        <f>HYPERLINK("https://us2.cloudbeds.com/connect/10074733072513#/reservations/31701679870097?display=Thomas%20Henderson&amp;reservation_id=31701679870097&amp;guest_id=31701679866003", "Thomas Henderson")</f>
        <v>Thomas Henderson</v>
      </c>
      <c r="E13715" t="s">
        <v>13371</v>
      </c>
      <c r="F13715" t="s">
        <v>12830</v>
      </c>
      <c r="G13715">
        <v>129</v>
      </c>
      <c r="H13715">
        <v>140.22999999999999</v>
      </c>
      <c r="I13715">
        <v>140.22</v>
      </c>
      <c r="J13715">
        <v>0.01</v>
      </c>
    </row>
    <row r="13716" spans="1:10" x14ac:dyDescent="0.3">
      <c r="A13716" t="str">
        <f>HYPERLINK("https://us2.cloudbeds.com/connect/10074733072513#/reservations/31701391589594?display=MHRQ137SM&amp;reservation_id=31701391589594", "MHRQ137SM")</f>
        <v>MHRQ137SM</v>
      </c>
      <c r="B13716" t="s">
        <v>10</v>
      </c>
      <c r="C13716" t="s">
        <v>121</v>
      </c>
      <c r="D13716" t="str">
        <f>HYPERLINK("https://us2.cloudbeds.com/connect/10074733072513#/reservations/31701391589594?display=Keith%20Anderson&amp;reservation_id=31701391589594&amp;guest_id=17963406844038", "Keith Anderson")</f>
        <v>Keith Anderson</v>
      </c>
      <c r="E13716" t="s">
        <v>8040</v>
      </c>
      <c r="F13716" t="s">
        <v>13311</v>
      </c>
      <c r="G13716">
        <v>336</v>
      </c>
      <c r="H13716">
        <v>365.24</v>
      </c>
      <c r="I13716">
        <v>365.23</v>
      </c>
      <c r="J13716">
        <v>0.01</v>
      </c>
    </row>
    <row r="13717" spans="1:10" x14ac:dyDescent="0.3">
      <c r="A13717" t="str">
        <f>HYPERLINK("https://us2.cloudbeds.com/connect/10074733072513#/reservations/31702275154114?display=MHSFK4NT3&amp;reservation_id=31702275154114", "MHSFK4NT3")</f>
        <v>MHSFK4NT3</v>
      </c>
      <c r="B13717" t="s">
        <v>10</v>
      </c>
      <c r="C13717" t="s">
        <v>23</v>
      </c>
      <c r="D13717" t="str">
        <f>HYPERLINK("https://us2.cloudbeds.com/connect/10074733072513#/reservations/31702275154114?display=Riley%20Voelsch&amp;reservation_id=31702275154114&amp;guest_id=31702267551915", "Riley Voelsch")</f>
        <v>Riley Voelsch</v>
      </c>
      <c r="E13717" t="s">
        <v>13372</v>
      </c>
      <c r="F13717" t="s">
        <v>12830</v>
      </c>
      <c r="G13717">
        <v>109</v>
      </c>
      <c r="H13717">
        <v>118.49</v>
      </c>
      <c r="I13717">
        <v>118.48</v>
      </c>
      <c r="J13717">
        <v>0.01</v>
      </c>
    </row>
    <row r="13718" spans="1:10" x14ac:dyDescent="0.3">
      <c r="A13718" t="str">
        <f>HYPERLINK("https://us2.cloudbeds.com/connect/10074733072513#/reservations/31701044998389?display=MHRH5RR9T&amp;reservation_id=31701044998389", "MHRH5RR9T")</f>
        <v>MHRH5RR9T</v>
      </c>
      <c r="B13718" t="s">
        <v>10</v>
      </c>
      <c r="C13718" t="s">
        <v>23</v>
      </c>
      <c r="D13718" t="str">
        <f>HYPERLINK("https://us2.cloudbeds.com/connect/10074733072513#/reservations/31701044998389?display=Nicole%20Hofman&amp;reservation_id=31701044998389&amp;guest_id=31701044998369", "Nicole Hofman")</f>
        <v>Nicole Hofman</v>
      </c>
      <c r="E13718" t="s">
        <v>13373</v>
      </c>
      <c r="F13718" t="s">
        <v>13342</v>
      </c>
      <c r="G13718">
        <v>119</v>
      </c>
      <c r="H13718">
        <v>129.36000000000001</v>
      </c>
      <c r="I13718">
        <v>129.35</v>
      </c>
      <c r="J13718">
        <v>0.01</v>
      </c>
    </row>
    <row r="13719" spans="1:10" x14ac:dyDescent="0.3">
      <c r="A13719" t="str">
        <f>HYPERLINK("https://us2.cloudbeds.com/connect/10074733072513#/reservations/31701738401987?display=MHS1THQX4&amp;reservation_id=31701738401987", "MHS1THQX4")</f>
        <v>MHS1THQX4</v>
      </c>
      <c r="B13719" t="s">
        <v>10</v>
      </c>
      <c r="C13719" t="s">
        <v>121</v>
      </c>
      <c r="D13719" t="str">
        <f>HYPERLINK("https://us2.cloudbeds.com/connect/10074733072513#/reservations/31701738401987?display=Angela%20Stephenson&amp;reservation_id=31701738401987&amp;guest_id=31701738397902", "Angela Stephenson")</f>
        <v>Angela Stephenson</v>
      </c>
      <c r="E13719" t="s">
        <v>13374</v>
      </c>
      <c r="F13719" t="s">
        <v>12830</v>
      </c>
      <c r="G13719">
        <v>109</v>
      </c>
      <c r="H13719">
        <v>118.49</v>
      </c>
      <c r="I13719">
        <v>118.48</v>
      </c>
      <c r="J13719">
        <v>0.01</v>
      </c>
    </row>
    <row r="13720" spans="1:10" x14ac:dyDescent="0.3">
      <c r="A13720" t="str">
        <f>HYPERLINK("https://us2.cloudbeds.com/connect/10074733072513#/reservations/31701719535789?display=MHS1DKR75&amp;reservation_id=31701719535789", "MHS1DKR75")</f>
        <v>MHS1DKR75</v>
      </c>
      <c r="B13720" t="s">
        <v>10</v>
      </c>
      <c r="C13720" t="s">
        <v>121</v>
      </c>
      <c r="D13720" t="str">
        <f>HYPERLINK("https://us2.cloudbeds.com/connect/10074733072513#/reservations/31701719535789?display=Kimberly%20Taylor&amp;reservation_id=31701719535789&amp;guest_id=31701719535787", "Kimberly Taylor")</f>
        <v>Kimberly Taylor</v>
      </c>
      <c r="E13720" t="s">
        <v>13375</v>
      </c>
      <c r="F13720" t="s">
        <v>13342</v>
      </c>
      <c r="G13720">
        <v>119</v>
      </c>
      <c r="H13720">
        <v>129.36000000000001</v>
      </c>
      <c r="I13720">
        <v>129.35</v>
      </c>
      <c r="J13720">
        <v>0.01</v>
      </c>
    </row>
    <row r="13721" spans="1:10" x14ac:dyDescent="0.3">
      <c r="A13721" t="str">
        <f>HYPERLINK("https://us2.cloudbeds.com/connect/10074733072513#/reservations/31700908208328?display=MHRDMGEJH&amp;reservation_id=31700908208328", "MHRDMGEJH")</f>
        <v>MHRDMGEJH</v>
      </c>
      <c r="B13721" t="s">
        <v>10</v>
      </c>
      <c r="C13721" t="s">
        <v>23</v>
      </c>
      <c r="D13721" t="str">
        <f>HYPERLINK("https://us2.cloudbeds.com/connect/10074733072513#/reservations/31700908208328?display=Aaron%20Newman&amp;reservation_id=31700908208328&amp;guest_id=31700908204281", "Aaron Newman")</f>
        <v>Aaron Newman</v>
      </c>
      <c r="E13721" t="s">
        <v>13376</v>
      </c>
      <c r="F13721" t="s">
        <v>13342</v>
      </c>
      <c r="G13721">
        <v>119</v>
      </c>
      <c r="H13721">
        <v>129.36000000000001</v>
      </c>
      <c r="I13721">
        <v>129.35</v>
      </c>
      <c r="J13721">
        <v>0.01</v>
      </c>
    </row>
    <row r="13722" spans="1:10" x14ac:dyDescent="0.3">
      <c r="A13722" t="str">
        <f>HYPERLINK("https://us2.cloudbeds.com/connect/10074733072513#/reservations/31701497786606?display=MHRSZYAPV&amp;reservation_id=31701497786606", "MHRSZYAPV")</f>
        <v>MHRSZYAPV</v>
      </c>
      <c r="B13722" t="s">
        <v>10</v>
      </c>
      <c r="C13722" t="s">
        <v>121</v>
      </c>
      <c r="D13722" t="str">
        <f>HYPERLINK("https://us2.cloudbeds.com/connect/10074733072513#/reservations/31701497786606?display=Holly%20Rawlings&amp;reservation_id=31701497786606&amp;guest_id=31701479624844", "Holly Rawlings")</f>
        <v>Holly Rawlings</v>
      </c>
      <c r="E13722" t="s">
        <v>13377</v>
      </c>
      <c r="F13722" t="s">
        <v>12830</v>
      </c>
      <c r="G13722">
        <v>109</v>
      </c>
      <c r="H13722">
        <v>118.49</v>
      </c>
      <c r="I13722">
        <v>118.48</v>
      </c>
      <c r="J13722">
        <v>0.01</v>
      </c>
    </row>
    <row r="13723" spans="1:10" x14ac:dyDescent="0.3">
      <c r="A13723" t="str">
        <f>HYPERLINK("https://us2.cloudbeds.com/connect/10074733072513#/reservations/31700948598914?display=MHRENXC6M&amp;reservation_id=31700948598914", "MHRENXC6M")</f>
        <v>MHRENXC6M</v>
      </c>
      <c r="B13723" t="s">
        <v>10</v>
      </c>
      <c r="C13723" t="s">
        <v>23</v>
      </c>
      <c r="D13723" t="str">
        <f>HYPERLINK("https://us2.cloudbeds.com/connect/10074733072513#/reservations/31700948598914?display=Kyle%20Adam%20Daniels&amp;reservation_id=31700948598914&amp;guest_id=31700948594877", "Kyle Adam Daniels")</f>
        <v>Kyle Adam Daniels</v>
      </c>
      <c r="E13723" t="s">
        <v>13378</v>
      </c>
      <c r="F13723" t="s">
        <v>13342</v>
      </c>
      <c r="G13723">
        <v>129</v>
      </c>
      <c r="H13723">
        <v>140.22999999999999</v>
      </c>
      <c r="I13723">
        <v>140.22</v>
      </c>
      <c r="J13723">
        <v>0.01</v>
      </c>
    </row>
    <row r="13724" spans="1:10" x14ac:dyDescent="0.3">
      <c r="A13724" t="str">
        <f>HYPERLINK("https://us2.cloudbeds.com/connect/10074733072513#/reservations/31701060608218?display=MHRHJ06D0&amp;reservation_id=31701060608218", "MHRHJ06D0")</f>
        <v>MHRHJ06D0</v>
      </c>
      <c r="B13724" t="s">
        <v>10</v>
      </c>
      <c r="C13724" t="s">
        <v>42</v>
      </c>
      <c r="D13724" t="str">
        <f>HYPERLINK("https://us2.cloudbeds.com/connect/10074733072513#/reservations/31701060608218?display=Larue%20Jundt&amp;reservation_id=31701060608218&amp;guest_id=17963506487513", "Larue Jundt")</f>
        <v>Larue Jundt</v>
      </c>
      <c r="E13724" t="s">
        <v>12275</v>
      </c>
      <c r="F13724" t="s">
        <v>13379</v>
      </c>
      <c r="G13724">
        <v>98.1</v>
      </c>
      <c r="H13724">
        <v>106.64</v>
      </c>
      <c r="I13724">
        <v>106.63</v>
      </c>
      <c r="J13724">
        <v>0.01</v>
      </c>
    </row>
    <row r="13725" spans="1:10" x14ac:dyDescent="0.3">
      <c r="A13725" t="str">
        <f>HYPERLINK("https://us2.cloudbeds.com/connect/10074733072513#/reservations/31701626036445?display=MHRW0Q27N&amp;reservation_id=31701626036445", "MHRW0Q27N")</f>
        <v>MHRW0Q27N</v>
      </c>
      <c r="B13725" t="s">
        <v>10</v>
      </c>
      <c r="C13725" t="s">
        <v>42</v>
      </c>
      <c r="D13725" t="str">
        <f>HYPERLINK("https://us2.cloudbeds.com/connect/10074733072513#/reservations/31701626036445?display=Denise%20Duffy&amp;reservation_id=31701626036445&amp;guest_id=31701626036441", "Denise Duffy")</f>
        <v>Denise Duffy</v>
      </c>
      <c r="E13725" t="s">
        <v>8274</v>
      </c>
      <c r="F13725" t="s">
        <v>13311</v>
      </c>
      <c r="G13725">
        <v>178</v>
      </c>
      <c r="H13725">
        <v>193.5</v>
      </c>
      <c r="I13725">
        <v>193.49</v>
      </c>
      <c r="J13725">
        <v>0.01</v>
      </c>
    </row>
    <row r="13726" spans="1:10" x14ac:dyDescent="0.3">
      <c r="A13726" t="str">
        <f>HYPERLINK("https://us2.cloudbeds.com/connect/10074733072513#/reservations/31701750870200?display=MHS271ZPP&amp;reservation_id=31701750870200", "MHS271ZPP")</f>
        <v>MHS271ZPP</v>
      </c>
      <c r="B13726" t="s">
        <v>10</v>
      </c>
      <c r="C13726" t="s">
        <v>23</v>
      </c>
      <c r="D13726" t="str">
        <f>HYPERLINK("https://us2.cloudbeds.com/connect/10074733072513#/reservations/31701750870200?display=Marilee%20Morris&amp;reservation_id=31701750870200&amp;guest_id=31701750870196", "Marilee Morris")</f>
        <v>Marilee Morris</v>
      </c>
      <c r="E13726" t="s">
        <v>13385</v>
      </c>
      <c r="F13726" t="s">
        <v>13342</v>
      </c>
      <c r="G13726">
        <v>119</v>
      </c>
      <c r="H13726">
        <v>129.36000000000001</v>
      </c>
      <c r="I13726">
        <v>129.35</v>
      </c>
      <c r="J13726">
        <v>0.01</v>
      </c>
    </row>
    <row r="13727" spans="1:10" x14ac:dyDescent="0.3">
      <c r="A13727" t="str">
        <f>HYPERLINK("https://us2.cloudbeds.com/connect/10074733072513#/reservations/31701015154875?display=MHRGDMCPW&amp;reservation_id=31701015154875", "MHRGDMCPW")</f>
        <v>MHRGDMCPW</v>
      </c>
      <c r="B13727" t="s">
        <v>10</v>
      </c>
      <c r="C13727" t="s">
        <v>42</v>
      </c>
      <c r="D13727" t="str">
        <f>HYPERLINK("https://us2.cloudbeds.com/connect/10074733072513#/reservations/31701015154875?display=Thad%20Briggs&amp;reservation_id=31701015154875&amp;guest_id=17963366961405", "Thad Briggs")</f>
        <v>Thad Briggs</v>
      </c>
      <c r="E13727" t="s">
        <v>13386</v>
      </c>
      <c r="F13727" t="s">
        <v>13260</v>
      </c>
      <c r="G13727">
        <v>252</v>
      </c>
      <c r="H13727">
        <v>273.93</v>
      </c>
      <c r="I13727">
        <v>273.92</v>
      </c>
      <c r="J13727">
        <v>0.01</v>
      </c>
    </row>
    <row r="13728" spans="1:10" x14ac:dyDescent="0.3">
      <c r="A13728" t="str">
        <f>HYPERLINK("https://us2.cloudbeds.com/connect/10074733072513#/reservations/31701113729209?display=MHRXUQC00&amp;reservation_id=31701113729209", "MHRXUQC00")</f>
        <v>MHRXUQC00</v>
      </c>
      <c r="B13728" t="s">
        <v>10</v>
      </c>
      <c r="C13728" t="s">
        <v>23</v>
      </c>
      <c r="D13728" t="str">
        <f>HYPERLINK("https://us2.cloudbeds.com/connect/10074733072513#/reservations/31701113729209?display=Larissa%20Strong&amp;reservation_id=31701113729209&amp;guest_id=31701099249825", "Larissa Strong")</f>
        <v>Larissa Strong</v>
      </c>
      <c r="E13728" t="s">
        <v>13387</v>
      </c>
      <c r="F13728" t="s">
        <v>13053</v>
      </c>
      <c r="G13728">
        <v>199</v>
      </c>
      <c r="H13728">
        <v>216.32</v>
      </c>
      <c r="I13728">
        <v>216.31</v>
      </c>
      <c r="J13728">
        <v>0.01</v>
      </c>
    </row>
    <row r="13729" spans="1:10" x14ac:dyDescent="0.3">
      <c r="A13729" t="str">
        <f>HYPERLINK("https://us2.cloudbeds.com/connect/10074733072513#/reservations/31701203038453?display=MHRY73HAZ&amp;reservation_id=31701203038453", "MHRY73HAZ")</f>
        <v>MHRY73HAZ</v>
      </c>
      <c r="B13729" t="s">
        <v>10</v>
      </c>
      <c r="C13729" t="s">
        <v>23</v>
      </c>
      <c r="D13729" t="str">
        <f>HYPERLINK("https://us2.cloudbeds.com/connect/10074733072513#/reservations/31701203038453?display=Christopher%20Flowers&amp;reservation_id=31701203038453&amp;guest_id=31701203038442", "Christopher Flowers")</f>
        <v>Christopher Flowers</v>
      </c>
      <c r="E13729" t="s">
        <v>13389</v>
      </c>
      <c r="F13729" t="s">
        <v>13381</v>
      </c>
      <c r="G13729">
        <v>87.82</v>
      </c>
      <c r="H13729">
        <v>95.47</v>
      </c>
      <c r="I13729">
        <v>95.46</v>
      </c>
      <c r="J13729">
        <v>0.01</v>
      </c>
    </row>
    <row r="13730" spans="1:10" x14ac:dyDescent="0.3">
      <c r="A13730" t="str">
        <f>HYPERLINK("https://us2.cloudbeds.com/connect/10074733072513#/reservations/31701248045192?display=MHRMC1TRA&amp;reservation_id=31701248045192", "MHRMC1TRA")</f>
        <v>MHRMC1TRA</v>
      </c>
      <c r="B13730" t="s">
        <v>10</v>
      </c>
      <c r="C13730" t="s">
        <v>42</v>
      </c>
      <c r="D13730" t="str">
        <f>HYPERLINK("https://us2.cloudbeds.com/connect/10074733072513#/reservations/31701248045192?display=Troy%20Krieger&amp;reservation_id=31701248045192&amp;guest_id=31701241106678", "Troy Krieger")</f>
        <v>Troy Krieger</v>
      </c>
      <c r="E13730" t="s">
        <v>13390</v>
      </c>
      <c r="F13730" t="s">
        <v>13381</v>
      </c>
      <c r="G13730">
        <v>139</v>
      </c>
      <c r="H13730">
        <v>151.1</v>
      </c>
      <c r="I13730">
        <v>151.09</v>
      </c>
      <c r="J13730">
        <v>0.01</v>
      </c>
    </row>
    <row r="13731" spans="1:10" x14ac:dyDescent="0.3">
      <c r="A13731" t="str">
        <f>HYPERLINK("https://us2.cloudbeds.com/connect/10074733072513#/reservations/31701388923054?display=MHRPVS18E&amp;reservation_id=31701388923054", "MHRPVS18E")</f>
        <v>MHRPVS18E</v>
      </c>
      <c r="B13731" t="s">
        <v>10</v>
      </c>
      <c r="C13731" t="s">
        <v>23</v>
      </c>
      <c r="D13731" t="str">
        <f>HYPERLINK("https://us2.cloudbeds.com/connect/10074733072513#/reservations/31701388923054?display=Morgan%20Dale&amp;reservation_id=31701388923054&amp;guest_id=31701375074461", "Morgan Dale")</f>
        <v>Morgan Dale</v>
      </c>
      <c r="E13731" t="s">
        <v>13392</v>
      </c>
      <c r="F13731" t="s">
        <v>13311</v>
      </c>
      <c r="G13731">
        <v>159</v>
      </c>
      <c r="H13731">
        <v>172.84</v>
      </c>
      <c r="I13731">
        <v>172.83</v>
      </c>
      <c r="J13731">
        <v>0.01</v>
      </c>
    </row>
    <row r="13732" spans="1:10" x14ac:dyDescent="0.3">
      <c r="A13732" t="str">
        <f>HYPERLINK("https://us2.cloudbeds.com/connect/10074733072513#/reservations/31701338538194?display=MHRZMC05G&amp;reservation_id=31701338538194", "MHRZMC05G")</f>
        <v>MHRZMC05G</v>
      </c>
      <c r="B13732" t="s">
        <v>10</v>
      </c>
      <c r="C13732" t="s">
        <v>42</v>
      </c>
      <c r="D13732" t="str">
        <f>HYPERLINK("https://us2.cloudbeds.com/connect/10074733072513#/reservations/31701338538194?display=Zach%20Sinnen&amp;reservation_id=31701338538194&amp;guest_id=17963385467050", "Zach Sinnen")</f>
        <v>Zach Sinnen</v>
      </c>
      <c r="E13732" t="s">
        <v>11625</v>
      </c>
      <c r="F13732" t="s">
        <v>13308</v>
      </c>
      <c r="G13732">
        <v>252</v>
      </c>
      <c r="H13732">
        <v>273.93</v>
      </c>
      <c r="I13732">
        <v>273.92</v>
      </c>
      <c r="J13732">
        <v>0.01</v>
      </c>
    </row>
    <row r="13733" spans="1:10" x14ac:dyDescent="0.3">
      <c r="A13733" t="str">
        <f>HYPERLINK("https://us2.cloudbeds.com/connect/10074733072513#/reservations/31701230440605?display=MHRYU70WW&amp;reservation_id=31701230440605", "MHRYU70WW")</f>
        <v>MHRYU70WW</v>
      </c>
      <c r="B13733" t="s">
        <v>10</v>
      </c>
      <c r="C13733" t="s">
        <v>42</v>
      </c>
      <c r="D13733" t="str">
        <f>HYPERLINK("https://us2.cloudbeds.com/connect/10074733072513#/reservations/31701230440605?display=Dan%20Maninga&amp;reservation_id=31701230440605&amp;guest_id=31701230436514", "Dan Maninga")</f>
        <v>Dan Maninga</v>
      </c>
      <c r="E13733" t="s">
        <v>13393</v>
      </c>
      <c r="F13733" t="s">
        <v>13381</v>
      </c>
      <c r="G13733">
        <v>119</v>
      </c>
      <c r="H13733">
        <v>129.36000000000001</v>
      </c>
      <c r="I13733">
        <v>129.35</v>
      </c>
      <c r="J13733">
        <v>0.01</v>
      </c>
    </row>
    <row r="13734" spans="1:10" x14ac:dyDescent="0.3">
      <c r="A13734" t="str">
        <f>HYPERLINK("https://us2.cloudbeds.com/connect/10074733072513#/reservations/31701169574096?display=MHRKBTATA&amp;reservation_id=31701169574096", "MHRKBTATA")</f>
        <v>MHRKBTATA</v>
      </c>
      <c r="B13734" t="s">
        <v>10</v>
      </c>
      <c r="C13734" t="s">
        <v>42</v>
      </c>
      <c r="D13734" t="str">
        <f>HYPERLINK("https://us2.cloudbeds.com/connect/10074733072513#/reservations/31701169574096?display=Allen%20Schilling&amp;reservation_id=31701169574096&amp;guest_id=31701169574081", "Allen Schilling")</f>
        <v>Allen Schilling</v>
      </c>
      <c r="E13734" t="s">
        <v>13394</v>
      </c>
      <c r="F13734" t="s">
        <v>13381</v>
      </c>
      <c r="G13734">
        <v>119</v>
      </c>
      <c r="H13734">
        <v>129.36000000000001</v>
      </c>
      <c r="I13734">
        <v>129.35</v>
      </c>
      <c r="J13734">
        <v>0.01</v>
      </c>
    </row>
    <row r="13735" spans="1:10" x14ac:dyDescent="0.3">
      <c r="A13735" t="str">
        <f>HYPERLINK("https://us2.cloudbeds.com/connect/10074733072513#/reservations/31701432197293?display=MHRR2B6S0&amp;reservation_id=31701432197293", "MHRR2B6S0")</f>
        <v>MHRR2B6S0</v>
      </c>
      <c r="B13735" t="s">
        <v>10</v>
      </c>
      <c r="C13735" t="s">
        <v>42</v>
      </c>
      <c r="D13735" t="str">
        <f>HYPERLINK("https://us2.cloudbeds.com/connect/10074733072513#/reservations/31701432197293?display=Paula%20Busack&amp;reservation_id=31701432197293&amp;guest_id=31701432197262", "Paula Busack")</f>
        <v>Paula Busack</v>
      </c>
      <c r="E13735" t="s">
        <v>13395</v>
      </c>
      <c r="F13735" t="s">
        <v>13311</v>
      </c>
      <c r="G13735">
        <v>119</v>
      </c>
      <c r="H13735">
        <v>129.36000000000001</v>
      </c>
      <c r="I13735">
        <v>129.35</v>
      </c>
      <c r="J13735">
        <v>0.01</v>
      </c>
    </row>
    <row r="13736" spans="1:10" x14ac:dyDescent="0.3">
      <c r="A13736" t="str">
        <f>HYPERLINK("https://us2.cloudbeds.com/connect/10074733072513#/reservations/31701166797041?display=MHRK9X1Q4&amp;reservation_id=31701166797041", "MHRK9X1Q4")</f>
        <v>MHRK9X1Q4</v>
      </c>
      <c r="B13736" t="s">
        <v>10</v>
      </c>
      <c r="C13736" t="s">
        <v>121</v>
      </c>
      <c r="D13736" t="str">
        <f>HYPERLINK("https://us2.cloudbeds.com/connect/10074733072513#/reservations/31701166797041?display=Anthony%20Dobyns&amp;reservation_id=31701166797041&amp;guest_id=31701158539419", "Anthony Dobyns")</f>
        <v>Anthony Dobyns</v>
      </c>
      <c r="E13736" t="s">
        <v>13396</v>
      </c>
      <c r="F13736" t="s">
        <v>13053</v>
      </c>
      <c r="G13736">
        <v>238</v>
      </c>
      <c r="H13736">
        <v>258.72000000000003</v>
      </c>
      <c r="I13736">
        <v>258.70999999999998</v>
      </c>
      <c r="J13736">
        <v>0.01</v>
      </c>
    </row>
    <row r="13737" spans="1:10" x14ac:dyDescent="0.3">
      <c r="A13737" t="str">
        <f>HYPERLINK("https://us2.cloudbeds.com/connect/10074733072513#/reservations/31700983345347?display=MHRFJS7UT&amp;reservation_id=31700983345347", "MHRFJS7UT")</f>
        <v>MHRFJS7UT</v>
      </c>
      <c r="B13737" t="s">
        <v>10</v>
      </c>
      <c r="C13737" t="s">
        <v>23</v>
      </c>
      <c r="D13737" t="str">
        <f>HYPERLINK("https://us2.cloudbeds.com/connect/10074733072513#/reservations/31700983345347?display=Lori%20Sellke&amp;reservation_id=31700983345347&amp;guest_id=17963366961402", "Lori Sellke")</f>
        <v>Lori Sellke</v>
      </c>
      <c r="E13737" t="s">
        <v>13397</v>
      </c>
      <c r="F13737" t="s">
        <v>13260</v>
      </c>
      <c r="G13737">
        <v>109</v>
      </c>
      <c r="H13737">
        <v>118.49</v>
      </c>
      <c r="I13737">
        <v>118.48</v>
      </c>
      <c r="J13737">
        <v>0.01</v>
      </c>
    </row>
    <row r="13738" spans="1:10" x14ac:dyDescent="0.3">
      <c r="A13738" t="str">
        <f>HYPERLINK("https://us2.cloudbeds.com/connect/10074733072513#/reservations/31701504950493?display=MHRSUMM6E&amp;reservation_id=31701504950493", "MHRSUMM6E")</f>
        <v>MHRSUMM6E</v>
      </c>
      <c r="B13738" t="s">
        <v>10</v>
      </c>
      <c r="C13738" t="s">
        <v>23</v>
      </c>
      <c r="D13738" t="str">
        <f>HYPERLINK("https://us2.cloudbeds.com/connect/10074733072513#/reservations/31701504950493?display=Jami%20Larson&amp;reservation_id=31701504950493&amp;guest_id=31701504950488", "Jami Larson")</f>
        <v>Jami Larson</v>
      </c>
      <c r="E13738" t="s">
        <v>13398</v>
      </c>
      <c r="F13738" t="s">
        <v>13311</v>
      </c>
      <c r="G13738">
        <v>87.82</v>
      </c>
      <c r="H13738">
        <v>95.47</v>
      </c>
      <c r="I13738">
        <v>95.46</v>
      </c>
      <c r="J13738">
        <v>0.01</v>
      </c>
    </row>
    <row r="13739" spans="1:10" x14ac:dyDescent="0.3">
      <c r="A13739" t="str">
        <f>HYPERLINK("https://us2.cloudbeds.com/connect/10074733072513#/reservations/31701375070369?display=MHRPK5XN3&amp;reservation_id=31701375070369", "MHRPK5XN3")</f>
        <v>MHRPK5XN3</v>
      </c>
      <c r="B13739" t="s">
        <v>10</v>
      </c>
      <c r="C13739" t="s">
        <v>23</v>
      </c>
      <c r="D13739" t="str">
        <f>HYPERLINK("https://us2.cloudbeds.com/connect/10074733072513#/reservations/31701375070369?display=Bryce%20Cleveland&amp;reservation_id=31701375070369&amp;guest_id=31701375070365", "Bryce Cleveland")</f>
        <v>Bryce Cleveland</v>
      </c>
      <c r="E13739" t="s">
        <v>13399</v>
      </c>
      <c r="F13739" t="s">
        <v>13311</v>
      </c>
      <c r="G13739">
        <v>87.82</v>
      </c>
      <c r="H13739">
        <v>95.47</v>
      </c>
      <c r="I13739">
        <v>95.46</v>
      </c>
      <c r="J13739">
        <v>0.01</v>
      </c>
    </row>
    <row r="13740" spans="1:10" x14ac:dyDescent="0.3">
      <c r="A13740" t="str">
        <f>HYPERLINK("https://us2.cloudbeds.com/connect/10074733072513#/reservations/31700844998834?display=MHRC26HWA&amp;reservation_id=31700844998834", "MHRC26HWA")</f>
        <v>MHRC26HWA</v>
      </c>
      <c r="B13740" t="s">
        <v>10</v>
      </c>
      <c r="C13740" t="s">
        <v>23</v>
      </c>
      <c r="D13740" t="str">
        <f>HYPERLINK("https://us2.cloudbeds.com/connect/10074733072513#/reservations/31700844998834?display=Haili%20Ruckdaschel&amp;reservation_id=31700844998834&amp;guest_id=31700844998829", "Haili Ruckdaschel")</f>
        <v>Haili Ruckdaschel</v>
      </c>
      <c r="E13740" t="s">
        <v>13400</v>
      </c>
      <c r="F13740" t="s">
        <v>11134</v>
      </c>
      <c r="G13740">
        <v>189</v>
      </c>
      <c r="H13740">
        <v>205.45</v>
      </c>
      <c r="I13740">
        <v>205.44</v>
      </c>
      <c r="J13740">
        <v>0.01</v>
      </c>
    </row>
    <row r="13741" spans="1:10" x14ac:dyDescent="0.3">
      <c r="A13741" t="str">
        <f>HYPERLINK("https://us2.cloudbeds.com/connect/10074733072513#/reservations/31701039485089?display=MHRH16DJ6&amp;reservation_id=31701039485089", "MHRH16DJ6")</f>
        <v>MHRH16DJ6</v>
      </c>
      <c r="B13741" t="s">
        <v>10</v>
      </c>
      <c r="C13741" t="s">
        <v>42</v>
      </c>
      <c r="D13741" t="str">
        <f>HYPERLINK("https://us2.cloudbeds.com/connect/10074733072513#/reservations/31701039485089?display=Mellanie%20Willmer&amp;reservation_id=31701039485089&amp;guest_id=17963436789982", "Mellanie Willmer")</f>
        <v>Mellanie Willmer</v>
      </c>
      <c r="E13741" t="s">
        <v>12171</v>
      </c>
      <c r="F13741" t="s">
        <v>13379</v>
      </c>
      <c r="G13741">
        <v>214</v>
      </c>
      <c r="H13741">
        <v>232.63</v>
      </c>
      <c r="I13741">
        <v>232.62</v>
      </c>
      <c r="J13741">
        <v>0.01</v>
      </c>
    </row>
    <row r="13742" spans="1:10" x14ac:dyDescent="0.3">
      <c r="A13742" t="str">
        <f>HYPERLINK("https://us2.cloudbeds.com/connect/10074733072513#/reservations/31701060735199?display=MHRHJ3NWU&amp;reservation_id=31701060735199", "MHRHJ3NWU")</f>
        <v>MHRHJ3NWU</v>
      </c>
      <c r="B13742" t="s">
        <v>10</v>
      </c>
      <c r="C13742" t="s">
        <v>23</v>
      </c>
      <c r="D13742" t="str">
        <f>HYPERLINK("https://us2.cloudbeds.com/connect/10074733072513#/reservations/31701060735199?display=Doug%20Vukson-Van%20Beek&amp;reservation_id=31701060735199&amp;guest_id=31701060731107", "Doug Vukson-Van Beek")</f>
        <v>Doug Vukson-Van Beek</v>
      </c>
      <c r="E13742" t="s">
        <v>13401</v>
      </c>
      <c r="F13742" t="s">
        <v>13053</v>
      </c>
      <c r="G13742">
        <v>219</v>
      </c>
      <c r="H13742">
        <v>238.06</v>
      </c>
      <c r="I13742">
        <v>238.05</v>
      </c>
      <c r="J13742">
        <v>0.01</v>
      </c>
    </row>
    <row r="13743" spans="1:10" x14ac:dyDescent="0.3">
      <c r="A13743" t="str">
        <f>HYPERLINK("https://us2.cloudbeds.com/connect/10074733072513#/reservations/31701461053601?display=MHRRQM5RJ&amp;reservation_id=31701461053601", "MHRRQM5RJ")</f>
        <v>MHRRQM5RJ</v>
      </c>
      <c r="B13743" t="s">
        <v>10</v>
      </c>
      <c r="C13743" t="s">
        <v>42</v>
      </c>
      <c r="D13743" t="str">
        <f>HYPERLINK("https://us2.cloudbeds.com/connect/10074733072513#/reservations/31701461053601?display=Tammy%20Bergerson&amp;reservation_id=31701461053601&amp;guest_id=31701461053596", "Tammy Bergerson")</f>
        <v>Tammy Bergerson</v>
      </c>
      <c r="E13743" t="s">
        <v>13402</v>
      </c>
      <c r="F13743" t="s">
        <v>13311</v>
      </c>
      <c r="G13743">
        <v>89</v>
      </c>
      <c r="H13743">
        <v>96.75</v>
      </c>
      <c r="I13743">
        <v>96.74</v>
      </c>
      <c r="J13743">
        <v>0.01</v>
      </c>
    </row>
    <row r="13744" spans="1:10" x14ac:dyDescent="0.3">
      <c r="A13744" t="str">
        <f>HYPERLINK("https://us2.cloudbeds.com/connect/10074733072513#/reservations/31701521035425?display=MHRTB88XK&amp;reservation_id=31701521035425", "MHRTB88XK")</f>
        <v>MHRTB88XK</v>
      </c>
      <c r="B13744" t="s">
        <v>10</v>
      </c>
      <c r="C13744" t="s">
        <v>23</v>
      </c>
      <c r="D13744" t="str">
        <f>HYPERLINK("https://us2.cloudbeds.com/connect/10074733072513#/reservations/31701521035425?display=Jason%20South&amp;reservation_id=31701521035425&amp;guest_id=31701521031344", "Jason South")</f>
        <v>Jason South</v>
      </c>
      <c r="E13744" t="s">
        <v>13403</v>
      </c>
      <c r="F13744" t="s">
        <v>13311</v>
      </c>
      <c r="G13744">
        <v>87.82</v>
      </c>
      <c r="H13744">
        <v>95.47</v>
      </c>
      <c r="I13744">
        <v>95.46</v>
      </c>
      <c r="J13744">
        <v>0.01</v>
      </c>
    </row>
    <row r="13745" spans="1:10" x14ac:dyDescent="0.3">
      <c r="A13745" t="str">
        <f>HYPERLINK("https://us2.cloudbeds.com/connect/10074733072513#/reservations/31701039480995?display=MHRH169R4&amp;reservation_id=31701039480995", "MHRH169R4")</f>
        <v>MHRH169R4</v>
      </c>
      <c r="B13745" t="s">
        <v>10</v>
      </c>
      <c r="C13745" t="s">
        <v>23</v>
      </c>
      <c r="D13745" t="str">
        <f>HYPERLINK("https://us2.cloudbeds.com/connect/10074733072513#/reservations/31701039480995?display=Rosanne%20Wurtzler&amp;reservation_id=31701039480995&amp;guest_id=31701039480991", "Rosanne Wurtzler")</f>
        <v>Rosanne Wurtzler</v>
      </c>
      <c r="E13745" t="s">
        <v>13404</v>
      </c>
      <c r="F13745" t="s">
        <v>13363</v>
      </c>
      <c r="G13745">
        <v>218</v>
      </c>
      <c r="H13745">
        <v>236.98</v>
      </c>
      <c r="I13745">
        <v>236.97</v>
      </c>
      <c r="J13745">
        <v>0.01</v>
      </c>
    </row>
    <row r="13746" spans="1:10" x14ac:dyDescent="0.3">
      <c r="A13746" t="str">
        <f>HYPERLINK("https://us2.cloudbeds.com/connect/10074733072513#/reservations/31701301121226?display=MHRNNQR4W&amp;reservation_id=31701301121226", "MHRNNQR4W")</f>
        <v>MHRNNQR4W</v>
      </c>
      <c r="B13746" t="s">
        <v>10</v>
      </c>
      <c r="C13746" t="s">
        <v>23</v>
      </c>
      <c r="D13746" t="str">
        <f>HYPERLINK("https://us2.cloudbeds.com/connect/10074733072513#/reservations/31701301121226?display=Chris%20Carlson&amp;reservation_id=31701301121226&amp;guest_id=17963378045072", "Chris Carlson")</f>
        <v>Chris Carlson</v>
      </c>
      <c r="E13746" t="s">
        <v>10442</v>
      </c>
      <c r="F13746" t="s">
        <v>13308</v>
      </c>
      <c r="G13746">
        <v>321.3</v>
      </c>
      <c r="H13746">
        <v>349.26</v>
      </c>
      <c r="I13746">
        <v>349.25</v>
      </c>
      <c r="J13746">
        <v>0.01</v>
      </c>
    </row>
    <row r="13747" spans="1:10" x14ac:dyDescent="0.3">
      <c r="A13747" t="str">
        <f>HYPERLINK("https://us2.cloudbeds.com/connect/10074733072513#/reservations/31700790063250?display=MHRAYST2Y&amp;reservation_id=31700790063250", "MHRAYST2Y")</f>
        <v>MHRAYST2Y</v>
      </c>
      <c r="B13747" t="s">
        <v>10</v>
      </c>
      <c r="C13747" t="s">
        <v>42</v>
      </c>
      <c r="D13747" t="str">
        <f>HYPERLINK("https://us2.cloudbeds.com/connect/10074733072513#/reservations/31700790063250?display=Payton%20Johnson&amp;reservation_id=31700790063250&amp;guest_id=17963360567424", "Payton Johnson")</f>
        <v>Payton Johnson</v>
      </c>
      <c r="E13747" t="s">
        <v>13406</v>
      </c>
      <c r="F13747" t="s">
        <v>13308</v>
      </c>
      <c r="G13747">
        <v>252</v>
      </c>
      <c r="H13747">
        <v>273.93</v>
      </c>
      <c r="I13747">
        <v>273.92</v>
      </c>
      <c r="J13747">
        <v>0.01</v>
      </c>
    </row>
    <row r="13748" spans="1:10" x14ac:dyDescent="0.3">
      <c r="A13748" t="str">
        <f>HYPERLINK("https://us2.cloudbeds.com/connect/10074733072513#/reservations/31700809085125?display=MHRB4U6C3&amp;reservation_id=31700809085125", "MHRB4U6C3")</f>
        <v>MHRB4U6C3</v>
      </c>
      <c r="B13748" t="s">
        <v>10</v>
      </c>
      <c r="C13748" t="s">
        <v>42</v>
      </c>
      <c r="D13748" t="str">
        <f>HYPERLINK("https://us2.cloudbeds.com/connect/10074733072513#/reservations/31700809085125?display=Luis%20Ramos&amp;reservation_id=31700809085125&amp;guest_id=31700809085123", "Luis Ramos")</f>
        <v>Luis Ramos</v>
      </c>
      <c r="E13748" t="s">
        <v>13334</v>
      </c>
      <c r="F13748" t="s">
        <v>13231</v>
      </c>
      <c r="G13748">
        <v>119</v>
      </c>
      <c r="H13748">
        <v>129.36000000000001</v>
      </c>
      <c r="I13748">
        <v>129.35</v>
      </c>
      <c r="J13748">
        <v>0.01</v>
      </c>
    </row>
    <row r="13749" spans="1:10" x14ac:dyDescent="0.3">
      <c r="A13749" t="str">
        <f>HYPERLINK("https://us2.cloudbeds.com/connect/10074733072513#/reservations/31700987744385?display=MHRFNXYF2&amp;reservation_id=31700987744385", "MHRFNXYF2")</f>
        <v>MHRFNXYF2</v>
      </c>
      <c r="B13749" t="s">
        <v>10</v>
      </c>
      <c r="C13749" t="s">
        <v>23</v>
      </c>
      <c r="D13749" t="str">
        <f>HYPERLINK("https://us2.cloudbeds.com/connect/10074733072513#/reservations/31700987744385?display=Melody%20Thompson&amp;reservation_id=31700987744385&amp;guest_id=31700969611442", "Melody Thompson")</f>
        <v>Melody Thompson</v>
      </c>
      <c r="E13749" t="s">
        <v>13409</v>
      </c>
      <c r="F13749" t="s">
        <v>13363</v>
      </c>
      <c r="G13749">
        <v>109</v>
      </c>
      <c r="H13749">
        <v>118.49</v>
      </c>
      <c r="I13749">
        <v>118.48</v>
      </c>
      <c r="J13749">
        <v>0.01</v>
      </c>
    </row>
    <row r="13750" spans="1:10" x14ac:dyDescent="0.3">
      <c r="A13750" t="str">
        <f>HYPERLINK("https://us2.cloudbeds.com/connect/10074733072513#/reservations/31700873126093?display=MHRCPU7GG&amp;reservation_id=31700873126093", "MHRCPU7GG")</f>
        <v>MHRCPU7GG</v>
      </c>
      <c r="B13750" t="s">
        <v>10</v>
      </c>
      <c r="C13750" t="s">
        <v>42</v>
      </c>
      <c r="D13750" t="str">
        <f>HYPERLINK("https://us2.cloudbeds.com/connect/10074733072513#/reservations/31700873126093?display=Maxine%20Clark&amp;reservation_id=31700873126093&amp;guest_id=31700873122002", "Maxine Clark")</f>
        <v>Maxine Clark</v>
      </c>
      <c r="E13750" t="s">
        <v>13412</v>
      </c>
      <c r="F13750" t="s">
        <v>13231</v>
      </c>
      <c r="G13750">
        <v>109</v>
      </c>
      <c r="H13750">
        <v>118.49</v>
      </c>
      <c r="I13750">
        <v>118.48</v>
      </c>
      <c r="J13750">
        <v>0.01</v>
      </c>
    </row>
    <row r="13751" spans="1:10" x14ac:dyDescent="0.3">
      <c r="A13751" t="str">
        <f>HYPERLINK("https://us2.cloudbeds.com/connect/10074733072513#/reservations/31700870594809?display=MHRCNPQ2U&amp;reservation_id=31700870594809", "MHRCNPQ2U")</f>
        <v>MHRCNPQ2U</v>
      </c>
      <c r="B13751" t="s">
        <v>10</v>
      </c>
      <c r="C13751" t="s">
        <v>42</v>
      </c>
      <c r="D13751" t="str">
        <f>HYPERLINK("https://us2.cloudbeds.com/connect/10074733072513#/reservations/31700870594809?display=Thomas%20Muller&amp;reservation_id=31700870594809&amp;guest_id=31700859424994", "Thomas Muller")</f>
        <v>Thomas Muller</v>
      </c>
      <c r="E13751" t="s">
        <v>13413</v>
      </c>
      <c r="F13751" t="s">
        <v>13231</v>
      </c>
      <c r="G13751">
        <v>129</v>
      </c>
      <c r="H13751">
        <v>140.22999999999999</v>
      </c>
      <c r="I13751">
        <v>140.22</v>
      </c>
      <c r="J13751">
        <v>0.01</v>
      </c>
    </row>
    <row r="13752" spans="1:10" x14ac:dyDescent="0.3">
      <c r="A13752" t="str">
        <f>HYPERLINK("https://us2.cloudbeds.com/connect/10074733072513#/reservations/31700820623512?display=MHRBEY8P6&amp;reservation_id=31700820623512", "MHRBEY8P6")</f>
        <v>MHRBEY8P6</v>
      </c>
      <c r="B13752" t="s">
        <v>10</v>
      </c>
      <c r="C13752" t="s">
        <v>23</v>
      </c>
      <c r="D13752" t="str">
        <f>HYPERLINK("https://us2.cloudbeds.com/connect/10074733072513#/reservations/31700820623512?display=Angel%20Paucer&amp;reservation_id=31700820623512&amp;guest_id=31700820623509", "Angel Paucer")</f>
        <v>Angel Paucer</v>
      </c>
      <c r="E13752" t="s">
        <v>13414</v>
      </c>
      <c r="F13752" t="s">
        <v>13363</v>
      </c>
      <c r="G13752">
        <v>87.82</v>
      </c>
      <c r="H13752">
        <v>95.47</v>
      </c>
      <c r="I13752">
        <v>95.46</v>
      </c>
      <c r="J13752">
        <v>0.01</v>
      </c>
    </row>
    <row r="13753" spans="1:10" x14ac:dyDescent="0.3">
      <c r="A13753" t="str">
        <f>HYPERLINK("https://us2.cloudbeds.com/connect/10074733072513#/reservations/31700790067349?display=MHRAYSWRS&amp;reservation_id=31700790067349", "MHRAYSWRS")</f>
        <v>MHRAYSWRS</v>
      </c>
      <c r="B13753" t="s">
        <v>10</v>
      </c>
      <c r="C13753" t="s">
        <v>23</v>
      </c>
      <c r="D13753" t="str">
        <f>HYPERLINK("https://us2.cloudbeds.com/connect/10074733072513#/reservations/31700790067349?display=Alex%20Stepanek&amp;reservation_id=31700790067349&amp;guest_id=31700790063248", "Alex Stepanek")</f>
        <v>Alex Stepanek</v>
      </c>
      <c r="E13753" t="s">
        <v>13415</v>
      </c>
      <c r="F13753" t="s">
        <v>13363</v>
      </c>
      <c r="G13753">
        <v>109</v>
      </c>
      <c r="H13753">
        <v>118.49</v>
      </c>
      <c r="I13753">
        <v>118.48</v>
      </c>
      <c r="J13753">
        <v>0.01</v>
      </c>
    </row>
    <row r="13754" spans="1:10" x14ac:dyDescent="0.3">
      <c r="A13754" t="str">
        <f>HYPERLINK("https://us2.cloudbeds.com/connect/10074733072513#/reservations/31700786831607?display=MHRAJ4VX2&amp;reservation_id=31700786831607", "MHRAJ4VX2")</f>
        <v>MHRAJ4VX2</v>
      </c>
      <c r="B13754" t="s">
        <v>10</v>
      </c>
      <c r="C13754" t="s">
        <v>23</v>
      </c>
      <c r="D13754" t="str">
        <f>HYPERLINK("https://us2.cloudbeds.com/connect/10074733072513#/reservations/31700786831607?display=Kevin%20Dickey&amp;reservation_id=31700786831607&amp;guest_id=31700777193631", "Kevin Dickey")</f>
        <v>Kevin Dickey</v>
      </c>
      <c r="E13754" t="s">
        <v>13416</v>
      </c>
      <c r="F13754" t="s">
        <v>13363</v>
      </c>
      <c r="G13754">
        <v>87.82</v>
      </c>
      <c r="H13754">
        <v>95.47</v>
      </c>
      <c r="I13754">
        <v>95.46</v>
      </c>
      <c r="J13754">
        <v>0.01</v>
      </c>
    </row>
    <row r="13755" spans="1:10" x14ac:dyDescent="0.3">
      <c r="A13755" t="str">
        <f>HYPERLINK("https://us2.cloudbeds.com/connect/10074733072513#/reservations/31700775329978?display=MHRA9ETTS&amp;reservation_id=31700775329978", "MHRA9ETTS")</f>
        <v>MHRA9ETTS</v>
      </c>
      <c r="B13755" t="s">
        <v>10</v>
      </c>
      <c r="C13755" t="s">
        <v>42</v>
      </c>
      <c r="D13755" t="str">
        <f>HYPERLINK("https://us2.cloudbeds.com/connect/10074733072513#/reservations/31700775329978?display=Diane%20(Ashton)%20Topinka%20(Rice)&amp;reservation_id=31700775329978&amp;guest_id=31700775329976", "Diane (Ashton) Topinka (Rice)")</f>
        <v>Diane (Ashton) Topinka (Rice)</v>
      </c>
      <c r="E13755" t="s">
        <v>13319</v>
      </c>
      <c r="F13755" t="s">
        <v>13363</v>
      </c>
      <c r="G13755">
        <v>109</v>
      </c>
      <c r="H13755">
        <v>118.49</v>
      </c>
      <c r="I13755">
        <v>118.48</v>
      </c>
      <c r="J13755">
        <v>0.01</v>
      </c>
    </row>
    <row r="13756" spans="1:10" x14ac:dyDescent="0.3">
      <c r="A13756" t="str">
        <f>HYPERLINK("https://us2.cloudbeds.com/connect/10074733072513#/reservations/31697617281163?display=MHZSJGHTU&amp;reservation_id=31697617281163", "MHZSJGHTU")</f>
        <v>MHZSJGHTU</v>
      </c>
      <c r="B13756" t="s">
        <v>10</v>
      </c>
      <c r="C13756" t="s">
        <v>42</v>
      </c>
      <c r="D13756" t="str">
        <f>HYPERLINK("https://us2.cloudbeds.com/connect/10074733072513#/reservations/31697617281163?display=Greg%20Brusven&amp;reservation_id=31697617281163&amp;guest_id=17963408818374", "Greg Brusven")</f>
        <v>Greg Brusven</v>
      </c>
      <c r="E13756" t="s">
        <v>2398</v>
      </c>
      <c r="F13756" t="s">
        <v>13379</v>
      </c>
      <c r="G13756">
        <v>267</v>
      </c>
      <c r="H13756">
        <v>290.24</v>
      </c>
      <c r="I13756">
        <v>290.23</v>
      </c>
      <c r="J13756">
        <v>0.01</v>
      </c>
    </row>
    <row r="13757" spans="1:10" x14ac:dyDescent="0.3">
      <c r="A13757" t="str">
        <f>HYPERLINK("https://us2.cloudbeds.com/connect/10074733072513#/reservations/31700799422686?display=MHRATPAJU&amp;reservation_id=31700799422686", "MHRATPAJU")</f>
        <v>MHRATPAJU</v>
      </c>
      <c r="B13757" t="s">
        <v>10</v>
      </c>
      <c r="C13757" t="s">
        <v>121</v>
      </c>
      <c r="D13757" t="str">
        <f>HYPERLINK("https://us2.cloudbeds.com/connect/10074733072513#/reservations/31700799422686?display=Micheal%20Morris&amp;reservation_id=31700799422686&amp;guest_id=31700799418603", "Micheal Morris")</f>
        <v>Micheal Morris</v>
      </c>
      <c r="E13757" t="s">
        <v>13417</v>
      </c>
      <c r="F13757" t="s">
        <v>13363</v>
      </c>
      <c r="G13757">
        <v>149</v>
      </c>
      <c r="H13757">
        <v>161.97</v>
      </c>
      <c r="I13757">
        <v>161.96</v>
      </c>
      <c r="J13757">
        <v>0.01</v>
      </c>
    </row>
    <row r="13758" spans="1:10" x14ac:dyDescent="0.3">
      <c r="A13758" t="str">
        <f>HYPERLINK("https://us2.cloudbeds.com/connect/10074733072513#/reservations/31701070414001?display=MHRHR91PV&amp;reservation_id=31701070414001", "MHRHR91PV")</f>
        <v>MHRHR91PV</v>
      </c>
      <c r="B13758" t="s">
        <v>10</v>
      </c>
      <c r="C13758" t="s">
        <v>121</v>
      </c>
      <c r="D13758" t="str">
        <f>HYPERLINK("https://us2.cloudbeds.com/connect/10074733072513#/reservations/31701070414001?display=Zeb%20Thatcher&amp;reservation_id=31701070414001&amp;guest_id=17963398729967", "Zeb Thatcher")</f>
        <v>Zeb Thatcher</v>
      </c>
      <c r="E13758" t="s">
        <v>12344</v>
      </c>
      <c r="F13758" t="s">
        <v>13308</v>
      </c>
      <c r="G13758">
        <v>258</v>
      </c>
      <c r="H13758">
        <v>280.45999999999998</v>
      </c>
      <c r="I13758">
        <v>280.45</v>
      </c>
      <c r="J13758">
        <v>0.01</v>
      </c>
    </row>
    <row r="13759" spans="1:10" x14ac:dyDescent="0.3">
      <c r="A13759" t="str">
        <f>HYPERLINK("https://us2.cloudbeds.com/connect/10074733072513#/reservations/31700763230417?display=MHR9W876G&amp;reservation_id=31700763230417", "MHR9W876G")</f>
        <v>MHR9W876G</v>
      </c>
      <c r="B13759" t="s">
        <v>10</v>
      </c>
      <c r="C13759" t="s">
        <v>42</v>
      </c>
      <c r="D13759" t="str">
        <f>HYPERLINK("https://us2.cloudbeds.com/connect/10074733072513#/reservations/31700763230417?display=Cory%20Bingham&amp;reservation_id=31700763230417&amp;guest_id=17963365028089", "Cory Bingham")</f>
        <v>Cory Bingham</v>
      </c>
      <c r="E13759" t="s">
        <v>13418</v>
      </c>
      <c r="F13759" t="s">
        <v>13260</v>
      </c>
      <c r="G13759">
        <v>139</v>
      </c>
      <c r="H13759">
        <v>151.1</v>
      </c>
      <c r="I13759">
        <v>151.09</v>
      </c>
      <c r="J13759">
        <v>0.01</v>
      </c>
    </row>
    <row r="13760" spans="1:10" x14ac:dyDescent="0.3">
      <c r="A13760" t="str">
        <f>HYPERLINK("https://us2.cloudbeds.com/connect/10074733072513#/reservations/31696113365219?display=MHNN5BSHF&amp;reservation_id=31696113365219", "MHNN5BSHF")</f>
        <v>MHNN5BSHF</v>
      </c>
      <c r="B13760" t="s">
        <v>10</v>
      </c>
      <c r="C13760" t="s">
        <v>121</v>
      </c>
      <c r="D13760" t="str">
        <f>HYPERLINK("https://us2.cloudbeds.com/connect/10074733072513#/reservations/31696113365219?display=Johnny%20Peters&amp;reservation_id=31696113365219&amp;guest_id=31696113361140", "Johnny Peters")</f>
        <v>Johnny Peters</v>
      </c>
      <c r="E13760" t="s">
        <v>13420</v>
      </c>
      <c r="F13760" t="s">
        <v>13363</v>
      </c>
      <c r="G13760">
        <v>109</v>
      </c>
      <c r="H13760">
        <v>118.49</v>
      </c>
      <c r="I13760">
        <v>118.48</v>
      </c>
      <c r="J13760">
        <v>0.01</v>
      </c>
    </row>
    <row r="13761" spans="1:10" x14ac:dyDescent="0.3">
      <c r="A13761" t="str">
        <f>HYPERLINK("https://us2.cloudbeds.com/connect/10074733072513#/reservations/31701264363743?display=MHRMPQWNS&amp;reservation_id=31701264363743", "MHRMPQWNS")</f>
        <v>MHRMPQWNS</v>
      </c>
      <c r="B13761" t="s">
        <v>10</v>
      </c>
      <c r="C13761" t="s">
        <v>23</v>
      </c>
      <c r="D13761" t="str">
        <f>HYPERLINK("https://us2.cloudbeds.com/connect/10074733072513#/reservations/31701264363743?display=Scott%20C%20Crossfield&amp;reservation_id=31701264363743&amp;guest_id=17963380830356", "Scott C Crossfield")</f>
        <v>Scott C Crossfield</v>
      </c>
      <c r="E13761" t="s">
        <v>13421</v>
      </c>
      <c r="F13761" t="s">
        <v>13308</v>
      </c>
      <c r="G13761">
        <v>205.2</v>
      </c>
      <c r="H13761">
        <v>223.06</v>
      </c>
      <c r="I13761">
        <v>223.05</v>
      </c>
      <c r="J13761">
        <v>0.01</v>
      </c>
    </row>
    <row r="13762" spans="1:10" x14ac:dyDescent="0.3">
      <c r="A13762" t="str">
        <f>HYPERLINK("https://us2.cloudbeds.com/connect/10074733072513#/reservations/31700963021005?display=MHRF2NMKZ&amp;reservation_id=31700963021005", "MHRF2NMKZ")</f>
        <v>MHRF2NMKZ</v>
      </c>
      <c r="B13762" t="s">
        <v>10</v>
      </c>
      <c r="C13762" t="s">
        <v>121</v>
      </c>
      <c r="D13762" t="str">
        <f>HYPERLINK("https://us2.cloudbeds.com/connect/10074733072513#/reservations/31700963021005?display=Jeffrey%20Burke&amp;reservation_id=31700963021005&amp;guest_id=17963369189505", "Jeffrey Burke")</f>
        <v>Jeffrey Burke</v>
      </c>
      <c r="E13762" t="s">
        <v>13422</v>
      </c>
      <c r="F13762" t="s">
        <v>13260</v>
      </c>
      <c r="G13762">
        <v>278</v>
      </c>
      <c r="H13762">
        <v>302.2</v>
      </c>
      <c r="I13762">
        <v>302.19</v>
      </c>
      <c r="J13762">
        <v>0.01</v>
      </c>
    </row>
    <row r="13763" spans="1:10" x14ac:dyDescent="0.3">
      <c r="A13763" t="str">
        <f>HYPERLINK("https://us2.cloudbeds.com/connect/10074733072513#/reservations/31701022048424?display=MHRGJG6VD&amp;reservation_id=31701022048424", "MHRGJG6VD")</f>
        <v>MHRGJG6VD</v>
      </c>
      <c r="B13763" t="s">
        <v>10</v>
      </c>
      <c r="C13763" t="s">
        <v>121</v>
      </c>
      <c r="D13763" t="str">
        <f>HYPERLINK("https://us2.cloudbeds.com/connect/10074733072513#/reservations/31701022048424?display=Rodney%20Gehrke&amp;reservation_id=31701022048424&amp;guest_id=31701022048422", "Rodney Gehrke")</f>
        <v>Rodney Gehrke</v>
      </c>
      <c r="E13763" t="s">
        <v>13424</v>
      </c>
      <c r="F13763" t="s">
        <v>13363</v>
      </c>
      <c r="G13763">
        <v>139</v>
      </c>
      <c r="H13763">
        <v>151.1</v>
      </c>
      <c r="I13763">
        <v>151.09</v>
      </c>
      <c r="J13763">
        <v>0.01</v>
      </c>
    </row>
    <row r="13764" spans="1:10" x14ac:dyDescent="0.3">
      <c r="A13764" t="str">
        <f>HYPERLINK("https://us2.cloudbeds.com/connect/10074733072513#/reservations/31701034406025?display=MHRGTU2K5&amp;reservation_id=31701034406025", "MHRGTU2K5")</f>
        <v>MHRGTU2K5</v>
      </c>
      <c r="B13764" t="s">
        <v>10</v>
      </c>
      <c r="C13764" t="s">
        <v>121</v>
      </c>
      <c r="D13764" t="str">
        <f>HYPERLINK("https://us2.cloudbeds.com/connect/10074733072513#/reservations/31701034406025?display=Ravul%20Rodriguez&amp;reservation_id=31701034406025&amp;guest_id=31701034401920", "Ravul Rodriguez")</f>
        <v>Ravul Rodriguez</v>
      </c>
      <c r="E13764" t="s">
        <v>13425</v>
      </c>
      <c r="F13764" t="s">
        <v>13363</v>
      </c>
      <c r="G13764">
        <v>139</v>
      </c>
      <c r="H13764">
        <v>151.1</v>
      </c>
      <c r="I13764">
        <v>151.09</v>
      </c>
      <c r="J13764">
        <v>0.01</v>
      </c>
    </row>
    <row r="13765" spans="1:10" x14ac:dyDescent="0.3">
      <c r="A13765" t="str">
        <f>HYPERLINK("https://us2.cloudbeds.com/connect/10074733072513#/reservations/31701100961980?display=MHRXK1369&amp;reservation_id=31701100961980", "MHRXK1369")</f>
        <v>MHRXK1369</v>
      </c>
      <c r="B13765" t="s">
        <v>10</v>
      </c>
      <c r="C13765" t="s">
        <v>42</v>
      </c>
      <c r="D13765" t="str">
        <f>HYPERLINK("https://us2.cloudbeds.com/connect/10074733072513#/reservations/31701100961980?display=Ryan%20Johnson&amp;reservation_id=31701100961980&amp;guest_id=31701100961926", "Ryan Johnson")</f>
        <v>Ryan Johnson</v>
      </c>
      <c r="E13765" t="s">
        <v>5132</v>
      </c>
      <c r="F13765" t="s">
        <v>13308</v>
      </c>
      <c r="G13765">
        <v>129</v>
      </c>
      <c r="H13765">
        <v>140.22999999999999</v>
      </c>
      <c r="I13765">
        <v>140.22</v>
      </c>
      <c r="J13765">
        <v>0.01</v>
      </c>
    </row>
    <row r="13766" spans="1:10" x14ac:dyDescent="0.3">
      <c r="A13766" t="str">
        <f>HYPERLINK("https://us2.cloudbeds.com/connect/10074733072513#/reservations/31701249601769?display=MHRMDC76A&amp;reservation_id=31701249601769", "MHRMDC76A")</f>
        <v>MHRMDC76A</v>
      </c>
      <c r="B13766" t="s">
        <v>10</v>
      </c>
      <c r="C13766" t="s">
        <v>42</v>
      </c>
      <c r="D13766" t="str">
        <f>HYPERLINK("https://us2.cloudbeds.com/connect/10074733072513#/reservations/31701249601769?display=Lucas%20Lessert&amp;reservation_id=31701249601769&amp;guest_id=31701235605660", "Lucas Lessert")</f>
        <v>Lucas Lessert</v>
      </c>
      <c r="E13766" t="s">
        <v>13426</v>
      </c>
      <c r="F13766" t="s">
        <v>13308</v>
      </c>
      <c r="G13766">
        <v>129</v>
      </c>
      <c r="H13766">
        <v>140.22999999999999</v>
      </c>
      <c r="I13766">
        <v>140.22</v>
      </c>
      <c r="J13766">
        <v>0.01</v>
      </c>
    </row>
    <row r="13767" spans="1:10" x14ac:dyDescent="0.3">
      <c r="A13767" t="str">
        <f>HYPERLINK("https://us2.cloudbeds.com/connect/10074733072513#/reservations/31701251707023?display=MHRMF4QCT&amp;reservation_id=31701251707023", "MHRMF4QCT")</f>
        <v>MHRMF4QCT</v>
      </c>
      <c r="B13767" t="s">
        <v>10</v>
      </c>
      <c r="C13767" t="s">
        <v>121</v>
      </c>
      <c r="D13767" t="str">
        <f>HYPERLINK("https://us2.cloudbeds.com/connect/10074733072513#/reservations/31701251707023?display=Wesley%20Thompson&amp;reservation_id=31701251707023&amp;guest_id=31701251707021", "Wesley Thompson")</f>
        <v>Wesley Thompson</v>
      </c>
      <c r="E13767" t="s">
        <v>13427</v>
      </c>
      <c r="F13767" t="s">
        <v>13308</v>
      </c>
      <c r="G13767">
        <v>129</v>
      </c>
      <c r="H13767">
        <v>140.22999999999999</v>
      </c>
      <c r="I13767">
        <v>140.22</v>
      </c>
      <c r="J13767">
        <v>0.01</v>
      </c>
    </row>
    <row r="13768" spans="1:10" x14ac:dyDescent="0.3">
      <c r="A13768" t="str">
        <f>HYPERLINK("https://us2.cloudbeds.com/connect/10074733072513#/reservations/30646783496337?display=YQ36BKEET&amp;reservation_id=30646783496337", "YQ36BKEET")</f>
        <v>YQ36BKEET</v>
      </c>
      <c r="B13768" t="s">
        <v>10</v>
      </c>
      <c r="C13768" t="s">
        <v>23</v>
      </c>
      <c r="D13768" t="str">
        <f>HYPERLINK("https://us2.cloudbeds.com/connect/10074733072513#/reservations/30646783496337?display=Brenda%20Rouse&amp;reservation_id=30646783496337&amp;guest_id=30646783496333", "Brenda Rouse")</f>
        <v>Brenda Rouse</v>
      </c>
      <c r="E13768" t="s">
        <v>24</v>
      </c>
      <c r="F13768" t="s">
        <v>25</v>
      </c>
      <c r="G13768">
        <v>278</v>
      </c>
      <c r="H13768">
        <v>302.20999999999998</v>
      </c>
      <c r="I13768">
        <v>302.19</v>
      </c>
      <c r="J13768">
        <v>0.02</v>
      </c>
    </row>
    <row r="13769" spans="1:10" x14ac:dyDescent="0.3">
      <c r="A13769" t="str">
        <f>HYPERLINK("https://us2.cloudbeds.com/connect/10074733072513#/reservations/30647638507734?display=YQ3S6JCT5&amp;reservation_id=30647638507734", "YQ3S6JCT5")</f>
        <v>YQ3S6JCT5</v>
      </c>
      <c r="B13769" t="s">
        <v>10</v>
      </c>
      <c r="C13769" t="s">
        <v>23</v>
      </c>
      <c r="D13769" t="str">
        <f>HYPERLINK("https://us2.cloudbeds.com/connect/10074733072513#/reservations/30647638507734?display=Hoven%20Karen&amp;reservation_id=30647638507734&amp;guest_id=30647638507724", "Hoven Karen")</f>
        <v>Hoven Karen</v>
      </c>
      <c r="E13769" t="s">
        <v>26</v>
      </c>
      <c r="F13769" t="s">
        <v>27</v>
      </c>
      <c r="G13769">
        <v>318</v>
      </c>
      <c r="H13769">
        <v>345.69</v>
      </c>
      <c r="I13769">
        <v>345.67</v>
      </c>
      <c r="J13769">
        <v>0.02</v>
      </c>
    </row>
    <row r="13770" spans="1:10" x14ac:dyDescent="0.3">
      <c r="A13770" t="str">
        <f>HYPERLINK("https://us2.cloudbeds.com/connect/10074733072513#/reservations/30646099411102?display=YQ2YSPP09&amp;reservation_id=30646099411102", "YQ2YSPP09")</f>
        <v>YQ2YSPP09</v>
      </c>
      <c r="B13770" t="s">
        <v>10</v>
      </c>
      <c r="C13770" t="s">
        <v>23</v>
      </c>
      <c r="D13770" t="str">
        <f>HYPERLINK("https://us2.cloudbeds.com/connect/10074733072513#/reservations/30646099411102?display=Richard%20Franklin&amp;reservation_id=30646099411102&amp;guest_id=30646099411100", "Richard Franklin")</f>
        <v>Richard Franklin</v>
      </c>
      <c r="E13770" t="s">
        <v>28</v>
      </c>
      <c r="F13770" t="s">
        <v>29</v>
      </c>
      <c r="G13770">
        <v>139</v>
      </c>
      <c r="H13770">
        <v>151.11000000000001</v>
      </c>
      <c r="I13770">
        <v>151.09</v>
      </c>
      <c r="J13770">
        <v>0.02</v>
      </c>
    </row>
    <row r="13771" spans="1:10" x14ac:dyDescent="0.3">
      <c r="A13771" t="str">
        <f>HYPERLINK("https://us2.cloudbeds.com/connect/10074733072513#/reservations/30645750165643?display=YQ2CV9G3H&amp;reservation_id=30645750165643", "YQ2CV9G3H")</f>
        <v>YQ2CV9G3H</v>
      </c>
      <c r="B13771" t="s">
        <v>10</v>
      </c>
      <c r="C13771" t="s">
        <v>23</v>
      </c>
      <c r="D13771" t="str">
        <f>HYPERLINK("https://us2.cloudbeds.com/connect/10074733072513#/reservations/30645750165643?display=Bethany%20Danielson&amp;reservation_id=30645750165643&amp;guest_id=30645750161562", "Bethany Danielson")</f>
        <v>Bethany Danielson</v>
      </c>
      <c r="E13771" t="s">
        <v>39</v>
      </c>
      <c r="F13771" t="s">
        <v>40</v>
      </c>
      <c r="G13771">
        <v>278</v>
      </c>
      <c r="H13771">
        <v>302.20999999999998</v>
      </c>
      <c r="I13771">
        <v>302.19</v>
      </c>
      <c r="J13771">
        <v>0.02</v>
      </c>
    </row>
    <row r="13772" spans="1:10" x14ac:dyDescent="0.3">
      <c r="A13772" t="str">
        <f>HYPERLINK("https://us2.cloudbeds.com/connect/10074733072513#/reservations/30651517858012?display=YQ6SAP106&amp;reservation_id=30651517858012", "YQ6SAP106")</f>
        <v>YQ6SAP106</v>
      </c>
      <c r="B13772" t="s">
        <v>10</v>
      </c>
      <c r="C13772" t="s">
        <v>14</v>
      </c>
      <c r="D13772" t="str">
        <f>HYPERLINK("https://us2.cloudbeds.com/connect/10074733072513#/reservations/30651517858012?display=Josh%20Liestman&amp;reservation_id=30651517858012&amp;guest_id=30649738215582", "Josh Liestman")</f>
        <v>Josh Liestman</v>
      </c>
      <c r="E13772" t="s">
        <v>672</v>
      </c>
      <c r="F13772" t="s">
        <v>647</v>
      </c>
      <c r="G13772">
        <v>211.89</v>
      </c>
      <c r="H13772">
        <v>230.34</v>
      </c>
      <c r="I13772">
        <v>230.32</v>
      </c>
      <c r="J13772">
        <v>0.02</v>
      </c>
    </row>
    <row r="13773" spans="1:10" x14ac:dyDescent="0.3">
      <c r="A13773" t="str">
        <f>HYPERLINK("https://us2.cloudbeds.com/connect/10074733072513#/reservations/30663477715090?display=YQG3UKMXY&amp;reservation_id=30663477715090", "YQG3UKMXY")</f>
        <v>YQG3UKMXY</v>
      </c>
      <c r="B13773" t="s">
        <v>10</v>
      </c>
      <c r="C13773" t="s">
        <v>11</v>
      </c>
      <c r="D13773" t="str">
        <f>HYPERLINK("https://us2.cloudbeds.com/connect/10074733072513#/reservations/30663477715090?display=Siddhartha%20Vowles&amp;reservation_id=30663477715090&amp;guest_id=30663477715085", "Siddhartha Vowles")</f>
        <v>Siddhartha Vowles</v>
      </c>
      <c r="E13773" t="s">
        <v>1870</v>
      </c>
      <c r="F13773" t="s">
        <v>1809</v>
      </c>
      <c r="G13773">
        <v>361.58</v>
      </c>
      <c r="H13773">
        <v>393.06</v>
      </c>
      <c r="I13773">
        <v>393.04</v>
      </c>
      <c r="J13773">
        <v>0.02</v>
      </c>
    </row>
    <row r="13774" spans="1:10" x14ac:dyDescent="0.3">
      <c r="A13774" t="str">
        <f>HYPERLINK("https://us2.cloudbeds.com/connect/10074733072513#/reservations/30670832132351?display=YQYQS263P&amp;reservation_id=30670832132351", "YQYQS263P")</f>
        <v>YQYQS263P</v>
      </c>
      <c r="B13774" t="s">
        <v>10</v>
      </c>
      <c r="C13774" t="s">
        <v>42</v>
      </c>
      <c r="D13774" t="str">
        <f>HYPERLINK("https://us2.cloudbeds.com/connect/10074733072513#/reservations/30670832132351?display=Allen%20Pritchard&amp;reservation_id=30670832132351&amp;guest_id=30670832132299", "Allen Pritchard")</f>
        <v>Allen Pritchard</v>
      </c>
      <c r="E13774" t="s">
        <v>2486</v>
      </c>
      <c r="F13774" t="s">
        <v>2487</v>
      </c>
      <c r="G13774">
        <v>267</v>
      </c>
      <c r="H13774">
        <v>290.25</v>
      </c>
      <c r="I13774">
        <v>290.23</v>
      </c>
      <c r="J13774">
        <v>0.02</v>
      </c>
    </row>
    <row r="13775" spans="1:10" x14ac:dyDescent="0.3">
      <c r="A13775" t="str">
        <f>HYPERLINK("https://us2.cloudbeds.com/connect/10074733072513#/reservations/30688149618833?display=YR27BKPXD&amp;reservation_id=30688149618833", "YR27BKPXD")</f>
        <v>YR27BKPXD</v>
      </c>
      <c r="B13775" t="s">
        <v>10</v>
      </c>
      <c r="C13775" t="s">
        <v>11</v>
      </c>
      <c r="D13775" t="str">
        <f>HYPERLINK("https://us2.cloudbeds.com/connect/10074733072513#/reservations/30688149618833?display=Mark%20Loken&amp;reservation_id=30688149618833&amp;guest_id=30688149618822", "Mark Loken")</f>
        <v>Mark Loken</v>
      </c>
      <c r="E13775" t="s">
        <v>2914</v>
      </c>
      <c r="F13775" t="s">
        <v>2857</v>
      </c>
      <c r="G13775">
        <v>213.6</v>
      </c>
      <c r="H13775">
        <v>232.2</v>
      </c>
      <c r="I13775">
        <v>232.18</v>
      </c>
      <c r="J13775">
        <v>0.02</v>
      </c>
    </row>
    <row r="13776" spans="1:10" x14ac:dyDescent="0.3">
      <c r="A13776" t="str">
        <f>HYPERLINK("https://us2.cloudbeds.com/connect/10074733072513#/reservations/30687724536033?display=YR1TG677E&amp;reservation_id=30687724536033", "YR1TG677E")</f>
        <v>YR1TG677E</v>
      </c>
      <c r="B13776" t="s">
        <v>10</v>
      </c>
      <c r="C13776" t="s">
        <v>42</v>
      </c>
      <c r="D13776" t="str">
        <f>HYPERLINK("https://us2.cloudbeds.com/connect/10074733072513#/reservations/30687724536033?display=Denise%20Duffy&amp;reservation_id=30687724536033&amp;guest_id=30682386936024", "Denise Duffy")</f>
        <v>Denise Duffy</v>
      </c>
      <c r="E13776" t="s">
        <v>3233</v>
      </c>
      <c r="F13776" t="s">
        <v>2945</v>
      </c>
      <c r="G13776">
        <v>475</v>
      </c>
      <c r="H13776">
        <v>516.35</v>
      </c>
      <c r="I13776">
        <v>516.33000000000004</v>
      </c>
      <c r="J13776">
        <v>0.02</v>
      </c>
    </row>
    <row r="13777" spans="1:10" x14ac:dyDescent="0.3">
      <c r="A13777" t="str">
        <f>HYPERLINK("https://us2.cloudbeds.com/connect/10074733072513#/reservations/30687651393722?display=YR1RKGUXP&amp;reservation_id=30687651393722", "YR1RKGUXP")</f>
        <v>YR1RKGUXP</v>
      </c>
      <c r="B13777" t="s">
        <v>10</v>
      </c>
      <c r="C13777" t="s">
        <v>42</v>
      </c>
      <c r="D13777" t="str">
        <f>HYPERLINK("https://us2.cloudbeds.com/connect/10074733072513#/reservations/30687651393722?display=John%20Pool&amp;reservation_id=30687651393722&amp;guest_id=30681940979955", "John Pool")</f>
        <v>John Pool</v>
      </c>
      <c r="E13777" t="s">
        <v>1918</v>
      </c>
      <c r="F13777" t="s">
        <v>3080</v>
      </c>
      <c r="G13777">
        <v>512</v>
      </c>
      <c r="H13777">
        <v>556.55999999999995</v>
      </c>
      <c r="I13777">
        <v>556.54</v>
      </c>
      <c r="J13777">
        <v>0.02</v>
      </c>
    </row>
    <row r="13778" spans="1:10" x14ac:dyDescent="0.3">
      <c r="A13778" t="str">
        <f>HYPERLINK("https://us2.cloudbeds.com/connect/10074733072513#/reservations/30684876644598?display=YQWMNPEXW&amp;reservation_id=30684876644598", "YQWMNPEXW")</f>
        <v>YQWMNPEXW</v>
      </c>
      <c r="B13778" t="s">
        <v>10</v>
      </c>
      <c r="C13778" t="s">
        <v>42</v>
      </c>
      <c r="D13778" t="str">
        <f>HYPERLINK("https://us2.cloudbeds.com/connect/10074733072513#/reservations/30684876644598?display=Joey%20Summit%20Contracting%20Smith&amp;reservation_id=30684876644598&amp;guest_id=30684876644591", "Joey Summit Contracting Smith")</f>
        <v>Joey Summit Contracting Smith</v>
      </c>
      <c r="E13778" t="s">
        <v>3941</v>
      </c>
      <c r="F13778" t="s">
        <v>3805</v>
      </c>
      <c r="G13778">
        <v>387</v>
      </c>
      <c r="H13778">
        <v>420.69</v>
      </c>
      <c r="I13778">
        <v>420.67</v>
      </c>
      <c r="J13778">
        <v>0.02</v>
      </c>
    </row>
    <row r="13779" spans="1:10" x14ac:dyDescent="0.3">
      <c r="A13779" t="str">
        <f>HYPERLINK("https://us2.cloudbeds.com/connect/10074733072513#/reservations/30683099594946?display=YQVAAADNH&amp;reservation_id=30683099594946", "YQVAAADNH")</f>
        <v>YQVAAADNH</v>
      </c>
      <c r="B13779" t="s">
        <v>10</v>
      </c>
      <c r="C13779" t="s">
        <v>42</v>
      </c>
      <c r="D13779" t="str">
        <f>HYPERLINK("https://us2.cloudbeds.com/connect/10074733072513#/reservations/30683099594946?display=Josh%20Woolley&amp;reservation_id=30683099594946&amp;guest_id=30683099590855", "Josh Woolley")</f>
        <v>Josh Woolley</v>
      </c>
      <c r="E13779" t="s">
        <v>4353</v>
      </c>
      <c r="F13779" t="s">
        <v>4349</v>
      </c>
      <c r="G13779">
        <v>146</v>
      </c>
      <c r="H13779">
        <v>158.72</v>
      </c>
      <c r="I13779">
        <v>158.69999999999999</v>
      </c>
      <c r="J13779">
        <v>0.02</v>
      </c>
    </row>
    <row r="13780" spans="1:10" x14ac:dyDescent="0.3">
      <c r="A13780" t="str">
        <f>HYPERLINK("https://us2.cloudbeds.com/connect/10074733072513#/reservations/31678322569461?display=MH9UXMZYH&amp;reservation_id=31678322569461", "MH9UXMZYH")</f>
        <v>MH9UXMZYH</v>
      </c>
      <c r="B13780" t="s">
        <v>10</v>
      </c>
      <c r="C13780" t="s">
        <v>42</v>
      </c>
      <c r="D13780" t="str">
        <f>HYPERLINK("https://us2.cloudbeds.com/connect/10074733072513#/reservations/31678322569461?display=Shane%20Egge&amp;reservation_id=31678322569461&amp;guest_id=31678314627207", "Shane Egge")</f>
        <v>Shane Egge</v>
      </c>
      <c r="E13780" t="s">
        <v>6362</v>
      </c>
      <c r="F13780" t="s">
        <v>5562</v>
      </c>
      <c r="G13780">
        <v>1128</v>
      </c>
      <c r="H13780">
        <v>1226.1600000000001</v>
      </c>
      <c r="I13780">
        <v>1226.1400000000001</v>
      </c>
      <c r="J13780">
        <v>0.02</v>
      </c>
    </row>
    <row r="13781" spans="1:10" x14ac:dyDescent="0.3">
      <c r="A13781" t="str">
        <f>HYPERLINK("https://us2.cloudbeds.com/connect/10074733072513#/reservations/31684610379969?display=MHEQ7ZBAT&amp;reservation_id=31684610379969", "MHEQ7ZBAT")</f>
        <v>MHEQ7ZBAT</v>
      </c>
      <c r="B13781" t="s">
        <v>10</v>
      </c>
      <c r="C13781" t="s">
        <v>42</v>
      </c>
      <c r="D13781" t="str">
        <f>HYPERLINK("https://us2.cloudbeds.com/connect/10074733072513#/reservations/31684610379969?display=Gleason%20Williams&amp;reservation_id=31684610379969&amp;guest_id=31680485552289", "Gleason Williams")</f>
        <v>Gleason Williams</v>
      </c>
      <c r="E13781" t="s">
        <v>6771</v>
      </c>
      <c r="F13781" t="s">
        <v>6550</v>
      </c>
      <c r="G13781">
        <v>146</v>
      </c>
      <c r="H13781">
        <v>158.72</v>
      </c>
      <c r="I13781">
        <v>158.69999999999999</v>
      </c>
      <c r="J13781">
        <v>0.02</v>
      </c>
    </row>
    <row r="13782" spans="1:10" x14ac:dyDescent="0.3">
      <c r="A13782" t="str">
        <f>HYPERLINK("https://us2.cloudbeds.com/connect/10074733072513#/reservations/31680753541364?display=MHBQMX42Z&amp;reservation_id=31680753541364", "MHBQMX42Z")</f>
        <v>MHBQMX42Z</v>
      </c>
      <c r="B13782" t="s">
        <v>10</v>
      </c>
      <c r="C13782" t="s">
        <v>42</v>
      </c>
      <c r="D13782" t="str">
        <f>HYPERLINK("https://us2.cloudbeds.com/connect/10074733072513#/reservations/31680753541364?display=Ashley%20Jamros&amp;reservation_id=31680753541364&amp;guest_id=31680738291933", "Ashley Jamros")</f>
        <v>Ashley Jamros</v>
      </c>
      <c r="E13782" t="s">
        <v>6795</v>
      </c>
      <c r="F13782" t="s">
        <v>6435</v>
      </c>
      <c r="G13782">
        <v>507</v>
      </c>
      <c r="H13782">
        <v>551.13</v>
      </c>
      <c r="I13782">
        <v>551.11</v>
      </c>
      <c r="J13782">
        <v>0.02</v>
      </c>
    </row>
    <row r="13783" spans="1:10" x14ac:dyDescent="0.3">
      <c r="A13783" t="str">
        <f>HYPERLINK("https://us2.cloudbeds.com/connect/10074733072513#/reservations/31686353277078?display=MHG4PD0QQ&amp;reservation_id=31686353277078", "MHG4PD0QQ")</f>
        <v>MHG4PD0QQ</v>
      </c>
      <c r="B13783" t="s">
        <v>10</v>
      </c>
      <c r="C13783" t="s">
        <v>42</v>
      </c>
      <c r="D13783" t="str">
        <f>HYPERLINK("https://us2.cloudbeds.com/connect/10074733072513#/reservations/31686353277078?display=Great%20Plains%20Structure%20Great%20Plains%20Structure&amp;reservation_id=31686353277078&amp;guest_id=31681620340869", "Great Plains Structure Great Plains Structure")</f>
        <v>Great Plains Structure Great Plains Structure</v>
      </c>
      <c r="E13783" t="s">
        <v>5244</v>
      </c>
      <c r="F13783" t="s">
        <v>5563</v>
      </c>
      <c r="G13783">
        <v>237</v>
      </c>
      <c r="H13783">
        <v>257.64</v>
      </c>
      <c r="I13783">
        <v>257.62</v>
      </c>
      <c r="J13783">
        <v>0.02</v>
      </c>
    </row>
    <row r="13784" spans="1:10" x14ac:dyDescent="0.3">
      <c r="A13784" t="str">
        <f>HYPERLINK("https://us2.cloudbeds.com/connect/10074733072513#/reservations/31694478127313?display=MHMECFVYM&amp;reservation_id=31694478127313", "MHMECFVYM")</f>
        <v>MHMECFVYM</v>
      </c>
      <c r="B13784" t="s">
        <v>10</v>
      </c>
      <c r="C13784" t="s">
        <v>42</v>
      </c>
      <c r="D13784" t="str">
        <f>HYPERLINK("https://us2.cloudbeds.com/connect/10074733072513#/reservations/31694478127313?display=Jeremiah%20Johnson&amp;reservation_id=31694478127313&amp;guest_id=31686447501505", "Jeremiah Johnson")</f>
        <v>Jeremiah Johnson</v>
      </c>
      <c r="E13784" t="s">
        <v>8064</v>
      </c>
      <c r="F13784" t="s">
        <v>8208</v>
      </c>
      <c r="G13784">
        <v>237</v>
      </c>
      <c r="H13784">
        <v>257.64</v>
      </c>
      <c r="I13784">
        <v>257.62</v>
      </c>
      <c r="J13784">
        <v>0.02</v>
      </c>
    </row>
    <row r="13785" spans="1:10" x14ac:dyDescent="0.3">
      <c r="A13785" t="str">
        <f>HYPERLINK("https://us2.cloudbeds.com/connect/10074733072513#/reservations/31691428651198?display=MHK2F2Q3X&amp;reservation_id=31691428651198", "MHK2F2Q3X")</f>
        <v>MHK2F2Q3X</v>
      </c>
      <c r="B13785" t="s">
        <v>10</v>
      </c>
      <c r="C13785" t="s">
        <v>42</v>
      </c>
      <c r="D13785" t="str">
        <f>HYPERLINK("https://us2.cloudbeds.com/connect/10074733072513#/reservations/31691428651198?display=Misti%20Kolodziej&amp;reservation_id=31691428651198&amp;guest_id=31691428651195", "Misti Kolodziej")</f>
        <v>Misti Kolodziej</v>
      </c>
      <c r="E13785" t="s">
        <v>8293</v>
      </c>
      <c r="F13785" t="s">
        <v>7567</v>
      </c>
      <c r="G13785">
        <v>166</v>
      </c>
      <c r="H13785">
        <v>180.46</v>
      </c>
      <c r="I13785">
        <v>180.44</v>
      </c>
      <c r="J13785">
        <v>0.02</v>
      </c>
    </row>
    <row r="13786" spans="1:10" x14ac:dyDescent="0.3">
      <c r="A13786" t="str">
        <f>HYPERLINK("https://us2.cloudbeds.com/connect/10074733072513#/reservations/31733362634941?display=MXJHVUN7Y&amp;reservation_id=31733362634941", "MXJHVUN7Y")</f>
        <v>MXJHVUN7Y</v>
      </c>
      <c r="B13786" t="s">
        <v>10</v>
      </c>
      <c r="C13786" t="s">
        <v>42</v>
      </c>
      <c r="D13786" t="str">
        <f>HYPERLINK("https://us2.cloudbeds.com/connect/10074733072513#/reservations/31733362634941?display=Jeff%20Potts&amp;reservation_id=31733362634941&amp;guest_id=31683910762638", "Jeff Potts")</f>
        <v>Jeff Potts</v>
      </c>
      <c r="E13786" t="s">
        <v>3038</v>
      </c>
      <c r="F13786" t="s">
        <v>8897</v>
      </c>
      <c r="G13786">
        <v>1008</v>
      </c>
      <c r="H13786">
        <v>1095.72</v>
      </c>
      <c r="I13786">
        <v>1095.7</v>
      </c>
      <c r="J13786">
        <v>0.02</v>
      </c>
    </row>
    <row r="13787" spans="1:10" x14ac:dyDescent="0.3">
      <c r="A13787" t="str">
        <f>HYPERLINK("https://us2.cloudbeds.com/connect/10074733072513#/reservations/31728919277759?display=MXG3E5ZEA&amp;reservation_id=31728919277759", "MXG3E5ZEA")</f>
        <v>MXG3E5ZEA</v>
      </c>
      <c r="B13787" t="s">
        <v>10</v>
      </c>
      <c r="C13787" t="s">
        <v>23</v>
      </c>
      <c r="D13787" t="str">
        <f>HYPERLINK("https://us2.cloudbeds.com/connect/10074733072513#/reservations/31728919277759?display=Zack%20Randolph&amp;reservation_id=31728919277759&amp;guest_id=31728919277754", "Zack Randolph")</f>
        <v>Zack Randolph</v>
      </c>
      <c r="E13787" t="s">
        <v>10067</v>
      </c>
      <c r="F13787" t="s">
        <v>10000</v>
      </c>
      <c r="G13787">
        <v>507</v>
      </c>
      <c r="H13787">
        <v>551.13</v>
      </c>
      <c r="I13787">
        <v>551.11</v>
      </c>
      <c r="J13787">
        <v>0.02</v>
      </c>
    </row>
    <row r="13788" spans="1:10" x14ac:dyDescent="0.3">
      <c r="A13788" t="str">
        <f>HYPERLINK("https://us2.cloudbeds.com/connect/10074733072513#/reservations/31733252776114?display=MXJF59NP9&amp;reservation_id=31733252776114", "MXJF59NP9")</f>
        <v>MXJF59NP9</v>
      </c>
      <c r="B13788" t="s">
        <v>10</v>
      </c>
      <c r="C13788" t="s">
        <v>42</v>
      </c>
      <c r="D13788" t="str">
        <f>HYPERLINK("https://us2.cloudbeds.com/connect/10074733072513#/reservations/31733252776114?display=Justina%20Shaver&amp;reservation_id=31733252776114&amp;guest_id=31733252776103", "Justina Shaver")</f>
        <v>Justina Shaver</v>
      </c>
      <c r="E13788" t="s">
        <v>10376</v>
      </c>
      <c r="F13788" t="s">
        <v>9983</v>
      </c>
      <c r="G13788">
        <v>146</v>
      </c>
      <c r="H13788">
        <v>158.72</v>
      </c>
      <c r="I13788">
        <v>158.69999999999999</v>
      </c>
      <c r="J13788">
        <v>0.02</v>
      </c>
    </row>
    <row r="13789" spans="1:10" x14ac:dyDescent="0.3">
      <c r="A13789" t="str">
        <f>HYPERLINK("https://us2.cloudbeds.com/connect/10074733072513#/reservations/30652188283076?display=YQ7CF2JM7&amp;reservation_id=30652188283076", "YQ7CF2JM7")</f>
        <v>YQ7CF2JM7</v>
      </c>
      <c r="B13789" t="s">
        <v>10</v>
      </c>
      <c r="C13789" t="s">
        <v>42</v>
      </c>
      <c r="D13789" t="str">
        <f>HYPERLINK("https://us2.cloudbeds.com/connect/10074733072513#/reservations/30652188283076?display=Glenda%20Cole&amp;reservation_id=30652188283076&amp;guest_id=30652181975212", "Glenda Cole")</f>
        <v>Glenda Cole</v>
      </c>
      <c r="E13789" t="s">
        <v>217</v>
      </c>
      <c r="F13789" t="s">
        <v>218</v>
      </c>
      <c r="G13789">
        <v>456</v>
      </c>
      <c r="H13789">
        <v>495.7</v>
      </c>
      <c r="I13789">
        <v>495.67</v>
      </c>
      <c r="J13789">
        <v>0.03</v>
      </c>
    </row>
    <row r="13790" spans="1:10" x14ac:dyDescent="0.3">
      <c r="A13790" t="str">
        <f>HYPERLINK("https://us2.cloudbeds.com/connect/10074733072513#/reservations/31694615998690?display=MHMHTZEA6&amp;reservation_id=31694615998690", "MHMHTZEA6")</f>
        <v>MHMHTZEA6</v>
      </c>
      <c r="B13790" t="s">
        <v>10</v>
      </c>
      <c r="C13790" t="s">
        <v>42</v>
      </c>
      <c r="D13790" t="str">
        <f>HYPERLINK("https://us2.cloudbeds.com/connect/10074733072513#/reservations/31694615998690?display=Shawntrail%20Mcmahan%20Underground%20Solutions&amp;reservation_id=31694615998690&amp;guest_id=31694615994589", "Shawntrail Mcmahan Underground Solutions")</f>
        <v>Shawntrail Mcmahan Underground Solutions</v>
      </c>
      <c r="E13790" t="s">
        <v>5222</v>
      </c>
      <c r="F13790" t="s">
        <v>8333</v>
      </c>
      <c r="G13790">
        <v>316</v>
      </c>
      <c r="H13790">
        <v>343.52</v>
      </c>
      <c r="I13790">
        <v>343.49</v>
      </c>
      <c r="J13790">
        <v>0.03</v>
      </c>
    </row>
    <row r="13791" spans="1:10" x14ac:dyDescent="0.3">
      <c r="A13791" t="str">
        <f>HYPERLINK("https://us2.cloudbeds.com/connect/10074733072513#/reservations/31695640867017?display=MHNB2UTT5&amp;reservation_id=31695640867017", "MHNB2UTT5")</f>
        <v>MHNB2UTT5</v>
      </c>
      <c r="B13791" t="s">
        <v>10</v>
      </c>
      <c r="C13791" t="s">
        <v>42</v>
      </c>
      <c r="D13791" t="str">
        <f>HYPERLINK("https://us2.cloudbeds.com/connect/10074733072513#/reservations/31695640867017?display=Shawntrail%20Mcmahan%20Underground%20Solutions&amp;reservation_id=31695640867017&amp;guest_id=31695640867013", "Shawntrail Mcmahan Underground Solutions")</f>
        <v>Shawntrail Mcmahan Underground Solutions</v>
      </c>
      <c r="E13791" t="s">
        <v>5222</v>
      </c>
      <c r="F13791" t="s">
        <v>8271</v>
      </c>
      <c r="G13791">
        <v>316</v>
      </c>
      <c r="H13791">
        <v>343.52</v>
      </c>
      <c r="I13791">
        <v>343.49</v>
      </c>
      <c r="J13791">
        <v>0.03</v>
      </c>
    </row>
    <row r="13792" spans="1:10" x14ac:dyDescent="0.3">
      <c r="A13792" t="str">
        <f>HYPERLINK("https://us2.cloudbeds.com/connect/10074733072513#/reservations/31721497305259?display=MXABPPDMM&amp;reservation_id=31721497305259", "MXABPPDMM")</f>
        <v>MXABPPDMM</v>
      </c>
      <c r="B13792" t="s">
        <v>10</v>
      </c>
      <c r="C13792" t="s">
        <v>42</v>
      </c>
      <c r="D13792" t="str">
        <f>HYPERLINK("https://us2.cloudbeds.com/connect/10074733072513#/reservations/31721497305259?display=Robwert%20Crantz&amp;reservation_id=31721497305259&amp;guest_id=31721482154203", "Robwert Crantz")</f>
        <v>Robwert Crantz</v>
      </c>
      <c r="E13792" t="s">
        <v>11412</v>
      </c>
      <c r="F13792" t="s">
        <v>11413</v>
      </c>
      <c r="G13792">
        <v>495</v>
      </c>
      <c r="H13792">
        <v>538.1</v>
      </c>
      <c r="I13792">
        <v>538.07000000000005</v>
      </c>
      <c r="J13792">
        <v>0.03</v>
      </c>
    </row>
    <row r="13793" spans="1:10" x14ac:dyDescent="0.3">
      <c r="A13793" t="str">
        <f>HYPERLINK("https://us2.cloudbeds.com/connect/10074733072513#/reservations/180394219139203?display=3T8PHDT0EZ&amp;reservation_id=180394219139203", "3T8PHDT0EZ")</f>
        <v>3T8PHDT0EZ</v>
      </c>
      <c r="B13793" t="s">
        <v>10</v>
      </c>
      <c r="C13793" t="s">
        <v>13428</v>
      </c>
      <c r="D13793" t="str">
        <f>HYPERLINK("https://us2.cloudbeds.com/connect/10074733072513#/reservations/180394219139203?display=Jacob%20Feenstra&amp;reservation_id=180394219139203&amp;guest_id=180394219139201", "Jacob Feenstra")</f>
        <v>Jacob Feenstra</v>
      </c>
      <c r="E13793" t="s">
        <v>2791</v>
      </c>
      <c r="F13793" t="s">
        <v>13453</v>
      </c>
      <c r="G13793">
        <v>1034</v>
      </c>
      <c r="H13793">
        <v>1123.98</v>
      </c>
      <c r="I13793">
        <v>1122.57</v>
      </c>
      <c r="J13793">
        <v>1.41</v>
      </c>
    </row>
  </sheetData>
  <autoFilter ref="A1:K1" xr:uid="{00000000-0001-0000-0000-000000000000}">
    <sortState xmlns:xlrd2="http://schemas.microsoft.com/office/spreadsheetml/2017/richdata2" ref="A2:K13942">
      <sortCondition ref="J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Olsen</cp:lastModifiedBy>
  <dcterms:created xsi:type="dcterms:W3CDTF">2026-05-05T12:26:41Z</dcterms:created>
  <dcterms:modified xsi:type="dcterms:W3CDTF">2026-05-05T12:31:54Z</dcterms:modified>
</cp:coreProperties>
</file>